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34b67dfe8cd8862/ARCHIVOS EXTRAS/"/>
    </mc:Choice>
  </mc:AlternateContent>
  <xr:revisionPtr revIDLastSave="21" documentId="8_{D986352F-94E7-4C5D-ABCF-769E2652ED13}" xr6:coauthVersionLast="47" xr6:coauthVersionMax="47" xr10:uidLastSave="{D4540DF1-6689-4D27-B10D-4E7E73FAD784}"/>
  <bookViews>
    <workbookView xWindow="-120" yWindow="-120" windowWidth="20730" windowHeight="11040" tabRatio="891" firstSheet="17" activeTab="34" xr2:uid="{F5F58807-71B4-4E4D-BD32-D217AE69C2E2}"/>
  </bookViews>
  <sheets>
    <sheet name="PRESUPUESTO" sheetId="9" r:id="rId1"/>
    <sheet name="CRONOGRAMA" sheetId="4" r:id="rId2"/>
    <sheet name="CALCULO " sheetId="10" r:id="rId3"/>
    <sheet name="1.1" sheetId="11" r:id="rId4"/>
    <sheet name="1.2" sheetId="12" r:id="rId5"/>
    <sheet name="1.3" sheetId="13" r:id="rId6"/>
    <sheet name="1.4" sheetId="14" r:id="rId7"/>
    <sheet name="1.5" sheetId="15" r:id="rId8"/>
    <sheet name="1.6b" sheetId="51" r:id="rId9"/>
    <sheet name="1.6" sheetId="16" r:id="rId10"/>
    <sheet name="1.7" sheetId="17" r:id="rId11"/>
    <sheet name="1.8" sheetId="18" r:id="rId12"/>
    <sheet name="1.9" sheetId="19" r:id="rId13"/>
    <sheet name="2.1" sheetId="21" r:id="rId14"/>
    <sheet name="2.2" sheetId="22" r:id="rId15"/>
    <sheet name="2.3" sheetId="23" r:id="rId16"/>
    <sheet name="2.4" sheetId="25" r:id="rId17"/>
    <sheet name="2.5" sheetId="53" r:id="rId18"/>
    <sheet name="2.6" sheetId="26" r:id="rId19"/>
    <sheet name="3.1" sheetId="28" r:id="rId20"/>
    <sheet name="3.2" sheetId="29" r:id="rId21"/>
    <sheet name="3.3" sheetId="30" r:id="rId22"/>
    <sheet name="3.4" sheetId="32" r:id="rId23"/>
    <sheet name="4.1.1" sheetId="33" r:id="rId24"/>
    <sheet name="4.1.2" sheetId="34" r:id="rId25"/>
    <sheet name="4.1.3" sheetId="35" r:id="rId26"/>
    <sheet name="4.2" sheetId="49" r:id="rId27"/>
    <sheet name="4.3" sheetId="41" r:id="rId28"/>
    <sheet name="4.4.1" sheetId="42" r:id="rId29"/>
    <sheet name="4.4.2" sheetId="46" r:id="rId30"/>
    <sheet name="4.4.3" sheetId="47" r:id="rId31"/>
    <sheet name="4.4.4" sheetId="48" r:id="rId32"/>
    <sheet name="4.5.1" sheetId="50" r:id="rId33"/>
    <sheet name="BASE EQUIPO" sheetId="6" r:id="rId34"/>
    <sheet name="BASE M-OBRA" sheetId="7" r:id="rId35"/>
    <sheet name="BASE MATERIAL" sheetId="5" r:id="rId36"/>
    <sheet name="Hoja1" sheetId="54" r:id="rId37"/>
    <sheet name="ELECT" sheetId="55" r:id="rId38"/>
  </sheets>
  <externalReferences>
    <externalReference r:id="rId39"/>
  </externalReferences>
  <definedNames>
    <definedName name="_XP231" localSheetId="27">#REF!</definedName>
    <definedName name="_XP231" localSheetId="28">#REF!</definedName>
    <definedName name="_XP231">#REF!</definedName>
    <definedName name="A_impresión_IM" localSheetId="27">#REF!</definedName>
    <definedName name="A_impresión_IM" localSheetId="28">#REF!</definedName>
    <definedName name="A_impresión_IM">#REF!</definedName>
    <definedName name="accesorios" localSheetId="27">#REF!</definedName>
    <definedName name="accesorios" localSheetId="28">#REF!</definedName>
    <definedName name="accesorios">#REF!</definedName>
    <definedName name="AREA" localSheetId="27">#REF!</definedName>
    <definedName name="AREA" localSheetId="28">#REF!</definedName>
    <definedName name="AREA">#REF!</definedName>
    <definedName name="_xlnm.Print_Area" localSheetId="3">'1.1'!$B:$H</definedName>
    <definedName name="_xlnm.Print_Area" localSheetId="4">'1.2'!$B:$H</definedName>
    <definedName name="_xlnm.Print_Area" localSheetId="5">'1.3'!$B:$H</definedName>
    <definedName name="_xlnm.Print_Area" localSheetId="6">'1.4'!$B:$H</definedName>
    <definedName name="_xlnm.Print_Area" localSheetId="9">'1.6'!$B:$H</definedName>
    <definedName name="_xlnm.Print_Area" localSheetId="10">'1.7'!$B:$H</definedName>
    <definedName name="_xlnm.Print_Area" localSheetId="11">'1.8'!$B:$H</definedName>
    <definedName name="_xlnm.Print_Area" localSheetId="12">'1.9'!$B$113:$H$2072</definedName>
    <definedName name="_xlnm.Print_Area" localSheetId="13">'2.1'!$B$1:$H$336</definedName>
    <definedName name="_xlnm.Print_Area" localSheetId="14">'2.2'!$B:$H</definedName>
    <definedName name="_xlnm.Print_Area" localSheetId="15">'2.3'!$B:$H</definedName>
    <definedName name="_xlnm.Print_Area" localSheetId="16">'2.4'!$B:$H</definedName>
    <definedName name="_xlnm.Print_Area" localSheetId="18">'2.6'!$B:$H</definedName>
    <definedName name="_xlnm.Print_Area" localSheetId="19">'3.1'!$B:$H</definedName>
    <definedName name="_xlnm.Print_Area" localSheetId="20">'3.2'!$B:$H</definedName>
    <definedName name="_xlnm.Print_Area" localSheetId="21">'3.3'!$B:$H</definedName>
    <definedName name="_xlnm.Print_Area" localSheetId="22">'3.4'!$B:$H</definedName>
    <definedName name="_xlnm.Print_Area" localSheetId="23">'4.1.1'!$B:$H</definedName>
    <definedName name="_xlnm.Print_Area" localSheetId="24">'4.1.2'!$B:$H</definedName>
    <definedName name="_xlnm.Print_Area" localSheetId="25">'4.1.3'!$B:$H</definedName>
    <definedName name="_xlnm.Print_Area" localSheetId="26">'4.2'!$B:$H</definedName>
    <definedName name="_xlnm.Print_Area" localSheetId="27">'4.3'!$A:$G</definedName>
    <definedName name="_xlnm.Print_Area" localSheetId="28">'4.4.1'!$A:$G</definedName>
    <definedName name="_xlnm.Print_Area" localSheetId="29">'4.4.2'!$A:$G</definedName>
    <definedName name="_xlnm.Print_Area" localSheetId="30">'4.4.3'!$A:$G</definedName>
    <definedName name="_xlnm.Print_Area" localSheetId="31">'4.4.4'!$A:$G</definedName>
    <definedName name="_xlnm.Print_Area" localSheetId="1">CRONOGRAMA!$B:$AK</definedName>
    <definedName name="_xlnm.Print_Area" localSheetId="0">PRESUPUESTO!$A$1:$H$184</definedName>
    <definedName name="_xlnm.Print_Area">#REF!</definedName>
    <definedName name="calculo" localSheetId="27">#REF!</definedName>
    <definedName name="calculo" localSheetId="28">#REF!</definedName>
    <definedName name="calculo">#REF!</definedName>
    <definedName name="CERECITA">#REF!</definedName>
    <definedName name="CODIGO" localSheetId="27">#REF!</definedName>
    <definedName name="CODIGO" localSheetId="28">#REF!</definedName>
    <definedName name="CODIGO">#REF!</definedName>
    <definedName name="lista" localSheetId="27">#REF!</definedName>
    <definedName name="lista" localSheetId="28">#REF!</definedName>
    <definedName name="lista">#REF!</definedName>
    <definedName name="mama" localSheetId="27">#REF!</definedName>
    <definedName name="mama" localSheetId="28">#REF!</definedName>
    <definedName name="mama">#REF!</definedName>
    <definedName name="OK">'[1]APU (SISTEMA_AGUA-VARIOS_PERS)'!#REF!</definedName>
    <definedName name="papa" localSheetId="27">#REF!</definedName>
    <definedName name="papa" localSheetId="28">#REF!</definedName>
    <definedName name="papa">#REF!</definedName>
    <definedName name="_xlnm.Print_Titles" localSheetId="27">'4.3'!#REF!</definedName>
    <definedName name="_xlnm.Print_Titles" localSheetId="28">'4.4.1'!#REF!</definedName>
    <definedName name="_xlnm.Print_Titles" localSheetId="0">PRESUPUESTO!$1:$7</definedName>
    <definedName name="_xlnm.Print_Titles">#REF!</definedName>
    <definedName name="tuberia" localSheetId="27">#REF!</definedName>
    <definedName name="tuberia" localSheetId="28">#REF!</definedName>
    <definedName name="tuberia">#REF!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4" i="4" l="1"/>
  <c r="D38" i="4"/>
  <c r="D39" i="4"/>
  <c r="D41" i="4"/>
  <c r="D45" i="4"/>
  <c r="D66" i="4"/>
  <c r="D68" i="4"/>
  <c r="D69" i="4"/>
  <c r="D70" i="4"/>
  <c r="D71" i="4"/>
  <c r="D73" i="4"/>
  <c r="D93" i="4" s="1"/>
  <c r="D74" i="4"/>
  <c r="D75" i="4"/>
  <c r="D77" i="4"/>
  <c r="D78" i="4"/>
  <c r="D98" i="4" s="1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65" i="4"/>
  <c r="AS100" i="4"/>
  <c r="AS109" i="4" s="1"/>
  <c r="AR100" i="4"/>
  <c r="AR109" i="4" s="1"/>
  <c r="AQ100" i="4"/>
  <c r="AQ101" i="4" s="1"/>
  <c r="AC100" i="4"/>
  <c r="AC109" i="4" s="1"/>
  <c r="AB100" i="4"/>
  <c r="AB109" i="4" s="1"/>
  <c r="AA100" i="4"/>
  <c r="AA101" i="4" s="1"/>
  <c r="M100" i="4"/>
  <c r="L100" i="4"/>
  <c r="L101" i="4" s="1"/>
  <c r="K100" i="4"/>
  <c r="K109" i="4" s="1"/>
  <c r="AZ98" i="4"/>
  <c r="AY98" i="4"/>
  <c r="AX98" i="4"/>
  <c r="AW98" i="4"/>
  <c r="AV98" i="4"/>
  <c r="AU98" i="4"/>
  <c r="AT98" i="4"/>
  <c r="AS98" i="4"/>
  <c r="AR98" i="4"/>
  <c r="AQ98" i="4"/>
  <c r="AP98" i="4"/>
  <c r="AO98" i="4"/>
  <c r="AN98" i="4"/>
  <c r="AM98" i="4"/>
  <c r="AL98" i="4"/>
  <c r="AK98" i="4"/>
  <c r="AJ98" i="4"/>
  <c r="AI98" i="4"/>
  <c r="AH98" i="4"/>
  <c r="AG98" i="4"/>
  <c r="AF98" i="4"/>
  <c r="AE98" i="4"/>
  <c r="AD98" i="4"/>
  <c r="AC98" i="4"/>
  <c r="AB98" i="4"/>
  <c r="AA98" i="4"/>
  <c r="Z98" i="4"/>
  <c r="Y98" i="4"/>
  <c r="X98" i="4"/>
  <c r="W98" i="4"/>
  <c r="V98" i="4"/>
  <c r="U98" i="4"/>
  <c r="T98" i="4"/>
  <c r="S98" i="4"/>
  <c r="R98" i="4"/>
  <c r="Q98" i="4"/>
  <c r="P98" i="4"/>
  <c r="O98" i="4"/>
  <c r="N98" i="4"/>
  <c r="M98" i="4"/>
  <c r="L98" i="4"/>
  <c r="K98" i="4"/>
  <c r="J98" i="4"/>
  <c r="I98" i="4"/>
  <c r="H98" i="4"/>
  <c r="G98" i="4"/>
  <c r="F98" i="4"/>
  <c r="E98" i="4"/>
  <c r="BA98" i="4" s="1"/>
  <c r="AZ97" i="4"/>
  <c r="AY97" i="4"/>
  <c r="AX97" i="4"/>
  <c r="AW97" i="4"/>
  <c r="AV97" i="4"/>
  <c r="AU97" i="4"/>
  <c r="AT97" i="4"/>
  <c r="AS97" i="4"/>
  <c r="AR97" i="4"/>
  <c r="AQ97" i="4"/>
  <c r="AP97" i="4"/>
  <c r="AO97" i="4"/>
  <c r="AN97" i="4"/>
  <c r="AM97" i="4"/>
  <c r="AL97" i="4"/>
  <c r="AK97" i="4"/>
  <c r="AJ97" i="4"/>
  <c r="AI97" i="4"/>
  <c r="AH97" i="4"/>
  <c r="AG97" i="4"/>
  <c r="AF97" i="4"/>
  <c r="AE97" i="4"/>
  <c r="AD97" i="4"/>
  <c r="AC97" i="4"/>
  <c r="AB97" i="4"/>
  <c r="AA97" i="4"/>
  <c r="Z97" i="4"/>
  <c r="Y97" i="4"/>
  <c r="X97" i="4"/>
  <c r="W97" i="4"/>
  <c r="V97" i="4"/>
  <c r="U97" i="4"/>
  <c r="T97" i="4"/>
  <c r="S97" i="4"/>
  <c r="R97" i="4"/>
  <c r="Q97" i="4"/>
  <c r="P97" i="4"/>
  <c r="O97" i="4"/>
  <c r="N97" i="4"/>
  <c r="M97" i="4"/>
  <c r="L97" i="4"/>
  <c r="K97" i="4"/>
  <c r="J97" i="4"/>
  <c r="I97" i="4"/>
  <c r="H97" i="4"/>
  <c r="G97" i="4"/>
  <c r="F97" i="4"/>
  <c r="E97" i="4"/>
  <c r="BA97" i="4" s="1"/>
  <c r="AZ96" i="4"/>
  <c r="AY96" i="4"/>
  <c r="AX96" i="4"/>
  <c r="AW96" i="4"/>
  <c r="AV96" i="4"/>
  <c r="AU96" i="4"/>
  <c r="AT96" i="4"/>
  <c r="AS96" i="4"/>
  <c r="AR96" i="4"/>
  <c r="AQ96" i="4"/>
  <c r="AP96" i="4"/>
  <c r="AO96" i="4"/>
  <c r="AN96" i="4"/>
  <c r="AM96" i="4"/>
  <c r="AL96" i="4"/>
  <c r="AK96" i="4"/>
  <c r="AJ96" i="4"/>
  <c r="AI96" i="4"/>
  <c r="AH96" i="4"/>
  <c r="AG96" i="4"/>
  <c r="AF96" i="4"/>
  <c r="AE96" i="4"/>
  <c r="AD96" i="4"/>
  <c r="AC96" i="4"/>
  <c r="AB96" i="4"/>
  <c r="AA96" i="4"/>
  <c r="Z96" i="4"/>
  <c r="Y96" i="4"/>
  <c r="X96" i="4"/>
  <c r="W96" i="4"/>
  <c r="V96" i="4"/>
  <c r="U96" i="4"/>
  <c r="T96" i="4"/>
  <c r="S96" i="4"/>
  <c r="R96" i="4"/>
  <c r="Q96" i="4"/>
  <c r="P96" i="4"/>
  <c r="O96" i="4"/>
  <c r="N96" i="4"/>
  <c r="M96" i="4"/>
  <c r="L96" i="4"/>
  <c r="K96" i="4"/>
  <c r="J96" i="4"/>
  <c r="I96" i="4"/>
  <c r="H96" i="4"/>
  <c r="G96" i="4"/>
  <c r="F96" i="4"/>
  <c r="E96" i="4"/>
  <c r="BA96" i="4" s="1"/>
  <c r="AZ95" i="4"/>
  <c r="AY95" i="4"/>
  <c r="AX95" i="4"/>
  <c r="AW95" i="4"/>
  <c r="AV95" i="4"/>
  <c r="AU95" i="4"/>
  <c r="AT95" i="4"/>
  <c r="AS95" i="4"/>
  <c r="AR95" i="4"/>
  <c r="AQ95" i="4"/>
  <c r="AP95" i="4"/>
  <c r="AO95" i="4"/>
  <c r="AN95" i="4"/>
  <c r="AM95" i="4"/>
  <c r="AL95" i="4"/>
  <c r="AK95" i="4"/>
  <c r="AJ95" i="4"/>
  <c r="AI95" i="4"/>
  <c r="AH95" i="4"/>
  <c r="AG95" i="4"/>
  <c r="AF95" i="4"/>
  <c r="AE95" i="4"/>
  <c r="AD95" i="4"/>
  <c r="AC95" i="4"/>
  <c r="AB95" i="4"/>
  <c r="AA95" i="4"/>
  <c r="Z95" i="4"/>
  <c r="Y95" i="4"/>
  <c r="X95" i="4"/>
  <c r="W95" i="4"/>
  <c r="V95" i="4"/>
  <c r="U95" i="4"/>
  <c r="T95" i="4"/>
  <c r="S95" i="4"/>
  <c r="R95" i="4"/>
  <c r="Q95" i="4"/>
  <c r="P95" i="4"/>
  <c r="O95" i="4"/>
  <c r="N95" i="4"/>
  <c r="M95" i="4"/>
  <c r="L95" i="4"/>
  <c r="K95" i="4"/>
  <c r="J95" i="4"/>
  <c r="I95" i="4"/>
  <c r="H95" i="4"/>
  <c r="G95" i="4"/>
  <c r="F95" i="4"/>
  <c r="E95" i="4"/>
  <c r="BA95" i="4" s="1"/>
  <c r="AZ94" i="4"/>
  <c r="AY94" i="4"/>
  <c r="AX94" i="4"/>
  <c r="AW94" i="4"/>
  <c r="AV94" i="4"/>
  <c r="AU94" i="4"/>
  <c r="AT94" i="4"/>
  <c r="AS94" i="4"/>
  <c r="AR94" i="4"/>
  <c r="AQ94" i="4"/>
  <c r="AP94" i="4"/>
  <c r="AO94" i="4"/>
  <c r="AN94" i="4"/>
  <c r="AM94" i="4"/>
  <c r="AL94" i="4"/>
  <c r="AK94" i="4"/>
  <c r="AJ94" i="4"/>
  <c r="AI94" i="4"/>
  <c r="AH94" i="4"/>
  <c r="AG94" i="4"/>
  <c r="AF94" i="4"/>
  <c r="AE94" i="4"/>
  <c r="AD94" i="4"/>
  <c r="AC94" i="4"/>
  <c r="AB94" i="4"/>
  <c r="AA94" i="4"/>
  <c r="Z94" i="4"/>
  <c r="Y94" i="4"/>
  <c r="X94" i="4"/>
  <c r="W94" i="4"/>
  <c r="V94" i="4"/>
  <c r="U94" i="4"/>
  <c r="T94" i="4"/>
  <c r="S94" i="4"/>
  <c r="R94" i="4"/>
  <c r="Q94" i="4"/>
  <c r="P94" i="4"/>
  <c r="O94" i="4"/>
  <c r="N94" i="4"/>
  <c r="M94" i="4"/>
  <c r="L94" i="4"/>
  <c r="K94" i="4"/>
  <c r="J94" i="4"/>
  <c r="I94" i="4"/>
  <c r="H94" i="4"/>
  <c r="G94" i="4"/>
  <c r="F94" i="4"/>
  <c r="E94" i="4"/>
  <c r="BA94" i="4" s="1"/>
  <c r="AZ93" i="4"/>
  <c r="AY93" i="4"/>
  <c r="AX93" i="4"/>
  <c r="AW93" i="4"/>
  <c r="AV93" i="4"/>
  <c r="AU93" i="4"/>
  <c r="AT93" i="4"/>
  <c r="AS93" i="4"/>
  <c r="AR93" i="4"/>
  <c r="AQ93" i="4"/>
  <c r="AP93" i="4"/>
  <c r="AO93" i="4"/>
  <c r="AN93" i="4"/>
  <c r="AM93" i="4"/>
  <c r="AL93" i="4"/>
  <c r="AK93" i="4"/>
  <c r="AJ93" i="4"/>
  <c r="AI93" i="4"/>
  <c r="AH93" i="4"/>
  <c r="AG93" i="4"/>
  <c r="AF93" i="4"/>
  <c r="AE93" i="4"/>
  <c r="AD93" i="4"/>
  <c r="AC93" i="4"/>
  <c r="AB93" i="4"/>
  <c r="AA93" i="4"/>
  <c r="Z93" i="4"/>
  <c r="Y93" i="4"/>
  <c r="X93" i="4"/>
  <c r="W93" i="4"/>
  <c r="V93" i="4"/>
  <c r="U93" i="4"/>
  <c r="T93" i="4"/>
  <c r="S93" i="4"/>
  <c r="R93" i="4"/>
  <c r="Q93" i="4"/>
  <c r="P93" i="4"/>
  <c r="O93" i="4"/>
  <c r="N93" i="4"/>
  <c r="M93" i="4"/>
  <c r="L93" i="4"/>
  <c r="K93" i="4"/>
  <c r="J93" i="4"/>
  <c r="I93" i="4"/>
  <c r="H93" i="4"/>
  <c r="G93" i="4"/>
  <c r="F93" i="4"/>
  <c r="E93" i="4"/>
  <c r="BA93" i="4" s="1"/>
  <c r="AZ92" i="4"/>
  <c r="AY92" i="4"/>
  <c r="AX92" i="4"/>
  <c r="AW92" i="4"/>
  <c r="AV92" i="4"/>
  <c r="AU92" i="4"/>
  <c r="AT92" i="4"/>
  <c r="AS92" i="4"/>
  <c r="AR92" i="4"/>
  <c r="AQ92" i="4"/>
  <c r="AP92" i="4"/>
  <c r="AO92" i="4"/>
  <c r="AN92" i="4"/>
  <c r="AM92" i="4"/>
  <c r="AL92" i="4"/>
  <c r="AK92" i="4"/>
  <c r="AJ92" i="4"/>
  <c r="AI92" i="4"/>
  <c r="AH92" i="4"/>
  <c r="AG92" i="4"/>
  <c r="AF92" i="4"/>
  <c r="AE92" i="4"/>
  <c r="AD92" i="4"/>
  <c r="AC92" i="4"/>
  <c r="AB92" i="4"/>
  <c r="AA92" i="4"/>
  <c r="Z92" i="4"/>
  <c r="Y92" i="4"/>
  <c r="X92" i="4"/>
  <c r="W92" i="4"/>
  <c r="V92" i="4"/>
  <c r="U92" i="4"/>
  <c r="T92" i="4"/>
  <c r="S92" i="4"/>
  <c r="R92" i="4"/>
  <c r="Q92" i="4"/>
  <c r="P92" i="4"/>
  <c r="O92" i="4"/>
  <c r="N92" i="4"/>
  <c r="M92" i="4"/>
  <c r="L92" i="4"/>
  <c r="K92" i="4"/>
  <c r="J92" i="4"/>
  <c r="I92" i="4"/>
  <c r="H92" i="4"/>
  <c r="G92" i="4"/>
  <c r="F92" i="4"/>
  <c r="E92" i="4"/>
  <c r="BA92" i="4" s="1"/>
  <c r="AZ91" i="4"/>
  <c r="AY91" i="4"/>
  <c r="AX91" i="4"/>
  <c r="AW91" i="4"/>
  <c r="AV91" i="4"/>
  <c r="AU91" i="4"/>
  <c r="AT91" i="4"/>
  <c r="AS91" i="4"/>
  <c r="AR91" i="4"/>
  <c r="AQ91" i="4"/>
  <c r="AP91" i="4"/>
  <c r="AO91" i="4"/>
  <c r="AN91" i="4"/>
  <c r="AM91" i="4"/>
  <c r="AL91" i="4"/>
  <c r="AK91" i="4"/>
  <c r="AJ91" i="4"/>
  <c r="AI91" i="4"/>
  <c r="AH91" i="4"/>
  <c r="AG91" i="4"/>
  <c r="AF91" i="4"/>
  <c r="AE91" i="4"/>
  <c r="AD91" i="4"/>
  <c r="AC91" i="4"/>
  <c r="AB91" i="4"/>
  <c r="AA91" i="4"/>
  <c r="Z91" i="4"/>
  <c r="Y91" i="4"/>
  <c r="X91" i="4"/>
  <c r="W91" i="4"/>
  <c r="V91" i="4"/>
  <c r="U91" i="4"/>
  <c r="T91" i="4"/>
  <c r="S91" i="4"/>
  <c r="R91" i="4"/>
  <c r="Q91" i="4"/>
  <c r="P91" i="4"/>
  <c r="O91" i="4"/>
  <c r="N91" i="4"/>
  <c r="M91" i="4"/>
  <c r="L91" i="4"/>
  <c r="K91" i="4"/>
  <c r="J91" i="4"/>
  <c r="I91" i="4"/>
  <c r="H91" i="4"/>
  <c r="G91" i="4"/>
  <c r="F91" i="4"/>
  <c r="E91" i="4"/>
  <c r="BA91" i="4" s="1"/>
  <c r="AZ90" i="4"/>
  <c r="AY90" i="4"/>
  <c r="AX90" i="4"/>
  <c r="AW90" i="4"/>
  <c r="AV90" i="4"/>
  <c r="AU90" i="4"/>
  <c r="AT90" i="4"/>
  <c r="AS90" i="4"/>
  <c r="AR90" i="4"/>
  <c r="AQ90" i="4"/>
  <c r="AP90" i="4"/>
  <c r="AO90" i="4"/>
  <c r="AN90" i="4"/>
  <c r="AM90" i="4"/>
  <c r="AL90" i="4"/>
  <c r="AK90" i="4"/>
  <c r="AJ90" i="4"/>
  <c r="AI90" i="4"/>
  <c r="AH90" i="4"/>
  <c r="AG90" i="4"/>
  <c r="AF90" i="4"/>
  <c r="AE90" i="4"/>
  <c r="AD90" i="4"/>
  <c r="AC90" i="4"/>
  <c r="AB90" i="4"/>
  <c r="AA90" i="4"/>
  <c r="Z90" i="4"/>
  <c r="Y90" i="4"/>
  <c r="X90" i="4"/>
  <c r="W90" i="4"/>
  <c r="V90" i="4"/>
  <c r="U90" i="4"/>
  <c r="T90" i="4"/>
  <c r="S90" i="4"/>
  <c r="R90" i="4"/>
  <c r="Q90" i="4"/>
  <c r="P90" i="4"/>
  <c r="O90" i="4"/>
  <c r="N90" i="4"/>
  <c r="M90" i="4"/>
  <c r="L90" i="4"/>
  <c r="K90" i="4"/>
  <c r="J90" i="4"/>
  <c r="I90" i="4"/>
  <c r="H90" i="4"/>
  <c r="G90" i="4"/>
  <c r="F90" i="4"/>
  <c r="E90" i="4"/>
  <c r="BA90" i="4" s="1"/>
  <c r="AZ89" i="4"/>
  <c r="AY89" i="4"/>
  <c r="AX89" i="4"/>
  <c r="AW89" i="4"/>
  <c r="AV89" i="4"/>
  <c r="AU89" i="4"/>
  <c r="AT89" i="4"/>
  <c r="AS89" i="4"/>
  <c r="AR89" i="4"/>
  <c r="AQ89" i="4"/>
  <c r="AP89" i="4"/>
  <c r="AO89" i="4"/>
  <c r="AN89" i="4"/>
  <c r="AM89" i="4"/>
  <c r="AL89" i="4"/>
  <c r="AK89" i="4"/>
  <c r="AJ89" i="4"/>
  <c r="AI89" i="4"/>
  <c r="AH89" i="4"/>
  <c r="AG89" i="4"/>
  <c r="AF89" i="4"/>
  <c r="AE89" i="4"/>
  <c r="AD89" i="4"/>
  <c r="AC89" i="4"/>
  <c r="AB89" i="4"/>
  <c r="AA89" i="4"/>
  <c r="Z89" i="4"/>
  <c r="Y89" i="4"/>
  <c r="X89" i="4"/>
  <c r="W89" i="4"/>
  <c r="V89" i="4"/>
  <c r="U89" i="4"/>
  <c r="T89" i="4"/>
  <c r="S89" i="4"/>
  <c r="R89" i="4"/>
  <c r="Q89" i="4"/>
  <c r="P89" i="4"/>
  <c r="O89" i="4"/>
  <c r="N89" i="4"/>
  <c r="M89" i="4"/>
  <c r="L89" i="4"/>
  <c r="K89" i="4"/>
  <c r="J89" i="4"/>
  <c r="I89" i="4"/>
  <c r="H89" i="4"/>
  <c r="G89" i="4"/>
  <c r="F89" i="4"/>
  <c r="E89" i="4"/>
  <c r="BA89" i="4" s="1"/>
  <c r="AZ88" i="4"/>
  <c r="AY88" i="4"/>
  <c r="AX88" i="4"/>
  <c r="AW88" i="4"/>
  <c r="AV88" i="4"/>
  <c r="AU88" i="4"/>
  <c r="AT88" i="4"/>
  <c r="AS88" i="4"/>
  <c r="AR88" i="4"/>
  <c r="AQ88" i="4"/>
  <c r="AP88" i="4"/>
  <c r="AO88" i="4"/>
  <c r="AN88" i="4"/>
  <c r="AM88" i="4"/>
  <c r="AL88" i="4"/>
  <c r="AK88" i="4"/>
  <c r="AJ88" i="4"/>
  <c r="AI88" i="4"/>
  <c r="AH88" i="4"/>
  <c r="AG88" i="4"/>
  <c r="AF88" i="4"/>
  <c r="AE88" i="4"/>
  <c r="AD88" i="4"/>
  <c r="AC88" i="4"/>
  <c r="AB88" i="4"/>
  <c r="AA88" i="4"/>
  <c r="Z88" i="4"/>
  <c r="Y88" i="4"/>
  <c r="X88" i="4"/>
  <c r="W88" i="4"/>
  <c r="V88" i="4"/>
  <c r="U88" i="4"/>
  <c r="T88" i="4"/>
  <c r="S88" i="4"/>
  <c r="R88" i="4"/>
  <c r="Q88" i="4"/>
  <c r="P88" i="4"/>
  <c r="O88" i="4"/>
  <c r="N88" i="4"/>
  <c r="M88" i="4"/>
  <c r="L88" i="4"/>
  <c r="K88" i="4"/>
  <c r="J88" i="4"/>
  <c r="I88" i="4"/>
  <c r="H88" i="4"/>
  <c r="G88" i="4"/>
  <c r="F88" i="4"/>
  <c r="E88" i="4"/>
  <c r="BA88" i="4" s="1"/>
  <c r="AZ87" i="4"/>
  <c r="AY87" i="4"/>
  <c r="AX87" i="4"/>
  <c r="AW87" i="4"/>
  <c r="AV87" i="4"/>
  <c r="AU87" i="4"/>
  <c r="AT87" i="4"/>
  <c r="AS87" i="4"/>
  <c r="AR87" i="4"/>
  <c r="AQ87" i="4"/>
  <c r="AP87" i="4"/>
  <c r="AO87" i="4"/>
  <c r="AN87" i="4"/>
  <c r="AM87" i="4"/>
  <c r="AL87" i="4"/>
  <c r="AK87" i="4"/>
  <c r="AJ87" i="4"/>
  <c r="AI87" i="4"/>
  <c r="AH87" i="4"/>
  <c r="AG87" i="4"/>
  <c r="AF87" i="4"/>
  <c r="AE87" i="4"/>
  <c r="AD87" i="4"/>
  <c r="AC87" i="4"/>
  <c r="AB87" i="4"/>
  <c r="AA87" i="4"/>
  <c r="Z87" i="4"/>
  <c r="Y87" i="4"/>
  <c r="X87" i="4"/>
  <c r="W87" i="4"/>
  <c r="V87" i="4"/>
  <c r="U87" i="4"/>
  <c r="T87" i="4"/>
  <c r="S87" i="4"/>
  <c r="BA87" i="4" s="1"/>
  <c r="R87" i="4"/>
  <c r="Q87" i="4"/>
  <c r="P87" i="4"/>
  <c r="O87" i="4"/>
  <c r="N87" i="4"/>
  <c r="M87" i="4"/>
  <c r="L87" i="4"/>
  <c r="K87" i="4"/>
  <c r="J87" i="4"/>
  <c r="I87" i="4"/>
  <c r="H87" i="4"/>
  <c r="G87" i="4"/>
  <c r="F87" i="4"/>
  <c r="E87" i="4"/>
  <c r="AZ86" i="4"/>
  <c r="AY86" i="4"/>
  <c r="AX86" i="4"/>
  <c r="AW86" i="4"/>
  <c r="AV86" i="4"/>
  <c r="AU86" i="4"/>
  <c r="AT86" i="4"/>
  <c r="AS86" i="4"/>
  <c r="AR86" i="4"/>
  <c r="AQ86" i="4"/>
  <c r="AP86" i="4"/>
  <c r="AO86" i="4"/>
  <c r="AN86" i="4"/>
  <c r="AM86" i="4"/>
  <c r="AL86" i="4"/>
  <c r="AK86" i="4"/>
  <c r="AJ86" i="4"/>
  <c r="AI86" i="4"/>
  <c r="AH86" i="4"/>
  <c r="AG86" i="4"/>
  <c r="AF86" i="4"/>
  <c r="AE86" i="4"/>
  <c r="AD86" i="4"/>
  <c r="AC86" i="4"/>
  <c r="AB86" i="4"/>
  <c r="AA86" i="4"/>
  <c r="Z86" i="4"/>
  <c r="Y86" i="4"/>
  <c r="X86" i="4"/>
  <c r="W86" i="4"/>
  <c r="V86" i="4"/>
  <c r="U86" i="4"/>
  <c r="T86" i="4"/>
  <c r="S86" i="4"/>
  <c r="R86" i="4"/>
  <c r="Q86" i="4"/>
  <c r="P86" i="4"/>
  <c r="O86" i="4"/>
  <c r="N86" i="4"/>
  <c r="M86" i="4"/>
  <c r="L86" i="4"/>
  <c r="K86" i="4"/>
  <c r="J86" i="4"/>
  <c r="I86" i="4"/>
  <c r="H86" i="4"/>
  <c r="G86" i="4"/>
  <c r="F86" i="4"/>
  <c r="E86" i="4"/>
  <c r="BA86" i="4" s="1"/>
  <c r="AZ85" i="4"/>
  <c r="AZ100" i="4" s="1"/>
  <c r="AY85" i="4"/>
  <c r="AY100" i="4" s="1"/>
  <c r="AX85" i="4"/>
  <c r="AX100" i="4" s="1"/>
  <c r="AW85" i="4"/>
  <c r="AW100" i="4" s="1"/>
  <c r="AV85" i="4"/>
  <c r="AV100" i="4" s="1"/>
  <c r="AU85" i="4"/>
  <c r="AU100" i="4" s="1"/>
  <c r="AT85" i="4"/>
  <c r="AT100" i="4" s="1"/>
  <c r="AS85" i="4"/>
  <c r="AR85" i="4"/>
  <c r="AQ85" i="4"/>
  <c r="AP85" i="4"/>
  <c r="AP100" i="4" s="1"/>
  <c r="AO85" i="4"/>
  <c r="AO100" i="4" s="1"/>
  <c r="AN85" i="4"/>
  <c r="AN100" i="4" s="1"/>
  <c r="AM85" i="4"/>
  <c r="AM100" i="4" s="1"/>
  <c r="AL85" i="4"/>
  <c r="AL100" i="4" s="1"/>
  <c r="AK85" i="4"/>
  <c r="AK100" i="4" s="1"/>
  <c r="AJ85" i="4"/>
  <c r="AJ100" i="4" s="1"/>
  <c r="AI85" i="4"/>
  <c r="AI100" i="4" s="1"/>
  <c r="AH85" i="4"/>
  <c r="AH100" i="4" s="1"/>
  <c r="AG85" i="4"/>
  <c r="AG100" i="4" s="1"/>
  <c r="AF85" i="4"/>
  <c r="AF100" i="4" s="1"/>
  <c r="AE85" i="4"/>
  <c r="AE100" i="4" s="1"/>
  <c r="AD85" i="4"/>
  <c r="AD100" i="4" s="1"/>
  <c r="AC85" i="4"/>
  <c r="AB85" i="4"/>
  <c r="AA85" i="4"/>
  <c r="Z85" i="4"/>
  <c r="Z100" i="4" s="1"/>
  <c r="Y85" i="4"/>
  <c r="Y100" i="4" s="1"/>
  <c r="X85" i="4"/>
  <c r="X100" i="4" s="1"/>
  <c r="W85" i="4"/>
  <c r="W100" i="4" s="1"/>
  <c r="V85" i="4"/>
  <c r="V100" i="4" s="1"/>
  <c r="U85" i="4"/>
  <c r="U100" i="4" s="1"/>
  <c r="T85" i="4"/>
  <c r="T100" i="4" s="1"/>
  <c r="S85" i="4"/>
  <c r="S100" i="4" s="1"/>
  <c r="R85" i="4"/>
  <c r="R100" i="4" s="1"/>
  <c r="Q85" i="4"/>
  <c r="Q100" i="4" s="1"/>
  <c r="P85" i="4"/>
  <c r="P100" i="4" s="1"/>
  <c r="O85" i="4"/>
  <c r="O100" i="4" s="1"/>
  <c r="N85" i="4"/>
  <c r="N100" i="4" s="1"/>
  <c r="M85" i="4"/>
  <c r="L85" i="4"/>
  <c r="K85" i="4"/>
  <c r="J85" i="4"/>
  <c r="J100" i="4" s="1"/>
  <c r="I85" i="4"/>
  <c r="I100" i="4" s="1"/>
  <c r="H85" i="4"/>
  <c r="H100" i="4" s="1"/>
  <c r="G85" i="4"/>
  <c r="G100" i="4" s="1"/>
  <c r="F85" i="4"/>
  <c r="F100" i="4" s="1"/>
  <c r="E85" i="4"/>
  <c r="BA85" i="4" s="1"/>
  <c r="BA78" i="4"/>
  <c r="BA77" i="4"/>
  <c r="D97" i="4"/>
  <c r="BA76" i="4"/>
  <c r="BA75" i="4"/>
  <c r="D95" i="4"/>
  <c r="BA74" i="4"/>
  <c r="D94" i="4"/>
  <c r="BA73" i="4"/>
  <c r="BA72" i="4"/>
  <c r="BA71" i="4"/>
  <c r="D91" i="4"/>
  <c r="BA70" i="4"/>
  <c r="D90" i="4"/>
  <c r="BA69" i="4"/>
  <c r="D89" i="4"/>
  <c r="BA68" i="4"/>
  <c r="BA67" i="4"/>
  <c r="BA66" i="4"/>
  <c r="D86" i="4"/>
  <c r="BA65" i="4"/>
  <c r="M102" i="4" l="1"/>
  <c r="M103" i="4" s="1"/>
  <c r="AB101" i="4"/>
  <c r="Q109" i="4"/>
  <c r="Q102" i="4"/>
  <c r="Q103" i="4" s="1"/>
  <c r="Q101" i="4"/>
  <c r="S101" i="4"/>
  <c r="S109" i="4"/>
  <c r="AG109" i="4"/>
  <c r="AG101" i="4"/>
  <c r="AG102" i="4"/>
  <c r="AG103" i="4" s="1"/>
  <c r="AZ109" i="4"/>
  <c r="AZ101" i="4"/>
  <c r="U102" i="4"/>
  <c r="U103" i="4" s="1"/>
  <c r="U101" i="4"/>
  <c r="U109" i="4"/>
  <c r="AK101" i="4"/>
  <c r="AK109" i="4"/>
  <c r="AK102" i="4"/>
  <c r="AK103" i="4" s="1"/>
  <c r="AJ101" i="4"/>
  <c r="AJ109" i="4"/>
  <c r="R109" i="4"/>
  <c r="R101" i="4"/>
  <c r="G101" i="4"/>
  <c r="G109" i="4"/>
  <c r="Y102" i="4"/>
  <c r="Y103" i="4" s="1"/>
  <c r="Y101" i="4"/>
  <c r="Y109" i="4"/>
  <c r="F101" i="4"/>
  <c r="F109" i="4"/>
  <c r="H101" i="4"/>
  <c r="H109" i="4"/>
  <c r="X101" i="4"/>
  <c r="X109" i="4"/>
  <c r="AB111" i="4"/>
  <c r="AW109" i="4"/>
  <c r="AW101" i="4"/>
  <c r="AW102" i="4"/>
  <c r="AW103" i="4" s="1"/>
  <c r="AL101" i="4"/>
  <c r="AL109" i="4"/>
  <c r="AC111" i="4"/>
  <c r="AX109" i="4"/>
  <c r="AX101" i="4"/>
  <c r="AM101" i="4"/>
  <c r="AM109" i="4"/>
  <c r="Z101" i="4"/>
  <c r="Z109" i="4"/>
  <c r="AI101" i="4"/>
  <c r="AI109" i="4"/>
  <c r="T109" i="4"/>
  <c r="T101" i="4"/>
  <c r="W101" i="4"/>
  <c r="W109" i="4"/>
  <c r="K111" i="4"/>
  <c r="I101" i="4"/>
  <c r="I102" i="4"/>
  <c r="I103" i="4" s="1"/>
  <c r="I109" i="4"/>
  <c r="AO101" i="4"/>
  <c r="AO109" i="4"/>
  <c r="AO102" i="4"/>
  <c r="AO103" i="4" s="1"/>
  <c r="AP101" i="4"/>
  <c r="AP109" i="4"/>
  <c r="N109" i="4"/>
  <c r="N101" i="4"/>
  <c r="AD109" i="4"/>
  <c r="AD101" i="4"/>
  <c r="AC102" i="4"/>
  <c r="AC103" i="4" s="1"/>
  <c r="AT109" i="4"/>
  <c r="AT101" i="4"/>
  <c r="AR111" i="4"/>
  <c r="AH109" i="4"/>
  <c r="AH101" i="4"/>
  <c r="AY109" i="4"/>
  <c r="AY101" i="4"/>
  <c r="V101" i="4"/>
  <c r="V109" i="4"/>
  <c r="AN101" i="4"/>
  <c r="AN109" i="4"/>
  <c r="O109" i="4"/>
  <c r="O101" i="4"/>
  <c r="AE109" i="4"/>
  <c r="AE101" i="4"/>
  <c r="AU109" i="4"/>
  <c r="AU101" i="4"/>
  <c r="AS111" i="4"/>
  <c r="J101" i="4"/>
  <c r="J109" i="4"/>
  <c r="P109" i="4"/>
  <c r="P101" i="4"/>
  <c r="AF109" i="4"/>
  <c r="AF101" i="4"/>
  <c r="AV109" i="4"/>
  <c r="AV101" i="4"/>
  <c r="M101" i="4"/>
  <c r="AC101" i="4"/>
  <c r="AS101" i="4"/>
  <c r="AS102" i="4"/>
  <c r="AS103" i="4" s="1"/>
  <c r="K101" i="4"/>
  <c r="AR101" i="4"/>
  <c r="AA109" i="4"/>
  <c r="AQ109" i="4"/>
  <c r="L109" i="4"/>
  <c r="D88" i="4"/>
  <c r="E100" i="4"/>
  <c r="M109" i="4"/>
  <c r="AC113" i="4" l="1"/>
  <c r="AP111" i="4"/>
  <c r="Z111" i="4"/>
  <c r="AO113" i="4"/>
  <c r="AO111" i="4"/>
  <c r="J111" i="4"/>
  <c r="AK113" i="4"/>
  <c r="AK111" i="4"/>
  <c r="V111" i="4"/>
  <c r="H111" i="4"/>
  <c r="P111" i="4"/>
  <c r="F111" i="4"/>
  <c r="AG111" i="4"/>
  <c r="AG113" i="4"/>
  <c r="AV111" i="4"/>
  <c r="X111" i="4"/>
  <c r="M111" i="4"/>
  <c r="M113" i="4"/>
  <c r="U113" i="4"/>
  <c r="U111" i="4"/>
  <c r="AX111" i="4"/>
  <c r="AZ111" i="4"/>
  <c r="AA111" i="4"/>
  <c r="AT111" i="4"/>
  <c r="W111" i="4"/>
  <c r="S111" i="4"/>
  <c r="N111" i="4"/>
  <c r="AY111" i="4"/>
  <c r="G111" i="4"/>
  <c r="AU111" i="4"/>
  <c r="E102" i="4"/>
  <c r="E103" i="4" s="1"/>
  <c r="E101" i="4"/>
  <c r="E109" i="4"/>
  <c r="AF111" i="4"/>
  <c r="AN111" i="4"/>
  <c r="AM111" i="4"/>
  <c r="L111" i="4"/>
  <c r="I111" i="4"/>
  <c r="I113" i="4"/>
  <c r="AQ111" i="4"/>
  <c r="AH111" i="4"/>
  <c r="Y113" i="4"/>
  <c r="Y111" i="4"/>
  <c r="AS113" i="4"/>
  <c r="AL111" i="4"/>
  <c r="AE111" i="4"/>
  <c r="R111" i="4"/>
  <c r="AD111" i="4"/>
  <c r="T111" i="4"/>
  <c r="AW113" i="4"/>
  <c r="AW111" i="4"/>
  <c r="AJ111" i="4"/>
  <c r="O111" i="4"/>
  <c r="AI111" i="4"/>
  <c r="Q111" i="4"/>
  <c r="Q113" i="4"/>
  <c r="E113" i="4" l="1"/>
  <c r="E112" i="4"/>
  <c r="E111" i="4"/>
  <c r="BA111" i="4" s="1"/>
  <c r="E110" i="4"/>
  <c r="F110" i="4" s="1"/>
  <c r="G110" i="4" s="1"/>
  <c r="H110" i="4" s="1"/>
  <c r="I110" i="4" s="1"/>
  <c r="J110" i="4" s="1"/>
  <c r="K110" i="4" s="1"/>
  <c r="L110" i="4" s="1"/>
  <c r="M110" i="4" s="1"/>
  <c r="N110" i="4" s="1"/>
  <c r="O110" i="4" s="1"/>
  <c r="P110" i="4" s="1"/>
  <c r="Q110" i="4" s="1"/>
  <c r="R110" i="4" s="1"/>
  <c r="S110" i="4" s="1"/>
  <c r="T110" i="4" s="1"/>
  <c r="U110" i="4" s="1"/>
  <c r="V110" i="4" s="1"/>
  <c r="W110" i="4" s="1"/>
  <c r="X110" i="4" s="1"/>
  <c r="Y110" i="4" s="1"/>
  <c r="Z110" i="4" s="1"/>
  <c r="AA110" i="4" s="1"/>
  <c r="AB110" i="4" s="1"/>
  <c r="AC110" i="4" s="1"/>
  <c r="AD110" i="4" s="1"/>
  <c r="AE110" i="4" s="1"/>
  <c r="AF110" i="4" s="1"/>
  <c r="AG110" i="4" s="1"/>
  <c r="AH110" i="4" s="1"/>
  <c r="AI110" i="4" s="1"/>
  <c r="AJ110" i="4" s="1"/>
  <c r="AK110" i="4" s="1"/>
  <c r="AL110" i="4" s="1"/>
  <c r="AM110" i="4" s="1"/>
  <c r="AN110" i="4" s="1"/>
  <c r="AO110" i="4" s="1"/>
  <c r="AP110" i="4" s="1"/>
  <c r="AQ110" i="4" s="1"/>
  <c r="AR110" i="4" s="1"/>
  <c r="AS110" i="4" s="1"/>
  <c r="AT110" i="4" s="1"/>
  <c r="AU110" i="4" s="1"/>
  <c r="AV110" i="4" s="1"/>
  <c r="AW110" i="4" s="1"/>
  <c r="AX110" i="4" s="1"/>
  <c r="AY110" i="4" s="1"/>
  <c r="AZ110" i="4" s="1"/>
  <c r="BA109" i="4"/>
  <c r="F112" i="4"/>
  <c r="G112" i="4" s="1"/>
  <c r="H112" i="4" s="1"/>
  <c r="I112" i="4" s="1"/>
  <c r="J112" i="4" s="1"/>
  <c r="K112" i="4" s="1"/>
  <c r="L112" i="4" s="1"/>
  <c r="M112" i="4" s="1"/>
  <c r="N112" i="4" s="1"/>
  <c r="O112" i="4" s="1"/>
  <c r="P112" i="4" s="1"/>
  <c r="Q112" i="4" s="1"/>
  <c r="R112" i="4" s="1"/>
  <c r="S112" i="4" s="1"/>
  <c r="T112" i="4" s="1"/>
  <c r="U112" i="4" s="1"/>
  <c r="V112" i="4" s="1"/>
  <c r="W112" i="4" s="1"/>
  <c r="X112" i="4" s="1"/>
  <c r="Y112" i="4" s="1"/>
  <c r="Z112" i="4" s="1"/>
  <c r="AA112" i="4" s="1"/>
  <c r="AB112" i="4" s="1"/>
  <c r="AC112" i="4" s="1"/>
  <c r="AD112" i="4" s="1"/>
  <c r="AE112" i="4" s="1"/>
  <c r="AF112" i="4" s="1"/>
  <c r="AG112" i="4" s="1"/>
  <c r="AH112" i="4" s="1"/>
  <c r="AI112" i="4" s="1"/>
  <c r="AJ112" i="4" s="1"/>
  <c r="AK112" i="4" s="1"/>
  <c r="AL112" i="4" s="1"/>
  <c r="AM112" i="4" s="1"/>
  <c r="AN112" i="4" s="1"/>
  <c r="AO112" i="4" s="1"/>
  <c r="AP112" i="4" s="1"/>
  <c r="AQ112" i="4" s="1"/>
  <c r="AR112" i="4" s="1"/>
  <c r="AS112" i="4" s="1"/>
  <c r="AT112" i="4" s="1"/>
  <c r="AU112" i="4" s="1"/>
  <c r="AV112" i="4" s="1"/>
  <c r="AW112" i="4" s="1"/>
  <c r="AX112" i="4" s="1"/>
  <c r="AY112" i="4" s="1"/>
  <c r="AZ112" i="4" s="1"/>
  <c r="AM12" i="4" l="1"/>
  <c r="AO12" i="4" s="1"/>
  <c r="AM13" i="4"/>
  <c r="AO13" i="4" s="1"/>
  <c r="AM14" i="4"/>
  <c r="AO14" i="4" s="1"/>
  <c r="AM16" i="4"/>
  <c r="AO16" i="4" s="1"/>
  <c r="AM17" i="4"/>
  <c r="AO17" i="4" s="1"/>
  <c r="AM19" i="4"/>
  <c r="AO19" i="4" s="1"/>
  <c r="AM20" i="4"/>
  <c r="AO20" i="4" s="1"/>
  <c r="AM21" i="4"/>
  <c r="AO21" i="4" s="1"/>
  <c r="AM22" i="4"/>
  <c r="AO22" i="4" s="1"/>
  <c r="AM23" i="4"/>
  <c r="AO23" i="4" s="1"/>
  <c r="AM25" i="4"/>
  <c r="AO25" i="4" s="1"/>
  <c r="AM26" i="4"/>
  <c r="AO26" i="4" s="1"/>
  <c r="AM27" i="4"/>
  <c r="AO27" i="4" s="1"/>
  <c r="AM30" i="4"/>
  <c r="AO30" i="4" s="1"/>
  <c r="AM31" i="4"/>
  <c r="AO31" i="4" s="1"/>
  <c r="AM32" i="4"/>
  <c r="AO32" i="4" s="1"/>
  <c r="AM33" i="4"/>
  <c r="AO33" i="4" s="1"/>
  <c r="AM35" i="4"/>
  <c r="AO35" i="4" s="1"/>
  <c r="AM36" i="4"/>
  <c r="AO36" i="4" s="1"/>
  <c r="AM37" i="4"/>
  <c r="AO37" i="4" s="1"/>
  <c r="AM45" i="4"/>
  <c r="AO45" i="4" s="1"/>
  <c r="L17" i="9"/>
  <c r="L18" i="9"/>
  <c r="L21" i="9"/>
  <c r="L22" i="9"/>
  <c r="L25" i="9"/>
  <c r="L26" i="9"/>
  <c r="L29" i="9"/>
  <c r="L30" i="9"/>
  <c r="L33" i="9"/>
  <c r="L34" i="9"/>
  <c r="L35" i="9"/>
  <c r="L36" i="9"/>
  <c r="L37" i="9"/>
  <c r="L38" i="9"/>
  <c r="L39" i="9"/>
  <c r="L40" i="9"/>
  <c r="L41" i="9"/>
  <c r="L42" i="9"/>
  <c r="L43" i="9"/>
  <c r="L44" i="9"/>
  <c r="L47" i="9"/>
  <c r="L48" i="9"/>
  <c r="L49" i="9"/>
  <c r="L52" i="9"/>
  <c r="L55" i="9"/>
  <c r="L56" i="9"/>
  <c r="L57" i="9"/>
  <c r="L58" i="9"/>
  <c r="L59" i="9"/>
  <c r="L60" i="9"/>
  <c r="L61" i="9"/>
  <c r="L62" i="9"/>
  <c r="L63" i="9"/>
  <c r="L64" i="9"/>
  <c r="L65" i="9"/>
  <c r="L66" i="9"/>
  <c r="L67" i="9"/>
  <c r="L68" i="9"/>
  <c r="L69" i="9"/>
  <c r="L70" i="9"/>
  <c r="L71" i="9"/>
  <c r="L72" i="9"/>
  <c r="L73" i="9"/>
  <c r="L74" i="9"/>
  <c r="L75" i="9"/>
  <c r="L76" i="9"/>
  <c r="L77" i="9"/>
  <c r="L83" i="9"/>
  <c r="L84" i="9"/>
  <c r="L85" i="9"/>
  <c r="L86" i="9"/>
  <c r="L87" i="9"/>
  <c r="L88" i="9"/>
  <c r="L89" i="9"/>
  <c r="L90" i="9"/>
  <c r="L91" i="9"/>
  <c r="L92" i="9"/>
  <c r="L95" i="9"/>
  <c r="L98" i="9"/>
  <c r="L99" i="9"/>
  <c r="L100" i="9"/>
  <c r="L103" i="9"/>
  <c r="L104" i="9"/>
  <c r="L105" i="9"/>
  <c r="L106" i="9"/>
  <c r="L107" i="9"/>
  <c r="L108" i="9"/>
  <c r="L109" i="9"/>
  <c r="L110" i="9"/>
  <c r="L114" i="9"/>
  <c r="L115" i="9"/>
  <c r="L116" i="9"/>
  <c r="L117" i="9"/>
  <c r="L118" i="9"/>
  <c r="L119" i="9"/>
  <c r="L120" i="9"/>
  <c r="L121" i="9"/>
  <c r="L122" i="9"/>
  <c r="L127" i="9"/>
  <c r="L128" i="9"/>
  <c r="L129" i="9"/>
  <c r="L130" i="9"/>
  <c r="L131" i="9"/>
  <c r="L132" i="9"/>
  <c r="L135" i="9"/>
  <c r="L136" i="9"/>
  <c r="L137" i="9"/>
  <c r="L138" i="9"/>
  <c r="L139" i="9"/>
  <c r="L140" i="9"/>
  <c r="L143" i="9"/>
  <c r="L144" i="9"/>
  <c r="L147" i="9"/>
  <c r="L148" i="9"/>
  <c r="L149" i="9"/>
  <c r="L150" i="9"/>
  <c r="L151" i="9"/>
  <c r="L152" i="9"/>
  <c r="L153" i="9"/>
  <c r="L154" i="9"/>
  <c r="L155" i="9"/>
  <c r="L156" i="9"/>
  <c r="L157" i="9"/>
  <c r="L158" i="9"/>
  <c r="L159" i="9"/>
  <c r="L160" i="9"/>
  <c r="L164" i="9"/>
  <c r="L165" i="9"/>
  <c r="L166" i="9"/>
  <c r="L167" i="9"/>
  <c r="L168" i="9"/>
  <c r="L169" i="9"/>
  <c r="L170" i="9"/>
  <c r="L171" i="9"/>
  <c r="L172" i="9"/>
  <c r="L173" i="9"/>
  <c r="L174" i="9"/>
  <c r="L175" i="9"/>
  <c r="L176" i="9"/>
  <c r="L177" i="9"/>
  <c r="L178" i="9"/>
  <c r="L13" i="9"/>
  <c r="L14" i="9"/>
  <c r="L12" i="9"/>
  <c r="H274" i="53" l="1"/>
  <c r="G274" i="53"/>
  <c r="E274" i="53"/>
  <c r="B274" i="53"/>
  <c r="H273" i="53"/>
  <c r="G273" i="53"/>
  <c r="E273" i="53"/>
  <c r="B273" i="53"/>
  <c r="H268" i="53"/>
  <c r="G268" i="53"/>
  <c r="E268" i="53"/>
  <c r="B268" i="53"/>
  <c r="H267" i="53"/>
  <c r="G267" i="53"/>
  <c r="E267" i="53"/>
  <c r="B267" i="53"/>
  <c r="H266" i="53"/>
  <c r="G266" i="53"/>
  <c r="E266" i="53"/>
  <c r="B266" i="53"/>
  <c r="H265" i="53"/>
  <c r="G265" i="53"/>
  <c r="E265" i="53"/>
  <c r="B265" i="53"/>
  <c r="H264" i="53"/>
  <c r="G264" i="53"/>
  <c r="E264" i="53"/>
  <c r="B264" i="53"/>
  <c r="H263" i="53"/>
  <c r="G263" i="53"/>
  <c r="E263" i="53"/>
  <c r="B263" i="53"/>
  <c r="H262" i="53"/>
  <c r="G262" i="53"/>
  <c r="E262" i="53"/>
  <c r="B262" i="53"/>
  <c r="F260" i="53"/>
  <c r="F261" i="53" s="1"/>
  <c r="F259" i="53"/>
  <c r="H256" i="53"/>
  <c r="G256" i="53"/>
  <c r="E256" i="53"/>
  <c r="B256" i="53"/>
  <c r="J250" i="53"/>
  <c r="H249" i="53"/>
  <c r="F249" i="53"/>
  <c r="E249" i="53"/>
  <c r="B249" i="53"/>
  <c r="H248" i="53"/>
  <c r="F248" i="53"/>
  <c r="E248" i="53"/>
  <c r="B248" i="53"/>
  <c r="H247" i="53"/>
  <c r="F247" i="53"/>
  <c r="E247" i="53"/>
  <c r="B247" i="53"/>
  <c r="J246" i="53"/>
  <c r="G245" i="53"/>
  <c r="G246" i="53"/>
  <c r="K244" i="53"/>
  <c r="H243" i="53"/>
  <c r="G243" i="53"/>
  <c r="F243" i="53"/>
  <c r="E243" i="53"/>
  <c r="B243" i="53"/>
  <c r="H239" i="53"/>
  <c r="F239" i="53"/>
  <c r="E239" i="53"/>
  <c r="B239" i="53"/>
  <c r="H238" i="53"/>
  <c r="F238" i="53"/>
  <c r="E238" i="53"/>
  <c r="B238" i="53"/>
  <c r="H237" i="53"/>
  <c r="F237" i="53"/>
  <c r="E237" i="53"/>
  <c r="B237" i="53"/>
  <c r="H236" i="53"/>
  <c r="F236" i="53"/>
  <c r="E236" i="53"/>
  <c r="B236" i="53"/>
  <c r="H235" i="53"/>
  <c r="F235" i="53"/>
  <c r="E235" i="53"/>
  <c r="B235" i="53"/>
  <c r="N225" i="53"/>
  <c r="M225" i="53"/>
  <c r="L225" i="53"/>
  <c r="D225" i="53"/>
  <c r="D47" i="9"/>
  <c r="D49" i="9"/>
  <c r="D48" i="9"/>
  <c r="K1028" i="51"/>
  <c r="D115" i="9"/>
  <c r="D114" i="9"/>
  <c r="F86" i="18"/>
  <c r="F85" i="18"/>
  <c r="F30" i="18"/>
  <c r="F29" i="18"/>
  <c r="F35" i="53"/>
  <c r="F91" i="53"/>
  <c r="F147" i="53"/>
  <c r="F203" i="53"/>
  <c r="F205" i="53" s="1"/>
  <c r="F204" i="53"/>
  <c r="F148" i="53"/>
  <c r="F92" i="53"/>
  <c r="F93" i="53"/>
  <c r="F36" i="53"/>
  <c r="D65" i="9"/>
  <c r="J160" i="9"/>
  <c r="E160" i="9" s="1"/>
  <c r="F160" i="9" s="1"/>
  <c r="E178" i="9"/>
  <c r="F178" i="9" s="1"/>
  <c r="E159" i="9"/>
  <c r="F159" i="9"/>
  <c r="F869" i="19"/>
  <c r="F870" i="19" s="1"/>
  <c r="F813" i="19"/>
  <c r="F757" i="19"/>
  <c r="F929" i="51"/>
  <c r="F931" i="51" s="1"/>
  <c r="F368" i="19"/>
  <c r="F256" i="19"/>
  <c r="F141" i="19"/>
  <c r="F143" i="19" s="1"/>
  <c r="F29" i="19"/>
  <c r="K412" i="51"/>
  <c r="K356" i="51"/>
  <c r="K300" i="51"/>
  <c r="K244" i="51"/>
  <c r="K188" i="51"/>
  <c r="K194" i="51" s="1"/>
  <c r="K132" i="51"/>
  <c r="K20" i="51"/>
  <c r="K76" i="51"/>
  <c r="F33" i="51"/>
  <c r="D92" i="9"/>
  <c r="E92" i="9"/>
  <c r="E110" i="9"/>
  <c r="D110" i="9"/>
  <c r="F110" i="9" s="1"/>
  <c r="D109" i="9"/>
  <c r="E109" i="9"/>
  <c r="E108" i="9"/>
  <c r="F1317" i="19"/>
  <c r="F1041" i="51"/>
  <c r="F1044" i="51" s="1"/>
  <c r="K1038" i="51"/>
  <c r="H1058" i="51"/>
  <c r="G1058" i="51"/>
  <c r="E1058" i="51"/>
  <c r="B1058" i="51"/>
  <c r="H1057" i="51"/>
  <c r="G1057" i="51"/>
  <c r="E1057" i="51"/>
  <c r="B1057" i="51"/>
  <c r="H1052" i="51"/>
  <c r="G1052" i="51"/>
  <c r="E1052" i="51"/>
  <c r="B1052" i="51"/>
  <c r="H1051" i="51"/>
  <c r="G1051" i="51"/>
  <c r="E1051" i="51"/>
  <c r="B1051" i="51"/>
  <c r="H1050" i="51"/>
  <c r="G1050" i="51"/>
  <c r="E1050" i="51"/>
  <c r="B1050" i="51"/>
  <c r="K1049" i="51"/>
  <c r="K1046" i="51"/>
  <c r="H1033" i="51"/>
  <c r="F1033" i="51"/>
  <c r="E1033" i="51"/>
  <c r="B1033" i="51"/>
  <c r="H1032" i="51"/>
  <c r="F1032" i="51"/>
  <c r="E1032" i="51"/>
  <c r="B1032" i="51"/>
  <c r="G1029" i="51"/>
  <c r="G1020" i="51"/>
  <c r="H1023" i="51"/>
  <c r="F1023" i="51"/>
  <c r="E1023" i="51"/>
  <c r="B1023" i="51"/>
  <c r="H1022" i="51"/>
  <c r="F1022" i="51"/>
  <c r="E1022" i="51"/>
  <c r="B1022" i="51"/>
  <c r="H1021" i="51"/>
  <c r="F1021" i="51"/>
  <c r="E1021" i="51"/>
  <c r="B1021" i="51"/>
  <c r="G1019" i="51"/>
  <c r="N1009" i="51"/>
  <c r="M1009" i="51"/>
  <c r="L1009" i="51"/>
  <c r="K1308" i="19"/>
  <c r="G1309" i="19"/>
  <c r="K1311" i="19"/>
  <c r="K1310" i="19"/>
  <c r="F1322" i="19"/>
  <c r="K1320" i="19"/>
  <c r="K1321" i="19"/>
  <c r="K1322" i="19"/>
  <c r="F1319" i="19"/>
  <c r="F1318" i="19"/>
  <c r="H1332" i="19"/>
  <c r="G1332" i="19"/>
  <c r="E1332" i="19"/>
  <c r="B1332" i="19"/>
  <c r="H1331" i="19"/>
  <c r="G1331" i="19"/>
  <c r="E1331" i="19"/>
  <c r="B1331" i="19"/>
  <c r="H1330" i="19"/>
  <c r="G1330" i="19"/>
  <c r="E1330" i="19"/>
  <c r="B1330" i="19"/>
  <c r="H1329" i="19"/>
  <c r="G1329" i="19"/>
  <c r="E1329" i="19"/>
  <c r="B1329" i="19"/>
  <c r="H1328" i="19"/>
  <c r="G1328" i="19"/>
  <c r="E1328" i="19"/>
  <c r="B1328" i="19"/>
  <c r="H1327" i="19"/>
  <c r="G1327" i="19"/>
  <c r="E1327" i="19"/>
  <c r="B1327" i="19"/>
  <c r="H1326" i="19"/>
  <c r="G1326" i="19"/>
  <c r="E1326" i="19"/>
  <c r="B1326" i="19"/>
  <c r="F1321" i="19"/>
  <c r="H1313" i="19"/>
  <c r="F1313" i="19"/>
  <c r="E1313" i="19"/>
  <c r="B1313" i="19"/>
  <c r="H1312" i="19"/>
  <c r="F1312" i="19"/>
  <c r="E1312" i="19"/>
  <c r="B1312" i="19"/>
  <c r="D68" i="9"/>
  <c r="K1364" i="19"/>
  <c r="F1378" i="19"/>
  <c r="D67" i="9"/>
  <c r="K1366" i="19"/>
  <c r="F1376" i="19"/>
  <c r="F1375" i="19"/>
  <c r="F1374" i="19"/>
  <c r="F1373" i="19"/>
  <c r="K1373" i="19"/>
  <c r="H1394" i="19"/>
  <c r="G1394" i="19"/>
  <c r="E1394" i="19"/>
  <c r="B1394" i="19"/>
  <c r="H1393" i="19"/>
  <c r="G1393" i="19"/>
  <c r="E1393" i="19"/>
  <c r="B1393" i="19"/>
  <c r="H1388" i="19"/>
  <c r="G1388" i="19"/>
  <c r="E1388" i="19"/>
  <c r="B1388" i="19"/>
  <c r="H1387" i="19"/>
  <c r="G1387" i="19"/>
  <c r="E1387" i="19"/>
  <c r="B1387" i="19"/>
  <c r="H1386" i="19"/>
  <c r="G1386" i="19"/>
  <c r="E1386" i="19"/>
  <c r="B1386" i="19"/>
  <c r="H1385" i="19"/>
  <c r="G1385" i="19"/>
  <c r="E1385" i="19"/>
  <c r="B1385" i="19"/>
  <c r="H1384" i="19"/>
  <c r="G1384" i="19"/>
  <c r="E1384" i="19"/>
  <c r="B1384" i="19"/>
  <c r="H1383" i="19"/>
  <c r="G1383" i="19"/>
  <c r="E1383" i="19"/>
  <c r="B1383" i="19"/>
  <c r="H1382" i="19"/>
  <c r="G1382" i="19"/>
  <c r="E1382" i="19"/>
  <c r="B1382" i="19"/>
  <c r="K1377" i="19"/>
  <c r="K1376" i="19"/>
  <c r="H1369" i="19"/>
  <c r="F1369" i="19"/>
  <c r="E1369" i="19"/>
  <c r="B1369" i="19"/>
  <c r="H1368" i="19"/>
  <c r="F1368" i="19"/>
  <c r="E1368" i="19"/>
  <c r="B1368" i="19"/>
  <c r="G1365" i="19"/>
  <c r="H1359" i="19"/>
  <c r="F1359" i="19"/>
  <c r="E1359" i="19"/>
  <c r="B1359" i="19"/>
  <c r="H1358" i="19"/>
  <c r="F1358" i="19"/>
  <c r="E1358" i="19"/>
  <c r="B1358" i="19"/>
  <c r="H1357" i="19"/>
  <c r="F1357" i="19"/>
  <c r="E1357" i="19"/>
  <c r="B1357" i="19"/>
  <c r="H1356" i="19"/>
  <c r="F1356" i="19"/>
  <c r="E1356" i="19"/>
  <c r="B1356" i="19"/>
  <c r="H1355" i="19"/>
  <c r="F1355" i="19"/>
  <c r="E1355" i="19"/>
  <c r="B1355" i="19"/>
  <c r="N1345" i="19"/>
  <c r="M1345" i="19"/>
  <c r="L1345" i="19"/>
  <c r="B47" i="4"/>
  <c r="AI47" i="4" s="1"/>
  <c r="D178" i="9"/>
  <c r="D175" i="9"/>
  <c r="D173" i="9"/>
  <c r="D174" i="9"/>
  <c r="E168" i="9"/>
  <c r="F168" i="9" s="1"/>
  <c r="E167" i="9"/>
  <c r="F167" i="9" s="1"/>
  <c r="E169" i="9"/>
  <c r="F169" i="9"/>
  <c r="D165" i="9"/>
  <c r="E166" i="9"/>
  <c r="F166" i="9"/>
  <c r="L326" i="10"/>
  <c r="L324" i="10"/>
  <c r="K326" i="10"/>
  <c r="K325" i="10"/>
  <c r="K324" i="10"/>
  <c r="J326" i="10"/>
  <c r="J325" i="10"/>
  <c r="J324" i="10"/>
  <c r="I326" i="10"/>
  <c r="I325" i="10"/>
  <c r="I324" i="10"/>
  <c r="H327" i="10"/>
  <c r="G327" i="10"/>
  <c r="C327" i="10" s="1"/>
  <c r="H326" i="10"/>
  <c r="H325" i="10"/>
  <c r="H324" i="10"/>
  <c r="J322" i="10"/>
  <c r="H322" i="10"/>
  <c r="G322" i="10"/>
  <c r="I321" i="10"/>
  <c r="G321" i="10" s="1"/>
  <c r="C321" i="10" s="1"/>
  <c r="H321" i="10"/>
  <c r="M320" i="10"/>
  <c r="I320" i="10"/>
  <c r="L319" i="10"/>
  <c r="K319" i="10"/>
  <c r="J319" i="10"/>
  <c r="I319" i="10"/>
  <c r="H318" i="10"/>
  <c r="G318" i="10" s="1"/>
  <c r="C318" i="10" s="1"/>
  <c r="K321" i="10"/>
  <c r="J321" i="10"/>
  <c r="D317" i="10"/>
  <c r="E128" i="9"/>
  <c r="D100" i="9"/>
  <c r="E100" i="9"/>
  <c r="D18" i="9"/>
  <c r="D17" i="9"/>
  <c r="D120" i="9"/>
  <c r="D119" i="9"/>
  <c r="D34" i="9"/>
  <c r="E40" i="10"/>
  <c r="E30" i="10"/>
  <c r="D33" i="9"/>
  <c r="D26" i="9" s="1"/>
  <c r="I25" i="10"/>
  <c r="J25" i="10"/>
  <c r="K25" i="10"/>
  <c r="H25" i="10"/>
  <c r="G25" i="10" s="1"/>
  <c r="C25" i="10" s="1"/>
  <c r="D116" i="9"/>
  <c r="E113" i="9"/>
  <c r="F113" i="9" s="1"/>
  <c r="D113" i="9"/>
  <c r="G64" i="10"/>
  <c r="C64" i="10" s="1"/>
  <c r="D77" i="9"/>
  <c r="I54" i="10"/>
  <c r="H54" i="10"/>
  <c r="G54" i="10"/>
  <c r="J53" i="10"/>
  <c r="I53" i="10"/>
  <c r="H53" i="10"/>
  <c r="G53" i="10"/>
  <c r="D83" i="9"/>
  <c r="D85" i="9"/>
  <c r="D25" i="9"/>
  <c r="D23" i="10"/>
  <c r="E23" i="10"/>
  <c r="D29" i="9"/>
  <c r="D30" i="9"/>
  <c r="D63" i="9"/>
  <c r="D62" i="9"/>
  <c r="D84" i="9"/>
  <c r="E66" i="10"/>
  <c r="H66" i="10"/>
  <c r="D50" i="10"/>
  <c r="B311" i="10"/>
  <c r="B308" i="10"/>
  <c r="B309" i="10"/>
  <c r="G311" i="10"/>
  <c r="E311" i="10"/>
  <c r="D311" i="10"/>
  <c r="G309" i="10"/>
  <c r="E309" i="10"/>
  <c r="C309" i="10"/>
  <c r="G308" i="10"/>
  <c r="E308" i="10"/>
  <c r="D308" i="10"/>
  <c r="C308" i="10"/>
  <c r="D64" i="9"/>
  <c r="D151" i="10"/>
  <c r="D152" i="10"/>
  <c r="D150" i="10"/>
  <c r="D142" i="10"/>
  <c r="D141" i="10"/>
  <c r="E78" i="10"/>
  <c r="D101" i="10"/>
  <c r="D58" i="9"/>
  <c r="D57" i="9"/>
  <c r="E77" i="10"/>
  <c r="D161" i="10"/>
  <c r="M164" i="10"/>
  <c r="D135" i="9"/>
  <c r="D106" i="9"/>
  <c r="D105" i="9"/>
  <c r="H171" i="10"/>
  <c r="G171" i="10"/>
  <c r="C171" i="10"/>
  <c r="K169" i="10"/>
  <c r="J169" i="10"/>
  <c r="I169" i="10"/>
  <c r="H169" i="10"/>
  <c r="L170" i="10"/>
  <c r="K170" i="10"/>
  <c r="J170" i="10"/>
  <c r="I170" i="10"/>
  <c r="H170" i="10"/>
  <c r="L168" i="10"/>
  <c r="K168" i="10"/>
  <c r="J168" i="10"/>
  <c r="I168" i="10"/>
  <c r="H168" i="10"/>
  <c r="I163" i="10"/>
  <c r="K165" i="10"/>
  <c r="J165" i="10"/>
  <c r="I165" i="10"/>
  <c r="G165" i="10" s="1"/>
  <c r="C165" i="10" s="1"/>
  <c r="H165" i="10"/>
  <c r="K163" i="10"/>
  <c r="J166" i="10"/>
  <c r="L163" i="10"/>
  <c r="J163" i="10"/>
  <c r="H166" i="10"/>
  <c r="I164" i="10"/>
  <c r="G164" i="10" s="1"/>
  <c r="C164" i="10" s="1"/>
  <c r="H162" i="10"/>
  <c r="D95" i="9"/>
  <c r="D71" i="9"/>
  <c r="D70" i="9"/>
  <c r="D69" i="9"/>
  <c r="D88" i="9"/>
  <c r="D87" i="9"/>
  <c r="I227" i="10"/>
  <c r="G227" i="10"/>
  <c r="C227" i="10" s="1"/>
  <c r="B225" i="10" s="1"/>
  <c r="D89" i="9"/>
  <c r="D90" i="9"/>
  <c r="K219" i="10"/>
  <c r="G219" i="10" s="1"/>
  <c r="C219" i="10"/>
  <c r="G208" i="10"/>
  <c r="C208" i="10" s="1"/>
  <c r="G209" i="10"/>
  <c r="C209" i="10" s="1"/>
  <c r="D139" i="9"/>
  <c r="D143" i="9"/>
  <c r="E157" i="9"/>
  <c r="F157" i="9"/>
  <c r="E153" i="9"/>
  <c r="F153" i="9" s="1"/>
  <c r="E148" i="9"/>
  <c r="F148" i="9"/>
  <c r="D137" i="9"/>
  <c r="D136" i="9"/>
  <c r="D129" i="9"/>
  <c r="D132" i="9"/>
  <c r="D130" i="9"/>
  <c r="F130" i="9" s="1"/>
  <c r="D127" i="9"/>
  <c r="D128" i="9"/>
  <c r="G110" i="10"/>
  <c r="K22" i="51"/>
  <c r="K748" i="51"/>
  <c r="K751" i="51"/>
  <c r="K601" i="51"/>
  <c r="D212" i="5"/>
  <c r="K598" i="51"/>
  <c r="K415" i="51"/>
  <c r="K421" i="51"/>
  <c r="K359" i="51"/>
  <c r="K309" i="51"/>
  <c r="K303" i="51"/>
  <c r="K253" i="51"/>
  <c r="F253" i="51"/>
  <c r="K191" i="51"/>
  <c r="K135" i="51"/>
  <c r="K79" i="51"/>
  <c r="K23" i="51"/>
  <c r="K26" i="51"/>
  <c r="F5" i="7"/>
  <c r="F6" i="7"/>
  <c r="F7" i="7"/>
  <c r="F8" i="7"/>
  <c r="F9" i="7"/>
  <c r="F11" i="7"/>
  <c r="F12" i="7"/>
  <c r="F14" i="7"/>
  <c r="F16" i="7"/>
  <c r="F18" i="7"/>
  <c r="F19" i="7"/>
  <c r="F20" i="7"/>
  <c r="F21" i="7"/>
  <c r="F22" i="7"/>
  <c r="F3" i="7"/>
  <c r="E62" i="10"/>
  <c r="E60" i="10"/>
  <c r="E61" i="10"/>
  <c r="C61" i="10"/>
  <c r="G62" i="10"/>
  <c r="G61" i="10"/>
  <c r="E58" i="10"/>
  <c r="C58" i="10" s="1"/>
  <c r="B50" i="10"/>
  <c r="E50" i="10"/>
  <c r="C50" i="10" s="1"/>
  <c r="B48" i="10"/>
  <c r="B47" i="10"/>
  <c r="D47" i="10"/>
  <c r="E48" i="10"/>
  <c r="C48" i="10"/>
  <c r="E47" i="10"/>
  <c r="E39" i="10"/>
  <c r="L319" i="51"/>
  <c r="K319" i="51"/>
  <c r="K318" i="51"/>
  <c r="F262" i="51"/>
  <c r="L264" i="51"/>
  <c r="K264" i="51"/>
  <c r="K263" i="51"/>
  <c r="K262" i="51"/>
  <c r="K265" i="51" s="1"/>
  <c r="K266" i="51" s="1"/>
  <c r="D467" i="10"/>
  <c r="F467" i="10"/>
  <c r="E467" i="10"/>
  <c r="F470" i="10"/>
  <c r="E470" i="10"/>
  <c r="G469" i="10"/>
  <c r="F469" i="10"/>
  <c r="E469" i="10"/>
  <c r="G464" i="10"/>
  <c r="F464" i="10"/>
  <c r="E464" i="10"/>
  <c r="H465" i="10"/>
  <c r="G465" i="10" s="1"/>
  <c r="F463" i="10"/>
  <c r="F466" i="10"/>
  <c r="E465" i="10"/>
  <c r="E463" i="10"/>
  <c r="E466" i="10"/>
  <c r="H993" i="51"/>
  <c r="K985" i="51"/>
  <c r="K984" i="51"/>
  <c r="K983" i="51"/>
  <c r="F984" i="51"/>
  <c r="F983" i="51"/>
  <c r="F982" i="51"/>
  <c r="F981" i="51"/>
  <c r="K981" i="51"/>
  <c r="F992" i="51"/>
  <c r="K982" i="51"/>
  <c r="H1002" i="51"/>
  <c r="G1002" i="51"/>
  <c r="E1002" i="51"/>
  <c r="B1002" i="51"/>
  <c r="H1001" i="51"/>
  <c r="G1001" i="51"/>
  <c r="E1001" i="51"/>
  <c r="B1001" i="51"/>
  <c r="H996" i="51"/>
  <c r="G996" i="51"/>
  <c r="E996" i="51"/>
  <c r="B996" i="51"/>
  <c r="H995" i="51"/>
  <c r="G995" i="51"/>
  <c r="E995" i="51"/>
  <c r="B995" i="51"/>
  <c r="H994" i="51"/>
  <c r="G994" i="51"/>
  <c r="E994" i="51"/>
  <c r="B994" i="51"/>
  <c r="K990" i="51"/>
  <c r="F990" i="51"/>
  <c r="G988" i="51"/>
  <c r="E988" i="51"/>
  <c r="B988" i="51"/>
  <c r="G987" i="51"/>
  <c r="E987" i="51"/>
  <c r="B987" i="51"/>
  <c r="G986" i="51"/>
  <c r="E986" i="51"/>
  <c r="B986" i="51"/>
  <c r="G985" i="51"/>
  <c r="H985" i="51"/>
  <c r="F985" i="51"/>
  <c r="F986" i="51"/>
  <c r="E985" i="51"/>
  <c r="B985" i="51"/>
  <c r="H977" i="51"/>
  <c r="F977" i="51"/>
  <c r="E977" i="51"/>
  <c r="B977" i="51"/>
  <c r="H976" i="51"/>
  <c r="F976" i="51"/>
  <c r="E976" i="51"/>
  <c r="B976" i="51"/>
  <c r="G973" i="51"/>
  <c r="H967" i="51"/>
  <c r="F967" i="51"/>
  <c r="E967" i="51"/>
  <c r="B967" i="51"/>
  <c r="H966" i="51"/>
  <c r="F966" i="51"/>
  <c r="E966" i="51"/>
  <c r="B966" i="51"/>
  <c r="H965" i="51"/>
  <c r="F965" i="51"/>
  <c r="E965" i="51"/>
  <c r="B965" i="51"/>
  <c r="G963" i="51"/>
  <c r="H963" i="51"/>
  <c r="F963" i="51"/>
  <c r="E963" i="51"/>
  <c r="B963" i="51"/>
  <c r="N953" i="51"/>
  <c r="M953" i="51"/>
  <c r="L953" i="51"/>
  <c r="G65" i="10"/>
  <c r="C65" i="10"/>
  <c r="G69" i="10"/>
  <c r="G50" i="10"/>
  <c r="E33" i="10"/>
  <c r="G30" i="10"/>
  <c r="C30" i="10"/>
  <c r="I21" i="10"/>
  <c r="G21" i="10"/>
  <c r="C21" i="10" s="1"/>
  <c r="H21" i="10"/>
  <c r="L20" i="10"/>
  <c r="K20" i="10"/>
  <c r="J20" i="10"/>
  <c r="I20" i="10"/>
  <c r="H20" i="10"/>
  <c r="G26" i="10"/>
  <c r="G32" i="10"/>
  <c r="C32" i="10"/>
  <c r="E32" i="10"/>
  <c r="G29" i="10"/>
  <c r="G28" i="10"/>
  <c r="G27" i="10"/>
  <c r="C27" i="10" s="1"/>
  <c r="E29" i="10"/>
  <c r="C29" i="10" s="1"/>
  <c r="E28" i="10"/>
  <c r="C28" i="10" s="1"/>
  <c r="E27" i="10"/>
  <c r="E26" i="10"/>
  <c r="C26" i="10"/>
  <c r="E25" i="10"/>
  <c r="G33" i="10"/>
  <c r="G31" i="10"/>
  <c r="E31" i="10"/>
  <c r="C31" i="10" s="1"/>
  <c r="B2" i="10" s="1"/>
  <c r="G24" i="10"/>
  <c r="G23" i="10"/>
  <c r="G22" i="10"/>
  <c r="G43" i="10"/>
  <c r="E43" i="10"/>
  <c r="G42" i="10"/>
  <c r="C42" i="10" s="1"/>
  <c r="E42" i="10"/>
  <c r="F253" i="17"/>
  <c r="H255" i="17"/>
  <c r="K253" i="17"/>
  <c r="H274" i="17"/>
  <c r="G274" i="17"/>
  <c r="E274" i="17"/>
  <c r="B274" i="17"/>
  <c r="H273" i="17"/>
  <c r="G273" i="17"/>
  <c r="E273" i="17"/>
  <c r="B273" i="17"/>
  <c r="H268" i="17"/>
  <c r="G268" i="17"/>
  <c r="E268" i="17"/>
  <c r="B268" i="17"/>
  <c r="H267" i="17"/>
  <c r="G267" i="17"/>
  <c r="E267" i="17"/>
  <c r="B267" i="17"/>
  <c r="H266" i="17"/>
  <c r="G266" i="17"/>
  <c r="E266" i="17"/>
  <c r="B266" i="17"/>
  <c r="H265" i="17"/>
  <c r="G265" i="17"/>
  <c r="E265" i="17"/>
  <c r="B265" i="17"/>
  <c r="H264" i="17"/>
  <c r="G264" i="17"/>
  <c r="E264" i="17"/>
  <c r="B264" i="17"/>
  <c r="H263" i="17"/>
  <c r="G263" i="17"/>
  <c r="E263" i="17"/>
  <c r="B263" i="17"/>
  <c r="H262" i="17"/>
  <c r="G262" i="17"/>
  <c r="E262" i="17"/>
  <c r="B262" i="17"/>
  <c r="H261" i="17"/>
  <c r="G261" i="17"/>
  <c r="E261" i="17"/>
  <c r="B261" i="17"/>
  <c r="H260" i="17"/>
  <c r="H259" i="17"/>
  <c r="H258" i="17"/>
  <c r="H257" i="17"/>
  <c r="H256" i="17"/>
  <c r="H249" i="17"/>
  <c r="F249" i="17"/>
  <c r="E249" i="17"/>
  <c r="B249" i="17"/>
  <c r="H248" i="17"/>
  <c r="F248" i="17"/>
  <c r="E248" i="17"/>
  <c r="B248" i="17"/>
  <c r="H247" i="17"/>
  <c r="F247" i="17"/>
  <c r="E247" i="17"/>
  <c r="B247" i="17"/>
  <c r="H246" i="17"/>
  <c r="F246" i="17"/>
  <c r="E246" i="17"/>
  <c r="B246" i="17"/>
  <c r="G245" i="17"/>
  <c r="H243" i="17"/>
  <c r="G243" i="17"/>
  <c r="F243" i="17"/>
  <c r="E243" i="17"/>
  <c r="B243" i="17"/>
  <c r="H239" i="17"/>
  <c r="F239" i="17"/>
  <c r="E239" i="17"/>
  <c r="B239" i="17"/>
  <c r="H238" i="17"/>
  <c r="F238" i="17"/>
  <c r="E238" i="17"/>
  <c r="B238" i="17"/>
  <c r="H237" i="17"/>
  <c r="F237" i="17"/>
  <c r="E237" i="17"/>
  <c r="B237" i="17"/>
  <c r="H236" i="17"/>
  <c r="F236" i="17"/>
  <c r="E236" i="17"/>
  <c r="B236" i="17"/>
  <c r="H235" i="17"/>
  <c r="F235" i="17"/>
  <c r="E235" i="17"/>
  <c r="B235" i="17"/>
  <c r="N225" i="17"/>
  <c r="M225" i="17"/>
  <c r="L225" i="17"/>
  <c r="D225" i="17"/>
  <c r="F8" i="55"/>
  <c r="H286" i="55"/>
  <c r="H280" i="55"/>
  <c r="H350" i="55"/>
  <c r="H344" i="55"/>
  <c r="G314" i="55"/>
  <c r="H313" i="55"/>
  <c r="G250" i="55"/>
  <c r="H249" i="55"/>
  <c r="G207" i="55"/>
  <c r="H467" i="55"/>
  <c r="H466" i="55"/>
  <c r="H465" i="55"/>
  <c r="H464" i="55"/>
  <c r="H463" i="55"/>
  <c r="H462" i="55"/>
  <c r="H461" i="55"/>
  <c r="H460" i="55"/>
  <c r="H459" i="55"/>
  <c r="H458" i="55"/>
  <c r="H457" i="55"/>
  <c r="H456" i="55"/>
  <c r="H455" i="55"/>
  <c r="H454" i="55"/>
  <c r="H453" i="55"/>
  <c r="H452" i="55"/>
  <c r="H451" i="55"/>
  <c r="H450" i="55"/>
  <c r="H449" i="55"/>
  <c r="H448" i="55"/>
  <c r="H447" i="55"/>
  <c r="G438" i="55"/>
  <c r="H437" i="55"/>
  <c r="H528" i="55"/>
  <c r="H527" i="55"/>
  <c r="H526" i="55"/>
  <c r="H525" i="55"/>
  <c r="H524" i="55"/>
  <c r="H523" i="55"/>
  <c r="H522" i="55"/>
  <c r="H521" i="55"/>
  <c r="H520" i="55"/>
  <c r="H519" i="55"/>
  <c r="H518" i="55"/>
  <c r="H517" i="55"/>
  <c r="H516" i="55"/>
  <c r="H515" i="55"/>
  <c r="H514" i="55"/>
  <c r="H513" i="55"/>
  <c r="H512" i="55"/>
  <c r="H511" i="55"/>
  <c r="H510" i="55"/>
  <c r="H509" i="55"/>
  <c r="H508" i="55"/>
  <c r="G499" i="55"/>
  <c r="H498" i="55"/>
  <c r="G376" i="55"/>
  <c r="F386" i="55"/>
  <c r="H386" i="55" s="1"/>
  <c r="F387" i="55"/>
  <c r="H387" i="55"/>
  <c r="H406" i="55" s="1"/>
  <c r="H381" i="55"/>
  <c r="H380" i="55"/>
  <c r="H379" i="55"/>
  <c r="H378" i="55"/>
  <c r="H375" i="55"/>
  <c r="H388" i="55"/>
  <c r="H389" i="55"/>
  <c r="H390" i="55"/>
  <c r="H391" i="55"/>
  <c r="H392" i="55"/>
  <c r="H393" i="55"/>
  <c r="H394" i="55"/>
  <c r="H395" i="55"/>
  <c r="H396" i="55"/>
  <c r="H385" i="55"/>
  <c r="H1292" i="55"/>
  <c r="H1229" i="55"/>
  <c r="H1166" i="55"/>
  <c r="H1103" i="55"/>
  <c r="H1040" i="55"/>
  <c r="H977" i="55"/>
  <c r="H914" i="55"/>
  <c r="H851" i="55"/>
  <c r="H788" i="55"/>
  <c r="H725" i="55"/>
  <c r="H662" i="55"/>
  <c r="H599" i="55"/>
  <c r="H221" i="55"/>
  <c r="H224" i="55" s="1"/>
  <c r="H216" i="55"/>
  <c r="H215" i="55"/>
  <c r="H214" i="55"/>
  <c r="H218" i="55"/>
  <c r="E207" i="55"/>
  <c r="F207" i="55" s="1"/>
  <c r="E206" i="55"/>
  <c r="F206" i="55"/>
  <c r="H206" i="55" s="1"/>
  <c r="H181" i="55"/>
  <c r="H184" i="55" s="1"/>
  <c r="H174" i="55"/>
  <c r="H178" i="55" s="1"/>
  <c r="H173" i="55"/>
  <c r="H172" i="55"/>
  <c r="G166" i="55"/>
  <c r="F166" i="55"/>
  <c r="F165" i="55"/>
  <c r="H165" i="55"/>
  <c r="F164" i="55"/>
  <c r="H164" i="55" s="1"/>
  <c r="H128" i="55"/>
  <c r="H127" i="55"/>
  <c r="H126" i="55"/>
  <c r="H125" i="55"/>
  <c r="H124" i="55"/>
  <c r="H123" i="55"/>
  <c r="H122" i="55"/>
  <c r="H121" i="55"/>
  <c r="H120" i="55"/>
  <c r="H119" i="55"/>
  <c r="G110" i="55"/>
  <c r="H109" i="55"/>
  <c r="H74" i="55"/>
  <c r="H73" i="55"/>
  <c r="H72" i="55"/>
  <c r="H71" i="55"/>
  <c r="H70" i="55"/>
  <c r="H69" i="55"/>
  <c r="H68" i="55"/>
  <c r="H82" i="55" s="1"/>
  <c r="H67" i="55"/>
  <c r="H66" i="55"/>
  <c r="H65" i="55"/>
  <c r="H57" i="55"/>
  <c r="H56" i="55"/>
  <c r="H62" i="55" s="1"/>
  <c r="K165" i="9" s="1"/>
  <c r="H55" i="55"/>
  <c r="H31" i="55"/>
  <c r="H34" i="55"/>
  <c r="H25" i="55"/>
  <c r="H24" i="55"/>
  <c r="H23" i="55"/>
  <c r="H22" i="55"/>
  <c r="G16" i="55"/>
  <c r="E15" i="55"/>
  <c r="F15" i="55" s="1"/>
  <c r="H15" i="55" s="1"/>
  <c r="E14" i="55"/>
  <c r="F14" i="55" s="1"/>
  <c r="H8" i="55"/>
  <c r="H11" i="55" s="1"/>
  <c r="K154" i="9"/>
  <c r="G206" i="17"/>
  <c r="H206" i="17" s="1"/>
  <c r="F206" i="17"/>
  <c r="F203" i="17"/>
  <c r="H218" i="17"/>
  <c r="G218" i="17"/>
  <c r="E218" i="17"/>
  <c r="B218" i="17"/>
  <c r="H217" i="17"/>
  <c r="G217" i="17"/>
  <c r="E217" i="17"/>
  <c r="B217" i="17"/>
  <c r="H212" i="17"/>
  <c r="G212" i="17"/>
  <c r="E212" i="17"/>
  <c r="B212" i="17"/>
  <c r="H211" i="17"/>
  <c r="G211" i="17"/>
  <c r="E211" i="17"/>
  <c r="B211" i="17"/>
  <c r="H210" i="17"/>
  <c r="G210" i="17"/>
  <c r="E210" i="17"/>
  <c r="B210" i="17"/>
  <c r="H209" i="17"/>
  <c r="G209" i="17"/>
  <c r="E209" i="17"/>
  <c r="B209" i="17"/>
  <c r="H208" i="17"/>
  <c r="G208" i="17"/>
  <c r="E208" i="17"/>
  <c r="B208" i="17"/>
  <c r="H202" i="17"/>
  <c r="G202" i="17"/>
  <c r="E202" i="17"/>
  <c r="B202" i="17"/>
  <c r="G201" i="17"/>
  <c r="E201" i="17"/>
  <c r="B201" i="17"/>
  <c r="G200" i="17"/>
  <c r="H200" i="17"/>
  <c r="E200" i="17"/>
  <c r="B200" i="17"/>
  <c r="G199" i="17"/>
  <c r="E199" i="17"/>
  <c r="B199" i="17"/>
  <c r="G198" i="17"/>
  <c r="H198" i="17"/>
  <c r="E198" i="17"/>
  <c r="B198" i="17"/>
  <c r="G197" i="17"/>
  <c r="H197" i="17"/>
  <c r="E197" i="17"/>
  <c r="B197" i="17"/>
  <c r="H193" i="17"/>
  <c r="F193" i="17"/>
  <c r="E193" i="17"/>
  <c r="B193" i="17"/>
  <c r="H192" i="17"/>
  <c r="F192" i="17"/>
  <c r="E192" i="17"/>
  <c r="B192" i="17"/>
  <c r="K191" i="17"/>
  <c r="F191" i="17"/>
  <c r="E191" i="17"/>
  <c r="B191" i="17"/>
  <c r="K190" i="17"/>
  <c r="F190" i="17"/>
  <c r="E190" i="17"/>
  <c r="B190" i="17"/>
  <c r="G189" i="17"/>
  <c r="H187" i="17"/>
  <c r="G187" i="17"/>
  <c r="F187" i="17"/>
  <c r="E187" i="17"/>
  <c r="B187" i="17"/>
  <c r="H183" i="17"/>
  <c r="F183" i="17"/>
  <c r="E183" i="17"/>
  <c r="B183" i="17"/>
  <c r="H182" i="17"/>
  <c r="F182" i="17"/>
  <c r="E182" i="17"/>
  <c r="B182" i="17"/>
  <c r="H181" i="17"/>
  <c r="F181" i="17"/>
  <c r="E181" i="17"/>
  <c r="B181" i="17"/>
  <c r="G179" i="17"/>
  <c r="N169" i="17"/>
  <c r="M169" i="17"/>
  <c r="L169" i="17"/>
  <c r="D169" i="17"/>
  <c r="G477" i="21"/>
  <c r="H477" i="21" s="1"/>
  <c r="H1338" i="19"/>
  <c r="G1338" i="19"/>
  <c r="E1338" i="19"/>
  <c r="B1338" i="19"/>
  <c r="H1337" i="19"/>
  <c r="G1337" i="19"/>
  <c r="E1337" i="19"/>
  <c r="B1337" i="19"/>
  <c r="H1303" i="19"/>
  <c r="F1303" i="19"/>
  <c r="E1303" i="19"/>
  <c r="B1303" i="19"/>
  <c r="H1302" i="19"/>
  <c r="F1302" i="19"/>
  <c r="E1302" i="19"/>
  <c r="B1302" i="19"/>
  <c r="H1301" i="19"/>
  <c r="F1301" i="19"/>
  <c r="E1301" i="19"/>
  <c r="B1301" i="19"/>
  <c r="H1300" i="19"/>
  <c r="F1300" i="19"/>
  <c r="E1300" i="19"/>
  <c r="B1300" i="19"/>
  <c r="G1299" i="19"/>
  <c r="N1289" i="19"/>
  <c r="M1289" i="19"/>
  <c r="L1289" i="19"/>
  <c r="F1037" i="19"/>
  <c r="F928" i="51"/>
  <c r="F927" i="51"/>
  <c r="F926" i="51"/>
  <c r="F925" i="51"/>
  <c r="K925" i="51"/>
  <c r="K918" i="51"/>
  <c r="K919" i="51"/>
  <c r="G917" i="51"/>
  <c r="K935" i="51"/>
  <c r="K934" i="51"/>
  <c r="H936" i="51"/>
  <c r="G936" i="51"/>
  <c r="E936" i="51"/>
  <c r="B936" i="51"/>
  <c r="F935" i="51"/>
  <c r="H933" i="51"/>
  <c r="G933" i="51"/>
  <c r="E933" i="51"/>
  <c r="B933" i="51"/>
  <c r="F932" i="51"/>
  <c r="H946" i="51"/>
  <c r="G946" i="51"/>
  <c r="E946" i="51"/>
  <c r="B946" i="51"/>
  <c r="H945" i="51"/>
  <c r="G945" i="51"/>
  <c r="E945" i="51"/>
  <c r="B945" i="51"/>
  <c r="H940" i="51"/>
  <c r="G940" i="51"/>
  <c r="E940" i="51"/>
  <c r="B940" i="51"/>
  <c r="H939" i="51"/>
  <c r="G939" i="51"/>
  <c r="E939" i="51"/>
  <c r="B939" i="51"/>
  <c r="H938" i="51"/>
  <c r="G938" i="51"/>
  <c r="E938" i="51"/>
  <c r="B938" i="51"/>
  <c r="H937" i="51"/>
  <c r="G937" i="51"/>
  <c r="E937" i="51"/>
  <c r="B937" i="51"/>
  <c r="H921" i="51"/>
  <c r="F921" i="51"/>
  <c r="E921" i="51"/>
  <c r="B921" i="51"/>
  <c r="H920" i="51"/>
  <c r="F920" i="51"/>
  <c r="E920" i="51"/>
  <c r="B920" i="51"/>
  <c r="H911" i="51"/>
  <c r="F911" i="51"/>
  <c r="E911" i="51"/>
  <c r="B911" i="51"/>
  <c r="H910" i="51"/>
  <c r="F910" i="51"/>
  <c r="E910" i="51"/>
  <c r="B910" i="51"/>
  <c r="H909" i="51"/>
  <c r="F909" i="51"/>
  <c r="E909" i="51"/>
  <c r="B909" i="51"/>
  <c r="H908" i="51"/>
  <c r="F908" i="51"/>
  <c r="E908" i="51"/>
  <c r="B908" i="51"/>
  <c r="G907" i="51"/>
  <c r="N897" i="51"/>
  <c r="M897" i="51"/>
  <c r="L897" i="51"/>
  <c r="F1829" i="19"/>
  <c r="F1825" i="19"/>
  <c r="F1828" i="19" s="1"/>
  <c r="F1824" i="19"/>
  <c r="F1823" i="19"/>
  <c r="F1822" i="19"/>
  <c r="F1821" i="19"/>
  <c r="L1822" i="19"/>
  <c r="L1823" i="19"/>
  <c r="L1821" i="19"/>
  <c r="K1822" i="19"/>
  <c r="K1821" i="19"/>
  <c r="H1842" i="19"/>
  <c r="G1842" i="19"/>
  <c r="E1842" i="19"/>
  <c r="B1842" i="19"/>
  <c r="H1841" i="19"/>
  <c r="G1841" i="19"/>
  <c r="E1841" i="19"/>
  <c r="B1841" i="19"/>
  <c r="H1836" i="19"/>
  <c r="G1836" i="19"/>
  <c r="E1836" i="19"/>
  <c r="B1836" i="19"/>
  <c r="F1833" i="19"/>
  <c r="H1832" i="19"/>
  <c r="G1832" i="19"/>
  <c r="E1832" i="19"/>
  <c r="B1832" i="19"/>
  <c r="K1829" i="19"/>
  <c r="K1825" i="19"/>
  <c r="K1824" i="19"/>
  <c r="H1817" i="19"/>
  <c r="F1817" i="19"/>
  <c r="E1817" i="19"/>
  <c r="B1817" i="19"/>
  <c r="H1816" i="19"/>
  <c r="F1816" i="19"/>
  <c r="E1816" i="19"/>
  <c r="B1816" i="19"/>
  <c r="H1814" i="19"/>
  <c r="F1814" i="19"/>
  <c r="E1814" i="19"/>
  <c r="B1814" i="19"/>
  <c r="K1813" i="19"/>
  <c r="G1813" i="19"/>
  <c r="K1812" i="19"/>
  <c r="K1814" i="19" s="1"/>
  <c r="K1811" i="19"/>
  <c r="H1807" i="19"/>
  <c r="F1807" i="19"/>
  <c r="E1807" i="19"/>
  <c r="B1807" i="19"/>
  <c r="H1806" i="19"/>
  <c r="F1806" i="19"/>
  <c r="E1806" i="19"/>
  <c r="B1806" i="19"/>
  <c r="H1805" i="19"/>
  <c r="F1805" i="19"/>
  <c r="E1805" i="19"/>
  <c r="B1805" i="19"/>
  <c r="H1804" i="19"/>
  <c r="F1804" i="19"/>
  <c r="E1804" i="19"/>
  <c r="B1804" i="19"/>
  <c r="H1803" i="19"/>
  <c r="F1803" i="19"/>
  <c r="E1803" i="19"/>
  <c r="B1803" i="19"/>
  <c r="N1793" i="19"/>
  <c r="M1793" i="19"/>
  <c r="L1793" i="19"/>
  <c r="K1757" i="19"/>
  <c r="K1758" i="19" s="1"/>
  <c r="K1756" i="19"/>
  <c r="K1755" i="19"/>
  <c r="F1769" i="19"/>
  <c r="F1777" i="19"/>
  <c r="F1773" i="19"/>
  <c r="F1775" i="19" s="1"/>
  <c r="F1774" i="19"/>
  <c r="F1767" i="19"/>
  <c r="F1766" i="19"/>
  <c r="F1765" i="19"/>
  <c r="K1766" i="19"/>
  <c r="K1765" i="19"/>
  <c r="L1765" i="19"/>
  <c r="L1767" i="19"/>
  <c r="L1766" i="19"/>
  <c r="E53" i="10"/>
  <c r="E99" i="9"/>
  <c r="F99" i="9" s="1"/>
  <c r="G145" i="10"/>
  <c r="F144" i="10"/>
  <c r="F143" i="10"/>
  <c r="G107" i="10"/>
  <c r="E107" i="10" s="1"/>
  <c r="G94" i="10"/>
  <c r="E94" i="10"/>
  <c r="G58" i="10"/>
  <c r="F56" i="10"/>
  <c r="G48" i="10"/>
  <c r="G47" i="10"/>
  <c r="G46" i="10"/>
  <c r="G45" i="10"/>
  <c r="G44" i="10"/>
  <c r="E41" i="10"/>
  <c r="G40" i="10"/>
  <c r="B2" i="4"/>
  <c r="B1" i="4"/>
  <c r="F761" i="51"/>
  <c r="F537" i="51"/>
  <c r="F481" i="51"/>
  <c r="F425" i="51"/>
  <c r="F369" i="51"/>
  <c r="F313" i="51"/>
  <c r="F257" i="51"/>
  <c r="F201" i="51"/>
  <c r="F145" i="51"/>
  <c r="F148" i="51"/>
  <c r="F89" i="51"/>
  <c r="F91" i="51"/>
  <c r="F319" i="25"/>
  <c r="F318" i="25"/>
  <c r="F317" i="25"/>
  <c r="F312" i="25"/>
  <c r="F311" i="25"/>
  <c r="L313" i="25"/>
  <c r="L312" i="25"/>
  <c r="L311" i="25"/>
  <c r="F309" i="25"/>
  <c r="J313" i="25"/>
  <c r="J312" i="25"/>
  <c r="J311" i="25"/>
  <c r="F253" i="25"/>
  <c r="H330" i="25"/>
  <c r="G330" i="25"/>
  <c r="E330" i="25"/>
  <c r="B330" i="25"/>
  <c r="H329" i="25"/>
  <c r="G329" i="25"/>
  <c r="E329" i="25"/>
  <c r="B329" i="25"/>
  <c r="H324" i="25"/>
  <c r="G324" i="25"/>
  <c r="E324" i="25"/>
  <c r="B324" i="25"/>
  <c r="H323" i="25"/>
  <c r="G323" i="25"/>
  <c r="E323" i="25"/>
  <c r="B323" i="25"/>
  <c r="H322" i="25"/>
  <c r="G322" i="25"/>
  <c r="E322" i="25"/>
  <c r="B322" i="25"/>
  <c r="H321" i="25"/>
  <c r="G321" i="25"/>
  <c r="E321" i="25"/>
  <c r="B321" i="25"/>
  <c r="H320" i="25"/>
  <c r="E320" i="25"/>
  <c r="B320" i="25"/>
  <c r="H316" i="25"/>
  <c r="G316" i="25"/>
  <c r="E316" i="25"/>
  <c r="B316" i="25"/>
  <c r="H310" i="25"/>
  <c r="G310" i="25"/>
  <c r="E310" i="25"/>
  <c r="B310" i="25"/>
  <c r="H305" i="25"/>
  <c r="F305" i="25"/>
  <c r="E305" i="25"/>
  <c r="B305" i="25"/>
  <c r="G304" i="25"/>
  <c r="H302" i="25"/>
  <c r="F302" i="25"/>
  <c r="E302" i="25"/>
  <c r="B302" i="25"/>
  <c r="G301" i="25"/>
  <c r="H295" i="25"/>
  <c r="F295" i="25"/>
  <c r="E295" i="25"/>
  <c r="B295" i="25"/>
  <c r="H294" i="25"/>
  <c r="F294" i="25"/>
  <c r="E294" i="25"/>
  <c r="B294" i="25"/>
  <c r="H293" i="25"/>
  <c r="F293" i="25"/>
  <c r="E293" i="25"/>
  <c r="B293" i="25"/>
  <c r="H292" i="25"/>
  <c r="F292" i="25"/>
  <c r="E292" i="25"/>
  <c r="B292" i="25"/>
  <c r="G291" i="25"/>
  <c r="N281" i="25"/>
  <c r="M281" i="25"/>
  <c r="L281" i="25"/>
  <c r="D281" i="25"/>
  <c r="F263" i="25"/>
  <c r="F262" i="25"/>
  <c r="F261" i="25"/>
  <c r="F256" i="25"/>
  <c r="F255" i="25"/>
  <c r="F258" i="25" s="1"/>
  <c r="L257" i="25"/>
  <c r="L256" i="25"/>
  <c r="L255" i="25"/>
  <c r="L253" i="25" s="1"/>
  <c r="J257" i="25"/>
  <c r="J253" i="25" s="1"/>
  <c r="J256" i="25"/>
  <c r="J255" i="25"/>
  <c r="H274" i="25"/>
  <c r="G274" i="25"/>
  <c r="E274" i="25"/>
  <c r="B274" i="25"/>
  <c r="H273" i="25"/>
  <c r="G273" i="25"/>
  <c r="E273" i="25"/>
  <c r="B273" i="25"/>
  <c r="H268" i="25"/>
  <c r="G268" i="25"/>
  <c r="E268" i="25"/>
  <c r="B268" i="25"/>
  <c r="H267" i="25"/>
  <c r="G267" i="25"/>
  <c r="E267" i="25"/>
  <c r="B267" i="25"/>
  <c r="H266" i="25"/>
  <c r="G266" i="25"/>
  <c r="E266" i="25"/>
  <c r="B266" i="25"/>
  <c r="H265" i="25"/>
  <c r="G265" i="25"/>
  <c r="E265" i="25"/>
  <c r="B265" i="25"/>
  <c r="H264" i="25"/>
  <c r="E264" i="25"/>
  <c r="B264" i="25"/>
  <c r="H260" i="25"/>
  <c r="G260" i="25"/>
  <c r="E260" i="25"/>
  <c r="B260" i="25"/>
  <c r="H254" i="25"/>
  <c r="G254" i="25"/>
  <c r="E254" i="25"/>
  <c r="B254" i="25"/>
  <c r="H249" i="25"/>
  <c r="F249" i="25"/>
  <c r="E249" i="25"/>
  <c r="B249" i="25"/>
  <c r="G248" i="25"/>
  <c r="H246" i="25"/>
  <c r="F246" i="25"/>
  <c r="E246" i="25"/>
  <c r="B246" i="25"/>
  <c r="G245" i="25"/>
  <c r="H239" i="25"/>
  <c r="F239" i="25"/>
  <c r="E239" i="25"/>
  <c r="B239" i="25"/>
  <c r="H238" i="25"/>
  <c r="F238" i="25"/>
  <c r="E238" i="25"/>
  <c r="B238" i="25"/>
  <c r="H237" i="25"/>
  <c r="F237" i="25"/>
  <c r="E237" i="25"/>
  <c r="B237" i="25"/>
  <c r="H236" i="25"/>
  <c r="F236" i="25"/>
  <c r="E236" i="25"/>
  <c r="B236" i="25"/>
  <c r="G235" i="25"/>
  <c r="N225" i="25"/>
  <c r="M225" i="25"/>
  <c r="L225" i="25"/>
  <c r="D225" i="25"/>
  <c r="L2154" i="19"/>
  <c r="L2153" i="19"/>
  <c r="L2152" i="19"/>
  <c r="L2151" i="19"/>
  <c r="L2150" i="19"/>
  <c r="K2153" i="19"/>
  <c r="K2154" i="19"/>
  <c r="F2170" i="19"/>
  <c r="F2169" i="19"/>
  <c r="F2168" i="19"/>
  <c r="F2167" i="19"/>
  <c r="F465" i="10"/>
  <c r="D465" i="10" s="1"/>
  <c r="K707" i="51"/>
  <c r="K712" i="51"/>
  <c r="K711" i="51"/>
  <c r="K710" i="51"/>
  <c r="F705" i="51"/>
  <c r="F706" i="51" s="1"/>
  <c r="F704" i="51"/>
  <c r="F703" i="51"/>
  <c r="F702" i="51"/>
  <c r="F701" i="51"/>
  <c r="K701" i="51"/>
  <c r="F709" i="51" s="1"/>
  <c r="H722" i="51"/>
  <c r="G722" i="51"/>
  <c r="E722" i="51"/>
  <c r="B722" i="51"/>
  <c r="H721" i="51"/>
  <c r="G721" i="51"/>
  <c r="E721" i="51"/>
  <c r="B721" i="51"/>
  <c r="H716" i="51"/>
  <c r="G716" i="51"/>
  <c r="E716" i="51"/>
  <c r="B716" i="51"/>
  <c r="H715" i="51"/>
  <c r="G715" i="51"/>
  <c r="E715" i="51"/>
  <c r="B715" i="51"/>
  <c r="H714" i="51"/>
  <c r="G714" i="51"/>
  <c r="E714" i="51"/>
  <c r="B714" i="51"/>
  <c r="H713" i="51"/>
  <c r="G713" i="51"/>
  <c r="E713" i="51"/>
  <c r="B713" i="51"/>
  <c r="H712" i="51"/>
  <c r="G712" i="51"/>
  <c r="E712" i="51"/>
  <c r="B712" i="51"/>
  <c r="F711" i="51"/>
  <c r="K702" i="51"/>
  <c r="H697" i="51"/>
  <c r="F697" i="51"/>
  <c r="E697" i="51"/>
  <c r="B697" i="51"/>
  <c r="H696" i="51"/>
  <c r="F696" i="51"/>
  <c r="E696" i="51"/>
  <c r="B696" i="51"/>
  <c r="K695" i="51"/>
  <c r="G693" i="51"/>
  <c r="H687" i="51"/>
  <c r="F687" i="51"/>
  <c r="E687" i="51"/>
  <c r="B687" i="51"/>
  <c r="H686" i="51"/>
  <c r="F686" i="51"/>
  <c r="E686" i="51"/>
  <c r="B686" i="51"/>
  <c r="H685" i="51"/>
  <c r="F685" i="51"/>
  <c r="E685" i="51"/>
  <c r="B685" i="51"/>
  <c r="G683" i="51"/>
  <c r="N673" i="51"/>
  <c r="M673" i="51"/>
  <c r="L673" i="51"/>
  <c r="F593" i="51"/>
  <c r="F595" i="51" s="1"/>
  <c r="K589" i="51"/>
  <c r="F591" i="51"/>
  <c r="H610" i="51"/>
  <c r="G610" i="51"/>
  <c r="E610" i="51"/>
  <c r="B610" i="51"/>
  <c r="H609" i="51"/>
  <c r="G609" i="51"/>
  <c r="E609" i="51"/>
  <c r="B609" i="51"/>
  <c r="H604" i="51"/>
  <c r="G604" i="51"/>
  <c r="E604" i="51"/>
  <c r="B604" i="51"/>
  <c r="H603" i="51"/>
  <c r="G603" i="51"/>
  <c r="E603" i="51"/>
  <c r="B603" i="51"/>
  <c r="H602" i="51"/>
  <c r="G602" i="51"/>
  <c r="E602" i="51"/>
  <c r="B602" i="51"/>
  <c r="H585" i="51"/>
  <c r="F585" i="51"/>
  <c r="E585" i="51"/>
  <c r="B585" i="51"/>
  <c r="H584" i="51"/>
  <c r="F584" i="51"/>
  <c r="E584" i="51"/>
  <c r="B584" i="51"/>
  <c r="G581" i="51"/>
  <c r="G572" i="51" s="1"/>
  <c r="H575" i="51"/>
  <c r="F575" i="51"/>
  <c r="E575" i="51"/>
  <c r="B575" i="51"/>
  <c r="H574" i="51"/>
  <c r="F574" i="51"/>
  <c r="E574" i="51"/>
  <c r="B574" i="51"/>
  <c r="H573" i="51"/>
  <c r="F573" i="51"/>
  <c r="E573" i="51"/>
  <c r="B573" i="51"/>
  <c r="G571" i="51"/>
  <c r="N561" i="51"/>
  <c r="M561" i="51"/>
  <c r="L561" i="51"/>
  <c r="G41" i="10"/>
  <c r="C41" i="10" s="1"/>
  <c r="G38" i="10"/>
  <c r="C38" i="10"/>
  <c r="G37" i="10"/>
  <c r="G36" i="10"/>
  <c r="G35" i="10"/>
  <c r="G60" i="10"/>
  <c r="G59" i="10"/>
  <c r="C59" i="10"/>
  <c r="F207" i="25"/>
  <c r="F206" i="25"/>
  <c r="F205" i="25"/>
  <c r="F200" i="25"/>
  <c r="F199" i="25"/>
  <c r="L201" i="25"/>
  <c r="L200" i="25"/>
  <c r="L199" i="25"/>
  <c r="F197" i="25"/>
  <c r="J201" i="25"/>
  <c r="J200" i="25"/>
  <c r="J199" i="25"/>
  <c r="J197" i="25" s="1"/>
  <c r="H208" i="25"/>
  <c r="E208" i="25"/>
  <c r="B208" i="25"/>
  <c r="H204" i="25"/>
  <c r="G204" i="25"/>
  <c r="E204" i="25"/>
  <c r="B204" i="25"/>
  <c r="H198" i="25"/>
  <c r="G198" i="25"/>
  <c r="E198" i="25"/>
  <c r="B198" i="25"/>
  <c r="H193" i="25"/>
  <c r="F193" i="25"/>
  <c r="E193" i="25"/>
  <c r="B193" i="25"/>
  <c r="G192" i="25"/>
  <c r="H190" i="25"/>
  <c r="F190" i="25"/>
  <c r="E190" i="25"/>
  <c r="B190" i="25"/>
  <c r="G189" i="25"/>
  <c r="G528" i="26"/>
  <c r="F543" i="26"/>
  <c r="F542" i="26"/>
  <c r="J537" i="26"/>
  <c r="F541" i="26"/>
  <c r="F533" i="26"/>
  <c r="J535" i="26"/>
  <c r="J533" i="26"/>
  <c r="F536" i="26"/>
  <c r="F535" i="26"/>
  <c r="F538" i="26"/>
  <c r="L535" i="26"/>
  <c r="L537" i="26"/>
  <c r="L536" i="26"/>
  <c r="J536" i="26"/>
  <c r="H534" i="26"/>
  <c r="G534" i="26"/>
  <c r="E534" i="26"/>
  <c r="B534" i="26"/>
  <c r="H554" i="26"/>
  <c r="G554" i="26"/>
  <c r="E554" i="26"/>
  <c r="B554" i="26"/>
  <c r="H553" i="26"/>
  <c r="G553" i="26"/>
  <c r="E553" i="26"/>
  <c r="B553" i="26"/>
  <c r="H548" i="26"/>
  <c r="G548" i="26"/>
  <c r="E548" i="26"/>
  <c r="B548" i="26"/>
  <c r="H547" i="26"/>
  <c r="G547" i="26"/>
  <c r="E547" i="26"/>
  <c r="B547" i="26"/>
  <c r="H546" i="26"/>
  <c r="G546" i="26"/>
  <c r="E546" i="26"/>
  <c r="B546" i="26"/>
  <c r="H545" i="26"/>
  <c r="G545" i="26"/>
  <c r="E545" i="26"/>
  <c r="B545" i="26"/>
  <c r="H544" i="26"/>
  <c r="E544" i="26"/>
  <c r="B544" i="26"/>
  <c r="H540" i="26"/>
  <c r="G540" i="26"/>
  <c r="E540" i="26"/>
  <c r="B540" i="26"/>
  <c r="H529" i="26"/>
  <c r="F529" i="26"/>
  <c r="E529" i="26"/>
  <c r="B529" i="26"/>
  <c r="H526" i="26"/>
  <c r="F526" i="26"/>
  <c r="E526" i="26"/>
  <c r="B526" i="26"/>
  <c r="G525" i="26"/>
  <c r="H519" i="26"/>
  <c r="F519" i="26"/>
  <c r="E519" i="26"/>
  <c r="B519" i="26"/>
  <c r="H518" i="26"/>
  <c r="F518" i="26"/>
  <c r="E518" i="26"/>
  <c r="B518" i="26"/>
  <c r="H517" i="26"/>
  <c r="F517" i="26"/>
  <c r="E517" i="26"/>
  <c r="B517" i="26"/>
  <c r="H516" i="26"/>
  <c r="F516" i="26"/>
  <c r="E516" i="26"/>
  <c r="B516" i="26"/>
  <c r="G515" i="26"/>
  <c r="N505" i="26"/>
  <c r="M505" i="26"/>
  <c r="L505" i="26"/>
  <c r="D505" i="26"/>
  <c r="D2129" i="19"/>
  <c r="H2178" i="19"/>
  <c r="G2178" i="19"/>
  <c r="E2178" i="19"/>
  <c r="B2178" i="19"/>
  <c r="H2177" i="19"/>
  <c r="G2177" i="19"/>
  <c r="E2177" i="19"/>
  <c r="B2177" i="19"/>
  <c r="K2151" i="19"/>
  <c r="K2150" i="19"/>
  <c r="K2149" i="19"/>
  <c r="K2148" i="19"/>
  <c r="K2147" i="19"/>
  <c r="H2153" i="19"/>
  <c r="H2152" i="19"/>
  <c r="G2140" i="19"/>
  <c r="G2139" i="19"/>
  <c r="L2165" i="19"/>
  <c r="L2164" i="19"/>
  <c r="L2163" i="19"/>
  <c r="L2162" i="19"/>
  <c r="G71" i="54"/>
  <c r="H89" i="54"/>
  <c r="H88" i="54"/>
  <c r="H87" i="54"/>
  <c r="H86" i="54"/>
  <c r="H85" i="54"/>
  <c r="H84" i="54"/>
  <c r="H83" i="54"/>
  <c r="H82" i="54"/>
  <c r="H81" i="54"/>
  <c r="H80" i="54"/>
  <c r="H70" i="54"/>
  <c r="H61" i="54"/>
  <c r="H67" i="54"/>
  <c r="H7" i="54"/>
  <c r="H13" i="54"/>
  <c r="H18" i="54"/>
  <c r="H17" i="54"/>
  <c r="H16" i="54"/>
  <c r="H35" i="54"/>
  <c r="H34" i="54"/>
  <c r="H33" i="54"/>
  <c r="H32" i="54"/>
  <c r="H31" i="54"/>
  <c r="H30" i="54"/>
  <c r="H29" i="54"/>
  <c r="H28" i="54"/>
  <c r="H27" i="54"/>
  <c r="H26" i="54"/>
  <c r="G352" i="49"/>
  <c r="H402" i="49"/>
  <c r="H401" i="49"/>
  <c r="H404" i="49" s="1"/>
  <c r="H400" i="49"/>
  <c r="G199" i="10"/>
  <c r="C199" i="10"/>
  <c r="E154" i="9"/>
  <c r="F154" i="9"/>
  <c r="F129" i="10"/>
  <c r="G304" i="10"/>
  <c r="G302" i="10"/>
  <c r="G301" i="10"/>
  <c r="G299" i="10"/>
  <c r="G294" i="10"/>
  <c r="C294" i="10" s="1"/>
  <c r="G293" i="10"/>
  <c r="C293" i="10"/>
  <c r="G292" i="10"/>
  <c r="C292" i="10"/>
  <c r="G291" i="10"/>
  <c r="C291" i="10" s="1"/>
  <c r="G290" i="10"/>
  <c r="C290" i="10" s="1"/>
  <c r="G289" i="10"/>
  <c r="C289" i="10" s="1"/>
  <c r="G288" i="10"/>
  <c r="G287" i="10"/>
  <c r="C287" i="10"/>
  <c r="G285" i="10"/>
  <c r="C285" i="10" s="1"/>
  <c r="G284" i="10"/>
  <c r="C284" i="10"/>
  <c r="G283" i="10"/>
  <c r="C283" i="10"/>
  <c r="G282" i="10"/>
  <c r="C282" i="10" s="1"/>
  <c r="G281" i="10"/>
  <c r="C281" i="10"/>
  <c r="G280" i="10"/>
  <c r="C280" i="10"/>
  <c r="G279" i="10"/>
  <c r="C279" i="10"/>
  <c r="G278" i="10"/>
  <c r="G142" i="10"/>
  <c r="C142" i="10" s="1"/>
  <c r="G267" i="10"/>
  <c r="C267" i="10" s="1"/>
  <c r="G266" i="10"/>
  <c r="C266" i="10"/>
  <c r="G265" i="10"/>
  <c r="C265" i="10" s="1"/>
  <c r="G264" i="10"/>
  <c r="C264" i="10"/>
  <c r="G263" i="10"/>
  <c r="C263" i="10" s="1"/>
  <c r="G262" i="10"/>
  <c r="C262" i="10" s="1"/>
  <c r="G214" i="10"/>
  <c r="C214" i="10"/>
  <c r="G213" i="10"/>
  <c r="C213" i="10"/>
  <c r="G212" i="10"/>
  <c r="C212" i="10" s="1"/>
  <c r="G112" i="10"/>
  <c r="G111" i="10"/>
  <c r="B112" i="10"/>
  <c r="G105" i="10"/>
  <c r="G103" i="10"/>
  <c r="E103" i="10"/>
  <c r="G101" i="10"/>
  <c r="E101" i="10" s="1"/>
  <c r="G92" i="10"/>
  <c r="E92" i="10" s="1"/>
  <c r="G90" i="10"/>
  <c r="E90" i="10"/>
  <c r="G88" i="10"/>
  <c r="E88" i="10"/>
  <c r="G74" i="10"/>
  <c r="C74" i="10" s="1"/>
  <c r="G73" i="10"/>
  <c r="C73" i="10"/>
  <c r="H481" i="21"/>
  <c r="G481" i="21"/>
  <c r="E481" i="21"/>
  <c r="B481" i="21"/>
  <c r="H480" i="21"/>
  <c r="G480" i="21"/>
  <c r="E480" i="21"/>
  <c r="B480" i="21"/>
  <c r="D186" i="5"/>
  <c r="D17" i="7"/>
  <c r="F17" i="7"/>
  <c r="D15" i="7"/>
  <c r="F15" i="7" s="1"/>
  <c r="D13" i="7"/>
  <c r="D4" i="7"/>
  <c r="F4" i="7"/>
  <c r="D10" i="7"/>
  <c r="F10" i="7"/>
  <c r="E432" i="49"/>
  <c r="F432" i="49" s="1"/>
  <c r="D195" i="5"/>
  <c r="D29" i="5"/>
  <c r="H4" i="5"/>
  <c r="I4" i="5" s="1"/>
  <c r="H3" i="5"/>
  <c r="I3" i="5"/>
  <c r="H2" i="5"/>
  <c r="I2" i="5"/>
  <c r="D120" i="5"/>
  <c r="D119" i="5"/>
  <c r="F119" i="5"/>
  <c r="D214" i="5"/>
  <c r="D236" i="5"/>
  <c r="H558" i="21"/>
  <c r="G558" i="21"/>
  <c r="H557" i="21"/>
  <c r="G557" i="21"/>
  <c r="H554" i="21"/>
  <c r="G554" i="21"/>
  <c r="E554" i="21"/>
  <c r="B554" i="21"/>
  <c r="H553" i="21"/>
  <c r="G553" i="21"/>
  <c r="E553" i="21"/>
  <c r="B553" i="21"/>
  <c r="H552" i="21"/>
  <c r="G552" i="21"/>
  <c r="E552" i="21"/>
  <c r="B552" i="21"/>
  <c r="H548" i="21"/>
  <c r="G548" i="21"/>
  <c r="E548" i="21"/>
  <c r="B548" i="21"/>
  <c r="H547" i="21"/>
  <c r="G547" i="21"/>
  <c r="E547" i="21"/>
  <c r="B547" i="21"/>
  <c r="H546" i="21"/>
  <c r="G546" i="21"/>
  <c r="E546" i="21"/>
  <c r="B546" i="21"/>
  <c r="H545" i="21"/>
  <c r="G545" i="21"/>
  <c r="E545" i="21"/>
  <c r="B545" i="21"/>
  <c r="H544" i="21"/>
  <c r="G544" i="21"/>
  <c r="E544" i="21"/>
  <c r="B544" i="21"/>
  <c r="H543" i="21"/>
  <c r="G543" i="21"/>
  <c r="E543" i="21"/>
  <c r="B543" i="21"/>
  <c r="H542" i="21"/>
  <c r="G542" i="21"/>
  <c r="E542" i="21"/>
  <c r="B542" i="21"/>
  <c r="H541" i="21"/>
  <c r="G541" i="21"/>
  <c r="E541" i="21"/>
  <c r="B541" i="21"/>
  <c r="H540" i="21"/>
  <c r="G540" i="21"/>
  <c r="E540" i="21"/>
  <c r="B540" i="21"/>
  <c r="H539" i="21"/>
  <c r="G539" i="21"/>
  <c r="E539" i="21"/>
  <c r="B539" i="21"/>
  <c r="H538" i="21"/>
  <c r="G538" i="21"/>
  <c r="E538" i="21"/>
  <c r="B538" i="21"/>
  <c r="G537" i="21"/>
  <c r="H537" i="21"/>
  <c r="E537" i="21"/>
  <c r="B537" i="21"/>
  <c r="H529" i="21"/>
  <c r="F529" i="21"/>
  <c r="E529" i="21"/>
  <c r="B529" i="21"/>
  <c r="H528" i="21"/>
  <c r="F528" i="21"/>
  <c r="E528" i="21"/>
  <c r="B528" i="21"/>
  <c r="H527" i="21"/>
  <c r="F527" i="21"/>
  <c r="E527" i="21"/>
  <c r="B527" i="21"/>
  <c r="H526" i="21"/>
  <c r="F526" i="21"/>
  <c r="E526" i="21"/>
  <c r="B526" i="21"/>
  <c r="G525" i="21"/>
  <c r="H519" i="21"/>
  <c r="F519" i="21"/>
  <c r="E519" i="21"/>
  <c r="B519" i="21"/>
  <c r="H518" i="21"/>
  <c r="F518" i="21"/>
  <c r="E518" i="21"/>
  <c r="B518" i="21"/>
  <c r="H517" i="21"/>
  <c r="F517" i="21"/>
  <c r="E517" i="21"/>
  <c r="B517" i="21"/>
  <c r="H516" i="21"/>
  <c r="F516" i="21"/>
  <c r="E516" i="21"/>
  <c r="B516" i="21"/>
  <c r="E515" i="21"/>
  <c r="F515" i="21"/>
  <c r="H515" i="21"/>
  <c r="B515" i="21"/>
  <c r="A509" i="21"/>
  <c r="L505" i="21"/>
  <c r="N505" i="21"/>
  <c r="M505" i="21"/>
  <c r="D60" i="5"/>
  <c r="K1700" i="19"/>
  <c r="F1718" i="19"/>
  <c r="F1714" i="19"/>
  <c r="F1715" i="19"/>
  <c r="F1713" i="19"/>
  <c r="F1711" i="19"/>
  <c r="F1709" i="19"/>
  <c r="H1730" i="19"/>
  <c r="G1730" i="19"/>
  <c r="E1730" i="19"/>
  <c r="B1730" i="19"/>
  <c r="H1729" i="19"/>
  <c r="G1729" i="19"/>
  <c r="E1729" i="19"/>
  <c r="B1729" i="19"/>
  <c r="H1724" i="19"/>
  <c r="G1724" i="19"/>
  <c r="E1724" i="19"/>
  <c r="B1724" i="19"/>
  <c r="H1723" i="19"/>
  <c r="G1723" i="19"/>
  <c r="E1723" i="19"/>
  <c r="B1723" i="19"/>
  <c r="H1722" i="19"/>
  <c r="G1722" i="19"/>
  <c r="E1722" i="19"/>
  <c r="B1722" i="19"/>
  <c r="H1721" i="19"/>
  <c r="G1721" i="19"/>
  <c r="E1721" i="19"/>
  <c r="B1721" i="19"/>
  <c r="H1720" i="19"/>
  <c r="G1720" i="19"/>
  <c r="E1720" i="19"/>
  <c r="B1720" i="19"/>
  <c r="H1719" i="19"/>
  <c r="G1719" i="19"/>
  <c r="E1719" i="19"/>
  <c r="B1719" i="19"/>
  <c r="H1705" i="19"/>
  <c r="F1705" i="19"/>
  <c r="E1705" i="19"/>
  <c r="B1705" i="19"/>
  <c r="H1704" i="19"/>
  <c r="F1704" i="19"/>
  <c r="E1704" i="19"/>
  <c r="B1704" i="19"/>
  <c r="H1703" i="19"/>
  <c r="F1703" i="19"/>
  <c r="E1703" i="19"/>
  <c r="B1703" i="19"/>
  <c r="H1702" i="19"/>
  <c r="F1702" i="19"/>
  <c r="E1702" i="19"/>
  <c r="B1702" i="19"/>
  <c r="G1701" i="19"/>
  <c r="H1695" i="19"/>
  <c r="F1695" i="19"/>
  <c r="E1695" i="19"/>
  <c r="B1695" i="19"/>
  <c r="H1694" i="19"/>
  <c r="F1694" i="19"/>
  <c r="E1694" i="19"/>
  <c r="B1694" i="19"/>
  <c r="H1693" i="19"/>
  <c r="F1693" i="19"/>
  <c r="E1693" i="19"/>
  <c r="B1693" i="19"/>
  <c r="H1692" i="19"/>
  <c r="F1692" i="19"/>
  <c r="E1692" i="19"/>
  <c r="B1692" i="19"/>
  <c r="E1691" i="19"/>
  <c r="F1691" i="19"/>
  <c r="B1691" i="19"/>
  <c r="N1681" i="19"/>
  <c r="M1681" i="19"/>
  <c r="L1681" i="19"/>
  <c r="D187" i="5"/>
  <c r="D190" i="5"/>
  <c r="F87" i="18"/>
  <c r="H92" i="18"/>
  <c r="H93" i="18"/>
  <c r="H94" i="18"/>
  <c r="H95" i="18"/>
  <c r="H96" i="18"/>
  <c r="H97" i="18"/>
  <c r="H98" i="18"/>
  <c r="H99" i="18"/>
  <c r="H100" i="18"/>
  <c r="H105" i="18"/>
  <c r="H106" i="18"/>
  <c r="G77" i="18"/>
  <c r="H79" i="18"/>
  <c r="H80" i="18"/>
  <c r="H81" i="18"/>
  <c r="G67" i="18"/>
  <c r="H68" i="18"/>
  <c r="H69" i="18"/>
  <c r="H70" i="18"/>
  <c r="H71" i="18"/>
  <c r="G106" i="18"/>
  <c r="E106" i="18"/>
  <c r="B106" i="18"/>
  <c r="G105" i="18"/>
  <c r="E105" i="18"/>
  <c r="B105" i="18"/>
  <c r="G100" i="18"/>
  <c r="E100" i="18"/>
  <c r="B100" i="18"/>
  <c r="G99" i="18"/>
  <c r="E99" i="18"/>
  <c r="B99" i="18"/>
  <c r="G98" i="18"/>
  <c r="E98" i="18"/>
  <c r="B98" i="18"/>
  <c r="G97" i="18"/>
  <c r="E97" i="18"/>
  <c r="B97" i="18"/>
  <c r="G96" i="18"/>
  <c r="E96" i="18"/>
  <c r="B96" i="18"/>
  <c r="G95" i="18"/>
  <c r="E95" i="18"/>
  <c r="B95" i="18"/>
  <c r="G94" i="18"/>
  <c r="E94" i="18"/>
  <c r="B94" i="18"/>
  <c r="G93" i="18"/>
  <c r="E93" i="18"/>
  <c r="B93" i="18"/>
  <c r="G92" i="18"/>
  <c r="E92" i="18"/>
  <c r="B92" i="18"/>
  <c r="K85" i="18"/>
  <c r="F81" i="18"/>
  <c r="E81" i="18"/>
  <c r="B81" i="18"/>
  <c r="F80" i="18"/>
  <c r="E80" i="18"/>
  <c r="B80" i="18"/>
  <c r="F79" i="18"/>
  <c r="E79" i="18"/>
  <c r="B79" i="18"/>
  <c r="F71" i="18"/>
  <c r="E71" i="18"/>
  <c r="B71" i="18"/>
  <c r="F70" i="18"/>
  <c r="E70" i="18"/>
  <c r="B70" i="18"/>
  <c r="F69" i="18"/>
  <c r="E69" i="18"/>
  <c r="B69" i="18"/>
  <c r="F68" i="18"/>
  <c r="E68" i="18"/>
  <c r="B68" i="18"/>
  <c r="C3" i="11"/>
  <c r="C2" i="11"/>
  <c r="C618" i="16" s="1"/>
  <c r="N57" i="18"/>
  <c r="M57" i="18"/>
  <c r="L57" i="18"/>
  <c r="D57" i="18"/>
  <c r="H35" i="18"/>
  <c r="H36" i="18"/>
  <c r="H37" i="18"/>
  <c r="H38" i="18"/>
  <c r="H39" i="18"/>
  <c r="H40" i="18"/>
  <c r="H41" i="18"/>
  <c r="H42" i="18"/>
  <c r="H43" i="18"/>
  <c r="H44" i="18"/>
  <c r="H869" i="51"/>
  <c r="H870" i="51"/>
  <c r="H871" i="51"/>
  <c r="H880" i="51"/>
  <c r="H881" i="51"/>
  <c r="H882" i="51"/>
  <c r="H883" i="51"/>
  <c r="H884" i="51"/>
  <c r="E855" i="51"/>
  <c r="E854" i="51"/>
  <c r="E853" i="51"/>
  <c r="B855" i="51"/>
  <c r="B854" i="51"/>
  <c r="B853" i="51"/>
  <c r="B865" i="51"/>
  <c r="B864" i="51"/>
  <c r="E865" i="51"/>
  <c r="E864" i="51"/>
  <c r="E884" i="51"/>
  <c r="E883" i="51"/>
  <c r="E882" i="51"/>
  <c r="E881" i="51"/>
  <c r="E880" i="51"/>
  <c r="E871" i="51"/>
  <c r="E870" i="51"/>
  <c r="E869" i="51"/>
  <c r="G884" i="51"/>
  <c r="G883" i="51"/>
  <c r="G882" i="51"/>
  <c r="G881" i="51"/>
  <c r="G880" i="51"/>
  <c r="G871" i="51"/>
  <c r="G870" i="51"/>
  <c r="G869" i="51"/>
  <c r="B884" i="51"/>
  <c r="B883" i="51"/>
  <c r="B882" i="51"/>
  <c r="B881" i="51"/>
  <c r="B880" i="51"/>
  <c r="B871" i="51"/>
  <c r="B870" i="51"/>
  <c r="B869" i="51"/>
  <c r="F872" i="51"/>
  <c r="H872" i="51"/>
  <c r="F873" i="51"/>
  <c r="H877" i="51"/>
  <c r="F878" i="51"/>
  <c r="F879" i="51" s="1"/>
  <c r="H889" i="51"/>
  <c r="H890" i="51"/>
  <c r="G860" i="51"/>
  <c r="G861" i="51"/>
  <c r="H864" i="51"/>
  <c r="H865" i="51"/>
  <c r="H853" i="51"/>
  <c r="H854" i="51"/>
  <c r="H855" i="51"/>
  <c r="F865" i="51"/>
  <c r="F864" i="51"/>
  <c r="F855" i="51"/>
  <c r="F854" i="51"/>
  <c r="F853" i="51"/>
  <c r="G1925" i="19"/>
  <c r="G1916" i="19" s="1"/>
  <c r="H1927" i="19"/>
  <c r="H1928" i="19"/>
  <c r="H1929" i="19"/>
  <c r="H1917" i="19"/>
  <c r="H1918" i="19"/>
  <c r="H1919" i="19"/>
  <c r="F1933" i="19"/>
  <c r="F1934" i="19"/>
  <c r="F1935" i="19"/>
  <c r="H1936" i="19"/>
  <c r="H1937" i="19"/>
  <c r="H1938" i="19"/>
  <c r="H1939" i="19"/>
  <c r="A27" i="5"/>
  <c r="A28" i="5"/>
  <c r="A29" i="5" s="1"/>
  <c r="A30" i="5" s="1"/>
  <c r="A31" i="5"/>
  <c r="A32" i="5" s="1"/>
  <c r="A33" i="5" s="1"/>
  <c r="A16" i="5"/>
  <c r="A21" i="5"/>
  <c r="A22" i="5"/>
  <c r="A23" i="5"/>
  <c r="A24" i="5" s="1"/>
  <c r="F1940" i="19"/>
  <c r="H1944" i="19"/>
  <c r="H1945" i="19"/>
  <c r="H1946" i="19"/>
  <c r="H1947" i="19"/>
  <c r="H1948" i="19"/>
  <c r="H1953" i="19"/>
  <c r="H1954" i="19"/>
  <c r="G21" i="19"/>
  <c r="H22" i="19"/>
  <c r="H23" i="19"/>
  <c r="H24" i="19"/>
  <c r="H25" i="19"/>
  <c r="H12" i="19"/>
  <c r="H13" i="19"/>
  <c r="H14" i="19"/>
  <c r="H15" i="19"/>
  <c r="H34" i="19"/>
  <c r="H35" i="19"/>
  <c r="H36" i="19"/>
  <c r="H37" i="19"/>
  <c r="H38" i="19"/>
  <c r="H39" i="19"/>
  <c r="H40" i="19"/>
  <c r="H41" i="19"/>
  <c r="H42" i="19"/>
  <c r="H43" i="19"/>
  <c r="H44" i="19"/>
  <c r="H49" i="19"/>
  <c r="H50" i="19"/>
  <c r="G77" i="19"/>
  <c r="H78" i="19"/>
  <c r="H79" i="19"/>
  <c r="H80" i="19"/>
  <c r="H81" i="19"/>
  <c r="H68" i="19"/>
  <c r="H69" i="19"/>
  <c r="H70" i="19"/>
  <c r="H71" i="19"/>
  <c r="F85" i="19"/>
  <c r="F87" i="19" s="1"/>
  <c r="H90" i="19"/>
  <c r="H91" i="19"/>
  <c r="H92" i="19"/>
  <c r="H93" i="19"/>
  <c r="H94" i="19"/>
  <c r="H95" i="19"/>
  <c r="H96" i="19"/>
  <c r="H97" i="19"/>
  <c r="H98" i="19"/>
  <c r="H99" i="19"/>
  <c r="H100" i="19"/>
  <c r="H105" i="19"/>
  <c r="H106" i="19"/>
  <c r="G133" i="19"/>
  <c r="H134" i="19"/>
  <c r="H135" i="19"/>
  <c r="H136" i="19"/>
  <c r="H137" i="19"/>
  <c r="H124" i="19"/>
  <c r="H125" i="19"/>
  <c r="H126" i="19"/>
  <c r="H127" i="19"/>
  <c r="H146" i="19"/>
  <c r="H147" i="19"/>
  <c r="H148" i="19"/>
  <c r="H149" i="19"/>
  <c r="H150" i="19"/>
  <c r="H151" i="19"/>
  <c r="H152" i="19"/>
  <c r="H153" i="19"/>
  <c r="H154" i="19"/>
  <c r="H155" i="19"/>
  <c r="H156" i="19"/>
  <c r="H161" i="19"/>
  <c r="H162" i="19"/>
  <c r="G189" i="19"/>
  <c r="H190" i="19"/>
  <c r="H191" i="19"/>
  <c r="H192" i="19"/>
  <c r="H193" i="19"/>
  <c r="H180" i="19"/>
  <c r="H181" i="19"/>
  <c r="H182" i="19"/>
  <c r="H183" i="19"/>
  <c r="F197" i="19"/>
  <c r="F199" i="19"/>
  <c r="H202" i="19"/>
  <c r="H203" i="19"/>
  <c r="H204" i="19"/>
  <c r="H205" i="19"/>
  <c r="H206" i="19"/>
  <c r="H207" i="19"/>
  <c r="H208" i="19"/>
  <c r="H209" i="19"/>
  <c r="H210" i="19"/>
  <c r="H211" i="19"/>
  <c r="H212" i="19"/>
  <c r="H217" i="19"/>
  <c r="H218" i="19"/>
  <c r="G245" i="19"/>
  <c r="H248" i="19"/>
  <c r="H249" i="19"/>
  <c r="H236" i="19"/>
  <c r="H237" i="19"/>
  <c r="H238" i="19"/>
  <c r="H239" i="19"/>
  <c r="F253" i="19"/>
  <c r="F254" i="19"/>
  <c r="F255" i="19"/>
  <c r="F258" i="19"/>
  <c r="F259" i="19"/>
  <c r="H262" i="19"/>
  <c r="H263" i="19"/>
  <c r="H264" i="19"/>
  <c r="H265" i="19"/>
  <c r="H266" i="19"/>
  <c r="H267" i="19"/>
  <c r="H268" i="19"/>
  <c r="H273" i="19"/>
  <c r="H274" i="19"/>
  <c r="G301" i="19"/>
  <c r="H304" i="19"/>
  <c r="H305" i="19"/>
  <c r="H292" i="19"/>
  <c r="H293" i="19"/>
  <c r="H294" i="19"/>
  <c r="H295" i="19"/>
  <c r="F309" i="19"/>
  <c r="F310" i="19"/>
  <c r="F311" i="19"/>
  <c r="F312" i="19"/>
  <c r="F314" i="19"/>
  <c r="H318" i="19"/>
  <c r="H319" i="19"/>
  <c r="H320" i="19"/>
  <c r="H321" i="19"/>
  <c r="H322" i="19"/>
  <c r="H323" i="19"/>
  <c r="H324" i="19"/>
  <c r="H329" i="19"/>
  <c r="H330" i="19"/>
  <c r="G357" i="19"/>
  <c r="H360" i="19"/>
  <c r="H361" i="19"/>
  <c r="H348" i="19"/>
  <c r="H349" i="19"/>
  <c r="H350" i="19"/>
  <c r="H351" i="19"/>
  <c r="F365" i="19"/>
  <c r="F366" i="19"/>
  <c r="F367" i="19"/>
  <c r="F370" i="19"/>
  <c r="H374" i="19"/>
  <c r="H375" i="19"/>
  <c r="H376" i="19"/>
  <c r="H377" i="19"/>
  <c r="H378" i="19"/>
  <c r="H379" i="19"/>
  <c r="H380" i="19"/>
  <c r="H385" i="19"/>
  <c r="H386" i="19"/>
  <c r="G413" i="19"/>
  <c r="H416" i="19"/>
  <c r="H417" i="19"/>
  <c r="H404" i="19"/>
  <c r="H405" i="19"/>
  <c r="H406" i="19"/>
  <c r="H407" i="19"/>
  <c r="F421" i="19"/>
  <c r="F422" i="19"/>
  <c r="F423" i="19"/>
  <c r="F424" i="19"/>
  <c r="K415" i="19"/>
  <c r="F426" i="19"/>
  <c r="F428" i="19" s="1"/>
  <c r="F429" i="19"/>
  <c r="H430" i="19"/>
  <c r="H431" i="19"/>
  <c r="H432" i="19"/>
  <c r="H433" i="19"/>
  <c r="H434" i="19"/>
  <c r="H435" i="19"/>
  <c r="H436" i="19"/>
  <c r="H441" i="19"/>
  <c r="H442" i="19"/>
  <c r="G469" i="19"/>
  <c r="H470" i="19"/>
  <c r="H471" i="19"/>
  <c r="H472" i="19"/>
  <c r="H473" i="19"/>
  <c r="H460" i="19"/>
  <c r="H461" i="19"/>
  <c r="H462" i="19"/>
  <c r="H463" i="19"/>
  <c r="F477" i="19"/>
  <c r="F479" i="19"/>
  <c r="F481" i="19"/>
  <c r="F482" i="19"/>
  <c r="H486" i="19"/>
  <c r="H487" i="19"/>
  <c r="H488" i="19"/>
  <c r="H489" i="19"/>
  <c r="H490" i="19"/>
  <c r="H491" i="19"/>
  <c r="H492" i="19"/>
  <c r="H497" i="19"/>
  <c r="H498" i="19"/>
  <c r="G525" i="19"/>
  <c r="H528" i="19"/>
  <c r="H529" i="19"/>
  <c r="H516" i="19"/>
  <c r="H517" i="19"/>
  <c r="H518" i="19"/>
  <c r="H519" i="19"/>
  <c r="F533" i="19"/>
  <c r="F534" i="19"/>
  <c r="F535" i="19"/>
  <c r="F536" i="19"/>
  <c r="F538" i="19"/>
  <c r="F539" i="19"/>
  <c r="H542" i="19"/>
  <c r="H543" i="19"/>
  <c r="H544" i="19"/>
  <c r="H545" i="19"/>
  <c r="H546" i="19"/>
  <c r="H547" i="19"/>
  <c r="H548" i="19"/>
  <c r="H553" i="19"/>
  <c r="H554" i="19"/>
  <c r="G581" i="19"/>
  <c r="H584" i="19"/>
  <c r="H585" i="19"/>
  <c r="H572" i="19"/>
  <c r="H573" i="19"/>
  <c r="H574" i="19"/>
  <c r="H575" i="19"/>
  <c r="F589" i="19"/>
  <c r="F590" i="19"/>
  <c r="F591" i="19"/>
  <c r="F592" i="19"/>
  <c r="F593" i="19" s="1"/>
  <c r="F594" i="19"/>
  <c r="F595" i="19"/>
  <c r="H598" i="19"/>
  <c r="H599" i="19"/>
  <c r="H600" i="19"/>
  <c r="H601" i="19"/>
  <c r="H602" i="19"/>
  <c r="H603" i="19"/>
  <c r="H604" i="19"/>
  <c r="H609" i="19"/>
  <c r="H610" i="19"/>
  <c r="G637" i="19"/>
  <c r="H640" i="19"/>
  <c r="H641" i="19"/>
  <c r="H628" i="19"/>
  <c r="H629" i="19"/>
  <c r="H630" i="19"/>
  <c r="H631" i="19"/>
  <c r="F645" i="19"/>
  <c r="F646" i="19"/>
  <c r="F647" i="19"/>
  <c r="F648" i="19"/>
  <c r="F650" i="19"/>
  <c r="H654" i="19"/>
  <c r="H655" i="19"/>
  <c r="H656" i="19"/>
  <c r="H657" i="19"/>
  <c r="H658" i="19"/>
  <c r="H659" i="19"/>
  <c r="H660" i="19"/>
  <c r="H665" i="19"/>
  <c r="H666" i="19"/>
  <c r="G693" i="19"/>
  <c r="H696" i="19"/>
  <c r="H697" i="19"/>
  <c r="H684" i="19"/>
  <c r="H685" i="19"/>
  <c r="H686" i="19"/>
  <c r="H687" i="19"/>
  <c r="F701" i="19"/>
  <c r="F702" i="19"/>
  <c r="F703" i="19"/>
  <c r="F704" i="19"/>
  <c r="F706" i="19"/>
  <c r="H710" i="19"/>
  <c r="H711" i="19"/>
  <c r="H712" i="19"/>
  <c r="H713" i="19"/>
  <c r="H714" i="19"/>
  <c r="H715" i="19"/>
  <c r="H716" i="19"/>
  <c r="H721" i="19"/>
  <c r="H722" i="19"/>
  <c r="G749" i="19"/>
  <c r="H750" i="19"/>
  <c r="H751" i="19"/>
  <c r="H752" i="19"/>
  <c r="H753" i="19"/>
  <c r="H739" i="19"/>
  <c r="H740" i="19"/>
  <c r="H741" i="19"/>
  <c r="H742" i="19"/>
  <c r="H743" i="19"/>
  <c r="H760" i="19"/>
  <c r="H761" i="19"/>
  <c r="H762" i="19"/>
  <c r="H763" i="19"/>
  <c r="H764" i="19"/>
  <c r="H765" i="19"/>
  <c r="H766" i="19"/>
  <c r="H767" i="19"/>
  <c r="H768" i="19"/>
  <c r="H769" i="19"/>
  <c r="H770" i="19"/>
  <c r="H771" i="19"/>
  <c r="H772" i="19"/>
  <c r="H777" i="19"/>
  <c r="H778" i="19"/>
  <c r="G805" i="19"/>
  <c r="H806" i="19"/>
  <c r="H807" i="19"/>
  <c r="H808" i="19"/>
  <c r="H809" i="19"/>
  <c r="H796" i="19"/>
  <c r="H797" i="19"/>
  <c r="H798" i="19"/>
  <c r="H799" i="19"/>
  <c r="H816" i="19"/>
  <c r="H817" i="19"/>
  <c r="H818" i="19"/>
  <c r="H819" i="19"/>
  <c r="H820" i="19"/>
  <c r="H821" i="19"/>
  <c r="H822" i="19"/>
  <c r="H823" i="19"/>
  <c r="H824" i="19"/>
  <c r="H825" i="19"/>
  <c r="H826" i="19"/>
  <c r="H827" i="19"/>
  <c r="H828" i="19"/>
  <c r="H833" i="19"/>
  <c r="H834" i="19"/>
  <c r="G861" i="19"/>
  <c r="H862" i="19"/>
  <c r="H863" i="19"/>
  <c r="H864" i="19"/>
  <c r="H865" i="19"/>
  <c r="H851" i="19"/>
  <c r="H852" i="19"/>
  <c r="H853" i="19"/>
  <c r="H854" i="19"/>
  <c r="H855" i="19"/>
  <c r="H872" i="19"/>
  <c r="H873" i="19"/>
  <c r="H874" i="19"/>
  <c r="H875" i="19"/>
  <c r="H876" i="19"/>
  <c r="H877" i="19"/>
  <c r="H878" i="19"/>
  <c r="H879" i="19"/>
  <c r="H880" i="19"/>
  <c r="H881" i="19"/>
  <c r="H882" i="19"/>
  <c r="H883" i="19"/>
  <c r="H884" i="19"/>
  <c r="H889" i="19"/>
  <c r="H890" i="19"/>
  <c r="G917" i="19"/>
  <c r="H918" i="19"/>
  <c r="H919" i="19"/>
  <c r="H920" i="19"/>
  <c r="H921" i="19"/>
  <c r="H908" i="19"/>
  <c r="H909" i="19"/>
  <c r="H910" i="19"/>
  <c r="H911" i="19"/>
  <c r="F925" i="19"/>
  <c r="F927" i="19"/>
  <c r="H928" i="19"/>
  <c r="H929" i="19"/>
  <c r="H930" i="19"/>
  <c r="H931" i="19"/>
  <c r="H932" i="19"/>
  <c r="H933" i="19"/>
  <c r="H934" i="19"/>
  <c r="H935" i="19"/>
  <c r="H936" i="19"/>
  <c r="H937" i="19"/>
  <c r="H938" i="19"/>
  <c r="H939" i="19"/>
  <c r="H940" i="19"/>
  <c r="H945" i="19"/>
  <c r="H946" i="19"/>
  <c r="G973" i="19"/>
  <c r="G974" i="19" s="1"/>
  <c r="H975" i="19"/>
  <c r="H976" i="19"/>
  <c r="H977" i="19"/>
  <c r="H964" i="19"/>
  <c r="H965" i="19"/>
  <c r="H966" i="19"/>
  <c r="H967" i="19"/>
  <c r="F983" i="19"/>
  <c r="H988" i="19"/>
  <c r="H989" i="19"/>
  <c r="H990" i="19"/>
  <c r="H991" i="19"/>
  <c r="H992" i="19"/>
  <c r="H993" i="19"/>
  <c r="H994" i="19"/>
  <c r="H995" i="19"/>
  <c r="H996" i="19"/>
  <c r="H1001" i="19"/>
  <c r="H1002" i="19"/>
  <c r="G1029" i="19"/>
  <c r="H1030" i="19"/>
  <c r="H1031" i="19"/>
  <c r="H1032" i="19"/>
  <c r="H1033" i="19"/>
  <c r="H1019" i="19"/>
  <c r="H1020" i="19"/>
  <c r="H1021" i="19"/>
  <c r="H1022" i="19"/>
  <c r="H1023" i="19"/>
  <c r="H1040" i="19"/>
  <c r="H1041" i="19"/>
  <c r="H1042" i="19"/>
  <c r="H1043" i="19"/>
  <c r="H1044" i="19"/>
  <c r="H1045" i="19"/>
  <c r="H1046" i="19"/>
  <c r="H1047" i="19"/>
  <c r="H1048" i="19"/>
  <c r="H1049" i="19"/>
  <c r="H1050" i="19"/>
  <c r="H1051" i="19"/>
  <c r="H1052" i="19"/>
  <c r="H1057" i="19"/>
  <c r="H1058" i="19"/>
  <c r="G1085" i="19"/>
  <c r="H1086" i="19"/>
  <c r="H1087" i="19"/>
  <c r="H1088" i="19"/>
  <c r="H1089" i="19"/>
  <c r="H1075" i="19"/>
  <c r="H1076" i="19"/>
  <c r="H1077" i="19"/>
  <c r="H1078" i="19"/>
  <c r="H1079" i="19"/>
  <c r="F1093" i="19"/>
  <c r="H1096" i="19"/>
  <c r="H1097" i="19"/>
  <c r="H1098" i="19"/>
  <c r="H1099" i="19"/>
  <c r="H1100" i="19"/>
  <c r="H1101" i="19"/>
  <c r="H1102" i="19"/>
  <c r="H1103" i="19"/>
  <c r="H1104" i="19"/>
  <c r="H1105" i="19"/>
  <c r="H1106" i="19"/>
  <c r="H1107" i="19"/>
  <c r="H1108" i="19"/>
  <c r="H1113" i="19"/>
  <c r="H1114" i="19"/>
  <c r="G1141" i="19"/>
  <c r="H1142" i="19"/>
  <c r="H1143" i="19"/>
  <c r="H1144" i="19"/>
  <c r="H1145" i="19"/>
  <c r="H1132" i="19"/>
  <c r="H1133" i="19"/>
  <c r="H1134" i="19"/>
  <c r="H1135" i="19"/>
  <c r="F1149" i="19"/>
  <c r="F1151" i="19"/>
  <c r="H1152" i="19"/>
  <c r="H1153" i="19"/>
  <c r="H1154" i="19"/>
  <c r="H1155" i="19"/>
  <c r="H1156" i="19"/>
  <c r="H1157" i="19"/>
  <c r="H1158" i="19"/>
  <c r="H1159" i="19"/>
  <c r="H1160" i="19"/>
  <c r="H1161" i="19"/>
  <c r="H1162" i="19"/>
  <c r="H1163" i="19"/>
  <c r="H1164" i="19"/>
  <c r="H1169" i="19"/>
  <c r="H1170" i="19"/>
  <c r="G1197" i="19"/>
  <c r="H1198" i="19"/>
  <c r="H1199" i="19"/>
  <c r="H1200" i="19"/>
  <c r="H1201" i="19"/>
  <c r="H1188" i="19"/>
  <c r="H1189" i="19"/>
  <c r="H1190" i="19"/>
  <c r="H1191" i="19"/>
  <c r="F1207" i="19"/>
  <c r="H1208" i="19"/>
  <c r="H1209" i="19"/>
  <c r="H1210" i="19"/>
  <c r="H1211" i="19"/>
  <c r="H1212" i="19"/>
  <c r="H1213" i="19"/>
  <c r="H1214" i="19"/>
  <c r="H1215" i="19"/>
  <c r="H1216" i="19"/>
  <c r="H1217" i="19"/>
  <c r="H1218" i="19"/>
  <c r="H1219" i="19"/>
  <c r="H1220" i="19"/>
  <c r="H1225" i="19"/>
  <c r="H1226" i="19"/>
  <c r="G1253" i="19"/>
  <c r="H1254" i="19"/>
  <c r="H1255" i="19"/>
  <c r="H1256" i="19"/>
  <c r="H1257" i="19"/>
  <c r="H1244" i="19"/>
  <c r="H1245" i="19"/>
  <c r="H1246" i="19"/>
  <c r="H1247" i="19"/>
  <c r="F1263" i="19"/>
  <c r="H1264" i="19"/>
  <c r="H1265" i="19"/>
  <c r="H1266" i="19"/>
  <c r="H1267" i="19"/>
  <c r="H1268" i="19"/>
  <c r="H1269" i="19"/>
  <c r="H1270" i="19"/>
  <c r="H1271" i="19"/>
  <c r="H1272" i="19"/>
  <c r="H1273" i="19"/>
  <c r="H1274" i="19"/>
  <c r="H1275" i="19"/>
  <c r="H1276" i="19"/>
  <c r="H1281" i="19"/>
  <c r="H1282" i="19"/>
  <c r="G1421" i="19"/>
  <c r="H1422" i="19"/>
  <c r="H1423" i="19"/>
  <c r="H1424" i="19"/>
  <c r="H1425" i="19"/>
  <c r="H1412" i="19"/>
  <c r="H1413" i="19"/>
  <c r="H1414" i="19"/>
  <c r="H1415" i="19"/>
  <c r="F1431" i="19"/>
  <c r="H1432" i="19"/>
  <c r="H1433" i="19"/>
  <c r="H1434" i="19"/>
  <c r="H1435" i="19"/>
  <c r="H1436" i="19"/>
  <c r="H1437" i="19"/>
  <c r="H1438" i="19"/>
  <c r="H1439" i="19"/>
  <c r="H1440" i="19"/>
  <c r="H1441" i="19"/>
  <c r="H1442" i="19"/>
  <c r="H1443" i="19"/>
  <c r="H1444" i="19"/>
  <c r="H1449" i="19"/>
  <c r="H1450" i="19"/>
  <c r="G1589" i="19"/>
  <c r="H1590" i="19"/>
  <c r="H1591" i="19"/>
  <c r="H1592" i="19"/>
  <c r="H1593" i="19"/>
  <c r="H1580" i="19"/>
  <c r="H1581" i="19"/>
  <c r="H1582" i="19"/>
  <c r="H1583" i="19"/>
  <c r="F1597" i="19"/>
  <c r="F1599" i="19"/>
  <c r="F1601" i="19"/>
  <c r="F1602" i="19"/>
  <c r="F1604" i="19" s="1"/>
  <c r="F1606" i="19"/>
  <c r="F1609" i="19"/>
  <c r="H1611" i="19"/>
  <c r="H1612" i="19"/>
  <c r="H1617" i="19"/>
  <c r="H1618" i="19"/>
  <c r="G1533" i="19"/>
  <c r="H1534" i="19"/>
  <c r="H1535" i="19"/>
  <c r="H1536" i="19"/>
  <c r="H1537" i="19"/>
  <c r="H1524" i="19"/>
  <c r="H1525" i="19"/>
  <c r="H1526" i="19"/>
  <c r="H1527" i="19"/>
  <c r="F1541" i="19"/>
  <c r="F1543" i="19"/>
  <c r="F1545" i="19"/>
  <c r="F1546" i="19"/>
  <c r="F1548" i="19" s="1"/>
  <c r="F1550" i="19"/>
  <c r="H1555" i="19"/>
  <c r="H1556" i="19"/>
  <c r="H1561" i="19"/>
  <c r="H1562" i="19"/>
  <c r="G1477" i="19"/>
  <c r="H1478" i="19"/>
  <c r="H1479" i="19"/>
  <c r="H1480" i="19"/>
  <c r="H1481" i="19"/>
  <c r="H1468" i="19"/>
  <c r="H1469" i="19"/>
  <c r="H1470" i="19"/>
  <c r="H1471" i="19"/>
  <c r="F1485" i="19"/>
  <c r="F1487" i="19"/>
  <c r="F1489" i="19"/>
  <c r="F1490" i="19"/>
  <c r="H1494" i="19"/>
  <c r="H1495" i="19"/>
  <c r="H1496" i="19"/>
  <c r="H1497" i="19"/>
  <c r="H1498" i="19"/>
  <c r="H1499" i="19"/>
  <c r="H1500" i="19"/>
  <c r="H1505" i="19"/>
  <c r="H1506" i="19"/>
  <c r="G1645" i="19"/>
  <c r="H1646" i="19"/>
  <c r="H1647" i="19"/>
  <c r="H1648" i="19"/>
  <c r="H1649" i="19"/>
  <c r="H1635" i="19"/>
  <c r="H1636" i="19"/>
  <c r="H1637" i="19"/>
  <c r="H1638" i="19"/>
  <c r="H1639" i="19"/>
  <c r="F1653" i="19"/>
  <c r="F1658" i="19"/>
  <c r="H1661" i="19"/>
  <c r="H1662" i="19"/>
  <c r="H1663" i="19"/>
  <c r="H1664" i="19"/>
  <c r="H1665" i="19"/>
  <c r="H1666" i="19"/>
  <c r="H1667" i="19"/>
  <c r="H1668" i="19"/>
  <c r="H1673" i="19"/>
  <c r="H1674" i="19"/>
  <c r="G1756" i="19"/>
  <c r="H1758" i="19"/>
  <c r="H1760" i="19"/>
  <c r="H1761" i="19"/>
  <c r="H1748" i="19"/>
  <c r="H1749" i="19"/>
  <c r="H1750" i="19"/>
  <c r="H1751" i="19"/>
  <c r="H1776" i="19"/>
  <c r="H1780" i="19"/>
  <c r="H1785" i="19"/>
  <c r="H1786" i="19"/>
  <c r="G2093" i="19"/>
  <c r="H2094" i="19"/>
  <c r="H2096" i="19"/>
  <c r="H2097" i="19"/>
  <c r="H2084" i="19"/>
  <c r="H2085" i="19"/>
  <c r="H2086" i="19"/>
  <c r="H2087" i="19"/>
  <c r="H2101" i="19"/>
  <c r="F2104" i="19"/>
  <c r="F2105" i="19"/>
  <c r="F2109" i="19"/>
  <c r="F2111" i="19"/>
  <c r="F2110" i="19"/>
  <c r="F2112" i="19"/>
  <c r="H2115" i="19"/>
  <c r="H2116" i="19"/>
  <c r="H2121" i="19"/>
  <c r="H2122" i="19"/>
  <c r="G2037" i="19"/>
  <c r="H2038" i="19"/>
  <c r="H2039" i="19"/>
  <c r="H2040" i="19"/>
  <c r="H2041" i="19"/>
  <c r="H2028" i="19"/>
  <c r="H2029" i="19"/>
  <c r="H2030" i="19"/>
  <c r="H2031" i="19"/>
  <c r="H2046" i="19"/>
  <c r="H2047" i="19"/>
  <c r="H2048" i="19"/>
  <c r="H2049" i="19"/>
  <c r="H2050" i="19"/>
  <c r="H2051" i="19"/>
  <c r="H2052" i="19"/>
  <c r="H2053" i="19"/>
  <c r="H2054" i="19"/>
  <c r="H2055" i="19"/>
  <c r="H2056" i="19"/>
  <c r="H2057" i="19"/>
  <c r="H2058" i="19"/>
  <c r="H2059" i="19"/>
  <c r="H2060" i="19"/>
  <c r="H2045" i="19"/>
  <c r="H2065" i="19"/>
  <c r="H2066" i="19"/>
  <c r="G1981" i="19"/>
  <c r="H1982" i="19"/>
  <c r="H1983" i="19"/>
  <c r="H1984" i="19"/>
  <c r="H1985" i="19"/>
  <c r="H1972" i="19"/>
  <c r="H1973" i="19"/>
  <c r="H1974" i="19"/>
  <c r="H1975" i="19"/>
  <c r="F1989" i="19"/>
  <c r="F1990" i="19"/>
  <c r="F1991" i="19"/>
  <c r="H1994" i="19"/>
  <c r="H1995" i="19"/>
  <c r="H1996" i="19"/>
  <c r="H1997" i="19"/>
  <c r="H1998" i="19"/>
  <c r="H1999" i="19"/>
  <c r="H2000" i="19"/>
  <c r="H2001" i="19"/>
  <c r="H2002" i="19"/>
  <c r="H2003" i="19"/>
  <c r="H2004" i="19"/>
  <c r="H2009" i="19"/>
  <c r="H2010" i="19"/>
  <c r="G1869" i="19"/>
  <c r="H1870" i="19"/>
  <c r="H1871" i="19"/>
  <c r="H1872" i="19"/>
  <c r="H1873" i="19"/>
  <c r="H1859" i="19"/>
  <c r="H1860" i="19"/>
  <c r="H1861" i="19"/>
  <c r="H1862" i="19"/>
  <c r="H1863" i="19"/>
  <c r="H1878" i="19"/>
  <c r="H1879" i="19"/>
  <c r="H1880" i="19"/>
  <c r="H1881" i="19"/>
  <c r="H1882" i="19"/>
  <c r="H1883" i="19"/>
  <c r="H1884" i="19"/>
  <c r="H1885" i="19"/>
  <c r="H1886" i="19"/>
  <c r="H1887" i="19"/>
  <c r="H1888" i="19"/>
  <c r="H1889" i="19"/>
  <c r="H1890" i="19"/>
  <c r="H1891" i="19"/>
  <c r="H1892" i="19"/>
  <c r="H1897" i="19"/>
  <c r="H1898" i="19"/>
  <c r="F5" i="5"/>
  <c r="G5" i="5"/>
  <c r="F4" i="5"/>
  <c r="G4" i="5"/>
  <c r="D8" i="5"/>
  <c r="E3" i="5"/>
  <c r="F3" i="5" s="1"/>
  <c r="G3" i="5" s="1"/>
  <c r="H554" i="28"/>
  <c r="G554" i="28"/>
  <c r="E554" i="28"/>
  <c r="B554" i="28"/>
  <c r="H553" i="28"/>
  <c r="G553" i="28"/>
  <c r="E553" i="28"/>
  <c r="B553" i="28"/>
  <c r="H548" i="28"/>
  <c r="G548" i="28"/>
  <c r="E548" i="28"/>
  <c r="B548" i="28"/>
  <c r="H547" i="28"/>
  <c r="G547" i="28"/>
  <c r="E547" i="28"/>
  <c r="B547" i="28"/>
  <c r="H546" i="28"/>
  <c r="G546" i="28"/>
  <c r="E546" i="28"/>
  <c r="B546" i="28"/>
  <c r="H545" i="28"/>
  <c r="G545" i="28"/>
  <c r="E545" i="28"/>
  <c r="B545" i="28"/>
  <c r="H544" i="28"/>
  <c r="G544" i="28"/>
  <c r="E544" i="28"/>
  <c r="B544" i="28"/>
  <c r="H543" i="28"/>
  <c r="G543" i="28"/>
  <c r="E543" i="28"/>
  <c r="B543" i="28"/>
  <c r="H542" i="28"/>
  <c r="G542" i="28"/>
  <c r="E542" i="28"/>
  <c r="B542" i="28"/>
  <c r="H541" i="28"/>
  <c r="H540" i="28"/>
  <c r="H539" i="28"/>
  <c r="H538" i="28"/>
  <c r="H537" i="28"/>
  <c r="H536" i="28"/>
  <c r="H535" i="28"/>
  <c r="H534" i="28"/>
  <c r="H533" i="28"/>
  <c r="H529" i="28"/>
  <c r="F529" i="28"/>
  <c r="E529" i="28"/>
  <c r="B529" i="28"/>
  <c r="H528" i="28"/>
  <c r="F528" i="28"/>
  <c r="E528" i="28"/>
  <c r="B528" i="28"/>
  <c r="H527" i="28"/>
  <c r="F527" i="28"/>
  <c r="E527" i="28"/>
  <c r="B527" i="28"/>
  <c r="H526" i="28"/>
  <c r="F526" i="28"/>
  <c r="E526" i="28"/>
  <c r="B526" i="28"/>
  <c r="G525" i="28"/>
  <c r="H523" i="28"/>
  <c r="G523" i="28"/>
  <c r="F523" i="28"/>
  <c r="E523" i="28"/>
  <c r="B523" i="28"/>
  <c r="H519" i="28"/>
  <c r="F519" i="28"/>
  <c r="E519" i="28"/>
  <c r="B519" i="28"/>
  <c r="H518" i="28"/>
  <c r="F518" i="28"/>
  <c r="E518" i="28"/>
  <c r="B518" i="28"/>
  <c r="H517" i="28"/>
  <c r="F517" i="28"/>
  <c r="E517" i="28"/>
  <c r="B517" i="28"/>
  <c r="H516" i="28"/>
  <c r="F516" i="28"/>
  <c r="E516" i="28"/>
  <c r="B516" i="28"/>
  <c r="H515" i="28"/>
  <c r="F515" i="28"/>
  <c r="E515" i="28"/>
  <c r="B515" i="28"/>
  <c r="N505" i="28"/>
  <c r="M505" i="28"/>
  <c r="L505" i="28"/>
  <c r="D1" i="28"/>
  <c r="F31" i="18"/>
  <c r="F34" i="18" s="1"/>
  <c r="F146" i="26"/>
  <c r="F370" i="26"/>
  <c r="F373" i="26" s="1"/>
  <c r="F312" i="26"/>
  <c r="F311" i="26"/>
  <c r="F310" i="26"/>
  <c r="F309" i="26"/>
  <c r="G301" i="26"/>
  <c r="H330" i="26"/>
  <c r="G330" i="26"/>
  <c r="E330" i="26"/>
  <c r="B330" i="26"/>
  <c r="H329" i="26"/>
  <c r="G329" i="26"/>
  <c r="E329" i="26"/>
  <c r="B329" i="26"/>
  <c r="H324" i="26"/>
  <c r="G324" i="26"/>
  <c r="E324" i="26"/>
  <c r="B324" i="26"/>
  <c r="H323" i="26"/>
  <c r="G323" i="26"/>
  <c r="E323" i="26"/>
  <c r="B323" i="26"/>
  <c r="H322" i="26"/>
  <c r="G322" i="26"/>
  <c r="E322" i="26"/>
  <c r="B322" i="26"/>
  <c r="H321" i="26"/>
  <c r="G321" i="26"/>
  <c r="E321" i="26"/>
  <c r="B321" i="26"/>
  <c r="H320" i="26"/>
  <c r="G320" i="26"/>
  <c r="E320" i="26"/>
  <c r="B320" i="26"/>
  <c r="H319" i="26"/>
  <c r="G319" i="26"/>
  <c r="E319" i="26"/>
  <c r="B319" i="26"/>
  <c r="H318" i="26"/>
  <c r="G318" i="26"/>
  <c r="E318" i="26"/>
  <c r="B318" i="26"/>
  <c r="H317" i="26"/>
  <c r="G317" i="26"/>
  <c r="E317" i="26"/>
  <c r="B317" i="26"/>
  <c r="H316" i="26"/>
  <c r="G316" i="26"/>
  <c r="E316" i="26"/>
  <c r="B316" i="26"/>
  <c r="H305" i="26"/>
  <c r="F305" i="26"/>
  <c r="E305" i="26"/>
  <c r="B305" i="26"/>
  <c r="H304" i="26"/>
  <c r="F304" i="26"/>
  <c r="E304" i="26"/>
  <c r="B304" i="26"/>
  <c r="H303" i="26"/>
  <c r="F303" i="26"/>
  <c r="E303" i="26"/>
  <c r="B303" i="26"/>
  <c r="H295" i="26"/>
  <c r="F295" i="26"/>
  <c r="E295" i="26"/>
  <c r="B295" i="26"/>
  <c r="H294" i="26"/>
  <c r="F294" i="26"/>
  <c r="E294" i="26"/>
  <c r="B294" i="26"/>
  <c r="H293" i="26"/>
  <c r="F293" i="26"/>
  <c r="E293" i="26"/>
  <c r="B293" i="26"/>
  <c r="H292" i="26"/>
  <c r="F292" i="26"/>
  <c r="E292" i="26"/>
  <c r="B292" i="26"/>
  <c r="G291" i="26"/>
  <c r="A285" i="26"/>
  <c r="L281" i="26"/>
  <c r="N281" i="26"/>
  <c r="M281" i="26"/>
  <c r="F255" i="26"/>
  <c r="F254" i="26"/>
  <c r="F253" i="26"/>
  <c r="G245" i="26"/>
  <c r="L702" i="25"/>
  <c r="F704" i="25"/>
  <c r="H707" i="25"/>
  <c r="G707" i="25"/>
  <c r="E707" i="25"/>
  <c r="B707" i="25"/>
  <c r="H442" i="21"/>
  <c r="G442" i="21"/>
  <c r="E442" i="21"/>
  <c r="B442" i="21"/>
  <c r="H441" i="21"/>
  <c r="G441" i="21"/>
  <c r="E441" i="21"/>
  <c r="B441" i="21"/>
  <c r="H436" i="21"/>
  <c r="G436" i="21"/>
  <c r="E436" i="21"/>
  <c r="B436" i="21"/>
  <c r="H435" i="21"/>
  <c r="G435" i="21"/>
  <c r="E435" i="21"/>
  <c r="B435" i="21"/>
  <c r="H434" i="21"/>
  <c r="G434" i="21"/>
  <c r="E434" i="21"/>
  <c r="B434" i="21"/>
  <c r="H433" i="21"/>
  <c r="G433" i="21"/>
  <c r="E433" i="21"/>
  <c r="B433" i="21"/>
  <c r="H432" i="21"/>
  <c r="G432" i="21"/>
  <c r="E432" i="21"/>
  <c r="B432" i="21"/>
  <c r="H431" i="21"/>
  <c r="G431" i="21"/>
  <c r="E431" i="21"/>
  <c r="B431" i="21"/>
  <c r="H430" i="21"/>
  <c r="G430" i="21"/>
  <c r="E430" i="21"/>
  <c r="B430" i="21"/>
  <c r="H429" i="21"/>
  <c r="G429" i="21"/>
  <c r="E429" i="21"/>
  <c r="B429" i="21"/>
  <c r="H428" i="21"/>
  <c r="G428" i="21"/>
  <c r="E428" i="21"/>
  <c r="B428" i="21"/>
  <c r="H427" i="21"/>
  <c r="G427" i="21"/>
  <c r="E427" i="21"/>
  <c r="B427" i="21"/>
  <c r="H426" i="21"/>
  <c r="G426" i="21"/>
  <c r="E426" i="21"/>
  <c r="B426" i="21"/>
  <c r="H425" i="21"/>
  <c r="G425" i="21"/>
  <c r="E425" i="21"/>
  <c r="B425" i="21"/>
  <c r="H424" i="21"/>
  <c r="G424" i="21"/>
  <c r="E424" i="21"/>
  <c r="B424" i="21"/>
  <c r="H417" i="21"/>
  <c r="F417" i="21"/>
  <c r="E417" i="21"/>
  <c r="B417" i="21"/>
  <c r="H416" i="21"/>
  <c r="F416" i="21"/>
  <c r="E416" i="21"/>
  <c r="B416" i="21"/>
  <c r="H415" i="21"/>
  <c r="F415" i="21"/>
  <c r="E415" i="21"/>
  <c r="B415" i="21"/>
  <c r="H414" i="21"/>
  <c r="F414" i="21"/>
  <c r="E414" i="21"/>
  <c r="B414" i="21"/>
  <c r="G413" i="21"/>
  <c r="H407" i="21"/>
  <c r="F407" i="21"/>
  <c r="E407" i="21"/>
  <c r="B407" i="21"/>
  <c r="H406" i="21"/>
  <c r="F406" i="21"/>
  <c r="E406" i="21"/>
  <c r="B406" i="21"/>
  <c r="H405" i="21"/>
  <c r="F405" i="21"/>
  <c r="E405" i="21"/>
  <c r="B405" i="21"/>
  <c r="H404" i="21"/>
  <c r="F404" i="21"/>
  <c r="E404" i="21"/>
  <c r="B404" i="21"/>
  <c r="N393" i="21"/>
  <c r="M393" i="21"/>
  <c r="L393" i="21"/>
  <c r="D213" i="5"/>
  <c r="D210" i="5"/>
  <c r="H144" i="21"/>
  <c r="G144" i="21"/>
  <c r="E144" i="21"/>
  <c r="B144" i="21"/>
  <c r="H206" i="53"/>
  <c r="H207" i="53"/>
  <c r="H208" i="53"/>
  <c r="H209" i="53"/>
  <c r="H210" i="53"/>
  <c r="H211" i="53"/>
  <c r="H212" i="53"/>
  <c r="H217" i="53"/>
  <c r="H218" i="53"/>
  <c r="H187" i="53"/>
  <c r="G189" i="53"/>
  <c r="G190" i="53"/>
  <c r="H191" i="53"/>
  <c r="H192" i="53"/>
  <c r="H193" i="53"/>
  <c r="H179" i="53"/>
  <c r="H180" i="53"/>
  <c r="H181" i="53"/>
  <c r="H182" i="53"/>
  <c r="H183" i="53"/>
  <c r="G218" i="53"/>
  <c r="E218" i="53"/>
  <c r="B218" i="53"/>
  <c r="G217" i="53"/>
  <c r="E217" i="53"/>
  <c r="B217" i="53"/>
  <c r="G212" i="53"/>
  <c r="E212" i="53"/>
  <c r="B212" i="53"/>
  <c r="G211" i="53"/>
  <c r="E211" i="53"/>
  <c r="B211" i="53"/>
  <c r="G210" i="53"/>
  <c r="E210" i="53"/>
  <c r="B210" i="53"/>
  <c r="G209" i="53"/>
  <c r="E209" i="53"/>
  <c r="B209" i="53"/>
  <c r="G208" i="53"/>
  <c r="E208" i="53"/>
  <c r="B208" i="53"/>
  <c r="G207" i="53"/>
  <c r="E207" i="53"/>
  <c r="B207" i="53"/>
  <c r="G206" i="53"/>
  <c r="E206" i="53"/>
  <c r="B206" i="53"/>
  <c r="J194" i="53"/>
  <c r="F193" i="53"/>
  <c r="E193" i="53"/>
  <c r="B193" i="53"/>
  <c r="F192" i="53"/>
  <c r="E192" i="53"/>
  <c r="B192" i="53"/>
  <c r="F191" i="53"/>
  <c r="E191" i="53"/>
  <c r="B191" i="53"/>
  <c r="J190" i="53"/>
  <c r="K188" i="53"/>
  <c r="G187" i="53"/>
  <c r="F187" i="53"/>
  <c r="E187" i="53"/>
  <c r="B187" i="53"/>
  <c r="F183" i="53"/>
  <c r="E183" i="53"/>
  <c r="B183" i="53"/>
  <c r="F182" i="53"/>
  <c r="E182" i="53"/>
  <c r="B182" i="53"/>
  <c r="F181" i="53"/>
  <c r="E181" i="53"/>
  <c r="B181" i="53"/>
  <c r="F180" i="53"/>
  <c r="E180" i="53"/>
  <c r="B180" i="53"/>
  <c r="F179" i="53"/>
  <c r="E179" i="53"/>
  <c r="B179" i="53"/>
  <c r="N169" i="53"/>
  <c r="M169" i="53"/>
  <c r="L169" i="53"/>
  <c r="D169" i="53"/>
  <c r="H150" i="53"/>
  <c r="H151" i="53"/>
  <c r="H152" i="53"/>
  <c r="H153" i="53"/>
  <c r="H154" i="53"/>
  <c r="H155" i="53"/>
  <c r="H156" i="53"/>
  <c r="H161" i="53"/>
  <c r="H162" i="53"/>
  <c r="H131" i="53"/>
  <c r="G133" i="53"/>
  <c r="G134" i="53"/>
  <c r="H135" i="53"/>
  <c r="H136" i="53"/>
  <c r="H137" i="53"/>
  <c r="H123" i="53"/>
  <c r="H124" i="53"/>
  <c r="H125" i="53"/>
  <c r="H126" i="53"/>
  <c r="H127" i="53"/>
  <c r="G162" i="53"/>
  <c r="E162" i="53"/>
  <c r="B162" i="53"/>
  <c r="G161" i="53"/>
  <c r="E161" i="53"/>
  <c r="B161" i="53"/>
  <c r="G156" i="53"/>
  <c r="E156" i="53"/>
  <c r="B156" i="53"/>
  <c r="G155" i="53"/>
  <c r="E155" i="53"/>
  <c r="B155" i="53"/>
  <c r="G154" i="53"/>
  <c r="E154" i="53"/>
  <c r="B154" i="53"/>
  <c r="G153" i="53"/>
  <c r="E153" i="53"/>
  <c r="B153" i="53"/>
  <c r="G152" i="53"/>
  <c r="E152" i="53"/>
  <c r="B152" i="53"/>
  <c r="G151" i="53"/>
  <c r="E151" i="53"/>
  <c r="B151" i="53"/>
  <c r="G150" i="53"/>
  <c r="E150" i="53"/>
  <c r="B150" i="53"/>
  <c r="J138" i="53"/>
  <c r="F137" i="53"/>
  <c r="E137" i="53"/>
  <c r="B137" i="53"/>
  <c r="F136" i="53"/>
  <c r="E136" i="53"/>
  <c r="B136" i="53"/>
  <c r="F135" i="53"/>
  <c r="E135" i="53"/>
  <c r="B135" i="53"/>
  <c r="J134" i="53"/>
  <c r="K132" i="53"/>
  <c r="G131" i="53"/>
  <c r="F131" i="53"/>
  <c r="E131" i="53"/>
  <c r="B131" i="53"/>
  <c r="F127" i="53"/>
  <c r="E127" i="53"/>
  <c r="B127" i="53"/>
  <c r="F126" i="53"/>
  <c r="E126" i="53"/>
  <c r="B126" i="53"/>
  <c r="F125" i="53"/>
  <c r="E125" i="53"/>
  <c r="B125" i="53"/>
  <c r="F124" i="53"/>
  <c r="E124" i="53"/>
  <c r="B124" i="53"/>
  <c r="F123" i="53"/>
  <c r="E123" i="53"/>
  <c r="B123" i="53"/>
  <c r="N113" i="53"/>
  <c r="M113" i="53"/>
  <c r="L113" i="53"/>
  <c r="D113" i="53"/>
  <c r="H94" i="53"/>
  <c r="H95" i="53"/>
  <c r="H96" i="53"/>
  <c r="H97" i="53"/>
  <c r="H98" i="53"/>
  <c r="H99" i="53"/>
  <c r="H100" i="53"/>
  <c r="H105" i="53"/>
  <c r="H106" i="53"/>
  <c r="H75" i="53"/>
  <c r="G77" i="53"/>
  <c r="G78" i="53" s="1"/>
  <c r="H79" i="53"/>
  <c r="H80" i="53"/>
  <c r="H81" i="53"/>
  <c r="H67" i="53"/>
  <c r="H68" i="53"/>
  <c r="H69" i="53"/>
  <c r="H70" i="53"/>
  <c r="H71" i="53"/>
  <c r="G106" i="53"/>
  <c r="E106" i="53"/>
  <c r="B106" i="53"/>
  <c r="G105" i="53"/>
  <c r="E105" i="53"/>
  <c r="B105" i="53"/>
  <c r="G100" i="53"/>
  <c r="E100" i="53"/>
  <c r="B100" i="53"/>
  <c r="G99" i="53"/>
  <c r="E99" i="53"/>
  <c r="B99" i="53"/>
  <c r="G98" i="53"/>
  <c r="E98" i="53"/>
  <c r="B98" i="53"/>
  <c r="G97" i="53"/>
  <c r="E97" i="53"/>
  <c r="B97" i="53"/>
  <c r="G96" i="53"/>
  <c r="E96" i="53"/>
  <c r="B96" i="53"/>
  <c r="G95" i="53"/>
  <c r="E95" i="53"/>
  <c r="B95" i="53"/>
  <c r="G94" i="53"/>
  <c r="E94" i="53"/>
  <c r="B94" i="53"/>
  <c r="J82" i="53"/>
  <c r="F81" i="53"/>
  <c r="E81" i="53"/>
  <c r="B81" i="53"/>
  <c r="F80" i="53"/>
  <c r="E80" i="53"/>
  <c r="B80" i="53"/>
  <c r="F79" i="53"/>
  <c r="E79" i="53"/>
  <c r="B79" i="53"/>
  <c r="J78" i="53"/>
  <c r="K76" i="53"/>
  <c r="G75" i="53"/>
  <c r="F75" i="53"/>
  <c r="E75" i="53"/>
  <c r="B75" i="53"/>
  <c r="F71" i="53"/>
  <c r="E71" i="53"/>
  <c r="B71" i="53"/>
  <c r="F70" i="53"/>
  <c r="E70" i="53"/>
  <c r="B70" i="53"/>
  <c r="F69" i="53"/>
  <c r="E69" i="53"/>
  <c r="B69" i="53"/>
  <c r="F68" i="53"/>
  <c r="E68" i="53"/>
  <c r="B68" i="53"/>
  <c r="F67" i="53"/>
  <c r="E67" i="53"/>
  <c r="B67" i="53"/>
  <c r="N57" i="53"/>
  <c r="M57" i="53"/>
  <c r="L57" i="53"/>
  <c r="D57" i="53"/>
  <c r="H38" i="53"/>
  <c r="H39" i="53"/>
  <c r="H40" i="53"/>
  <c r="H41" i="53"/>
  <c r="H42" i="53"/>
  <c r="H43" i="53"/>
  <c r="H44" i="53"/>
  <c r="H49" i="53"/>
  <c r="H50" i="53"/>
  <c r="H19" i="53"/>
  <c r="G21" i="53"/>
  <c r="G22" i="53"/>
  <c r="H23" i="53"/>
  <c r="H24" i="53"/>
  <c r="H25" i="53"/>
  <c r="H11" i="53"/>
  <c r="H12" i="53"/>
  <c r="H13" i="53"/>
  <c r="H14" i="53"/>
  <c r="H15" i="53"/>
  <c r="G50" i="53"/>
  <c r="E50" i="53"/>
  <c r="B50" i="53"/>
  <c r="G49" i="53"/>
  <c r="E49" i="53"/>
  <c r="B49" i="53"/>
  <c r="G44" i="53"/>
  <c r="E44" i="53"/>
  <c r="B44" i="53"/>
  <c r="G43" i="53"/>
  <c r="E43" i="53"/>
  <c r="B43" i="53"/>
  <c r="G42" i="53"/>
  <c r="E42" i="53"/>
  <c r="B42" i="53"/>
  <c r="G41" i="53"/>
  <c r="E41" i="53"/>
  <c r="B41" i="53"/>
  <c r="G40" i="53"/>
  <c r="E40" i="53"/>
  <c r="B40" i="53"/>
  <c r="G39" i="53"/>
  <c r="E39" i="53"/>
  <c r="B39" i="53"/>
  <c r="G38" i="53"/>
  <c r="E38" i="53"/>
  <c r="B38" i="53"/>
  <c r="J26" i="53"/>
  <c r="F25" i="53"/>
  <c r="E25" i="53"/>
  <c r="B25" i="53"/>
  <c r="F24" i="53"/>
  <c r="E24" i="53"/>
  <c r="B24" i="53"/>
  <c r="F23" i="53"/>
  <c r="E23" i="53"/>
  <c r="B23" i="53"/>
  <c r="J22" i="53"/>
  <c r="K20" i="53"/>
  <c r="G19" i="53"/>
  <c r="F19" i="53"/>
  <c r="E19" i="53"/>
  <c r="B19" i="53"/>
  <c r="F15" i="53"/>
  <c r="E15" i="53"/>
  <c r="B15" i="53"/>
  <c r="F14" i="53"/>
  <c r="E14" i="53"/>
  <c r="B14" i="53"/>
  <c r="F13" i="53"/>
  <c r="E13" i="53"/>
  <c r="B13" i="53"/>
  <c r="F12" i="53"/>
  <c r="E12" i="53"/>
  <c r="B12" i="53"/>
  <c r="F11" i="53"/>
  <c r="E11" i="53"/>
  <c r="B11" i="53"/>
  <c r="N1" i="53"/>
  <c r="M1" i="53"/>
  <c r="L1" i="53"/>
  <c r="D1" i="53"/>
  <c r="F29" i="25"/>
  <c r="F33" i="25"/>
  <c r="F34" i="25"/>
  <c r="F35" i="25"/>
  <c r="H35" i="25"/>
  <c r="H36" i="25"/>
  <c r="F39" i="25"/>
  <c r="H40" i="25"/>
  <c r="H41" i="25"/>
  <c r="H42" i="25"/>
  <c r="H43" i="25"/>
  <c r="H44" i="25"/>
  <c r="H49" i="25"/>
  <c r="H50" i="25"/>
  <c r="G21" i="25"/>
  <c r="H22" i="25"/>
  <c r="H23" i="25"/>
  <c r="H24" i="25"/>
  <c r="H25" i="25"/>
  <c r="G11" i="25"/>
  <c r="H12" i="25"/>
  <c r="H13" i="25"/>
  <c r="H14" i="25"/>
  <c r="H15" i="25"/>
  <c r="H85" i="25"/>
  <c r="H86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5" i="25"/>
  <c r="H106" i="25"/>
  <c r="G77" i="25"/>
  <c r="H78" i="25"/>
  <c r="H79" i="25"/>
  <c r="H80" i="25"/>
  <c r="H81" i="25"/>
  <c r="G67" i="25"/>
  <c r="H68" i="25"/>
  <c r="H69" i="25"/>
  <c r="H70" i="25"/>
  <c r="H71" i="25"/>
  <c r="H141" i="25"/>
  <c r="H142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61" i="25"/>
  <c r="H162" i="25"/>
  <c r="G133" i="25"/>
  <c r="H134" i="25"/>
  <c r="H135" i="25"/>
  <c r="H136" i="25"/>
  <c r="H137" i="25"/>
  <c r="G123" i="25"/>
  <c r="H124" i="25"/>
  <c r="H125" i="25"/>
  <c r="H126" i="25"/>
  <c r="H127" i="25"/>
  <c r="H209" i="25"/>
  <c r="H210" i="25"/>
  <c r="H211" i="25"/>
  <c r="H212" i="25"/>
  <c r="H217" i="25"/>
  <c r="H218" i="25"/>
  <c r="G179" i="25"/>
  <c r="H180" i="25"/>
  <c r="H181" i="25"/>
  <c r="H182" i="25"/>
  <c r="H183" i="25"/>
  <c r="J367" i="25"/>
  <c r="J369" i="25"/>
  <c r="H366" i="25"/>
  <c r="F367" i="25"/>
  <c r="F369" i="25"/>
  <c r="F368" i="25"/>
  <c r="H371" i="25"/>
  <c r="F372" i="25"/>
  <c r="G372" i="25"/>
  <c r="H373" i="25"/>
  <c r="H374" i="25"/>
  <c r="H375" i="25"/>
  <c r="H376" i="25"/>
  <c r="H377" i="25"/>
  <c r="H378" i="25"/>
  <c r="H379" i="25"/>
  <c r="H380" i="25"/>
  <c r="H385" i="25"/>
  <c r="H386" i="25"/>
  <c r="H355" i="25"/>
  <c r="G357" i="25"/>
  <c r="H359" i="25"/>
  <c r="H360" i="25"/>
  <c r="H361" i="25"/>
  <c r="G348" i="25"/>
  <c r="H349" i="25"/>
  <c r="H350" i="25"/>
  <c r="H351" i="25"/>
  <c r="J423" i="25"/>
  <c r="J421" i="25" s="1"/>
  <c r="F426" i="25" s="1"/>
  <c r="J425" i="25"/>
  <c r="H422" i="25"/>
  <c r="F423" i="25"/>
  <c r="F425" i="25" s="1"/>
  <c r="F424" i="25"/>
  <c r="H427" i="25"/>
  <c r="F428" i="25"/>
  <c r="H428" i="25" s="1"/>
  <c r="G428" i="25"/>
  <c r="H429" i="25"/>
  <c r="H430" i="25"/>
  <c r="H431" i="25"/>
  <c r="H432" i="25"/>
  <c r="H433" i="25"/>
  <c r="H434" i="25"/>
  <c r="H435" i="25"/>
  <c r="H436" i="25"/>
  <c r="H441" i="25"/>
  <c r="H442" i="25"/>
  <c r="H411" i="25"/>
  <c r="G413" i="25"/>
  <c r="G414" i="25" s="1"/>
  <c r="H415" i="25"/>
  <c r="H416" i="25"/>
  <c r="H417" i="25"/>
  <c r="G404" i="25"/>
  <c r="H405" i="25"/>
  <c r="H406" i="25"/>
  <c r="H407" i="25"/>
  <c r="J479" i="25"/>
  <c r="J481" i="25"/>
  <c r="H478" i="25"/>
  <c r="F479" i="25"/>
  <c r="F481" i="25"/>
  <c r="F480" i="25"/>
  <c r="H483" i="25"/>
  <c r="F484" i="25"/>
  <c r="G484" i="25"/>
  <c r="H485" i="25"/>
  <c r="H486" i="25"/>
  <c r="H487" i="25"/>
  <c r="H488" i="25"/>
  <c r="H489" i="25"/>
  <c r="H490" i="25"/>
  <c r="H491" i="25"/>
  <c r="H492" i="25"/>
  <c r="H497" i="25"/>
  <c r="H498" i="25"/>
  <c r="H467" i="25"/>
  <c r="G469" i="25"/>
  <c r="G470" i="25" s="1"/>
  <c r="H471" i="25"/>
  <c r="H472" i="25"/>
  <c r="H473" i="25"/>
  <c r="G460" i="25"/>
  <c r="H461" i="25"/>
  <c r="H462" i="25"/>
  <c r="H463" i="25"/>
  <c r="J535" i="25"/>
  <c r="J537" i="25"/>
  <c r="J533" i="25"/>
  <c r="F533" i="25"/>
  <c r="F537" i="25"/>
  <c r="H539" i="25"/>
  <c r="H540" i="25"/>
  <c r="H541" i="25"/>
  <c r="H542" i="25"/>
  <c r="H543" i="25"/>
  <c r="H544" i="25"/>
  <c r="H545" i="25"/>
  <c r="H546" i="25"/>
  <c r="H547" i="25"/>
  <c r="H548" i="25"/>
  <c r="H553" i="25"/>
  <c r="H554" i="25"/>
  <c r="H523" i="25"/>
  <c r="G525" i="25"/>
  <c r="H526" i="25"/>
  <c r="H527" i="25"/>
  <c r="H528" i="25"/>
  <c r="H529" i="25"/>
  <c r="H516" i="25"/>
  <c r="H517" i="25"/>
  <c r="H518" i="25"/>
  <c r="H519" i="25"/>
  <c r="H589" i="25"/>
  <c r="H590" i="25"/>
  <c r="H591" i="25"/>
  <c r="H592" i="25"/>
  <c r="H593" i="25"/>
  <c r="H594" i="25"/>
  <c r="H595" i="25"/>
  <c r="H596" i="25"/>
  <c r="H597" i="25"/>
  <c r="H598" i="25"/>
  <c r="H599" i="25"/>
  <c r="H600" i="25"/>
  <c r="H601" i="25"/>
  <c r="H602" i="25"/>
  <c r="H603" i="25"/>
  <c r="H604" i="25"/>
  <c r="H609" i="25"/>
  <c r="H610" i="25"/>
  <c r="H579" i="25"/>
  <c r="G581" i="25"/>
  <c r="H582" i="25"/>
  <c r="H583" i="25"/>
  <c r="H584" i="25"/>
  <c r="H585" i="25"/>
  <c r="H571" i="25"/>
  <c r="H572" i="25"/>
  <c r="H573" i="25"/>
  <c r="H574" i="25"/>
  <c r="H575" i="25"/>
  <c r="H645" i="25"/>
  <c r="H646" i="25"/>
  <c r="H647" i="25"/>
  <c r="H648" i="25"/>
  <c r="H649" i="25"/>
  <c r="H650" i="25"/>
  <c r="H651" i="25"/>
  <c r="H652" i="25"/>
  <c r="H653" i="25"/>
  <c r="H654" i="25"/>
  <c r="H655" i="25"/>
  <c r="H656" i="25"/>
  <c r="H657" i="25"/>
  <c r="H658" i="25"/>
  <c r="H659" i="25"/>
  <c r="H660" i="25"/>
  <c r="H665" i="25"/>
  <c r="H666" i="25"/>
  <c r="H635" i="25"/>
  <c r="G637" i="25"/>
  <c r="H638" i="25"/>
  <c r="H639" i="25"/>
  <c r="H640" i="25"/>
  <c r="H641" i="25"/>
  <c r="H627" i="25"/>
  <c r="H628" i="25"/>
  <c r="H629" i="25"/>
  <c r="H630" i="25"/>
  <c r="H631" i="25"/>
  <c r="H708" i="25"/>
  <c r="H709" i="25"/>
  <c r="H710" i="25"/>
  <c r="H711" i="25"/>
  <c r="H712" i="25"/>
  <c r="H713" i="25"/>
  <c r="H714" i="25"/>
  <c r="H715" i="25"/>
  <c r="H716" i="25"/>
  <c r="H721" i="25"/>
  <c r="H722" i="25"/>
  <c r="H691" i="25"/>
  <c r="G693" i="25"/>
  <c r="H696" i="25"/>
  <c r="H697" i="25"/>
  <c r="G683" i="25"/>
  <c r="G684" i="25" s="1"/>
  <c r="H685" i="25"/>
  <c r="H686" i="25"/>
  <c r="H687" i="25"/>
  <c r="H757" i="25"/>
  <c r="H758" i="25"/>
  <c r="H759" i="25"/>
  <c r="H760" i="25"/>
  <c r="H761" i="25"/>
  <c r="H762" i="25"/>
  <c r="H763" i="25"/>
  <c r="H764" i="25"/>
  <c r="H765" i="25"/>
  <c r="H766" i="25"/>
  <c r="H767" i="25"/>
  <c r="H768" i="25"/>
  <c r="H769" i="25"/>
  <c r="H770" i="25"/>
  <c r="H771" i="25"/>
  <c r="H772" i="25"/>
  <c r="H777" i="25"/>
  <c r="H778" i="25"/>
  <c r="H747" i="25"/>
  <c r="G749" i="25"/>
  <c r="H750" i="25"/>
  <c r="H751" i="25"/>
  <c r="H752" i="25"/>
  <c r="H753" i="25"/>
  <c r="H739" i="25"/>
  <c r="H740" i="25"/>
  <c r="H741" i="25"/>
  <c r="H742" i="25"/>
  <c r="H743" i="25"/>
  <c r="A90" i="5"/>
  <c r="A91" i="5"/>
  <c r="A92" i="5" s="1"/>
  <c r="A93" i="5" s="1"/>
  <c r="A94" i="5" s="1"/>
  <c r="A95" i="5" s="1"/>
  <c r="A96" i="5" s="1"/>
  <c r="A97" i="5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240" i="5"/>
  <c r="A241" i="5" s="1"/>
  <c r="A242" i="5" s="1"/>
  <c r="A243" i="5" s="1"/>
  <c r="A244" i="5"/>
  <c r="A245" i="5"/>
  <c r="A246" i="5"/>
  <c r="A247" i="5" s="1"/>
  <c r="A248" i="5" s="1"/>
  <c r="A249" i="5" s="1"/>
  <c r="A250" i="5" s="1"/>
  <c r="A251" i="5" s="1"/>
  <c r="A252" i="5" s="1"/>
  <c r="A253" i="5" s="1"/>
  <c r="A254" i="5" s="1"/>
  <c r="A255" i="5" s="1"/>
  <c r="A256" i="5"/>
  <c r="E1151" i="19" s="1"/>
  <c r="A120" i="5"/>
  <c r="A121" i="5"/>
  <c r="A122" i="5" s="1"/>
  <c r="A123" i="5"/>
  <c r="A124" i="5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85" i="5"/>
  <c r="A186" i="5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  <c r="A200" i="5" s="1"/>
  <c r="A201" i="5" s="1"/>
  <c r="A202" i="5" s="1"/>
  <c r="A138" i="5"/>
  <c r="A139" i="5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D142" i="5"/>
  <c r="H142" i="17"/>
  <c r="H143" i="17"/>
  <c r="H144" i="17"/>
  <c r="H145" i="17"/>
  <c r="H146" i="17"/>
  <c r="H147" i="17"/>
  <c r="H148" i="17"/>
  <c r="H149" i="17"/>
  <c r="H150" i="17"/>
  <c r="H151" i="17"/>
  <c r="H152" i="17"/>
  <c r="H153" i="17"/>
  <c r="H154" i="17"/>
  <c r="H155" i="17"/>
  <c r="H156" i="17"/>
  <c r="M15" i="5"/>
  <c r="M16" i="5"/>
  <c r="M4" i="5"/>
  <c r="M5" i="5" s="1"/>
  <c r="M6" i="5" s="1"/>
  <c r="M7" i="5" s="1"/>
  <c r="M8" i="5" s="1"/>
  <c r="G151" i="17"/>
  <c r="E151" i="17"/>
  <c r="B151" i="17"/>
  <c r="G150" i="17"/>
  <c r="E150" i="17"/>
  <c r="B150" i="17"/>
  <c r="G149" i="17"/>
  <c r="E149" i="17"/>
  <c r="B149" i="17"/>
  <c r="G148" i="17"/>
  <c r="E148" i="17"/>
  <c r="B148" i="17"/>
  <c r="G147" i="17"/>
  <c r="E147" i="17"/>
  <c r="B147" i="17"/>
  <c r="G146" i="17"/>
  <c r="E146" i="17"/>
  <c r="B146" i="17"/>
  <c r="G145" i="17"/>
  <c r="E145" i="17"/>
  <c r="B145" i="17"/>
  <c r="G144" i="17"/>
  <c r="E144" i="17"/>
  <c r="B144" i="17"/>
  <c r="G143" i="17"/>
  <c r="E143" i="17"/>
  <c r="B143" i="17"/>
  <c r="G142" i="17"/>
  <c r="E142" i="17"/>
  <c r="B142" i="17"/>
  <c r="H161" i="17"/>
  <c r="H162" i="17"/>
  <c r="H131" i="17"/>
  <c r="G133" i="17"/>
  <c r="H134" i="17"/>
  <c r="H135" i="17"/>
  <c r="H136" i="17"/>
  <c r="H137" i="17"/>
  <c r="H123" i="17"/>
  <c r="H124" i="17"/>
  <c r="H125" i="17"/>
  <c r="H126" i="17"/>
  <c r="H127" i="17"/>
  <c r="G162" i="17"/>
  <c r="E162" i="17"/>
  <c r="B162" i="17"/>
  <c r="G161" i="17"/>
  <c r="E161" i="17"/>
  <c r="B161" i="17"/>
  <c r="G156" i="17"/>
  <c r="E156" i="17"/>
  <c r="B156" i="17"/>
  <c r="G155" i="17"/>
  <c r="E155" i="17"/>
  <c r="B155" i="17"/>
  <c r="G154" i="17"/>
  <c r="E154" i="17"/>
  <c r="B154" i="17"/>
  <c r="G153" i="17"/>
  <c r="E153" i="17"/>
  <c r="B153" i="17"/>
  <c r="G152" i="17"/>
  <c r="E152" i="17"/>
  <c r="B152" i="17"/>
  <c r="F137" i="17"/>
  <c r="E137" i="17"/>
  <c r="B137" i="17"/>
  <c r="F136" i="17"/>
  <c r="E136" i="17"/>
  <c r="B136" i="17"/>
  <c r="F135" i="17"/>
  <c r="E135" i="17"/>
  <c r="B135" i="17"/>
  <c r="F134" i="17"/>
  <c r="E134" i="17"/>
  <c r="B134" i="17"/>
  <c r="G131" i="17"/>
  <c r="F131" i="17"/>
  <c r="E131" i="17"/>
  <c r="B131" i="17"/>
  <c r="F127" i="17"/>
  <c r="E127" i="17"/>
  <c r="B127" i="17"/>
  <c r="F126" i="17"/>
  <c r="E126" i="17"/>
  <c r="B126" i="17"/>
  <c r="F125" i="17"/>
  <c r="E125" i="17"/>
  <c r="B125" i="17"/>
  <c r="F124" i="17"/>
  <c r="E124" i="17"/>
  <c r="B124" i="17"/>
  <c r="F123" i="17"/>
  <c r="E123" i="17"/>
  <c r="B123" i="17"/>
  <c r="N113" i="17"/>
  <c r="M113" i="17"/>
  <c r="L113" i="17"/>
  <c r="D113" i="17"/>
  <c r="D125" i="5"/>
  <c r="A3" i="5"/>
  <c r="A4" i="5" s="1"/>
  <c r="A5" i="5" s="1"/>
  <c r="A6" i="5" s="1"/>
  <c r="A7" i="5" s="1"/>
  <c r="A8" i="5" s="1"/>
  <c r="G656" i="19"/>
  <c r="E656" i="19"/>
  <c r="B656" i="19"/>
  <c r="G655" i="19"/>
  <c r="E655" i="19"/>
  <c r="B655" i="19"/>
  <c r="G654" i="19"/>
  <c r="E654" i="19"/>
  <c r="B654" i="19"/>
  <c r="F641" i="19"/>
  <c r="E641" i="19"/>
  <c r="B641" i="19"/>
  <c r="F640" i="19"/>
  <c r="E640" i="19"/>
  <c r="B640" i="19"/>
  <c r="F631" i="19"/>
  <c r="E631" i="19"/>
  <c r="B631" i="19"/>
  <c r="F630" i="19"/>
  <c r="E630" i="19"/>
  <c r="B630" i="19"/>
  <c r="F629" i="19"/>
  <c r="E629" i="19"/>
  <c r="B629" i="19"/>
  <c r="F628" i="19"/>
  <c r="E628" i="19"/>
  <c r="B628" i="19"/>
  <c r="G627" i="19"/>
  <c r="G599" i="19"/>
  <c r="E599" i="19"/>
  <c r="B599" i="19"/>
  <c r="G598" i="19"/>
  <c r="E598" i="19"/>
  <c r="B598" i="19"/>
  <c r="F585" i="19"/>
  <c r="E585" i="19"/>
  <c r="B585" i="19"/>
  <c r="F584" i="19"/>
  <c r="E584" i="19"/>
  <c r="B584" i="19"/>
  <c r="F575" i="19"/>
  <c r="E575" i="19"/>
  <c r="B575" i="19"/>
  <c r="F574" i="19"/>
  <c r="E574" i="19"/>
  <c r="B574" i="19"/>
  <c r="F573" i="19"/>
  <c r="E573" i="19"/>
  <c r="B573" i="19"/>
  <c r="F572" i="19"/>
  <c r="E572" i="19"/>
  <c r="B572" i="19"/>
  <c r="G571" i="19"/>
  <c r="K356" i="19"/>
  <c r="K414" i="19"/>
  <c r="G442" i="19"/>
  <c r="E442" i="19"/>
  <c r="B442" i="19"/>
  <c r="G441" i="19"/>
  <c r="E441" i="19"/>
  <c r="B441" i="19"/>
  <c r="G436" i="19"/>
  <c r="E436" i="19"/>
  <c r="B436" i="19"/>
  <c r="G435" i="19"/>
  <c r="E435" i="19"/>
  <c r="B435" i="19"/>
  <c r="G434" i="19"/>
  <c r="E434" i="19"/>
  <c r="B434" i="19"/>
  <c r="G433" i="19"/>
  <c r="E433" i="19"/>
  <c r="B433" i="19"/>
  <c r="G432" i="19"/>
  <c r="E432" i="19"/>
  <c r="B432" i="19"/>
  <c r="G431" i="19"/>
  <c r="E431" i="19"/>
  <c r="B431" i="19"/>
  <c r="G430" i="19"/>
  <c r="E430" i="19"/>
  <c r="B430" i="19"/>
  <c r="K425" i="19"/>
  <c r="K424" i="19"/>
  <c r="F417" i="19"/>
  <c r="E417" i="19"/>
  <c r="B417" i="19"/>
  <c r="F416" i="19"/>
  <c r="E416" i="19"/>
  <c r="B416" i="19"/>
  <c r="K412" i="19"/>
  <c r="F407" i="19"/>
  <c r="E407" i="19"/>
  <c r="B407" i="19"/>
  <c r="F406" i="19"/>
  <c r="E406" i="19"/>
  <c r="B406" i="19"/>
  <c r="F405" i="19"/>
  <c r="E405" i="19"/>
  <c r="B405" i="19"/>
  <c r="F404" i="19"/>
  <c r="E404" i="19"/>
  <c r="B404" i="19"/>
  <c r="G403" i="19"/>
  <c r="N393" i="19"/>
  <c r="M393" i="19"/>
  <c r="L393" i="19"/>
  <c r="K358" i="19"/>
  <c r="G386" i="19"/>
  <c r="E386" i="19"/>
  <c r="B386" i="19"/>
  <c r="G385" i="19"/>
  <c r="E385" i="19"/>
  <c r="B385" i="19"/>
  <c r="G380" i="19"/>
  <c r="E380" i="19"/>
  <c r="B380" i="19"/>
  <c r="G379" i="19"/>
  <c r="E379" i="19"/>
  <c r="B379" i="19"/>
  <c r="G378" i="19"/>
  <c r="E378" i="19"/>
  <c r="B378" i="19"/>
  <c r="G377" i="19"/>
  <c r="E377" i="19"/>
  <c r="B377" i="19"/>
  <c r="G376" i="19"/>
  <c r="E376" i="19"/>
  <c r="B376" i="19"/>
  <c r="G375" i="19"/>
  <c r="E375" i="19"/>
  <c r="B375" i="19"/>
  <c r="G374" i="19"/>
  <c r="E374" i="19"/>
  <c r="B374" i="19"/>
  <c r="K369" i="19"/>
  <c r="K368" i="19"/>
  <c r="F361" i="19"/>
  <c r="E361" i="19"/>
  <c r="B361" i="19"/>
  <c r="F360" i="19"/>
  <c r="E360" i="19"/>
  <c r="B360" i="19"/>
  <c r="F351" i="19"/>
  <c r="E351" i="19"/>
  <c r="B351" i="19"/>
  <c r="F350" i="19"/>
  <c r="E350" i="19"/>
  <c r="B350" i="19"/>
  <c r="F349" i="19"/>
  <c r="E349" i="19"/>
  <c r="B349" i="19"/>
  <c r="F348" i="19"/>
  <c r="E348" i="19"/>
  <c r="B348" i="19"/>
  <c r="N337" i="19"/>
  <c r="M337" i="19"/>
  <c r="L337" i="19"/>
  <c r="K302" i="19"/>
  <c r="K300" i="19"/>
  <c r="G330" i="19"/>
  <c r="E330" i="19"/>
  <c r="B330" i="19"/>
  <c r="G329" i="19"/>
  <c r="E329" i="19"/>
  <c r="B329" i="19"/>
  <c r="G324" i="19"/>
  <c r="E324" i="19"/>
  <c r="B324" i="19"/>
  <c r="G323" i="19"/>
  <c r="E323" i="19"/>
  <c r="B323" i="19"/>
  <c r="G322" i="19"/>
  <c r="E322" i="19"/>
  <c r="B322" i="19"/>
  <c r="G321" i="19"/>
  <c r="E321" i="19"/>
  <c r="B321" i="19"/>
  <c r="G320" i="19"/>
  <c r="E320" i="19"/>
  <c r="B320" i="19"/>
  <c r="G319" i="19"/>
  <c r="E319" i="19"/>
  <c r="B319" i="19"/>
  <c r="G318" i="19"/>
  <c r="E318" i="19"/>
  <c r="B318" i="19"/>
  <c r="K313" i="19"/>
  <c r="K312" i="19"/>
  <c r="F305" i="19"/>
  <c r="E305" i="19"/>
  <c r="B305" i="19"/>
  <c r="F304" i="19"/>
  <c r="E304" i="19"/>
  <c r="B304" i="19"/>
  <c r="F295" i="19"/>
  <c r="E295" i="19"/>
  <c r="B295" i="19"/>
  <c r="F294" i="19"/>
  <c r="E294" i="19"/>
  <c r="B294" i="19"/>
  <c r="F293" i="19"/>
  <c r="E293" i="19"/>
  <c r="B293" i="19"/>
  <c r="F292" i="19"/>
  <c r="E292" i="19"/>
  <c r="B292" i="19"/>
  <c r="N281" i="19"/>
  <c r="M281" i="19"/>
  <c r="L281" i="19"/>
  <c r="K244" i="19"/>
  <c r="K246" i="19"/>
  <c r="K257" i="19"/>
  <c r="K256" i="19"/>
  <c r="G274" i="19"/>
  <c r="E274" i="19"/>
  <c r="B274" i="19"/>
  <c r="G273" i="19"/>
  <c r="E273" i="19"/>
  <c r="B273" i="19"/>
  <c r="G268" i="19"/>
  <c r="E268" i="19"/>
  <c r="B268" i="19"/>
  <c r="G267" i="19"/>
  <c r="E267" i="19"/>
  <c r="B267" i="19"/>
  <c r="G266" i="19"/>
  <c r="E266" i="19"/>
  <c r="B266" i="19"/>
  <c r="G265" i="19"/>
  <c r="E265" i="19"/>
  <c r="B265" i="19"/>
  <c r="G264" i="19"/>
  <c r="E264" i="19"/>
  <c r="B264" i="19"/>
  <c r="G263" i="19"/>
  <c r="E263" i="19"/>
  <c r="B263" i="19"/>
  <c r="G262" i="19"/>
  <c r="E262" i="19"/>
  <c r="B262" i="19"/>
  <c r="F249" i="19"/>
  <c r="E249" i="19"/>
  <c r="B249" i="19"/>
  <c r="F248" i="19"/>
  <c r="E248" i="19"/>
  <c r="B248" i="19"/>
  <c r="F239" i="19"/>
  <c r="E239" i="19"/>
  <c r="B239" i="19"/>
  <c r="F238" i="19"/>
  <c r="E238" i="19"/>
  <c r="B238" i="19"/>
  <c r="F237" i="19"/>
  <c r="E237" i="19"/>
  <c r="B237" i="19"/>
  <c r="F236" i="19"/>
  <c r="E236" i="19"/>
  <c r="B236" i="19"/>
  <c r="N225" i="19"/>
  <c r="M225" i="19"/>
  <c r="L225" i="19"/>
  <c r="G554" i="19"/>
  <c r="E554" i="19"/>
  <c r="B554" i="19"/>
  <c r="G553" i="19"/>
  <c r="E553" i="19"/>
  <c r="B553" i="19"/>
  <c r="G548" i="19"/>
  <c r="E548" i="19"/>
  <c r="B548" i="19"/>
  <c r="G547" i="19"/>
  <c r="E547" i="19"/>
  <c r="B547" i="19"/>
  <c r="G546" i="19"/>
  <c r="E546" i="19"/>
  <c r="B546" i="19"/>
  <c r="G545" i="19"/>
  <c r="E545" i="19"/>
  <c r="B545" i="19"/>
  <c r="G544" i="19"/>
  <c r="E544" i="19"/>
  <c r="B544" i="19"/>
  <c r="G543" i="19"/>
  <c r="E543" i="19"/>
  <c r="B543" i="19"/>
  <c r="G542" i="19"/>
  <c r="E542" i="19"/>
  <c r="B542" i="19"/>
  <c r="F529" i="19"/>
  <c r="E529" i="19"/>
  <c r="B529" i="19"/>
  <c r="F528" i="19"/>
  <c r="E528" i="19"/>
  <c r="B528" i="19"/>
  <c r="F519" i="19"/>
  <c r="E519" i="19"/>
  <c r="B519" i="19"/>
  <c r="F518" i="19"/>
  <c r="E518" i="19"/>
  <c r="B518" i="19"/>
  <c r="F517" i="19"/>
  <c r="E517" i="19"/>
  <c r="B517" i="19"/>
  <c r="F516" i="19"/>
  <c r="E516" i="19"/>
  <c r="B516" i="19"/>
  <c r="G515" i="19"/>
  <c r="N505" i="19"/>
  <c r="M505" i="19"/>
  <c r="L505" i="19"/>
  <c r="G50" i="19"/>
  <c r="E50" i="19"/>
  <c r="B50" i="19"/>
  <c r="G49" i="19"/>
  <c r="E49" i="19"/>
  <c r="B49" i="19"/>
  <c r="G44" i="19"/>
  <c r="E44" i="19"/>
  <c r="B44" i="19"/>
  <c r="G43" i="19"/>
  <c r="E43" i="19"/>
  <c r="B43" i="19"/>
  <c r="G42" i="19"/>
  <c r="E42" i="19"/>
  <c r="B42" i="19"/>
  <c r="G41" i="19"/>
  <c r="E41" i="19"/>
  <c r="B41" i="19"/>
  <c r="G40" i="19"/>
  <c r="E40" i="19"/>
  <c r="B40" i="19"/>
  <c r="G39" i="19"/>
  <c r="E39" i="19"/>
  <c r="B39" i="19"/>
  <c r="G38" i="19"/>
  <c r="E38" i="19"/>
  <c r="B38" i="19"/>
  <c r="G37" i="19"/>
  <c r="E37" i="19"/>
  <c r="B37" i="19"/>
  <c r="G36" i="19"/>
  <c r="E36" i="19"/>
  <c r="B36" i="19"/>
  <c r="G35" i="19"/>
  <c r="E35" i="19"/>
  <c r="B35" i="19"/>
  <c r="G34" i="19"/>
  <c r="E34" i="19"/>
  <c r="B34" i="19"/>
  <c r="F25" i="19"/>
  <c r="E25" i="19"/>
  <c r="B25" i="19"/>
  <c r="F24" i="19"/>
  <c r="E24" i="19"/>
  <c r="B24" i="19"/>
  <c r="F23" i="19"/>
  <c r="E23" i="19"/>
  <c r="B23" i="19"/>
  <c r="F22" i="19"/>
  <c r="E22" i="19"/>
  <c r="B22" i="19"/>
  <c r="F15" i="19"/>
  <c r="E15" i="19"/>
  <c r="B15" i="19"/>
  <c r="F14" i="19"/>
  <c r="E14" i="19"/>
  <c r="B14" i="19"/>
  <c r="F13" i="19"/>
  <c r="E13" i="19"/>
  <c r="B13" i="19"/>
  <c r="F12" i="19"/>
  <c r="E12" i="19"/>
  <c r="B12" i="19"/>
  <c r="N1" i="19"/>
  <c r="M1" i="19"/>
  <c r="L1" i="19"/>
  <c r="D1" i="19"/>
  <c r="G85" i="17"/>
  <c r="H85" i="17"/>
  <c r="H86" i="17"/>
  <c r="H87" i="17"/>
  <c r="H88" i="17"/>
  <c r="H89" i="17"/>
  <c r="H90" i="17"/>
  <c r="H91" i="17"/>
  <c r="H92" i="17"/>
  <c r="H93" i="17"/>
  <c r="H94" i="17"/>
  <c r="H95" i="17"/>
  <c r="H96" i="17"/>
  <c r="H97" i="17"/>
  <c r="H98" i="17"/>
  <c r="H99" i="17"/>
  <c r="H100" i="17"/>
  <c r="H105" i="17"/>
  <c r="H106" i="17"/>
  <c r="H75" i="17"/>
  <c r="G77" i="17"/>
  <c r="H78" i="17"/>
  <c r="H79" i="17"/>
  <c r="H80" i="17"/>
  <c r="H81" i="17"/>
  <c r="H67" i="17"/>
  <c r="H68" i="17"/>
  <c r="H69" i="17"/>
  <c r="H70" i="17"/>
  <c r="H71" i="17"/>
  <c r="G106" i="17"/>
  <c r="E106" i="17"/>
  <c r="B106" i="17"/>
  <c r="G105" i="17"/>
  <c r="E105" i="17"/>
  <c r="B105" i="17"/>
  <c r="G100" i="17"/>
  <c r="E100" i="17"/>
  <c r="B100" i="17"/>
  <c r="G99" i="17"/>
  <c r="E99" i="17"/>
  <c r="B99" i="17"/>
  <c r="G98" i="17"/>
  <c r="E98" i="17"/>
  <c r="B98" i="17"/>
  <c r="J95" i="17"/>
  <c r="J96" i="17"/>
  <c r="J97" i="17" s="1"/>
  <c r="G97" i="17"/>
  <c r="E97" i="17"/>
  <c r="B97" i="17"/>
  <c r="G96" i="17"/>
  <c r="E96" i="17"/>
  <c r="B96" i="17"/>
  <c r="G91" i="17"/>
  <c r="E91" i="17"/>
  <c r="B91" i="17"/>
  <c r="F81" i="17"/>
  <c r="E81" i="17"/>
  <c r="B81" i="17"/>
  <c r="F80" i="17"/>
  <c r="E80" i="17"/>
  <c r="B80" i="17"/>
  <c r="F79" i="17"/>
  <c r="E79" i="17"/>
  <c r="B79" i="17"/>
  <c r="F78" i="17"/>
  <c r="E78" i="17"/>
  <c r="B78" i="17"/>
  <c r="G75" i="17"/>
  <c r="F75" i="17"/>
  <c r="E75" i="17"/>
  <c r="B75" i="17"/>
  <c r="F71" i="17"/>
  <c r="E71" i="17"/>
  <c r="B71" i="17"/>
  <c r="F70" i="17"/>
  <c r="E70" i="17"/>
  <c r="B70" i="17"/>
  <c r="F69" i="17"/>
  <c r="E69" i="17"/>
  <c r="B69" i="17"/>
  <c r="F68" i="17"/>
  <c r="E68" i="17"/>
  <c r="B68" i="17"/>
  <c r="F67" i="17"/>
  <c r="E67" i="17"/>
  <c r="B67" i="17"/>
  <c r="N57" i="17"/>
  <c r="M57" i="17"/>
  <c r="L57" i="17"/>
  <c r="D57" i="17"/>
  <c r="G711" i="19"/>
  <c r="E711" i="19"/>
  <c r="B711" i="19"/>
  <c r="G710" i="19"/>
  <c r="E710" i="19"/>
  <c r="B710" i="19"/>
  <c r="F697" i="19"/>
  <c r="E697" i="19"/>
  <c r="B697" i="19"/>
  <c r="F696" i="19"/>
  <c r="E696" i="19"/>
  <c r="B696" i="19"/>
  <c r="G683" i="19"/>
  <c r="F687" i="19"/>
  <c r="E687" i="19"/>
  <c r="B687" i="19"/>
  <c r="F686" i="19"/>
  <c r="E686" i="19"/>
  <c r="B686" i="19"/>
  <c r="F685" i="19"/>
  <c r="E685" i="19"/>
  <c r="B685" i="19"/>
  <c r="F684" i="19"/>
  <c r="E684" i="19"/>
  <c r="B684" i="19"/>
  <c r="G610" i="19"/>
  <c r="E610" i="19"/>
  <c r="B610" i="19"/>
  <c r="G609" i="19"/>
  <c r="E609" i="19"/>
  <c r="B609" i="19"/>
  <c r="G604" i="19"/>
  <c r="E604" i="19"/>
  <c r="B604" i="19"/>
  <c r="G603" i="19"/>
  <c r="E603" i="19"/>
  <c r="B603" i="19"/>
  <c r="G602" i="19"/>
  <c r="E602" i="19"/>
  <c r="B602" i="19"/>
  <c r="G601" i="19"/>
  <c r="E601" i="19"/>
  <c r="B601" i="19"/>
  <c r="G600" i="19"/>
  <c r="E600" i="19"/>
  <c r="B600" i="19"/>
  <c r="N561" i="19"/>
  <c r="M561" i="19"/>
  <c r="L561" i="19"/>
  <c r="G106" i="19"/>
  <c r="E106" i="19"/>
  <c r="B106" i="19"/>
  <c r="G105" i="19"/>
  <c r="E105" i="19"/>
  <c r="B105" i="19"/>
  <c r="G100" i="19"/>
  <c r="E100" i="19"/>
  <c r="B100" i="19"/>
  <c r="G99" i="19"/>
  <c r="E99" i="19"/>
  <c r="B99" i="19"/>
  <c r="G98" i="19"/>
  <c r="E98" i="19"/>
  <c r="B98" i="19"/>
  <c r="G97" i="19"/>
  <c r="E97" i="19"/>
  <c r="B97" i="19"/>
  <c r="G96" i="19"/>
  <c r="E96" i="19"/>
  <c r="B96" i="19"/>
  <c r="G95" i="19"/>
  <c r="E95" i="19"/>
  <c r="B95" i="19"/>
  <c r="G94" i="19"/>
  <c r="E94" i="19"/>
  <c r="B94" i="19"/>
  <c r="G93" i="19"/>
  <c r="E93" i="19"/>
  <c r="B93" i="19"/>
  <c r="G92" i="19"/>
  <c r="E92" i="19"/>
  <c r="B92" i="19"/>
  <c r="G91" i="19"/>
  <c r="E91" i="19"/>
  <c r="B91" i="19"/>
  <c r="G90" i="19"/>
  <c r="E90" i="19"/>
  <c r="B90" i="19"/>
  <c r="F81" i="19"/>
  <c r="E81" i="19"/>
  <c r="B81" i="19"/>
  <c r="F80" i="19"/>
  <c r="E80" i="19"/>
  <c r="B80" i="19"/>
  <c r="F79" i="19"/>
  <c r="E79" i="19"/>
  <c r="B79" i="19"/>
  <c r="F78" i="19"/>
  <c r="E78" i="19"/>
  <c r="B78" i="19"/>
  <c r="F71" i="19"/>
  <c r="E71" i="19"/>
  <c r="B71" i="19"/>
  <c r="F70" i="19"/>
  <c r="E70" i="19"/>
  <c r="B70" i="19"/>
  <c r="F69" i="19"/>
  <c r="E69" i="19"/>
  <c r="B69" i="19"/>
  <c r="F68" i="19"/>
  <c r="E68" i="19"/>
  <c r="B68" i="19"/>
  <c r="N57" i="19"/>
  <c r="M57" i="19"/>
  <c r="L57" i="19"/>
  <c r="D57" i="19"/>
  <c r="G218" i="19"/>
  <c r="E218" i="19"/>
  <c r="B218" i="19"/>
  <c r="G217" i="19"/>
  <c r="E217" i="19"/>
  <c r="B217" i="19"/>
  <c r="G212" i="19"/>
  <c r="E212" i="19"/>
  <c r="B212" i="19"/>
  <c r="G211" i="19"/>
  <c r="E211" i="19"/>
  <c r="B211" i="19"/>
  <c r="G210" i="19"/>
  <c r="E210" i="19"/>
  <c r="B210" i="19"/>
  <c r="G209" i="19"/>
  <c r="E209" i="19"/>
  <c r="B209" i="19"/>
  <c r="G208" i="19"/>
  <c r="E208" i="19"/>
  <c r="B208" i="19"/>
  <c r="G207" i="19"/>
  <c r="E207" i="19"/>
  <c r="B207" i="19"/>
  <c r="G206" i="19"/>
  <c r="E206" i="19"/>
  <c r="B206" i="19"/>
  <c r="G205" i="19"/>
  <c r="E205" i="19"/>
  <c r="B205" i="19"/>
  <c r="G204" i="19"/>
  <c r="E204" i="19"/>
  <c r="B204" i="19"/>
  <c r="G203" i="19"/>
  <c r="E203" i="19"/>
  <c r="B203" i="19"/>
  <c r="G202" i="19"/>
  <c r="E202" i="19"/>
  <c r="B202" i="19"/>
  <c r="F193" i="19"/>
  <c r="E193" i="19"/>
  <c r="B193" i="19"/>
  <c r="F192" i="19"/>
  <c r="E192" i="19"/>
  <c r="B192" i="19"/>
  <c r="F191" i="19"/>
  <c r="E191" i="19"/>
  <c r="B191" i="19"/>
  <c r="F190" i="19"/>
  <c r="E190" i="19"/>
  <c r="B190" i="19"/>
  <c r="F183" i="19"/>
  <c r="E183" i="19"/>
  <c r="B183" i="19"/>
  <c r="F182" i="19"/>
  <c r="E182" i="19"/>
  <c r="B182" i="19"/>
  <c r="F181" i="19"/>
  <c r="E181" i="19"/>
  <c r="B181" i="19"/>
  <c r="F180" i="19"/>
  <c r="E180" i="19"/>
  <c r="B180" i="19"/>
  <c r="N169" i="19"/>
  <c r="M169" i="19"/>
  <c r="L169" i="19"/>
  <c r="D169" i="19"/>
  <c r="H38" i="30"/>
  <c r="H39" i="30"/>
  <c r="H40" i="30"/>
  <c r="H41" i="30"/>
  <c r="H42" i="30"/>
  <c r="H43" i="30"/>
  <c r="H44" i="30"/>
  <c r="G29" i="30"/>
  <c r="H29" i="30"/>
  <c r="F30" i="30"/>
  <c r="H31" i="30"/>
  <c r="H32" i="30"/>
  <c r="H33" i="30"/>
  <c r="H34" i="30"/>
  <c r="H35" i="30"/>
  <c r="H36" i="30"/>
  <c r="H37" i="30"/>
  <c r="H49" i="30"/>
  <c r="H50" i="30"/>
  <c r="H19" i="30"/>
  <c r="G21" i="30"/>
  <c r="H22" i="30"/>
  <c r="H23" i="30"/>
  <c r="H24" i="30"/>
  <c r="H25" i="30"/>
  <c r="H11" i="30"/>
  <c r="H12" i="30"/>
  <c r="H13" i="30"/>
  <c r="H14" i="30"/>
  <c r="H15" i="30"/>
  <c r="G50" i="30"/>
  <c r="E50" i="30"/>
  <c r="B50" i="30"/>
  <c r="G49" i="30"/>
  <c r="E49" i="30"/>
  <c r="B49" i="30"/>
  <c r="G44" i="30"/>
  <c r="E44" i="30"/>
  <c r="B44" i="30"/>
  <c r="G43" i="30"/>
  <c r="E43" i="30"/>
  <c r="B43" i="30"/>
  <c r="G42" i="30"/>
  <c r="E42" i="30"/>
  <c r="B42" i="30"/>
  <c r="G41" i="30"/>
  <c r="E41" i="30"/>
  <c r="B41" i="30"/>
  <c r="G40" i="30"/>
  <c r="E40" i="30"/>
  <c r="B40" i="30"/>
  <c r="G39" i="30"/>
  <c r="E39" i="30"/>
  <c r="B39" i="30"/>
  <c r="G38" i="30"/>
  <c r="E38" i="30"/>
  <c r="B38" i="30"/>
  <c r="J29" i="30"/>
  <c r="F25" i="30"/>
  <c r="E25" i="30"/>
  <c r="B25" i="30"/>
  <c r="F24" i="30"/>
  <c r="E24" i="30"/>
  <c r="B24" i="30"/>
  <c r="F23" i="30"/>
  <c r="E23" i="30"/>
  <c r="B23" i="30"/>
  <c r="F22" i="30"/>
  <c r="E22" i="30"/>
  <c r="B22" i="30"/>
  <c r="G19" i="30"/>
  <c r="F19" i="30"/>
  <c r="E19" i="30"/>
  <c r="B19" i="30"/>
  <c r="F15" i="30"/>
  <c r="E15" i="30"/>
  <c r="B15" i="30"/>
  <c r="F14" i="30"/>
  <c r="E14" i="30"/>
  <c r="B14" i="30"/>
  <c r="F13" i="30"/>
  <c r="E13" i="30"/>
  <c r="B13" i="30"/>
  <c r="F12" i="30"/>
  <c r="E12" i="30"/>
  <c r="B12" i="30"/>
  <c r="F11" i="30"/>
  <c r="E11" i="30"/>
  <c r="B11" i="30"/>
  <c r="N1" i="30"/>
  <c r="M1" i="30"/>
  <c r="L1" i="30"/>
  <c r="D1" i="30"/>
  <c r="D1" i="29"/>
  <c r="H262" i="30"/>
  <c r="H263" i="30"/>
  <c r="H264" i="30"/>
  <c r="H265" i="30"/>
  <c r="H266" i="30"/>
  <c r="H267" i="30"/>
  <c r="H268" i="30"/>
  <c r="H273" i="30"/>
  <c r="H274" i="30"/>
  <c r="H243" i="30"/>
  <c r="H246" i="30"/>
  <c r="H247" i="30"/>
  <c r="H248" i="30"/>
  <c r="H249" i="30"/>
  <c r="H235" i="30"/>
  <c r="H236" i="30"/>
  <c r="H237" i="30"/>
  <c r="H238" i="30"/>
  <c r="H239" i="30"/>
  <c r="H253" i="30"/>
  <c r="H254" i="30"/>
  <c r="G245" i="30"/>
  <c r="H255" i="30"/>
  <c r="H256" i="30"/>
  <c r="H257" i="30"/>
  <c r="H258" i="30"/>
  <c r="H259" i="30"/>
  <c r="H260" i="30"/>
  <c r="H261" i="30"/>
  <c r="G274" i="30"/>
  <c r="E274" i="30"/>
  <c r="B274" i="30"/>
  <c r="G273" i="30"/>
  <c r="E273" i="30"/>
  <c r="B273" i="30"/>
  <c r="G268" i="30"/>
  <c r="E268" i="30"/>
  <c r="B268" i="30"/>
  <c r="G267" i="30"/>
  <c r="E267" i="30"/>
  <c r="B267" i="30"/>
  <c r="G266" i="30"/>
  <c r="E266" i="30"/>
  <c r="B266" i="30"/>
  <c r="G265" i="30"/>
  <c r="E265" i="30"/>
  <c r="B265" i="30"/>
  <c r="G264" i="30"/>
  <c r="E264" i="30"/>
  <c r="B264" i="30"/>
  <c r="G263" i="30"/>
  <c r="E263" i="30"/>
  <c r="B263" i="30"/>
  <c r="G262" i="30"/>
  <c r="E262" i="30"/>
  <c r="B262" i="30"/>
  <c r="J253" i="30"/>
  <c r="F249" i="30"/>
  <c r="E249" i="30"/>
  <c r="B249" i="30"/>
  <c r="F248" i="30"/>
  <c r="E248" i="30"/>
  <c r="B248" i="30"/>
  <c r="F247" i="30"/>
  <c r="E247" i="30"/>
  <c r="B247" i="30"/>
  <c r="F246" i="30"/>
  <c r="E246" i="30"/>
  <c r="B246" i="30"/>
  <c r="G243" i="30"/>
  <c r="F243" i="30"/>
  <c r="E243" i="30"/>
  <c r="B243" i="30"/>
  <c r="F239" i="30"/>
  <c r="E239" i="30"/>
  <c r="B239" i="30"/>
  <c r="F238" i="30"/>
  <c r="E238" i="30"/>
  <c r="B238" i="30"/>
  <c r="F237" i="30"/>
  <c r="E237" i="30"/>
  <c r="B237" i="30"/>
  <c r="F236" i="30"/>
  <c r="E236" i="30"/>
  <c r="B236" i="30"/>
  <c r="F235" i="30"/>
  <c r="E235" i="30"/>
  <c r="B235" i="30"/>
  <c r="N225" i="30"/>
  <c r="M225" i="30"/>
  <c r="L225" i="30"/>
  <c r="D57" i="30"/>
  <c r="H206" i="30"/>
  <c r="H207" i="30"/>
  <c r="H208" i="30"/>
  <c r="H209" i="30"/>
  <c r="H210" i="30"/>
  <c r="H211" i="30"/>
  <c r="H212" i="30"/>
  <c r="H217" i="30"/>
  <c r="H218" i="30"/>
  <c r="H187" i="30"/>
  <c r="H190" i="30"/>
  <c r="H191" i="30"/>
  <c r="H192" i="30"/>
  <c r="H193" i="30"/>
  <c r="H179" i="30"/>
  <c r="H180" i="30"/>
  <c r="H181" i="30"/>
  <c r="H182" i="30"/>
  <c r="H183" i="30"/>
  <c r="H197" i="30"/>
  <c r="F198" i="30"/>
  <c r="H199" i="30"/>
  <c r="H200" i="30"/>
  <c r="H201" i="30"/>
  <c r="H202" i="30"/>
  <c r="H203" i="30"/>
  <c r="H204" i="30"/>
  <c r="H205" i="30"/>
  <c r="G189" i="30"/>
  <c r="G218" i="30"/>
  <c r="E218" i="30"/>
  <c r="B218" i="30"/>
  <c r="G217" i="30"/>
  <c r="E217" i="30"/>
  <c r="B217" i="30"/>
  <c r="G212" i="30"/>
  <c r="E212" i="30"/>
  <c r="B212" i="30"/>
  <c r="G211" i="30"/>
  <c r="E211" i="30"/>
  <c r="B211" i="30"/>
  <c r="G210" i="30"/>
  <c r="E210" i="30"/>
  <c r="B210" i="30"/>
  <c r="G209" i="30"/>
  <c r="E209" i="30"/>
  <c r="B209" i="30"/>
  <c r="G208" i="30"/>
  <c r="E208" i="30"/>
  <c r="B208" i="30"/>
  <c r="G207" i="30"/>
  <c r="E207" i="30"/>
  <c r="B207" i="30"/>
  <c r="G206" i="30"/>
  <c r="E206" i="30"/>
  <c r="B206" i="30"/>
  <c r="J197" i="30"/>
  <c r="F193" i="30"/>
  <c r="E193" i="30"/>
  <c r="B193" i="30"/>
  <c r="F192" i="30"/>
  <c r="E192" i="30"/>
  <c r="B192" i="30"/>
  <c r="F191" i="30"/>
  <c r="E191" i="30"/>
  <c r="B191" i="30"/>
  <c r="F190" i="30"/>
  <c r="E190" i="30"/>
  <c r="B190" i="30"/>
  <c r="G187" i="30"/>
  <c r="F187" i="30"/>
  <c r="E187" i="30"/>
  <c r="B187" i="30"/>
  <c r="F183" i="30"/>
  <c r="E183" i="30"/>
  <c r="B183" i="30"/>
  <c r="F182" i="30"/>
  <c r="E182" i="30"/>
  <c r="B182" i="30"/>
  <c r="F181" i="30"/>
  <c r="E181" i="30"/>
  <c r="B181" i="30"/>
  <c r="F180" i="30"/>
  <c r="E180" i="30"/>
  <c r="B180" i="30"/>
  <c r="F179" i="30"/>
  <c r="E179" i="30"/>
  <c r="B179" i="30"/>
  <c r="N169" i="30"/>
  <c r="M169" i="30"/>
  <c r="L169" i="30"/>
  <c r="H150" i="30"/>
  <c r="H151" i="30"/>
  <c r="H152" i="30"/>
  <c r="H153" i="30"/>
  <c r="H154" i="30"/>
  <c r="H155" i="30"/>
  <c r="H156" i="30"/>
  <c r="H161" i="30"/>
  <c r="H162" i="30"/>
  <c r="H131" i="30"/>
  <c r="H134" i="30"/>
  <c r="H135" i="30"/>
  <c r="H136" i="30"/>
  <c r="H137" i="30"/>
  <c r="H123" i="30"/>
  <c r="H124" i="30"/>
  <c r="H125" i="30"/>
  <c r="H126" i="30"/>
  <c r="H127" i="30"/>
  <c r="H318" i="30"/>
  <c r="H319" i="30"/>
  <c r="H320" i="30"/>
  <c r="H321" i="30"/>
  <c r="H322" i="30"/>
  <c r="H323" i="30"/>
  <c r="H324" i="30"/>
  <c r="H329" i="30"/>
  <c r="H330" i="30"/>
  <c r="H299" i="30"/>
  <c r="H302" i="30"/>
  <c r="H303" i="30"/>
  <c r="H304" i="30"/>
  <c r="H305" i="30"/>
  <c r="H291" i="30"/>
  <c r="H292" i="30"/>
  <c r="H293" i="30"/>
  <c r="H294" i="30"/>
  <c r="H295" i="30"/>
  <c r="H374" i="30"/>
  <c r="H375" i="30"/>
  <c r="H376" i="30"/>
  <c r="H377" i="30"/>
  <c r="H378" i="30"/>
  <c r="H379" i="30"/>
  <c r="H380" i="30"/>
  <c r="H385" i="30"/>
  <c r="H386" i="30"/>
  <c r="H355" i="30"/>
  <c r="H358" i="30"/>
  <c r="H359" i="30"/>
  <c r="H360" i="30"/>
  <c r="H361" i="30"/>
  <c r="H347" i="30"/>
  <c r="H348" i="30"/>
  <c r="H349" i="30"/>
  <c r="H350" i="30"/>
  <c r="H351" i="30"/>
  <c r="H542" i="30"/>
  <c r="H543" i="30"/>
  <c r="H544" i="30"/>
  <c r="H545" i="30"/>
  <c r="H546" i="30"/>
  <c r="H547" i="30"/>
  <c r="H548" i="30"/>
  <c r="H553" i="30"/>
  <c r="H554" i="30"/>
  <c r="H523" i="30"/>
  <c r="H526" i="30"/>
  <c r="H527" i="30"/>
  <c r="H528" i="30"/>
  <c r="H529" i="30"/>
  <c r="H515" i="30"/>
  <c r="H516" i="30"/>
  <c r="H517" i="30"/>
  <c r="H518" i="30"/>
  <c r="H519" i="30"/>
  <c r="H440" i="14"/>
  <c r="H421" i="14"/>
  <c r="H422" i="14"/>
  <c r="H423" i="14"/>
  <c r="H424" i="14"/>
  <c r="H425" i="14"/>
  <c r="H426" i="14"/>
  <c r="H427" i="14"/>
  <c r="H428" i="14"/>
  <c r="H429" i="14"/>
  <c r="H430" i="14"/>
  <c r="H431" i="14"/>
  <c r="H432" i="14"/>
  <c r="H433" i="14"/>
  <c r="H434" i="14"/>
  <c r="H435" i="14"/>
  <c r="H436" i="14"/>
  <c r="H441" i="14"/>
  <c r="H442" i="14"/>
  <c r="G412" i="14"/>
  <c r="H413" i="14"/>
  <c r="H414" i="14"/>
  <c r="H415" i="14"/>
  <c r="H416" i="14"/>
  <c r="H417" i="14"/>
  <c r="H404" i="14"/>
  <c r="H405" i="14"/>
  <c r="H406" i="14"/>
  <c r="H407" i="14"/>
  <c r="G442" i="14"/>
  <c r="E442" i="14"/>
  <c r="B442" i="14"/>
  <c r="G441" i="14"/>
  <c r="E441" i="14"/>
  <c r="B441" i="14"/>
  <c r="G440" i="14"/>
  <c r="E440" i="14"/>
  <c r="B440" i="14"/>
  <c r="G436" i="14"/>
  <c r="E436" i="14"/>
  <c r="B436" i="14"/>
  <c r="G435" i="14"/>
  <c r="E435" i="14"/>
  <c r="B435" i="14"/>
  <c r="G434" i="14"/>
  <c r="E434" i="14"/>
  <c r="B434" i="14"/>
  <c r="G433" i="14"/>
  <c r="E433" i="14"/>
  <c r="B433" i="14"/>
  <c r="G432" i="14"/>
  <c r="E432" i="14"/>
  <c r="B432" i="14"/>
  <c r="G431" i="14"/>
  <c r="E431" i="14"/>
  <c r="B431" i="14"/>
  <c r="G430" i="14"/>
  <c r="E430" i="14"/>
  <c r="B430" i="14"/>
  <c r="G429" i="14"/>
  <c r="E429" i="14"/>
  <c r="B429" i="14"/>
  <c r="G428" i="14"/>
  <c r="E428" i="14"/>
  <c r="B428" i="14"/>
  <c r="G427" i="14"/>
  <c r="E427" i="14"/>
  <c r="B427" i="14"/>
  <c r="G426" i="14"/>
  <c r="E426" i="14"/>
  <c r="B426" i="14"/>
  <c r="G425" i="14"/>
  <c r="E425" i="14"/>
  <c r="B425" i="14"/>
  <c r="G424" i="14"/>
  <c r="E424" i="14"/>
  <c r="B424" i="14"/>
  <c r="G423" i="14"/>
  <c r="E423" i="14"/>
  <c r="B423" i="14"/>
  <c r="G422" i="14"/>
  <c r="E422" i="14"/>
  <c r="B422" i="14"/>
  <c r="G421" i="14"/>
  <c r="E421" i="14"/>
  <c r="B421" i="14"/>
  <c r="F417" i="14"/>
  <c r="E417" i="14"/>
  <c r="B417" i="14"/>
  <c r="F416" i="14"/>
  <c r="E416" i="14"/>
  <c r="B416" i="14"/>
  <c r="F415" i="14"/>
  <c r="E415" i="14"/>
  <c r="B415" i="14"/>
  <c r="F414" i="14"/>
  <c r="E414" i="14"/>
  <c r="B414" i="14"/>
  <c r="F413" i="14"/>
  <c r="E413" i="14"/>
  <c r="B413" i="14"/>
  <c r="F407" i="14"/>
  <c r="E407" i="14"/>
  <c r="B407" i="14"/>
  <c r="F406" i="14"/>
  <c r="E406" i="14"/>
  <c r="B406" i="14"/>
  <c r="F405" i="14"/>
  <c r="E405" i="14"/>
  <c r="B405" i="14"/>
  <c r="F404" i="14"/>
  <c r="E404" i="14"/>
  <c r="B404" i="14"/>
  <c r="N393" i="14"/>
  <c r="M393" i="14"/>
  <c r="L393" i="14"/>
  <c r="H201" i="22"/>
  <c r="H202" i="22"/>
  <c r="H203" i="22"/>
  <c r="H204" i="22"/>
  <c r="H205" i="22"/>
  <c r="H206" i="22"/>
  <c r="H207" i="22"/>
  <c r="H208" i="22"/>
  <c r="H209" i="22"/>
  <c r="H210" i="22"/>
  <c r="H211" i="22"/>
  <c r="H212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23" i="22"/>
  <c r="H217" i="22"/>
  <c r="H218" i="22"/>
  <c r="H187" i="22"/>
  <c r="G189" i="22"/>
  <c r="H190" i="22"/>
  <c r="H191" i="22"/>
  <c r="H192" i="22"/>
  <c r="H193" i="22"/>
  <c r="H180" i="22"/>
  <c r="H181" i="22"/>
  <c r="H182" i="22"/>
  <c r="H183" i="22"/>
  <c r="G218" i="22"/>
  <c r="E218" i="22"/>
  <c r="B218" i="22"/>
  <c r="G217" i="22"/>
  <c r="E217" i="22"/>
  <c r="B217" i="22"/>
  <c r="G212" i="22"/>
  <c r="E212" i="22"/>
  <c r="B212" i="22"/>
  <c r="G211" i="22"/>
  <c r="E211" i="22"/>
  <c r="B211" i="22"/>
  <c r="G210" i="22"/>
  <c r="E210" i="22"/>
  <c r="B210" i="22"/>
  <c r="G209" i="22"/>
  <c r="E209" i="22"/>
  <c r="B209" i="22"/>
  <c r="G208" i="22"/>
  <c r="E208" i="22"/>
  <c r="B208" i="22"/>
  <c r="G207" i="22"/>
  <c r="E207" i="22"/>
  <c r="B207" i="22"/>
  <c r="G206" i="22"/>
  <c r="E206" i="22"/>
  <c r="B206" i="22"/>
  <c r="G205" i="22"/>
  <c r="E205" i="22"/>
  <c r="B205" i="22"/>
  <c r="G204" i="22"/>
  <c r="E204" i="22"/>
  <c r="B204" i="22"/>
  <c r="G203" i="22"/>
  <c r="E203" i="22"/>
  <c r="B203" i="22"/>
  <c r="G202" i="22"/>
  <c r="E202" i="22"/>
  <c r="B202" i="22"/>
  <c r="G201" i="22"/>
  <c r="E201" i="22"/>
  <c r="B201" i="22"/>
  <c r="F193" i="22"/>
  <c r="E193" i="22"/>
  <c r="B193" i="22"/>
  <c r="F192" i="22"/>
  <c r="E192" i="22"/>
  <c r="B192" i="22"/>
  <c r="F191" i="22"/>
  <c r="E191" i="22"/>
  <c r="B191" i="22"/>
  <c r="F190" i="22"/>
  <c r="E190" i="22"/>
  <c r="B190" i="22"/>
  <c r="G187" i="22"/>
  <c r="F187" i="22"/>
  <c r="E187" i="22"/>
  <c r="B187" i="22"/>
  <c r="F183" i="22"/>
  <c r="E183" i="22"/>
  <c r="B183" i="22"/>
  <c r="F182" i="22"/>
  <c r="E182" i="22"/>
  <c r="B182" i="22"/>
  <c r="F181" i="22"/>
  <c r="E181" i="22"/>
  <c r="B181" i="22"/>
  <c r="F180" i="22"/>
  <c r="E180" i="22"/>
  <c r="B180" i="22"/>
  <c r="N169" i="22"/>
  <c r="M169" i="22"/>
  <c r="L169" i="22"/>
  <c r="D169" i="22"/>
  <c r="E123" i="22"/>
  <c r="F123" i="22"/>
  <c r="B123" i="22"/>
  <c r="E67" i="22"/>
  <c r="F67" i="22"/>
  <c r="H67" i="22"/>
  <c r="B67" i="22"/>
  <c r="H161" i="22"/>
  <c r="H162" i="22"/>
  <c r="H131" i="22"/>
  <c r="G133" i="22"/>
  <c r="H134" i="22"/>
  <c r="H135" i="22"/>
  <c r="H136" i="22"/>
  <c r="H137" i="22"/>
  <c r="H124" i="22"/>
  <c r="H125" i="22"/>
  <c r="H126" i="22"/>
  <c r="H127" i="22"/>
  <c r="G162" i="22"/>
  <c r="E162" i="22"/>
  <c r="B162" i="22"/>
  <c r="G161" i="22"/>
  <c r="E161" i="22"/>
  <c r="B161" i="22"/>
  <c r="G156" i="22"/>
  <c r="E156" i="22"/>
  <c r="B156" i="22"/>
  <c r="G155" i="22"/>
  <c r="E155" i="22"/>
  <c r="B155" i="22"/>
  <c r="G154" i="22"/>
  <c r="E154" i="22"/>
  <c r="B154" i="22"/>
  <c r="G153" i="22"/>
  <c r="E153" i="22"/>
  <c r="B153" i="22"/>
  <c r="G152" i="22"/>
  <c r="E152" i="22"/>
  <c r="B152" i="22"/>
  <c r="G151" i="22"/>
  <c r="E151" i="22"/>
  <c r="B151" i="22"/>
  <c r="G150" i="22"/>
  <c r="E150" i="22"/>
  <c r="B150" i="22"/>
  <c r="G149" i="22"/>
  <c r="E149" i="22"/>
  <c r="B149" i="22"/>
  <c r="G148" i="22"/>
  <c r="E148" i="22"/>
  <c r="B148" i="22"/>
  <c r="G147" i="22"/>
  <c r="E147" i="22"/>
  <c r="B147" i="22"/>
  <c r="G146" i="22"/>
  <c r="E146" i="22"/>
  <c r="B146" i="22"/>
  <c r="G145" i="22"/>
  <c r="E145" i="22"/>
  <c r="B145" i="22"/>
  <c r="F137" i="22"/>
  <c r="E137" i="22"/>
  <c r="B137" i="22"/>
  <c r="F136" i="22"/>
  <c r="E136" i="22"/>
  <c r="B136" i="22"/>
  <c r="F135" i="22"/>
  <c r="E135" i="22"/>
  <c r="B135" i="22"/>
  <c r="F134" i="22"/>
  <c r="E134" i="22"/>
  <c r="B134" i="22"/>
  <c r="G131" i="22"/>
  <c r="F131" i="22"/>
  <c r="E131" i="22"/>
  <c r="B131" i="22"/>
  <c r="F127" i="22"/>
  <c r="E127" i="22"/>
  <c r="B127" i="22"/>
  <c r="F126" i="22"/>
  <c r="E126" i="22"/>
  <c r="B126" i="22"/>
  <c r="F125" i="22"/>
  <c r="E125" i="22"/>
  <c r="B125" i="22"/>
  <c r="F124" i="22"/>
  <c r="E124" i="22"/>
  <c r="B124" i="22"/>
  <c r="N113" i="22"/>
  <c r="M113" i="22"/>
  <c r="L113" i="22"/>
  <c r="D113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5" i="22"/>
  <c r="H106" i="22"/>
  <c r="H75" i="22"/>
  <c r="G77" i="22"/>
  <c r="H78" i="22"/>
  <c r="H79" i="22"/>
  <c r="H80" i="22"/>
  <c r="H81" i="22"/>
  <c r="H68" i="22"/>
  <c r="H69" i="22"/>
  <c r="H70" i="22"/>
  <c r="H71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9" i="22"/>
  <c r="H50" i="22"/>
  <c r="H19" i="22"/>
  <c r="G21" i="22"/>
  <c r="H22" i="22"/>
  <c r="H23" i="22"/>
  <c r="H24" i="22"/>
  <c r="H25" i="22"/>
  <c r="E11" i="22"/>
  <c r="F11" i="22"/>
  <c r="H11" i="22"/>
  <c r="H12" i="22"/>
  <c r="H13" i="22"/>
  <c r="H14" i="22"/>
  <c r="H15" i="22"/>
  <c r="G2156" i="49"/>
  <c r="E2155" i="49"/>
  <c r="F2155" i="49"/>
  <c r="H2155" i="49" s="1"/>
  <c r="G2109" i="49"/>
  <c r="E2108" i="49"/>
  <c r="F2108" i="49" s="1"/>
  <c r="H2108" i="49" s="1"/>
  <c r="E2107" i="49"/>
  <c r="F2107" i="49"/>
  <c r="G2062" i="49"/>
  <c r="E2061" i="49"/>
  <c r="F2061" i="49" s="1"/>
  <c r="H2061" i="49" s="1"/>
  <c r="G2015" i="49"/>
  <c r="E2014" i="49"/>
  <c r="F2014" i="49"/>
  <c r="H2014" i="49" s="1"/>
  <c r="G1922" i="49"/>
  <c r="E1921" i="49"/>
  <c r="F1921" i="49" s="1"/>
  <c r="H1921" i="49" s="1"/>
  <c r="E1920" i="49"/>
  <c r="F1920" i="49"/>
  <c r="G1874" i="49"/>
  <c r="E1873" i="49"/>
  <c r="F1873" i="49" s="1"/>
  <c r="H1873" i="49" s="1"/>
  <c r="G434" i="49"/>
  <c r="E433" i="49"/>
  <c r="F433" i="49"/>
  <c r="H433" i="49" s="1"/>
  <c r="G394" i="49"/>
  <c r="E393" i="49"/>
  <c r="F393" i="49"/>
  <c r="H393" i="49" s="1"/>
  <c r="E392" i="49"/>
  <c r="F392" i="49" s="1"/>
  <c r="E309" i="49"/>
  <c r="F309" i="49"/>
  <c r="H309" i="49" s="1"/>
  <c r="E308" i="49"/>
  <c r="F308" i="49"/>
  <c r="G310" i="49"/>
  <c r="H93" i="51"/>
  <c r="H96" i="51"/>
  <c r="H97" i="51"/>
  <c r="H98" i="51"/>
  <c r="H99" i="51"/>
  <c r="H100" i="51"/>
  <c r="F142" i="30"/>
  <c r="F86" i="30"/>
  <c r="F30" i="29"/>
  <c r="H187" i="29"/>
  <c r="G189" i="29"/>
  <c r="H190" i="29"/>
  <c r="H191" i="29"/>
  <c r="H192" i="29"/>
  <c r="H193" i="29"/>
  <c r="H206" i="29"/>
  <c r="H207" i="29"/>
  <c r="H208" i="29"/>
  <c r="H209" i="29"/>
  <c r="H210" i="29"/>
  <c r="H211" i="29"/>
  <c r="H212" i="29"/>
  <c r="H197" i="29"/>
  <c r="H198" i="29"/>
  <c r="H199" i="29"/>
  <c r="H200" i="29"/>
  <c r="H201" i="29"/>
  <c r="H202" i="29"/>
  <c r="H203" i="29"/>
  <c r="H204" i="29"/>
  <c r="H205" i="29"/>
  <c r="H217" i="29"/>
  <c r="H218" i="29"/>
  <c r="H179" i="29"/>
  <c r="H180" i="29"/>
  <c r="H181" i="29"/>
  <c r="H182" i="29"/>
  <c r="H183" i="29"/>
  <c r="F142" i="29"/>
  <c r="H150" i="29"/>
  <c r="H151" i="29"/>
  <c r="H152" i="29"/>
  <c r="H153" i="29"/>
  <c r="H154" i="29"/>
  <c r="H155" i="29"/>
  <c r="H156" i="29"/>
  <c r="H141" i="29"/>
  <c r="H143" i="29"/>
  <c r="H144" i="29"/>
  <c r="H145" i="29"/>
  <c r="H146" i="29"/>
  <c r="H147" i="29"/>
  <c r="H148" i="29"/>
  <c r="H149" i="29"/>
  <c r="H161" i="29"/>
  <c r="H162" i="29"/>
  <c r="H131" i="29"/>
  <c r="G133" i="29"/>
  <c r="H134" i="29"/>
  <c r="H135" i="29"/>
  <c r="H136" i="29"/>
  <c r="H137" i="29"/>
  <c r="H123" i="29"/>
  <c r="H124" i="29"/>
  <c r="H125" i="29"/>
  <c r="H126" i="29"/>
  <c r="H127" i="29"/>
  <c r="F86" i="29"/>
  <c r="G218" i="29"/>
  <c r="E218" i="29"/>
  <c r="B218" i="29"/>
  <c r="G217" i="29"/>
  <c r="E217" i="29"/>
  <c r="B217" i="29"/>
  <c r="G212" i="29"/>
  <c r="E212" i="29"/>
  <c r="B212" i="29"/>
  <c r="G211" i="29"/>
  <c r="E211" i="29"/>
  <c r="B211" i="29"/>
  <c r="G210" i="29"/>
  <c r="E210" i="29"/>
  <c r="B210" i="29"/>
  <c r="G209" i="29"/>
  <c r="E209" i="29"/>
  <c r="B209" i="29"/>
  <c r="G208" i="29"/>
  <c r="E208" i="29"/>
  <c r="B208" i="29"/>
  <c r="G207" i="29"/>
  <c r="E207" i="29"/>
  <c r="B207" i="29"/>
  <c r="G206" i="29"/>
  <c r="E206" i="29"/>
  <c r="B206" i="29"/>
  <c r="J197" i="29"/>
  <c r="F193" i="29"/>
  <c r="E193" i="29"/>
  <c r="B193" i="29"/>
  <c r="F192" i="29"/>
  <c r="E192" i="29"/>
  <c r="B192" i="29"/>
  <c r="F191" i="29"/>
  <c r="E191" i="29"/>
  <c r="B191" i="29"/>
  <c r="F190" i="29"/>
  <c r="E190" i="29"/>
  <c r="B190" i="29"/>
  <c r="G187" i="29"/>
  <c r="F187" i="29"/>
  <c r="E187" i="29"/>
  <c r="B187" i="29"/>
  <c r="F183" i="29"/>
  <c r="E183" i="29"/>
  <c r="B183" i="29"/>
  <c r="F182" i="29"/>
  <c r="E182" i="29"/>
  <c r="B182" i="29"/>
  <c r="F181" i="29"/>
  <c r="E181" i="29"/>
  <c r="B181" i="29"/>
  <c r="F180" i="29"/>
  <c r="E180" i="29"/>
  <c r="B180" i="29"/>
  <c r="F179" i="29"/>
  <c r="E179" i="29"/>
  <c r="B179" i="29"/>
  <c r="N169" i="29"/>
  <c r="M169" i="29"/>
  <c r="L169" i="29"/>
  <c r="H330" i="29"/>
  <c r="G330" i="29"/>
  <c r="E330" i="29"/>
  <c r="B330" i="29"/>
  <c r="H329" i="29"/>
  <c r="G329" i="29"/>
  <c r="E329" i="29"/>
  <c r="B329" i="29"/>
  <c r="H324" i="29"/>
  <c r="G324" i="29"/>
  <c r="E324" i="29"/>
  <c r="B324" i="29"/>
  <c r="H323" i="29"/>
  <c r="G323" i="29"/>
  <c r="E323" i="29"/>
  <c r="B323" i="29"/>
  <c r="H322" i="29"/>
  <c r="G322" i="29"/>
  <c r="E322" i="29"/>
  <c r="B322" i="29"/>
  <c r="H321" i="29"/>
  <c r="G321" i="29"/>
  <c r="E321" i="29"/>
  <c r="B321" i="29"/>
  <c r="H320" i="29"/>
  <c r="G320" i="29"/>
  <c r="E320" i="29"/>
  <c r="B320" i="29"/>
  <c r="H319" i="29"/>
  <c r="G319" i="29"/>
  <c r="E319" i="29"/>
  <c r="B319" i="29"/>
  <c r="H318" i="29"/>
  <c r="G318" i="29"/>
  <c r="E318" i="29"/>
  <c r="B318" i="29"/>
  <c r="H317" i="29"/>
  <c r="H316" i="29"/>
  <c r="H315" i="29"/>
  <c r="H314" i="29"/>
  <c r="H313" i="29"/>
  <c r="H312" i="29"/>
  <c r="H311" i="29"/>
  <c r="H310" i="29"/>
  <c r="J309" i="29"/>
  <c r="H309" i="29"/>
  <c r="H305" i="29"/>
  <c r="F305" i="29"/>
  <c r="E305" i="29"/>
  <c r="B305" i="29"/>
  <c r="H304" i="29"/>
  <c r="F304" i="29"/>
  <c r="E304" i="29"/>
  <c r="B304" i="29"/>
  <c r="H303" i="29"/>
  <c r="F303" i="29"/>
  <c r="E303" i="29"/>
  <c r="B303" i="29"/>
  <c r="H302" i="29"/>
  <c r="F302" i="29"/>
  <c r="E302" i="29"/>
  <c r="B302" i="29"/>
  <c r="G301" i="29"/>
  <c r="H299" i="29"/>
  <c r="G299" i="29"/>
  <c r="F299" i="29"/>
  <c r="E299" i="29"/>
  <c r="B299" i="29"/>
  <c r="H295" i="29"/>
  <c r="F295" i="29"/>
  <c r="E295" i="29"/>
  <c r="B295" i="29"/>
  <c r="H294" i="29"/>
  <c r="F294" i="29"/>
  <c r="E294" i="29"/>
  <c r="B294" i="29"/>
  <c r="H293" i="29"/>
  <c r="F293" i="29"/>
  <c r="E293" i="29"/>
  <c r="B293" i="29"/>
  <c r="H292" i="29"/>
  <c r="F292" i="29"/>
  <c r="E292" i="29"/>
  <c r="B292" i="29"/>
  <c r="H291" i="29"/>
  <c r="F291" i="29"/>
  <c r="E291" i="29"/>
  <c r="B291" i="29"/>
  <c r="N281" i="29"/>
  <c r="M281" i="29"/>
  <c r="L281" i="29"/>
  <c r="H206" i="28"/>
  <c r="H207" i="28"/>
  <c r="H208" i="28"/>
  <c r="H209" i="28"/>
  <c r="H210" i="28"/>
  <c r="H211" i="28"/>
  <c r="H212" i="28"/>
  <c r="H218" i="28"/>
  <c r="G218" i="28"/>
  <c r="E218" i="28"/>
  <c r="B218" i="28"/>
  <c r="H217" i="28"/>
  <c r="G217" i="28"/>
  <c r="E217" i="28"/>
  <c r="B217" i="28"/>
  <c r="G212" i="28"/>
  <c r="E212" i="28"/>
  <c r="B212" i="28"/>
  <c r="G211" i="28"/>
  <c r="E211" i="28"/>
  <c r="B211" i="28"/>
  <c r="G210" i="28"/>
  <c r="E210" i="28"/>
  <c r="B210" i="28"/>
  <c r="G209" i="28"/>
  <c r="E209" i="28"/>
  <c r="B209" i="28"/>
  <c r="G208" i="28"/>
  <c r="E208" i="28"/>
  <c r="B208" i="28"/>
  <c r="G207" i="28"/>
  <c r="E207" i="28"/>
  <c r="B207" i="28"/>
  <c r="G206" i="28"/>
  <c r="E206" i="28"/>
  <c r="B206" i="28"/>
  <c r="H205" i="28"/>
  <c r="H204" i="28"/>
  <c r="H203" i="28"/>
  <c r="H202" i="28"/>
  <c r="H201" i="28"/>
  <c r="H200" i="28"/>
  <c r="H199" i="28"/>
  <c r="H198" i="28"/>
  <c r="H193" i="28"/>
  <c r="F193" i="28"/>
  <c r="E193" i="28"/>
  <c r="B193" i="28"/>
  <c r="H192" i="28"/>
  <c r="F192" i="28"/>
  <c r="E192" i="28"/>
  <c r="B192" i="28"/>
  <c r="H191" i="28"/>
  <c r="F191" i="28"/>
  <c r="E191" i="28"/>
  <c r="B191" i="28"/>
  <c r="H190" i="28"/>
  <c r="F190" i="28"/>
  <c r="E190" i="28"/>
  <c r="B190" i="28"/>
  <c r="G189" i="28"/>
  <c r="H187" i="28"/>
  <c r="G187" i="28"/>
  <c r="F187" i="28"/>
  <c r="E187" i="28"/>
  <c r="B187" i="28"/>
  <c r="H183" i="28"/>
  <c r="F183" i="28"/>
  <c r="E183" i="28"/>
  <c r="B183" i="28"/>
  <c r="H182" i="28"/>
  <c r="F182" i="28"/>
  <c r="E182" i="28"/>
  <c r="B182" i="28"/>
  <c r="H181" i="28"/>
  <c r="F181" i="28"/>
  <c r="E181" i="28"/>
  <c r="B181" i="28"/>
  <c r="H180" i="28"/>
  <c r="F180" i="28"/>
  <c r="E180" i="28"/>
  <c r="B180" i="28"/>
  <c r="H179" i="28"/>
  <c r="F179" i="28"/>
  <c r="E179" i="28"/>
  <c r="B179" i="28"/>
  <c r="N169" i="28"/>
  <c r="M169" i="28"/>
  <c r="L169" i="28"/>
  <c r="G1170" i="19"/>
  <c r="E1170" i="19"/>
  <c r="B1170" i="19"/>
  <c r="G1169" i="19"/>
  <c r="E1169" i="19"/>
  <c r="B1169" i="19"/>
  <c r="G1164" i="19"/>
  <c r="E1164" i="19"/>
  <c r="B1164" i="19"/>
  <c r="G1163" i="19"/>
  <c r="E1163" i="19"/>
  <c r="B1163" i="19"/>
  <c r="G1162" i="19"/>
  <c r="E1162" i="19"/>
  <c r="B1162" i="19"/>
  <c r="G1161" i="19"/>
  <c r="E1161" i="19"/>
  <c r="B1161" i="19"/>
  <c r="G1160" i="19"/>
  <c r="E1160" i="19"/>
  <c r="B1160" i="19"/>
  <c r="G1159" i="19"/>
  <c r="E1159" i="19"/>
  <c r="B1159" i="19"/>
  <c r="G1158" i="19"/>
  <c r="E1158" i="19"/>
  <c r="B1158" i="19"/>
  <c r="G1157" i="19"/>
  <c r="E1157" i="19"/>
  <c r="B1157" i="19"/>
  <c r="G1156" i="19"/>
  <c r="E1156" i="19"/>
  <c r="B1156" i="19"/>
  <c r="G1155" i="19"/>
  <c r="E1155" i="19"/>
  <c r="B1155" i="19"/>
  <c r="G1154" i="19"/>
  <c r="E1154" i="19"/>
  <c r="B1154" i="19"/>
  <c r="G1153" i="19"/>
  <c r="E1153" i="19"/>
  <c r="B1153" i="19"/>
  <c r="G1152" i="19"/>
  <c r="E1152" i="19"/>
  <c r="B1152" i="19"/>
  <c r="F1145" i="19"/>
  <c r="E1145" i="19"/>
  <c r="B1145" i="19"/>
  <c r="F1144" i="19"/>
  <c r="E1144" i="19"/>
  <c r="B1144" i="19"/>
  <c r="F1143" i="19"/>
  <c r="E1143" i="19"/>
  <c r="B1143" i="19"/>
  <c r="F1142" i="19"/>
  <c r="E1142" i="19"/>
  <c r="B1142" i="19"/>
  <c r="F1135" i="19"/>
  <c r="E1135" i="19"/>
  <c r="B1135" i="19"/>
  <c r="F1134" i="19"/>
  <c r="E1134" i="19"/>
  <c r="B1134" i="19"/>
  <c r="F1133" i="19"/>
  <c r="E1133" i="19"/>
  <c r="B1133" i="19"/>
  <c r="F1132" i="19"/>
  <c r="E1132" i="19"/>
  <c r="B1132" i="19"/>
  <c r="G1131" i="19"/>
  <c r="N1121" i="19"/>
  <c r="M1121" i="19"/>
  <c r="L1121" i="19"/>
  <c r="G946" i="19"/>
  <c r="E946" i="19"/>
  <c r="B946" i="19"/>
  <c r="G945" i="19"/>
  <c r="E945" i="19"/>
  <c r="B945" i="19"/>
  <c r="G940" i="19"/>
  <c r="E940" i="19"/>
  <c r="B940" i="19"/>
  <c r="G939" i="19"/>
  <c r="E939" i="19"/>
  <c r="B939" i="19"/>
  <c r="G938" i="19"/>
  <c r="E938" i="19"/>
  <c r="B938" i="19"/>
  <c r="G937" i="19"/>
  <c r="E937" i="19"/>
  <c r="B937" i="19"/>
  <c r="G936" i="19"/>
  <c r="E936" i="19"/>
  <c r="B936" i="19"/>
  <c r="G935" i="19"/>
  <c r="E935" i="19"/>
  <c r="B935" i="19"/>
  <c r="G934" i="19"/>
  <c r="E934" i="19"/>
  <c r="B934" i="19"/>
  <c r="G933" i="19"/>
  <c r="E933" i="19"/>
  <c r="B933" i="19"/>
  <c r="G932" i="19"/>
  <c r="E932" i="19"/>
  <c r="B932" i="19"/>
  <c r="G931" i="19"/>
  <c r="E931" i="19"/>
  <c r="B931" i="19"/>
  <c r="G930" i="19"/>
  <c r="E930" i="19"/>
  <c r="B930" i="19"/>
  <c r="G929" i="19"/>
  <c r="E929" i="19"/>
  <c r="B929" i="19"/>
  <c r="G928" i="19"/>
  <c r="E928" i="19"/>
  <c r="B928" i="19"/>
  <c r="F921" i="19"/>
  <c r="E921" i="19"/>
  <c r="B921" i="19"/>
  <c r="F920" i="19"/>
  <c r="E920" i="19"/>
  <c r="B920" i="19"/>
  <c r="F919" i="19"/>
  <c r="E919" i="19"/>
  <c r="B919" i="19"/>
  <c r="F918" i="19"/>
  <c r="E918" i="19"/>
  <c r="B918" i="19"/>
  <c r="F911" i="19"/>
  <c r="E911" i="19"/>
  <c r="B911" i="19"/>
  <c r="F910" i="19"/>
  <c r="E910" i="19"/>
  <c r="B910" i="19"/>
  <c r="F909" i="19"/>
  <c r="E909" i="19"/>
  <c r="B909" i="19"/>
  <c r="F908" i="19"/>
  <c r="E908" i="19"/>
  <c r="B908" i="19"/>
  <c r="N897" i="19"/>
  <c r="M897" i="19"/>
  <c r="L897" i="19"/>
  <c r="H384" i="14"/>
  <c r="H385" i="14"/>
  <c r="H386" i="14"/>
  <c r="H365" i="14"/>
  <c r="H366" i="14"/>
  <c r="H367" i="14"/>
  <c r="H368" i="14"/>
  <c r="H369" i="14"/>
  <c r="H370" i="14"/>
  <c r="H371" i="14"/>
  <c r="H372" i="14"/>
  <c r="H373" i="14"/>
  <c r="H374" i="14"/>
  <c r="H375" i="14"/>
  <c r="H376" i="14"/>
  <c r="H377" i="14"/>
  <c r="H378" i="14"/>
  <c r="H379" i="14"/>
  <c r="H380" i="14"/>
  <c r="H357" i="14"/>
  <c r="H358" i="14"/>
  <c r="H359" i="14"/>
  <c r="H360" i="14"/>
  <c r="H361" i="14"/>
  <c r="H347" i="14"/>
  <c r="H348" i="14"/>
  <c r="H349" i="14"/>
  <c r="H350" i="14"/>
  <c r="H351" i="14"/>
  <c r="G386" i="14"/>
  <c r="E386" i="14"/>
  <c r="B386" i="14"/>
  <c r="G385" i="14"/>
  <c r="E385" i="14"/>
  <c r="B385" i="14"/>
  <c r="G384" i="14"/>
  <c r="E384" i="14"/>
  <c r="B384" i="14"/>
  <c r="G380" i="14"/>
  <c r="E380" i="14"/>
  <c r="B380" i="14"/>
  <c r="G379" i="14"/>
  <c r="E379" i="14"/>
  <c r="B379" i="14"/>
  <c r="G378" i="14"/>
  <c r="E378" i="14"/>
  <c r="B378" i="14"/>
  <c r="G377" i="14"/>
  <c r="E377" i="14"/>
  <c r="B377" i="14"/>
  <c r="G376" i="14"/>
  <c r="E376" i="14"/>
  <c r="B376" i="14"/>
  <c r="G375" i="14"/>
  <c r="E375" i="14"/>
  <c r="B375" i="14"/>
  <c r="G374" i="14"/>
  <c r="E374" i="14"/>
  <c r="B374" i="14"/>
  <c r="G373" i="14"/>
  <c r="E373" i="14"/>
  <c r="B373" i="14"/>
  <c r="G372" i="14"/>
  <c r="E372" i="14"/>
  <c r="B372" i="14"/>
  <c r="G371" i="14"/>
  <c r="E371" i="14"/>
  <c r="B371" i="14"/>
  <c r="G370" i="14"/>
  <c r="E370" i="14"/>
  <c r="B370" i="14"/>
  <c r="G369" i="14"/>
  <c r="E369" i="14"/>
  <c r="B369" i="14"/>
  <c r="G368" i="14"/>
  <c r="E368" i="14"/>
  <c r="B368" i="14"/>
  <c r="G367" i="14"/>
  <c r="E367" i="14"/>
  <c r="B367" i="14"/>
  <c r="G366" i="14"/>
  <c r="E366" i="14"/>
  <c r="B366" i="14"/>
  <c r="G365" i="14"/>
  <c r="E365" i="14"/>
  <c r="B365" i="14"/>
  <c r="F361" i="14"/>
  <c r="E361" i="14"/>
  <c r="B361" i="14"/>
  <c r="F360" i="14"/>
  <c r="E360" i="14"/>
  <c r="B360" i="14"/>
  <c r="F359" i="14"/>
  <c r="E359" i="14"/>
  <c r="B359" i="14"/>
  <c r="F358" i="14"/>
  <c r="E358" i="14"/>
  <c r="B358" i="14"/>
  <c r="F357" i="14"/>
  <c r="E357" i="14"/>
  <c r="B357" i="14"/>
  <c r="F351" i="14"/>
  <c r="E351" i="14"/>
  <c r="B351" i="14"/>
  <c r="F350" i="14"/>
  <c r="E350" i="14"/>
  <c r="B350" i="14"/>
  <c r="F349" i="14"/>
  <c r="E349" i="14"/>
  <c r="B349" i="14"/>
  <c r="F348" i="14"/>
  <c r="E348" i="14"/>
  <c r="B348" i="14"/>
  <c r="E347" i="14"/>
  <c r="F347" i="14"/>
  <c r="B347" i="14"/>
  <c r="N337" i="14"/>
  <c r="M337" i="14"/>
  <c r="L337" i="14"/>
  <c r="F92" i="11"/>
  <c r="F86" i="11"/>
  <c r="H94" i="15"/>
  <c r="H95" i="15"/>
  <c r="H96" i="15"/>
  <c r="H97" i="15"/>
  <c r="H98" i="15"/>
  <c r="H99" i="15"/>
  <c r="H100" i="15"/>
  <c r="G132" i="12"/>
  <c r="G20" i="12"/>
  <c r="G106" i="22"/>
  <c r="E106" i="22"/>
  <c r="B106" i="22"/>
  <c r="G105" i="22"/>
  <c r="E105" i="22"/>
  <c r="B105" i="22"/>
  <c r="G100" i="22"/>
  <c r="E100" i="22"/>
  <c r="B100" i="22"/>
  <c r="G99" i="22"/>
  <c r="E99" i="22"/>
  <c r="B99" i="22"/>
  <c r="G98" i="22"/>
  <c r="E98" i="22"/>
  <c r="B98" i="22"/>
  <c r="G97" i="22"/>
  <c r="E97" i="22"/>
  <c r="B97" i="22"/>
  <c r="G96" i="22"/>
  <c r="E96" i="22"/>
  <c r="B96" i="22"/>
  <c r="G95" i="22"/>
  <c r="E95" i="22"/>
  <c r="B95" i="22"/>
  <c r="G94" i="22"/>
  <c r="E94" i="22"/>
  <c r="B94" i="22"/>
  <c r="G93" i="22"/>
  <c r="E93" i="22"/>
  <c r="B93" i="22"/>
  <c r="G92" i="22"/>
  <c r="E92" i="22"/>
  <c r="B92" i="22"/>
  <c r="G91" i="22"/>
  <c r="E91" i="22"/>
  <c r="B91" i="22"/>
  <c r="G90" i="22"/>
  <c r="E90" i="22"/>
  <c r="B90" i="22"/>
  <c r="G89" i="22"/>
  <c r="E89" i="22"/>
  <c r="B89" i="22"/>
  <c r="G88" i="22"/>
  <c r="E88" i="22"/>
  <c r="B88" i="22"/>
  <c r="G87" i="22"/>
  <c r="E87" i="22"/>
  <c r="B87" i="22"/>
  <c r="K86" i="22"/>
  <c r="G86" i="22"/>
  <c r="E86" i="22"/>
  <c r="F81" i="22"/>
  <c r="E81" i="22"/>
  <c r="B81" i="22"/>
  <c r="F80" i="22"/>
  <c r="E80" i="22"/>
  <c r="B80" i="22"/>
  <c r="F79" i="22"/>
  <c r="E79" i="22"/>
  <c r="B79" i="22"/>
  <c r="F78" i="22"/>
  <c r="E78" i="22"/>
  <c r="B78" i="22"/>
  <c r="G75" i="22"/>
  <c r="F75" i="22"/>
  <c r="E75" i="22"/>
  <c r="B75" i="22"/>
  <c r="F71" i="22"/>
  <c r="E71" i="22"/>
  <c r="B71" i="22"/>
  <c r="F70" i="22"/>
  <c r="E70" i="22"/>
  <c r="B70" i="22"/>
  <c r="F69" i="22"/>
  <c r="E69" i="22"/>
  <c r="B69" i="22"/>
  <c r="F68" i="22"/>
  <c r="E68" i="22"/>
  <c r="B68" i="22"/>
  <c r="N57" i="22"/>
  <c r="M57" i="22"/>
  <c r="L57" i="22"/>
  <c r="D57" i="22"/>
  <c r="H325" i="49"/>
  <c r="H328" i="49"/>
  <c r="H319" i="49"/>
  <c r="H318" i="49"/>
  <c r="H317" i="49"/>
  <c r="H316" i="49"/>
  <c r="F302" i="49"/>
  <c r="H302" i="49"/>
  <c r="H305" i="49" s="1"/>
  <c r="H2129" i="49"/>
  <c r="H2132" i="49"/>
  <c r="H2122" i="49"/>
  <c r="H2121" i="49"/>
  <c r="H2120" i="49"/>
  <c r="H2119" i="49"/>
  <c r="H2118" i="49"/>
  <c r="H2117" i="49"/>
  <c r="H2116" i="49"/>
  <c r="H2115" i="49"/>
  <c r="F2101" i="49"/>
  <c r="H2101" i="49" s="1"/>
  <c r="H2104" i="49" s="1"/>
  <c r="H2082" i="49"/>
  <c r="H2085" i="49"/>
  <c r="H2075" i="49"/>
  <c r="H2074" i="49"/>
  <c r="H2073" i="49"/>
  <c r="H2072" i="49"/>
  <c r="H2071" i="49"/>
  <c r="H2070" i="49"/>
  <c r="H2069" i="49"/>
  <c r="H2068" i="49"/>
  <c r="F2054" i="49"/>
  <c r="H2054" i="49"/>
  <c r="H2057" i="49"/>
  <c r="H2035" i="49"/>
  <c r="H2038" i="49" s="1"/>
  <c r="H2028" i="49"/>
  <c r="H2027" i="49"/>
  <c r="H2026" i="49"/>
  <c r="H2025" i="49"/>
  <c r="H2024" i="49"/>
  <c r="H2023" i="49"/>
  <c r="H2022" i="49"/>
  <c r="H2021" i="49"/>
  <c r="F2007" i="49"/>
  <c r="H2007" i="49"/>
  <c r="H2010" i="49" s="1"/>
  <c r="K365" i="51"/>
  <c r="F365" i="51" s="1"/>
  <c r="H378" i="51"/>
  <c r="G378" i="51"/>
  <c r="E378" i="51"/>
  <c r="B378" i="51"/>
  <c r="H377" i="51"/>
  <c r="G377" i="51"/>
  <c r="E377" i="51"/>
  <c r="B377" i="51"/>
  <c r="H376" i="51"/>
  <c r="G376" i="51"/>
  <c r="E376" i="51"/>
  <c r="B376" i="51"/>
  <c r="F375" i="51"/>
  <c r="H373" i="51"/>
  <c r="G373" i="51"/>
  <c r="E373" i="51"/>
  <c r="B373" i="51"/>
  <c r="G357" i="51"/>
  <c r="G348" i="51" s="1"/>
  <c r="H360" i="51"/>
  <c r="H361" i="51"/>
  <c r="F361" i="51"/>
  <c r="E361" i="51"/>
  <c r="B361" i="51"/>
  <c r="F360" i="51"/>
  <c r="E360" i="51"/>
  <c r="B360" i="51"/>
  <c r="G347" i="51"/>
  <c r="H349" i="51"/>
  <c r="H350" i="51"/>
  <c r="H351" i="51"/>
  <c r="F351" i="51"/>
  <c r="E351" i="51"/>
  <c r="B351" i="51"/>
  <c r="F350" i="51"/>
  <c r="E350" i="51"/>
  <c r="B350" i="51"/>
  <c r="F349" i="51"/>
  <c r="E349" i="51"/>
  <c r="B349" i="51"/>
  <c r="H379" i="51"/>
  <c r="H380" i="51"/>
  <c r="H385" i="51"/>
  <c r="H386" i="51"/>
  <c r="G386" i="51"/>
  <c r="E386" i="51"/>
  <c r="B386" i="51"/>
  <c r="G385" i="51"/>
  <c r="E385" i="51"/>
  <c r="B385" i="51"/>
  <c r="G380" i="51"/>
  <c r="E380" i="51"/>
  <c r="B380" i="51"/>
  <c r="G379" i="51"/>
  <c r="E379" i="51"/>
  <c r="B379" i="51"/>
  <c r="N337" i="51"/>
  <c r="M337" i="51"/>
  <c r="L337" i="51"/>
  <c r="H304" i="51"/>
  <c r="H305" i="51"/>
  <c r="H248" i="51"/>
  <c r="H249" i="51"/>
  <c r="H192" i="51"/>
  <c r="H193" i="51"/>
  <c r="H24" i="51"/>
  <c r="H25" i="51"/>
  <c r="G21" i="11"/>
  <c r="H22" i="11"/>
  <c r="H23" i="11"/>
  <c r="H24" i="11"/>
  <c r="H25" i="11"/>
  <c r="H97" i="11"/>
  <c r="H98" i="11"/>
  <c r="H99" i="11"/>
  <c r="H100" i="11"/>
  <c r="H105" i="11"/>
  <c r="H106" i="11"/>
  <c r="G77" i="11"/>
  <c r="H78" i="11"/>
  <c r="H79" i="11"/>
  <c r="H80" i="11"/>
  <c r="H81" i="11"/>
  <c r="H67" i="11"/>
  <c r="H68" i="11"/>
  <c r="H69" i="11"/>
  <c r="H70" i="11"/>
  <c r="H71" i="11"/>
  <c r="H109" i="11"/>
  <c r="H110" i="11"/>
  <c r="H146" i="11"/>
  <c r="H147" i="11"/>
  <c r="H148" i="11"/>
  <c r="H149" i="11"/>
  <c r="H150" i="11"/>
  <c r="H151" i="11"/>
  <c r="H152" i="11"/>
  <c r="H153" i="11"/>
  <c r="H154" i="11"/>
  <c r="H155" i="11"/>
  <c r="H156" i="11"/>
  <c r="H161" i="11"/>
  <c r="H162" i="11"/>
  <c r="G133" i="11"/>
  <c r="H134" i="11"/>
  <c r="H135" i="11"/>
  <c r="H136" i="11"/>
  <c r="H137" i="11"/>
  <c r="H123" i="11"/>
  <c r="H124" i="11"/>
  <c r="H125" i="11"/>
  <c r="H126" i="11"/>
  <c r="H127" i="11"/>
  <c r="H165" i="11"/>
  <c r="H166" i="11"/>
  <c r="H216" i="11"/>
  <c r="H217" i="11"/>
  <c r="H218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187" i="11"/>
  <c r="H188" i="11"/>
  <c r="H189" i="11"/>
  <c r="H190" i="11"/>
  <c r="H191" i="11"/>
  <c r="H192" i="11"/>
  <c r="H193" i="11"/>
  <c r="H178" i="11"/>
  <c r="H179" i="11"/>
  <c r="H180" i="11"/>
  <c r="H181" i="11"/>
  <c r="H182" i="11"/>
  <c r="H183" i="11"/>
  <c r="H48" i="12"/>
  <c r="H49" i="12"/>
  <c r="H50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21" i="12"/>
  <c r="H22" i="12"/>
  <c r="H23" i="12"/>
  <c r="H24" i="12"/>
  <c r="H25" i="12"/>
  <c r="H11" i="12"/>
  <c r="H12" i="12"/>
  <c r="H13" i="12"/>
  <c r="H14" i="12"/>
  <c r="H15" i="12"/>
  <c r="H104" i="12"/>
  <c r="H105" i="12"/>
  <c r="H106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77" i="12"/>
  <c r="H78" i="12"/>
  <c r="H79" i="12"/>
  <c r="H80" i="12"/>
  <c r="H81" i="12"/>
  <c r="H68" i="12"/>
  <c r="H69" i="12"/>
  <c r="H70" i="12"/>
  <c r="H71" i="12"/>
  <c r="H160" i="12"/>
  <c r="H161" i="12"/>
  <c r="H162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31" i="12"/>
  <c r="H133" i="12"/>
  <c r="H134" i="12"/>
  <c r="H135" i="12"/>
  <c r="H136" i="12"/>
  <c r="H137" i="12"/>
  <c r="H123" i="12"/>
  <c r="H124" i="12"/>
  <c r="H125" i="12"/>
  <c r="H126" i="12"/>
  <c r="H127" i="12"/>
  <c r="H48" i="13"/>
  <c r="H49" i="13"/>
  <c r="H50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22" i="13"/>
  <c r="H23" i="13"/>
  <c r="H24" i="13"/>
  <c r="H25" i="13"/>
  <c r="H11" i="13"/>
  <c r="H14" i="13"/>
  <c r="H15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5" i="13"/>
  <c r="H106" i="13"/>
  <c r="G77" i="13"/>
  <c r="H78" i="13"/>
  <c r="H79" i="13"/>
  <c r="H80" i="13"/>
  <c r="H81" i="13"/>
  <c r="H68" i="13"/>
  <c r="H69" i="13"/>
  <c r="H70" i="13"/>
  <c r="H71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61" i="13"/>
  <c r="H162" i="13"/>
  <c r="G133" i="13"/>
  <c r="H134" i="13"/>
  <c r="H135" i="13"/>
  <c r="H136" i="13"/>
  <c r="H137" i="13"/>
  <c r="H124" i="13"/>
  <c r="H125" i="13"/>
  <c r="H126" i="13"/>
  <c r="H127" i="13"/>
  <c r="H160" i="14"/>
  <c r="H161" i="14"/>
  <c r="H162" i="14"/>
  <c r="H141" i="14"/>
  <c r="H142" i="14"/>
  <c r="H143" i="14"/>
  <c r="H144" i="14"/>
  <c r="H145" i="14"/>
  <c r="H146" i="14"/>
  <c r="H147" i="14"/>
  <c r="H148" i="14"/>
  <c r="H149" i="14"/>
  <c r="H150" i="14"/>
  <c r="H151" i="14"/>
  <c r="H152" i="14"/>
  <c r="H153" i="14"/>
  <c r="H154" i="14"/>
  <c r="H155" i="14"/>
  <c r="H156" i="14"/>
  <c r="G132" i="14"/>
  <c r="H133" i="14"/>
  <c r="H134" i="14"/>
  <c r="H135" i="14"/>
  <c r="H136" i="14"/>
  <c r="H137" i="14"/>
  <c r="H124" i="14"/>
  <c r="H125" i="14"/>
  <c r="H126" i="14"/>
  <c r="H127" i="14"/>
  <c r="H216" i="14"/>
  <c r="H217" i="14"/>
  <c r="H218" i="14"/>
  <c r="H199" i="14"/>
  <c r="H200" i="14"/>
  <c r="H201" i="14"/>
  <c r="H202" i="14"/>
  <c r="H203" i="14"/>
  <c r="H204" i="14"/>
  <c r="H205" i="14"/>
  <c r="H206" i="14"/>
  <c r="H207" i="14"/>
  <c r="H208" i="14"/>
  <c r="H209" i="14"/>
  <c r="H210" i="14"/>
  <c r="H211" i="14"/>
  <c r="H212" i="14"/>
  <c r="H189" i="14"/>
  <c r="H190" i="14"/>
  <c r="H191" i="14"/>
  <c r="H192" i="14"/>
  <c r="H193" i="14"/>
  <c r="H181" i="14"/>
  <c r="H182" i="14"/>
  <c r="H183" i="14"/>
  <c r="H273" i="14"/>
  <c r="H274" i="14"/>
  <c r="H253" i="14"/>
  <c r="H254" i="14"/>
  <c r="H255" i="14"/>
  <c r="H256" i="14"/>
  <c r="H257" i="14"/>
  <c r="H258" i="14"/>
  <c r="H259" i="14"/>
  <c r="H260" i="14"/>
  <c r="H261" i="14"/>
  <c r="H262" i="14"/>
  <c r="H263" i="14"/>
  <c r="H264" i="14"/>
  <c r="H265" i="14"/>
  <c r="H266" i="14"/>
  <c r="H267" i="14"/>
  <c r="H268" i="14"/>
  <c r="H246" i="14"/>
  <c r="H247" i="14"/>
  <c r="H248" i="14"/>
  <c r="H249" i="14"/>
  <c r="H237" i="14"/>
  <c r="H238" i="14"/>
  <c r="H239" i="14"/>
  <c r="H328" i="14"/>
  <c r="H329" i="14"/>
  <c r="H330" i="14"/>
  <c r="H309" i="14"/>
  <c r="H311" i="14"/>
  <c r="H312" i="14"/>
  <c r="H313" i="14"/>
  <c r="H314" i="14"/>
  <c r="H315" i="14"/>
  <c r="H316" i="14"/>
  <c r="H317" i="14"/>
  <c r="H318" i="14"/>
  <c r="H319" i="14"/>
  <c r="H320" i="14"/>
  <c r="H321" i="14"/>
  <c r="H322" i="14"/>
  <c r="H323" i="14"/>
  <c r="H324" i="14"/>
  <c r="H301" i="14"/>
  <c r="H302" i="14"/>
  <c r="H303" i="14"/>
  <c r="H304" i="14"/>
  <c r="H305" i="14"/>
  <c r="H292" i="14"/>
  <c r="H293" i="14"/>
  <c r="H294" i="14"/>
  <c r="H295" i="14"/>
  <c r="H496" i="14"/>
  <c r="H497" i="14"/>
  <c r="H498" i="14"/>
  <c r="H478" i="14"/>
  <c r="H479" i="14"/>
  <c r="H480" i="14"/>
  <c r="H481" i="14"/>
  <c r="H482" i="14"/>
  <c r="H483" i="14"/>
  <c r="H484" i="14"/>
  <c r="H485" i="14"/>
  <c r="H486" i="14"/>
  <c r="H487" i="14"/>
  <c r="H488" i="14"/>
  <c r="H489" i="14"/>
  <c r="H490" i="14"/>
  <c r="H491" i="14"/>
  <c r="H492" i="14"/>
  <c r="H467" i="14"/>
  <c r="H468" i="14"/>
  <c r="H469" i="14"/>
  <c r="H470" i="14"/>
  <c r="H471" i="14"/>
  <c r="H472" i="14"/>
  <c r="H473" i="14"/>
  <c r="H458" i="14"/>
  <c r="H459" i="14"/>
  <c r="H460" i="14"/>
  <c r="H461" i="14"/>
  <c r="H462" i="14"/>
  <c r="H463" i="14"/>
  <c r="F32" i="15"/>
  <c r="F33" i="15"/>
  <c r="F34" i="15"/>
  <c r="H35" i="15"/>
  <c r="H36" i="15"/>
  <c r="H37" i="15"/>
  <c r="H38" i="15"/>
  <c r="H39" i="15"/>
  <c r="H40" i="15"/>
  <c r="H41" i="15"/>
  <c r="H42" i="15"/>
  <c r="H43" i="15"/>
  <c r="H44" i="15"/>
  <c r="H49" i="15"/>
  <c r="H50" i="15"/>
  <c r="G21" i="15"/>
  <c r="H23" i="15"/>
  <c r="H24" i="15"/>
  <c r="H25" i="15"/>
  <c r="H12" i="15"/>
  <c r="H13" i="15"/>
  <c r="H14" i="15"/>
  <c r="H15" i="15"/>
  <c r="F29" i="16"/>
  <c r="F30" i="16"/>
  <c r="F31" i="16"/>
  <c r="F32" i="16"/>
  <c r="H33" i="16"/>
  <c r="G34" i="16"/>
  <c r="H34" i="16"/>
  <c r="H35" i="16"/>
  <c r="H36" i="16"/>
  <c r="H37" i="16"/>
  <c r="H38" i="16"/>
  <c r="H39" i="16"/>
  <c r="H40" i="16"/>
  <c r="H41" i="16"/>
  <c r="H42" i="16"/>
  <c r="H43" i="16"/>
  <c r="H44" i="16"/>
  <c r="H49" i="16"/>
  <c r="H50" i="16"/>
  <c r="G21" i="16"/>
  <c r="H23" i="16"/>
  <c r="H24" i="16"/>
  <c r="H25" i="16"/>
  <c r="H11" i="16"/>
  <c r="H13" i="16"/>
  <c r="H14" i="16"/>
  <c r="H15" i="16"/>
  <c r="F141" i="16"/>
  <c r="F142" i="16"/>
  <c r="F143" i="16"/>
  <c r="F144" i="16"/>
  <c r="H145" i="16"/>
  <c r="G146" i="16"/>
  <c r="H146" i="16"/>
  <c r="H147" i="16"/>
  <c r="H148" i="16"/>
  <c r="H149" i="16"/>
  <c r="H150" i="16"/>
  <c r="H151" i="16"/>
  <c r="H152" i="16"/>
  <c r="H153" i="16"/>
  <c r="H154" i="16"/>
  <c r="H155" i="16"/>
  <c r="H156" i="16"/>
  <c r="H161" i="16"/>
  <c r="H162" i="16"/>
  <c r="G133" i="16"/>
  <c r="H135" i="16"/>
  <c r="H136" i="16"/>
  <c r="H137" i="16"/>
  <c r="H123" i="16"/>
  <c r="H125" i="16"/>
  <c r="H126" i="16"/>
  <c r="H127" i="16"/>
  <c r="H204" i="16"/>
  <c r="H205" i="16"/>
  <c r="H206" i="16"/>
  <c r="H207" i="16"/>
  <c r="H208" i="16"/>
  <c r="H209" i="16"/>
  <c r="H210" i="16"/>
  <c r="H211" i="16"/>
  <c r="H212" i="16"/>
  <c r="H217" i="16"/>
  <c r="H218" i="16"/>
  <c r="G189" i="16"/>
  <c r="H191" i="16"/>
  <c r="H192" i="16"/>
  <c r="H193" i="16"/>
  <c r="H179" i="16"/>
  <c r="H182" i="16"/>
  <c r="H183" i="16"/>
  <c r="H260" i="16"/>
  <c r="H261" i="16"/>
  <c r="H262" i="16"/>
  <c r="H263" i="16"/>
  <c r="H264" i="16"/>
  <c r="H265" i="16"/>
  <c r="H266" i="16"/>
  <c r="H267" i="16"/>
  <c r="H268" i="16"/>
  <c r="H273" i="16"/>
  <c r="H274" i="16"/>
  <c r="G245" i="16"/>
  <c r="H247" i="16"/>
  <c r="H248" i="16"/>
  <c r="H249" i="16"/>
  <c r="H235" i="16"/>
  <c r="H238" i="16"/>
  <c r="H239" i="16"/>
  <c r="H316" i="16"/>
  <c r="H317" i="16"/>
  <c r="H318" i="16"/>
  <c r="H319" i="16"/>
  <c r="H320" i="16"/>
  <c r="H321" i="16"/>
  <c r="H322" i="16"/>
  <c r="H323" i="16"/>
  <c r="H324" i="16"/>
  <c r="H329" i="16"/>
  <c r="H330" i="16"/>
  <c r="G301" i="16"/>
  <c r="H303" i="16"/>
  <c r="H304" i="16"/>
  <c r="H305" i="16"/>
  <c r="H291" i="16"/>
  <c r="H294" i="16"/>
  <c r="H295" i="16"/>
  <c r="H372" i="16"/>
  <c r="H373" i="16"/>
  <c r="H374" i="16"/>
  <c r="H375" i="16"/>
  <c r="H376" i="16"/>
  <c r="H377" i="16"/>
  <c r="H378" i="16"/>
  <c r="H379" i="16"/>
  <c r="H380" i="16"/>
  <c r="H385" i="16"/>
  <c r="H386" i="16"/>
  <c r="G357" i="16"/>
  <c r="H359" i="16"/>
  <c r="H360" i="16"/>
  <c r="H361" i="16"/>
  <c r="H347" i="16"/>
  <c r="H350" i="16"/>
  <c r="H351" i="16"/>
  <c r="H428" i="16"/>
  <c r="H429" i="16"/>
  <c r="H430" i="16"/>
  <c r="H431" i="16"/>
  <c r="H432" i="16"/>
  <c r="H433" i="16"/>
  <c r="H434" i="16"/>
  <c r="H435" i="16"/>
  <c r="H436" i="16"/>
  <c r="H441" i="16"/>
  <c r="H442" i="16"/>
  <c r="G413" i="16"/>
  <c r="H415" i="16"/>
  <c r="H416" i="16"/>
  <c r="H417" i="16"/>
  <c r="H403" i="16"/>
  <c r="H406" i="16"/>
  <c r="H407" i="16"/>
  <c r="H484" i="16"/>
  <c r="H485" i="16"/>
  <c r="H486" i="16"/>
  <c r="H487" i="16"/>
  <c r="H488" i="16"/>
  <c r="H489" i="16"/>
  <c r="H490" i="16"/>
  <c r="H491" i="16"/>
  <c r="H492" i="16"/>
  <c r="H497" i="16"/>
  <c r="H498" i="16"/>
  <c r="G469" i="16"/>
  <c r="H471" i="16"/>
  <c r="H472" i="16"/>
  <c r="H473" i="16"/>
  <c r="H459" i="16"/>
  <c r="H462" i="16"/>
  <c r="H463" i="16"/>
  <c r="H545" i="16"/>
  <c r="H546" i="16"/>
  <c r="H547" i="16"/>
  <c r="H548" i="16"/>
  <c r="H553" i="16"/>
  <c r="H554" i="16"/>
  <c r="G525" i="16"/>
  <c r="H527" i="16"/>
  <c r="H528" i="16"/>
  <c r="H529" i="16"/>
  <c r="H515" i="16"/>
  <c r="H518" i="16"/>
  <c r="H519" i="16"/>
  <c r="H600" i="16"/>
  <c r="H601" i="16"/>
  <c r="H602" i="16"/>
  <c r="H603" i="16"/>
  <c r="H604" i="16"/>
  <c r="H609" i="16"/>
  <c r="H610" i="16"/>
  <c r="G581" i="16"/>
  <c r="H583" i="16"/>
  <c r="H584" i="16"/>
  <c r="H585" i="16"/>
  <c r="H571" i="16"/>
  <c r="H574" i="16"/>
  <c r="H575" i="16"/>
  <c r="H656" i="16"/>
  <c r="H657" i="16"/>
  <c r="H658" i="16"/>
  <c r="H659" i="16"/>
  <c r="H660" i="16"/>
  <c r="H665" i="16"/>
  <c r="H666" i="16"/>
  <c r="G637" i="16"/>
  <c r="H639" i="16"/>
  <c r="H640" i="16"/>
  <c r="H641" i="16"/>
  <c r="H627" i="16"/>
  <c r="H630" i="16"/>
  <c r="H631" i="16"/>
  <c r="F701" i="16"/>
  <c r="F702" i="16"/>
  <c r="F704" i="16"/>
  <c r="H705" i="16"/>
  <c r="H706" i="16"/>
  <c r="G707" i="16"/>
  <c r="H707" i="16"/>
  <c r="H708" i="16"/>
  <c r="H709" i="16"/>
  <c r="H710" i="16"/>
  <c r="H711" i="16"/>
  <c r="H712" i="16"/>
  <c r="H713" i="16"/>
  <c r="H714" i="16"/>
  <c r="H715" i="16"/>
  <c r="H716" i="16"/>
  <c r="H721" i="16"/>
  <c r="H722" i="16"/>
  <c r="G693" i="16"/>
  <c r="H695" i="16"/>
  <c r="H696" i="16"/>
  <c r="H697" i="16"/>
  <c r="H685" i="16"/>
  <c r="H686" i="16"/>
  <c r="H687" i="16"/>
  <c r="H759" i="16"/>
  <c r="H760" i="16"/>
  <c r="H761" i="16"/>
  <c r="H762" i="16"/>
  <c r="H763" i="16"/>
  <c r="H764" i="16"/>
  <c r="H765" i="16"/>
  <c r="H766" i="16"/>
  <c r="H767" i="16"/>
  <c r="H768" i="16"/>
  <c r="H769" i="16"/>
  <c r="H770" i="16"/>
  <c r="H771" i="16"/>
  <c r="H772" i="16"/>
  <c r="H777" i="16"/>
  <c r="H778" i="16"/>
  <c r="H749" i="16"/>
  <c r="H750" i="16"/>
  <c r="G751" i="16"/>
  <c r="H752" i="16"/>
  <c r="H753" i="16"/>
  <c r="H739" i="16"/>
  <c r="H740" i="16"/>
  <c r="H741" i="16"/>
  <c r="H742" i="16"/>
  <c r="H743" i="16"/>
  <c r="F29" i="17"/>
  <c r="F31" i="17"/>
  <c r="F32" i="17"/>
  <c r="H34" i="17"/>
  <c r="H35" i="17"/>
  <c r="H36" i="17"/>
  <c r="H37" i="17"/>
  <c r="H38" i="17"/>
  <c r="H39" i="17"/>
  <c r="H40" i="17"/>
  <c r="H41" i="17"/>
  <c r="H42" i="17"/>
  <c r="H43" i="17"/>
  <c r="H44" i="17"/>
  <c r="H49" i="17"/>
  <c r="H50" i="17"/>
  <c r="H19" i="17"/>
  <c r="G21" i="17"/>
  <c r="G22" i="17" s="1"/>
  <c r="H24" i="17"/>
  <c r="H25" i="17"/>
  <c r="H13" i="17"/>
  <c r="H14" i="17"/>
  <c r="H15" i="17"/>
  <c r="H49" i="18"/>
  <c r="H50" i="18"/>
  <c r="G21" i="18"/>
  <c r="G22" i="18"/>
  <c r="H23" i="18"/>
  <c r="H24" i="18"/>
  <c r="H25" i="18"/>
  <c r="H12" i="18"/>
  <c r="H13" i="18"/>
  <c r="H14" i="18"/>
  <c r="H15" i="18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9" i="23"/>
  <c r="H50" i="23"/>
  <c r="H19" i="23"/>
  <c r="G21" i="23"/>
  <c r="H22" i="23"/>
  <c r="H23" i="23"/>
  <c r="H24" i="23"/>
  <c r="H25" i="23"/>
  <c r="H11" i="23"/>
  <c r="H12" i="23"/>
  <c r="H13" i="23"/>
  <c r="H14" i="23"/>
  <c r="H15" i="23"/>
  <c r="H94" i="23"/>
  <c r="H95" i="23"/>
  <c r="H96" i="23"/>
  <c r="H97" i="23"/>
  <c r="H98" i="23"/>
  <c r="H99" i="23"/>
  <c r="H100" i="23"/>
  <c r="H105" i="23"/>
  <c r="H106" i="23"/>
  <c r="H75" i="23"/>
  <c r="G77" i="23"/>
  <c r="H78" i="23"/>
  <c r="H79" i="23"/>
  <c r="H80" i="23"/>
  <c r="H81" i="23"/>
  <c r="H67" i="23"/>
  <c r="H68" i="23"/>
  <c r="H69" i="23"/>
  <c r="H70" i="23"/>
  <c r="H71" i="23"/>
  <c r="H150" i="23"/>
  <c r="H151" i="23"/>
  <c r="H152" i="23"/>
  <c r="H153" i="23"/>
  <c r="H154" i="23"/>
  <c r="H155" i="23"/>
  <c r="H156" i="23"/>
  <c r="H161" i="23"/>
  <c r="H162" i="23"/>
  <c r="H131" i="23"/>
  <c r="G133" i="23"/>
  <c r="H134" i="23"/>
  <c r="H135" i="23"/>
  <c r="H136" i="23"/>
  <c r="H137" i="23"/>
  <c r="H123" i="23"/>
  <c r="H124" i="23"/>
  <c r="H125" i="23"/>
  <c r="H126" i="23"/>
  <c r="H127" i="23"/>
  <c r="H206" i="23"/>
  <c r="H207" i="23"/>
  <c r="H208" i="23"/>
  <c r="H209" i="23"/>
  <c r="H210" i="23"/>
  <c r="H211" i="23"/>
  <c r="H212" i="23"/>
  <c r="H217" i="23"/>
  <c r="H218" i="23"/>
  <c r="H187" i="23"/>
  <c r="G189" i="23"/>
  <c r="H190" i="23"/>
  <c r="H191" i="23"/>
  <c r="H192" i="23"/>
  <c r="H193" i="23"/>
  <c r="H179" i="23"/>
  <c r="H180" i="23"/>
  <c r="H181" i="23"/>
  <c r="H182" i="23"/>
  <c r="H183" i="23"/>
  <c r="H262" i="23"/>
  <c r="H263" i="23"/>
  <c r="H264" i="23"/>
  <c r="H265" i="23"/>
  <c r="H266" i="23"/>
  <c r="H267" i="23"/>
  <c r="H268" i="23"/>
  <c r="H273" i="23"/>
  <c r="H274" i="23"/>
  <c r="H243" i="23"/>
  <c r="G245" i="23"/>
  <c r="H246" i="23"/>
  <c r="H247" i="23"/>
  <c r="H248" i="23"/>
  <c r="H249" i="23"/>
  <c r="H235" i="23"/>
  <c r="H236" i="23"/>
  <c r="H237" i="23"/>
  <c r="H238" i="23"/>
  <c r="H239" i="23"/>
  <c r="H319" i="23"/>
  <c r="H320" i="23"/>
  <c r="H321" i="23"/>
  <c r="H322" i="23"/>
  <c r="H323" i="23"/>
  <c r="H324" i="23"/>
  <c r="H329" i="23"/>
  <c r="H330" i="23"/>
  <c r="H299" i="23"/>
  <c r="G300" i="23"/>
  <c r="G301" i="23"/>
  <c r="H302" i="23"/>
  <c r="H303" i="23"/>
  <c r="H304" i="23"/>
  <c r="H305" i="23"/>
  <c r="H291" i="23"/>
  <c r="H292" i="23"/>
  <c r="H293" i="23"/>
  <c r="H294" i="23"/>
  <c r="H295" i="23"/>
  <c r="H374" i="23"/>
  <c r="H375" i="23"/>
  <c r="H376" i="23"/>
  <c r="H377" i="23"/>
  <c r="H378" i="23"/>
  <c r="H379" i="23"/>
  <c r="H380" i="23"/>
  <c r="H385" i="23"/>
  <c r="H386" i="23"/>
  <c r="H355" i="23"/>
  <c r="G357" i="23"/>
  <c r="H358" i="23"/>
  <c r="H359" i="23"/>
  <c r="H360" i="23"/>
  <c r="H361" i="23"/>
  <c r="H347" i="23"/>
  <c r="H348" i="23"/>
  <c r="H349" i="23"/>
  <c r="H350" i="23"/>
  <c r="H351" i="23"/>
  <c r="H430" i="23"/>
  <c r="H431" i="23"/>
  <c r="H432" i="23"/>
  <c r="H433" i="23"/>
  <c r="H434" i="23"/>
  <c r="H435" i="23"/>
  <c r="H436" i="23"/>
  <c r="H441" i="23"/>
  <c r="H442" i="23"/>
  <c r="H411" i="23"/>
  <c r="G413" i="23"/>
  <c r="H414" i="23"/>
  <c r="H415" i="23"/>
  <c r="H416" i="23"/>
  <c r="H417" i="23"/>
  <c r="H403" i="23"/>
  <c r="H404" i="23"/>
  <c r="H405" i="23"/>
  <c r="H406" i="23"/>
  <c r="H407" i="23"/>
  <c r="H486" i="23"/>
  <c r="H487" i="23"/>
  <c r="H488" i="23"/>
  <c r="H489" i="23"/>
  <c r="H490" i="23"/>
  <c r="H491" i="23"/>
  <c r="H492" i="23"/>
  <c r="H497" i="23"/>
  <c r="H498" i="23"/>
  <c r="H467" i="23"/>
  <c r="G469" i="23"/>
  <c r="H470" i="23"/>
  <c r="H471" i="23"/>
  <c r="H472" i="23"/>
  <c r="H473" i="23"/>
  <c r="H459" i="23"/>
  <c r="H460" i="23"/>
  <c r="H461" i="23"/>
  <c r="H462" i="23"/>
  <c r="H463" i="23"/>
  <c r="H534" i="23"/>
  <c r="H535" i="23"/>
  <c r="H536" i="23"/>
  <c r="H537" i="23"/>
  <c r="H538" i="23"/>
  <c r="H539" i="23"/>
  <c r="H540" i="23"/>
  <c r="H541" i="23"/>
  <c r="H542" i="23"/>
  <c r="H543" i="23"/>
  <c r="H544" i="23"/>
  <c r="H545" i="23"/>
  <c r="H546" i="23"/>
  <c r="H547" i="23"/>
  <c r="H548" i="23"/>
  <c r="H553" i="23"/>
  <c r="H554" i="23"/>
  <c r="G525" i="23"/>
  <c r="H526" i="23"/>
  <c r="H527" i="23"/>
  <c r="H528" i="23"/>
  <c r="H529" i="23"/>
  <c r="H515" i="23"/>
  <c r="H516" i="23"/>
  <c r="H517" i="23"/>
  <c r="H518" i="23"/>
  <c r="H519" i="23"/>
  <c r="H33" i="21"/>
  <c r="H34" i="21"/>
  <c r="H35" i="21"/>
  <c r="H36" i="21"/>
  <c r="H37" i="21"/>
  <c r="H38" i="21"/>
  <c r="H39" i="21"/>
  <c r="H40" i="21"/>
  <c r="H41" i="21"/>
  <c r="H42" i="21"/>
  <c r="H43" i="21"/>
  <c r="H44" i="21"/>
  <c r="H49" i="21"/>
  <c r="H50" i="21"/>
  <c r="H19" i="21"/>
  <c r="G21" i="21"/>
  <c r="H22" i="21"/>
  <c r="H23" i="21"/>
  <c r="H24" i="21"/>
  <c r="H25" i="21"/>
  <c r="H12" i="21"/>
  <c r="H13" i="21"/>
  <c r="H14" i="21"/>
  <c r="H15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5" i="21"/>
  <c r="H106" i="21"/>
  <c r="H75" i="21"/>
  <c r="G77" i="21"/>
  <c r="H78" i="21"/>
  <c r="H79" i="21"/>
  <c r="H80" i="21"/>
  <c r="H81" i="21"/>
  <c r="H68" i="21"/>
  <c r="H69" i="21"/>
  <c r="H70" i="21"/>
  <c r="H71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61" i="21"/>
  <c r="H162" i="21"/>
  <c r="G133" i="21"/>
  <c r="H134" i="21"/>
  <c r="H135" i="21"/>
  <c r="H136" i="21"/>
  <c r="H137" i="21"/>
  <c r="H124" i="21"/>
  <c r="H125" i="21"/>
  <c r="H126" i="21"/>
  <c r="H127" i="21"/>
  <c r="H216" i="21"/>
  <c r="H219" i="21" s="1"/>
  <c r="H217" i="21"/>
  <c r="H218" i="21"/>
  <c r="H199" i="21"/>
  <c r="H200" i="21"/>
  <c r="H201" i="21"/>
  <c r="H202" i="21"/>
  <c r="H203" i="21"/>
  <c r="H204" i="21"/>
  <c r="H205" i="21"/>
  <c r="H206" i="21"/>
  <c r="H207" i="21"/>
  <c r="H208" i="21"/>
  <c r="H209" i="21"/>
  <c r="H210" i="21"/>
  <c r="H211" i="21"/>
  <c r="H212" i="21"/>
  <c r="G189" i="21"/>
  <c r="H190" i="21"/>
  <c r="H191" i="21"/>
  <c r="H192" i="21"/>
  <c r="H193" i="21"/>
  <c r="H179" i="21"/>
  <c r="H180" i="21"/>
  <c r="H181" i="21"/>
  <c r="H182" i="21"/>
  <c r="H183" i="21"/>
  <c r="H221" i="21"/>
  <c r="H222" i="21"/>
  <c r="H272" i="21"/>
  <c r="H275" i="21" s="1"/>
  <c r="H273" i="21"/>
  <c r="H274" i="21"/>
  <c r="H255" i="21"/>
  <c r="H256" i="21"/>
  <c r="H257" i="21"/>
  <c r="H258" i="21"/>
  <c r="H259" i="21"/>
  <c r="H260" i="21"/>
  <c r="H261" i="21"/>
  <c r="H262" i="21"/>
  <c r="H263" i="21"/>
  <c r="H264" i="21"/>
  <c r="H265" i="21"/>
  <c r="H266" i="21"/>
  <c r="H267" i="21"/>
  <c r="H268" i="21"/>
  <c r="G245" i="21"/>
  <c r="H246" i="21"/>
  <c r="H247" i="21"/>
  <c r="H248" i="21"/>
  <c r="H249" i="21"/>
  <c r="H235" i="21"/>
  <c r="H236" i="21"/>
  <c r="H237" i="21"/>
  <c r="H238" i="21"/>
  <c r="H239" i="21"/>
  <c r="H277" i="21"/>
  <c r="H278" i="21"/>
  <c r="H328" i="21"/>
  <c r="H329" i="21"/>
  <c r="H330" i="21"/>
  <c r="H311" i="21"/>
  <c r="H312" i="21"/>
  <c r="H313" i="21"/>
  <c r="H314" i="21"/>
  <c r="H315" i="21"/>
  <c r="H316" i="21"/>
  <c r="H317" i="21"/>
  <c r="H318" i="21"/>
  <c r="H319" i="21"/>
  <c r="H320" i="21"/>
  <c r="H321" i="21"/>
  <c r="H322" i="21"/>
  <c r="H323" i="21"/>
  <c r="H324" i="21"/>
  <c r="G301" i="21"/>
  <c r="H302" i="21"/>
  <c r="H303" i="21"/>
  <c r="H304" i="21"/>
  <c r="H305" i="21"/>
  <c r="H291" i="21"/>
  <c r="H292" i="21"/>
  <c r="H293" i="21"/>
  <c r="H294" i="21"/>
  <c r="H295" i="21"/>
  <c r="H333" i="21"/>
  <c r="H334" i="21"/>
  <c r="H384" i="21"/>
  <c r="H385" i="21"/>
  <c r="H386" i="21"/>
  <c r="H369" i="21"/>
  <c r="H370" i="21"/>
  <c r="H371" i="21"/>
  <c r="H372" i="21"/>
  <c r="H373" i="21"/>
  <c r="H374" i="21"/>
  <c r="H375" i="21"/>
  <c r="H376" i="21"/>
  <c r="H377" i="21"/>
  <c r="H378" i="21"/>
  <c r="H379" i="21"/>
  <c r="H380" i="21"/>
  <c r="G357" i="21"/>
  <c r="H358" i="21"/>
  <c r="H359" i="21"/>
  <c r="H360" i="21"/>
  <c r="H361" i="21"/>
  <c r="H348" i="21"/>
  <c r="H349" i="21"/>
  <c r="H350" i="21"/>
  <c r="H351" i="21"/>
  <c r="H389" i="21"/>
  <c r="H390" i="21"/>
  <c r="H496" i="21"/>
  <c r="H497" i="21"/>
  <c r="H498" i="21"/>
  <c r="H482" i="21"/>
  <c r="H483" i="21"/>
  <c r="H484" i="21"/>
  <c r="H485" i="21"/>
  <c r="H486" i="21"/>
  <c r="H487" i="21"/>
  <c r="H488" i="21"/>
  <c r="H489" i="21"/>
  <c r="H490" i="21"/>
  <c r="H491" i="21"/>
  <c r="H492" i="21"/>
  <c r="G469" i="21"/>
  <c r="H470" i="21"/>
  <c r="H471" i="21"/>
  <c r="H472" i="21"/>
  <c r="H473" i="21"/>
  <c r="H460" i="21"/>
  <c r="H461" i="21"/>
  <c r="H462" i="21"/>
  <c r="H463" i="21"/>
  <c r="H501" i="21"/>
  <c r="H502" i="21"/>
  <c r="H608" i="21"/>
  <c r="H609" i="21"/>
  <c r="H610" i="21"/>
  <c r="H590" i="21"/>
  <c r="H591" i="21"/>
  <c r="H592" i="21"/>
  <c r="H593" i="21"/>
  <c r="H594" i="21"/>
  <c r="H595" i="21"/>
  <c r="H596" i="21"/>
  <c r="H597" i="21"/>
  <c r="H598" i="21"/>
  <c r="H599" i="21"/>
  <c r="H600" i="21"/>
  <c r="H601" i="21"/>
  <c r="H602" i="21"/>
  <c r="H603" i="21"/>
  <c r="H604" i="21"/>
  <c r="H579" i="21"/>
  <c r="G581" i="21"/>
  <c r="H582" i="21"/>
  <c r="H583" i="21"/>
  <c r="H584" i="21"/>
  <c r="H585" i="21"/>
  <c r="H571" i="21"/>
  <c r="H572" i="21"/>
  <c r="H573" i="21"/>
  <c r="H574" i="21"/>
  <c r="H575" i="21"/>
  <c r="H613" i="21"/>
  <c r="H614" i="21"/>
  <c r="H664" i="21"/>
  <c r="H665" i="21"/>
  <c r="H666" i="21"/>
  <c r="F646" i="21"/>
  <c r="H648" i="21"/>
  <c r="H650" i="21"/>
  <c r="H651" i="21"/>
  <c r="H652" i="21"/>
  <c r="H653" i="21"/>
  <c r="H654" i="21"/>
  <c r="H655" i="21"/>
  <c r="H656" i="21"/>
  <c r="H657" i="21"/>
  <c r="H658" i="21"/>
  <c r="H659" i="21"/>
  <c r="H660" i="21"/>
  <c r="G637" i="21"/>
  <c r="H638" i="21"/>
  <c r="H639" i="21"/>
  <c r="H640" i="21"/>
  <c r="H641" i="21"/>
  <c r="H628" i="21"/>
  <c r="H629" i="21"/>
  <c r="H630" i="21"/>
  <c r="H631" i="21"/>
  <c r="H669" i="21"/>
  <c r="H670" i="21"/>
  <c r="H720" i="21"/>
  <c r="H721" i="21"/>
  <c r="H722" i="21"/>
  <c r="H703" i="21"/>
  <c r="H704" i="21"/>
  <c r="H705" i="21"/>
  <c r="H706" i="21"/>
  <c r="H707" i="21"/>
  <c r="H708" i="21"/>
  <c r="H709" i="21"/>
  <c r="H710" i="21"/>
  <c r="H711" i="21"/>
  <c r="H712" i="21"/>
  <c r="H713" i="21"/>
  <c r="H714" i="21"/>
  <c r="H715" i="21"/>
  <c r="H716" i="21"/>
  <c r="H691" i="21"/>
  <c r="G693" i="21"/>
  <c r="H694" i="21"/>
  <c r="H695" i="21"/>
  <c r="H696" i="21"/>
  <c r="H697" i="21"/>
  <c r="H683" i="21"/>
  <c r="H684" i="21"/>
  <c r="H685" i="21"/>
  <c r="H686" i="21"/>
  <c r="H687" i="21"/>
  <c r="H725" i="21"/>
  <c r="H726" i="21"/>
  <c r="H48" i="26"/>
  <c r="H49" i="26"/>
  <c r="H50" i="26"/>
  <c r="F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21" i="26"/>
  <c r="H22" i="26"/>
  <c r="H23" i="26"/>
  <c r="H24" i="26"/>
  <c r="H25" i="26"/>
  <c r="H12" i="26"/>
  <c r="H13" i="26"/>
  <c r="H14" i="26"/>
  <c r="H15" i="26"/>
  <c r="H104" i="26"/>
  <c r="H105" i="26"/>
  <c r="H106" i="26"/>
  <c r="H95" i="26"/>
  <c r="H96" i="26"/>
  <c r="H97" i="26"/>
  <c r="H98" i="26"/>
  <c r="H99" i="26"/>
  <c r="H100" i="26"/>
  <c r="G77" i="26"/>
  <c r="H78" i="26"/>
  <c r="H79" i="26"/>
  <c r="H80" i="26"/>
  <c r="H81" i="26"/>
  <c r="H71" i="26"/>
  <c r="F141" i="26"/>
  <c r="F142" i="26"/>
  <c r="F143" i="26"/>
  <c r="F145" i="26"/>
  <c r="H150" i="26"/>
  <c r="H151" i="26"/>
  <c r="H152" i="26"/>
  <c r="H153" i="26"/>
  <c r="H154" i="26"/>
  <c r="H155" i="26"/>
  <c r="H156" i="26"/>
  <c r="H161" i="26"/>
  <c r="H162" i="26"/>
  <c r="G133" i="26"/>
  <c r="H136" i="26"/>
  <c r="H137" i="26"/>
  <c r="H125" i="26"/>
  <c r="H126" i="26"/>
  <c r="H127" i="26"/>
  <c r="H216" i="26"/>
  <c r="H217" i="26"/>
  <c r="H218" i="26"/>
  <c r="H207" i="26"/>
  <c r="H208" i="26"/>
  <c r="H209" i="26"/>
  <c r="H210" i="26"/>
  <c r="H211" i="26"/>
  <c r="H212" i="26"/>
  <c r="G189" i="26"/>
  <c r="H190" i="26"/>
  <c r="H191" i="26"/>
  <c r="H193" i="26"/>
  <c r="H183" i="26"/>
  <c r="H259" i="26"/>
  <c r="H260" i="26"/>
  <c r="H261" i="26"/>
  <c r="H262" i="26"/>
  <c r="H263" i="26"/>
  <c r="H264" i="26"/>
  <c r="H265" i="26"/>
  <c r="H266" i="26"/>
  <c r="H267" i="26"/>
  <c r="H268" i="26"/>
  <c r="H273" i="26"/>
  <c r="H274" i="26"/>
  <c r="H247" i="26"/>
  <c r="H248" i="26"/>
  <c r="H249" i="26"/>
  <c r="H236" i="26"/>
  <c r="H237" i="26"/>
  <c r="H238" i="26"/>
  <c r="H239" i="26"/>
  <c r="F365" i="26"/>
  <c r="F366" i="26"/>
  <c r="F367" i="26"/>
  <c r="H374" i="26"/>
  <c r="H375" i="26"/>
  <c r="H376" i="26"/>
  <c r="H377" i="26"/>
  <c r="H378" i="26"/>
  <c r="H379" i="26"/>
  <c r="H380" i="26"/>
  <c r="H385" i="26"/>
  <c r="H386" i="26"/>
  <c r="G357" i="26"/>
  <c r="H360" i="26"/>
  <c r="H361" i="26"/>
  <c r="H348" i="26"/>
  <c r="H349" i="26"/>
  <c r="H350" i="26"/>
  <c r="H351" i="26"/>
  <c r="H481" i="26"/>
  <c r="H482" i="26"/>
  <c r="H483" i="26"/>
  <c r="H484" i="26"/>
  <c r="H485" i="26"/>
  <c r="H486" i="26"/>
  <c r="H487" i="26"/>
  <c r="H488" i="26"/>
  <c r="H489" i="26"/>
  <c r="H490" i="26"/>
  <c r="H492" i="26"/>
  <c r="H497" i="26"/>
  <c r="H498" i="26"/>
  <c r="H472" i="26"/>
  <c r="H473" i="26"/>
  <c r="H462" i="26"/>
  <c r="H463" i="26"/>
  <c r="H38" i="28"/>
  <c r="H39" i="28"/>
  <c r="H40" i="28"/>
  <c r="H41" i="28"/>
  <c r="H42" i="28"/>
  <c r="H43" i="28"/>
  <c r="H44" i="28"/>
  <c r="H49" i="28"/>
  <c r="H50" i="28"/>
  <c r="H19" i="28"/>
  <c r="G21" i="28"/>
  <c r="H22" i="28"/>
  <c r="H23" i="28"/>
  <c r="H24" i="28"/>
  <c r="H25" i="28"/>
  <c r="H11" i="28"/>
  <c r="H12" i="28"/>
  <c r="H13" i="28"/>
  <c r="H14" i="28"/>
  <c r="H15" i="28"/>
  <c r="H94" i="28"/>
  <c r="H95" i="28"/>
  <c r="H96" i="28"/>
  <c r="H97" i="28"/>
  <c r="H98" i="28"/>
  <c r="H99" i="28"/>
  <c r="H100" i="28"/>
  <c r="H105" i="28"/>
  <c r="H106" i="28"/>
  <c r="H75" i="28"/>
  <c r="G77" i="28"/>
  <c r="H78" i="28"/>
  <c r="H79" i="28"/>
  <c r="H80" i="28"/>
  <c r="H81" i="28"/>
  <c r="H67" i="28"/>
  <c r="H68" i="28"/>
  <c r="H69" i="28"/>
  <c r="H70" i="28"/>
  <c r="H71" i="28"/>
  <c r="H150" i="28"/>
  <c r="H151" i="28"/>
  <c r="H152" i="28"/>
  <c r="H153" i="28"/>
  <c r="H154" i="28"/>
  <c r="H155" i="28"/>
  <c r="H156" i="28"/>
  <c r="H161" i="28"/>
  <c r="H162" i="28"/>
  <c r="H131" i="28"/>
  <c r="G133" i="28"/>
  <c r="H134" i="28"/>
  <c r="H135" i="28"/>
  <c r="H136" i="28"/>
  <c r="H137" i="28"/>
  <c r="H123" i="28"/>
  <c r="H124" i="28"/>
  <c r="H125" i="28"/>
  <c r="H126" i="28"/>
  <c r="H127" i="28"/>
  <c r="H262" i="28"/>
  <c r="H263" i="28"/>
  <c r="H264" i="28"/>
  <c r="H265" i="28"/>
  <c r="H266" i="28"/>
  <c r="H267" i="28"/>
  <c r="H268" i="28"/>
  <c r="H273" i="28"/>
  <c r="H274" i="28"/>
  <c r="H243" i="28"/>
  <c r="G245" i="28"/>
  <c r="H246" i="28"/>
  <c r="H247" i="28"/>
  <c r="H248" i="28"/>
  <c r="H249" i="28"/>
  <c r="H235" i="28"/>
  <c r="H236" i="28"/>
  <c r="H237" i="28"/>
  <c r="H238" i="28"/>
  <c r="H239" i="28"/>
  <c r="H318" i="28"/>
  <c r="H319" i="28"/>
  <c r="H320" i="28"/>
  <c r="H321" i="28"/>
  <c r="H322" i="28"/>
  <c r="H323" i="28"/>
  <c r="H324" i="28"/>
  <c r="H329" i="28"/>
  <c r="H330" i="28"/>
  <c r="H299" i="28"/>
  <c r="G301" i="28"/>
  <c r="H302" i="28"/>
  <c r="H303" i="28"/>
  <c r="H304" i="28"/>
  <c r="H305" i="28"/>
  <c r="H291" i="28"/>
  <c r="H292" i="28"/>
  <c r="H293" i="28"/>
  <c r="H294" i="28"/>
  <c r="H295" i="28"/>
  <c r="H374" i="28"/>
  <c r="H375" i="28"/>
  <c r="H376" i="28"/>
  <c r="H377" i="28"/>
  <c r="H378" i="28"/>
  <c r="H379" i="28"/>
  <c r="H380" i="28"/>
  <c r="H385" i="28"/>
  <c r="H386" i="28"/>
  <c r="H355" i="28"/>
  <c r="G357" i="28"/>
  <c r="H358" i="28"/>
  <c r="H359" i="28"/>
  <c r="H360" i="28"/>
  <c r="H361" i="28"/>
  <c r="H347" i="28"/>
  <c r="H348" i="28"/>
  <c r="H349" i="28"/>
  <c r="H350" i="28"/>
  <c r="H351" i="28"/>
  <c r="H430" i="28"/>
  <c r="H431" i="28"/>
  <c r="H432" i="28"/>
  <c r="H433" i="28"/>
  <c r="H434" i="28"/>
  <c r="H435" i="28"/>
  <c r="H436" i="28"/>
  <c r="H441" i="28"/>
  <c r="H442" i="28"/>
  <c r="H411" i="28"/>
  <c r="G413" i="28"/>
  <c r="H414" i="28"/>
  <c r="H415" i="28"/>
  <c r="H416" i="28"/>
  <c r="H417" i="28"/>
  <c r="H403" i="28"/>
  <c r="H404" i="28"/>
  <c r="H405" i="28"/>
  <c r="H406" i="28"/>
  <c r="H407" i="28"/>
  <c r="H486" i="28"/>
  <c r="H487" i="28"/>
  <c r="H488" i="28"/>
  <c r="H489" i="28"/>
  <c r="H490" i="28"/>
  <c r="H491" i="28"/>
  <c r="H492" i="28"/>
  <c r="H497" i="28"/>
  <c r="H498" i="28"/>
  <c r="H467" i="28"/>
  <c r="G469" i="28"/>
  <c r="H470" i="28"/>
  <c r="H471" i="28"/>
  <c r="H472" i="28"/>
  <c r="H473" i="28"/>
  <c r="H459" i="28"/>
  <c r="H460" i="28"/>
  <c r="H461" i="28"/>
  <c r="H462" i="28"/>
  <c r="H463" i="28"/>
  <c r="H94" i="29"/>
  <c r="H95" i="29"/>
  <c r="H96" i="29"/>
  <c r="H97" i="29"/>
  <c r="H98" i="29"/>
  <c r="H99" i="29"/>
  <c r="H100" i="29"/>
  <c r="H105" i="29"/>
  <c r="H106" i="29"/>
  <c r="H75" i="29"/>
  <c r="G77" i="29"/>
  <c r="H78" i="29"/>
  <c r="H79" i="29"/>
  <c r="H80" i="29"/>
  <c r="H81" i="29"/>
  <c r="H67" i="29"/>
  <c r="H68" i="29"/>
  <c r="H69" i="29"/>
  <c r="H70" i="29"/>
  <c r="H71" i="29"/>
  <c r="H262" i="29"/>
  <c r="H263" i="29"/>
  <c r="H264" i="29"/>
  <c r="H265" i="29"/>
  <c r="H266" i="29"/>
  <c r="H267" i="29"/>
  <c r="H268" i="29"/>
  <c r="H273" i="29"/>
  <c r="H274" i="29"/>
  <c r="H243" i="29"/>
  <c r="G245" i="29"/>
  <c r="H246" i="29"/>
  <c r="H247" i="29"/>
  <c r="H248" i="29"/>
  <c r="H249" i="29"/>
  <c r="H235" i="29"/>
  <c r="H236" i="29"/>
  <c r="H237" i="29"/>
  <c r="H238" i="29"/>
  <c r="H239" i="29"/>
  <c r="H374" i="29"/>
  <c r="H375" i="29"/>
  <c r="H376" i="29"/>
  <c r="H377" i="29"/>
  <c r="H378" i="29"/>
  <c r="H379" i="29"/>
  <c r="H380" i="29"/>
  <c r="H385" i="29"/>
  <c r="H386" i="29"/>
  <c r="H355" i="29"/>
  <c r="G357" i="29"/>
  <c r="H358" i="29"/>
  <c r="H359" i="29"/>
  <c r="H360" i="29"/>
  <c r="H361" i="29"/>
  <c r="H347" i="29"/>
  <c r="H348" i="29"/>
  <c r="H349" i="29"/>
  <c r="H350" i="29"/>
  <c r="H351" i="29"/>
  <c r="H430" i="29"/>
  <c r="H431" i="29"/>
  <c r="H432" i="29"/>
  <c r="H433" i="29"/>
  <c r="H434" i="29"/>
  <c r="H435" i="29"/>
  <c r="H436" i="29"/>
  <c r="H441" i="29"/>
  <c r="H442" i="29"/>
  <c r="H411" i="29"/>
  <c r="G413" i="29"/>
  <c r="H414" i="29"/>
  <c r="H415" i="29"/>
  <c r="H416" i="29"/>
  <c r="H417" i="29"/>
  <c r="H403" i="29"/>
  <c r="H404" i="29"/>
  <c r="H405" i="29"/>
  <c r="H406" i="29"/>
  <c r="H407" i="29"/>
  <c r="H486" i="29"/>
  <c r="H487" i="29"/>
  <c r="H488" i="29"/>
  <c r="H489" i="29"/>
  <c r="H490" i="29"/>
  <c r="H491" i="29"/>
  <c r="H492" i="29"/>
  <c r="H497" i="29"/>
  <c r="H498" i="29"/>
  <c r="H467" i="29"/>
  <c r="G469" i="29"/>
  <c r="H470" i="29"/>
  <c r="H471" i="29"/>
  <c r="H472" i="29"/>
  <c r="H473" i="29"/>
  <c r="H459" i="29"/>
  <c r="H460" i="29"/>
  <c r="H461" i="29"/>
  <c r="H462" i="29"/>
  <c r="H463" i="29"/>
  <c r="H542" i="29"/>
  <c r="H543" i="29"/>
  <c r="H544" i="29"/>
  <c r="H545" i="29"/>
  <c r="H546" i="29"/>
  <c r="H547" i="29"/>
  <c r="H548" i="29"/>
  <c r="H553" i="29"/>
  <c r="H554" i="29"/>
  <c r="H523" i="29"/>
  <c r="G525" i="29"/>
  <c r="H526" i="29"/>
  <c r="H527" i="29"/>
  <c r="H528" i="29"/>
  <c r="H529" i="29"/>
  <c r="H515" i="29"/>
  <c r="H516" i="29"/>
  <c r="H517" i="29"/>
  <c r="H518" i="29"/>
  <c r="H519" i="29"/>
  <c r="H38" i="29"/>
  <c r="H39" i="29"/>
  <c r="H40" i="29"/>
  <c r="H41" i="29"/>
  <c r="H42" i="29"/>
  <c r="H43" i="29"/>
  <c r="H44" i="29"/>
  <c r="H49" i="29"/>
  <c r="H50" i="29"/>
  <c r="H19" i="29"/>
  <c r="G21" i="29"/>
  <c r="H22" i="29"/>
  <c r="H23" i="29"/>
  <c r="H24" i="29"/>
  <c r="H25" i="29"/>
  <c r="H11" i="29"/>
  <c r="H12" i="29"/>
  <c r="H13" i="29"/>
  <c r="H14" i="29"/>
  <c r="H15" i="29"/>
  <c r="F589" i="29"/>
  <c r="F590" i="29"/>
  <c r="F591" i="29"/>
  <c r="F593" i="29"/>
  <c r="F594" i="29"/>
  <c r="F596" i="29" s="1"/>
  <c r="F602" i="29"/>
  <c r="F603" i="29"/>
  <c r="F604" i="29"/>
  <c r="H609" i="29"/>
  <c r="H610" i="29"/>
  <c r="G580" i="29"/>
  <c r="G581" i="29"/>
  <c r="G582" i="29"/>
  <c r="G583" i="29"/>
  <c r="H584" i="29"/>
  <c r="H585" i="29"/>
  <c r="H575" i="29"/>
  <c r="H94" i="30"/>
  <c r="H95" i="30"/>
  <c r="H96" i="30"/>
  <c r="H97" i="30"/>
  <c r="H98" i="30"/>
  <c r="H99" i="30"/>
  <c r="H100" i="30"/>
  <c r="H105" i="30"/>
  <c r="H106" i="30"/>
  <c r="H75" i="30"/>
  <c r="G77" i="30"/>
  <c r="H78" i="30"/>
  <c r="H79" i="30"/>
  <c r="H80" i="30"/>
  <c r="H81" i="30"/>
  <c r="H67" i="30"/>
  <c r="H68" i="30"/>
  <c r="H69" i="30"/>
  <c r="H70" i="30"/>
  <c r="H71" i="30"/>
  <c r="G133" i="30"/>
  <c r="H430" i="30"/>
  <c r="H431" i="30"/>
  <c r="H432" i="30"/>
  <c r="H433" i="30"/>
  <c r="H434" i="30"/>
  <c r="H435" i="30"/>
  <c r="H436" i="30"/>
  <c r="H441" i="30"/>
  <c r="H442" i="30"/>
  <c r="H411" i="30"/>
  <c r="G413" i="30"/>
  <c r="H414" i="30"/>
  <c r="H415" i="30"/>
  <c r="H416" i="30"/>
  <c r="H417" i="30"/>
  <c r="H403" i="30"/>
  <c r="H404" i="30"/>
  <c r="H405" i="30"/>
  <c r="H406" i="30"/>
  <c r="H407" i="30"/>
  <c r="H486" i="30"/>
  <c r="H487" i="30"/>
  <c r="H488" i="30"/>
  <c r="H489" i="30"/>
  <c r="H490" i="30"/>
  <c r="H491" i="30"/>
  <c r="H492" i="30"/>
  <c r="H497" i="30"/>
  <c r="H498" i="30"/>
  <c r="H467" i="30"/>
  <c r="G469" i="30"/>
  <c r="H470" i="30"/>
  <c r="H471" i="30"/>
  <c r="H472" i="30"/>
  <c r="H473" i="30"/>
  <c r="H459" i="30"/>
  <c r="H460" i="30"/>
  <c r="H461" i="30"/>
  <c r="H462" i="30"/>
  <c r="H463" i="30"/>
  <c r="H598" i="30"/>
  <c r="H599" i="30"/>
  <c r="H600" i="30"/>
  <c r="H601" i="30"/>
  <c r="H602" i="30"/>
  <c r="H603" i="30"/>
  <c r="H604" i="30"/>
  <c r="H609" i="30"/>
  <c r="H610" i="30"/>
  <c r="H579" i="30"/>
  <c r="G581" i="30"/>
  <c r="H582" i="30"/>
  <c r="H583" i="30"/>
  <c r="H584" i="30"/>
  <c r="H585" i="30"/>
  <c r="H571" i="30"/>
  <c r="H572" i="30"/>
  <c r="H573" i="30"/>
  <c r="H574" i="30"/>
  <c r="H575" i="30"/>
  <c r="H654" i="30"/>
  <c r="H655" i="30"/>
  <c r="H656" i="30"/>
  <c r="H657" i="30"/>
  <c r="H658" i="30"/>
  <c r="H659" i="30"/>
  <c r="H660" i="30"/>
  <c r="H665" i="30"/>
  <c r="H666" i="30"/>
  <c r="H635" i="30"/>
  <c r="G637" i="30"/>
  <c r="H638" i="30"/>
  <c r="H639" i="30"/>
  <c r="H640" i="30"/>
  <c r="H641" i="30"/>
  <c r="H627" i="30"/>
  <c r="H628" i="30"/>
  <c r="H629" i="30"/>
  <c r="H630" i="30"/>
  <c r="H631" i="30"/>
  <c r="H710" i="30"/>
  <c r="H711" i="30"/>
  <c r="H712" i="30"/>
  <c r="H713" i="30"/>
  <c r="H714" i="30"/>
  <c r="H715" i="30"/>
  <c r="H716" i="30"/>
  <c r="H721" i="30"/>
  <c r="H722" i="30"/>
  <c r="H691" i="30"/>
  <c r="G693" i="30"/>
  <c r="H694" i="30"/>
  <c r="H695" i="30"/>
  <c r="H696" i="30"/>
  <c r="H697" i="30"/>
  <c r="H683" i="30"/>
  <c r="H684" i="30"/>
  <c r="H685" i="30"/>
  <c r="H686" i="30"/>
  <c r="H687" i="30"/>
  <c r="H38" i="32"/>
  <c r="H39" i="32"/>
  <c r="H40" i="32"/>
  <c r="H41" i="32"/>
  <c r="H42" i="32"/>
  <c r="H43" i="32"/>
  <c r="H44" i="32"/>
  <c r="H49" i="32"/>
  <c r="H50" i="32"/>
  <c r="H19" i="32"/>
  <c r="G21" i="32"/>
  <c r="H22" i="32"/>
  <c r="H23" i="32"/>
  <c r="H24" i="32"/>
  <c r="H25" i="32"/>
  <c r="H11" i="32"/>
  <c r="H12" i="32"/>
  <c r="H13" i="32"/>
  <c r="H14" i="32"/>
  <c r="H15" i="32"/>
  <c r="H94" i="32"/>
  <c r="H95" i="32"/>
  <c r="H96" i="32"/>
  <c r="H97" i="32"/>
  <c r="H98" i="32"/>
  <c r="H99" i="32"/>
  <c r="H100" i="32"/>
  <c r="H105" i="32"/>
  <c r="H106" i="32"/>
  <c r="H75" i="32"/>
  <c r="G77" i="32"/>
  <c r="H78" i="32"/>
  <c r="H79" i="32"/>
  <c r="H80" i="32"/>
  <c r="H81" i="32"/>
  <c r="H67" i="32"/>
  <c r="H68" i="32"/>
  <c r="H69" i="32"/>
  <c r="H70" i="32"/>
  <c r="H71" i="32"/>
  <c r="H150" i="32"/>
  <c r="H151" i="32"/>
  <c r="H152" i="32"/>
  <c r="H153" i="32"/>
  <c r="H154" i="32"/>
  <c r="H155" i="32"/>
  <c r="H156" i="32"/>
  <c r="H161" i="32"/>
  <c r="H162" i="32"/>
  <c r="H131" i="32"/>
  <c r="G133" i="32"/>
  <c r="H134" i="32"/>
  <c r="H135" i="32"/>
  <c r="H136" i="32"/>
  <c r="H137" i="32"/>
  <c r="H123" i="32"/>
  <c r="H124" i="32"/>
  <c r="H125" i="32"/>
  <c r="H126" i="32"/>
  <c r="H127" i="32"/>
  <c r="H206" i="32"/>
  <c r="H207" i="32"/>
  <c r="H208" i="32"/>
  <c r="H209" i="32"/>
  <c r="H210" i="32"/>
  <c r="H211" i="32"/>
  <c r="H212" i="32"/>
  <c r="H217" i="32"/>
  <c r="H218" i="32"/>
  <c r="H187" i="32"/>
  <c r="G189" i="32"/>
  <c r="H190" i="32"/>
  <c r="H191" i="32"/>
  <c r="H192" i="32"/>
  <c r="H193" i="32"/>
  <c r="H179" i="32"/>
  <c r="H180" i="32"/>
  <c r="H181" i="32"/>
  <c r="H182" i="32"/>
  <c r="H183" i="32"/>
  <c r="H262" i="32"/>
  <c r="H263" i="32"/>
  <c r="H264" i="32"/>
  <c r="H265" i="32"/>
  <c r="H266" i="32"/>
  <c r="H267" i="32"/>
  <c r="H268" i="32"/>
  <c r="H273" i="32"/>
  <c r="H274" i="32"/>
  <c r="H243" i="32"/>
  <c r="G245" i="32"/>
  <c r="H246" i="32"/>
  <c r="H247" i="32"/>
  <c r="H248" i="32"/>
  <c r="H249" i="32"/>
  <c r="H235" i="32"/>
  <c r="H236" i="32"/>
  <c r="H237" i="32"/>
  <c r="H238" i="32"/>
  <c r="H239" i="32"/>
  <c r="H318" i="32"/>
  <c r="H319" i="32"/>
  <c r="H320" i="32"/>
  <c r="H321" i="32"/>
  <c r="H322" i="32"/>
  <c r="H323" i="32"/>
  <c r="H324" i="32"/>
  <c r="H329" i="32"/>
  <c r="H330" i="32"/>
  <c r="H299" i="32"/>
  <c r="G301" i="32"/>
  <c r="H302" i="32"/>
  <c r="H303" i="32"/>
  <c r="H304" i="32"/>
  <c r="H305" i="32"/>
  <c r="H291" i="32"/>
  <c r="H292" i="32"/>
  <c r="H293" i="32"/>
  <c r="H294" i="32"/>
  <c r="H295" i="32"/>
  <c r="H374" i="32"/>
  <c r="H375" i="32"/>
  <c r="H376" i="32"/>
  <c r="H377" i="32"/>
  <c r="H378" i="32"/>
  <c r="H379" i="32"/>
  <c r="H380" i="32"/>
  <c r="H385" i="32"/>
  <c r="H386" i="32"/>
  <c r="H355" i="32"/>
  <c r="G357" i="32"/>
  <c r="H358" i="32"/>
  <c r="H359" i="32"/>
  <c r="H360" i="32"/>
  <c r="H361" i="32"/>
  <c r="H347" i="32"/>
  <c r="H348" i="32"/>
  <c r="H349" i="32"/>
  <c r="H350" i="32"/>
  <c r="H351" i="32"/>
  <c r="H430" i="32"/>
  <c r="H431" i="32"/>
  <c r="H432" i="32"/>
  <c r="H433" i="32"/>
  <c r="H434" i="32"/>
  <c r="H435" i="32"/>
  <c r="H436" i="32"/>
  <c r="H441" i="32"/>
  <c r="H442" i="32"/>
  <c r="H411" i="32"/>
  <c r="G413" i="32"/>
  <c r="H414" i="32"/>
  <c r="H415" i="32"/>
  <c r="H416" i="32"/>
  <c r="H417" i="32"/>
  <c r="H403" i="32"/>
  <c r="H404" i="32"/>
  <c r="H405" i="32"/>
  <c r="H406" i="32"/>
  <c r="H407" i="32"/>
  <c r="H486" i="32"/>
  <c r="H487" i="32"/>
  <c r="H488" i="32"/>
  <c r="H489" i="32"/>
  <c r="H490" i="32"/>
  <c r="H491" i="32"/>
  <c r="H492" i="32"/>
  <c r="H497" i="32"/>
  <c r="H498" i="32"/>
  <c r="H467" i="32"/>
  <c r="G469" i="32"/>
  <c r="H470" i="32"/>
  <c r="H471" i="32"/>
  <c r="H472" i="32"/>
  <c r="H473" i="32"/>
  <c r="H459" i="32"/>
  <c r="H460" i="32"/>
  <c r="H461" i="32"/>
  <c r="H462" i="32"/>
  <c r="H463" i="32"/>
  <c r="H542" i="32"/>
  <c r="H543" i="32"/>
  <c r="H544" i="32"/>
  <c r="H545" i="32"/>
  <c r="H546" i="32"/>
  <c r="H547" i="32"/>
  <c r="H548" i="32"/>
  <c r="H553" i="32"/>
  <c r="H554" i="32"/>
  <c r="H523" i="32"/>
  <c r="G525" i="32"/>
  <c r="H526" i="32"/>
  <c r="H527" i="32"/>
  <c r="H528" i="32"/>
  <c r="H529" i="32"/>
  <c r="H515" i="32"/>
  <c r="H516" i="32"/>
  <c r="H517" i="32"/>
  <c r="H518" i="32"/>
  <c r="H519" i="32"/>
  <c r="H30" i="33"/>
  <c r="H31" i="33"/>
  <c r="H32" i="33"/>
  <c r="H33" i="33"/>
  <c r="H34" i="33"/>
  <c r="H35" i="33"/>
  <c r="H36" i="33"/>
  <c r="H37" i="33"/>
  <c r="H38" i="33"/>
  <c r="H39" i="33"/>
  <c r="H40" i="33"/>
  <c r="H41" i="33"/>
  <c r="H42" i="33"/>
  <c r="H43" i="33"/>
  <c r="H44" i="33"/>
  <c r="H49" i="33"/>
  <c r="H50" i="33"/>
  <c r="H19" i="33"/>
  <c r="H20" i="33"/>
  <c r="H21" i="33"/>
  <c r="H22" i="33"/>
  <c r="H23" i="33"/>
  <c r="H24" i="33"/>
  <c r="H25" i="33"/>
  <c r="H10" i="33"/>
  <c r="H11" i="33"/>
  <c r="H12" i="33"/>
  <c r="H13" i="33"/>
  <c r="H14" i="33"/>
  <c r="H15" i="33"/>
  <c r="H86" i="33"/>
  <c r="H87" i="33"/>
  <c r="H88" i="33"/>
  <c r="H89" i="33"/>
  <c r="H90" i="33"/>
  <c r="H91" i="33"/>
  <c r="H92" i="33"/>
  <c r="H93" i="33"/>
  <c r="H94" i="33"/>
  <c r="H95" i="33"/>
  <c r="H96" i="33"/>
  <c r="H97" i="33"/>
  <c r="H98" i="33"/>
  <c r="H99" i="33"/>
  <c r="H100" i="33"/>
  <c r="H105" i="33"/>
  <c r="H106" i="33"/>
  <c r="H75" i="33"/>
  <c r="H76" i="33"/>
  <c r="H77" i="33"/>
  <c r="H78" i="33"/>
  <c r="H79" i="33"/>
  <c r="H80" i="33"/>
  <c r="H81" i="33"/>
  <c r="H67" i="33"/>
  <c r="H68" i="33"/>
  <c r="H69" i="33"/>
  <c r="H70" i="33"/>
  <c r="H71" i="33"/>
  <c r="H142" i="33"/>
  <c r="H143" i="33"/>
  <c r="H144" i="33"/>
  <c r="H145" i="33"/>
  <c r="H146" i="33"/>
  <c r="H147" i="33"/>
  <c r="H148" i="33"/>
  <c r="H149" i="33"/>
  <c r="H150" i="33"/>
  <c r="H151" i="33"/>
  <c r="H152" i="33"/>
  <c r="H153" i="33"/>
  <c r="H154" i="33"/>
  <c r="H155" i="33"/>
  <c r="H156" i="33"/>
  <c r="H161" i="33"/>
  <c r="H162" i="33"/>
  <c r="H131" i="33"/>
  <c r="H132" i="33"/>
  <c r="H133" i="33"/>
  <c r="H134" i="33"/>
  <c r="H135" i="33"/>
  <c r="H136" i="33"/>
  <c r="H137" i="33"/>
  <c r="H123" i="33"/>
  <c r="H124" i="33"/>
  <c r="H125" i="33"/>
  <c r="H126" i="33"/>
  <c r="H127" i="33"/>
  <c r="H198" i="33"/>
  <c r="H199" i="33"/>
  <c r="H200" i="33"/>
  <c r="H201" i="33"/>
  <c r="H202" i="33"/>
  <c r="H203" i="33"/>
  <c r="H204" i="33"/>
  <c r="H205" i="33"/>
  <c r="H206" i="33"/>
  <c r="H207" i="33"/>
  <c r="H208" i="33"/>
  <c r="H209" i="33"/>
  <c r="H210" i="33"/>
  <c r="H211" i="33"/>
  <c r="H212" i="33"/>
  <c r="H217" i="33"/>
  <c r="H218" i="33"/>
  <c r="H187" i="33"/>
  <c r="H188" i="33"/>
  <c r="H189" i="33"/>
  <c r="H190" i="33"/>
  <c r="H191" i="33"/>
  <c r="H194" i="33"/>
  <c r="H192" i="33"/>
  <c r="H193" i="33"/>
  <c r="H179" i="33"/>
  <c r="H180" i="33"/>
  <c r="H181" i="33"/>
  <c r="H182" i="33"/>
  <c r="H183" i="33"/>
  <c r="H254" i="33"/>
  <c r="H255" i="33"/>
  <c r="H256" i="33"/>
  <c r="H257" i="33"/>
  <c r="H258" i="33"/>
  <c r="H259" i="33"/>
  <c r="H260" i="33"/>
  <c r="H261" i="33"/>
  <c r="H262" i="33"/>
  <c r="H263" i="33"/>
  <c r="H264" i="33"/>
  <c r="H265" i="33"/>
  <c r="H266" i="33"/>
  <c r="H267" i="33"/>
  <c r="H268" i="33"/>
  <c r="H273" i="33"/>
  <c r="H274" i="33"/>
  <c r="H243" i="33"/>
  <c r="H244" i="33"/>
  <c r="H245" i="33"/>
  <c r="H246" i="33"/>
  <c r="H247" i="33"/>
  <c r="H248" i="33"/>
  <c r="H249" i="33"/>
  <c r="H235" i="33"/>
  <c r="H236" i="33"/>
  <c r="H237" i="33"/>
  <c r="H238" i="33"/>
  <c r="H239" i="33"/>
  <c r="H310" i="33"/>
  <c r="H311" i="33"/>
  <c r="H312" i="33"/>
  <c r="H313" i="33"/>
  <c r="H314" i="33"/>
  <c r="H315" i="33"/>
  <c r="H316" i="33"/>
  <c r="H317" i="33"/>
  <c r="H318" i="33"/>
  <c r="H319" i="33"/>
  <c r="H320" i="33"/>
  <c r="H321" i="33"/>
  <c r="H322" i="33"/>
  <c r="H323" i="33"/>
  <c r="H324" i="33"/>
  <c r="H329" i="33"/>
  <c r="H330" i="33"/>
  <c r="H299" i="33"/>
  <c r="H300" i="33"/>
  <c r="H301" i="33"/>
  <c r="H302" i="33"/>
  <c r="H303" i="33"/>
  <c r="H304" i="33"/>
  <c r="H305" i="33"/>
  <c r="H291" i="33"/>
  <c r="H292" i="33"/>
  <c r="H293" i="33"/>
  <c r="H294" i="33"/>
  <c r="H295" i="33"/>
  <c r="H366" i="33"/>
  <c r="H367" i="33"/>
  <c r="H368" i="33"/>
  <c r="H369" i="33"/>
  <c r="H370" i="33"/>
  <c r="H371" i="33"/>
  <c r="H372" i="33"/>
  <c r="H373" i="33"/>
  <c r="H374" i="33"/>
  <c r="H375" i="33"/>
  <c r="H376" i="33"/>
  <c r="H377" i="33"/>
  <c r="H378" i="33"/>
  <c r="H379" i="33"/>
  <c r="H380" i="33"/>
  <c r="H385" i="33"/>
  <c r="H386" i="33"/>
  <c r="H355" i="33"/>
  <c r="H356" i="33"/>
  <c r="H357" i="33"/>
  <c r="H358" i="33"/>
  <c r="H359" i="33"/>
  <c r="H360" i="33"/>
  <c r="H361" i="33"/>
  <c r="H347" i="33"/>
  <c r="H348" i="33"/>
  <c r="H349" i="33"/>
  <c r="H350" i="33"/>
  <c r="H351" i="33"/>
  <c r="H86" i="34"/>
  <c r="H87" i="34"/>
  <c r="H88" i="34"/>
  <c r="H89" i="34"/>
  <c r="H90" i="34"/>
  <c r="H91" i="34"/>
  <c r="H92" i="34"/>
  <c r="H93" i="34"/>
  <c r="H94" i="34"/>
  <c r="H95" i="34"/>
  <c r="H96" i="34"/>
  <c r="H97" i="34"/>
  <c r="H98" i="34"/>
  <c r="H99" i="34"/>
  <c r="H100" i="34"/>
  <c r="H105" i="34"/>
  <c r="H106" i="34"/>
  <c r="H75" i="34"/>
  <c r="G77" i="34"/>
  <c r="H78" i="34"/>
  <c r="H79" i="34"/>
  <c r="H80" i="34"/>
  <c r="H81" i="34"/>
  <c r="H67" i="34"/>
  <c r="H68" i="34"/>
  <c r="H69" i="34"/>
  <c r="H70" i="34"/>
  <c r="H71" i="34"/>
  <c r="H142" i="34"/>
  <c r="H143" i="34"/>
  <c r="H144" i="34"/>
  <c r="H145" i="34"/>
  <c r="H146" i="34"/>
  <c r="H147" i="34"/>
  <c r="H148" i="34"/>
  <c r="H149" i="34"/>
  <c r="H150" i="34"/>
  <c r="H151" i="34"/>
  <c r="H152" i="34"/>
  <c r="H153" i="34"/>
  <c r="H154" i="34"/>
  <c r="H155" i="34"/>
  <c r="H156" i="34"/>
  <c r="H161" i="34"/>
  <c r="H162" i="34"/>
  <c r="H131" i="34"/>
  <c r="H132" i="34"/>
  <c r="H133" i="34"/>
  <c r="H134" i="34"/>
  <c r="H135" i="34"/>
  <c r="H136" i="34"/>
  <c r="H137" i="34"/>
  <c r="H122" i="34"/>
  <c r="H123" i="34"/>
  <c r="H124" i="34"/>
  <c r="H125" i="34"/>
  <c r="H126" i="34"/>
  <c r="H127" i="34"/>
  <c r="H198" i="34"/>
  <c r="H199" i="34"/>
  <c r="H200" i="34"/>
  <c r="H201" i="34"/>
  <c r="H202" i="34"/>
  <c r="H203" i="34"/>
  <c r="H204" i="34"/>
  <c r="H205" i="34"/>
  <c r="H206" i="34"/>
  <c r="H207" i="34"/>
  <c r="H208" i="34"/>
  <c r="H209" i="34"/>
  <c r="H210" i="34"/>
  <c r="H211" i="34"/>
  <c r="H212" i="34"/>
  <c r="H217" i="34"/>
  <c r="H218" i="34"/>
  <c r="H187" i="34"/>
  <c r="H188" i="34"/>
  <c r="H189" i="34"/>
  <c r="H190" i="34"/>
  <c r="H191" i="34"/>
  <c r="H192" i="34"/>
  <c r="H193" i="34"/>
  <c r="H178" i="34"/>
  <c r="H179" i="34"/>
  <c r="H180" i="34"/>
  <c r="H181" i="34"/>
  <c r="H182" i="34"/>
  <c r="H183" i="34"/>
  <c r="H254" i="34"/>
  <c r="H255" i="34"/>
  <c r="H256" i="34"/>
  <c r="H257" i="34"/>
  <c r="H258" i="34"/>
  <c r="H259" i="34"/>
  <c r="H260" i="34"/>
  <c r="H261" i="34"/>
  <c r="H262" i="34"/>
  <c r="H263" i="34"/>
  <c r="H264" i="34"/>
  <c r="H265" i="34"/>
  <c r="H266" i="34"/>
  <c r="H267" i="34"/>
  <c r="H268" i="34"/>
  <c r="H273" i="34"/>
  <c r="H274" i="34"/>
  <c r="H243" i="34"/>
  <c r="H244" i="34"/>
  <c r="H245" i="34"/>
  <c r="H246" i="34"/>
  <c r="H247" i="34"/>
  <c r="H248" i="34"/>
  <c r="H249" i="34"/>
  <c r="H234" i="34"/>
  <c r="H235" i="34"/>
  <c r="H236" i="34"/>
  <c r="H237" i="34"/>
  <c r="H238" i="34"/>
  <c r="H239" i="34"/>
  <c r="H310" i="34"/>
  <c r="H311" i="34"/>
  <c r="H312" i="34"/>
  <c r="H313" i="34"/>
  <c r="H314" i="34"/>
  <c r="H315" i="34"/>
  <c r="H316" i="34"/>
  <c r="H317" i="34"/>
  <c r="H318" i="34"/>
  <c r="H319" i="34"/>
  <c r="H320" i="34"/>
  <c r="H321" i="34"/>
  <c r="H322" i="34"/>
  <c r="H323" i="34"/>
  <c r="H324" i="34"/>
  <c r="H329" i="34"/>
  <c r="H330" i="34"/>
  <c r="H299" i="34"/>
  <c r="H306" i="34" s="1"/>
  <c r="H300" i="34"/>
  <c r="H301" i="34"/>
  <c r="H302" i="34"/>
  <c r="H303" i="34"/>
  <c r="H304" i="34"/>
  <c r="H305" i="34"/>
  <c r="H290" i="34"/>
  <c r="H291" i="34"/>
  <c r="H292" i="34"/>
  <c r="H293" i="34"/>
  <c r="H294" i="34"/>
  <c r="H295" i="34"/>
  <c r="H366" i="34"/>
  <c r="H367" i="34"/>
  <c r="H368" i="34"/>
  <c r="H369" i="34"/>
  <c r="H370" i="34"/>
  <c r="H371" i="34"/>
  <c r="H372" i="34"/>
  <c r="H373" i="34"/>
  <c r="H374" i="34"/>
  <c r="H375" i="34"/>
  <c r="H376" i="34"/>
  <c r="H377" i="34"/>
  <c r="H378" i="34"/>
  <c r="H379" i="34"/>
  <c r="H380" i="34"/>
  <c r="H385" i="34"/>
  <c r="H386" i="34"/>
  <c r="H355" i="34"/>
  <c r="H356" i="34"/>
  <c r="H357" i="34"/>
  <c r="H358" i="34"/>
  <c r="H359" i="34"/>
  <c r="H360" i="34"/>
  <c r="H361" i="34"/>
  <c r="H346" i="34"/>
  <c r="H347" i="34"/>
  <c r="H348" i="34"/>
  <c r="H349" i="34"/>
  <c r="H350" i="34"/>
  <c r="H351" i="34"/>
  <c r="H422" i="34"/>
  <c r="H423" i="34"/>
  <c r="H424" i="34"/>
  <c r="H425" i="34"/>
  <c r="H426" i="34"/>
  <c r="H427" i="34"/>
  <c r="H428" i="34"/>
  <c r="H429" i="34"/>
  <c r="H430" i="34"/>
  <c r="H431" i="34"/>
  <c r="H432" i="34"/>
  <c r="H433" i="34"/>
  <c r="H434" i="34"/>
  <c r="H435" i="34"/>
  <c r="H436" i="34"/>
  <c r="H441" i="34"/>
  <c r="H442" i="34"/>
  <c r="H411" i="34"/>
  <c r="H412" i="34"/>
  <c r="H413" i="34"/>
  <c r="H414" i="34"/>
  <c r="H415" i="34"/>
  <c r="H416" i="34"/>
  <c r="H417" i="34"/>
  <c r="H402" i="34"/>
  <c r="H403" i="34"/>
  <c r="H404" i="34"/>
  <c r="H405" i="34"/>
  <c r="H406" i="34"/>
  <c r="H407" i="34"/>
  <c r="H478" i="34"/>
  <c r="H479" i="34"/>
  <c r="H480" i="34"/>
  <c r="H481" i="34"/>
  <c r="H482" i="34"/>
  <c r="H483" i="34"/>
  <c r="H484" i="34"/>
  <c r="H485" i="34"/>
  <c r="H486" i="34"/>
  <c r="H487" i="34"/>
  <c r="H488" i="34"/>
  <c r="H489" i="34"/>
  <c r="H490" i="34"/>
  <c r="H491" i="34"/>
  <c r="H492" i="34"/>
  <c r="H497" i="34"/>
  <c r="H498" i="34"/>
  <c r="H467" i="34"/>
  <c r="H468" i="34"/>
  <c r="H469" i="34"/>
  <c r="H470" i="34"/>
  <c r="H471" i="34"/>
  <c r="H472" i="34"/>
  <c r="H473" i="34"/>
  <c r="H458" i="34"/>
  <c r="H459" i="34"/>
  <c r="H460" i="34"/>
  <c r="H461" i="34"/>
  <c r="H462" i="34"/>
  <c r="H463" i="34"/>
  <c r="H534" i="34"/>
  <c r="H535" i="34"/>
  <c r="H536" i="34"/>
  <c r="H537" i="34"/>
  <c r="H538" i="34"/>
  <c r="H539" i="34"/>
  <c r="H540" i="34"/>
  <c r="H541" i="34"/>
  <c r="H542" i="34"/>
  <c r="H543" i="34"/>
  <c r="H544" i="34"/>
  <c r="H545" i="34"/>
  <c r="H546" i="34"/>
  <c r="H547" i="34"/>
  <c r="H548" i="34"/>
  <c r="H553" i="34"/>
  <c r="H554" i="34"/>
  <c r="H523" i="34"/>
  <c r="H524" i="34"/>
  <c r="H525" i="34"/>
  <c r="H526" i="34"/>
  <c r="H527" i="34"/>
  <c r="H528" i="34"/>
  <c r="H529" i="34"/>
  <c r="H514" i="34"/>
  <c r="H520" i="34" s="1"/>
  <c r="H515" i="34"/>
  <c r="H516" i="34"/>
  <c r="H517" i="34"/>
  <c r="H518" i="34"/>
  <c r="H519" i="34"/>
  <c r="H646" i="34"/>
  <c r="H647" i="34"/>
  <c r="H648" i="34"/>
  <c r="H649" i="34"/>
  <c r="H650" i="34"/>
  <c r="H651" i="34"/>
  <c r="H652" i="34"/>
  <c r="H653" i="34"/>
  <c r="H654" i="34"/>
  <c r="H655" i="34"/>
  <c r="H656" i="34"/>
  <c r="H657" i="34"/>
  <c r="H658" i="34"/>
  <c r="H659" i="34"/>
  <c r="H660" i="34"/>
  <c r="H665" i="34"/>
  <c r="H666" i="34"/>
  <c r="H635" i="34"/>
  <c r="H636" i="34"/>
  <c r="H637" i="34"/>
  <c r="H638" i="34"/>
  <c r="H639" i="34"/>
  <c r="H640" i="34"/>
  <c r="H641" i="34"/>
  <c r="H626" i="34"/>
  <c r="H627" i="34"/>
  <c r="H628" i="34"/>
  <c r="H629" i="34"/>
  <c r="H630" i="34"/>
  <c r="H631" i="34"/>
  <c r="H702" i="34"/>
  <c r="H703" i="34"/>
  <c r="H704" i="34"/>
  <c r="H705" i="34"/>
  <c r="H706" i="34"/>
  <c r="H707" i="34"/>
  <c r="H708" i="34"/>
  <c r="H709" i="34"/>
  <c r="H710" i="34"/>
  <c r="H711" i="34"/>
  <c r="H712" i="34"/>
  <c r="H713" i="34"/>
  <c r="H714" i="34"/>
  <c r="H715" i="34"/>
  <c r="H716" i="34"/>
  <c r="H721" i="34"/>
  <c r="H722" i="34"/>
  <c r="H691" i="34"/>
  <c r="H692" i="34"/>
  <c r="H693" i="34"/>
  <c r="H694" i="34"/>
  <c r="H695" i="34"/>
  <c r="H696" i="34"/>
  <c r="H697" i="34"/>
  <c r="H682" i="34"/>
  <c r="H683" i="34"/>
  <c r="H684" i="34"/>
  <c r="H685" i="34"/>
  <c r="H686" i="34"/>
  <c r="H687" i="34"/>
  <c r="H758" i="34"/>
  <c r="H759" i="34"/>
  <c r="H760" i="34"/>
  <c r="H761" i="34"/>
  <c r="H762" i="34"/>
  <c r="H763" i="34"/>
  <c r="H764" i="34"/>
  <c r="H765" i="34"/>
  <c r="H766" i="34"/>
  <c r="H767" i="34"/>
  <c r="H768" i="34"/>
  <c r="H769" i="34"/>
  <c r="H770" i="34"/>
  <c r="H771" i="34"/>
  <c r="H772" i="34"/>
  <c r="H777" i="34"/>
  <c r="H778" i="34"/>
  <c r="H747" i="34"/>
  <c r="H754" i="34" s="1"/>
  <c r="H748" i="34"/>
  <c r="H749" i="34"/>
  <c r="H750" i="34"/>
  <c r="H751" i="34"/>
  <c r="H752" i="34"/>
  <c r="H753" i="34"/>
  <c r="H738" i="34"/>
  <c r="H739" i="34"/>
  <c r="H740" i="34"/>
  <c r="H741" i="34"/>
  <c r="H742" i="34"/>
  <c r="H743" i="34"/>
  <c r="H814" i="34"/>
  <c r="H815" i="34"/>
  <c r="H816" i="34"/>
  <c r="H817" i="34"/>
  <c r="H818" i="34"/>
  <c r="H819" i="34"/>
  <c r="H820" i="34"/>
  <c r="H821" i="34"/>
  <c r="H822" i="34"/>
  <c r="H823" i="34"/>
  <c r="H824" i="34"/>
  <c r="H825" i="34"/>
  <c r="H826" i="34"/>
  <c r="H827" i="34"/>
  <c r="H828" i="34"/>
  <c r="H833" i="34"/>
  <c r="H834" i="34"/>
  <c r="H803" i="34"/>
  <c r="H804" i="34"/>
  <c r="H805" i="34"/>
  <c r="H806" i="34"/>
  <c r="H807" i="34"/>
  <c r="H808" i="34"/>
  <c r="H809" i="34"/>
  <c r="H794" i="34"/>
  <c r="H795" i="34"/>
  <c r="H796" i="34"/>
  <c r="H797" i="34"/>
  <c r="H798" i="34"/>
  <c r="H799" i="34"/>
  <c r="H870" i="34"/>
  <c r="H871" i="34"/>
  <c r="H872" i="34"/>
  <c r="H873" i="34"/>
  <c r="H874" i="34"/>
  <c r="H875" i="34"/>
  <c r="H876" i="34"/>
  <c r="H877" i="34"/>
  <c r="H878" i="34"/>
  <c r="H879" i="34"/>
  <c r="H880" i="34"/>
  <c r="H881" i="34"/>
  <c r="H882" i="34"/>
  <c r="H883" i="34"/>
  <c r="H884" i="34"/>
  <c r="H889" i="34"/>
  <c r="H890" i="34"/>
  <c r="H859" i="34"/>
  <c r="H866" i="34" s="1"/>
  <c r="H860" i="34"/>
  <c r="H861" i="34"/>
  <c r="H862" i="34"/>
  <c r="H863" i="34"/>
  <c r="H864" i="34"/>
  <c r="H865" i="34"/>
  <c r="H850" i="34"/>
  <c r="H851" i="34"/>
  <c r="H852" i="34"/>
  <c r="H853" i="34"/>
  <c r="H854" i="34"/>
  <c r="H855" i="34"/>
  <c r="H926" i="34"/>
  <c r="H927" i="34"/>
  <c r="H928" i="34"/>
  <c r="H929" i="34"/>
  <c r="H930" i="34"/>
  <c r="H931" i="34"/>
  <c r="H932" i="34"/>
  <c r="H933" i="34"/>
  <c r="H934" i="34"/>
  <c r="H935" i="34"/>
  <c r="H936" i="34"/>
  <c r="H937" i="34"/>
  <c r="H938" i="34"/>
  <c r="H939" i="34"/>
  <c r="H940" i="34"/>
  <c r="H945" i="34"/>
  <c r="H946" i="34"/>
  <c r="H915" i="34"/>
  <c r="H916" i="34"/>
  <c r="H917" i="34"/>
  <c r="H918" i="34"/>
  <c r="H919" i="34"/>
  <c r="H920" i="34"/>
  <c r="H921" i="34"/>
  <c r="H906" i="34"/>
  <c r="H907" i="34"/>
  <c r="H908" i="34"/>
  <c r="H909" i="34"/>
  <c r="H910" i="34"/>
  <c r="H911" i="34"/>
  <c r="H982" i="34"/>
  <c r="H983" i="34"/>
  <c r="H984" i="34"/>
  <c r="H985" i="34"/>
  <c r="H986" i="34"/>
  <c r="H987" i="34"/>
  <c r="H988" i="34"/>
  <c r="H989" i="34"/>
  <c r="H990" i="34"/>
  <c r="H991" i="34"/>
  <c r="H992" i="34"/>
  <c r="H993" i="34"/>
  <c r="H994" i="34"/>
  <c r="H995" i="34"/>
  <c r="H996" i="34"/>
  <c r="H1001" i="34"/>
  <c r="H1002" i="34"/>
  <c r="H971" i="34"/>
  <c r="H972" i="34"/>
  <c r="H973" i="34"/>
  <c r="H974" i="34"/>
  <c r="H975" i="34"/>
  <c r="H976" i="34"/>
  <c r="H977" i="34"/>
  <c r="H962" i="34"/>
  <c r="H963" i="34"/>
  <c r="H964" i="34"/>
  <c r="H965" i="34"/>
  <c r="H966" i="34"/>
  <c r="H967" i="34"/>
  <c r="H1038" i="34"/>
  <c r="H1039" i="34"/>
  <c r="H1040" i="34"/>
  <c r="H1041" i="34"/>
  <c r="H1042" i="34"/>
  <c r="H1043" i="34"/>
  <c r="H1044" i="34"/>
  <c r="H1045" i="34"/>
  <c r="H1046" i="34"/>
  <c r="H1047" i="34"/>
  <c r="H1048" i="34"/>
  <c r="H1049" i="34"/>
  <c r="H1050" i="34"/>
  <c r="H1051" i="34"/>
  <c r="H1052" i="34"/>
  <c r="H1057" i="34"/>
  <c r="H1058" i="34"/>
  <c r="H1027" i="34"/>
  <c r="H1028" i="34"/>
  <c r="H1029" i="34"/>
  <c r="H1030" i="34"/>
  <c r="H1031" i="34"/>
  <c r="H1032" i="34"/>
  <c r="H1034" i="34" s="1"/>
  <c r="H1033" i="34"/>
  <c r="H1018" i="34"/>
  <c r="H1019" i="34"/>
  <c r="H1020" i="34"/>
  <c r="H1021" i="34"/>
  <c r="H1022" i="34"/>
  <c r="H1023" i="34"/>
  <c r="H1094" i="34"/>
  <c r="H1095" i="34"/>
  <c r="H1096" i="34"/>
  <c r="H1097" i="34"/>
  <c r="H1098" i="34"/>
  <c r="H1099" i="34"/>
  <c r="H1100" i="34"/>
  <c r="H1101" i="34"/>
  <c r="H1102" i="34"/>
  <c r="H1103" i="34"/>
  <c r="H1104" i="34"/>
  <c r="H1105" i="34"/>
  <c r="H1106" i="34"/>
  <c r="H1107" i="34"/>
  <c r="H1108" i="34"/>
  <c r="H1113" i="34"/>
  <c r="H1114" i="34"/>
  <c r="H1083" i="34"/>
  <c r="H1084" i="34"/>
  <c r="H1085" i="34"/>
  <c r="H1086" i="34"/>
  <c r="H1087" i="34"/>
  <c r="H1088" i="34"/>
  <c r="H1089" i="34"/>
  <c r="H1074" i="34"/>
  <c r="H1075" i="34"/>
  <c r="H1076" i="34"/>
  <c r="H1077" i="34"/>
  <c r="H1078" i="34"/>
  <c r="H1079" i="34"/>
  <c r="H1150" i="34"/>
  <c r="H1151" i="34"/>
  <c r="H1152" i="34"/>
  <c r="H1153" i="34"/>
  <c r="H1154" i="34"/>
  <c r="H1155" i="34"/>
  <c r="H1156" i="34"/>
  <c r="H1157" i="34"/>
  <c r="H1158" i="34"/>
  <c r="H1159" i="34"/>
  <c r="H1160" i="34"/>
  <c r="H1161" i="34"/>
  <c r="H1162" i="34"/>
  <c r="H1163" i="34"/>
  <c r="H1164" i="34"/>
  <c r="H1169" i="34"/>
  <c r="H1170" i="34"/>
  <c r="H1139" i="34"/>
  <c r="H1140" i="34"/>
  <c r="H1141" i="34"/>
  <c r="H1142" i="34"/>
  <c r="H1143" i="34"/>
  <c r="H1144" i="34"/>
  <c r="H1145" i="34"/>
  <c r="H1130" i="34"/>
  <c r="H1131" i="34"/>
  <c r="H1132" i="34"/>
  <c r="H1133" i="34"/>
  <c r="H1134" i="34"/>
  <c r="H1135" i="34"/>
  <c r="H1206" i="34"/>
  <c r="H1207" i="34"/>
  <c r="H1208" i="34"/>
  <c r="H1209" i="34"/>
  <c r="H1210" i="34"/>
  <c r="H1211" i="34"/>
  <c r="H1212" i="34"/>
  <c r="H1213" i="34"/>
  <c r="H1214" i="34"/>
  <c r="H1215" i="34"/>
  <c r="H1216" i="34"/>
  <c r="H1217" i="34"/>
  <c r="H1218" i="34"/>
  <c r="H1219" i="34"/>
  <c r="H1220" i="34"/>
  <c r="H1225" i="34"/>
  <c r="H1226" i="34"/>
  <c r="H1195" i="34"/>
  <c r="H1196" i="34"/>
  <c r="H1197" i="34"/>
  <c r="H1198" i="34"/>
  <c r="H1199" i="34"/>
  <c r="H1200" i="34"/>
  <c r="H1201" i="34"/>
  <c r="H1186" i="34"/>
  <c r="H1187" i="34"/>
  <c r="H1188" i="34"/>
  <c r="H1189" i="34"/>
  <c r="H1190" i="34"/>
  <c r="H1191" i="34"/>
  <c r="H1262" i="34"/>
  <c r="H1263" i="34"/>
  <c r="H1264" i="34"/>
  <c r="H1265" i="34"/>
  <c r="H1266" i="34"/>
  <c r="H1267" i="34"/>
  <c r="H1268" i="34"/>
  <c r="H1269" i="34"/>
  <c r="H1270" i="34"/>
  <c r="H1271" i="34"/>
  <c r="H1272" i="34"/>
  <c r="H1273" i="34"/>
  <c r="H1274" i="34"/>
  <c r="H1275" i="34"/>
  <c r="H1276" i="34"/>
  <c r="H1281" i="34"/>
  <c r="H1282" i="34"/>
  <c r="H1251" i="34"/>
  <c r="H1252" i="34"/>
  <c r="H1253" i="34"/>
  <c r="H1254" i="34"/>
  <c r="H1255" i="34"/>
  <c r="H1256" i="34"/>
  <c r="H1257" i="34"/>
  <c r="H1242" i="34"/>
  <c r="H1243" i="34"/>
  <c r="H1244" i="34"/>
  <c r="H1245" i="34"/>
  <c r="H1246" i="34"/>
  <c r="H1247" i="34"/>
  <c r="H1318" i="34"/>
  <c r="H1319" i="34"/>
  <c r="H1320" i="34"/>
  <c r="H1321" i="34"/>
  <c r="H1322" i="34"/>
  <c r="H1323" i="34"/>
  <c r="H1324" i="34"/>
  <c r="H1325" i="34"/>
  <c r="H1326" i="34"/>
  <c r="H1327" i="34"/>
  <c r="H1328" i="34"/>
  <c r="H1329" i="34"/>
  <c r="H1330" i="34"/>
  <c r="H1331" i="34"/>
  <c r="H1332" i="34"/>
  <c r="H1337" i="34"/>
  <c r="H1338" i="34"/>
  <c r="H1307" i="34"/>
  <c r="H1308" i="34"/>
  <c r="H1309" i="34"/>
  <c r="H1310" i="34"/>
  <c r="H1311" i="34"/>
  <c r="H1312" i="34"/>
  <c r="H1313" i="34"/>
  <c r="H1298" i="34"/>
  <c r="H1299" i="34"/>
  <c r="H1300" i="34"/>
  <c r="H1301" i="34"/>
  <c r="H1302" i="34"/>
  <c r="H1303" i="34"/>
  <c r="H1430" i="34"/>
  <c r="H1431" i="34"/>
  <c r="H1432" i="34"/>
  <c r="H1433" i="34"/>
  <c r="H1434" i="34"/>
  <c r="H1435" i="34"/>
  <c r="H1436" i="34"/>
  <c r="H1437" i="34"/>
  <c r="H1438" i="34"/>
  <c r="H1439" i="34"/>
  <c r="H1440" i="34"/>
  <c r="H1441" i="34"/>
  <c r="H1442" i="34"/>
  <c r="H1443" i="34"/>
  <c r="H1444" i="34"/>
  <c r="H1449" i="34"/>
  <c r="H1450" i="34"/>
  <c r="H1419" i="34"/>
  <c r="H1420" i="34"/>
  <c r="H1421" i="34"/>
  <c r="H1422" i="34"/>
  <c r="H1423" i="34"/>
  <c r="H1424" i="34"/>
  <c r="H1425" i="34"/>
  <c r="H1410" i="34"/>
  <c r="H1411" i="34"/>
  <c r="H1412" i="34"/>
  <c r="H1413" i="34"/>
  <c r="H1414" i="34"/>
  <c r="H1415" i="34"/>
  <c r="H1486" i="34"/>
  <c r="H1487" i="34"/>
  <c r="H1488" i="34"/>
  <c r="H1489" i="34"/>
  <c r="H1490" i="34"/>
  <c r="H1491" i="34"/>
  <c r="H1492" i="34"/>
  <c r="H1493" i="34"/>
  <c r="H1494" i="34"/>
  <c r="H1495" i="34"/>
  <c r="H1496" i="34"/>
  <c r="H1497" i="34"/>
  <c r="H1498" i="34"/>
  <c r="H1499" i="34"/>
  <c r="H1500" i="34"/>
  <c r="H1505" i="34"/>
  <c r="H1506" i="34"/>
  <c r="H1475" i="34"/>
  <c r="H1476" i="34"/>
  <c r="H1477" i="34"/>
  <c r="H1478" i="34"/>
  <c r="H1479" i="34"/>
  <c r="H1480" i="34"/>
  <c r="H1481" i="34"/>
  <c r="H1466" i="34"/>
  <c r="H1467" i="34"/>
  <c r="H1468" i="34"/>
  <c r="H1469" i="34"/>
  <c r="H1470" i="34"/>
  <c r="H1471" i="34"/>
  <c r="H1542" i="34"/>
  <c r="H1543" i="34"/>
  <c r="H1544" i="34"/>
  <c r="H1545" i="34"/>
  <c r="H1546" i="34"/>
  <c r="H1547" i="34"/>
  <c r="H1548" i="34"/>
  <c r="H1549" i="34"/>
  <c r="H1550" i="34"/>
  <c r="H1551" i="34"/>
  <c r="H1552" i="34"/>
  <c r="H1553" i="34"/>
  <c r="H1554" i="34"/>
  <c r="H1555" i="34"/>
  <c r="H1556" i="34"/>
  <c r="H1561" i="34"/>
  <c r="H1562" i="34"/>
  <c r="H1531" i="34"/>
  <c r="H1532" i="34"/>
  <c r="H1533" i="34"/>
  <c r="H1534" i="34"/>
  <c r="H1535" i="34"/>
  <c r="H1538" i="34" s="1"/>
  <c r="H1536" i="34"/>
  <c r="H1537" i="34"/>
  <c r="H1522" i="34"/>
  <c r="H1523" i="34"/>
  <c r="H1524" i="34"/>
  <c r="H1525" i="34"/>
  <c r="H1526" i="34"/>
  <c r="H1527" i="34"/>
  <c r="H1598" i="34"/>
  <c r="H1599" i="34"/>
  <c r="H1600" i="34"/>
  <c r="H1601" i="34"/>
  <c r="H1602" i="34"/>
  <c r="H1603" i="34"/>
  <c r="H1604" i="34"/>
  <c r="H1605" i="34"/>
  <c r="H1606" i="34"/>
  <c r="H1607" i="34"/>
  <c r="H1608" i="34"/>
  <c r="H1609" i="34"/>
  <c r="H1610" i="34"/>
  <c r="H1611" i="34"/>
  <c r="H1612" i="34"/>
  <c r="H1617" i="34"/>
  <c r="H1618" i="34"/>
  <c r="H1587" i="34"/>
  <c r="H1588" i="34"/>
  <c r="H1589" i="34"/>
  <c r="H1590" i="34"/>
  <c r="H1591" i="34"/>
  <c r="H1592" i="34"/>
  <c r="H1593" i="34"/>
  <c r="H1578" i="34"/>
  <c r="H1579" i="34"/>
  <c r="H1580" i="34"/>
  <c r="H1581" i="34"/>
  <c r="H1582" i="34"/>
  <c r="H1583" i="34"/>
  <c r="H1654" i="34"/>
  <c r="H1655" i="34"/>
  <c r="H1656" i="34"/>
  <c r="H1657" i="34"/>
  <c r="H1658" i="34"/>
  <c r="H1659" i="34"/>
  <c r="H1660" i="34"/>
  <c r="H1661" i="34"/>
  <c r="H1662" i="34"/>
  <c r="H1663" i="34"/>
  <c r="H1664" i="34"/>
  <c r="H1665" i="34"/>
  <c r="H1666" i="34"/>
  <c r="H1667" i="34"/>
  <c r="H1668" i="34"/>
  <c r="H1673" i="34"/>
  <c r="H1674" i="34"/>
  <c r="H1643" i="34"/>
  <c r="H1644" i="34"/>
  <c r="H1645" i="34"/>
  <c r="H1646" i="34"/>
  <c r="H1647" i="34"/>
  <c r="H1648" i="34"/>
  <c r="H1649" i="34"/>
  <c r="H1634" i="34"/>
  <c r="H1635" i="34"/>
  <c r="H1636" i="34"/>
  <c r="H1637" i="34"/>
  <c r="H1638" i="34"/>
  <c r="H1639" i="34"/>
  <c r="H1710" i="34"/>
  <c r="H1711" i="34"/>
  <c r="H1712" i="34"/>
  <c r="H1713" i="34"/>
  <c r="H1714" i="34"/>
  <c r="H1715" i="34"/>
  <c r="H1716" i="34"/>
  <c r="H1717" i="34"/>
  <c r="H1718" i="34"/>
  <c r="H1719" i="34"/>
  <c r="H1720" i="34"/>
  <c r="H1721" i="34"/>
  <c r="H1722" i="34"/>
  <c r="H1723" i="34"/>
  <c r="H1724" i="34"/>
  <c r="H1729" i="34"/>
  <c r="H1730" i="34"/>
  <c r="H1699" i="34"/>
  <c r="H1700" i="34"/>
  <c r="H1701" i="34"/>
  <c r="H1702" i="34"/>
  <c r="H1703" i="34"/>
  <c r="H1704" i="34"/>
  <c r="H1705" i="34"/>
  <c r="H1690" i="34"/>
  <c r="H1691" i="34"/>
  <c r="H1692" i="34"/>
  <c r="H1693" i="34"/>
  <c r="H1694" i="34"/>
  <c r="H1695" i="34"/>
  <c r="H1766" i="34"/>
  <c r="H1767" i="34"/>
  <c r="H1768" i="34"/>
  <c r="H1769" i="34"/>
  <c r="H1770" i="34"/>
  <c r="H1771" i="34"/>
  <c r="H1772" i="34"/>
  <c r="H1773" i="34"/>
  <c r="H1774" i="34"/>
  <c r="H1775" i="34"/>
  <c r="H1776" i="34"/>
  <c r="H1777" i="34"/>
  <c r="H1778" i="34"/>
  <c r="H1779" i="34"/>
  <c r="H1780" i="34"/>
  <c r="H1785" i="34"/>
  <c r="H1786" i="34"/>
  <c r="H1755" i="34"/>
  <c r="H1762" i="34" s="1"/>
  <c r="H1756" i="34"/>
  <c r="H1757" i="34"/>
  <c r="H1758" i="34"/>
  <c r="H1759" i="34"/>
  <c r="H1760" i="34"/>
  <c r="H1761" i="34"/>
  <c r="H1746" i="34"/>
  <c r="H1747" i="34"/>
  <c r="H1748" i="34"/>
  <c r="H1749" i="34"/>
  <c r="H1750" i="34"/>
  <c r="H1751" i="34"/>
  <c r="F1821" i="34"/>
  <c r="F1823" i="34"/>
  <c r="F1824" i="34"/>
  <c r="H1826" i="34"/>
  <c r="H1827" i="34"/>
  <c r="H1828" i="34"/>
  <c r="H1829" i="34"/>
  <c r="H1830" i="34"/>
  <c r="H1831" i="34"/>
  <c r="H1832" i="34"/>
  <c r="H1833" i="34"/>
  <c r="H1834" i="34"/>
  <c r="H1835" i="34"/>
  <c r="H1836" i="34"/>
  <c r="H1841" i="34"/>
  <c r="H1842" i="34"/>
  <c r="H1811" i="34"/>
  <c r="G1812" i="34"/>
  <c r="G1813" i="34" s="1"/>
  <c r="G1814" i="34" s="1"/>
  <c r="G1815" i="34" s="1"/>
  <c r="H1816" i="34"/>
  <c r="H1817" i="34"/>
  <c r="H1805" i="34"/>
  <c r="H1806" i="34"/>
  <c r="H1807" i="34"/>
  <c r="F1877" i="34"/>
  <c r="F1879" i="34"/>
  <c r="F1880" i="34"/>
  <c r="H1882" i="34"/>
  <c r="H1883" i="34"/>
  <c r="H1884" i="34"/>
  <c r="H1885" i="34"/>
  <c r="H1886" i="34"/>
  <c r="H1887" i="34"/>
  <c r="H1888" i="34"/>
  <c r="H1889" i="34"/>
  <c r="H1890" i="34"/>
  <c r="H1891" i="34"/>
  <c r="H1892" i="34"/>
  <c r="H1897" i="34"/>
  <c r="H1898" i="34"/>
  <c r="H1867" i="34"/>
  <c r="G1868" i="34"/>
  <c r="H1872" i="34"/>
  <c r="H1873" i="34"/>
  <c r="H1861" i="34"/>
  <c r="H1862" i="34"/>
  <c r="H1863" i="34"/>
  <c r="F1933" i="34"/>
  <c r="F1935" i="34"/>
  <c r="F1936" i="34"/>
  <c r="H1938" i="34"/>
  <c r="H1939" i="34"/>
  <c r="H1940" i="34"/>
  <c r="H1941" i="34"/>
  <c r="H1942" i="34"/>
  <c r="H1943" i="34"/>
  <c r="H1944" i="34"/>
  <c r="H1945" i="34"/>
  <c r="H1946" i="34"/>
  <c r="H1947" i="34"/>
  <c r="H1948" i="34"/>
  <c r="H1953" i="34"/>
  <c r="H1954" i="34"/>
  <c r="H1923" i="34"/>
  <c r="G1924" i="34"/>
  <c r="H1928" i="34"/>
  <c r="H1929" i="34"/>
  <c r="H1917" i="34"/>
  <c r="H1918" i="34"/>
  <c r="H1919" i="34"/>
  <c r="H1990" i="34"/>
  <c r="H1991" i="34"/>
  <c r="H1992" i="34"/>
  <c r="H1993" i="34"/>
  <c r="H1994" i="34"/>
  <c r="H1995" i="34"/>
  <c r="H1996" i="34"/>
  <c r="H1997" i="34"/>
  <c r="H1998" i="34"/>
  <c r="H1999" i="34"/>
  <c r="H2000" i="34"/>
  <c r="H2001" i="34"/>
  <c r="H2002" i="34"/>
  <c r="H2003" i="34"/>
  <c r="H2004" i="34"/>
  <c r="H2009" i="34"/>
  <c r="H2010" i="34"/>
  <c r="H1979" i="34"/>
  <c r="H1980" i="34"/>
  <c r="H1981" i="34"/>
  <c r="H1982" i="34"/>
  <c r="H1983" i="34"/>
  <c r="H1984" i="34"/>
  <c r="H1985" i="34"/>
  <c r="H1970" i="34"/>
  <c r="H1971" i="34"/>
  <c r="H1972" i="34"/>
  <c r="H1973" i="34"/>
  <c r="H1974" i="34"/>
  <c r="H1975" i="34"/>
  <c r="H2046" i="34"/>
  <c r="H2047" i="34"/>
  <c r="H2048" i="34"/>
  <c r="H2049" i="34"/>
  <c r="H2050" i="34"/>
  <c r="H2051" i="34"/>
  <c r="H2052" i="34"/>
  <c r="H2053" i="34"/>
  <c r="H2054" i="34"/>
  <c r="H2055" i="34"/>
  <c r="H2056" i="34"/>
  <c r="H2057" i="34"/>
  <c r="H2058" i="34"/>
  <c r="H2059" i="34"/>
  <c r="H2060" i="34"/>
  <c r="H2065" i="34"/>
  <c r="H2066" i="34"/>
  <c r="H2035" i="34"/>
  <c r="H2036" i="34"/>
  <c r="H2037" i="34"/>
  <c r="H2038" i="34"/>
  <c r="H2039" i="34"/>
  <c r="H2040" i="34"/>
  <c r="H2041" i="34"/>
  <c r="H2026" i="34"/>
  <c r="H2032" i="34" s="1"/>
  <c r="H2027" i="34"/>
  <c r="H2028" i="34"/>
  <c r="H2029" i="34"/>
  <c r="H2030" i="34"/>
  <c r="H2031" i="34"/>
  <c r="F2101" i="34"/>
  <c r="F2103" i="34"/>
  <c r="F2104" i="34"/>
  <c r="F2105" i="34" s="1"/>
  <c r="H2106" i="34"/>
  <c r="H2107" i="34"/>
  <c r="H2108" i="34"/>
  <c r="H2109" i="34"/>
  <c r="H2110" i="34"/>
  <c r="H2111" i="34"/>
  <c r="H2112" i="34"/>
  <c r="H2113" i="34"/>
  <c r="H2114" i="34"/>
  <c r="H2115" i="34"/>
  <c r="H2116" i="34"/>
  <c r="H2121" i="34"/>
  <c r="H2122" i="34"/>
  <c r="H2091" i="34"/>
  <c r="G2092" i="34"/>
  <c r="H2096" i="34"/>
  <c r="H2097" i="34"/>
  <c r="H2085" i="34"/>
  <c r="H2086" i="34"/>
  <c r="H2087" i="34"/>
  <c r="H48" i="35"/>
  <c r="H49" i="35"/>
  <c r="H50" i="35"/>
  <c r="H30" i="35"/>
  <c r="H31" i="35"/>
  <c r="H32" i="35"/>
  <c r="H33" i="35"/>
  <c r="H34" i="35"/>
  <c r="H35" i="35"/>
  <c r="H36" i="35"/>
  <c r="H37" i="35"/>
  <c r="H38" i="35"/>
  <c r="H39" i="35"/>
  <c r="H40" i="35"/>
  <c r="H41" i="35"/>
  <c r="H42" i="35"/>
  <c r="H43" i="35"/>
  <c r="H44" i="35"/>
  <c r="H19" i="35"/>
  <c r="G21" i="35"/>
  <c r="H22" i="35"/>
  <c r="H23" i="35"/>
  <c r="H24" i="35"/>
  <c r="H25" i="35"/>
  <c r="H11" i="35"/>
  <c r="H12" i="35"/>
  <c r="H13" i="35"/>
  <c r="H14" i="35"/>
  <c r="H15" i="35"/>
  <c r="H104" i="35"/>
  <c r="H105" i="35"/>
  <c r="H106" i="35"/>
  <c r="H86" i="35"/>
  <c r="H87" i="35"/>
  <c r="H88" i="35"/>
  <c r="H89" i="35"/>
  <c r="H90" i="35"/>
  <c r="H91" i="35"/>
  <c r="H92" i="35"/>
  <c r="H93" i="35"/>
  <c r="H94" i="35"/>
  <c r="H95" i="35"/>
  <c r="H96" i="35"/>
  <c r="H97" i="35"/>
  <c r="H98" i="35"/>
  <c r="H99" i="35"/>
  <c r="H100" i="35"/>
  <c r="H75" i="35"/>
  <c r="G77" i="35"/>
  <c r="H78" i="35"/>
  <c r="H79" i="35"/>
  <c r="H80" i="35"/>
  <c r="H81" i="35"/>
  <c r="H67" i="35"/>
  <c r="H68" i="35"/>
  <c r="H69" i="35"/>
  <c r="H70" i="35"/>
  <c r="H71" i="35"/>
  <c r="H160" i="35"/>
  <c r="H161" i="35"/>
  <c r="H162" i="35"/>
  <c r="H142" i="35"/>
  <c r="H143" i="35"/>
  <c r="H144" i="35"/>
  <c r="H145" i="35"/>
  <c r="H146" i="35"/>
  <c r="H147" i="35"/>
  <c r="H148" i="35"/>
  <c r="H149" i="35"/>
  <c r="H150" i="35"/>
  <c r="H151" i="35"/>
  <c r="H152" i="35"/>
  <c r="H153" i="35"/>
  <c r="H154" i="35"/>
  <c r="H155" i="35"/>
  <c r="H156" i="35"/>
  <c r="H131" i="35"/>
  <c r="G133" i="35"/>
  <c r="H134" i="35"/>
  <c r="H135" i="35"/>
  <c r="H136" i="35"/>
  <c r="H137" i="35"/>
  <c r="H123" i="35"/>
  <c r="H124" i="35"/>
  <c r="H125" i="35"/>
  <c r="H126" i="35"/>
  <c r="H127" i="35"/>
  <c r="H216" i="35"/>
  <c r="H217" i="35"/>
  <c r="H218" i="35"/>
  <c r="H198" i="35"/>
  <c r="H199" i="35"/>
  <c r="H200" i="35"/>
  <c r="H201" i="35"/>
  <c r="H202" i="35"/>
  <c r="H203" i="35"/>
  <c r="H204" i="35"/>
  <c r="H205" i="35"/>
  <c r="H206" i="35"/>
  <c r="H207" i="35"/>
  <c r="H208" i="35"/>
  <c r="H209" i="35"/>
  <c r="H210" i="35"/>
  <c r="H211" i="35"/>
  <c r="H212" i="35"/>
  <c r="H187" i="35"/>
  <c r="G189" i="35"/>
  <c r="H190" i="35"/>
  <c r="H191" i="35"/>
  <c r="H192" i="35"/>
  <c r="H193" i="35"/>
  <c r="H179" i="35"/>
  <c r="H180" i="35"/>
  <c r="H181" i="35"/>
  <c r="H182" i="35"/>
  <c r="H183" i="35"/>
  <c r="H49" i="50"/>
  <c r="H50" i="50"/>
  <c r="H19" i="50"/>
  <c r="G21" i="50"/>
  <c r="H22" i="50"/>
  <c r="H23" i="50"/>
  <c r="H24" i="50"/>
  <c r="H25" i="50"/>
  <c r="H30" i="50"/>
  <c r="H31" i="50"/>
  <c r="H32" i="50"/>
  <c r="H33" i="50"/>
  <c r="H34" i="50"/>
  <c r="H35" i="50"/>
  <c r="H36" i="50"/>
  <c r="H37" i="50"/>
  <c r="H38" i="50"/>
  <c r="H39" i="50"/>
  <c r="H40" i="50"/>
  <c r="H41" i="50"/>
  <c r="H42" i="50"/>
  <c r="H43" i="50"/>
  <c r="H44" i="50"/>
  <c r="H11" i="50"/>
  <c r="H12" i="50"/>
  <c r="H13" i="50"/>
  <c r="H14" i="50"/>
  <c r="H15" i="50"/>
  <c r="H104" i="14"/>
  <c r="H105" i="14"/>
  <c r="H106" i="14"/>
  <c r="H85" i="14"/>
  <c r="H87" i="14"/>
  <c r="H88" i="14"/>
  <c r="H89" i="14"/>
  <c r="H90" i="14"/>
  <c r="H91" i="14"/>
  <c r="H92" i="14"/>
  <c r="H93" i="14"/>
  <c r="H94" i="14"/>
  <c r="H95" i="14"/>
  <c r="H96" i="14"/>
  <c r="H97" i="14"/>
  <c r="H98" i="14"/>
  <c r="H99" i="14"/>
  <c r="H100" i="14"/>
  <c r="H77" i="14"/>
  <c r="H78" i="14"/>
  <c r="H79" i="14"/>
  <c r="H80" i="14"/>
  <c r="H81" i="14"/>
  <c r="H68" i="14"/>
  <c r="H69" i="14"/>
  <c r="H70" i="14"/>
  <c r="H71" i="14"/>
  <c r="H49" i="14"/>
  <c r="H50" i="14"/>
  <c r="H29" i="14"/>
  <c r="H30" i="14"/>
  <c r="H31" i="14"/>
  <c r="H32" i="14"/>
  <c r="H33" i="14"/>
  <c r="H34" i="14"/>
  <c r="H35" i="14"/>
  <c r="H36" i="14"/>
  <c r="H37" i="14"/>
  <c r="H38" i="14"/>
  <c r="H39" i="14"/>
  <c r="H40" i="14"/>
  <c r="H41" i="14"/>
  <c r="H42" i="14"/>
  <c r="H43" i="14"/>
  <c r="H44" i="14"/>
  <c r="H22" i="14"/>
  <c r="H23" i="14"/>
  <c r="H24" i="14"/>
  <c r="H25" i="14"/>
  <c r="H13" i="14"/>
  <c r="H14" i="14"/>
  <c r="H15" i="14"/>
  <c r="K1773" i="19"/>
  <c r="K1769" i="19"/>
  <c r="G2115" i="19"/>
  <c r="E2115" i="19"/>
  <c r="B2115" i="19"/>
  <c r="D4" i="5"/>
  <c r="G2101" i="19"/>
  <c r="G2083" i="19"/>
  <c r="G2122" i="19"/>
  <c r="E2122" i="19"/>
  <c r="B2122" i="19"/>
  <c r="G2121" i="19"/>
  <c r="E2121" i="19"/>
  <c r="B2121" i="19"/>
  <c r="G2116" i="19"/>
  <c r="E2116" i="19"/>
  <c r="B2116" i="19"/>
  <c r="E2101" i="19"/>
  <c r="B2101" i="19"/>
  <c r="F2097" i="19"/>
  <c r="E2097" i="19"/>
  <c r="B2097" i="19"/>
  <c r="F2096" i="19"/>
  <c r="E2096" i="19"/>
  <c r="B2096" i="19"/>
  <c r="F2094" i="19"/>
  <c r="E2094" i="19"/>
  <c r="B2094" i="19"/>
  <c r="F2087" i="19"/>
  <c r="E2087" i="19"/>
  <c r="B2087" i="19"/>
  <c r="F2086" i="19"/>
  <c r="E2086" i="19"/>
  <c r="B2086" i="19"/>
  <c r="F2085" i="19"/>
  <c r="E2085" i="19"/>
  <c r="B2085" i="19"/>
  <c r="F2084" i="19"/>
  <c r="E2084" i="19"/>
  <c r="B2084" i="19"/>
  <c r="N2073" i="19"/>
  <c r="M2073" i="19"/>
  <c r="L2073" i="19"/>
  <c r="D113" i="19"/>
  <c r="K29" i="18"/>
  <c r="K533" i="51"/>
  <c r="K526" i="51"/>
  <c r="K645" i="51"/>
  <c r="F760" i="51"/>
  <c r="F759" i="51"/>
  <c r="F758" i="51"/>
  <c r="F757" i="51"/>
  <c r="K757" i="51"/>
  <c r="K750" i="51"/>
  <c r="K758" i="51"/>
  <c r="H772" i="51"/>
  <c r="G772" i="51"/>
  <c r="E772" i="51"/>
  <c r="B772" i="51"/>
  <c r="H771" i="51"/>
  <c r="G771" i="51"/>
  <c r="E771" i="51"/>
  <c r="B771" i="51"/>
  <c r="H770" i="51"/>
  <c r="G770" i="51"/>
  <c r="E770" i="51"/>
  <c r="B770" i="51"/>
  <c r="H769" i="51"/>
  <c r="G769" i="51"/>
  <c r="E769" i="51"/>
  <c r="B769" i="51"/>
  <c r="H768" i="51"/>
  <c r="G768" i="51"/>
  <c r="E768" i="51"/>
  <c r="B768" i="51"/>
  <c r="F767" i="51"/>
  <c r="G749" i="51"/>
  <c r="G740" i="51"/>
  <c r="H752" i="51"/>
  <c r="H753" i="51"/>
  <c r="F753" i="51"/>
  <c r="E753" i="51"/>
  <c r="B753" i="51"/>
  <c r="F752" i="51"/>
  <c r="E752" i="51"/>
  <c r="B752" i="51"/>
  <c r="G739" i="51"/>
  <c r="H741" i="51"/>
  <c r="H742" i="51"/>
  <c r="H743" i="51"/>
  <c r="F743" i="51"/>
  <c r="E743" i="51"/>
  <c r="B743" i="51"/>
  <c r="F742" i="51"/>
  <c r="E742" i="51"/>
  <c r="B742" i="51"/>
  <c r="F741" i="51"/>
  <c r="E741" i="51"/>
  <c r="B741" i="51"/>
  <c r="F536" i="51"/>
  <c r="F535" i="51"/>
  <c r="F534" i="51"/>
  <c r="F533" i="51"/>
  <c r="F648" i="51"/>
  <c r="F647" i="51"/>
  <c r="F646" i="51"/>
  <c r="F645" i="51"/>
  <c r="F655" i="51"/>
  <c r="H657" i="51"/>
  <c r="H658" i="51"/>
  <c r="H659" i="51"/>
  <c r="H660" i="51"/>
  <c r="H665" i="51"/>
  <c r="H666" i="51"/>
  <c r="G637" i="51"/>
  <c r="G628" i="51" s="1"/>
  <c r="H640" i="51"/>
  <c r="H641" i="51"/>
  <c r="G627" i="51"/>
  <c r="H629" i="51"/>
  <c r="H630" i="51"/>
  <c r="H631" i="51"/>
  <c r="G666" i="51"/>
  <c r="E666" i="51"/>
  <c r="B666" i="51"/>
  <c r="G665" i="51"/>
  <c r="E665" i="51"/>
  <c r="B665" i="51"/>
  <c r="G660" i="51"/>
  <c r="E660" i="51"/>
  <c r="B660" i="51"/>
  <c r="G659" i="51"/>
  <c r="E659" i="51"/>
  <c r="B659" i="51"/>
  <c r="G658" i="51"/>
  <c r="E658" i="51"/>
  <c r="B658" i="51"/>
  <c r="G657" i="51"/>
  <c r="E657" i="51"/>
  <c r="B657" i="51"/>
  <c r="K639" i="51"/>
  <c r="F641" i="51"/>
  <c r="E641" i="51"/>
  <c r="B641" i="51"/>
  <c r="F640" i="51"/>
  <c r="E640" i="51"/>
  <c r="B640" i="51"/>
  <c r="F631" i="51"/>
  <c r="E631" i="51"/>
  <c r="B631" i="51"/>
  <c r="F630" i="51"/>
  <c r="E630" i="51"/>
  <c r="B630" i="51"/>
  <c r="F629" i="51"/>
  <c r="E629" i="51"/>
  <c r="B629" i="51"/>
  <c r="N617" i="51"/>
  <c r="M617" i="51"/>
  <c r="L617" i="51"/>
  <c r="D1" i="51"/>
  <c r="F543" i="51"/>
  <c r="K527" i="51"/>
  <c r="G525" i="51"/>
  <c r="H528" i="51"/>
  <c r="H529" i="51"/>
  <c r="F529" i="51"/>
  <c r="E529" i="51"/>
  <c r="B529" i="51"/>
  <c r="F528" i="51"/>
  <c r="E528" i="51"/>
  <c r="B528" i="51"/>
  <c r="G515" i="51"/>
  <c r="H517" i="51"/>
  <c r="H518" i="51"/>
  <c r="H519" i="51"/>
  <c r="F519" i="51"/>
  <c r="E519" i="51"/>
  <c r="B519" i="51"/>
  <c r="F518" i="51"/>
  <c r="E518" i="51"/>
  <c r="B518" i="51"/>
  <c r="F517" i="51"/>
  <c r="E517" i="51"/>
  <c r="B517" i="51"/>
  <c r="F480" i="51"/>
  <c r="F479" i="51"/>
  <c r="F478" i="51"/>
  <c r="F477" i="51"/>
  <c r="K477" i="51"/>
  <c r="K470" i="51" s="1"/>
  <c r="K474" i="51" s="1"/>
  <c r="H489" i="51"/>
  <c r="G489" i="51"/>
  <c r="E489" i="51"/>
  <c r="B489" i="51"/>
  <c r="H488" i="51"/>
  <c r="G488" i="51"/>
  <c r="E488" i="51"/>
  <c r="B488" i="51"/>
  <c r="F487" i="51"/>
  <c r="H485" i="51"/>
  <c r="G485" i="51"/>
  <c r="E485" i="51"/>
  <c r="B485" i="51"/>
  <c r="K471" i="51"/>
  <c r="G469" i="51"/>
  <c r="H472" i="51"/>
  <c r="H473" i="51"/>
  <c r="F473" i="51"/>
  <c r="E473" i="51"/>
  <c r="B473" i="51"/>
  <c r="F472" i="51"/>
  <c r="E472" i="51"/>
  <c r="B472" i="51"/>
  <c r="G459" i="51"/>
  <c r="H461" i="51"/>
  <c r="H462" i="51"/>
  <c r="H463" i="51"/>
  <c r="F463" i="51"/>
  <c r="E463" i="51"/>
  <c r="B463" i="51"/>
  <c r="F462" i="51"/>
  <c r="E462" i="51"/>
  <c r="B462" i="51"/>
  <c r="F461" i="51"/>
  <c r="E461" i="51"/>
  <c r="B461" i="51"/>
  <c r="H432" i="51"/>
  <c r="G432" i="51"/>
  <c r="E432" i="51"/>
  <c r="B432" i="51"/>
  <c r="F431" i="51"/>
  <c r="H429" i="51"/>
  <c r="G429" i="51"/>
  <c r="E429" i="51"/>
  <c r="B429" i="51"/>
  <c r="G413" i="51"/>
  <c r="G404" i="51" s="1"/>
  <c r="H416" i="51"/>
  <c r="H417" i="51"/>
  <c r="F417" i="51"/>
  <c r="E417" i="51"/>
  <c r="B417" i="51"/>
  <c r="F416" i="51"/>
  <c r="E416" i="51"/>
  <c r="B416" i="51"/>
  <c r="G403" i="51"/>
  <c r="H405" i="51"/>
  <c r="H406" i="51"/>
  <c r="H407" i="51"/>
  <c r="F407" i="51"/>
  <c r="E407" i="51"/>
  <c r="B407" i="51"/>
  <c r="F406" i="51"/>
  <c r="E406" i="51"/>
  <c r="B406" i="51"/>
  <c r="F405" i="51"/>
  <c r="E405" i="51"/>
  <c r="B405" i="51"/>
  <c r="H317" i="51"/>
  <c r="F319" i="51"/>
  <c r="H320" i="51"/>
  <c r="H321" i="51"/>
  <c r="H322" i="51"/>
  <c r="H323" i="51"/>
  <c r="H324" i="51"/>
  <c r="H329" i="51"/>
  <c r="H330" i="51"/>
  <c r="G301" i="51"/>
  <c r="G292" i="51" s="1"/>
  <c r="G291" i="51"/>
  <c r="H293" i="51"/>
  <c r="H294" i="51"/>
  <c r="H295" i="51"/>
  <c r="G330" i="51"/>
  <c r="E330" i="51"/>
  <c r="B330" i="51"/>
  <c r="G329" i="51"/>
  <c r="E329" i="51"/>
  <c r="B329" i="51"/>
  <c r="G324" i="51"/>
  <c r="E324" i="51"/>
  <c r="B324" i="51"/>
  <c r="G323" i="51"/>
  <c r="E323" i="51"/>
  <c r="B323" i="51"/>
  <c r="G322" i="51"/>
  <c r="E322" i="51"/>
  <c r="B322" i="51"/>
  <c r="G321" i="51"/>
  <c r="E321" i="51"/>
  <c r="B321" i="51"/>
  <c r="G320" i="51"/>
  <c r="E320" i="51"/>
  <c r="B320" i="51"/>
  <c r="G317" i="51"/>
  <c r="E317" i="51"/>
  <c r="B317" i="51"/>
  <c r="F305" i="51"/>
  <c r="E305" i="51"/>
  <c r="B305" i="51"/>
  <c r="F304" i="51"/>
  <c r="E304" i="51"/>
  <c r="B304" i="51"/>
  <c r="F295" i="51"/>
  <c r="E295" i="51"/>
  <c r="B295" i="51"/>
  <c r="F294" i="51"/>
  <c r="E294" i="51"/>
  <c r="B294" i="51"/>
  <c r="F293" i="51"/>
  <c r="E293" i="51"/>
  <c r="B293" i="51"/>
  <c r="N281" i="51"/>
  <c r="M281" i="51"/>
  <c r="L281" i="51"/>
  <c r="H261" i="51"/>
  <c r="G261" i="51"/>
  <c r="E261" i="51"/>
  <c r="B261" i="51"/>
  <c r="G245" i="51"/>
  <c r="G235" i="51"/>
  <c r="H237" i="51"/>
  <c r="F237" i="51"/>
  <c r="E237" i="51"/>
  <c r="B237" i="51"/>
  <c r="K197" i="51"/>
  <c r="K190" i="51"/>
  <c r="F200" i="51"/>
  <c r="F199" i="51"/>
  <c r="F198" i="51"/>
  <c r="F197" i="51"/>
  <c r="G180" i="51"/>
  <c r="G179" i="51"/>
  <c r="F207" i="51"/>
  <c r="H205" i="51"/>
  <c r="G205" i="51"/>
  <c r="E205" i="51"/>
  <c r="B205" i="51"/>
  <c r="F144" i="51"/>
  <c r="F143" i="51"/>
  <c r="F142" i="51"/>
  <c r="F141" i="51"/>
  <c r="K141" i="51"/>
  <c r="K134" i="51" s="1"/>
  <c r="H149" i="51"/>
  <c r="F151" i="51"/>
  <c r="H152" i="51"/>
  <c r="H153" i="51"/>
  <c r="H154" i="51"/>
  <c r="H155" i="51"/>
  <c r="H156" i="51"/>
  <c r="H161" i="51"/>
  <c r="H162" i="51"/>
  <c r="G133" i="51"/>
  <c r="H136" i="51"/>
  <c r="H137" i="51"/>
  <c r="G123" i="51"/>
  <c r="G124" i="51"/>
  <c r="H125" i="51"/>
  <c r="H126" i="51"/>
  <c r="H127" i="51"/>
  <c r="G162" i="51"/>
  <c r="E162" i="51"/>
  <c r="B162" i="51"/>
  <c r="G161" i="51"/>
  <c r="E161" i="51"/>
  <c r="B161" i="51"/>
  <c r="G156" i="51"/>
  <c r="E156" i="51"/>
  <c r="B156" i="51"/>
  <c r="G155" i="51"/>
  <c r="E155" i="51"/>
  <c r="B155" i="51"/>
  <c r="G154" i="51"/>
  <c r="E154" i="51"/>
  <c r="B154" i="51"/>
  <c r="G153" i="51"/>
  <c r="E153" i="51"/>
  <c r="B153" i="51"/>
  <c r="G152" i="51"/>
  <c r="E152" i="51"/>
  <c r="B152" i="51"/>
  <c r="G149" i="51"/>
  <c r="E149" i="51"/>
  <c r="B149" i="51"/>
  <c r="F137" i="51"/>
  <c r="E137" i="51"/>
  <c r="B137" i="51"/>
  <c r="F136" i="51"/>
  <c r="E136" i="51"/>
  <c r="B136" i="51"/>
  <c r="F127" i="51"/>
  <c r="E127" i="51"/>
  <c r="B127" i="51"/>
  <c r="F126" i="51"/>
  <c r="E126" i="51"/>
  <c r="B126" i="51"/>
  <c r="F125" i="51"/>
  <c r="E125" i="51"/>
  <c r="B125" i="51"/>
  <c r="N113" i="51"/>
  <c r="M113" i="51"/>
  <c r="L113" i="51"/>
  <c r="G68" i="51"/>
  <c r="G67" i="51"/>
  <c r="F32" i="51"/>
  <c r="F31" i="51"/>
  <c r="F30" i="51"/>
  <c r="F29" i="51"/>
  <c r="F88" i="51"/>
  <c r="F87" i="51"/>
  <c r="F86" i="51"/>
  <c r="F85" i="51"/>
  <c r="K85" i="51"/>
  <c r="K78" i="51" s="1"/>
  <c r="G96" i="51"/>
  <c r="E96" i="51"/>
  <c r="B96" i="51"/>
  <c r="F95" i="51"/>
  <c r="G93" i="51"/>
  <c r="E93" i="51"/>
  <c r="B93" i="51"/>
  <c r="F39" i="51"/>
  <c r="G12" i="51"/>
  <c r="G11" i="51"/>
  <c r="H815" i="51"/>
  <c r="H816" i="51"/>
  <c r="H817" i="51"/>
  <c r="H818" i="51"/>
  <c r="H819" i="51"/>
  <c r="H820" i="51"/>
  <c r="H821" i="51"/>
  <c r="H822" i="51"/>
  <c r="H823" i="51"/>
  <c r="H824" i="51"/>
  <c r="H825" i="51"/>
  <c r="H826" i="51"/>
  <c r="H827" i="51"/>
  <c r="H828" i="51"/>
  <c r="H833" i="51"/>
  <c r="H834" i="51"/>
  <c r="H805" i="51"/>
  <c r="H806" i="51"/>
  <c r="G807" i="51"/>
  <c r="H808" i="51"/>
  <c r="H809" i="51"/>
  <c r="H795" i="51"/>
  <c r="H796" i="51"/>
  <c r="H797" i="51"/>
  <c r="H798" i="51"/>
  <c r="H799" i="51"/>
  <c r="G834" i="51"/>
  <c r="E834" i="51"/>
  <c r="B834" i="51"/>
  <c r="G833" i="51"/>
  <c r="E833" i="51"/>
  <c r="B833" i="51"/>
  <c r="G828" i="51"/>
  <c r="E828" i="51"/>
  <c r="B828" i="51"/>
  <c r="G827" i="51"/>
  <c r="E827" i="51"/>
  <c r="B827" i="51"/>
  <c r="G826" i="51"/>
  <c r="E826" i="51"/>
  <c r="B826" i="51"/>
  <c r="G825" i="51"/>
  <c r="E825" i="51"/>
  <c r="B825" i="51"/>
  <c r="G824" i="51"/>
  <c r="E824" i="51"/>
  <c r="B824" i="51"/>
  <c r="G823" i="51"/>
  <c r="E823" i="51"/>
  <c r="B823" i="51"/>
  <c r="G822" i="51"/>
  <c r="E822" i="51"/>
  <c r="B822" i="51"/>
  <c r="G821" i="51"/>
  <c r="E821" i="51"/>
  <c r="B821" i="51"/>
  <c r="G820" i="51"/>
  <c r="E820" i="51"/>
  <c r="B820" i="51"/>
  <c r="G819" i="51"/>
  <c r="E819" i="51"/>
  <c r="B819" i="51"/>
  <c r="G818" i="51"/>
  <c r="E818" i="51"/>
  <c r="B818" i="51"/>
  <c r="K815" i="51"/>
  <c r="K816" i="51" s="1"/>
  <c r="K817" i="51" s="1"/>
  <c r="G817" i="51"/>
  <c r="E817" i="51"/>
  <c r="B817" i="51"/>
  <c r="G816" i="51"/>
  <c r="E816" i="51"/>
  <c r="B816" i="51"/>
  <c r="G815" i="51"/>
  <c r="E815" i="51"/>
  <c r="B815" i="51"/>
  <c r="K806" i="51"/>
  <c r="K810" i="51" s="1"/>
  <c r="K807" i="51"/>
  <c r="F809" i="51"/>
  <c r="E809" i="51"/>
  <c r="B809" i="51"/>
  <c r="F808" i="51"/>
  <c r="E808" i="51"/>
  <c r="B808" i="51"/>
  <c r="F806" i="51"/>
  <c r="E806" i="51"/>
  <c r="B806" i="51"/>
  <c r="F805" i="51"/>
  <c r="E805" i="51"/>
  <c r="B805" i="51"/>
  <c r="F799" i="51"/>
  <c r="E799" i="51"/>
  <c r="B799" i="51"/>
  <c r="F798" i="51"/>
  <c r="E798" i="51"/>
  <c r="B798" i="51"/>
  <c r="F797" i="51"/>
  <c r="E797" i="51"/>
  <c r="B797" i="51"/>
  <c r="F796" i="51"/>
  <c r="E796" i="51"/>
  <c r="B796" i="51"/>
  <c r="F795" i="51"/>
  <c r="E795" i="51"/>
  <c r="B795" i="51"/>
  <c r="N785" i="51"/>
  <c r="M785" i="51"/>
  <c r="L785" i="51"/>
  <c r="H777" i="51"/>
  <c r="H778" i="51"/>
  <c r="G778" i="51"/>
  <c r="E778" i="51"/>
  <c r="B778" i="51"/>
  <c r="G777" i="51"/>
  <c r="E777" i="51"/>
  <c r="B777" i="51"/>
  <c r="N729" i="51"/>
  <c r="M729" i="51"/>
  <c r="L729" i="51"/>
  <c r="H545" i="51"/>
  <c r="H546" i="51"/>
  <c r="H547" i="51"/>
  <c r="H548" i="51"/>
  <c r="H553" i="51"/>
  <c r="H554" i="51"/>
  <c r="G554" i="51"/>
  <c r="E554" i="51"/>
  <c r="B554" i="51"/>
  <c r="G553" i="51"/>
  <c r="E553" i="51"/>
  <c r="B553" i="51"/>
  <c r="G548" i="51"/>
  <c r="E548" i="51"/>
  <c r="B548" i="51"/>
  <c r="G547" i="51"/>
  <c r="E547" i="51"/>
  <c r="B547" i="51"/>
  <c r="G546" i="51"/>
  <c r="E546" i="51"/>
  <c r="B546" i="51"/>
  <c r="G545" i="51"/>
  <c r="E545" i="51"/>
  <c r="B545" i="51"/>
  <c r="N505" i="51"/>
  <c r="M505" i="51"/>
  <c r="L505" i="51"/>
  <c r="H490" i="51"/>
  <c r="H491" i="51"/>
  <c r="H492" i="51"/>
  <c r="H497" i="51"/>
  <c r="H498" i="51"/>
  <c r="G498" i="51"/>
  <c r="E498" i="51"/>
  <c r="B498" i="51"/>
  <c r="G497" i="51"/>
  <c r="E497" i="51"/>
  <c r="B497" i="51"/>
  <c r="G492" i="51"/>
  <c r="E492" i="51"/>
  <c r="B492" i="51"/>
  <c r="G491" i="51"/>
  <c r="E491" i="51"/>
  <c r="B491" i="51"/>
  <c r="G490" i="51"/>
  <c r="E490" i="51"/>
  <c r="B490" i="51"/>
  <c r="N449" i="51"/>
  <c r="M449" i="51"/>
  <c r="L449" i="51"/>
  <c r="H433" i="51"/>
  <c r="H434" i="51"/>
  <c r="H435" i="51"/>
  <c r="H436" i="51"/>
  <c r="H441" i="51"/>
  <c r="H442" i="51"/>
  <c r="G442" i="51"/>
  <c r="E442" i="51"/>
  <c r="B442" i="51"/>
  <c r="G441" i="51"/>
  <c r="E441" i="51"/>
  <c r="B441" i="51"/>
  <c r="G436" i="51"/>
  <c r="E436" i="51"/>
  <c r="B436" i="51"/>
  <c r="G435" i="51"/>
  <c r="E435" i="51"/>
  <c r="B435" i="51"/>
  <c r="G434" i="51"/>
  <c r="E434" i="51"/>
  <c r="B434" i="51"/>
  <c r="G433" i="51"/>
  <c r="E433" i="51"/>
  <c r="B433" i="51"/>
  <c r="N393" i="51"/>
  <c r="M393" i="51"/>
  <c r="L393" i="51"/>
  <c r="H264" i="51"/>
  <c r="H265" i="51"/>
  <c r="H266" i="51"/>
  <c r="H267" i="51"/>
  <c r="H268" i="51"/>
  <c r="H273" i="51"/>
  <c r="H274" i="51"/>
  <c r="H238" i="51"/>
  <c r="H239" i="51"/>
  <c r="G274" i="51"/>
  <c r="E274" i="51"/>
  <c r="B274" i="51"/>
  <c r="G273" i="51"/>
  <c r="E273" i="51"/>
  <c r="B273" i="51"/>
  <c r="G268" i="51"/>
  <c r="E268" i="51"/>
  <c r="B268" i="51"/>
  <c r="G267" i="51"/>
  <c r="E267" i="51"/>
  <c r="B267" i="51"/>
  <c r="G266" i="51"/>
  <c r="E266" i="51"/>
  <c r="B266" i="51"/>
  <c r="G265" i="51"/>
  <c r="E265" i="51"/>
  <c r="B265" i="51"/>
  <c r="G264" i="51"/>
  <c r="E264" i="51"/>
  <c r="B264" i="51"/>
  <c r="F249" i="51"/>
  <c r="E249" i="51"/>
  <c r="B249" i="51"/>
  <c r="F248" i="51"/>
  <c r="E248" i="51"/>
  <c r="B248" i="51"/>
  <c r="F239" i="51"/>
  <c r="E239" i="51"/>
  <c r="B239" i="51"/>
  <c r="F238" i="51"/>
  <c r="E238" i="51"/>
  <c r="B238" i="51"/>
  <c r="N225" i="51"/>
  <c r="M225" i="51"/>
  <c r="L225" i="51"/>
  <c r="H208" i="51"/>
  <c r="H209" i="51"/>
  <c r="H210" i="51"/>
  <c r="H211" i="51"/>
  <c r="H212" i="51"/>
  <c r="H217" i="51"/>
  <c r="H218" i="51"/>
  <c r="G189" i="51"/>
  <c r="H181" i="51"/>
  <c r="H182" i="51"/>
  <c r="H183" i="51"/>
  <c r="G218" i="51"/>
  <c r="E218" i="51"/>
  <c r="B218" i="51"/>
  <c r="G217" i="51"/>
  <c r="E217" i="51"/>
  <c r="B217" i="51"/>
  <c r="G212" i="51"/>
  <c r="E212" i="51"/>
  <c r="B212" i="51"/>
  <c r="G211" i="51"/>
  <c r="E211" i="51"/>
  <c r="B211" i="51"/>
  <c r="G210" i="51"/>
  <c r="E210" i="51"/>
  <c r="B210" i="51"/>
  <c r="G209" i="51"/>
  <c r="E209" i="51"/>
  <c r="B209" i="51"/>
  <c r="G208" i="51"/>
  <c r="E208" i="51"/>
  <c r="B208" i="51"/>
  <c r="F193" i="51"/>
  <c r="E193" i="51"/>
  <c r="B193" i="51"/>
  <c r="F192" i="51"/>
  <c r="E192" i="51"/>
  <c r="B192" i="51"/>
  <c r="F183" i="51"/>
  <c r="E183" i="51"/>
  <c r="B183" i="51"/>
  <c r="F182" i="51"/>
  <c r="E182" i="51"/>
  <c r="B182" i="51"/>
  <c r="F181" i="51"/>
  <c r="E181" i="51"/>
  <c r="B181" i="51"/>
  <c r="N169" i="51"/>
  <c r="M169" i="51"/>
  <c r="L169" i="51"/>
  <c r="H105" i="51"/>
  <c r="H106" i="51"/>
  <c r="G77" i="51"/>
  <c r="H80" i="51"/>
  <c r="H81" i="51"/>
  <c r="H69" i="51"/>
  <c r="H70" i="51"/>
  <c r="H71" i="51"/>
  <c r="G106" i="51"/>
  <c r="E106" i="51"/>
  <c r="B106" i="51"/>
  <c r="G105" i="51"/>
  <c r="E105" i="51"/>
  <c r="B105" i="51"/>
  <c r="G100" i="51"/>
  <c r="E100" i="51"/>
  <c r="B100" i="51"/>
  <c r="G99" i="51"/>
  <c r="E99" i="51"/>
  <c r="B99" i="51"/>
  <c r="G98" i="51"/>
  <c r="E98" i="51"/>
  <c r="B98" i="51"/>
  <c r="G97" i="51"/>
  <c r="E97" i="51"/>
  <c r="B97" i="51"/>
  <c r="F81" i="51"/>
  <c r="E81" i="51"/>
  <c r="B81" i="51"/>
  <c r="F80" i="51"/>
  <c r="E80" i="51"/>
  <c r="B80" i="51"/>
  <c r="F71" i="51"/>
  <c r="E71" i="51"/>
  <c r="B71" i="51"/>
  <c r="F70" i="51"/>
  <c r="E70" i="51"/>
  <c r="B70" i="51"/>
  <c r="F69" i="51"/>
  <c r="E69" i="51"/>
  <c r="B69" i="51"/>
  <c r="N57" i="51"/>
  <c r="M57" i="51"/>
  <c r="L57" i="51"/>
  <c r="H37" i="51"/>
  <c r="H40" i="51"/>
  <c r="H41" i="51"/>
  <c r="H42" i="51"/>
  <c r="H43" i="51"/>
  <c r="H44" i="51"/>
  <c r="H49" i="51"/>
  <c r="H50" i="51"/>
  <c r="G21" i="51"/>
  <c r="H13" i="51"/>
  <c r="H14" i="51"/>
  <c r="H15" i="51"/>
  <c r="G50" i="51"/>
  <c r="E50" i="51"/>
  <c r="B50" i="51"/>
  <c r="G49" i="51"/>
  <c r="E49" i="51"/>
  <c r="B49" i="51"/>
  <c r="G44" i="51"/>
  <c r="E44" i="51"/>
  <c r="B44" i="51"/>
  <c r="G43" i="51"/>
  <c r="E43" i="51"/>
  <c r="B43" i="51"/>
  <c r="G42" i="51"/>
  <c r="E42" i="51"/>
  <c r="B42" i="51"/>
  <c r="G41" i="51"/>
  <c r="E41" i="51"/>
  <c r="B41" i="51"/>
  <c r="G40" i="51"/>
  <c r="E40" i="51"/>
  <c r="B40" i="51"/>
  <c r="G37" i="51"/>
  <c r="E37" i="51"/>
  <c r="B37" i="51"/>
  <c r="F25" i="51"/>
  <c r="E25" i="51"/>
  <c r="B25" i="51"/>
  <c r="F24" i="51"/>
  <c r="E24" i="51"/>
  <c r="B24" i="51"/>
  <c r="F15" i="51"/>
  <c r="E15" i="51"/>
  <c r="B15" i="51"/>
  <c r="F14" i="51"/>
  <c r="E14" i="51"/>
  <c r="B14" i="51"/>
  <c r="F13" i="51"/>
  <c r="E13" i="51"/>
  <c r="B13" i="51"/>
  <c r="O1" i="51"/>
  <c r="N1" i="51"/>
  <c r="M1" i="51"/>
  <c r="L1" i="51"/>
  <c r="K1650" i="19"/>
  <c r="H11" i="11"/>
  <c r="H12" i="11"/>
  <c r="H13" i="11"/>
  <c r="H14" i="11"/>
  <c r="H15" i="11"/>
  <c r="H38" i="11"/>
  <c r="H39" i="11"/>
  <c r="H40" i="11"/>
  <c r="H41" i="11"/>
  <c r="H42" i="11"/>
  <c r="H43" i="11"/>
  <c r="H44" i="11"/>
  <c r="H49" i="11"/>
  <c r="H50" i="11"/>
  <c r="G244" i="14"/>
  <c r="G245" i="14"/>
  <c r="H48" i="50"/>
  <c r="H51" i="50" s="1"/>
  <c r="G30" i="50"/>
  <c r="G31" i="50"/>
  <c r="G32" i="50"/>
  <c r="G33" i="50"/>
  <c r="E22" i="50"/>
  <c r="F22" i="50"/>
  <c r="E23" i="50"/>
  <c r="F23" i="50"/>
  <c r="E11" i="50"/>
  <c r="F11" i="50"/>
  <c r="E12" i="50"/>
  <c r="F12" i="50"/>
  <c r="G50" i="50"/>
  <c r="E50" i="50"/>
  <c r="B50" i="50"/>
  <c r="G49" i="50"/>
  <c r="E49" i="50"/>
  <c r="B49" i="50"/>
  <c r="G44" i="50"/>
  <c r="E44" i="50"/>
  <c r="B44" i="50"/>
  <c r="G43" i="50"/>
  <c r="E43" i="50"/>
  <c r="B43" i="50"/>
  <c r="G42" i="50"/>
  <c r="E42" i="50"/>
  <c r="B42" i="50"/>
  <c r="G41" i="50"/>
  <c r="E41" i="50"/>
  <c r="B41" i="50"/>
  <c r="G40" i="50"/>
  <c r="E40" i="50"/>
  <c r="B40" i="50"/>
  <c r="G39" i="50"/>
  <c r="E39" i="50"/>
  <c r="B39" i="50"/>
  <c r="G38" i="50"/>
  <c r="E38" i="50"/>
  <c r="B38" i="50"/>
  <c r="G37" i="50"/>
  <c r="E37" i="50"/>
  <c r="B37" i="50"/>
  <c r="G36" i="50"/>
  <c r="E36" i="50"/>
  <c r="B36" i="50"/>
  <c r="G35" i="50"/>
  <c r="E35" i="50"/>
  <c r="B35" i="50"/>
  <c r="G34" i="50"/>
  <c r="E34" i="50"/>
  <c r="B34" i="50"/>
  <c r="E33" i="50"/>
  <c r="B33" i="50"/>
  <c r="E32" i="50"/>
  <c r="B32" i="50"/>
  <c r="E31" i="50"/>
  <c r="B31" i="50"/>
  <c r="E30" i="50"/>
  <c r="B30" i="50"/>
  <c r="F25" i="50"/>
  <c r="E25" i="50"/>
  <c r="B25" i="50"/>
  <c r="F24" i="50"/>
  <c r="E24" i="50"/>
  <c r="B24" i="50"/>
  <c r="K23" i="50"/>
  <c r="B23" i="50"/>
  <c r="K22" i="50"/>
  <c r="B22" i="50"/>
  <c r="G19" i="50"/>
  <c r="F19" i="50"/>
  <c r="E19" i="50"/>
  <c r="B19" i="50"/>
  <c r="F15" i="50"/>
  <c r="E15" i="50"/>
  <c r="B15" i="50"/>
  <c r="F14" i="50"/>
  <c r="E14" i="50"/>
  <c r="B14" i="50"/>
  <c r="F13" i="50"/>
  <c r="E13" i="50"/>
  <c r="B13" i="50"/>
  <c r="B12" i="50"/>
  <c r="B11" i="50"/>
  <c r="N1" i="50"/>
  <c r="M1" i="50"/>
  <c r="L1" i="50"/>
  <c r="D1" i="50"/>
  <c r="F2799" i="49"/>
  <c r="H2799" i="49" s="1"/>
  <c r="H2802" i="49" s="1"/>
  <c r="F2805" i="49"/>
  <c r="H2805" i="49"/>
  <c r="H2810" i="49" s="1"/>
  <c r="F2806" i="49"/>
  <c r="H2806" i="49"/>
  <c r="F2807" i="49"/>
  <c r="H2807" i="49" s="1"/>
  <c r="H2813" i="49"/>
  <c r="H2814" i="49"/>
  <c r="H2815" i="49"/>
  <c r="H2816" i="49"/>
  <c r="H2817" i="49"/>
  <c r="H2823" i="49"/>
  <c r="H2826" i="49" s="1"/>
  <c r="F2756" i="49"/>
  <c r="H2756" i="49"/>
  <c r="H2759" i="49"/>
  <c r="F2762" i="49"/>
  <c r="H2762" i="49" s="1"/>
  <c r="F2763" i="49"/>
  <c r="H2763" i="49"/>
  <c r="H2767" i="49" s="1"/>
  <c r="H2784" i="49" s="1"/>
  <c r="F2764" i="49"/>
  <c r="H2764" i="49" s="1"/>
  <c r="H2770" i="49"/>
  <c r="H2771" i="49"/>
  <c r="H2772" i="49"/>
  <c r="H2777" i="49" s="1"/>
  <c r="H2773" i="49"/>
  <c r="H2774" i="49"/>
  <c r="H2780" i="49"/>
  <c r="H2783" i="49"/>
  <c r="F2714" i="49"/>
  <c r="H2714" i="49" s="1"/>
  <c r="H2718" i="49" s="1"/>
  <c r="F2715" i="49"/>
  <c r="H2715" i="49"/>
  <c r="F2721" i="49"/>
  <c r="H2721" i="49"/>
  <c r="F2722" i="49"/>
  <c r="H2722" i="49" s="1"/>
  <c r="F2723" i="49"/>
  <c r="H2723" i="49" s="1"/>
  <c r="H2730" i="49"/>
  <c r="H2734" i="49" s="1"/>
  <c r="H2731" i="49"/>
  <c r="H2737" i="49"/>
  <c r="H2740" i="49"/>
  <c r="F2673" i="49"/>
  <c r="H2673" i="49"/>
  <c r="H2676" i="49" s="1"/>
  <c r="F2679" i="49"/>
  <c r="H2679" i="49"/>
  <c r="F2680" i="49"/>
  <c r="H2680" i="49"/>
  <c r="H2684" i="49" s="1"/>
  <c r="H2699" i="49" s="1"/>
  <c r="F2681" i="49"/>
  <c r="H2681" i="49" s="1"/>
  <c r="H2688" i="49"/>
  <c r="H2692" i="49" s="1"/>
  <c r="H2695" i="49"/>
  <c r="H2698" i="49"/>
  <c r="F2633" i="49"/>
  <c r="H2633" i="49" s="1"/>
  <c r="H2636" i="49" s="1"/>
  <c r="F2639" i="49"/>
  <c r="H2639" i="49"/>
  <c r="F2640" i="49"/>
  <c r="H2640" i="49" s="1"/>
  <c r="F2641" i="49"/>
  <c r="H2641" i="49"/>
  <c r="H2648" i="49"/>
  <c r="H2651" i="49" s="1"/>
  <c r="H2654" i="49"/>
  <c r="H2657" i="49"/>
  <c r="F2592" i="49"/>
  <c r="H2592" i="49"/>
  <c r="H2595" i="49"/>
  <c r="H2618" i="49" s="1"/>
  <c r="F2598" i="49"/>
  <c r="H2598" i="49" s="1"/>
  <c r="H2603" i="49" s="1"/>
  <c r="F2599" i="49"/>
  <c r="H2599" i="49"/>
  <c r="F2600" i="49"/>
  <c r="H2600" i="49" s="1"/>
  <c r="H2607" i="49"/>
  <c r="H2608" i="49"/>
  <c r="H2611" i="49"/>
  <c r="H2614" i="49"/>
  <c r="H2617" i="49" s="1"/>
  <c r="F2552" i="49"/>
  <c r="H2552" i="49" s="1"/>
  <c r="H2555" i="49" s="1"/>
  <c r="F2558" i="49"/>
  <c r="H2558" i="49" s="1"/>
  <c r="F2559" i="49"/>
  <c r="H2559" i="49" s="1"/>
  <c r="F2560" i="49"/>
  <c r="H2560" i="49"/>
  <c r="H2567" i="49"/>
  <c r="H2570" i="49" s="1"/>
  <c r="H2577" i="49" s="1"/>
  <c r="H2573" i="49"/>
  <c r="H2576" i="49"/>
  <c r="F2510" i="49"/>
  <c r="H2510" i="49" s="1"/>
  <c r="H2511" i="49"/>
  <c r="F2517" i="49"/>
  <c r="H2517" i="49" s="1"/>
  <c r="F2518" i="49"/>
  <c r="H2518" i="49"/>
  <c r="F2519" i="49"/>
  <c r="H2519" i="49" s="1"/>
  <c r="H2526" i="49"/>
  <c r="H2530" i="49"/>
  <c r="H2533" i="49"/>
  <c r="H2536" i="49"/>
  <c r="F2470" i="49"/>
  <c r="H2470" i="49"/>
  <c r="H2473" i="49"/>
  <c r="F2476" i="49"/>
  <c r="H2476" i="49" s="1"/>
  <c r="H2481" i="49" s="1"/>
  <c r="F2477" i="49"/>
  <c r="H2477" i="49"/>
  <c r="F2478" i="49"/>
  <c r="H2478" i="49"/>
  <c r="H2485" i="49"/>
  <c r="H2488" i="49"/>
  <c r="H2491" i="49"/>
  <c r="H2494" i="49" s="1"/>
  <c r="F2429" i="49"/>
  <c r="H2429" i="49"/>
  <c r="H2432" i="49" s="1"/>
  <c r="F2435" i="49"/>
  <c r="H2435" i="49"/>
  <c r="F2436" i="49"/>
  <c r="H2436" i="49"/>
  <c r="F2437" i="49"/>
  <c r="H2437" i="49"/>
  <c r="H2444" i="49"/>
  <c r="H2448" i="49"/>
  <c r="H2451" i="49"/>
  <c r="H2454" i="49" s="1"/>
  <c r="F2388" i="49"/>
  <c r="H2388" i="49" s="1"/>
  <c r="H2391" i="49" s="1"/>
  <c r="F2394" i="49"/>
  <c r="H2394" i="49"/>
  <c r="F2395" i="49"/>
  <c r="H2395" i="49"/>
  <c r="F2396" i="49"/>
  <c r="H2396" i="49"/>
  <c r="H2403" i="49"/>
  <c r="H2407" i="49" s="1"/>
  <c r="H2410" i="49"/>
  <c r="H2413" i="49" s="1"/>
  <c r="F2348" i="49"/>
  <c r="H2348" i="49"/>
  <c r="H2351" i="49"/>
  <c r="H2373" i="49" s="1"/>
  <c r="H2359" i="49"/>
  <c r="H2363" i="49"/>
  <c r="H2366" i="49"/>
  <c r="H2369" i="49"/>
  <c r="H2372" i="49"/>
  <c r="F2356" i="49"/>
  <c r="F2355" i="49"/>
  <c r="F2354" i="49"/>
  <c r="F2308" i="49"/>
  <c r="H2308" i="49"/>
  <c r="H2311" i="49" s="1"/>
  <c r="H2319" i="49"/>
  <c r="H2323" i="49"/>
  <c r="H2326" i="49"/>
  <c r="H2329" i="49"/>
  <c r="H2332" i="49"/>
  <c r="F2316" i="49"/>
  <c r="F2315" i="49"/>
  <c r="F2314" i="49"/>
  <c r="F2268" i="49"/>
  <c r="H2268" i="49" s="1"/>
  <c r="H2271" i="49" s="1"/>
  <c r="H2279" i="49"/>
  <c r="H2283" i="49"/>
  <c r="H2286" i="49"/>
  <c r="H2289" i="49"/>
  <c r="H2292" i="49" s="1"/>
  <c r="F2276" i="49"/>
  <c r="F2275" i="49"/>
  <c r="F2274" i="49"/>
  <c r="F2228" i="49"/>
  <c r="H2228" i="49" s="1"/>
  <c r="H2231" i="49" s="1"/>
  <c r="H2239" i="49"/>
  <c r="H2243" i="49"/>
  <c r="H2246" i="49"/>
  <c r="H2249" i="49"/>
  <c r="H2252" i="49" s="1"/>
  <c r="F2236" i="49"/>
  <c r="F2235" i="49"/>
  <c r="F2234" i="49"/>
  <c r="F2188" i="49"/>
  <c r="H2188" i="49" s="1"/>
  <c r="H2191" i="49" s="1"/>
  <c r="H2199" i="49"/>
  <c r="H2203" i="49"/>
  <c r="H2206" i="49"/>
  <c r="H2209" i="49"/>
  <c r="H2212" i="49" s="1"/>
  <c r="F2196" i="49"/>
  <c r="F2195" i="49"/>
  <c r="F2194" i="49"/>
  <c r="F2148" i="49"/>
  <c r="H2148" i="49" s="1"/>
  <c r="H2151" i="49" s="1"/>
  <c r="H2163" i="49"/>
  <c r="H2166" i="49"/>
  <c r="H2169" i="49"/>
  <c r="H2172" i="49" s="1"/>
  <c r="F1960" i="49"/>
  <c r="H1960" i="49" s="1"/>
  <c r="H1963" i="49" s="1"/>
  <c r="F1966" i="49"/>
  <c r="H1966" i="49"/>
  <c r="F1967" i="49"/>
  <c r="H1967" i="49"/>
  <c r="F1968" i="49"/>
  <c r="H1968" i="49" s="1"/>
  <c r="H1974" i="49"/>
  <c r="H1975" i="49"/>
  <c r="H1976" i="49"/>
  <c r="H1977" i="49"/>
  <c r="H1978" i="49"/>
  <c r="H1979" i="49"/>
  <c r="H1980" i="49"/>
  <c r="H1981" i="49"/>
  <c r="H1988" i="49"/>
  <c r="H1991" i="49" s="1"/>
  <c r="F1914" i="49"/>
  <c r="H1914" i="49" s="1"/>
  <c r="H1917" i="49" s="1"/>
  <c r="H1928" i="49"/>
  <c r="H1929" i="49"/>
  <c r="H1930" i="49"/>
  <c r="H1938" i="49" s="1"/>
  <c r="H1931" i="49"/>
  <c r="H1932" i="49"/>
  <c r="H1933" i="49"/>
  <c r="H1934" i="49"/>
  <c r="H1935" i="49"/>
  <c r="H1941" i="49"/>
  <c r="H1944" i="49"/>
  <c r="F1866" i="49"/>
  <c r="H1866" i="49"/>
  <c r="H1869" i="49" s="1"/>
  <c r="H1880" i="49"/>
  <c r="H1881" i="49"/>
  <c r="H1882" i="49"/>
  <c r="H1883" i="49"/>
  <c r="H1884" i="49"/>
  <c r="H1885" i="49"/>
  <c r="H1886" i="49"/>
  <c r="H1887" i="49"/>
  <c r="H1888" i="49"/>
  <c r="H1889" i="49"/>
  <c r="H1895" i="49"/>
  <c r="H1898" i="49" s="1"/>
  <c r="F1824" i="49"/>
  <c r="H1824" i="49" s="1"/>
  <c r="H1827" i="49" s="1"/>
  <c r="F1830" i="49"/>
  <c r="H1830" i="49" s="1"/>
  <c r="H1835" i="49" s="1"/>
  <c r="F1831" i="49"/>
  <c r="H1831" i="49"/>
  <c r="F1832" i="49"/>
  <c r="H1832" i="49" s="1"/>
  <c r="H1838" i="49"/>
  <c r="H1839" i="49"/>
  <c r="H1840" i="49"/>
  <c r="H1841" i="49"/>
  <c r="H1847" i="49"/>
  <c r="H1850" i="49" s="1"/>
  <c r="F1781" i="49"/>
  <c r="H1781" i="49" s="1"/>
  <c r="H1784" i="49"/>
  <c r="F1788" i="49"/>
  <c r="H1788" i="49" s="1"/>
  <c r="H1792" i="49" s="1"/>
  <c r="H1809" i="49" s="1"/>
  <c r="F1789" i="49"/>
  <c r="H1789" i="49" s="1"/>
  <c r="H1795" i="49"/>
  <c r="H1796" i="49"/>
  <c r="H1802" i="49" s="1"/>
  <c r="H1797" i="49"/>
  <c r="H1798" i="49"/>
  <c r="H1799" i="49"/>
  <c r="H1805" i="49"/>
  <c r="H1808" i="49"/>
  <c r="F1787" i="49"/>
  <c r="F1739" i="49"/>
  <c r="H1739" i="49"/>
  <c r="H1742" i="49" s="1"/>
  <c r="F1745" i="49"/>
  <c r="H1745" i="49" s="1"/>
  <c r="F1746" i="49"/>
  <c r="H1746" i="49" s="1"/>
  <c r="F1747" i="49"/>
  <c r="H1747" i="49"/>
  <c r="H1753" i="49"/>
  <c r="H1754" i="49"/>
  <c r="H1755" i="49"/>
  <c r="H1756" i="49"/>
  <c r="H1762" i="49"/>
  <c r="H1765" i="49" s="1"/>
  <c r="F1696" i="49"/>
  <c r="H1696" i="49"/>
  <c r="H1699" i="49" s="1"/>
  <c r="H1707" i="49"/>
  <c r="H1710" i="49"/>
  <c r="H1717" i="49" s="1"/>
  <c r="H1711" i="49"/>
  <c r="H1712" i="49"/>
  <c r="H1713" i="49"/>
  <c r="H1714" i="49"/>
  <c r="H1720" i="49"/>
  <c r="H1723" i="49"/>
  <c r="F1704" i="49"/>
  <c r="F1703" i="49"/>
  <c r="F1702" i="49"/>
  <c r="F1653" i="49"/>
  <c r="H1653" i="49" s="1"/>
  <c r="H1656" i="49" s="1"/>
  <c r="H1664" i="49"/>
  <c r="H1667" i="49"/>
  <c r="H1668" i="49"/>
  <c r="H1669" i="49"/>
  <c r="H1670" i="49"/>
  <c r="H1671" i="49"/>
  <c r="H1677" i="49"/>
  <c r="H1680" i="49"/>
  <c r="F1661" i="49"/>
  <c r="F1660" i="49"/>
  <c r="F1659" i="49"/>
  <c r="F1610" i="49"/>
  <c r="H1610" i="49"/>
  <c r="H1613" i="49" s="1"/>
  <c r="F1616" i="49"/>
  <c r="H1616" i="49" s="1"/>
  <c r="F1617" i="49"/>
  <c r="H1617" i="49" s="1"/>
  <c r="F1618" i="49"/>
  <c r="H1618" i="49"/>
  <c r="H1624" i="49"/>
  <c r="H1625" i="49"/>
  <c r="H1626" i="49"/>
  <c r="H1627" i="49"/>
  <c r="H1628" i="49"/>
  <c r="H1634" i="49"/>
  <c r="H1637" i="49" s="1"/>
  <c r="F1567" i="49"/>
  <c r="H1567" i="49" s="1"/>
  <c r="H1570" i="49" s="1"/>
  <c r="H1578" i="49"/>
  <c r="H1581" i="49"/>
  <c r="H1582" i="49"/>
  <c r="H1583" i="49"/>
  <c r="H1584" i="49"/>
  <c r="H1585" i="49"/>
  <c r="H1591" i="49"/>
  <c r="H1594" i="49" s="1"/>
  <c r="F1575" i="49"/>
  <c r="F1574" i="49"/>
  <c r="F1573" i="49"/>
  <c r="F1524" i="49"/>
  <c r="H1524" i="49" s="1"/>
  <c r="H1527" i="49" s="1"/>
  <c r="F1530" i="49"/>
  <c r="H1530" i="49"/>
  <c r="H1535" i="49" s="1"/>
  <c r="H1552" i="49" s="1"/>
  <c r="F1531" i="49"/>
  <c r="H1531" i="49"/>
  <c r="F1532" i="49"/>
  <c r="H1532" i="49"/>
  <c r="H1538" i="49"/>
  <c r="H1539" i="49"/>
  <c r="H1540" i="49"/>
  <c r="H1541" i="49"/>
  <c r="H1542" i="49"/>
  <c r="H1548" i="49"/>
  <c r="H1551" i="49"/>
  <c r="F1481" i="49"/>
  <c r="H1481" i="49"/>
  <c r="H1484" i="49"/>
  <c r="F1487" i="49"/>
  <c r="H1487" i="49" s="1"/>
  <c r="F1488" i="49"/>
  <c r="H1488" i="49"/>
  <c r="F1489" i="49"/>
  <c r="H1489" i="49"/>
  <c r="H1495" i="49"/>
  <c r="H1496" i="49"/>
  <c r="H1497" i="49"/>
  <c r="H1498" i="49"/>
  <c r="H1499" i="49"/>
  <c r="H1505" i="49"/>
  <c r="H1508" i="49"/>
  <c r="F1439" i="49"/>
  <c r="H1439" i="49"/>
  <c r="H1442" i="49"/>
  <c r="F1445" i="49"/>
  <c r="H1445" i="49" s="1"/>
  <c r="F1446" i="49"/>
  <c r="H1446" i="49"/>
  <c r="F1447" i="49"/>
  <c r="H1447" i="49"/>
  <c r="H1453" i="49"/>
  <c r="H1459" i="49" s="1"/>
  <c r="H1454" i="49"/>
  <c r="H1455" i="49"/>
  <c r="H1456" i="49"/>
  <c r="H1462" i="49"/>
  <c r="H1465" i="49"/>
  <c r="F1396" i="49"/>
  <c r="H1396" i="49" s="1"/>
  <c r="H1399" i="49" s="1"/>
  <c r="F1403" i="49"/>
  <c r="H1403" i="49" s="1"/>
  <c r="H1407" i="49" s="1"/>
  <c r="F1404" i="49"/>
  <c r="H1404" i="49" s="1"/>
  <c r="H1410" i="49"/>
  <c r="H1411" i="49"/>
  <c r="H1412" i="49"/>
  <c r="H1413" i="49"/>
  <c r="H1414" i="49"/>
  <c r="H1420" i="49"/>
  <c r="H1423" i="49" s="1"/>
  <c r="F1402" i="49"/>
  <c r="F1354" i="49"/>
  <c r="H1354" i="49"/>
  <c r="H1357" i="49" s="1"/>
  <c r="F1360" i="49"/>
  <c r="H1360" i="49"/>
  <c r="H1365" i="49" s="1"/>
  <c r="F1361" i="49"/>
  <c r="H1361" i="49" s="1"/>
  <c r="F1362" i="49"/>
  <c r="H1362" i="49"/>
  <c r="H1368" i="49"/>
  <c r="H1369" i="49"/>
  <c r="H1370" i="49"/>
  <c r="H1371" i="49"/>
  <c r="H1377" i="49"/>
  <c r="H1380" i="49"/>
  <c r="F1312" i="49"/>
  <c r="H1312" i="49" s="1"/>
  <c r="H1315" i="49" s="1"/>
  <c r="F1318" i="49"/>
  <c r="H1318" i="49"/>
  <c r="F1319" i="49"/>
  <c r="H1319" i="49"/>
  <c r="F1320" i="49"/>
  <c r="H1320" i="49" s="1"/>
  <c r="H1326" i="49"/>
  <c r="H1327" i="49"/>
  <c r="H1328" i="49"/>
  <c r="H1329" i="49"/>
  <c r="H1335" i="49"/>
  <c r="H1338" i="49"/>
  <c r="F1269" i="49"/>
  <c r="H1269" i="49"/>
  <c r="H1272" i="49" s="1"/>
  <c r="F1275" i="49"/>
  <c r="H1275" i="49" s="1"/>
  <c r="H1280" i="49" s="1"/>
  <c r="F1277" i="49"/>
  <c r="H1277" i="49" s="1"/>
  <c r="H1283" i="49"/>
  <c r="H1284" i="49"/>
  <c r="H1290" i="49"/>
  <c r="H1285" i="49"/>
  <c r="H1286" i="49"/>
  <c r="H1287" i="49"/>
  <c r="H1293" i="49"/>
  <c r="H1296" i="49"/>
  <c r="F1276" i="49"/>
  <c r="F1229" i="49"/>
  <c r="H1229" i="49" s="1"/>
  <c r="H1232" i="49"/>
  <c r="F1235" i="49"/>
  <c r="H1235" i="49" s="1"/>
  <c r="H1240" i="49" s="1"/>
  <c r="F1236" i="49"/>
  <c r="H1236" i="49"/>
  <c r="H1243" i="49"/>
  <c r="H1244" i="49"/>
  <c r="H1247" i="49"/>
  <c r="H1250" i="49"/>
  <c r="H1253" i="49" s="1"/>
  <c r="F1237" i="49"/>
  <c r="F1186" i="49"/>
  <c r="H1186" i="49"/>
  <c r="H1189" i="49"/>
  <c r="H1197" i="49"/>
  <c r="H1200" i="49"/>
  <c r="H1201" i="49"/>
  <c r="H1202" i="49"/>
  <c r="H1207" i="49" s="1"/>
  <c r="H1203" i="49"/>
  <c r="H1204" i="49"/>
  <c r="H1210" i="49"/>
  <c r="H1213" i="49" s="1"/>
  <c r="F1194" i="49"/>
  <c r="F1193" i="49"/>
  <c r="F1192" i="49"/>
  <c r="F1144" i="49"/>
  <c r="H1144" i="49" s="1"/>
  <c r="H1147" i="49" s="1"/>
  <c r="F1150" i="49"/>
  <c r="H1150" i="49" s="1"/>
  <c r="H1155" i="49" s="1"/>
  <c r="F1151" i="49"/>
  <c r="H1151" i="49"/>
  <c r="F1152" i="49"/>
  <c r="H1152" i="49" s="1"/>
  <c r="H1158" i="49"/>
  <c r="H1159" i="49"/>
  <c r="H1160" i="49"/>
  <c r="H1161" i="49"/>
  <c r="H1167" i="49"/>
  <c r="H1170" i="49" s="1"/>
  <c r="F1102" i="49"/>
  <c r="H1102" i="49"/>
  <c r="H1105" i="49"/>
  <c r="F1108" i="49"/>
  <c r="H1108" i="49" s="1"/>
  <c r="F1109" i="49"/>
  <c r="H1109" i="49" s="1"/>
  <c r="F1110" i="49"/>
  <c r="H1110" i="49"/>
  <c r="H1116" i="49"/>
  <c r="H1117" i="49"/>
  <c r="H1118" i="49"/>
  <c r="H1119" i="49"/>
  <c r="H1125" i="49"/>
  <c r="H1128" i="49"/>
  <c r="F1059" i="49"/>
  <c r="H1059" i="49" s="1"/>
  <c r="H1062" i="49" s="1"/>
  <c r="H1070" i="49"/>
  <c r="H1073" i="49"/>
  <c r="H1074" i="49"/>
  <c r="H1075" i="49"/>
  <c r="H1076" i="49"/>
  <c r="H1077" i="49"/>
  <c r="H1083" i="49"/>
  <c r="H1086" i="49" s="1"/>
  <c r="F1067" i="49"/>
  <c r="F1066" i="49"/>
  <c r="F1065" i="49"/>
  <c r="F1016" i="49"/>
  <c r="H1016" i="49" s="1"/>
  <c r="H1019" i="49" s="1"/>
  <c r="F1022" i="49"/>
  <c r="H1022" i="49"/>
  <c r="F1023" i="49"/>
  <c r="H1023" i="49" s="1"/>
  <c r="H1027" i="49" s="1"/>
  <c r="F1024" i="49"/>
  <c r="H1024" i="49"/>
  <c r="H1030" i="49"/>
  <c r="H1031" i="49"/>
  <c r="H1032" i="49"/>
  <c r="H1033" i="49"/>
  <c r="H1034" i="49"/>
  <c r="H1040" i="49"/>
  <c r="H1043" i="49"/>
  <c r="F973" i="49"/>
  <c r="H973" i="49"/>
  <c r="H976" i="49" s="1"/>
  <c r="H1001" i="49" s="1"/>
  <c r="F979" i="49"/>
  <c r="H979" i="49"/>
  <c r="F980" i="49"/>
  <c r="H980" i="49" s="1"/>
  <c r="F981" i="49"/>
  <c r="H981" i="49"/>
  <c r="H987" i="49"/>
  <c r="H988" i="49"/>
  <c r="H989" i="49"/>
  <c r="H990" i="49"/>
  <c r="H991" i="49"/>
  <c r="H997" i="49"/>
  <c r="H1000" i="49"/>
  <c r="F929" i="49"/>
  <c r="H929" i="49"/>
  <c r="H932" i="49" s="1"/>
  <c r="F935" i="49"/>
  <c r="H935" i="49"/>
  <c r="F936" i="49"/>
  <c r="H936" i="49" s="1"/>
  <c r="F937" i="49"/>
  <c r="H937" i="49"/>
  <c r="H943" i="49"/>
  <c r="H944" i="49"/>
  <c r="H945" i="49"/>
  <c r="H946" i="49"/>
  <c r="H947" i="49"/>
  <c r="H948" i="49"/>
  <c r="H954" i="49"/>
  <c r="H957" i="49" s="1"/>
  <c r="F879" i="49"/>
  <c r="H879" i="49" s="1"/>
  <c r="H882" i="49" s="1"/>
  <c r="H890" i="49"/>
  <c r="H893" i="49"/>
  <c r="H907" i="49"/>
  <c r="H914" i="49" s="1"/>
  <c r="H910" i="49"/>
  <c r="H913" i="49"/>
  <c r="F887" i="49"/>
  <c r="F886" i="49"/>
  <c r="F885" i="49"/>
  <c r="F830" i="49"/>
  <c r="H830" i="49" s="1"/>
  <c r="H833" i="49"/>
  <c r="H841" i="49"/>
  <c r="H844" i="49"/>
  <c r="H857" i="49" s="1"/>
  <c r="H860" i="49"/>
  <c r="H863" i="49"/>
  <c r="F838" i="49"/>
  <c r="F837" i="49"/>
  <c r="F836" i="49"/>
  <c r="F782" i="49"/>
  <c r="H782" i="49" s="1"/>
  <c r="H785" i="49" s="1"/>
  <c r="F788" i="49"/>
  <c r="H788" i="49" s="1"/>
  <c r="F789" i="49"/>
  <c r="H789" i="49" s="1"/>
  <c r="F790" i="49"/>
  <c r="H790" i="49" s="1"/>
  <c r="H796" i="49"/>
  <c r="H808" i="49" s="1"/>
  <c r="H811" i="49"/>
  <c r="H814" i="49"/>
  <c r="F734" i="49"/>
  <c r="H734" i="49" s="1"/>
  <c r="H737" i="49" s="1"/>
  <c r="H745" i="49"/>
  <c r="H748" i="49"/>
  <c r="H760" i="49"/>
  <c r="H763" i="49"/>
  <c r="H766" i="49" s="1"/>
  <c r="H767" i="49" s="1"/>
  <c r="F742" i="49"/>
  <c r="F741" i="49"/>
  <c r="F740" i="49"/>
  <c r="F687" i="49"/>
  <c r="H687" i="49" s="1"/>
  <c r="H690" i="49" s="1"/>
  <c r="F693" i="49"/>
  <c r="H693" i="49"/>
  <c r="F694" i="49"/>
  <c r="H694" i="49"/>
  <c r="F695" i="49"/>
  <c r="H695" i="49"/>
  <c r="H698" i="49" s="1"/>
  <c r="H715" i="49"/>
  <c r="H718" i="49" s="1"/>
  <c r="F643" i="49"/>
  <c r="H643" i="49" s="1"/>
  <c r="H646" i="49" s="1"/>
  <c r="F649" i="49"/>
  <c r="H649" i="49"/>
  <c r="F650" i="49"/>
  <c r="H650" i="49"/>
  <c r="F651" i="49"/>
  <c r="H651" i="49" s="1"/>
  <c r="H654" i="49" s="1"/>
  <c r="H672" i="49" s="1"/>
  <c r="H668" i="49"/>
  <c r="H671" i="49"/>
  <c r="F599" i="49"/>
  <c r="H599" i="49" s="1"/>
  <c r="H602" i="49" s="1"/>
  <c r="F605" i="49"/>
  <c r="H605" i="49"/>
  <c r="H610" i="49"/>
  <c r="F606" i="49"/>
  <c r="H606" i="49"/>
  <c r="F607" i="49"/>
  <c r="H607" i="49"/>
  <c r="H624" i="49"/>
  <c r="H627" i="49" s="1"/>
  <c r="F555" i="49"/>
  <c r="H555" i="49" s="1"/>
  <c r="H558" i="49" s="1"/>
  <c r="F561" i="49"/>
  <c r="H561" i="49"/>
  <c r="H566" i="49" s="1"/>
  <c r="F562" i="49"/>
  <c r="H562" i="49"/>
  <c r="F563" i="49"/>
  <c r="H563" i="49" s="1"/>
  <c r="H580" i="49"/>
  <c r="H583" i="49" s="1"/>
  <c r="F513" i="49"/>
  <c r="H513" i="49" s="1"/>
  <c r="H516" i="49"/>
  <c r="F519" i="49"/>
  <c r="H519" i="49" s="1"/>
  <c r="F520" i="49"/>
  <c r="H520" i="49" s="1"/>
  <c r="F521" i="49"/>
  <c r="H521" i="49"/>
  <c r="H524" i="49" s="1"/>
  <c r="H536" i="49"/>
  <c r="H539" i="49" s="1"/>
  <c r="F466" i="49"/>
  <c r="H466" i="49" s="1"/>
  <c r="H469" i="49" s="1"/>
  <c r="H498" i="49" s="1"/>
  <c r="F472" i="49"/>
  <c r="H472" i="49" s="1"/>
  <c r="H477" i="49" s="1"/>
  <c r="F473" i="49"/>
  <c r="H473" i="49"/>
  <c r="F474" i="49"/>
  <c r="H474" i="49"/>
  <c r="H494" i="49"/>
  <c r="H497" i="49" s="1"/>
  <c r="F426" i="49"/>
  <c r="H426" i="49"/>
  <c r="H429" i="49" s="1"/>
  <c r="H440" i="49"/>
  <c r="H444" i="49"/>
  <c r="H447" i="49"/>
  <c r="H450" i="49"/>
  <c r="F386" i="49"/>
  <c r="H386" i="49" s="1"/>
  <c r="H389" i="49" s="1"/>
  <c r="H407" i="49"/>
  <c r="H410" i="49"/>
  <c r="F344" i="49"/>
  <c r="H344" i="49" s="1"/>
  <c r="H347" i="49" s="1"/>
  <c r="F351" i="49"/>
  <c r="H351" i="49"/>
  <c r="F352" i="49"/>
  <c r="H352" i="49"/>
  <c r="H358" i="49"/>
  <c r="H359" i="49"/>
  <c r="H360" i="49"/>
  <c r="H367" i="49"/>
  <c r="H370" i="49"/>
  <c r="F350" i="49"/>
  <c r="F256" i="49"/>
  <c r="H256" i="49"/>
  <c r="H259" i="49"/>
  <c r="F263" i="49"/>
  <c r="H263" i="49" s="1"/>
  <c r="F264" i="49"/>
  <c r="H264" i="49" s="1"/>
  <c r="H280" i="49"/>
  <c r="H283" i="49"/>
  <c r="H286" i="49"/>
  <c r="F262" i="49"/>
  <c r="F203" i="49"/>
  <c r="H203" i="49" s="1"/>
  <c r="H206" i="49" s="1"/>
  <c r="F209" i="49"/>
  <c r="H209" i="49" s="1"/>
  <c r="F210" i="49"/>
  <c r="H210" i="49"/>
  <c r="F211" i="49"/>
  <c r="H211" i="49"/>
  <c r="H231" i="49"/>
  <c r="H234" i="49" s="1"/>
  <c r="H237" i="49"/>
  <c r="H240" i="49"/>
  <c r="F149" i="49"/>
  <c r="H149" i="49" s="1"/>
  <c r="H152" i="49" s="1"/>
  <c r="F155" i="49"/>
  <c r="H155" i="49"/>
  <c r="F156" i="49"/>
  <c r="H156" i="49"/>
  <c r="F157" i="49"/>
  <c r="H157" i="49"/>
  <c r="H179" i="49"/>
  <c r="H181" i="49"/>
  <c r="H184" i="49"/>
  <c r="H187" i="49" s="1"/>
  <c r="F105" i="49"/>
  <c r="H105" i="49" s="1"/>
  <c r="H108" i="49" s="1"/>
  <c r="F111" i="49"/>
  <c r="H111" i="49"/>
  <c r="F112" i="49"/>
  <c r="H112" i="49"/>
  <c r="F113" i="49"/>
  <c r="H113" i="49" s="1"/>
  <c r="H119" i="49"/>
  <c r="H120" i="49"/>
  <c r="H121" i="49"/>
  <c r="H122" i="49"/>
  <c r="H123" i="49"/>
  <c r="H124" i="49"/>
  <c r="H130" i="49"/>
  <c r="H133" i="49" s="1"/>
  <c r="F64" i="49"/>
  <c r="H64" i="49"/>
  <c r="H67" i="49"/>
  <c r="F70" i="49"/>
  <c r="H70" i="49" s="1"/>
  <c r="F71" i="49"/>
  <c r="H71" i="49"/>
  <c r="H79" i="49"/>
  <c r="H83" i="49" s="1"/>
  <c r="H80" i="49"/>
  <c r="H86" i="49"/>
  <c r="H89" i="49"/>
  <c r="F72" i="49"/>
  <c r="H14" i="49"/>
  <c r="H22" i="49"/>
  <c r="H42" i="49"/>
  <c r="H48" i="49"/>
  <c r="F19" i="49"/>
  <c r="F18" i="49"/>
  <c r="F17" i="49"/>
  <c r="F11" i="49"/>
  <c r="E270" i="48"/>
  <c r="G270" i="48"/>
  <c r="G273" i="48" s="1"/>
  <c r="G276" i="48"/>
  <c r="E277" i="48"/>
  <c r="G277" i="48"/>
  <c r="E278" i="48"/>
  <c r="G278" i="48"/>
  <c r="G284" i="48"/>
  <c r="G288" i="48" s="1"/>
  <c r="G291" i="48"/>
  <c r="G294" i="48"/>
  <c r="E229" i="48"/>
  <c r="G229" i="48"/>
  <c r="G232" i="48" s="1"/>
  <c r="G235" i="48"/>
  <c r="E236" i="48"/>
  <c r="G236" i="48" s="1"/>
  <c r="E237" i="48"/>
  <c r="G237" i="48" s="1"/>
  <c r="G243" i="48"/>
  <c r="G248" i="48"/>
  <c r="G251" i="48"/>
  <c r="G254" i="48" s="1"/>
  <c r="E184" i="48"/>
  <c r="G184" i="48" s="1"/>
  <c r="G187" i="48" s="1"/>
  <c r="G190" i="48"/>
  <c r="E191" i="48"/>
  <c r="G191" i="48" s="1"/>
  <c r="E192" i="48"/>
  <c r="G192" i="48"/>
  <c r="G198" i="48"/>
  <c r="G207" i="48"/>
  <c r="G210" i="48"/>
  <c r="G213" i="48" s="1"/>
  <c r="E141" i="48"/>
  <c r="G141" i="48"/>
  <c r="G144" i="48"/>
  <c r="G147" i="48"/>
  <c r="E148" i="48"/>
  <c r="G148" i="48" s="1"/>
  <c r="E149" i="48"/>
  <c r="G149" i="48"/>
  <c r="G155" i="48"/>
  <c r="G162" i="48"/>
  <c r="G165" i="48"/>
  <c r="G168" i="48"/>
  <c r="E99" i="48"/>
  <c r="G99" i="48" s="1"/>
  <c r="G102" i="48" s="1"/>
  <c r="G105" i="48"/>
  <c r="E106" i="48"/>
  <c r="G106" i="48"/>
  <c r="G110" i="48"/>
  <c r="E107" i="48"/>
  <c r="G107" i="48" s="1"/>
  <c r="G113" i="48"/>
  <c r="G119" i="48" s="1"/>
  <c r="G122" i="48"/>
  <c r="G125" i="48"/>
  <c r="E55" i="48"/>
  <c r="G55" i="48" s="1"/>
  <c r="G58" i="48"/>
  <c r="G61" i="48"/>
  <c r="E62" i="48"/>
  <c r="G62" i="48" s="1"/>
  <c r="E63" i="48"/>
  <c r="G63" i="48"/>
  <c r="G69" i="48"/>
  <c r="G77" i="48"/>
  <c r="G80" i="48"/>
  <c r="G83" i="48" s="1"/>
  <c r="G84" i="48" s="1"/>
  <c r="E11" i="48"/>
  <c r="G11" i="48" s="1"/>
  <c r="G14" i="48" s="1"/>
  <c r="G17" i="48"/>
  <c r="E18" i="48"/>
  <c r="G18" i="48" s="1"/>
  <c r="E19" i="48"/>
  <c r="G19" i="48" s="1"/>
  <c r="G25" i="48"/>
  <c r="G33" i="48"/>
  <c r="G26" i="48"/>
  <c r="G27" i="48"/>
  <c r="G28" i="48"/>
  <c r="G29" i="48"/>
  <c r="G36" i="48"/>
  <c r="G39" i="48"/>
  <c r="E263" i="47"/>
  <c r="G263" i="47" s="1"/>
  <c r="G266" i="47" s="1"/>
  <c r="G274" i="47"/>
  <c r="G277" i="47"/>
  <c r="G280" i="47" s="1"/>
  <c r="G287" i="47" s="1"/>
  <c r="G283" i="47"/>
  <c r="G286" i="47"/>
  <c r="E271" i="47"/>
  <c r="E270" i="47"/>
  <c r="E223" i="47"/>
  <c r="G223" i="47"/>
  <c r="G226" i="47"/>
  <c r="G229" i="47"/>
  <c r="E230" i="47"/>
  <c r="G230" i="47" s="1"/>
  <c r="E231" i="47"/>
  <c r="G231" i="47" s="1"/>
  <c r="G237" i="47"/>
  <c r="G241" i="47"/>
  <c r="G244" i="47"/>
  <c r="G247" i="47" s="1"/>
  <c r="E179" i="47"/>
  <c r="G179" i="47"/>
  <c r="G182" i="47"/>
  <c r="G208" i="47" s="1"/>
  <c r="G185" i="47"/>
  <c r="G190" i="47" s="1"/>
  <c r="E186" i="47"/>
  <c r="G186" i="47"/>
  <c r="E187" i="47"/>
  <c r="G187" i="47"/>
  <c r="G193" i="47"/>
  <c r="G194" i="47"/>
  <c r="G195" i="47"/>
  <c r="G204" i="47"/>
  <c r="G207" i="47"/>
  <c r="E135" i="47"/>
  <c r="G135" i="47"/>
  <c r="G138" i="47" s="1"/>
  <c r="G141" i="47"/>
  <c r="E142" i="47"/>
  <c r="G142" i="47"/>
  <c r="E143" i="47"/>
  <c r="G143" i="47" s="1"/>
  <c r="G146" i="47" s="1"/>
  <c r="G164" i="47" s="1"/>
  <c r="G149" i="47"/>
  <c r="G153" i="47"/>
  <c r="G157" i="47" s="1"/>
  <c r="G160" i="47"/>
  <c r="G163" i="47" s="1"/>
  <c r="E96" i="47"/>
  <c r="G96" i="47" s="1"/>
  <c r="G99" i="47" s="1"/>
  <c r="G102" i="47"/>
  <c r="E103" i="47"/>
  <c r="G103" i="47" s="1"/>
  <c r="E104" i="47"/>
  <c r="G104" i="47" s="1"/>
  <c r="G110" i="47"/>
  <c r="G113" i="47" s="1"/>
  <c r="G116" i="47"/>
  <c r="G119" i="47"/>
  <c r="E55" i="47"/>
  <c r="G55" i="47"/>
  <c r="G58" i="47" s="1"/>
  <c r="G61" i="47"/>
  <c r="E62" i="47"/>
  <c r="G62" i="47" s="1"/>
  <c r="E63" i="47"/>
  <c r="G63" i="47" s="1"/>
  <c r="G69" i="47"/>
  <c r="G74" i="47"/>
  <c r="G77" i="47"/>
  <c r="G80" i="47" s="1"/>
  <c r="E11" i="47"/>
  <c r="G11" i="47" s="1"/>
  <c r="G14" i="47" s="1"/>
  <c r="G17" i="47"/>
  <c r="E18" i="47"/>
  <c r="G18" i="47"/>
  <c r="E19" i="47"/>
  <c r="G19" i="47" s="1"/>
  <c r="G25" i="47"/>
  <c r="G26" i="47"/>
  <c r="G27" i="47"/>
  <c r="G28" i="47"/>
  <c r="G29" i="47"/>
  <c r="G36" i="47"/>
  <c r="G39" i="47" s="1"/>
  <c r="E217" i="46"/>
  <c r="G217" i="46"/>
  <c r="G220" i="46" s="1"/>
  <c r="E225" i="46"/>
  <c r="G225" i="46"/>
  <c r="G228" i="46" s="1"/>
  <c r="G231" i="46"/>
  <c r="G235" i="46" s="1"/>
  <c r="G238" i="46"/>
  <c r="G241" i="46"/>
  <c r="E224" i="46"/>
  <c r="E177" i="46"/>
  <c r="G177" i="46" s="1"/>
  <c r="G180" i="46"/>
  <c r="G183" i="46"/>
  <c r="E184" i="46"/>
  <c r="G184" i="46" s="1"/>
  <c r="E185" i="46"/>
  <c r="G185" i="46"/>
  <c r="G191" i="46"/>
  <c r="G195" i="46"/>
  <c r="G198" i="46"/>
  <c r="G201" i="46" s="1"/>
  <c r="E136" i="46"/>
  <c r="G136" i="46"/>
  <c r="G139" i="46"/>
  <c r="G142" i="46"/>
  <c r="E143" i="46"/>
  <c r="G143" i="46"/>
  <c r="E144" i="46"/>
  <c r="G144" i="46"/>
  <c r="G150" i="46"/>
  <c r="G155" i="46" s="1"/>
  <c r="G158" i="46"/>
  <c r="G161" i="46"/>
  <c r="E95" i="46"/>
  <c r="G95" i="46" s="1"/>
  <c r="G98" i="46" s="1"/>
  <c r="G101" i="46"/>
  <c r="E102" i="46"/>
  <c r="G102" i="46"/>
  <c r="E103" i="46"/>
  <c r="G103" i="46"/>
  <c r="G109" i="46"/>
  <c r="G111" i="46"/>
  <c r="G117" i="46"/>
  <c r="G120" i="46" s="1"/>
  <c r="E54" i="46"/>
  <c r="G54" i="46" s="1"/>
  <c r="G57" i="46" s="1"/>
  <c r="G60" i="46"/>
  <c r="E61" i="46"/>
  <c r="G61" i="46" s="1"/>
  <c r="E62" i="46"/>
  <c r="G62" i="46" s="1"/>
  <c r="G68" i="46"/>
  <c r="G70" i="46"/>
  <c r="G73" i="46"/>
  <c r="G76" i="46"/>
  <c r="G79" i="46" s="1"/>
  <c r="E11" i="46"/>
  <c r="G11" i="46" s="1"/>
  <c r="G14" i="46" s="1"/>
  <c r="G17" i="46"/>
  <c r="E18" i="46"/>
  <c r="G18" i="46"/>
  <c r="E19" i="46"/>
  <c r="G19" i="46"/>
  <c r="G25" i="46"/>
  <c r="G26" i="46"/>
  <c r="G27" i="46"/>
  <c r="G28" i="46"/>
  <c r="G29" i="46"/>
  <c r="G35" i="46"/>
  <c r="G38" i="46"/>
  <c r="E524" i="42"/>
  <c r="G524" i="42"/>
  <c r="G527" i="42" s="1"/>
  <c r="G535" i="42"/>
  <c r="G538" i="42"/>
  <c r="G546" i="42" s="1"/>
  <c r="G549" i="42"/>
  <c r="G552" i="42"/>
  <c r="E532" i="42"/>
  <c r="E531" i="42"/>
  <c r="E484" i="42"/>
  <c r="G484" i="42" s="1"/>
  <c r="G487" i="42" s="1"/>
  <c r="G490" i="42"/>
  <c r="E491" i="42"/>
  <c r="G491" i="42" s="1"/>
  <c r="E492" i="42"/>
  <c r="G492" i="42"/>
  <c r="G498" i="42"/>
  <c r="G502" i="42"/>
  <c r="G505" i="42"/>
  <c r="G508" i="42" s="1"/>
  <c r="E445" i="42"/>
  <c r="G445" i="42"/>
  <c r="G448" i="42"/>
  <c r="G456" i="42"/>
  <c r="G459" i="42"/>
  <c r="G462" i="42" s="1"/>
  <c r="G465" i="42"/>
  <c r="G468" i="42"/>
  <c r="E453" i="42"/>
  <c r="E452" i="42"/>
  <c r="E399" i="42"/>
  <c r="G399" i="42"/>
  <c r="G402" i="42" s="1"/>
  <c r="G405" i="42"/>
  <c r="E406" i="42"/>
  <c r="G406" i="42" s="1"/>
  <c r="E407" i="42"/>
  <c r="G407" i="42"/>
  <c r="G413" i="42"/>
  <c r="G423" i="42"/>
  <c r="G426" i="42"/>
  <c r="G429" i="42" s="1"/>
  <c r="E357" i="42"/>
  <c r="G357" i="42"/>
  <c r="G360" i="42"/>
  <c r="G363" i="42"/>
  <c r="G368" i="42" s="1"/>
  <c r="E364" i="42"/>
  <c r="G364" i="42"/>
  <c r="E365" i="42"/>
  <c r="G365" i="42" s="1"/>
  <c r="G371" i="42"/>
  <c r="G377" i="42" s="1"/>
  <c r="G380" i="42"/>
  <c r="G383" i="42"/>
  <c r="E315" i="42"/>
  <c r="G315" i="42" s="1"/>
  <c r="G318" i="42" s="1"/>
  <c r="G321" i="42"/>
  <c r="E322" i="42"/>
  <c r="G322" i="42"/>
  <c r="E323" i="42"/>
  <c r="G323" i="42"/>
  <c r="G329" i="42"/>
  <c r="G335" i="42"/>
  <c r="G338" i="42"/>
  <c r="G341" i="42" s="1"/>
  <c r="E267" i="42"/>
  <c r="G267" i="42" s="1"/>
  <c r="G270" i="42" s="1"/>
  <c r="G273" i="42"/>
  <c r="E274" i="42"/>
  <c r="G274" i="42"/>
  <c r="E275" i="42"/>
  <c r="G275" i="42" s="1"/>
  <c r="G278" i="42" s="1"/>
  <c r="G281" i="42"/>
  <c r="G290" i="42"/>
  <c r="G293" i="42"/>
  <c r="G296" i="42"/>
  <c r="G299" i="42" s="1"/>
  <c r="E227" i="42"/>
  <c r="G227" i="42"/>
  <c r="G230" i="42"/>
  <c r="G233" i="42"/>
  <c r="E234" i="42"/>
  <c r="G234" i="42"/>
  <c r="E235" i="42"/>
  <c r="G235" i="42"/>
  <c r="G241" i="42"/>
  <c r="G245" i="42"/>
  <c r="G248" i="42"/>
  <c r="G251" i="42" s="1"/>
  <c r="E184" i="42"/>
  <c r="G184" i="42"/>
  <c r="G187" i="42" s="1"/>
  <c r="G190" i="42"/>
  <c r="E191" i="42"/>
  <c r="G191" i="42"/>
  <c r="E192" i="42"/>
  <c r="G192" i="42"/>
  <c r="G198" i="42"/>
  <c r="G205" i="42"/>
  <c r="G208" i="42"/>
  <c r="G211" i="42"/>
  <c r="E143" i="42"/>
  <c r="G143" i="42" s="1"/>
  <c r="G146" i="42" s="1"/>
  <c r="G149" i="42"/>
  <c r="E150" i="42"/>
  <c r="G150" i="42"/>
  <c r="E151" i="42"/>
  <c r="G151" i="42" s="1"/>
  <c r="G157" i="42"/>
  <c r="G162" i="42" s="1"/>
  <c r="G165" i="42"/>
  <c r="G168" i="42"/>
  <c r="E98" i="42"/>
  <c r="G98" i="42"/>
  <c r="G101" i="42"/>
  <c r="G104" i="42"/>
  <c r="E105" i="42"/>
  <c r="G105" i="42"/>
  <c r="E106" i="42"/>
  <c r="G106" i="42" s="1"/>
  <c r="G112" i="42"/>
  <c r="G121" i="42"/>
  <c r="G124" i="42"/>
  <c r="G127" i="42" s="1"/>
  <c r="E54" i="42"/>
  <c r="G54" i="42" s="1"/>
  <c r="G57" i="42" s="1"/>
  <c r="G60" i="42"/>
  <c r="E61" i="42"/>
  <c r="G61" i="42"/>
  <c r="E62" i="42"/>
  <c r="G62" i="42"/>
  <c r="G68" i="42"/>
  <c r="G76" i="42" s="1"/>
  <c r="G79" i="42"/>
  <c r="G82" i="42" s="1"/>
  <c r="E11" i="42"/>
  <c r="G11" i="42"/>
  <c r="G14" i="42" s="1"/>
  <c r="G17" i="42"/>
  <c r="E18" i="42"/>
  <c r="G18" i="42"/>
  <c r="E19" i="42"/>
  <c r="G19" i="42" s="1"/>
  <c r="G25" i="42"/>
  <c r="G26" i="42"/>
  <c r="G27" i="42"/>
  <c r="G28" i="42"/>
  <c r="G29" i="42"/>
  <c r="G32" i="42" s="1"/>
  <c r="G39" i="42" s="1"/>
  <c r="G38" i="42"/>
  <c r="E656" i="41"/>
  <c r="G656" i="41" s="1"/>
  <c r="G659" i="41" s="1"/>
  <c r="G662" i="41"/>
  <c r="E663" i="41"/>
  <c r="G663" i="41" s="1"/>
  <c r="E664" i="41"/>
  <c r="G664" i="41" s="1"/>
  <c r="G670" i="41"/>
  <c r="G672" i="41"/>
  <c r="G678" i="41"/>
  <c r="G681" i="41"/>
  <c r="E614" i="41"/>
  <c r="G614" i="41" s="1"/>
  <c r="G618" i="41" s="1"/>
  <c r="G615" i="41"/>
  <c r="G621" i="41"/>
  <c r="E622" i="41"/>
  <c r="G622" i="41"/>
  <c r="E623" i="41"/>
  <c r="G623" i="41" s="1"/>
  <c r="G629" i="41"/>
  <c r="G634" i="41" s="1"/>
  <c r="G631" i="41"/>
  <c r="G637" i="41"/>
  <c r="G640" i="41" s="1"/>
  <c r="E573" i="41"/>
  <c r="G573" i="41"/>
  <c r="G576" i="41"/>
  <c r="G579" i="41"/>
  <c r="E580" i="41"/>
  <c r="G580" i="41" s="1"/>
  <c r="E581" i="41"/>
  <c r="G581" i="41"/>
  <c r="G587" i="41"/>
  <c r="G589" i="41"/>
  <c r="G595" i="41"/>
  <c r="G598" i="41"/>
  <c r="E534" i="41"/>
  <c r="G534" i="41"/>
  <c r="G537" i="41" s="1"/>
  <c r="G540" i="41"/>
  <c r="E541" i="41"/>
  <c r="G541" i="41"/>
  <c r="E542" i="41"/>
  <c r="G542" i="41"/>
  <c r="G548" i="41"/>
  <c r="G551" i="41" s="1"/>
  <c r="G554" i="41"/>
  <c r="G557" i="41"/>
  <c r="E495" i="41"/>
  <c r="G495" i="41"/>
  <c r="G498" i="41" s="1"/>
  <c r="G501" i="41"/>
  <c r="E502" i="41"/>
  <c r="G502" i="41"/>
  <c r="G506" i="41"/>
  <c r="E503" i="41"/>
  <c r="G503" i="41"/>
  <c r="G509" i="41"/>
  <c r="G512" i="41"/>
  <c r="G515" i="41"/>
  <c r="G518" i="41"/>
  <c r="E456" i="41"/>
  <c r="G456" i="41" s="1"/>
  <c r="G459" i="41" s="1"/>
  <c r="G462" i="41"/>
  <c r="G467" i="41" s="1"/>
  <c r="E463" i="41"/>
  <c r="G463" i="41" s="1"/>
  <c r="E464" i="41"/>
  <c r="G464" i="41"/>
  <c r="G470" i="41"/>
  <c r="G473" i="41" s="1"/>
  <c r="G476" i="41"/>
  <c r="G479" i="41"/>
  <c r="E417" i="41"/>
  <c r="G417" i="41"/>
  <c r="G420" i="41"/>
  <c r="G423" i="41"/>
  <c r="E424" i="41"/>
  <c r="G424" i="41"/>
  <c r="E425" i="41"/>
  <c r="G425" i="41"/>
  <c r="G431" i="41"/>
  <c r="G434" i="41"/>
  <c r="G437" i="41"/>
  <c r="G440" i="41" s="1"/>
  <c r="E378" i="41"/>
  <c r="G378" i="41" s="1"/>
  <c r="G381" i="41" s="1"/>
  <c r="G384" i="41"/>
  <c r="E385" i="41"/>
  <c r="G385" i="41" s="1"/>
  <c r="G389" i="41" s="1"/>
  <c r="E386" i="41"/>
  <c r="G386" i="41" s="1"/>
  <c r="G392" i="41"/>
  <c r="G395" i="41"/>
  <c r="G398" i="41"/>
  <c r="G401" i="41" s="1"/>
  <c r="E339" i="41"/>
  <c r="G339" i="41"/>
  <c r="G342" i="41"/>
  <c r="G345" i="41"/>
  <c r="E346" i="41"/>
  <c r="G346" i="41"/>
  <c r="E347" i="41"/>
  <c r="G347" i="41"/>
  <c r="G353" i="41"/>
  <c r="G356" i="41" s="1"/>
  <c r="G359" i="41"/>
  <c r="G362" i="41" s="1"/>
  <c r="E300" i="41"/>
  <c r="G300" i="41"/>
  <c r="G303" i="41"/>
  <c r="G306" i="41"/>
  <c r="E307" i="41"/>
  <c r="G307" i="41"/>
  <c r="E308" i="41"/>
  <c r="G308" i="41"/>
  <c r="G314" i="41"/>
  <c r="G317" i="41"/>
  <c r="G320" i="41"/>
  <c r="G323" i="41"/>
  <c r="E261" i="41"/>
  <c r="G261" i="41" s="1"/>
  <c r="G264" i="41" s="1"/>
  <c r="G267" i="41"/>
  <c r="E268" i="41"/>
  <c r="G268" i="41"/>
  <c r="E269" i="41"/>
  <c r="G269" i="41" s="1"/>
  <c r="G275" i="41"/>
  <c r="G278" i="41" s="1"/>
  <c r="G281" i="41"/>
  <c r="G284" i="41"/>
  <c r="E222" i="41"/>
  <c r="G222" i="41"/>
  <c r="G225" i="41"/>
  <c r="G228" i="41"/>
  <c r="E229" i="41"/>
  <c r="G229" i="41"/>
  <c r="E230" i="41"/>
  <c r="G230" i="41" s="1"/>
  <c r="G236" i="41"/>
  <c r="G239" i="41"/>
  <c r="G242" i="41"/>
  <c r="G245" i="41" s="1"/>
  <c r="E182" i="41"/>
  <c r="G182" i="41" s="1"/>
  <c r="G185" i="41" s="1"/>
  <c r="G188" i="41"/>
  <c r="E189" i="41"/>
  <c r="G189" i="41"/>
  <c r="E190" i="41"/>
  <c r="G190" i="41"/>
  <c r="G196" i="41"/>
  <c r="G200" i="41" s="1"/>
  <c r="G203" i="41"/>
  <c r="G206" i="41" s="1"/>
  <c r="E143" i="41"/>
  <c r="G143" i="41"/>
  <c r="G146" i="41"/>
  <c r="G167" i="41" s="1"/>
  <c r="G149" i="41"/>
  <c r="E150" i="41"/>
  <c r="G150" i="41" s="1"/>
  <c r="G154" i="41" s="1"/>
  <c r="E151" i="41"/>
  <c r="G151" i="41" s="1"/>
  <c r="G157" i="41"/>
  <c r="G160" i="41"/>
  <c r="G163" i="41"/>
  <c r="G166" i="41"/>
  <c r="E96" i="41"/>
  <c r="G96" i="41" s="1"/>
  <c r="G100" i="41" s="1"/>
  <c r="G97" i="41"/>
  <c r="G108" i="41"/>
  <c r="G111" i="41"/>
  <c r="G112" i="41"/>
  <c r="G113" i="41"/>
  <c r="G114" i="41"/>
  <c r="G115" i="41"/>
  <c r="G116" i="41"/>
  <c r="G117" i="41"/>
  <c r="G118" i="41"/>
  <c r="G124" i="41"/>
  <c r="G127" i="41"/>
  <c r="E105" i="41"/>
  <c r="E104" i="41"/>
  <c r="E53" i="41"/>
  <c r="G53" i="41" s="1"/>
  <c r="G56" i="41" s="1"/>
  <c r="G64" i="41"/>
  <c r="G74" i="41"/>
  <c r="G77" i="41"/>
  <c r="G80" i="41" s="1"/>
  <c r="E61" i="41"/>
  <c r="E60" i="41"/>
  <c r="E11" i="41"/>
  <c r="G11" i="41"/>
  <c r="G14" i="41" s="1"/>
  <c r="G22" i="41"/>
  <c r="G25" i="41"/>
  <c r="G31" i="41"/>
  <c r="G26" i="41"/>
  <c r="G27" i="41"/>
  <c r="G28" i="41"/>
  <c r="G34" i="41"/>
  <c r="G37" i="41"/>
  <c r="E19" i="41"/>
  <c r="E18" i="41"/>
  <c r="H272" i="14"/>
  <c r="H275" i="14"/>
  <c r="G268" i="14"/>
  <c r="E268" i="14"/>
  <c r="B268" i="14"/>
  <c r="G267" i="14"/>
  <c r="E267" i="14"/>
  <c r="B267" i="14"/>
  <c r="G266" i="14"/>
  <c r="E266" i="14"/>
  <c r="B266" i="14"/>
  <c r="G265" i="14"/>
  <c r="E265" i="14"/>
  <c r="B265" i="14"/>
  <c r="G264" i="14"/>
  <c r="E264" i="14"/>
  <c r="B264" i="14"/>
  <c r="G263" i="14"/>
  <c r="E263" i="14"/>
  <c r="B263" i="14"/>
  <c r="G262" i="14"/>
  <c r="E262" i="14"/>
  <c r="B262" i="14"/>
  <c r="G261" i="14"/>
  <c r="E261" i="14"/>
  <c r="B261" i="14"/>
  <c r="G260" i="14"/>
  <c r="E260" i="14"/>
  <c r="B260" i="14"/>
  <c r="G259" i="14"/>
  <c r="E259" i="14"/>
  <c r="B259" i="14"/>
  <c r="G258" i="14"/>
  <c r="E258" i="14"/>
  <c r="B258" i="14"/>
  <c r="G257" i="14"/>
  <c r="E257" i="14"/>
  <c r="B257" i="14"/>
  <c r="G256" i="14"/>
  <c r="E256" i="14"/>
  <c r="B256" i="14"/>
  <c r="G255" i="14"/>
  <c r="E255" i="14"/>
  <c r="B255" i="14"/>
  <c r="G254" i="14"/>
  <c r="E254" i="14"/>
  <c r="B254" i="14"/>
  <c r="G253" i="14"/>
  <c r="E253" i="14"/>
  <c r="B253" i="14"/>
  <c r="F249" i="14"/>
  <c r="E249" i="14"/>
  <c r="B249" i="14"/>
  <c r="F248" i="14"/>
  <c r="E248" i="14"/>
  <c r="B248" i="14"/>
  <c r="F247" i="14"/>
  <c r="E247" i="14"/>
  <c r="B247" i="14"/>
  <c r="F246" i="14"/>
  <c r="E246" i="14"/>
  <c r="B246" i="14"/>
  <c r="H235" i="14"/>
  <c r="F236" i="14"/>
  <c r="H236" i="14" s="1"/>
  <c r="F239" i="14"/>
  <c r="E239" i="14"/>
  <c r="B239" i="14"/>
  <c r="F238" i="14"/>
  <c r="E238" i="14"/>
  <c r="B238" i="14"/>
  <c r="F237" i="14"/>
  <c r="E237" i="14"/>
  <c r="B237" i="14"/>
  <c r="G21" i="14"/>
  <c r="F13" i="13"/>
  <c r="H13" i="13"/>
  <c r="G180" i="14"/>
  <c r="H477" i="14"/>
  <c r="H48" i="14"/>
  <c r="H51" i="14" s="1"/>
  <c r="F12" i="14"/>
  <c r="H12" i="14" s="1"/>
  <c r="F11" i="14"/>
  <c r="H11" i="14" s="1"/>
  <c r="G162" i="14"/>
  <c r="E162" i="14"/>
  <c r="B162" i="14"/>
  <c r="G161" i="14"/>
  <c r="E161" i="14"/>
  <c r="B161" i="14"/>
  <c r="G160" i="14"/>
  <c r="E160" i="14"/>
  <c r="B160" i="14"/>
  <c r="G156" i="14"/>
  <c r="E156" i="14"/>
  <c r="B156" i="14"/>
  <c r="G155" i="14"/>
  <c r="E155" i="14"/>
  <c r="B155" i="14"/>
  <c r="G154" i="14"/>
  <c r="E154" i="14"/>
  <c r="B154" i="14"/>
  <c r="G153" i="14"/>
  <c r="E153" i="14"/>
  <c r="B153" i="14"/>
  <c r="G152" i="14"/>
  <c r="E152" i="14"/>
  <c r="B152" i="14"/>
  <c r="G151" i="14"/>
  <c r="E151" i="14"/>
  <c r="B151" i="14"/>
  <c r="G150" i="14"/>
  <c r="E150" i="14"/>
  <c r="B150" i="14"/>
  <c r="G149" i="14"/>
  <c r="E149" i="14"/>
  <c r="B149" i="14"/>
  <c r="G148" i="14"/>
  <c r="E148" i="14"/>
  <c r="B148" i="14"/>
  <c r="G147" i="14"/>
  <c r="E147" i="14"/>
  <c r="B147" i="14"/>
  <c r="G146" i="14"/>
  <c r="E146" i="14"/>
  <c r="B146" i="14"/>
  <c r="G145" i="14"/>
  <c r="E145" i="14"/>
  <c r="B145" i="14"/>
  <c r="G144" i="14"/>
  <c r="E144" i="14"/>
  <c r="B144" i="14"/>
  <c r="G143" i="14"/>
  <c r="E143" i="14"/>
  <c r="B143" i="14"/>
  <c r="G142" i="14"/>
  <c r="E142" i="14"/>
  <c r="B142" i="14"/>
  <c r="G141" i="14"/>
  <c r="E141" i="14"/>
  <c r="B141" i="14"/>
  <c r="F137" i="14"/>
  <c r="E137" i="14"/>
  <c r="B137" i="14"/>
  <c r="F136" i="14"/>
  <c r="E136" i="14"/>
  <c r="B136" i="14"/>
  <c r="F135" i="14"/>
  <c r="E135" i="14"/>
  <c r="B135" i="14"/>
  <c r="F134" i="14"/>
  <c r="E134" i="14"/>
  <c r="B134" i="14"/>
  <c r="F133" i="14"/>
  <c r="E133" i="14"/>
  <c r="B133" i="14"/>
  <c r="F127" i="14"/>
  <c r="E127" i="14"/>
  <c r="B127" i="14"/>
  <c r="F126" i="14"/>
  <c r="E126" i="14"/>
  <c r="B126" i="14"/>
  <c r="F125" i="14"/>
  <c r="E125" i="14"/>
  <c r="B125" i="14"/>
  <c r="F124" i="14"/>
  <c r="E124" i="14"/>
  <c r="B124" i="14"/>
  <c r="N113" i="14"/>
  <c r="M113" i="14"/>
  <c r="L113" i="14"/>
  <c r="D1" i="14"/>
  <c r="D393" i="14"/>
  <c r="G106" i="14"/>
  <c r="E106" i="14"/>
  <c r="B106" i="14"/>
  <c r="G105" i="14"/>
  <c r="E105" i="14"/>
  <c r="B105" i="14"/>
  <c r="G104" i="14"/>
  <c r="E104" i="14"/>
  <c r="B104" i="14"/>
  <c r="G100" i="14"/>
  <c r="E100" i="14"/>
  <c r="B100" i="14"/>
  <c r="G99" i="14"/>
  <c r="E99" i="14"/>
  <c r="B99" i="14"/>
  <c r="G98" i="14"/>
  <c r="E98" i="14"/>
  <c r="B98" i="14"/>
  <c r="G97" i="14"/>
  <c r="E97" i="14"/>
  <c r="B97" i="14"/>
  <c r="G96" i="14"/>
  <c r="E96" i="14"/>
  <c r="B96" i="14"/>
  <c r="G95" i="14"/>
  <c r="E95" i="14"/>
  <c r="B95" i="14"/>
  <c r="G94" i="14"/>
  <c r="E94" i="14"/>
  <c r="B94" i="14"/>
  <c r="G93" i="14"/>
  <c r="E93" i="14"/>
  <c r="B93" i="14"/>
  <c r="G92" i="14"/>
  <c r="E92" i="14"/>
  <c r="B92" i="14"/>
  <c r="G91" i="14"/>
  <c r="E91" i="14"/>
  <c r="B91" i="14"/>
  <c r="G90" i="14"/>
  <c r="E90" i="14"/>
  <c r="B90" i="14"/>
  <c r="G89" i="14"/>
  <c r="E89" i="14"/>
  <c r="B89" i="14"/>
  <c r="G88" i="14"/>
  <c r="E88" i="14"/>
  <c r="B88" i="14"/>
  <c r="G87" i="14"/>
  <c r="E87" i="14"/>
  <c r="B87" i="14"/>
  <c r="G85" i="14"/>
  <c r="E85" i="14"/>
  <c r="B85" i="14"/>
  <c r="F81" i="14"/>
  <c r="E81" i="14"/>
  <c r="B81" i="14"/>
  <c r="F80" i="14"/>
  <c r="E80" i="14"/>
  <c r="B80" i="14"/>
  <c r="F79" i="14"/>
  <c r="E79" i="14"/>
  <c r="B79" i="14"/>
  <c r="F78" i="14"/>
  <c r="E78" i="14"/>
  <c r="B78" i="14"/>
  <c r="F77" i="14"/>
  <c r="E77" i="14"/>
  <c r="B77" i="14"/>
  <c r="F71" i="14"/>
  <c r="E71" i="14"/>
  <c r="B71" i="14"/>
  <c r="F70" i="14"/>
  <c r="E70" i="14"/>
  <c r="B70" i="14"/>
  <c r="F69" i="14"/>
  <c r="E69" i="14"/>
  <c r="B69" i="14"/>
  <c r="F68" i="14"/>
  <c r="E68" i="14"/>
  <c r="B68" i="14"/>
  <c r="N57" i="14"/>
  <c r="M57" i="14"/>
  <c r="L57" i="14"/>
  <c r="G44" i="14"/>
  <c r="E44" i="14"/>
  <c r="B44" i="14"/>
  <c r="G43" i="14"/>
  <c r="E43" i="14"/>
  <c r="B43" i="14"/>
  <c r="G42" i="14"/>
  <c r="E42" i="14"/>
  <c r="B42" i="14"/>
  <c r="G41" i="14"/>
  <c r="E41" i="14"/>
  <c r="B41" i="14"/>
  <c r="G40" i="14"/>
  <c r="E40" i="14"/>
  <c r="B40" i="14"/>
  <c r="G39" i="14"/>
  <c r="E39" i="14"/>
  <c r="B39" i="14"/>
  <c r="G38" i="14"/>
  <c r="E38" i="14"/>
  <c r="B38" i="14"/>
  <c r="G37" i="14"/>
  <c r="E37" i="14"/>
  <c r="B37" i="14"/>
  <c r="G36" i="14"/>
  <c r="E36" i="14"/>
  <c r="B36" i="14"/>
  <c r="G35" i="14"/>
  <c r="E35" i="14"/>
  <c r="B35" i="14"/>
  <c r="G34" i="14"/>
  <c r="E34" i="14"/>
  <c r="B34" i="14"/>
  <c r="G33" i="14"/>
  <c r="E33" i="14"/>
  <c r="B33" i="14"/>
  <c r="G32" i="14"/>
  <c r="E32" i="14"/>
  <c r="B32" i="14"/>
  <c r="G31" i="14"/>
  <c r="E31" i="14"/>
  <c r="B31" i="14"/>
  <c r="G30" i="14"/>
  <c r="E30" i="14"/>
  <c r="B30" i="14"/>
  <c r="G29" i="14"/>
  <c r="E29" i="14"/>
  <c r="B29" i="14"/>
  <c r="F25" i="14"/>
  <c r="E25" i="14"/>
  <c r="B25" i="14"/>
  <c r="F24" i="14"/>
  <c r="E24" i="14"/>
  <c r="B24" i="14"/>
  <c r="F23" i="14"/>
  <c r="E23" i="14"/>
  <c r="B23" i="14"/>
  <c r="F22" i="14"/>
  <c r="E22" i="14"/>
  <c r="B22" i="14"/>
  <c r="F15" i="14"/>
  <c r="E15" i="14"/>
  <c r="B15" i="14"/>
  <c r="F14" i="14"/>
  <c r="E14" i="14"/>
  <c r="B14" i="14"/>
  <c r="F13" i="14"/>
  <c r="E13" i="14"/>
  <c r="B13" i="14"/>
  <c r="G572" i="10"/>
  <c r="G778" i="25"/>
  <c r="E778" i="25"/>
  <c r="B778" i="25"/>
  <c r="G777" i="25"/>
  <c r="E777" i="25"/>
  <c r="B777" i="25"/>
  <c r="G772" i="25"/>
  <c r="E772" i="25"/>
  <c r="B772" i="25"/>
  <c r="G771" i="25"/>
  <c r="E771" i="25"/>
  <c r="B771" i="25"/>
  <c r="G770" i="25"/>
  <c r="E770" i="25"/>
  <c r="B770" i="25"/>
  <c r="J767" i="25"/>
  <c r="J768" i="25"/>
  <c r="J769" i="25"/>
  <c r="G769" i="25"/>
  <c r="E769" i="25"/>
  <c r="B769" i="25"/>
  <c r="G768" i="25"/>
  <c r="E768" i="25"/>
  <c r="B768" i="25"/>
  <c r="K765" i="25"/>
  <c r="J765" i="25"/>
  <c r="K764" i="25"/>
  <c r="J764" i="25"/>
  <c r="G763" i="25"/>
  <c r="E763" i="25"/>
  <c r="B763" i="25"/>
  <c r="J761" i="25"/>
  <c r="J759" i="25"/>
  <c r="J757" i="25"/>
  <c r="J754" i="25"/>
  <c r="F753" i="25"/>
  <c r="E753" i="25"/>
  <c r="B753" i="25"/>
  <c r="F752" i="25"/>
  <c r="E752" i="25"/>
  <c r="B752" i="25"/>
  <c r="F751" i="25"/>
  <c r="E751" i="25"/>
  <c r="B751" i="25"/>
  <c r="J750" i="25"/>
  <c r="F750" i="25"/>
  <c r="E750" i="25"/>
  <c r="B750" i="25"/>
  <c r="K748" i="25"/>
  <c r="G747" i="25"/>
  <c r="F747" i="25"/>
  <c r="E747" i="25"/>
  <c r="B747" i="25"/>
  <c r="F743" i="25"/>
  <c r="E743" i="25"/>
  <c r="B743" i="25"/>
  <c r="F742" i="25"/>
  <c r="E742" i="25"/>
  <c r="B742" i="25"/>
  <c r="F741" i="25"/>
  <c r="E741" i="25"/>
  <c r="B741" i="25"/>
  <c r="F740" i="25"/>
  <c r="E740" i="25"/>
  <c r="B740" i="25"/>
  <c r="F739" i="25"/>
  <c r="E739" i="25"/>
  <c r="B739" i="25"/>
  <c r="N729" i="25"/>
  <c r="M729" i="25"/>
  <c r="L729" i="25"/>
  <c r="D729" i="25"/>
  <c r="G585" i="10"/>
  <c r="G578" i="10"/>
  <c r="G575" i="10"/>
  <c r="L29" i="25"/>
  <c r="E292" i="14"/>
  <c r="F292" i="14"/>
  <c r="H533" i="23"/>
  <c r="H197" i="35"/>
  <c r="G218" i="35"/>
  <c r="E218" i="35"/>
  <c r="B218" i="35"/>
  <c r="G217" i="35"/>
  <c r="E217" i="35"/>
  <c r="B217" i="35"/>
  <c r="G216" i="35"/>
  <c r="E216" i="35"/>
  <c r="B216" i="35"/>
  <c r="G212" i="35"/>
  <c r="E212" i="35"/>
  <c r="B212" i="35"/>
  <c r="G211" i="35"/>
  <c r="E211" i="35"/>
  <c r="B211" i="35"/>
  <c r="G210" i="35"/>
  <c r="E210" i="35"/>
  <c r="B210" i="35"/>
  <c r="G209" i="35"/>
  <c r="E209" i="35"/>
  <c r="B209" i="35"/>
  <c r="G208" i="35"/>
  <c r="E208" i="35"/>
  <c r="B208" i="35"/>
  <c r="G207" i="35"/>
  <c r="E207" i="35"/>
  <c r="B207" i="35"/>
  <c r="G206" i="35"/>
  <c r="E206" i="35"/>
  <c r="B206" i="35"/>
  <c r="G205" i="35"/>
  <c r="E205" i="35"/>
  <c r="B205" i="35"/>
  <c r="G204" i="35"/>
  <c r="E204" i="35"/>
  <c r="B204" i="35"/>
  <c r="G203" i="35"/>
  <c r="E203" i="35"/>
  <c r="B203" i="35"/>
  <c r="G202" i="35"/>
  <c r="E202" i="35"/>
  <c r="B202" i="35"/>
  <c r="G201" i="35"/>
  <c r="E201" i="35"/>
  <c r="B201" i="35"/>
  <c r="G200" i="35"/>
  <c r="E200" i="35"/>
  <c r="B200" i="35"/>
  <c r="G199" i="35"/>
  <c r="E199" i="35"/>
  <c r="B199" i="35"/>
  <c r="G198" i="35"/>
  <c r="E198" i="35"/>
  <c r="B198" i="35"/>
  <c r="F193" i="35"/>
  <c r="E193" i="35"/>
  <c r="B193" i="35"/>
  <c r="F192" i="35"/>
  <c r="E192" i="35"/>
  <c r="B192" i="35"/>
  <c r="F191" i="35"/>
  <c r="E191" i="35"/>
  <c r="B191" i="35"/>
  <c r="F190" i="35"/>
  <c r="E190" i="35"/>
  <c r="B190" i="35"/>
  <c r="G187" i="35"/>
  <c r="F187" i="35"/>
  <c r="E187" i="35"/>
  <c r="B187" i="35"/>
  <c r="F183" i="35"/>
  <c r="E183" i="35"/>
  <c r="B183" i="35"/>
  <c r="F182" i="35"/>
  <c r="E182" i="35"/>
  <c r="B182" i="35"/>
  <c r="F181" i="35"/>
  <c r="E181" i="35"/>
  <c r="B181" i="35"/>
  <c r="F180" i="35"/>
  <c r="E180" i="35"/>
  <c r="B180" i="35"/>
  <c r="F179" i="35"/>
  <c r="E179" i="35"/>
  <c r="B179" i="35"/>
  <c r="N169" i="35"/>
  <c r="M169" i="35"/>
  <c r="L169" i="35"/>
  <c r="D1" i="35"/>
  <c r="G1833" i="34"/>
  <c r="E1833" i="34"/>
  <c r="B1833" i="34"/>
  <c r="G1832" i="34"/>
  <c r="E1832" i="34"/>
  <c r="B1832" i="34"/>
  <c r="G1831" i="34"/>
  <c r="E1831" i="34"/>
  <c r="B1831" i="34"/>
  <c r="G1830" i="34"/>
  <c r="E1830" i="34"/>
  <c r="B1830" i="34"/>
  <c r="G1829" i="34"/>
  <c r="E1829" i="34"/>
  <c r="B1829" i="34"/>
  <c r="G1828" i="34"/>
  <c r="E1828" i="34"/>
  <c r="B1828" i="34"/>
  <c r="G1827" i="34"/>
  <c r="E1827" i="34"/>
  <c r="B1827" i="34"/>
  <c r="G1826" i="34"/>
  <c r="E1826" i="34"/>
  <c r="B1826" i="34"/>
  <c r="F1817" i="34"/>
  <c r="E1817" i="34"/>
  <c r="B1817" i="34"/>
  <c r="F1816" i="34"/>
  <c r="E1816" i="34"/>
  <c r="B1816" i="34"/>
  <c r="K1815" i="34"/>
  <c r="K1814" i="34"/>
  <c r="G1811" i="34"/>
  <c r="F1811" i="34"/>
  <c r="E1811" i="34"/>
  <c r="B1811" i="34"/>
  <c r="F1807" i="34"/>
  <c r="E1807" i="34"/>
  <c r="B1807" i="34"/>
  <c r="F1806" i="34"/>
  <c r="E1806" i="34"/>
  <c r="B1806" i="34"/>
  <c r="F1805" i="34"/>
  <c r="E1805" i="34"/>
  <c r="B1805" i="34"/>
  <c r="G1886" i="34"/>
  <c r="E1886" i="34"/>
  <c r="B1886" i="34"/>
  <c r="G1885" i="34"/>
  <c r="E1885" i="34"/>
  <c r="B1885" i="34"/>
  <c r="G1884" i="34"/>
  <c r="E1884" i="34"/>
  <c r="B1884" i="34"/>
  <c r="G1883" i="34"/>
  <c r="E1883" i="34"/>
  <c r="B1883" i="34"/>
  <c r="G1882" i="34"/>
  <c r="E1882" i="34"/>
  <c r="B1882" i="34"/>
  <c r="F1873" i="34"/>
  <c r="E1873" i="34"/>
  <c r="B1873" i="34"/>
  <c r="F1872" i="34"/>
  <c r="E1872" i="34"/>
  <c r="B1872" i="34"/>
  <c r="K1871" i="34"/>
  <c r="K1870" i="34"/>
  <c r="G1867" i="34"/>
  <c r="F1867" i="34"/>
  <c r="E1867" i="34"/>
  <c r="B1867" i="34"/>
  <c r="F1863" i="34"/>
  <c r="E1863" i="34"/>
  <c r="B1863" i="34"/>
  <c r="F1862" i="34"/>
  <c r="E1862" i="34"/>
  <c r="B1862" i="34"/>
  <c r="F1861" i="34"/>
  <c r="E1861" i="34"/>
  <c r="B1861" i="34"/>
  <c r="G1940" i="34"/>
  <c r="E1940" i="34"/>
  <c r="B1940" i="34"/>
  <c r="G1939" i="34"/>
  <c r="E1939" i="34"/>
  <c r="B1939" i="34"/>
  <c r="G1938" i="34"/>
  <c r="E1938" i="34"/>
  <c r="B1938" i="34"/>
  <c r="F1929" i="34"/>
  <c r="E1929" i="34"/>
  <c r="B1929" i="34"/>
  <c r="F1928" i="34"/>
  <c r="E1928" i="34"/>
  <c r="B1928" i="34"/>
  <c r="K1927" i="34"/>
  <c r="K1926" i="34"/>
  <c r="G1923" i="34"/>
  <c r="F1923" i="34"/>
  <c r="E1923" i="34"/>
  <c r="B1923" i="34"/>
  <c r="F1919" i="34"/>
  <c r="E1919" i="34"/>
  <c r="B1919" i="34"/>
  <c r="F1918" i="34"/>
  <c r="E1918" i="34"/>
  <c r="B1918" i="34"/>
  <c r="F1917" i="34"/>
  <c r="E1917" i="34"/>
  <c r="B1917" i="34"/>
  <c r="F2096" i="34"/>
  <c r="E2096" i="34"/>
  <c r="B2096" i="34"/>
  <c r="K2095" i="34"/>
  <c r="K2094" i="34"/>
  <c r="G2091" i="34"/>
  <c r="F2091" i="34"/>
  <c r="E2091" i="34"/>
  <c r="B2091" i="34"/>
  <c r="H2045" i="34"/>
  <c r="G2066" i="34"/>
  <c r="E2066" i="34"/>
  <c r="B2066" i="34"/>
  <c r="G2065" i="34"/>
  <c r="E2065" i="34"/>
  <c r="B2065" i="34"/>
  <c r="G2060" i="34"/>
  <c r="E2060" i="34"/>
  <c r="B2060" i="34"/>
  <c r="G2059" i="34"/>
  <c r="E2059" i="34"/>
  <c r="B2059" i="34"/>
  <c r="G2058" i="34"/>
  <c r="E2058" i="34"/>
  <c r="B2058" i="34"/>
  <c r="G2057" i="34"/>
  <c r="E2057" i="34"/>
  <c r="B2057" i="34"/>
  <c r="G2056" i="34"/>
  <c r="E2056" i="34"/>
  <c r="B2056" i="34"/>
  <c r="G2055" i="34"/>
  <c r="E2055" i="34"/>
  <c r="B2055" i="34"/>
  <c r="G2054" i="34"/>
  <c r="E2054" i="34"/>
  <c r="B2054" i="34"/>
  <c r="G2053" i="34"/>
  <c r="E2053" i="34"/>
  <c r="B2053" i="34"/>
  <c r="G2052" i="34"/>
  <c r="E2052" i="34"/>
  <c r="B2052" i="34"/>
  <c r="G2051" i="34"/>
  <c r="E2051" i="34"/>
  <c r="B2051" i="34"/>
  <c r="G2050" i="34"/>
  <c r="E2050" i="34"/>
  <c r="B2050" i="34"/>
  <c r="G2049" i="34"/>
  <c r="E2049" i="34"/>
  <c r="B2049" i="34"/>
  <c r="G2048" i="34"/>
  <c r="E2048" i="34"/>
  <c r="B2048" i="34"/>
  <c r="G2047" i="34"/>
  <c r="E2047" i="34"/>
  <c r="B2047" i="34"/>
  <c r="G2046" i="34"/>
  <c r="E2046" i="34"/>
  <c r="F2041" i="34"/>
  <c r="E2041" i="34"/>
  <c r="B2041" i="34"/>
  <c r="F2040" i="34"/>
  <c r="E2040" i="34"/>
  <c r="B2040" i="34"/>
  <c r="F2039" i="34"/>
  <c r="E2039" i="34"/>
  <c r="B2039" i="34"/>
  <c r="F2038" i="34"/>
  <c r="E2038" i="34"/>
  <c r="B2038" i="34"/>
  <c r="F2037" i="34"/>
  <c r="E2037" i="34"/>
  <c r="B2037" i="34"/>
  <c r="F2036" i="34"/>
  <c r="E2036" i="34"/>
  <c r="B2036" i="34"/>
  <c r="G2035" i="34"/>
  <c r="F2035" i="34"/>
  <c r="E2035" i="34"/>
  <c r="B2035" i="34"/>
  <c r="F2031" i="34"/>
  <c r="E2031" i="34"/>
  <c r="B2031" i="34"/>
  <c r="F2030" i="34"/>
  <c r="E2030" i="34"/>
  <c r="B2030" i="34"/>
  <c r="F2029" i="34"/>
  <c r="E2029" i="34"/>
  <c r="B2029" i="34"/>
  <c r="F2028" i="34"/>
  <c r="E2028" i="34"/>
  <c r="B2028" i="34"/>
  <c r="F2027" i="34"/>
  <c r="E2027" i="34"/>
  <c r="B2027" i="34"/>
  <c r="F2026" i="34"/>
  <c r="E2026" i="34"/>
  <c r="B2026" i="34"/>
  <c r="N2017" i="34"/>
  <c r="M2017" i="34"/>
  <c r="L2017" i="34"/>
  <c r="D1" i="34"/>
  <c r="H1989" i="34"/>
  <c r="G1954" i="34"/>
  <c r="E1954" i="34"/>
  <c r="B1954" i="34"/>
  <c r="G1953" i="34"/>
  <c r="E1953" i="34"/>
  <c r="B1953" i="34"/>
  <c r="G1948" i="34"/>
  <c r="E1948" i="34"/>
  <c r="B1948" i="34"/>
  <c r="G1947" i="34"/>
  <c r="E1947" i="34"/>
  <c r="B1947" i="34"/>
  <c r="G1946" i="34"/>
  <c r="E1946" i="34"/>
  <c r="B1946" i="34"/>
  <c r="G1945" i="34"/>
  <c r="E1945" i="34"/>
  <c r="B1945" i="34"/>
  <c r="G1944" i="34"/>
  <c r="E1944" i="34"/>
  <c r="B1944" i="34"/>
  <c r="G1943" i="34"/>
  <c r="E1943" i="34"/>
  <c r="B1943" i="34"/>
  <c r="G1942" i="34"/>
  <c r="E1942" i="34"/>
  <c r="B1942" i="34"/>
  <c r="G1941" i="34"/>
  <c r="E1941" i="34"/>
  <c r="B1941" i="34"/>
  <c r="N1905" i="34"/>
  <c r="M1905" i="34"/>
  <c r="L1905" i="34"/>
  <c r="G1842" i="34"/>
  <c r="E1842" i="34"/>
  <c r="B1842" i="34"/>
  <c r="G1841" i="34"/>
  <c r="E1841" i="34"/>
  <c r="B1841" i="34"/>
  <c r="G1836" i="34"/>
  <c r="E1836" i="34"/>
  <c r="B1836" i="34"/>
  <c r="G1835" i="34"/>
  <c r="E1835" i="34"/>
  <c r="B1835" i="34"/>
  <c r="G1834" i="34"/>
  <c r="E1834" i="34"/>
  <c r="B1834" i="34"/>
  <c r="N1793" i="34"/>
  <c r="M1793" i="34"/>
  <c r="L1793" i="34"/>
  <c r="G1674" i="34"/>
  <c r="E1674" i="34"/>
  <c r="B1674" i="34"/>
  <c r="G1673" i="34"/>
  <c r="E1673" i="34"/>
  <c r="B1673" i="34"/>
  <c r="G1668" i="34"/>
  <c r="E1668" i="34"/>
  <c r="B1668" i="34"/>
  <c r="G1667" i="34"/>
  <c r="E1667" i="34"/>
  <c r="B1667" i="34"/>
  <c r="G1666" i="34"/>
  <c r="E1666" i="34"/>
  <c r="B1666" i="34"/>
  <c r="G1665" i="34"/>
  <c r="E1665" i="34"/>
  <c r="B1665" i="34"/>
  <c r="G1664" i="34"/>
  <c r="E1664" i="34"/>
  <c r="B1664" i="34"/>
  <c r="G1663" i="34"/>
  <c r="E1663" i="34"/>
  <c r="B1663" i="34"/>
  <c r="G1662" i="34"/>
  <c r="E1662" i="34"/>
  <c r="B1662" i="34"/>
  <c r="G1661" i="34"/>
  <c r="E1661" i="34"/>
  <c r="B1661" i="34"/>
  <c r="G1660" i="34"/>
  <c r="E1660" i="34"/>
  <c r="B1660" i="34"/>
  <c r="G1659" i="34"/>
  <c r="E1659" i="34"/>
  <c r="B1659" i="34"/>
  <c r="G1658" i="34"/>
  <c r="E1658" i="34"/>
  <c r="B1658" i="34"/>
  <c r="G1657" i="34"/>
  <c r="E1657" i="34"/>
  <c r="B1657" i="34"/>
  <c r="G1656" i="34"/>
  <c r="E1656" i="34"/>
  <c r="B1656" i="34"/>
  <c r="G1655" i="34"/>
  <c r="E1655" i="34"/>
  <c r="B1655" i="34"/>
  <c r="G1654" i="34"/>
  <c r="E1654" i="34"/>
  <c r="H1653" i="34"/>
  <c r="F1649" i="34"/>
  <c r="E1649" i="34"/>
  <c r="B1649" i="34"/>
  <c r="F1648" i="34"/>
  <c r="E1648" i="34"/>
  <c r="B1648" i="34"/>
  <c r="F1647" i="34"/>
  <c r="E1647" i="34"/>
  <c r="B1647" i="34"/>
  <c r="F1646" i="34"/>
  <c r="E1646" i="34"/>
  <c r="B1646" i="34"/>
  <c r="F1645" i="34"/>
  <c r="E1645" i="34"/>
  <c r="B1645" i="34"/>
  <c r="F1644" i="34"/>
  <c r="E1644" i="34"/>
  <c r="B1644" i="34"/>
  <c r="G1643" i="34"/>
  <c r="F1643" i="34"/>
  <c r="E1643" i="34"/>
  <c r="B1643" i="34"/>
  <c r="F1639" i="34"/>
  <c r="E1639" i="34"/>
  <c r="B1639" i="34"/>
  <c r="F1638" i="34"/>
  <c r="E1638" i="34"/>
  <c r="B1638" i="34"/>
  <c r="F1637" i="34"/>
  <c r="E1637" i="34"/>
  <c r="B1637" i="34"/>
  <c r="F1636" i="34"/>
  <c r="E1636" i="34"/>
  <c r="B1636" i="34"/>
  <c r="F1635" i="34"/>
  <c r="E1635" i="34"/>
  <c r="B1635" i="34"/>
  <c r="F1634" i="34"/>
  <c r="E1634" i="34"/>
  <c r="B1634" i="34"/>
  <c r="N1625" i="34"/>
  <c r="M1625" i="34"/>
  <c r="L1625" i="34"/>
  <c r="G1562" i="34"/>
  <c r="E1562" i="34"/>
  <c r="B1562" i="34"/>
  <c r="G1561" i="34"/>
  <c r="E1561" i="34"/>
  <c r="B1561" i="34"/>
  <c r="G1556" i="34"/>
  <c r="E1556" i="34"/>
  <c r="B1556" i="34"/>
  <c r="G1555" i="34"/>
  <c r="E1555" i="34"/>
  <c r="B1555" i="34"/>
  <c r="G1554" i="34"/>
  <c r="E1554" i="34"/>
  <c r="B1554" i="34"/>
  <c r="G1553" i="34"/>
  <c r="E1553" i="34"/>
  <c r="B1553" i="34"/>
  <c r="G1552" i="34"/>
  <c r="E1552" i="34"/>
  <c r="B1552" i="34"/>
  <c r="G1551" i="34"/>
  <c r="E1551" i="34"/>
  <c r="B1551" i="34"/>
  <c r="G1550" i="34"/>
  <c r="E1550" i="34"/>
  <c r="B1550" i="34"/>
  <c r="G1549" i="34"/>
  <c r="E1549" i="34"/>
  <c r="B1549" i="34"/>
  <c r="G1548" i="34"/>
  <c r="E1548" i="34"/>
  <c r="B1548" i="34"/>
  <c r="G1547" i="34"/>
  <c r="E1547" i="34"/>
  <c r="B1547" i="34"/>
  <c r="G1546" i="34"/>
  <c r="E1546" i="34"/>
  <c r="B1546" i="34"/>
  <c r="G1545" i="34"/>
  <c r="E1545" i="34"/>
  <c r="B1545" i="34"/>
  <c r="G1544" i="34"/>
  <c r="E1544" i="34"/>
  <c r="B1544" i="34"/>
  <c r="G1543" i="34"/>
  <c r="E1543" i="34"/>
  <c r="B1543" i="34"/>
  <c r="G1542" i="34"/>
  <c r="E1542" i="34"/>
  <c r="H1541" i="34"/>
  <c r="F1537" i="34"/>
  <c r="E1537" i="34"/>
  <c r="B1537" i="34"/>
  <c r="F1536" i="34"/>
  <c r="E1536" i="34"/>
  <c r="B1536" i="34"/>
  <c r="F1535" i="34"/>
  <c r="E1535" i="34"/>
  <c r="B1535" i="34"/>
  <c r="F1534" i="34"/>
  <c r="E1534" i="34"/>
  <c r="B1534" i="34"/>
  <c r="F1533" i="34"/>
  <c r="E1533" i="34"/>
  <c r="B1533" i="34"/>
  <c r="F1532" i="34"/>
  <c r="E1532" i="34"/>
  <c r="B1532" i="34"/>
  <c r="G1531" i="34"/>
  <c r="F1531" i="34"/>
  <c r="E1531" i="34"/>
  <c r="B1531" i="34"/>
  <c r="F1527" i="34"/>
  <c r="E1527" i="34"/>
  <c r="B1527" i="34"/>
  <c r="F1526" i="34"/>
  <c r="E1526" i="34"/>
  <c r="B1526" i="34"/>
  <c r="F1525" i="34"/>
  <c r="E1525" i="34"/>
  <c r="B1525" i="34"/>
  <c r="F1524" i="34"/>
  <c r="E1524" i="34"/>
  <c r="B1524" i="34"/>
  <c r="F1523" i="34"/>
  <c r="E1523" i="34"/>
  <c r="B1523" i="34"/>
  <c r="F1522" i="34"/>
  <c r="E1522" i="34"/>
  <c r="B1522" i="34"/>
  <c r="N1513" i="34"/>
  <c r="M1513" i="34"/>
  <c r="L1513" i="34"/>
  <c r="G1506" i="34"/>
  <c r="E1506" i="34"/>
  <c r="B1506" i="34"/>
  <c r="G1505" i="34"/>
  <c r="E1505" i="34"/>
  <c r="B1505" i="34"/>
  <c r="G1500" i="34"/>
  <c r="E1500" i="34"/>
  <c r="B1500" i="34"/>
  <c r="G1499" i="34"/>
  <c r="E1499" i="34"/>
  <c r="B1499" i="34"/>
  <c r="G1498" i="34"/>
  <c r="E1498" i="34"/>
  <c r="B1498" i="34"/>
  <c r="G1497" i="34"/>
  <c r="E1497" i="34"/>
  <c r="B1497" i="34"/>
  <c r="G1496" i="34"/>
  <c r="E1496" i="34"/>
  <c r="B1496" i="34"/>
  <c r="G1495" i="34"/>
  <c r="E1495" i="34"/>
  <c r="B1495" i="34"/>
  <c r="G1494" i="34"/>
  <c r="E1494" i="34"/>
  <c r="B1494" i="34"/>
  <c r="G1493" i="34"/>
  <c r="E1493" i="34"/>
  <c r="B1493" i="34"/>
  <c r="G1492" i="34"/>
  <c r="E1492" i="34"/>
  <c r="B1492" i="34"/>
  <c r="G1491" i="34"/>
  <c r="E1491" i="34"/>
  <c r="B1491" i="34"/>
  <c r="G1490" i="34"/>
  <c r="E1490" i="34"/>
  <c r="B1490" i="34"/>
  <c r="G1489" i="34"/>
  <c r="E1489" i="34"/>
  <c r="B1489" i="34"/>
  <c r="G1488" i="34"/>
  <c r="E1488" i="34"/>
  <c r="B1488" i="34"/>
  <c r="G1487" i="34"/>
  <c r="E1487" i="34"/>
  <c r="B1487" i="34"/>
  <c r="G1486" i="34"/>
  <c r="E1486" i="34"/>
  <c r="H1485" i="34"/>
  <c r="F1481" i="34"/>
  <c r="E1481" i="34"/>
  <c r="B1481" i="34"/>
  <c r="F1480" i="34"/>
  <c r="E1480" i="34"/>
  <c r="B1480" i="34"/>
  <c r="F1479" i="34"/>
  <c r="E1479" i="34"/>
  <c r="B1479" i="34"/>
  <c r="F1478" i="34"/>
  <c r="E1478" i="34"/>
  <c r="B1478" i="34"/>
  <c r="F1477" i="34"/>
  <c r="E1477" i="34"/>
  <c r="B1477" i="34"/>
  <c r="F1476" i="34"/>
  <c r="E1476" i="34"/>
  <c r="B1476" i="34"/>
  <c r="G1475" i="34"/>
  <c r="F1475" i="34"/>
  <c r="E1475" i="34"/>
  <c r="B1475" i="34"/>
  <c r="F1471" i="34"/>
  <c r="E1471" i="34"/>
  <c r="B1471" i="34"/>
  <c r="F1470" i="34"/>
  <c r="E1470" i="34"/>
  <c r="B1470" i="34"/>
  <c r="F1469" i="34"/>
  <c r="E1469" i="34"/>
  <c r="B1469" i="34"/>
  <c r="F1468" i="34"/>
  <c r="E1468" i="34"/>
  <c r="B1468" i="34"/>
  <c r="F1467" i="34"/>
  <c r="E1467" i="34"/>
  <c r="B1467" i="34"/>
  <c r="F1466" i="34"/>
  <c r="E1466" i="34"/>
  <c r="B1466" i="34"/>
  <c r="N1457" i="34"/>
  <c r="M1457" i="34"/>
  <c r="L1457" i="34"/>
  <c r="G1450" i="34"/>
  <c r="E1450" i="34"/>
  <c r="B1450" i="34"/>
  <c r="G1449" i="34"/>
  <c r="E1449" i="34"/>
  <c r="B1449" i="34"/>
  <c r="G1444" i="34"/>
  <c r="E1444" i="34"/>
  <c r="B1444" i="34"/>
  <c r="G1443" i="34"/>
  <c r="E1443" i="34"/>
  <c r="B1443" i="34"/>
  <c r="G1442" i="34"/>
  <c r="E1442" i="34"/>
  <c r="B1442" i="34"/>
  <c r="G1441" i="34"/>
  <c r="E1441" i="34"/>
  <c r="B1441" i="34"/>
  <c r="G1440" i="34"/>
  <c r="E1440" i="34"/>
  <c r="B1440" i="34"/>
  <c r="G1439" i="34"/>
  <c r="E1439" i="34"/>
  <c r="B1439" i="34"/>
  <c r="G1438" i="34"/>
  <c r="E1438" i="34"/>
  <c r="B1438" i="34"/>
  <c r="G1437" i="34"/>
  <c r="E1437" i="34"/>
  <c r="B1437" i="34"/>
  <c r="G1436" i="34"/>
  <c r="E1436" i="34"/>
  <c r="B1436" i="34"/>
  <c r="G1435" i="34"/>
  <c r="E1435" i="34"/>
  <c r="B1435" i="34"/>
  <c r="G1434" i="34"/>
  <c r="E1434" i="34"/>
  <c r="B1434" i="34"/>
  <c r="G1433" i="34"/>
  <c r="E1433" i="34"/>
  <c r="B1433" i="34"/>
  <c r="G1432" i="34"/>
  <c r="E1432" i="34"/>
  <c r="B1432" i="34"/>
  <c r="G1431" i="34"/>
  <c r="E1431" i="34"/>
  <c r="B1431" i="34"/>
  <c r="G1430" i="34"/>
  <c r="E1430" i="34"/>
  <c r="H1429" i="34"/>
  <c r="F1425" i="34"/>
  <c r="E1425" i="34"/>
  <c r="B1425" i="34"/>
  <c r="F1424" i="34"/>
  <c r="E1424" i="34"/>
  <c r="B1424" i="34"/>
  <c r="F1423" i="34"/>
  <c r="E1423" i="34"/>
  <c r="B1423" i="34"/>
  <c r="F1422" i="34"/>
  <c r="E1422" i="34"/>
  <c r="B1422" i="34"/>
  <c r="F1421" i="34"/>
  <c r="E1421" i="34"/>
  <c r="B1421" i="34"/>
  <c r="F1420" i="34"/>
  <c r="E1420" i="34"/>
  <c r="B1420" i="34"/>
  <c r="G1419" i="34"/>
  <c r="F1419" i="34"/>
  <c r="E1419" i="34"/>
  <c r="B1419" i="34"/>
  <c r="F1415" i="34"/>
  <c r="E1415" i="34"/>
  <c r="B1415" i="34"/>
  <c r="F1414" i="34"/>
  <c r="E1414" i="34"/>
  <c r="B1414" i="34"/>
  <c r="F1413" i="34"/>
  <c r="E1413" i="34"/>
  <c r="B1413" i="34"/>
  <c r="F1412" i="34"/>
  <c r="E1412" i="34"/>
  <c r="B1412" i="34"/>
  <c r="F1411" i="34"/>
  <c r="E1411" i="34"/>
  <c r="B1411" i="34"/>
  <c r="F1410" i="34"/>
  <c r="E1410" i="34"/>
  <c r="B1410" i="34"/>
  <c r="N1401" i="34"/>
  <c r="M1401" i="34"/>
  <c r="L1401" i="34"/>
  <c r="G1730" i="34"/>
  <c r="E1730" i="34"/>
  <c r="B1730" i="34"/>
  <c r="G1729" i="34"/>
  <c r="E1729" i="34"/>
  <c r="B1729" i="34"/>
  <c r="G1724" i="34"/>
  <c r="E1724" i="34"/>
  <c r="B1724" i="34"/>
  <c r="G1723" i="34"/>
  <c r="E1723" i="34"/>
  <c r="B1723" i="34"/>
  <c r="G1722" i="34"/>
  <c r="E1722" i="34"/>
  <c r="B1722" i="34"/>
  <c r="G1721" i="34"/>
  <c r="E1721" i="34"/>
  <c r="B1721" i="34"/>
  <c r="G1720" i="34"/>
  <c r="E1720" i="34"/>
  <c r="B1720" i="34"/>
  <c r="G1719" i="34"/>
  <c r="E1719" i="34"/>
  <c r="B1719" i="34"/>
  <c r="G1718" i="34"/>
  <c r="E1718" i="34"/>
  <c r="B1718" i="34"/>
  <c r="G1717" i="34"/>
  <c r="E1717" i="34"/>
  <c r="B1717" i="34"/>
  <c r="G1716" i="34"/>
  <c r="E1716" i="34"/>
  <c r="B1716" i="34"/>
  <c r="G1715" i="34"/>
  <c r="E1715" i="34"/>
  <c r="B1715" i="34"/>
  <c r="G1714" i="34"/>
  <c r="E1714" i="34"/>
  <c r="B1714" i="34"/>
  <c r="G1713" i="34"/>
  <c r="E1713" i="34"/>
  <c r="B1713" i="34"/>
  <c r="G1712" i="34"/>
  <c r="E1712" i="34"/>
  <c r="B1712" i="34"/>
  <c r="G1711" i="34"/>
  <c r="E1711" i="34"/>
  <c r="B1711" i="34"/>
  <c r="G1710" i="34"/>
  <c r="E1710" i="34"/>
  <c r="H1709" i="34"/>
  <c r="F1705" i="34"/>
  <c r="E1705" i="34"/>
  <c r="B1705" i="34"/>
  <c r="F1704" i="34"/>
  <c r="E1704" i="34"/>
  <c r="B1704" i="34"/>
  <c r="F1703" i="34"/>
  <c r="E1703" i="34"/>
  <c r="B1703" i="34"/>
  <c r="F1702" i="34"/>
  <c r="E1702" i="34"/>
  <c r="B1702" i="34"/>
  <c r="F1701" i="34"/>
  <c r="E1701" i="34"/>
  <c r="B1701" i="34"/>
  <c r="F1700" i="34"/>
  <c r="E1700" i="34"/>
  <c r="B1700" i="34"/>
  <c r="G1699" i="34"/>
  <c r="F1699" i="34"/>
  <c r="E1699" i="34"/>
  <c r="B1699" i="34"/>
  <c r="F1695" i="34"/>
  <c r="E1695" i="34"/>
  <c r="B1695" i="34"/>
  <c r="F1694" i="34"/>
  <c r="E1694" i="34"/>
  <c r="B1694" i="34"/>
  <c r="F1693" i="34"/>
  <c r="E1693" i="34"/>
  <c r="B1693" i="34"/>
  <c r="F1692" i="34"/>
  <c r="E1692" i="34"/>
  <c r="B1692" i="34"/>
  <c r="F1691" i="34"/>
  <c r="E1691" i="34"/>
  <c r="B1691" i="34"/>
  <c r="F1690" i="34"/>
  <c r="E1690" i="34"/>
  <c r="B1690" i="34"/>
  <c r="N1681" i="34"/>
  <c r="M1681" i="34"/>
  <c r="L1681" i="34"/>
  <c r="G1338" i="34"/>
  <c r="E1338" i="34"/>
  <c r="B1338" i="34"/>
  <c r="G1337" i="34"/>
  <c r="E1337" i="34"/>
  <c r="B1337" i="34"/>
  <c r="G1332" i="34"/>
  <c r="E1332" i="34"/>
  <c r="B1332" i="34"/>
  <c r="G1331" i="34"/>
  <c r="E1331" i="34"/>
  <c r="B1331" i="34"/>
  <c r="G1330" i="34"/>
  <c r="E1330" i="34"/>
  <c r="B1330" i="34"/>
  <c r="G1329" i="34"/>
  <c r="E1329" i="34"/>
  <c r="B1329" i="34"/>
  <c r="G1328" i="34"/>
  <c r="E1328" i="34"/>
  <c r="B1328" i="34"/>
  <c r="G1327" i="34"/>
  <c r="E1327" i="34"/>
  <c r="B1327" i="34"/>
  <c r="G1326" i="34"/>
  <c r="E1326" i="34"/>
  <c r="B1326" i="34"/>
  <c r="G1325" i="34"/>
  <c r="E1325" i="34"/>
  <c r="B1325" i="34"/>
  <c r="G1324" i="34"/>
  <c r="E1324" i="34"/>
  <c r="B1324" i="34"/>
  <c r="G1323" i="34"/>
  <c r="E1323" i="34"/>
  <c r="B1323" i="34"/>
  <c r="G1322" i="34"/>
  <c r="E1322" i="34"/>
  <c r="B1322" i="34"/>
  <c r="G1321" i="34"/>
  <c r="E1321" i="34"/>
  <c r="B1321" i="34"/>
  <c r="G1320" i="34"/>
  <c r="E1320" i="34"/>
  <c r="B1320" i="34"/>
  <c r="G1319" i="34"/>
  <c r="E1319" i="34"/>
  <c r="B1319" i="34"/>
  <c r="G1318" i="34"/>
  <c r="E1318" i="34"/>
  <c r="H1317" i="34"/>
  <c r="F1313" i="34"/>
  <c r="E1313" i="34"/>
  <c r="B1313" i="34"/>
  <c r="F1312" i="34"/>
  <c r="E1312" i="34"/>
  <c r="B1312" i="34"/>
  <c r="F1311" i="34"/>
  <c r="E1311" i="34"/>
  <c r="B1311" i="34"/>
  <c r="F1310" i="34"/>
  <c r="E1310" i="34"/>
  <c r="B1310" i="34"/>
  <c r="F1309" i="34"/>
  <c r="E1309" i="34"/>
  <c r="B1309" i="34"/>
  <c r="F1308" i="34"/>
  <c r="E1308" i="34"/>
  <c r="B1308" i="34"/>
  <c r="G1307" i="34"/>
  <c r="F1307" i="34"/>
  <c r="E1307" i="34"/>
  <c r="B1307" i="34"/>
  <c r="F1303" i="34"/>
  <c r="E1303" i="34"/>
  <c r="B1303" i="34"/>
  <c r="F1302" i="34"/>
  <c r="E1302" i="34"/>
  <c r="B1302" i="34"/>
  <c r="F1301" i="34"/>
  <c r="E1301" i="34"/>
  <c r="B1301" i="34"/>
  <c r="F1300" i="34"/>
  <c r="E1300" i="34"/>
  <c r="B1300" i="34"/>
  <c r="F1299" i="34"/>
  <c r="E1299" i="34"/>
  <c r="B1299" i="34"/>
  <c r="F1298" i="34"/>
  <c r="E1298" i="34"/>
  <c r="B1298" i="34"/>
  <c r="N1289" i="34"/>
  <c r="M1289" i="34"/>
  <c r="L1289" i="34"/>
  <c r="G1170" i="34"/>
  <c r="E1170" i="34"/>
  <c r="B1170" i="34"/>
  <c r="G1169" i="34"/>
  <c r="E1169" i="34"/>
  <c r="B1169" i="34"/>
  <c r="G1164" i="34"/>
  <c r="E1164" i="34"/>
  <c r="B1164" i="34"/>
  <c r="G1163" i="34"/>
  <c r="E1163" i="34"/>
  <c r="B1163" i="34"/>
  <c r="G1162" i="34"/>
  <c r="E1162" i="34"/>
  <c r="B1162" i="34"/>
  <c r="G1161" i="34"/>
  <c r="E1161" i="34"/>
  <c r="B1161" i="34"/>
  <c r="G1160" i="34"/>
  <c r="E1160" i="34"/>
  <c r="B1160" i="34"/>
  <c r="G1159" i="34"/>
  <c r="E1159" i="34"/>
  <c r="B1159" i="34"/>
  <c r="G1158" i="34"/>
  <c r="E1158" i="34"/>
  <c r="B1158" i="34"/>
  <c r="G1157" i="34"/>
  <c r="E1157" i="34"/>
  <c r="B1157" i="34"/>
  <c r="G1156" i="34"/>
  <c r="E1156" i="34"/>
  <c r="B1156" i="34"/>
  <c r="G1155" i="34"/>
  <c r="E1155" i="34"/>
  <c r="B1155" i="34"/>
  <c r="G1154" i="34"/>
  <c r="E1154" i="34"/>
  <c r="B1154" i="34"/>
  <c r="G1153" i="34"/>
  <c r="E1153" i="34"/>
  <c r="B1153" i="34"/>
  <c r="G1152" i="34"/>
  <c r="E1152" i="34"/>
  <c r="B1152" i="34"/>
  <c r="G1151" i="34"/>
  <c r="E1151" i="34"/>
  <c r="B1151" i="34"/>
  <c r="G1150" i="34"/>
  <c r="E1150" i="34"/>
  <c r="H1149" i="34"/>
  <c r="F1145" i="34"/>
  <c r="E1145" i="34"/>
  <c r="B1145" i="34"/>
  <c r="F1144" i="34"/>
  <c r="E1144" i="34"/>
  <c r="B1144" i="34"/>
  <c r="F1143" i="34"/>
  <c r="E1143" i="34"/>
  <c r="B1143" i="34"/>
  <c r="F1142" i="34"/>
  <c r="E1142" i="34"/>
  <c r="B1142" i="34"/>
  <c r="F1141" i="34"/>
  <c r="E1141" i="34"/>
  <c r="B1141" i="34"/>
  <c r="F1140" i="34"/>
  <c r="E1140" i="34"/>
  <c r="B1140" i="34"/>
  <c r="G1139" i="34"/>
  <c r="F1139" i="34"/>
  <c r="E1139" i="34"/>
  <c r="B1139" i="34"/>
  <c r="F1135" i="34"/>
  <c r="E1135" i="34"/>
  <c r="B1135" i="34"/>
  <c r="F1134" i="34"/>
  <c r="E1134" i="34"/>
  <c r="B1134" i="34"/>
  <c r="F1133" i="34"/>
  <c r="E1133" i="34"/>
  <c r="B1133" i="34"/>
  <c r="F1132" i="34"/>
  <c r="E1132" i="34"/>
  <c r="B1132" i="34"/>
  <c r="F1131" i="34"/>
  <c r="E1131" i="34"/>
  <c r="B1131" i="34"/>
  <c r="F1130" i="34"/>
  <c r="E1130" i="34"/>
  <c r="B1130" i="34"/>
  <c r="N1121" i="34"/>
  <c r="M1121" i="34"/>
  <c r="L1121" i="34"/>
  <c r="G1114" i="34"/>
  <c r="E1114" i="34"/>
  <c r="B1114" i="34"/>
  <c r="G1113" i="34"/>
  <c r="E1113" i="34"/>
  <c r="B1113" i="34"/>
  <c r="G1108" i="34"/>
  <c r="E1108" i="34"/>
  <c r="B1108" i="34"/>
  <c r="G1107" i="34"/>
  <c r="E1107" i="34"/>
  <c r="B1107" i="34"/>
  <c r="G1106" i="34"/>
  <c r="E1106" i="34"/>
  <c r="B1106" i="34"/>
  <c r="G1105" i="34"/>
  <c r="E1105" i="34"/>
  <c r="B1105" i="34"/>
  <c r="G1104" i="34"/>
  <c r="E1104" i="34"/>
  <c r="B1104" i="34"/>
  <c r="G1103" i="34"/>
  <c r="E1103" i="34"/>
  <c r="B1103" i="34"/>
  <c r="G1102" i="34"/>
  <c r="E1102" i="34"/>
  <c r="B1102" i="34"/>
  <c r="G1101" i="34"/>
  <c r="E1101" i="34"/>
  <c r="B1101" i="34"/>
  <c r="G1100" i="34"/>
  <c r="E1100" i="34"/>
  <c r="B1100" i="34"/>
  <c r="G1099" i="34"/>
  <c r="E1099" i="34"/>
  <c r="B1099" i="34"/>
  <c r="G1098" i="34"/>
  <c r="E1098" i="34"/>
  <c r="B1098" i="34"/>
  <c r="G1097" i="34"/>
  <c r="E1097" i="34"/>
  <c r="B1097" i="34"/>
  <c r="G1096" i="34"/>
  <c r="E1096" i="34"/>
  <c r="B1096" i="34"/>
  <c r="G1095" i="34"/>
  <c r="E1095" i="34"/>
  <c r="B1095" i="34"/>
  <c r="G1094" i="34"/>
  <c r="E1094" i="34"/>
  <c r="H1093" i="34"/>
  <c r="F1089" i="34"/>
  <c r="E1089" i="34"/>
  <c r="B1089" i="34"/>
  <c r="F1088" i="34"/>
  <c r="E1088" i="34"/>
  <c r="B1088" i="34"/>
  <c r="F1087" i="34"/>
  <c r="E1087" i="34"/>
  <c r="B1087" i="34"/>
  <c r="F1086" i="34"/>
  <c r="E1086" i="34"/>
  <c r="B1086" i="34"/>
  <c r="F1085" i="34"/>
  <c r="E1085" i="34"/>
  <c r="B1085" i="34"/>
  <c r="F1084" i="34"/>
  <c r="E1084" i="34"/>
  <c r="B1084" i="34"/>
  <c r="G1083" i="34"/>
  <c r="F1083" i="34"/>
  <c r="E1083" i="34"/>
  <c r="B1083" i="34"/>
  <c r="F1079" i="34"/>
  <c r="E1079" i="34"/>
  <c r="B1079" i="34"/>
  <c r="F1078" i="34"/>
  <c r="E1078" i="34"/>
  <c r="B1078" i="34"/>
  <c r="F1077" i="34"/>
  <c r="E1077" i="34"/>
  <c r="B1077" i="34"/>
  <c r="F1076" i="34"/>
  <c r="E1076" i="34"/>
  <c r="B1076" i="34"/>
  <c r="F1075" i="34"/>
  <c r="E1075" i="34"/>
  <c r="B1075" i="34"/>
  <c r="F1074" i="34"/>
  <c r="E1074" i="34"/>
  <c r="B1074" i="34"/>
  <c r="N1065" i="34"/>
  <c r="M1065" i="34"/>
  <c r="L1065" i="34"/>
  <c r="G778" i="34"/>
  <c r="E778" i="34"/>
  <c r="B778" i="34"/>
  <c r="G777" i="34"/>
  <c r="E777" i="34"/>
  <c r="B777" i="34"/>
  <c r="G772" i="34"/>
  <c r="E772" i="34"/>
  <c r="B772" i="34"/>
  <c r="G771" i="34"/>
  <c r="E771" i="34"/>
  <c r="B771" i="34"/>
  <c r="G770" i="34"/>
  <c r="E770" i="34"/>
  <c r="B770" i="34"/>
  <c r="G769" i="34"/>
  <c r="E769" i="34"/>
  <c r="B769" i="34"/>
  <c r="G768" i="34"/>
  <c r="E768" i="34"/>
  <c r="B768" i="34"/>
  <c r="G767" i="34"/>
  <c r="E767" i="34"/>
  <c r="B767" i="34"/>
  <c r="G766" i="34"/>
  <c r="E766" i="34"/>
  <c r="B766" i="34"/>
  <c r="G765" i="34"/>
  <c r="E765" i="34"/>
  <c r="B765" i="34"/>
  <c r="G764" i="34"/>
  <c r="E764" i="34"/>
  <c r="B764" i="34"/>
  <c r="G763" i="34"/>
  <c r="E763" i="34"/>
  <c r="B763" i="34"/>
  <c r="G762" i="34"/>
  <c r="E762" i="34"/>
  <c r="B762" i="34"/>
  <c r="G761" i="34"/>
  <c r="E761" i="34"/>
  <c r="B761" i="34"/>
  <c r="G760" i="34"/>
  <c r="E760" i="34"/>
  <c r="B760" i="34"/>
  <c r="G759" i="34"/>
  <c r="E759" i="34"/>
  <c r="B759" i="34"/>
  <c r="G758" i="34"/>
  <c r="E758" i="34"/>
  <c r="H757" i="34"/>
  <c r="F753" i="34"/>
  <c r="E753" i="34"/>
  <c r="B753" i="34"/>
  <c r="F752" i="34"/>
  <c r="E752" i="34"/>
  <c r="B752" i="34"/>
  <c r="F751" i="34"/>
  <c r="E751" i="34"/>
  <c r="B751" i="34"/>
  <c r="F750" i="34"/>
  <c r="E750" i="34"/>
  <c r="B750" i="34"/>
  <c r="F749" i="34"/>
  <c r="E749" i="34"/>
  <c r="B749" i="34"/>
  <c r="F748" i="34"/>
  <c r="E748" i="34"/>
  <c r="B748" i="34"/>
  <c r="G747" i="34"/>
  <c r="F747" i="34"/>
  <c r="E747" i="34"/>
  <c r="B747" i="34"/>
  <c r="F743" i="34"/>
  <c r="E743" i="34"/>
  <c r="B743" i="34"/>
  <c r="F742" i="34"/>
  <c r="E742" i="34"/>
  <c r="B742" i="34"/>
  <c r="F741" i="34"/>
  <c r="E741" i="34"/>
  <c r="B741" i="34"/>
  <c r="F740" i="34"/>
  <c r="E740" i="34"/>
  <c r="B740" i="34"/>
  <c r="F739" i="34"/>
  <c r="E739" i="34"/>
  <c r="B739" i="34"/>
  <c r="F738" i="34"/>
  <c r="E738" i="34"/>
  <c r="B738" i="34"/>
  <c r="N729" i="34"/>
  <c r="M729" i="34"/>
  <c r="L729" i="34"/>
  <c r="G722" i="34"/>
  <c r="E722" i="34"/>
  <c r="B722" i="34"/>
  <c r="G721" i="34"/>
  <c r="E721" i="34"/>
  <c r="B721" i="34"/>
  <c r="G716" i="34"/>
  <c r="E716" i="34"/>
  <c r="B716" i="34"/>
  <c r="G715" i="34"/>
  <c r="E715" i="34"/>
  <c r="B715" i="34"/>
  <c r="G714" i="34"/>
  <c r="E714" i="34"/>
  <c r="B714" i="34"/>
  <c r="G713" i="34"/>
  <c r="E713" i="34"/>
  <c r="B713" i="34"/>
  <c r="G712" i="34"/>
  <c r="E712" i="34"/>
  <c r="B712" i="34"/>
  <c r="G711" i="34"/>
  <c r="E711" i="34"/>
  <c r="B711" i="34"/>
  <c r="G710" i="34"/>
  <c r="E710" i="34"/>
  <c r="B710" i="34"/>
  <c r="G709" i="34"/>
  <c r="E709" i="34"/>
  <c r="B709" i="34"/>
  <c r="G708" i="34"/>
  <c r="E708" i="34"/>
  <c r="B708" i="34"/>
  <c r="G707" i="34"/>
  <c r="E707" i="34"/>
  <c r="B707" i="34"/>
  <c r="G706" i="34"/>
  <c r="E706" i="34"/>
  <c r="B706" i="34"/>
  <c r="G705" i="34"/>
  <c r="E705" i="34"/>
  <c r="B705" i="34"/>
  <c r="G704" i="34"/>
  <c r="E704" i="34"/>
  <c r="B704" i="34"/>
  <c r="G703" i="34"/>
  <c r="E703" i="34"/>
  <c r="B703" i="34"/>
  <c r="G702" i="34"/>
  <c r="E702" i="34"/>
  <c r="H701" i="34"/>
  <c r="F697" i="34"/>
  <c r="E697" i="34"/>
  <c r="B697" i="34"/>
  <c r="F696" i="34"/>
  <c r="E696" i="34"/>
  <c r="B696" i="34"/>
  <c r="F695" i="34"/>
  <c r="E695" i="34"/>
  <c r="B695" i="34"/>
  <c r="F694" i="34"/>
  <c r="E694" i="34"/>
  <c r="B694" i="34"/>
  <c r="F693" i="34"/>
  <c r="E693" i="34"/>
  <c r="B693" i="34"/>
  <c r="F692" i="34"/>
  <c r="E692" i="34"/>
  <c r="B692" i="34"/>
  <c r="G691" i="34"/>
  <c r="F691" i="34"/>
  <c r="E691" i="34"/>
  <c r="B691" i="34"/>
  <c r="F687" i="34"/>
  <c r="E687" i="34"/>
  <c r="B687" i="34"/>
  <c r="F686" i="34"/>
  <c r="E686" i="34"/>
  <c r="B686" i="34"/>
  <c r="F685" i="34"/>
  <c r="E685" i="34"/>
  <c r="B685" i="34"/>
  <c r="F684" i="34"/>
  <c r="E684" i="34"/>
  <c r="B684" i="34"/>
  <c r="F683" i="34"/>
  <c r="E683" i="34"/>
  <c r="B683" i="34"/>
  <c r="F682" i="34"/>
  <c r="E682" i="34"/>
  <c r="B682" i="34"/>
  <c r="N673" i="34"/>
  <c r="M673" i="34"/>
  <c r="L673" i="34"/>
  <c r="G666" i="34"/>
  <c r="E666" i="34"/>
  <c r="B666" i="34"/>
  <c r="G665" i="34"/>
  <c r="E665" i="34"/>
  <c r="B665" i="34"/>
  <c r="G660" i="34"/>
  <c r="E660" i="34"/>
  <c r="B660" i="34"/>
  <c r="G659" i="34"/>
  <c r="E659" i="34"/>
  <c r="B659" i="34"/>
  <c r="G658" i="34"/>
  <c r="E658" i="34"/>
  <c r="B658" i="34"/>
  <c r="G657" i="34"/>
  <c r="E657" i="34"/>
  <c r="B657" i="34"/>
  <c r="G656" i="34"/>
  <c r="E656" i="34"/>
  <c r="B656" i="34"/>
  <c r="G655" i="34"/>
  <c r="E655" i="34"/>
  <c r="B655" i="34"/>
  <c r="G654" i="34"/>
  <c r="E654" i="34"/>
  <c r="B654" i="34"/>
  <c r="G653" i="34"/>
  <c r="E653" i="34"/>
  <c r="B653" i="34"/>
  <c r="G652" i="34"/>
  <c r="E652" i="34"/>
  <c r="B652" i="34"/>
  <c r="G651" i="34"/>
  <c r="E651" i="34"/>
  <c r="B651" i="34"/>
  <c r="G650" i="34"/>
  <c r="E650" i="34"/>
  <c r="B650" i="34"/>
  <c r="G649" i="34"/>
  <c r="E649" i="34"/>
  <c r="B649" i="34"/>
  <c r="G648" i="34"/>
  <c r="E648" i="34"/>
  <c r="B648" i="34"/>
  <c r="G647" i="34"/>
  <c r="E647" i="34"/>
  <c r="B647" i="34"/>
  <c r="G646" i="34"/>
  <c r="E646" i="34"/>
  <c r="H645" i="34"/>
  <c r="F641" i="34"/>
  <c r="E641" i="34"/>
  <c r="B641" i="34"/>
  <c r="F640" i="34"/>
  <c r="E640" i="34"/>
  <c r="B640" i="34"/>
  <c r="F639" i="34"/>
  <c r="E639" i="34"/>
  <c r="B639" i="34"/>
  <c r="F638" i="34"/>
  <c r="E638" i="34"/>
  <c r="B638" i="34"/>
  <c r="F637" i="34"/>
  <c r="E637" i="34"/>
  <c r="B637" i="34"/>
  <c r="F636" i="34"/>
  <c r="E636" i="34"/>
  <c r="B636" i="34"/>
  <c r="G635" i="34"/>
  <c r="F635" i="34"/>
  <c r="E635" i="34"/>
  <c r="B635" i="34"/>
  <c r="F631" i="34"/>
  <c r="E631" i="34"/>
  <c r="B631" i="34"/>
  <c r="F630" i="34"/>
  <c r="E630" i="34"/>
  <c r="B630" i="34"/>
  <c r="F629" i="34"/>
  <c r="E629" i="34"/>
  <c r="B629" i="34"/>
  <c r="F628" i="34"/>
  <c r="E628" i="34"/>
  <c r="B628" i="34"/>
  <c r="F627" i="34"/>
  <c r="E627" i="34"/>
  <c r="B627" i="34"/>
  <c r="F626" i="34"/>
  <c r="E626" i="34"/>
  <c r="B626" i="34"/>
  <c r="N617" i="34"/>
  <c r="M617" i="34"/>
  <c r="L617" i="34"/>
  <c r="H610" i="34"/>
  <c r="G610" i="34"/>
  <c r="E610" i="34"/>
  <c r="B610" i="34"/>
  <c r="H609" i="34"/>
  <c r="G609" i="34"/>
  <c r="E609" i="34"/>
  <c r="B609" i="34"/>
  <c r="H604" i="34"/>
  <c r="G604" i="34"/>
  <c r="E604" i="34"/>
  <c r="B604" i="34"/>
  <c r="H603" i="34"/>
  <c r="G603" i="34"/>
  <c r="E603" i="34"/>
  <c r="B603" i="34"/>
  <c r="H602" i="34"/>
  <c r="G602" i="34"/>
  <c r="E602" i="34"/>
  <c r="B602" i="34"/>
  <c r="H601" i="34"/>
  <c r="G601" i="34"/>
  <c r="E601" i="34"/>
  <c r="B601" i="34"/>
  <c r="H600" i="34"/>
  <c r="G600" i="34"/>
  <c r="E600" i="34"/>
  <c r="B600" i="34"/>
  <c r="H599" i="34"/>
  <c r="G599" i="34"/>
  <c r="E599" i="34"/>
  <c r="B599" i="34"/>
  <c r="H598" i="34"/>
  <c r="G598" i="34"/>
  <c r="E598" i="34"/>
  <c r="B598" i="34"/>
  <c r="H597" i="34"/>
  <c r="G597" i="34"/>
  <c r="E597" i="34"/>
  <c r="B597" i="34"/>
  <c r="H596" i="34"/>
  <c r="G596" i="34"/>
  <c r="E596" i="34"/>
  <c r="B596" i="34"/>
  <c r="H595" i="34"/>
  <c r="G595" i="34"/>
  <c r="E595" i="34"/>
  <c r="B595" i="34"/>
  <c r="H594" i="34"/>
  <c r="G594" i="34"/>
  <c r="E594" i="34"/>
  <c r="B594" i="34"/>
  <c r="H593" i="34"/>
  <c r="G593" i="34"/>
  <c r="E593" i="34"/>
  <c r="B593" i="34"/>
  <c r="H592" i="34"/>
  <c r="G592" i="34"/>
  <c r="E592" i="34"/>
  <c r="B592" i="34"/>
  <c r="H591" i="34"/>
  <c r="G591" i="34"/>
  <c r="E591" i="34"/>
  <c r="B591" i="34"/>
  <c r="H590" i="34"/>
  <c r="G590" i="34"/>
  <c r="E590" i="34"/>
  <c r="H589" i="34"/>
  <c r="H585" i="34"/>
  <c r="F585" i="34"/>
  <c r="E585" i="34"/>
  <c r="B585" i="34"/>
  <c r="H584" i="34"/>
  <c r="F584" i="34"/>
  <c r="E584" i="34"/>
  <c r="B584" i="34"/>
  <c r="H583" i="34"/>
  <c r="F583" i="34"/>
  <c r="E583" i="34"/>
  <c r="B583" i="34"/>
  <c r="H582" i="34"/>
  <c r="F582" i="34"/>
  <c r="E582" i="34"/>
  <c r="B582" i="34"/>
  <c r="H581" i="34"/>
  <c r="F581" i="34"/>
  <c r="E581" i="34"/>
  <c r="B581" i="34"/>
  <c r="H580" i="34"/>
  <c r="F580" i="34"/>
  <c r="E580" i="34"/>
  <c r="B580" i="34"/>
  <c r="H579" i="34"/>
  <c r="G579" i="34"/>
  <c r="F579" i="34"/>
  <c r="E579" i="34"/>
  <c r="B579" i="34"/>
  <c r="H575" i="34"/>
  <c r="F575" i="34"/>
  <c r="E575" i="34"/>
  <c r="B575" i="34"/>
  <c r="H574" i="34"/>
  <c r="F574" i="34"/>
  <c r="E574" i="34"/>
  <c r="B574" i="34"/>
  <c r="H573" i="34"/>
  <c r="F573" i="34"/>
  <c r="E573" i="34"/>
  <c r="B573" i="34"/>
  <c r="H572" i="34"/>
  <c r="F572" i="34"/>
  <c r="E572" i="34"/>
  <c r="B572" i="34"/>
  <c r="H571" i="34"/>
  <c r="F571" i="34"/>
  <c r="E571" i="34"/>
  <c r="B571" i="34"/>
  <c r="H570" i="34"/>
  <c r="F570" i="34"/>
  <c r="E570" i="34"/>
  <c r="B570" i="34"/>
  <c r="N561" i="34"/>
  <c r="M561" i="34"/>
  <c r="L561" i="34"/>
  <c r="G554" i="34"/>
  <c r="E554" i="34"/>
  <c r="B554" i="34"/>
  <c r="G553" i="34"/>
  <c r="E553" i="34"/>
  <c r="B553" i="34"/>
  <c r="G548" i="34"/>
  <c r="E548" i="34"/>
  <c r="B548" i="34"/>
  <c r="G547" i="34"/>
  <c r="E547" i="34"/>
  <c r="B547" i="34"/>
  <c r="G546" i="34"/>
  <c r="E546" i="34"/>
  <c r="B546" i="34"/>
  <c r="G545" i="34"/>
  <c r="E545" i="34"/>
  <c r="B545" i="34"/>
  <c r="G544" i="34"/>
  <c r="E544" i="34"/>
  <c r="B544" i="34"/>
  <c r="G543" i="34"/>
  <c r="E543" i="34"/>
  <c r="B543" i="34"/>
  <c r="G542" i="34"/>
  <c r="E542" i="34"/>
  <c r="B542" i="34"/>
  <c r="G541" i="34"/>
  <c r="E541" i="34"/>
  <c r="B541" i="34"/>
  <c r="G540" i="34"/>
  <c r="E540" i="34"/>
  <c r="B540" i="34"/>
  <c r="G539" i="34"/>
  <c r="E539" i="34"/>
  <c r="B539" i="34"/>
  <c r="G538" i="34"/>
  <c r="E538" i="34"/>
  <c r="B538" i="34"/>
  <c r="G537" i="34"/>
  <c r="E537" i="34"/>
  <c r="B537" i="34"/>
  <c r="G536" i="34"/>
  <c r="E536" i="34"/>
  <c r="B536" i="34"/>
  <c r="G535" i="34"/>
  <c r="E535" i="34"/>
  <c r="B535" i="34"/>
  <c r="G534" i="34"/>
  <c r="E534" i="34"/>
  <c r="H533" i="34"/>
  <c r="F529" i="34"/>
  <c r="E529" i="34"/>
  <c r="B529" i="34"/>
  <c r="F528" i="34"/>
  <c r="E528" i="34"/>
  <c r="B528" i="34"/>
  <c r="F527" i="34"/>
  <c r="E527" i="34"/>
  <c r="B527" i="34"/>
  <c r="F526" i="34"/>
  <c r="E526" i="34"/>
  <c r="B526" i="34"/>
  <c r="F525" i="34"/>
  <c r="E525" i="34"/>
  <c r="B525" i="34"/>
  <c r="F524" i="34"/>
  <c r="E524" i="34"/>
  <c r="B524" i="34"/>
  <c r="G523" i="34"/>
  <c r="F523" i="34"/>
  <c r="E523" i="34"/>
  <c r="B523" i="34"/>
  <c r="F519" i="34"/>
  <c r="E519" i="34"/>
  <c r="B519" i="34"/>
  <c r="F518" i="34"/>
  <c r="E518" i="34"/>
  <c r="B518" i="34"/>
  <c r="F517" i="34"/>
  <c r="E517" i="34"/>
  <c r="B517" i="34"/>
  <c r="F516" i="34"/>
  <c r="E516" i="34"/>
  <c r="B516" i="34"/>
  <c r="F515" i="34"/>
  <c r="E515" i="34"/>
  <c r="B515" i="34"/>
  <c r="F514" i="34"/>
  <c r="E514" i="34"/>
  <c r="B514" i="34"/>
  <c r="N505" i="34"/>
  <c r="M505" i="34"/>
  <c r="L505" i="34"/>
  <c r="G498" i="34"/>
  <c r="E498" i="34"/>
  <c r="B498" i="34"/>
  <c r="G497" i="34"/>
  <c r="E497" i="34"/>
  <c r="B497" i="34"/>
  <c r="G492" i="34"/>
  <c r="E492" i="34"/>
  <c r="B492" i="34"/>
  <c r="G491" i="34"/>
  <c r="E491" i="34"/>
  <c r="B491" i="34"/>
  <c r="G490" i="34"/>
  <c r="E490" i="34"/>
  <c r="B490" i="34"/>
  <c r="G489" i="34"/>
  <c r="E489" i="34"/>
  <c r="B489" i="34"/>
  <c r="G488" i="34"/>
  <c r="E488" i="34"/>
  <c r="B488" i="34"/>
  <c r="G487" i="34"/>
  <c r="E487" i="34"/>
  <c r="B487" i="34"/>
  <c r="G486" i="34"/>
  <c r="E486" i="34"/>
  <c r="B486" i="34"/>
  <c r="G485" i="34"/>
  <c r="E485" i="34"/>
  <c r="B485" i="34"/>
  <c r="G484" i="34"/>
  <c r="E484" i="34"/>
  <c r="B484" i="34"/>
  <c r="G483" i="34"/>
  <c r="E483" i="34"/>
  <c r="B483" i="34"/>
  <c r="G482" i="34"/>
  <c r="E482" i="34"/>
  <c r="B482" i="34"/>
  <c r="G481" i="34"/>
  <c r="E481" i="34"/>
  <c r="B481" i="34"/>
  <c r="G480" i="34"/>
  <c r="E480" i="34"/>
  <c r="B480" i="34"/>
  <c r="G479" i="34"/>
  <c r="E479" i="34"/>
  <c r="B479" i="34"/>
  <c r="G478" i="34"/>
  <c r="E478" i="34"/>
  <c r="H477" i="34"/>
  <c r="F473" i="34"/>
  <c r="E473" i="34"/>
  <c r="B473" i="34"/>
  <c r="F472" i="34"/>
  <c r="E472" i="34"/>
  <c r="B472" i="34"/>
  <c r="F471" i="34"/>
  <c r="E471" i="34"/>
  <c r="B471" i="34"/>
  <c r="F470" i="34"/>
  <c r="E470" i="34"/>
  <c r="B470" i="34"/>
  <c r="F469" i="34"/>
  <c r="E469" i="34"/>
  <c r="B469" i="34"/>
  <c r="F468" i="34"/>
  <c r="E468" i="34"/>
  <c r="B468" i="34"/>
  <c r="G467" i="34"/>
  <c r="F467" i="34"/>
  <c r="E467" i="34"/>
  <c r="B467" i="34"/>
  <c r="F463" i="34"/>
  <c r="E463" i="34"/>
  <c r="B463" i="34"/>
  <c r="F462" i="34"/>
  <c r="E462" i="34"/>
  <c r="B462" i="34"/>
  <c r="F461" i="34"/>
  <c r="E461" i="34"/>
  <c r="B461" i="34"/>
  <c r="F460" i="34"/>
  <c r="E460" i="34"/>
  <c r="B460" i="34"/>
  <c r="F459" i="34"/>
  <c r="E459" i="34"/>
  <c r="B459" i="34"/>
  <c r="F458" i="34"/>
  <c r="E458" i="34"/>
  <c r="B458" i="34"/>
  <c r="N449" i="34"/>
  <c r="M449" i="34"/>
  <c r="L449" i="34"/>
  <c r="G442" i="34"/>
  <c r="E442" i="34"/>
  <c r="B442" i="34"/>
  <c r="G441" i="34"/>
  <c r="E441" i="34"/>
  <c r="B441" i="34"/>
  <c r="G436" i="34"/>
  <c r="E436" i="34"/>
  <c r="B436" i="34"/>
  <c r="G435" i="34"/>
  <c r="E435" i="34"/>
  <c r="B435" i="34"/>
  <c r="G434" i="34"/>
  <c r="E434" i="34"/>
  <c r="B434" i="34"/>
  <c r="G433" i="34"/>
  <c r="E433" i="34"/>
  <c r="B433" i="34"/>
  <c r="G432" i="34"/>
  <c r="E432" i="34"/>
  <c r="B432" i="34"/>
  <c r="G431" i="34"/>
  <c r="E431" i="34"/>
  <c r="B431" i="34"/>
  <c r="G430" i="34"/>
  <c r="E430" i="34"/>
  <c r="B430" i="34"/>
  <c r="G429" i="34"/>
  <c r="E429" i="34"/>
  <c r="B429" i="34"/>
  <c r="G428" i="34"/>
  <c r="E428" i="34"/>
  <c r="B428" i="34"/>
  <c r="G427" i="34"/>
  <c r="E427" i="34"/>
  <c r="B427" i="34"/>
  <c r="G426" i="34"/>
  <c r="E426" i="34"/>
  <c r="B426" i="34"/>
  <c r="G425" i="34"/>
  <c r="E425" i="34"/>
  <c r="B425" i="34"/>
  <c r="G424" i="34"/>
  <c r="E424" i="34"/>
  <c r="B424" i="34"/>
  <c r="G423" i="34"/>
  <c r="E423" i="34"/>
  <c r="B423" i="34"/>
  <c r="G422" i="34"/>
  <c r="E422" i="34"/>
  <c r="H421" i="34"/>
  <c r="F417" i="34"/>
  <c r="E417" i="34"/>
  <c r="B417" i="34"/>
  <c r="F416" i="34"/>
  <c r="E416" i="34"/>
  <c r="B416" i="34"/>
  <c r="F415" i="34"/>
  <c r="E415" i="34"/>
  <c r="B415" i="34"/>
  <c r="F414" i="34"/>
  <c r="E414" i="34"/>
  <c r="B414" i="34"/>
  <c r="F413" i="34"/>
  <c r="E413" i="34"/>
  <c r="B413" i="34"/>
  <c r="F412" i="34"/>
  <c r="E412" i="34"/>
  <c r="B412" i="34"/>
  <c r="G411" i="34"/>
  <c r="F411" i="34"/>
  <c r="E411" i="34"/>
  <c r="B411" i="34"/>
  <c r="F407" i="34"/>
  <c r="E407" i="34"/>
  <c r="B407" i="34"/>
  <c r="F406" i="34"/>
  <c r="E406" i="34"/>
  <c r="B406" i="34"/>
  <c r="F405" i="34"/>
  <c r="E405" i="34"/>
  <c r="B405" i="34"/>
  <c r="F404" i="34"/>
  <c r="E404" i="34"/>
  <c r="B404" i="34"/>
  <c r="F403" i="34"/>
  <c r="E403" i="34"/>
  <c r="B403" i="34"/>
  <c r="F402" i="34"/>
  <c r="E402" i="34"/>
  <c r="B402" i="34"/>
  <c r="N393" i="34"/>
  <c r="M393" i="34"/>
  <c r="L393" i="34"/>
  <c r="G386" i="34"/>
  <c r="E386" i="34"/>
  <c r="B386" i="34"/>
  <c r="G385" i="34"/>
  <c r="E385" i="34"/>
  <c r="B385" i="34"/>
  <c r="G380" i="34"/>
  <c r="E380" i="34"/>
  <c r="B380" i="34"/>
  <c r="G379" i="34"/>
  <c r="E379" i="34"/>
  <c r="B379" i="34"/>
  <c r="G378" i="34"/>
  <c r="E378" i="34"/>
  <c r="B378" i="34"/>
  <c r="G377" i="34"/>
  <c r="E377" i="34"/>
  <c r="B377" i="34"/>
  <c r="G376" i="34"/>
  <c r="E376" i="34"/>
  <c r="B376" i="34"/>
  <c r="G375" i="34"/>
  <c r="E375" i="34"/>
  <c r="B375" i="34"/>
  <c r="G374" i="34"/>
  <c r="E374" i="34"/>
  <c r="B374" i="34"/>
  <c r="G373" i="34"/>
  <c r="E373" i="34"/>
  <c r="B373" i="34"/>
  <c r="G372" i="34"/>
  <c r="E372" i="34"/>
  <c r="B372" i="34"/>
  <c r="G371" i="34"/>
  <c r="E371" i="34"/>
  <c r="B371" i="34"/>
  <c r="G370" i="34"/>
  <c r="E370" i="34"/>
  <c r="B370" i="34"/>
  <c r="G369" i="34"/>
  <c r="E369" i="34"/>
  <c r="B369" i="34"/>
  <c r="G368" i="34"/>
  <c r="E368" i="34"/>
  <c r="B368" i="34"/>
  <c r="G367" i="34"/>
  <c r="E367" i="34"/>
  <c r="B367" i="34"/>
  <c r="G366" i="34"/>
  <c r="E366" i="34"/>
  <c r="H365" i="34"/>
  <c r="F361" i="34"/>
  <c r="E361" i="34"/>
  <c r="B361" i="34"/>
  <c r="F360" i="34"/>
  <c r="E360" i="34"/>
  <c r="B360" i="34"/>
  <c r="F359" i="34"/>
  <c r="E359" i="34"/>
  <c r="B359" i="34"/>
  <c r="F358" i="34"/>
  <c r="E358" i="34"/>
  <c r="B358" i="34"/>
  <c r="F357" i="34"/>
  <c r="E357" i="34"/>
  <c r="B357" i="34"/>
  <c r="F356" i="34"/>
  <c r="E356" i="34"/>
  <c r="B356" i="34"/>
  <c r="G355" i="34"/>
  <c r="F355" i="34"/>
  <c r="E355" i="34"/>
  <c r="B355" i="34"/>
  <c r="F351" i="34"/>
  <c r="E351" i="34"/>
  <c r="B351" i="34"/>
  <c r="F350" i="34"/>
  <c r="E350" i="34"/>
  <c r="B350" i="34"/>
  <c r="F349" i="34"/>
  <c r="E349" i="34"/>
  <c r="B349" i="34"/>
  <c r="F348" i="34"/>
  <c r="E348" i="34"/>
  <c r="B348" i="34"/>
  <c r="F347" i="34"/>
  <c r="E347" i="34"/>
  <c r="B347" i="34"/>
  <c r="F346" i="34"/>
  <c r="E346" i="34"/>
  <c r="B346" i="34"/>
  <c r="N337" i="34"/>
  <c r="M337" i="34"/>
  <c r="L337" i="34"/>
  <c r="G330" i="34"/>
  <c r="E330" i="34"/>
  <c r="B330" i="34"/>
  <c r="G329" i="34"/>
  <c r="E329" i="34"/>
  <c r="B329" i="34"/>
  <c r="G324" i="34"/>
  <c r="E324" i="34"/>
  <c r="B324" i="34"/>
  <c r="G323" i="34"/>
  <c r="E323" i="34"/>
  <c r="B323" i="34"/>
  <c r="G322" i="34"/>
  <c r="E322" i="34"/>
  <c r="B322" i="34"/>
  <c r="G321" i="34"/>
  <c r="E321" i="34"/>
  <c r="B321" i="34"/>
  <c r="G320" i="34"/>
  <c r="E320" i="34"/>
  <c r="B320" i="34"/>
  <c r="G319" i="34"/>
  <c r="E319" i="34"/>
  <c r="B319" i="34"/>
  <c r="G318" i="34"/>
  <c r="E318" i="34"/>
  <c r="B318" i="34"/>
  <c r="G317" i="34"/>
  <c r="E317" i="34"/>
  <c r="B317" i="34"/>
  <c r="G316" i="34"/>
  <c r="E316" i="34"/>
  <c r="B316" i="34"/>
  <c r="G315" i="34"/>
  <c r="E315" i="34"/>
  <c r="B315" i="34"/>
  <c r="G314" i="34"/>
  <c r="E314" i="34"/>
  <c r="B314" i="34"/>
  <c r="G313" i="34"/>
  <c r="E313" i="34"/>
  <c r="B313" i="34"/>
  <c r="G312" i="34"/>
  <c r="E312" i="34"/>
  <c r="B312" i="34"/>
  <c r="G311" i="34"/>
  <c r="E311" i="34"/>
  <c r="B311" i="34"/>
  <c r="G310" i="34"/>
  <c r="E310" i="34"/>
  <c r="H309" i="34"/>
  <c r="F305" i="34"/>
  <c r="E305" i="34"/>
  <c r="B305" i="34"/>
  <c r="F304" i="34"/>
  <c r="E304" i="34"/>
  <c r="B304" i="34"/>
  <c r="F303" i="34"/>
  <c r="E303" i="34"/>
  <c r="B303" i="34"/>
  <c r="F302" i="34"/>
  <c r="E302" i="34"/>
  <c r="B302" i="34"/>
  <c r="F301" i="34"/>
  <c r="E301" i="34"/>
  <c r="B301" i="34"/>
  <c r="F300" i="34"/>
  <c r="E300" i="34"/>
  <c r="B300" i="34"/>
  <c r="G299" i="34"/>
  <c r="F299" i="34"/>
  <c r="E299" i="34"/>
  <c r="B299" i="34"/>
  <c r="F295" i="34"/>
  <c r="E295" i="34"/>
  <c r="B295" i="34"/>
  <c r="F294" i="34"/>
  <c r="E294" i="34"/>
  <c r="B294" i="34"/>
  <c r="F293" i="34"/>
  <c r="E293" i="34"/>
  <c r="B293" i="34"/>
  <c r="F292" i="34"/>
  <c r="E292" i="34"/>
  <c r="B292" i="34"/>
  <c r="F291" i="34"/>
  <c r="E291" i="34"/>
  <c r="B291" i="34"/>
  <c r="F290" i="34"/>
  <c r="E290" i="34"/>
  <c r="B290" i="34"/>
  <c r="N281" i="34"/>
  <c r="M281" i="34"/>
  <c r="L281" i="34"/>
  <c r="G274" i="34"/>
  <c r="E274" i="34"/>
  <c r="B274" i="34"/>
  <c r="G273" i="34"/>
  <c r="E273" i="34"/>
  <c r="B273" i="34"/>
  <c r="G268" i="34"/>
  <c r="E268" i="34"/>
  <c r="B268" i="34"/>
  <c r="G267" i="34"/>
  <c r="E267" i="34"/>
  <c r="B267" i="34"/>
  <c r="G266" i="34"/>
  <c r="E266" i="34"/>
  <c r="B266" i="34"/>
  <c r="G265" i="34"/>
  <c r="E265" i="34"/>
  <c r="B265" i="34"/>
  <c r="G264" i="34"/>
  <c r="E264" i="34"/>
  <c r="B264" i="34"/>
  <c r="G263" i="34"/>
  <c r="E263" i="34"/>
  <c r="B263" i="34"/>
  <c r="G262" i="34"/>
  <c r="E262" i="34"/>
  <c r="B262" i="34"/>
  <c r="G261" i="34"/>
  <c r="E261" i="34"/>
  <c r="B261" i="34"/>
  <c r="G260" i="34"/>
  <c r="E260" i="34"/>
  <c r="B260" i="34"/>
  <c r="G259" i="34"/>
  <c r="E259" i="34"/>
  <c r="B259" i="34"/>
  <c r="G258" i="34"/>
  <c r="E258" i="34"/>
  <c r="B258" i="34"/>
  <c r="G257" i="34"/>
  <c r="E257" i="34"/>
  <c r="B257" i="34"/>
  <c r="G256" i="34"/>
  <c r="E256" i="34"/>
  <c r="B256" i="34"/>
  <c r="G255" i="34"/>
  <c r="E255" i="34"/>
  <c r="B255" i="34"/>
  <c r="G254" i="34"/>
  <c r="E254" i="34"/>
  <c r="H253" i="34"/>
  <c r="F249" i="34"/>
  <c r="E249" i="34"/>
  <c r="B249" i="34"/>
  <c r="F248" i="34"/>
  <c r="E248" i="34"/>
  <c r="B248" i="34"/>
  <c r="F247" i="34"/>
  <c r="E247" i="34"/>
  <c r="B247" i="34"/>
  <c r="F246" i="34"/>
  <c r="E246" i="34"/>
  <c r="B246" i="34"/>
  <c r="F245" i="34"/>
  <c r="E245" i="34"/>
  <c r="B245" i="34"/>
  <c r="F244" i="34"/>
  <c r="E244" i="34"/>
  <c r="B244" i="34"/>
  <c r="G243" i="34"/>
  <c r="F243" i="34"/>
  <c r="E243" i="34"/>
  <c r="B243" i="34"/>
  <c r="F239" i="34"/>
  <c r="E239" i="34"/>
  <c r="B239" i="34"/>
  <c r="F238" i="34"/>
  <c r="E238" i="34"/>
  <c r="B238" i="34"/>
  <c r="F237" i="34"/>
  <c r="E237" i="34"/>
  <c r="B237" i="34"/>
  <c r="F236" i="34"/>
  <c r="E236" i="34"/>
  <c r="B236" i="34"/>
  <c r="F235" i="34"/>
  <c r="E235" i="34"/>
  <c r="B235" i="34"/>
  <c r="F234" i="34"/>
  <c r="E234" i="34"/>
  <c r="B234" i="34"/>
  <c r="N225" i="34"/>
  <c r="M225" i="34"/>
  <c r="L225" i="34"/>
  <c r="G218" i="34"/>
  <c r="E218" i="34"/>
  <c r="B218" i="34"/>
  <c r="G217" i="34"/>
  <c r="E217" i="34"/>
  <c r="B217" i="34"/>
  <c r="G212" i="34"/>
  <c r="E212" i="34"/>
  <c r="B212" i="34"/>
  <c r="G211" i="34"/>
  <c r="E211" i="34"/>
  <c r="B211" i="34"/>
  <c r="G210" i="34"/>
  <c r="E210" i="34"/>
  <c r="B210" i="34"/>
  <c r="G209" i="34"/>
  <c r="E209" i="34"/>
  <c r="B209" i="34"/>
  <c r="G208" i="34"/>
  <c r="E208" i="34"/>
  <c r="B208" i="34"/>
  <c r="G207" i="34"/>
  <c r="E207" i="34"/>
  <c r="B207" i="34"/>
  <c r="G206" i="34"/>
  <c r="E206" i="34"/>
  <c r="B206" i="34"/>
  <c r="G205" i="34"/>
  <c r="E205" i="34"/>
  <c r="B205" i="34"/>
  <c r="G204" i="34"/>
  <c r="E204" i="34"/>
  <c r="B204" i="34"/>
  <c r="G203" i="34"/>
  <c r="E203" i="34"/>
  <c r="B203" i="34"/>
  <c r="G202" i="34"/>
  <c r="E202" i="34"/>
  <c r="B202" i="34"/>
  <c r="G201" i="34"/>
  <c r="E201" i="34"/>
  <c r="B201" i="34"/>
  <c r="G200" i="34"/>
  <c r="E200" i="34"/>
  <c r="B200" i="34"/>
  <c r="G199" i="34"/>
  <c r="E199" i="34"/>
  <c r="B199" i="34"/>
  <c r="G198" i="34"/>
  <c r="E198" i="34"/>
  <c r="H197" i="34"/>
  <c r="F193" i="34"/>
  <c r="E193" i="34"/>
  <c r="B193" i="34"/>
  <c r="F192" i="34"/>
  <c r="E192" i="34"/>
  <c r="B192" i="34"/>
  <c r="F191" i="34"/>
  <c r="E191" i="34"/>
  <c r="B191" i="34"/>
  <c r="F190" i="34"/>
  <c r="E190" i="34"/>
  <c r="B190" i="34"/>
  <c r="F189" i="34"/>
  <c r="E189" i="34"/>
  <c r="B189" i="34"/>
  <c r="F188" i="34"/>
  <c r="E188" i="34"/>
  <c r="B188" i="34"/>
  <c r="G187" i="34"/>
  <c r="F187" i="34"/>
  <c r="E187" i="34"/>
  <c r="B187" i="34"/>
  <c r="F183" i="34"/>
  <c r="E183" i="34"/>
  <c r="B183" i="34"/>
  <c r="F182" i="34"/>
  <c r="E182" i="34"/>
  <c r="B182" i="34"/>
  <c r="F181" i="34"/>
  <c r="E181" i="34"/>
  <c r="B181" i="34"/>
  <c r="F180" i="34"/>
  <c r="E180" i="34"/>
  <c r="B180" i="34"/>
  <c r="F179" i="34"/>
  <c r="E179" i="34"/>
  <c r="B179" i="34"/>
  <c r="F178" i="34"/>
  <c r="E178" i="34"/>
  <c r="B178" i="34"/>
  <c r="N169" i="34"/>
  <c r="M169" i="34"/>
  <c r="L169" i="34"/>
  <c r="F79" i="34"/>
  <c r="E79" i="34"/>
  <c r="B79" i="34"/>
  <c r="F78" i="34"/>
  <c r="E78" i="34"/>
  <c r="B78" i="34"/>
  <c r="F75" i="34"/>
  <c r="E75" i="34"/>
  <c r="B75" i="34"/>
  <c r="G106" i="34"/>
  <c r="E106" i="34"/>
  <c r="B106" i="34"/>
  <c r="G105" i="34"/>
  <c r="E105" i="34"/>
  <c r="B105" i="34"/>
  <c r="G100" i="34"/>
  <c r="E100" i="34"/>
  <c r="B100" i="34"/>
  <c r="G99" i="34"/>
  <c r="E99" i="34"/>
  <c r="B99" i="34"/>
  <c r="G98" i="34"/>
  <c r="E98" i="34"/>
  <c r="B98" i="34"/>
  <c r="G97" i="34"/>
  <c r="E97" i="34"/>
  <c r="B97" i="34"/>
  <c r="G96" i="34"/>
  <c r="E96" i="34"/>
  <c r="B96" i="34"/>
  <c r="G95" i="34"/>
  <c r="E95" i="34"/>
  <c r="B95" i="34"/>
  <c r="G94" i="34"/>
  <c r="E94" i="34"/>
  <c r="B94" i="34"/>
  <c r="G93" i="34"/>
  <c r="E93" i="34"/>
  <c r="B93" i="34"/>
  <c r="G92" i="34"/>
  <c r="E92" i="34"/>
  <c r="B92" i="34"/>
  <c r="G91" i="34"/>
  <c r="E91" i="34"/>
  <c r="B91" i="34"/>
  <c r="G90" i="34"/>
  <c r="E90" i="34"/>
  <c r="B90" i="34"/>
  <c r="G89" i="34"/>
  <c r="E89" i="34"/>
  <c r="B89" i="34"/>
  <c r="G88" i="34"/>
  <c r="E88" i="34"/>
  <c r="B88" i="34"/>
  <c r="G87" i="34"/>
  <c r="E87" i="34"/>
  <c r="B87" i="34"/>
  <c r="G86" i="34"/>
  <c r="E86" i="34"/>
  <c r="G85" i="34"/>
  <c r="H85" i="34" s="1"/>
  <c r="F81" i="34"/>
  <c r="E81" i="34"/>
  <c r="B81" i="34"/>
  <c r="F80" i="34"/>
  <c r="E80" i="34"/>
  <c r="B80" i="34"/>
  <c r="F71" i="34"/>
  <c r="E71" i="34"/>
  <c r="B71" i="34"/>
  <c r="F70" i="34"/>
  <c r="E70" i="34"/>
  <c r="B70" i="34"/>
  <c r="F69" i="34"/>
  <c r="E69" i="34"/>
  <c r="B69" i="34"/>
  <c r="F68" i="34"/>
  <c r="E68" i="34"/>
  <c r="B68" i="34"/>
  <c r="F67" i="34"/>
  <c r="E67" i="34"/>
  <c r="B67" i="34"/>
  <c r="N57" i="34"/>
  <c r="M57" i="34"/>
  <c r="L57" i="34"/>
  <c r="G386" i="33"/>
  <c r="E386" i="33"/>
  <c r="B386" i="33"/>
  <c r="G385" i="33"/>
  <c r="E385" i="33"/>
  <c r="B385" i="33"/>
  <c r="G380" i="33"/>
  <c r="E380" i="33"/>
  <c r="B380" i="33"/>
  <c r="G379" i="33"/>
  <c r="E379" i="33"/>
  <c r="B379" i="33"/>
  <c r="G378" i="33"/>
  <c r="E378" i="33"/>
  <c r="B378" i="33"/>
  <c r="G377" i="33"/>
  <c r="E377" i="33"/>
  <c r="B377" i="33"/>
  <c r="G376" i="33"/>
  <c r="E376" i="33"/>
  <c r="B376" i="33"/>
  <c r="G375" i="33"/>
  <c r="E375" i="33"/>
  <c r="B375" i="33"/>
  <c r="G374" i="33"/>
  <c r="E374" i="33"/>
  <c r="B374" i="33"/>
  <c r="G373" i="33"/>
  <c r="E373" i="33"/>
  <c r="B373" i="33"/>
  <c r="G372" i="33"/>
  <c r="E372" i="33"/>
  <c r="B372" i="33"/>
  <c r="G371" i="33"/>
  <c r="E371" i="33"/>
  <c r="B371" i="33"/>
  <c r="G370" i="33"/>
  <c r="E370" i="33"/>
  <c r="B370" i="33"/>
  <c r="G369" i="33"/>
  <c r="E369" i="33"/>
  <c r="B369" i="33"/>
  <c r="G368" i="33"/>
  <c r="E368" i="33"/>
  <c r="B368" i="33"/>
  <c r="G367" i="33"/>
  <c r="E367" i="33"/>
  <c r="B367" i="33"/>
  <c r="G366" i="33"/>
  <c r="E366" i="33"/>
  <c r="B366" i="33"/>
  <c r="H365" i="33"/>
  <c r="F361" i="33"/>
  <c r="E361" i="33"/>
  <c r="B361" i="33"/>
  <c r="F360" i="33"/>
  <c r="E360" i="33"/>
  <c r="B360" i="33"/>
  <c r="F359" i="33"/>
  <c r="E359" i="33"/>
  <c r="B359" i="33"/>
  <c r="F358" i="33"/>
  <c r="E358" i="33"/>
  <c r="B358" i="33"/>
  <c r="F357" i="33"/>
  <c r="E357" i="33"/>
  <c r="B357" i="33"/>
  <c r="F356" i="33"/>
  <c r="E356" i="33"/>
  <c r="B356" i="33"/>
  <c r="G355" i="33"/>
  <c r="F355" i="33"/>
  <c r="E355" i="33"/>
  <c r="B355" i="33"/>
  <c r="F351" i="33"/>
  <c r="E351" i="33"/>
  <c r="B351" i="33"/>
  <c r="F350" i="33"/>
  <c r="E350" i="33"/>
  <c r="B350" i="33"/>
  <c r="F349" i="33"/>
  <c r="E349" i="33"/>
  <c r="B349" i="33"/>
  <c r="F348" i="33"/>
  <c r="E348" i="33"/>
  <c r="B348" i="33"/>
  <c r="F347" i="33"/>
  <c r="E347" i="33"/>
  <c r="B347" i="33"/>
  <c r="N337" i="33"/>
  <c r="M337" i="33"/>
  <c r="L337" i="33"/>
  <c r="G330" i="33"/>
  <c r="E330" i="33"/>
  <c r="B330" i="33"/>
  <c r="G329" i="33"/>
  <c r="E329" i="33"/>
  <c r="B329" i="33"/>
  <c r="G324" i="33"/>
  <c r="E324" i="33"/>
  <c r="B324" i="33"/>
  <c r="G323" i="33"/>
  <c r="E323" i="33"/>
  <c r="B323" i="33"/>
  <c r="G322" i="33"/>
  <c r="E322" i="33"/>
  <c r="B322" i="33"/>
  <c r="G321" i="33"/>
  <c r="E321" i="33"/>
  <c r="B321" i="33"/>
  <c r="G320" i="33"/>
  <c r="E320" i="33"/>
  <c r="B320" i="33"/>
  <c r="G319" i="33"/>
  <c r="E319" i="33"/>
  <c r="B319" i="33"/>
  <c r="G318" i="33"/>
  <c r="E318" i="33"/>
  <c r="B318" i="33"/>
  <c r="G317" i="33"/>
  <c r="E317" i="33"/>
  <c r="B317" i="33"/>
  <c r="G316" i="33"/>
  <c r="E316" i="33"/>
  <c r="B316" i="33"/>
  <c r="G315" i="33"/>
  <c r="E315" i="33"/>
  <c r="B315" i="33"/>
  <c r="G314" i="33"/>
  <c r="E314" i="33"/>
  <c r="B314" i="33"/>
  <c r="G313" i="33"/>
  <c r="E313" i="33"/>
  <c r="B313" i="33"/>
  <c r="G312" i="33"/>
  <c r="E312" i="33"/>
  <c r="B312" i="33"/>
  <c r="G311" i="33"/>
  <c r="E311" i="33"/>
  <c r="B311" i="33"/>
  <c r="G310" i="33"/>
  <c r="E310" i="33"/>
  <c r="B310" i="33"/>
  <c r="H309" i="33"/>
  <c r="F305" i="33"/>
  <c r="E305" i="33"/>
  <c r="B305" i="33"/>
  <c r="F304" i="33"/>
  <c r="E304" i="33"/>
  <c r="B304" i="33"/>
  <c r="F303" i="33"/>
  <c r="E303" i="33"/>
  <c r="B303" i="33"/>
  <c r="F302" i="33"/>
  <c r="E302" i="33"/>
  <c r="B302" i="33"/>
  <c r="F301" i="33"/>
  <c r="E301" i="33"/>
  <c r="B301" i="33"/>
  <c r="F300" i="33"/>
  <c r="E300" i="33"/>
  <c r="B300" i="33"/>
  <c r="G299" i="33"/>
  <c r="F299" i="33"/>
  <c r="E299" i="33"/>
  <c r="B299" i="33"/>
  <c r="F295" i="33"/>
  <c r="E295" i="33"/>
  <c r="B295" i="33"/>
  <c r="F294" i="33"/>
  <c r="E294" i="33"/>
  <c r="B294" i="33"/>
  <c r="F293" i="33"/>
  <c r="E293" i="33"/>
  <c r="B293" i="33"/>
  <c r="F292" i="33"/>
  <c r="E292" i="33"/>
  <c r="B292" i="33"/>
  <c r="F291" i="33"/>
  <c r="E291" i="33"/>
  <c r="B291" i="33"/>
  <c r="N281" i="33"/>
  <c r="M281" i="33"/>
  <c r="L281" i="33"/>
  <c r="G274" i="33"/>
  <c r="E274" i="33"/>
  <c r="B274" i="33"/>
  <c r="G273" i="33"/>
  <c r="E273" i="33"/>
  <c r="B273" i="33"/>
  <c r="G268" i="33"/>
  <c r="E268" i="33"/>
  <c r="B268" i="33"/>
  <c r="G267" i="33"/>
  <c r="E267" i="33"/>
  <c r="B267" i="33"/>
  <c r="G266" i="33"/>
  <c r="E266" i="33"/>
  <c r="B266" i="33"/>
  <c r="G265" i="33"/>
  <c r="E265" i="33"/>
  <c r="B265" i="33"/>
  <c r="G264" i="33"/>
  <c r="E264" i="33"/>
  <c r="B264" i="33"/>
  <c r="G263" i="33"/>
  <c r="E263" i="33"/>
  <c r="B263" i="33"/>
  <c r="G262" i="33"/>
  <c r="E262" i="33"/>
  <c r="B262" i="33"/>
  <c r="G261" i="33"/>
  <c r="E261" i="33"/>
  <c r="B261" i="33"/>
  <c r="G260" i="33"/>
  <c r="E260" i="33"/>
  <c r="B260" i="33"/>
  <c r="G259" i="33"/>
  <c r="E259" i="33"/>
  <c r="B259" i="33"/>
  <c r="G258" i="33"/>
  <c r="E258" i="33"/>
  <c r="B258" i="33"/>
  <c r="G257" i="33"/>
  <c r="E257" i="33"/>
  <c r="B257" i="33"/>
  <c r="G256" i="33"/>
  <c r="E256" i="33"/>
  <c r="B256" i="33"/>
  <c r="G255" i="33"/>
  <c r="E255" i="33"/>
  <c r="B255" i="33"/>
  <c r="G254" i="33"/>
  <c r="E254" i="33"/>
  <c r="B254" i="33"/>
  <c r="H253" i="33"/>
  <c r="F249" i="33"/>
  <c r="E249" i="33"/>
  <c r="B249" i="33"/>
  <c r="F248" i="33"/>
  <c r="E248" i="33"/>
  <c r="B248" i="33"/>
  <c r="F247" i="33"/>
  <c r="E247" i="33"/>
  <c r="B247" i="33"/>
  <c r="F246" i="33"/>
  <c r="E246" i="33"/>
  <c r="B246" i="33"/>
  <c r="F245" i="33"/>
  <c r="E245" i="33"/>
  <c r="B245" i="33"/>
  <c r="F244" i="33"/>
  <c r="E244" i="33"/>
  <c r="B244" i="33"/>
  <c r="G243" i="33"/>
  <c r="F243" i="33"/>
  <c r="E243" i="33"/>
  <c r="B243" i="33"/>
  <c r="F239" i="33"/>
  <c r="E239" i="33"/>
  <c r="B239" i="33"/>
  <c r="F238" i="33"/>
  <c r="E238" i="33"/>
  <c r="B238" i="33"/>
  <c r="F237" i="33"/>
  <c r="E237" i="33"/>
  <c r="B237" i="33"/>
  <c r="F236" i="33"/>
  <c r="E236" i="33"/>
  <c r="B236" i="33"/>
  <c r="F235" i="33"/>
  <c r="E235" i="33"/>
  <c r="B235" i="33"/>
  <c r="N225" i="33"/>
  <c r="M225" i="33"/>
  <c r="L225" i="33"/>
  <c r="G646" i="16"/>
  <c r="H646" i="16"/>
  <c r="G590" i="16"/>
  <c r="H590" i="16" s="1"/>
  <c r="G534" i="16"/>
  <c r="G478" i="16"/>
  <c r="H478" i="16" s="1"/>
  <c r="G422" i="16"/>
  <c r="H422" i="16" s="1"/>
  <c r="G366" i="16"/>
  <c r="H366" i="16"/>
  <c r="G310" i="16"/>
  <c r="H310" i="16"/>
  <c r="G254" i="16"/>
  <c r="H254" i="16" s="1"/>
  <c r="G90" i="16"/>
  <c r="H90" i="16"/>
  <c r="G198" i="16"/>
  <c r="H198" i="16" s="1"/>
  <c r="G574" i="29"/>
  <c r="G573" i="29"/>
  <c r="G571" i="29"/>
  <c r="G572" i="29"/>
  <c r="K613" i="29"/>
  <c r="G600" i="29"/>
  <c r="H600" i="29"/>
  <c r="H197" i="21"/>
  <c r="G198" i="21"/>
  <c r="H198" i="21"/>
  <c r="G222" i="21"/>
  <c r="G221" i="21"/>
  <c r="G218" i="21"/>
  <c r="E218" i="21"/>
  <c r="B218" i="21"/>
  <c r="G217" i="21"/>
  <c r="E217" i="21"/>
  <c r="B217" i="21"/>
  <c r="G216" i="21"/>
  <c r="E216" i="21"/>
  <c r="B216" i="21"/>
  <c r="G212" i="21"/>
  <c r="E212" i="21"/>
  <c r="B212" i="21"/>
  <c r="G211" i="21"/>
  <c r="E211" i="21"/>
  <c r="B211" i="21"/>
  <c r="G210" i="21"/>
  <c r="E210" i="21"/>
  <c r="B210" i="21"/>
  <c r="G209" i="21"/>
  <c r="E209" i="21"/>
  <c r="B209" i="21"/>
  <c r="G208" i="21"/>
  <c r="E208" i="21"/>
  <c r="B208" i="21"/>
  <c r="G207" i="21"/>
  <c r="E207" i="21"/>
  <c r="B207" i="21"/>
  <c r="G206" i="21"/>
  <c r="E206" i="21"/>
  <c r="B206" i="21"/>
  <c r="G205" i="21"/>
  <c r="E205" i="21"/>
  <c r="B205" i="21"/>
  <c r="G204" i="21"/>
  <c r="E204" i="21"/>
  <c r="B204" i="21"/>
  <c r="G203" i="21"/>
  <c r="E203" i="21"/>
  <c r="B203" i="21"/>
  <c r="G202" i="21"/>
  <c r="E202" i="21"/>
  <c r="B202" i="21"/>
  <c r="G201" i="21"/>
  <c r="E201" i="21"/>
  <c r="B201" i="21"/>
  <c r="G200" i="21"/>
  <c r="E200" i="21"/>
  <c r="B200" i="21"/>
  <c r="G199" i="21"/>
  <c r="E199" i="21"/>
  <c r="B199" i="21"/>
  <c r="F193" i="21"/>
  <c r="E193" i="21"/>
  <c r="B193" i="21"/>
  <c r="F192" i="21"/>
  <c r="E192" i="21"/>
  <c r="B192" i="21"/>
  <c r="F191" i="21"/>
  <c r="E191" i="21"/>
  <c r="B191" i="21"/>
  <c r="F190" i="21"/>
  <c r="E190" i="21"/>
  <c r="B190" i="21"/>
  <c r="F183" i="21"/>
  <c r="E183" i="21"/>
  <c r="B183" i="21"/>
  <c r="F182" i="21"/>
  <c r="E182" i="21"/>
  <c r="B182" i="21"/>
  <c r="F181" i="21"/>
  <c r="E181" i="21"/>
  <c r="B181" i="21"/>
  <c r="F180" i="21"/>
  <c r="E180" i="21"/>
  <c r="B180" i="21"/>
  <c r="F179" i="21"/>
  <c r="E179" i="21"/>
  <c r="B179" i="21"/>
  <c r="A173" i="21"/>
  <c r="L169" i="21" s="1"/>
  <c r="N169" i="21"/>
  <c r="M169" i="21"/>
  <c r="F485" i="23"/>
  <c r="H485" i="23" s="1"/>
  <c r="F480" i="23"/>
  <c r="F479" i="23"/>
  <c r="F477" i="23"/>
  <c r="H477" i="23"/>
  <c r="F373" i="23"/>
  <c r="F368" i="23"/>
  <c r="F367" i="23"/>
  <c r="F365" i="23"/>
  <c r="H365" i="23"/>
  <c r="G156" i="35"/>
  <c r="E156" i="35"/>
  <c r="B156" i="35"/>
  <c r="G155" i="35"/>
  <c r="E155" i="35"/>
  <c r="B155" i="35"/>
  <c r="G154" i="35"/>
  <c r="E154" i="35"/>
  <c r="B154" i="35"/>
  <c r="G153" i="35"/>
  <c r="E153" i="35"/>
  <c r="B153" i="35"/>
  <c r="G152" i="35"/>
  <c r="E152" i="35"/>
  <c r="B152" i="35"/>
  <c r="G151" i="35"/>
  <c r="E151" i="35"/>
  <c r="B151" i="35"/>
  <c r="G150" i="35"/>
  <c r="E150" i="35"/>
  <c r="B150" i="35"/>
  <c r="G149" i="35"/>
  <c r="E149" i="35"/>
  <c r="B149" i="35"/>
  <c r="G148" i="35"/>
  <c r="E148" i="35"/>
  <c r="B148" i="35"/>
  <c r="G147" i="35"/>
  <c r="E147" i="35"/>
  <c r="B147" i="35"/>
  <c r="G146" i="35"/>
  <c r="E146" i="35"/>
  <c r="B146" i="35"/>
  <c r="G145" i="35"/>
  <c r="E145" i="35"/>
  <c r="B145" i="35"/>
  <c r="G144" i="35"/>
  <c r="E144" i="35"/>
  <c r="B144" i="35"/>
  <c r="G143" i="35"/>
  <c r="E143" i="35"/>
  <c r="B143" i="35"/>
  <c r="G142" i="35"/>
  <c r="E142" i="35"/>
  <c r="B142" i="35"/>
  <c r="G100" i="35"/>
  <c r="E100" i="35"/>
  <c r="B100" i="35"/>
  <c r="G99" i="35"/>
  <c r="E99" i="35"/>
  <c r="B99" i="35"/>
  <c r="G98" i="35"/>
  <c r="E98" i="35"/>
  <c r="B98" i="35"/>
  <c r="G97" i="35"/>
  <c r="E97" i="35"/>
  <c r="B97" i="35"/>
  <c r="G96" i="35"/>
  <c r="E96" i="35"/>
  <c r="B96" i="35"/>
  <c r="G95" i="35"/>
  <c r="E95" i="35"/>
  <c r="B95" i="35"/>
  <c r="G94" i="35"/>
  <c r="E94" i="35"/>
  <c r="B94" i="35"/>
  <c r="G93" i="35"/>
  <c r="E93" i="35"/>
  <c r="B93" i="35"/>
  <c r="G92" i="35"/>
  <c r="E92" i="35"/>
  <c r="B92" i="35"/>
  <c r="G91" i="35"/>
  <c r="E91" i="35"/>
  <c r="B91" i="35"/>
  <c r="G90" i="35"/>
  <c r="E90" i="35"/>
  <c r="B90" i="35"/>
  <c r="G89" i="35"/>
  <c r="E89" i="35"/>
  <c r="B89" i="35"/>
  <c r="G88" i="35"/>
  <c r="E88" i="35"/>
  <c r="B88" i="35"/>
  <c r="G87" i="35"/>
  <c r="E87" i="35"/>
  <c r="B87" i="35"/>
  <c r="G86" i="35"/>
  <c r="E86" i="35"/>
  <c r="B86" i="35"/>
  <c r="G44" i="35"/>
  <c r="E44" i="35"/>
  <c r="B44" i="35"/>
  <c r="G43" i="35"/>
  <c r="E43" i="35"/>
  <c r="B43" i="35"/>
  <c r="G42" i="35"/>
  <c r="E42" i="35"/>
  <c r="B42" i="35"/>
  <c r="G41" i="35"/>
  <c r="E41" i="35"/>
  <c r="B41" i="35"/>
  <c r="G40" i="35"/>
  <c r="E40" i="35"/>
  <c r="B40" i="35"/>
  <c r="G39" i="35"/>
  <c r="E39" i="35"/>
  <c r="B39" i="35"/>
  <c r="G38" i="35"/>
  <c r="E38" i="35"/>
  <c r="B38" i="35"/>
  <c r="G37" i="35"/>
  <c r="E37" i="35"/>
  <c r="B37" i="35"/>
  <c r="G36" i="35"/>
  <c r="E36" i="35"/>
  <c r="B36" i="35"/>
  <c r="G35" i="35"/>
  <c r="E35" i="35"/>
  <c r="B35" i="35"/>
  <c r="G34" i="35"/>
  <c r="E34" i="35"/>
  <c r="B34" i="35"/>
  <c r="G33" i="35"/>
  <c r="E33" i="35"/>
  <c r="B33" i="35"/>
  <c r="G32" i="35"/>
  <c r="E32" i="35"/>
  <c r="B32" i="35"/>
  <c r="G31" i="35"/>
  <c r="E31" i="35"/>
  <c r="B31" i="35"/>
  <c r="G30" i="35"/>
  <c r="E30" i="35"/>
  <c r="B30" i="35"/>
  <c r="B1892" i="34"/>
  <c r="B1891" i="34"/>
  <c r="B1890" i="34"/>
  <c r="B1889" i="34"/>
  <c r="B1888" i="34"/>
  <c r="B1887" i="34"/>
  <c r="G1892" i="34"/>
  <c r="E1892" i="34"/>
  <c r="G1891" i="34"/>
  <c r="E1891" i="34"/>
  <c r="G1890" i="34"/>
  <c r="E1890" i="34"/>
  <c r="G1889" i="34"/>
  <c r="E1889" i="34"/>
  <c r="G1888" i="34"/>
  <c r="E1888" i="34"/>
  <c r="G1887" i="34"/>
  <c r="E1887" i="34"/>
  <c r="B1780" i="34"/>
  <c r="B1779" i="34"/>
  <c r="B1778" i="34"/>
  <c r="B1777" i="34"/>
  <c r="B1776" i="34"/>
  <c r="B1775" i="34"/>
  <c r="B1774" i="34"/>
  <c r="B1773" i="34"/>
  <c r="B1772" i="34"/>
  <c r="B1771" i="34"/>
  <c r="B1770" i="34"/>
  <c r="B1769" i="34"/>
  <c r="B1768" i="34"/>
  <c r="B1767" i="34"/>
  <c r="G1780" i="34"/>
  <c r="E1780" i="34"/>
  <c r="G1779" i="34"/>
  <c r="E1779" i="34"/>
  <c r="G1778" i="34"/>
  <c r="E1778" i="34"/>
  <c r="G1777" i="34"/>
  <c r="E1777" i="34"/>
  <c r="G1776" i="34"/>
  <c r="E1776" i="34"/>
  <c r="G1775" i="34"/>
  <c r="E1775" i="34"/>
  <c r="G1774" i="34"/>
  <c r="E1774" i="34"/>
  <c r="G1773" i="34"/>
  <c r="E1773" i="34"/>
  <c r="G1772" i="34"/>
  <c r="E1772" i="34"/>
  <c r="G1771" i="34"/>
  <c r="E1771" i="34"/>
  <c r="G1770" i="34"/>
  <c r="E1770" i="34"/>
  <c r="G1769" i="34"/>
  <c r="E1769" i="34"/>
  <c r="G1768" i="34"/>
  <c r="E1768" i="34"/>
  <c r="G1767" i="34"/>
  <c r="E1767" i="34"/>
  <c r="G1766" i="34"/>
  <c r="E1766" i="34"/>
  <c r="B2116" i="34"/>
  <c r="B2115" i="34"/>
  <c r="B2114" i="34"/>
  <c r="B2113" i="34"/>
  <c r="B2112" i="34"/>
  <c r="B2111" i="34"/>
  <c r="B2110" i="34"/>
  <c r="B2109" i="34"/>
  <c r="B2108" i="34"/>
  <c r="B2107" i="34"/>
  <c r="B2106" i="34"/>
  <c r="G2116" i="34"/>
  <c r="E2116" i="34"/>
  <c r="G2115" i="34"/>
  <c r="E2115" i="34"/>
  <c r="G2114" i="34"/>
  <c r="E2114" i="34"/>
  <c r="G2113" i="34"/>
  <c r="E2113" i="34"/>
  <c r="G2112" i="34"/>
  <c r="E2112" i="34"/>
  <c r="G2111" i="34"/>
  <c r="E2111" i="34"/>
  <c r="G2110" i="34"/>
  <c r="E2110" i="34"/>
  <c r="G2109" i="34"/>
  <c r="E2109" i="34"/>
  <c r="G2108" i="34"/>
  <c r="E2108" i="34"/>
  <c r="G2107" i="34"/>
  <c r="E2107" i="34"/>
  <c r="G2106" i="34"/>
  <c r="E2106" i="34"/>
  <c r="B2004" i="34"/>
  <c r="B2003" i="34"/>
  <c r="B2002" i="34"/>
  <c r="B2001" i="34"/>
  <c r="B2000" i="34"/>
  <c r="B1999" i="34"/>
  <c r="B1998" i="34"/>
  <c r="B1997" i="34"/>
  <c r="B1996" i="34"/>
  <c r="B1995" i="34"/>
  <c r="B1994" i="34"/>
  <c r="B1993" i="34"/>
  <c r="B1992" i="34"/>
  <c r="B1991" i="34"/>
  <c r="G2004" i="34"/>
  <c r="E2004" i="34"/>
  <c r="G2003" i="34"/>
  <c r="E2003" i="34"/>
  <c r="G2002" i="34"/>
  <c r="E2002" i="34"/>
  <c r="G2001" i="34"/>
  <c r="E2001" i="34"/>
  <c r="G2000" i="34"/>
  <c r="E2000" i="34"/>
  <c r="G1999" i="34"/>
  <c r="E1999" i="34"/>
  <c r="G1998" i="34"/>
  <c r="E1998" i="34"/>
  <c r="G1997" i="34"/>
  <c r="E1997" i="34"/>
  <c r="G1996" i="34"/>
  <c r="E1996" i="34"/>
  <c r="G1995" i="34"/>
  <c r="E1995" i="34"/>
  <c r="G1994" i="34"/>
  <c r="E1994" i="34"/>
  <c r="G1993" i="34"/>
  <c r="E1993" i="34"/>
  <c r="G1992" i="34"/>
  <c r="E1992" i="34"/>
  <c r="G1991" i="34"/>
  <c r="E1991" i="34"/>
  <c r="G1990" i="34"/>
  <c r="E1990" i="34"/>
  <c r="B1612" i="34"/>
  <c r="B1611" i="34"/>
  <c r="B1610" i="34"/>
  <c r="B1609" i="34"/>
  <c r="B1608" i="34"/>
  <c r="B1607" i="34"/>
  <c r="B1606" i="34"/>
  <c r="B1605" i="34"/>
  <c r="B1604" i="34"/>
  <c r="B1603" i="34"/>
  <c r="B1602" i="34"/>
  <c r="B1601" i="34"/>
  <c r="B1600" i="34"/>
  <c r="B1599" i="34"/>
  <c r="G1612" i="34"/>
  <c r="E1612" i="34"/>
  <c r="G1611" i="34"/>
  <c r="E1611" i="34"/>
  <c r="G1610" i="34"/>
  <c r="E1610" i="34"/>
  <c r="G1609" i="34"/>
  <c r="E1609" i="34"/>
  <c r="G1608" i="34"/>
  <c r="E1608" i="34"/>
  <c r="G1607" i="34"/>
  <c r="E1607" i="34"/>
  <c r="G1606" i="34"/>
  <c r="E1606" i="34"/>
  <c r="G1605" i="34"/>
  <c r="E1605" i="34"/>
  <c r="G1604" i="34"/>
  <c r="E1604" i="34"/>
  <c r="G1603" i="34"/>
  <c r="E1603" i="34"/>
  <c r="G1602" i="34"/>
  <c r="E1602" i="34"/>
  <c r="G1601" i="34"/>
  <c r="E1601" i="34"/>
  <c r="G1600" i="34"/>
  <c r="E1600" i="34"/>
  <c r="G1599" i="34"/>
  <c r="E1599" i="34"/>
  <c r="G1598" i="34"/>
  <c r="E1598" i="34"/>
  <c r="B1388" i="34"/>
  <c r="B1387" i="34"/>
  <c r="B1386" i="34"/>
  <c r="B1385" i="34"/>
  <c r="B1384" i="34"/>
  <c r="B1383" i="34"/>
  <c r="B1382" i="34"/>
  <c r="B1381" i="34"/>
  <c r="B1380" i="34"/>
  <c r="B1379" i="34"/>
  <c r="B1378" i="34"/>
  <c r="B1377" i="34"/>
  <c r="B1376" i="34"/>
  <c r="B1375" i="34"/>
  <c r="G1388" i="34"/>
  <c r="E1388" i="34"/>
  <c r="G1387" i="34"/>
  <c r="E1387" i="34"/>
  <c r="G1386" i="34"/>
  <c r="E1386" i="34"/>
  <c r="G1385" i="34"/>
  <c r="E1385" i="34"/>
  <c r="G1384" i="34"/>
  <c r="E1384" i="34"/>
  <c r="G1383" i="34"/>
  <c r="E1383" i="34"/>
  <c r="G1382" i="34"/>
  <c r="E1382" i="34"/>
  <c r="G1381" i="34"/>
  <c r="E1381" i="34"/>
  <c r="G1380" i="34"/>
  <c r="E1380" i="34"/>
  <c r="G1379" i="34"/>
  <c r="E1379" i="34"/>
  <c r="G1378" i="34"/>
  <c r="E1378" i="34"/>
  <c r="G1377" i="34"/>
  <c r="E1377" i="34"/>
  <c r="G1376" i="34"/>
  <c r="E1376" i="34"/>
  <c r="G1375" i="34"/>
  <c r="E1375" i="34"/>
  <c r="G1374" i="34"/>
  <c r="E1374" i="34"/>
  <c r="B1220" i="34"/>
  <c r="B1219" i="34"/>
  <c r="B1218" i="34"/>
  <c r="B1217" i="34"/>
  <c r="B1216" i="34"/>
  <c r="B1215" i="34"/>
  <c r="B1214" i="34"/>
  <c r="B1213" i="34"/>
  <c r="B1212" i="34"/>
  <c r="B1211" i="34"/>
  <c r="B1210" i="34"/>
  <c r="B1209" i="34"/>
  <c r="B1208" i="34"/>
  <c r="B1207" i="34"/>
  <c r="G1220" i="34"/>
  <c r="E1220" i="34"/>
  <c r="G1219" i="34"/>
  <c r="E1219" i="34"/>
  <c r="G1218" i="34"/>
  <c r="E1218" i="34"/>
  <c r="G1217" i="34"/>
  <c r="E1217" i="34"/>
  <c r="G1216" i="34"/>
  <c r="E1216" i="34"/>
  <c r="G1215" i="34"/>
  <c r="E1215" i="34"/>
  <c r="G1214" i="34"/>
  <c r="E1214" i="34"/>
  <c r="G1213" i="34"/>
  <c r="E1213" i="34"/>
  <c r="G1212" i="34"/>
  <c r="E1212" i="34"/>
  <c r="G1211" i="34"/>
  <c r="E1211" i="34"/>
  <c r="G1210" i="34"/>
  <c r="E1210" i="34"/>
  <c r="G1209" i="34"/>
  <c r="E1209" i="34"/>
  <c r="G1208" i="34"/>
  <c r="E1208" i="34"/>
  <c r="G1207" i="34"/>
  <c r="E1207" i="34"/>
  <c r="G1206" i="34"/>
  <c r="E1206" i="34"/>
  <c r="B1276" i="34"/>
  <c r="B1275" i="34"/>
  <c r="B1274" i="34"/>
  <c r="B1273" i="34"/>
  <c r="B1272" i="34"/>
  <c r="B1271" i="34"/>
  <c r="B1270" i="34"/>
  <c r="B1269" i="34"/>
  <c r="B1268" i="34"/>
  <c r="B1267" i="34"/>
  <c r="B1266" i="34"/>
  <c r="B1265" i="34"/>
  <c r="B1264" i="34"/>
  <c r="B1263" i="34"/>
  <c r="G1276" i="34"/>
  <c r="E1276" i="34"/>
  <c r="G1275" i="34"/>
  <c r="E1275" i="34"/>
  <c r="G1274" i="34"/>
  <c r="E1274" i="34"/>
  <c r="G1273" i="34"/>
  <c r="E1273" i="34"/>
  <c r="G1272" i="34"/>
  <c r="E1272" i="34"/>
  <c r="G1271" i="34"/>
  <c r="E1271" i="34"/>
  <c r="G1270" i="34"/>
  <c r="E1270" i="34"/>
  <c r="G1269" i="34"/>
  <c r="E1269" i="34"/>
  <c r="G1268" i="34"/>
  <c r="E1268" i="34"/>
  <c r="G1267" i="34"/>
  <c r="E1267" i="34"/>
  <c r="G1266" i="34"/>
  <c r="E1266" i="34"/>
  <c r="G1265" i="34"/>
  <c r="E1265" i="34"/>
  <c r="G1264" i="34"/>
  <c r="E1264" i="34"/>
  <c r="G1263" i="34"/>
  <c r="E1263" i="34"/>
  <c r="G1262" i="34"/>
  <c r="E1262" i="34"/>
  <c r="B828" i="34"/>
  <c r="B827" i="34"/>
  <c r="B826" i="34"/>
  <c r="B825" i="34"/>
  <c r="B824" i="34"/>
  <c r="B823" i="34"/>
  <c r="B822" i="34"/>
  <c r="B821" i="34"/>
  <c r="B820" i="34"/>
  <c r="B819" i="34"/>
  <c r="B818" i="34"/>
  <c r="B817" i="34"/>
  <c r="B816" i="34"/>
  <c r="B815" i="34"/>
  <c r="G828" i="34"/>
  <c r="E828" i="34"/>
  <c r="G827" i="34"/>
  <c r="E827" i="34"/>
  <c r="G826" i="34"/>
  <c r="E826" i="34"/>
  <c r="G825" i="34"/>
  <c r="E825" i="34"/>
  <c r="G824" i="34"/>
  <c r="E824" i="34"/>
  <c r="G823" i="34"/>
  <c r="E823" i="34"/>
  <c r="G822" i="34"/>
  <c r="E822" i="34"/>
  <c r="G821" i="34"/>
  <c r="E821" i="34"/>
  <c r="G820" i="34"/>
  <c r="E820" i="34"/>
  <c r="G819" i="34"/>
  <c r="E819" i="34"/>
  <c r="G818" i="34"/>
  <c r="E818" i="34"/>
  <c r="G817" i="34"/>
  <c r="E817" i="34"/>
  <c r="G816" i="34"/>
  <c r="E816" i="34"/>
  <c r="G815" i="34"/>
  <c r="E815" i="34"/>
  <c r="G814" i="34"/>
  <c r="E814" i="34"/>
  <c r="B1052" i="34"/>
  <c r="B1051" i="34"/>
  <c r="B1050" i="34"/>
  <c r="B1049" i="34"/>
  <c r="B1048" i="34"/>
  <c r="B1047" i="34"/>
  <c r="B1046" i="34"/>
  <c r="B1045" i="34"/>
  <c r="B1044" i="34"/>
  <c r="B1043" i="34"/>
  <c r="B1042" i="34"/>
  <c r="B1041" i="34"/>
  <c r="B1040" i="34"/>
  <c r="B1039" i="34"/>
  <c r="G1052" i="34"/>
  <c r="E1052" i="34"/>
  <c r="G1051" i="34"/>
  <c r="E1051" i="34"/>
  <c r="G1050" i="34"/>
  <c r="E1050" i="34"/>
  <c r="G1049" i="34"/>
  <c r="E1049" i="34"/>
  <c r="G1048" i="34"/>
  <c r="E1048" i="34"/>
  <c r="G1047" i="34"/>
  <c r="E1047" i="34"/>
  <c r="G1046" i="34"/>
  <c r="E1046" i="34"/>
  <c r="G1045" i="34"/>
  <c r="E1045" i="34"/>
  <c r="G1044" i="34"/>
  <c r="E1044" i="34"/>
  <c r="G1043" i="34"/>
  <c r="E1043" i="34"/>
  <c r="G1042" i="34"/>
  <c r="E1042" i="34"/>
  <c r="G1041" i="34"/>
  <c r="E1041" i="34"/>
  <c r="G1040" i="34"/>
  <c r="E1040" i="34"/>
  <c r="G1039" i="34"/>
  <c r="E1039" i="34"/>
  <c r="G1038" i="34"/>
  <c r="E1038" i="34"/>
  <c r="B996" i="34"/>
  <c r="B995" i="34"/>
  <c r="B994" i="34"/>
  <c r="B993" i="34"/>
  <c r="B992" i="34"/>
  <c r="B991" i="34"/>
  <c r="B990" i="34"/>
  <c r="B989" i="34"/>
  <c r="B988" i="34"/>
  <c r="B987" i="34"/>
  <c r="B986" i="34"/>
  <c r="B985" i="34"/>
  <c r="B984" i="34"/>
  <c r="B983" i="34"/>
  <c r="G996" i="34"/>
  <c r="E996" i="34"/>
  <c r="G995" i="34"/>
  <c r="E995" i="34"/>
  <c r="G994" i="34"/>
  <c r="E994" i="34"/>
  <c r="G993" i="34"/>
  <c r="E993" i="34"/>
  <c r="G992" i="34"/>
  <c r="E992" i="34"/>
  <c r="G991" i="34"/>
  <c r="E991" i="34"/>
  <c r="G990" i="34"/>
  <c r="E990" i="34"/>
  <c r="G989" i="34"/>
  <c r="E989" i="34"/>
  <c r="G988" i="34"/>
  <c r="E988" i="34"/>
  <c r="G987" i="34"/>
  <c r="E987" i="34"/>
  <c r="G986" i="34"/>
  <c r="E986" i="34"/>
  <c r="G985" i="34"/>
  <c r="E985" i="34"/>
  <c r="G984" i="34"/>
  <c r="E984" i="34"/>
  <c r="G983" i="34"/>
  <c r="E983" i="34"/>
  <c r="G982" i="34"/>
  <c r="E982" i="34"/>
  <c r="B940" i="34"/>
  <c r="B939" i="34"/>
  <c r="B938" i="34"/>
  <c r="B937" i="34"/>
  <c r="B936" i="34"/>
  <c r="B935" i="34"/>
  <c r="B934" i="34"/>
  <c r="B933" i="34"/>
  <c r="B932" i="34"/>
  <c r="B931" i="34"/>
  <c r="B930" i="34"/>
  <c r="B929" i="34"/>
  <c r="B928" i="34"/>
  <c r="B927" i="34"/>
  <c r="G940" i="34"/>
  <c r="E940" i="34"/>
  <c r="G939" i="34"/>
  <c r="E939" i="34"/>
  <c r="G938" i="34"/>
  <c r="E938" i="34"/>
  <c r="G937" i="34"/>
  <c r="E937" i="34"/>
  <c r="G936" i="34"/>
  <c r="E936" i="34"/>
  <c r="G935" i="34"/>
  <c r="E935" i="34"/>
  <c r="G934" i="34"/>
  <c r="E934" i="34"/>
  <c r="G933" i="34"/>
  <c r="E933" i="34"/>
  <c r="G932" i="34"/>
  <c r="E932" i="34"/>
  <c r="G931" i="34"/>
  <c r="E931" i="34"/>
  <c r="G930" i="34"/>
  <c r="E930" i="34"/>
  <c r="G929" i="34"/>
  <c r="E929" i="34"/>
  <c r="G928" i="34"/>
  <c r="E928" i="34"/>
  <c r="G927" i="34"/>
  <c r="E927" i="34"/>
  <c r="G926" i="34"/>
  <c r="E926" i="34"/>
  <c r="B884" i="34"/>
  <c r="B883" i="34"/>
  <c r="B882" i="34"/>
  <c r="B881" i="34"/>
  <c r="B880" i="34"/>
  <c r="B879" i="34"/>
  <c r="B878" i="34"/>
  <c r="B877" i="34"/>
  <c r="B876" i="34"/>
  <c r="B875" i="34"/>
  <c r="B874" i="34"/>
  <c r="B873" i="34"/>
  <c r="B872" i="34"/>
  <c r="B871" i="34"/>
  <c r="G884" i="34"/>
  <c r="E884" i="34"/>
  <c r="G883" i="34"/>
  <c r="E883" i="34"/>
  <c r="G882" i="34"/>
  <c r="E882" i="34"/>
  <c r="G881" i="34"/>
  <c r="E881" i="34"/>
  <c r="G880" i="34"/>
  <c r="E880" i="34"/>
  <c r="G879" i="34"/>
  <c r="E879" i="34"/>
  <c r="G878" i="34"/>
  <c r="E878" i="34"/>
  <c r="G877" i="34"/>
  <c r="E877" i="34"/>
  <c r="G876" i="34"/>
  <c r="E876" i="34"/>
  <c r="G875" i="34"/>
  <c r="E875" i="34"/>
  <c r="G874" i="34"/>
  <c r="E874" i="34"/>
  <c r="G873" i="34"/>
  <c r="E873" i="34"/>
  <c r="G872" i="34"/>
  <c r="E872" i="34"/>
  <c r="G871" i="34"/>
  <c r="E871" i="34"/>
  <c r="G870" i="34"/>
  <c r="E870" i="34"/>
  <c r="B156" i="34"/>
  <c r="B155" i="34"/>
  <c r="B154" i="34"/>
  <c r="B153" i="34"/>
  <c r="B152" i="34"/>
  <c r="B151" i="34"/>
  <c r="B150" i="34"/>
  <c r="B149" i="34"/>
  <c r="B148" i="34"/>
  <c r="B147" i="34"/>
  <c r="B146" i="34"/>
  <c r="B145" i="34"/>
  <c r="B144" i="34"/>
  <c r="B143" i="34"/>
  <c r="G156" i="34"/>
  <c r="E156" i="34"/>
  <c r="G155" i="34"/>
  <c r="E155" i="34"/>
  <c r="G154" i="34"/>
  <c r="E154" i="34"/>
  <c r="G153" i="34"/>
  <c r="E153" i="34"/>
  <c r="G152" i="34"/>
  <c r="E152" i="34"/>
  <c r="G151" i="34"/>
  <c r="E151" i="34"/>
  <c r="G150" i="34"/>
  <c r="E150" i="34"/>
  <c r="G149" i="34"/>
  <c r="E149" i="34"/>
  <c r="G148" i="34"/>
  <c r="E148" i="34"/>
  <c r="G147" i="34"/>
  <c r="E147" i="34"/>
  <c r="G146" i="34"/>
  <c r="E146" i="34"/>
  <c r="G145" i="34"/>
  <c r="E145" i="34"/>
  <c r="G144" i="34"/>
  <c r="E144" i="34"/>
  <c r="G143" i="34"/>
  <c r="E143" i="34"/>
  <c r="G142" i="34"/>
  <c r="E142" i="34"/>
  <c r="B44" i="34"/>
  <c r="B43" i="34"/>
  <c r="B42" i="34"/>
  <c r="B41" i="34"/>
  <c r="B40" i="34"/>
  <c r="B39" i="34"/>
  <c r="B38" i="34"/>
  <c r="B37" i="34"/>
  <c r="B36" i="34"/>
  <c r="B35" i="34"/>
  <c r="B34" i="34"/>
  <c r="B33" i="34"/>
  <c r="B32" i="34"/>
  <c r="B31" i="34"/>
  <c r="G44" i="34"/>
  <c r="E44" i="34"/>
  <c r="G43" i="34"/>
  <c r="E43" i="34"/>
  <c r="G42" i="34"/>
  <c r="E42" i="34"/>
  <c r="G41" i="34"/>
  <c r="E41" i="34"/>
  <c r="G40" i="34"/>
  <c r="E40" i="34"/>
  <c r="G39" i="34"/>
  <c r="E39" i="34"/>
  <c r="G38" i="34"/>
  <c r="E38" i="34"/>
  <c r="G37" i="34"/>
  <c r="E37" i="34"/>
  <c r="G36" i="34"/>
  <c r="E36" i="34"/>
  <c r="G35" i="34"/>
  <c r="E35" i="34"/>
  <c r="G34" i="34"/>
  <c r="E34" i="34"/>
  <c r="G33" i="34"/>
  <c r="E33" i="34"/>
  <c r="G32" i="34"/>
  <c r="E32" i="34"/>
  <c r="G31" i="34"/>
  <c r="E31" i="34"/>
  <c r="G30" i="34"/>
  <c r="E30" i="34"/>
  <c r="G212" i="33"/>
  <c r="E212" i="33"/>
  <c r="B212" i="33"/>
  <c r="G211" i="33"/>
  <c r="E211" i="33"/>
  <c r="B211" i="33"/>
  <c r="G210" i="33"/>
  <c r="E210" i="33"/>
  <c r="B210" i="33"/>
  <c r="G209" i="33"/>
  <c r="E209" i="33"/>
  <c r="B209" i="33"/>
  <c r="G208" i="33"/>
  <c r="E208" i="33"/>
  <c r="B208" i="33"/>
  <c r="G207" i="33"/>
  <c r="E207" i="33"/>
  <c r="B207" i="33"/>
  <c r="G206" i="33"/>
  <c r="E206" i="33"/>
  <c r="B206" i="33"/>
  <c r="G205" i="33"/>
  <c r="E205" i="33"/>
  <c r="B205" i="33"/>
  <c r="G204" i="33"/>
  <c r="E204" i="33"/>
  <c r="B204" i="33"/>
  <c r="G203" i="33"/>
  <c r="E203" i="33"/>
  <c r="B203" i="33"/>
  <c r="G202" i="33"/>
  <c r="E202" i="33"/>
  <c r="B202" i="33"/>
  <c r="G201" i="33"/>
  <c r="E201" i="33"/>
  <c r="B201" i="33"/>
  <c r="G200" i="33"/>
  <c r="E200" i="33"/>
  <c r="B200" i="33"/>
  <c r="G199" i="33"/>
  <c r="E199" i="33"/>
  <c r="B199" i="33"/>
  <c r="G198" i="33"/>
  <c r="E198" i="33"/>
  <c r="B198" i="33"/>
  <c r="G156" i="33"/>
  <c r="E156" i="33"/>
  <c r="B156" i="33"/>
  <c r="G155" i="33"/>
  <c r="E155" i="33"/>
  <c r="B155" i="33"/>
  <c r="G154" i="33"/>
  <c r="E154" i="33"/>
  <c r="B154" i="33"/>
  <c r="G153" i="33"/>
  <c r="E153" i="33"/>
  <c r="B153" i="33"/>
  <c r="G152" i="33"/>
  <c r="E152" i="33"/>
  <c r="B152" i="33"/>
  <c r="G151" i="33"/>
  <c r="E151" i="33"/>
  <c r="B151" i="33"/>
  <c r="G150" i="33"/>
  <c r="E150" i="33"/>
  <c r="B150" i="33"/>
  <c r="G149" i="33"/>
  <c r="E149" i="33"/>
  <c r="B149" i="33"/>
  <c r="G148" i="33"/>
  <c r="E148" i="33"/>
  <c r="B148" i="33"/>
  <c r="G147" i="33"/>
  <c r="E147" i="33"/>
  <c r="B147" i="33"/>
  <c r="G146" i="33"/>
  <c r="E146" i="33"/>
  <c r="B146" i="33"/>
  <c r="G145" i="33"/>
  <c r="E145" i="33"/>
  <c r="B145" i="33"/>
  <c r="G144" i="33"/>
  <c r="E144" i="33"/>
  <c r="B144" i="33"/>
  <c r="G143" i="33"/>
  <c r="E143" i="33"/>
  <c r="B143" i="33"/>
  <c r="G142" i="33"/>
  <c r="E142" i="33"/>
  <c r="B142" i="33"/>
  <c r="G100" i="33"/>
  <c r="E100" i="33"/>
  <c r="B100" i="33"/>
  <c r="G99" i="33"/>
  <c r="E99" i="33"/>
  <c r="B99" i="33"/>
  <c r="G98" i="33"/>
  <c r="E98" i="33"/>
  <c r="B98" i="33"/>
  <c r="G97" i="33"/>
  <c r="E97" i="33"/>
  <c r="B97" i="33"/>
  <c r="G96" i="33"/>
  <c r="E96" i="33"/>
  <c r="B96" i="33"/>
  <c r="G95" i="33"/>
  <c r="E95" i="33"/>
  <c r="B95" i="33"/>
  <c r="G94" i="33"/>
  <c r="E94" i="33"/>
  <c r="B94" i="33"/>
  <c r="G93" i="33"/>
  <c r="E93" i="33"/>
  <c r="B93" i="33"/>
  <c r="G92" i="33"/>
  <c r="E92" i="33"/>
  <c r="B92" i="33"/>
  <c r="G91" i="33"/>
  <c r="E91" i="33"/>
  <c r="B91" i="33"/>
  <c r="G90" i="33"/>
  <c r="E90" i="33"/>
  <c r="B90" i="33"/>
  <c r="G89" i="33"/>
  <c r="E89" i="33"/>
  <c r="B89" i="33"/>
  <c r="G88" i="33"/>
  <c r="E88" i="33"/>
  <c r="B88" i="33"/>
  <c r="G87" i="33"/>
  <c r="E87" i="33"/>
  <c r="B87" i="33"/>
  <c r="G86" i="33"/>
  <c r="E86" i="33"/>
  <c r="B86" i="33"/>
  <c r="G44" i="33"/>
  <c r="E44" i="33"/>
  <c r="B44" i="33"/>
  <c r="G43" i="33"/>
  <c r="E43" i="33"/>
  <c r="B43" i="33"/>
  <c r="G42" i="33"/>
  <c r="E42" i="33"/>
  <c r="B42" i="33"/>
  <c r="G41" i="33"/>
  <c r="E41" i="33"/>
  <c r="B41" i="33"/>
  <c r="G40" i="33"/>
  <c r="E40" i="33"/>
  <c r="B40" i="33"/>
  <c r="G39" i="33"/>
  <c r="E39" i="33"/>
  <c r="B39" i="33"/>
  <c r="G38" i="33"/>
  <c r="E38" i="33"/>
  <c r="B38" i="33"/>
  <c r="G37" i="33"/>
  <c r="E37" i="33"/>
  <c r="B37" i="33"/>
  <c r="G36" i="33"/>
  <c r="E36" i="33"/>
  <c r="B36" i="33"/>
  <c r="G35" i="33"/>
  <c r="E35" i="33"/>
  <c r="B35" i="33"/>
  <c r="G34" i="33"/>
  <c r="E34" i="33"/>
  <c r="B34" i="33"/>
  <c r="G33" i="33"/>
  <c r="E33" i="33"/>
  <c r="B33" i="33"/>
  <c r="G32" i="33"/>
  <c r="E32" i="33"/>
  <c r="B32" i="33"/>
  <c r="G31" i="33"/>
  <c r="E31" i="33"/>
  <c r="B31" i="33"/>
  <c r="G30" i="33"/>
  <c r="E30" i="33"/>
  <c r="B30" i="33"/>
  <c r="E137" i="35"/>
  <c r="B137" i="35"/>
  <c r="E136" i="35"/>
  <c r="B136" i="35"/>
  <c r="E135" i="35"/>
  <c r="B135" i="35"/>
  <c r="E134" i="35"/>
  <c r="B134" i="35"/>
  <c r="E131" i="35"/>
  <c r="B131" i="35"/>
  <c r="E81" i="35"/>
  <c r="B81" i="35"/>
  <c r="E80" i="35"/>
  <c r="B80" i="35"/>
  <c r="E79" i="35"/>
  <c r="B79" i="35"/>
  <c r="E78" i="35"/>
  <c r="B78" i="35"/>
  <c r="E75" i="35"/>
  <c r="B75" i="35"/>
  <c r="E25" i="35"/>
  <c r="B25" i="35"/>
  <c r="E24" i="35"/>
  <c r="B24" i="35"/>
  <c r="E23" i="35"/>
  <c r="B23" i="35"/>
  <c r="E22" i="35"/>
  <c r="B22" i="35"/>
  <c r="E19" i="35"/>
  <c r="B19" i="35"/>
  <c r="E1761" i="34"/>
  <c r="B1761" i="34"/>
  <c r="E1760" i="34"/>
  <c r="B1760" i="34"/>
  <c r="E1759" i="34"/>
  <c r="B1759" i="34"/>
  <c r="E1758" i="34"/>
  <c r="B1758" i="34"/>
  <c r="E1757" i="34"/>
  <c r="B1757" i="34"/>
  <c r="E1756" i="34"/>
  <c r="B1756" i="34"/>
  <c r="E1755" i="34"/>
  <c r="B1755" i="34"/>
  <c r="E2097" i="34"/>
  <c r="B2097" i="34"/>
  <c r="E1985" i="34"/>
  <c r="B1985" i="34"/>
  <c r="E1984" i="34"/>
  <c r="B1984" i="34"/>
  <c r="E1983" i="34"/>
  <c r="B1983" i="34"/>
  <c r="E1982" i="34"/>
  <c r="B1982" i="34"/>
  <c r="E1981" i="34"/>
  <c r="B1981" i="34"/>
  <c r="E1980" i="34"/>
  <c r="B1980" i="34"/>
  <c r="E1979" i="34"/>
  <c r="B1979" i="34"/>
  <c r="E1593" i="34"/>
  <c r="B1593" i="34"/>
  <c r="E1592" i="34"/>
  <c r="B1592" i="34"/>
  <c r="E1591" i="34"/>
  <c r="B1591" i="34"/>
  <c r="E1590" i="34"/>
  <c r="B1590" i="34"/>
  <c r="E1589" i="34"/>
  <c r="B1589" i="34"/>
  <c r="E1588" i="34"/>
  <c r="B1588" i="34"/>
  <c r="E1587" i="34"/>
  <c r="B1587" i="34"/>
  <c r="E1369" i="34"/>
  <c r="B1369" i="34"/>
  <c r="E1368" i="34"/>
  <c r="B1368" i="34"/>
  <c r="E1367" i="34"/>
  <c r="B1367" i="34"/>
  <c r="E1366" i="34"/>
  <c r="B1366" i="34"/>
  <c r="E1365" i="34"/>
  <c r="B1365" i="34"/>
  <c r="E1364" i="34"/>
  <c r="B1364" i="34"/>
  <c r="H1363" i="34"/>
  <c r="E1363" i="34"/>
  <c r="B1363" i="34"/>
  <c r="E1201" i="34"/>
  <c r="B1201" i="34"/>
  <c r="E1200" i="34"/>
  <c r="B1200" i="34"/>
  <c r="E1199" i="34"/>
  <c r="B1199" i="34"/>
  <c r="E1198" i="34"/>
  <c r="B1198" i="34"/>
  <c r="E1197" i="34"/>
  <c r="B1197" i="34"/>
  <c r="E1196" i="34"/>
  <c r="B1196" i="34"/>
  <c r="E1195" i="34"/>
  <c r="B1195" i="34"/>
  <c r="E1257" i="34"/>
  <c r="B1257" i="34"/>
  <c r="E1256" i="34"/>
  <c r="B1256" i="34"/>
  <c r="E1255" i="34"/>
  <c r="B1255" i="34"/>
  <c r="E1254" i="34"/>
  <c r="B1254" i="34"/>
  <c r="E1253" i="34"/>
  <c r="B1253" i="34"/>
  <c r="E1252" i="34"/>
  <c r="B1252" i="34"/>
  <c r="E1251" i="34"/>
  <c r="B1251" i="34"/>
  <c r="E809" i="34"/>
  <c r="B809" i="34"/>
  <c r="E808" i="34"/>
  <c r="B808" i="34"/>
  <c r="E807" i="34"/>
  <c r="B807" i="34"/>
  <c r="E806" i="34"/>
  <c r="B806" i="34"/>
  <c r="E805" i="34"/>
  <c r="B805" i="34"/>
  <c r="E804" i="34"/>
  <c r="B804" i="34"/>
  <c r="E803" i="34"/>
  <c r="B803" i="34"/>
  <c r="E1033" i="34"/>
  <c r="B1033" i="34"/>
  <c r="E1032" i="34"/>
  <c r="B1032" i="34"/>
  <c r="E1031" i="34"/>
  <c r="B1031" i="34"/>
  <c r="E1030" i="34"/>
  <c r="B1030" i="34"/>
  <c r="E1029" i="34"/>
  <c r="B1029" i="34"/>
  <c r="E1028" i="34"/>
  <c r="B1028" i="34"/>
  <c r="E1027" i="34"/>
  <c r="B1027" i="34"/>
  <c r="E977" i="34"/>
  <c r="B977" i="34"/>
  <c r="E976" i="34"/>
  <c r="B976" i="34"/>
  <c r="E975" i="34"/>
  <c r="B975" i="34"/>
  <c r="E974" i="34"/>
  <c r="B974" i="34"/>
  <c r="E973" i="34"/>
  <c r="B973" i="34"/>
  <c r="E972" i="34"/>
  <c r="B972" i="34"/>
  <c r="E971" i="34"/>
  <c r="B971" i="34"/>
  <c r="E921" i="34"/>
  <c r="B921" i="34"/>
  <c r="E920" i="34"/>
  <c r="B920" i="34"/>
  <c r="E919" i="34"/>
  <c r="B919" i="34"/>
  <c r="E918" i="34"/>
  <c r="B918" i="34"/>
  <c r="E917" i="34"/>
  <c r="B917" i="34"/>
  <c r="E916" i="34"/>
  <c r="B916" i="34"/>
  <c r="E915" i="34"/>
  <c r="B915" i="34"/>
  <c r="E865" i="34"/>
  <c r="B865" i="34"/>
  <c r="E864" i="34"/>
  <c r="B864" i="34"/>
  <c r="E863" i="34"/>
  <c r="B863" i="34"/>
  <c r="E862" i="34"/>
  <c r="B862" i="34"/>
  <c r="E861" i="34"/>
  <c r="B861" i="34"/>
  <c r="E860" i="34"/>
  <c r="B860" i="34"/>
  <c r="E859" i="34"/>
  <c r="B859" i="34"/>
  <c r="E137" i="34"/>
  <c r="B137" i="34"/>
  <c r="E136" i="34"/>
  <c r="B136" i="34"/>
  <c r="E135" i="34"/>
  <c r="B135" i="34"/>
  <c r="E134" i="34"/>
  <c r="B134" i="34"/>
  <c r="E133" i="34"/>
  <c r="B133" i="34"/>
  <c r="E132" i="34"/>
  <c r="B132" i="34"/>
  <c r="E131" i="34"/>
  <c r="B131" i="34"/>
  <c r="E25" i="34"/>
  <c r="B25" i="34"/>
  <c r="E24" i="34"/>
  <c r="B24" i="34"/>
  <c r="E23" i="34"/>
  <c r="B23" i="34"/>
  <c r="E22" i="34"/>
  <c r="B22" i="34"/>
  <c r="H19" i="34"/>
  <c r="E19" i="34"/>
  <c r="B19" i="34"/>
  <c r="E193" i="33"/>
  <c r="B193" i="33"/>
  <c r="E192" i="33"/>
  <c r="B192" i="33"/>
  <c r="E191" i="33"/>
  <c r="B191" i="33"/>
  <c r="E190" i="33"/>
  <c r="B190" i="33"/>
  <c r="E189" i="33"/>
  <c r="B189" i="33"/>
  <c r="E188" i="33"/>
  <c r="B188" i="33"/>
  <c r="E187" i="33"/>
  <c r="B187" i="33"/>
  <c r="E137" i="33"/>
  <c r="B137" i="33"/>
  <c r="E136" i="33"/>
  <c r="B136" i="33"/>
  <c r="E135" i="33"/>
  <c r="B135" i="33"/>
  <c r="E134" i="33"/>
  <c r="B134" i="33"/>
  <c r="E133" i="33"/>
  <c r="B133" i="33"/>
  <c r="E132" i="33"/>
  <c r="B132" i="33"/>
  <c r="E131" i="33"/>
  <c r="B131" i="33"/>
  <c r="E81" i="33"/>
  <c r="B81" i="33"/>
  <c r="E80" i="33"/>
  <c r="B80" i="33"/>
  <c r="E79" i="33"/>
  <c r="B79" i="33"/>
  <c r="E78" i="33"/>
  <c r="B78" i="33"/>
  <c r="E77" i="33"/>
  <c r="B77" i="33"/>
  <c r="E76" i="33"/>
  <c r="B76" i="33"/>
  <c r="E75" i="33"/>
  <c r="B75" i="33"/>
  <c r="E25" i="33"/>
  <c r="B25" i="33"/>
  <c r="E24" i="33"/>
  <c r="B24" i="33"/>
  <c r="E23" i="33"/>
  <c r="B23" i="33"/>
  <c r="E22" i="33"/>
  <c r="B22" i="33"/>
  <c r="E21" i="33"/>
  <c r="B21" i="33"/>
  <c r="E20" i="33"/>
  <c r="B20" i="33"/>
  <c r="E19" i="33"/>
  <c r="B19" i="33"/>
  <c r="G162" i="35"/>
  <c r="E162" i="35"/>
  <c r="B162" i="35"/>
  <c r="G161" i="35"/>
  <c r="E161" i="35"/>
  <c r="B161" i="35"/>
  <c r="G160" i="35"/>
  <c r="E160" i="35"/>
  <c r="B160" i="35"/>
  <c r="E127" i="35"/>
  <c r="B127" i="35"/>
  <c r="E126" i="35"/>
  <c r="B126" i="35"/>
  <c r="E125" i="35"/>
  <c r="B125" i="35"/>
  <c r="E124" i="35"/>
  <c r="B124" i="35"/>
  <c r="E123" i="35"/>
  <c r="B123" i="35"/>
  <c r="G106" i="35"/>
  <c r="E106" i="35"/>
  <c r="B106" i="35"/>
  <c r="G105" i="35"/>
  <c r="E105" i="35"/>
  <c r="B105" i="35"/>
  <c r="E71" i="35"/>
  <c r="B71" i="35"/>
  <c r="E70" i="35"/>
  <c r="B70" i="35"/>
  <c r="E69" i="35"/>
  <c r="B69" i="35"/>
  <c r="E68" i="35"/>
  <c r="B68" i="35"/>
  <c r="E67" i="35"/>
  <c r="B67" i="35"/>
  <c r="G50" i="35"/>
  <c r="E50" i="35"/>
  <c r="B50" i="35"/>
  <c r="G49" i="35"/>
  <c r="E49" i="35"/>
  <c r="B49" i="35"/>
  <c r="G48" i="35"/>
  <c r="E48" i="35"/>
  <c r="B48" i="35"/>
  <c r="E15" i="35"/>
  <c r="B15" i="35"/>
  <c r="E14" i="35"/>
  <c r="B14" i="35"/>
  <c r="E13" i="35"/>
  <c r="B13" i="35"/>
  <c r="E12" i="35"/>
  <c r="B12" i="35"/>
  <c r="E11" i="35"/>
  <c r="B11" i="35"/>
  <c r="G1898" i="34"/>
  <c r="E1898" i="34"/>
  <c r="B1898" i="34"/>
  <c r="G1897" i="34"/>
  <c r="E1897" i="34"/>
  <c r="B1897" i="34"/>
  <c r="G1786" i="34"/>
  <c r="E1786" i="34"/>
  <c r="B1786" i="34"/>
  <c r="G1785" i="34"/>
  <c r="E1785" i="34"/>
  <c r="B1785" i="34"/>
  <c r="E1751" i="34"/>
  <c r="B1751" i="34"/>
  <c r="E1750" i="34"/>
  <c r="B1750" i="34"/>
  <c r="E1749" i="34"/>
  <c r="B1749" i="34"/>
  <c r="E1748" i="34"/>
  <c r="B1748" i="34"/>
  <c r="E1747" i="34"/>
  <c r="B1747" i="34"/>
  <c r="E1746" i="34"/>
  <c r="B1746" i="34"/>
  <c r="G2122" i="34"/>
  <c r="E2122" i="34"/>
  <c r="B2122" i="34"/>
  <c r="G2121" i="34"/>
  <c r="E2121" i="34"/>
  <c r="B2121" i="34"/>
  <c r="E2087" i="34"/>
  <c r="B2087" i="34"/>
  <c r="E2086" i="34"/>
  <c r="B2086" i="34"/>
  <c r="E2085" i="34"/>
  <c r="B2085" i="34"/>
  <c r="G2010" i="34"/>
  <c r="E2010" i="34"/>
  <c r="B2010" i="34"/>
  <c r="G2009" i="34"/>
  <c r="E2009" i="34"/>
  <c r="B2009" i="34"/>
  <c r="E1975" i="34"/>
  <c r="B1975" i="34"/>
  <c r="E1974" i="34"/>
  <c r="B1974" i="34"/>
  <c r="E1973" i="34"/>
  <c r="B1973" i="34"/>
  <c r="E1972" i="34"/>
  <c r="B1972" i="34"/>
  <c r="E1971" i="34"/>
  <c r="B1971" i="34"/>
  <c r="E1970" i="34"/>
  <c r="B1970" i="34"/>
  <c r="G1618" i="34"/>
  <c r="E1618" i="34"/>
  <c r="B1618" i="34"/>
  <c r="G1617" i="34"/>
  <c r="E1617" i="34"/>
  <c r="B1617" i="34"/>
  <c r="E1583" i="34"/>
  <c r="B1583" i="34"/>
  <c r="E1582" i="34"/>
  <c r="B1582" i="34"/>
  <c r="E1581" i="34"/>
  <c r="B1581" i="34"/>
  <c r="E1580" i="34"/>
  <c r="B1580" i="34"/>
  <c r="E1579" i="34"/>
  <c r="B1579" i="34"/>
  <c r="E1578" i="34"/>
  <c r="B1578" i="34"/>
  <c r="G1394" i="34"/>
  <c r="E1394" i="34"/>
  <c r="B1394" i="34"/>
  <c r="G1393" i="34"/>
  <c r="E1393" i="34"/>
  <c r="B1393" i="34"/>
  <c r="E1359" i="34"/>
  <c r="B1359" i="34"/>
  <c r="E1358" i="34"/>
  <c r="B1358" i="34"/>
  <c r="E1357" i="34"/>
  <c r="B1357" i="34"/>
  <c r="E1356" i="34"/>
  <c r="B1356" i="34"/>
  <c r="E1355" i="34"/>
  <c r="B1355" i="34"/>
  <c r="E1354" i="34"/>
  <c r="B1354" i="34"/>
  <c r="G1226" i="34"/>
  <c r="E1226" i="34"/>
  <c r="B1226" i="34"/>
  <c r="G1225" i="34"/>
  <c r="E1225" i="34"/>
  <c r="B1225" i="34"/>
  <c r="E1191" i="34"/>
  <c r="B1191" i="34"/>
  <c r="E1190" i="34"/>
  <c r="B1190" i="34"/>
  <c r="E1189" i="34"/>
  <c r="B1189" i="34"/>
  <c r="E1188" i="34"/>
  <c r="B1188" i="34"/>
  <c r="E1187" i="34"/>
  <c r="B1187" i="34"/>
  <c r="E1186" i="34"/>
  <c r="B1186" i="34"/>
  <c r="G1282" i="34"/>
  <c r="E1282" i="34"/>
  <c r="B1282" i="34"/>
  <c r="G1281" i="34"/>
  <c r="E1281" i="34"/>
  <c r="B1281" i="34"/>
  <c r="E1247" i="34"/>
  <c r="B1247" i="34"/>
  <c r="E1246" i="34"/>
  <c r="B1246" i="34"/>
  <c r="E1245" i="34"/>
  <c r="B1245" i="34"/>
  <c r="E1244" i="34"/>
  <c r="B1244" i="34"/>
  <c r="E1243" i="34"/>
  <c r="B1243" i="34"/>
  <c r="E1242" i="34"/>
  <c r="B1242" i="34"/>
  <c r="G834" i="34"/>
  <c r="E834" i="34"/>
  <c r="B834" i="34"/>
  <c r="G833" i="34"/>
  <c r="E833" i="34"/>
  <c r="B833" i="34"/>
  <c r="E799" i="34"/>
  <c r="B799" i="34"/>
  <c r="E798" i="34"/>
  <c r="B798" i="34"/>
  <c r="E797" i="34"/>
  <c r="B797" i="34"/>
  <c r="E796" i="34"/>
  <c r="B796" i="34"/>
  <c r="E795" i="34"/>
  <c r="B795" i="34"/>
  <c r="E794" i="34"/>
  <c r="B794" i="34"/>
  <c r="G1058" i="34"/>
  <c r="E1058" i="34"/>
  <c r="B1058" i="34"/>
  <c r="G1057" i="34"/>
  <c r="E1057" i="34"/>
  <c r="B1057" i="34"/>
  <c r="E1023" i="34"/>
  <c r="B1023" i="34"/>
  <c r="E1022" i="34"/>
  <c r="B1022" i="34"/>
  <c r="E1021" i="34"/>
  <c r="B1021" i="34"/>
  <c r="E1020" i="34"/>
  <c r="B1020" i="34"/>
  <c r="E1019" i="34"/>
  <c r="B1019" i="34"/>
  <c r="E1018" i="34"/>
  <c r="B1018" i="34"/>
  <c r="G1002" i="34"/>
  <c r="E1002" i="34"/>
  <c r="B1002" i="34"/>
  <c r="G1001" i="34"/>
  <c r="E1001" i="34"/>
  <c r="B1001" i="34"/>
  <c r="E967" i="34"/>
  <c r="B967" i="34"/>
  <c r="E966" i="34"/>
  <c r="B966" i="34"/>
  <c r="E965" i="34"/>
  <c r="B965" i="34"/>
  <c r="E964" i="34"/>
  <c r="B964" i="34"/>
  <c r="E963" i="34"/>
  <c r="B963" i="34"/>
  <c r="E962" i="34"/>
  <c r="B962" i="34"/>
  <c r="G946" i="34"/>
  <c r="E946" i="34"/>
  <c r="B946" i="34"/>
  <c r="G945" i="34"/>
  <c r="E945" i="34"/>
  <c r="B945" i="34"/>
  <c r="E911" i="34"/>
  <c r="B911" i="34"/>
  <c r="E910" i="34"/>
  <c r="B910" i="34"/>
  <c r="E909" i="34"/>
  <c r="B909" i="34"/>
  <c r="E908" i="34"/>
  <c r="B908" i="34"/>
  <c r="E907" i="34"/>
  <c r="B907" i="34"/>
  <c r="E906" i="34"/>
  <c r="B906" i="34"/>
  <c r="G890" i="34"/>
  <c r="E890" i="34"/>
  <c r="B890" i="34"/>
  <c r="G889" i="34"/>
  <c r="E889" i="34"/>
  <c r="B889" i="34"/>
  <c r="E855" i="34"/>
  <c r="B855" i="34"/>
  <c r="E854" i="34"/>
  <c r="B854" i="34"/>
  <c r="E853" i="34"/>
  <c r="B853" i="34"/>
  <c r="E852" i="34"/>
  <c r="B852" i="34"/>
  <c r="E851" i="34"/>
  <c r="B851" i="34"/>
  <c r="E850" i="34"/>
  <c r="B850" i="34"/>
  <c r="G162" i="34"/>
  <c r="E162" i="34"/>
  <c r="B162" i="34"/>
  <c r="G161" i="34"/>
  <c r="E161" i="34"/>
  <c r="B161" i="34"/>
  <c r="E127" i="34"/>
  <c r="B127" i="34"/>
  <c r="E126" i="34"/>
  <c r="B126" i="34"/>
  <c r="E125" i="34"/>
  <c r="B125" i="34"/>
  <c r="E124" i="34"/>
  <c r="B124" i="34"/>
  <c r="E123" i="34"/>
  <c r="B123" i="34"/>
  <c r="E122" i="34"/>
  <c r="B122" i="34"/>
  <c r="G50" i="34"/>
  <c r="E50" i="34"/>
  <c r="B50" i="34"/>
  <c r="G49" i="34"/>
  <c r="E49" i="34"/>
  <c r="B49" i="34"/>
  <c r="E15" i="34"/>
  <c r="B15" i="34"/>
  <c r="E14" i="34"/>
  <c r="B14" i="34"/>
  <c r="E13" i="34"/>
  <c r="B13" i="34"/>
  <c r="E12" i="34"/>
  <c r="B12" i="34"/>
  <c r="E11" i="34"/>
  <c r="B11" i="34"/>
  <c r="G218" i="33"/>
  <c r="E218" i="33"/>
  <c r="B218" i="33"/>
  <c r="G217" i="33"/>
  <c r="E217" i="33"/>
  <c r="B217" i="33"/>
  <c r="E183" i="33"/>
  <c r="B183" i="33"/>
  <c r="E182" i="33"/>
  <c r="B182" i="33"/>
  <c r="E181" i="33"/>
  <c r="B181" i="33"/>
  <c r="E180" i="33"/>
  <c r="B180" i="33"/>
  <c r="E179" i="33"/>
  <c r="B179" i="33"/>
  <c r="G162" i="33"/>
  <c r="E162" i="33"/>
  <c r="B162" i="33"/>
  <c r="G161" i="33"/>
  <c r="E161" i="33"/>
  <c r="B161" i="33"/>
  <c r="E127" i="33"/>
  <c r="B127" i="33"/>
  <c r="E126" i="33"/>
  <c r="B126" i="33"/>
  <c r="E125" i="33"/>
  <c r="B125" i="33"/>
  <c r="E124" i="33"/>
  <c r="B124" i="33"/>
  <c r="E123" i="33"/>
  <c r="B123" i="33"/>
  <c r="G106" i="33"/>
  <c r="E106" i="33"/>
  <c r="B106" i="33"/>
  <c r="G105" i="33"/>
  <c r="E105" i="33"/>
  <c r="B105" i="33"/>
  <c r="E71" i="33"/>
  <c r="B71" i="33"/>
  <c r="E70" i="33"/>
  <c r="B70" i="33"/>
  <c r="E69" i="33"/>
  <c r="B69" i="33"/>
  <c r="E68" i="33"/>
  <c r="B68" i="33"/>
  <c r="E67" i="33"/>
  <c r="B67" i="33"/>
  <c r="G50" i="33"/>
  <c r="E50" i="33"/>
  <c r="B50" i="33"/>
  <c r="G49" i="33"/>
  <c r="E49" i="33"/>
  <c r="B49" i="33"/>
  <c r="E15" i="33"/>
  <c r="B15" i="33"/>
  <c r="E14" i="33"/>
  <c r="B14" i="33"/>
  <c r="E13" i="33"/>
  <c r="B13" i="33"/>
  <c r="E12" i="33"/>
  <c r="B12" i="33"/>
  <c r="E11" i="33"/>
  <c r="B11" i="33"/>
  <c r="E10" i="33"/>
  <c r="B10" i="33"/>
  <c r="D1" i="33"/>
  <c r="D113" i="33" s="1"/>
  <c r="G660" i="29"/>
  <c r="E660" i="29"/>
  <c r="B660" i="29"/>
  <c r="G659" i="29"/>
  <c r="E659" i="29"/>
  <c r="B659" i="29"/>
  <c r="G658" i="29"/>
  <c r="E658" i="29"/>
  <c r="B658" i="29"/>
  <c r="G657" i="29"/>
  <c r="E657" i="29"/>
  <c r="B657" i="29"/>
  <c r="G656" i="29"/>
  <c r="E656" i="29"/>
  <c r="B656" i="29"/>
  <c r="G655" i="29"/>
  <c r="E655" i="29"/>
  <c r="B655" i="29"/>
  <c r="G654" i="29"/>
  <c r="E654" i="29"/>
  <c r="B654" i="29"/>
  <c r="B212" i="26"/>
  <c r="B211" i="26"/>
  <c r="B210" i="26"/>
  <c r="B209" i="26"/>
  <c r="G212" i="26"/>
  <c r="E212" i="26"/>
  <c r="G211" i="26"/>
  <c r="E211" i="26"/>
  <c r="G210" i="26"/>
  <c r="E210" i="26"/>
  <c r="G209" i="26"/>
  <c r="E209" i="26"/>
  <c r="G208" i="26"/>
  <c r="E208" i="26"/>
  <c r="G207" i="26"/>
  <c r="E207" i="26"/>
  <c r="B100" i="26"/>
  <c r="B99" i="26"/>
  <c r="B98" i="26"/>
  <c r="B97" i="26"/>
  <c r="G100" i="26"/>
  <c r="E100" i="26"/>
  <c r="G99" i="26"/>
  <c r="E99" i="26"/>
  <c r="G98" i="26"/>
  <c r="E98" i="26"/>
  <c r="G97" i="26"/>
  <c r="E97" i="26"/>
  <c r="G96" i="26"/>
  <c r="E96" i="26"/>
  <c r="G95" i="26"/>
  <c r="E95" i="26"/>
  <c r="E641" i="29"/>
  <c r="B641" i="29"/>
  <c r="E640" i="29"/>
  <c r="B640" i="29"/>
  <c r="E585" i="29"/>
  <c r="E584" i="29"/>
  <c r="E193" i="26"/>
  <c r="B193" i="26"/>
  <c r="B191" i="26"/>
  <c r="B190" i="26"/>
  <c r="E81" i="26"/>
  <c r="B81" i="26"/>
  <c r="B79" i="26"/>
  <c r="B78" i="26"/>
  <c r="G666" i="29"/>
  <c r="E666" i="29"/>
  <c r="B666" i="29"/>
  <c r="G665" i="29"/>
  <c r="E665" i="29"/>
  <c r="B665" i="29"/>
  <c r="E631" i="29"/>
  <c r="B631" i="29"/>
  <c r="E630" i="29"/>
  <c r="B630" i="29"/>
  <c r="E629" i="29"/>
  <c r="B629" i="29"/>
  <c r="G610" i="29"/>
  <c r="E610" i="29"/>
  <c r="B610" i="29"/>
  <c r="G609" i="29"/>
  <c r="E609" i="29"/>
  <c r="B609" i="29"/>
  <c r="B575" i="29"/>
  <c r="E575" i="29"/>
  <c r="G218" i="26"/>
  <c r="E218" i="26"/>
  <c r="B218" i="26"/>
  <c r="G217" i="26"/>
  <c r="E217" i="26"/>
  <c r="B217" i="26"/>
  <c r="G216" i="26"/>
  <c r="E216" i="26"/>
  <c r="B216" i="26"/>
  <c r="E183" i="26"/>
  <c r="B183" i="26"/>
  <c r="G106" i="26"/>
  <c r="E106" i="26"/>
  <c r="B106" i="26"/>
  <c r="G105" i="26"/>
  <c r="E105" i="26"/>
  <c r="B105" i="26"/>
  <c r="G104" i="26"/>
  <c r="E104" i="26"/>
  <c r="B104" i="26"/>
  <c r="E71" i="26"/>
  <c r="B71" i="26"/>
  <c r="E683" i="21"/>
  <c r="B683" i="21"/>
  <c r="E571" i="21"/>
  <c r="B571" i="21"/>
  <c r="G705" i="21"/>
  <c r="E705" i="21"/>
  <c r="B705" i="21"/>
  <c r="G704" i="21"/>
  <c r="E704" i="21"/>
  <c r="B704" i="21"/>
  <c r="G703" i="21"/>
  <c r="E703" i="21"/>
  <c r="B703" i="21"/>
  <c r="G648" i="21"/>
  <c r="E648" i="21"/>
  <c r="B648" i="21"/>
  <c r="G593" i="21"/>
  <c r="E593" i="21"/>
  <c r="B593" i="21"/>
  <c r="G592" i="21"/>
  <c r="E592" i="21"/>
  <c r="B592" i="21"/>
  <c r="G591" i="21"/>
  <c r="E591" i="21"/>
  <c r="B591" i="21"/>
  <c r="G590" i="21"/>
  <c r="E590" i="21"/>
  <c r="B590" i="21"/>
  <c r="G369" i="21"/>
  <c r="E369" i="21"/>
  <c r="B369" i="21"/>
  <c r="G726" i="21"/>
  <c r="G725" i="21"/>
  <c r="G716" i="21"/>
  <c r="E716" i="21"/>
  <c r="B716" i="21"/>
  <c r="G715" i="21"/>
  <c r="E715" i="21"/>
  <c r="B715" i="21"/>
  <c r="G714" i="21"/>
  <c r="E714" i="21"/>
  <c r="B714" i="21"/>
  <c r="G713" i="21"/>
  <c r="E713" i="21"/>
  <c r="B713" i="21"/>
  <c r="G712" i="21"/>
  <c r="E712" i="21"/>
  <c r="B712" i="21"/>
  <c r="G711" i="21"/>
  <c r="E711" i="21"/>
  <c r="B711" i="21"/>
  <c r="G710" i="21"/>
  <c r="E710" i="21"/>
  <c r="B710" i="21"/>
  <c r="G709" i="21"/>
  <c r="E709" i="21"/>
  <c r="B709" i="21"/>
  <c r="G708" i="21"/>
  <c r="E708" i="21"/>
  <c r="B708" i="21"/>
  <c r="G707" i="21"/>
  <c r="E707" i="21"/>
  <c r="B707" i="21"/>
  <c r="G706" i="21"/>
  <c r="E706" i="21"/>
  <c r="B706" i="21"/>
  <c r="G670" i="21"/>
  <c r="G669" i="21"/>
  <c r="G660" i="21"/>
  <c r="E660" i="21"/>
  <c r="B660" i="21"/>
  <c r="G659" i="21"/>
  <c r="E659" i="21"/>
  <c r="B659" i="21"/>
  <c r="G658" i="21"/>
  <c r="E658" i="21"/>
  <c r="B658" i="21"/>
  <c r="G657" i="21"/>
  <c r="E657" i="21"/>
  <c r="B657" i="21"/>
  <c r="G656" i="21"/>
  <c r="E656" i="21"/>
  <c r="B656" i="21"/>
  <c r="G655" i="21"/>
  <c r="E655" i="21"/>
  <c r="B655" i="21"/>
  <c r="G654" i="21"/>
  <c r="E654" i="21"/>
  <c r="B654" i="21"/>
  <c r="G653" i="21"/>
  <c r="E653" i="21"/>
  <c r="B653" i="21"/>
  <c r="G652" i="21"/>
  <c r="E652" i="21"/>
  <c r="B652" i="21"/>
  <c r="G651" i="21"/>
  <c r="E651" i="21"/>
  <c r="B651" i="21"/>
  <c r="G650" i="21"/>
  <c r="E650" i="21"/>
  <c r="B650" i="21"/>
  <c r="G614" i="21"/>
  <c r="G613" i="21"/>
  <c r="G604" i="21"/>
  <c r="E604" i="21"/>
  <c r="B604" i="21"/>
  <c r="G603" i="21"/>
  <c r="E603" i="21"/>
  <c r="B603" i="21"/>
  <c r="G602" i="21"/>
  <c r="E602" i="21"/>
  <c r="B602" i="21"/>
  <c r="G601" i="21"/>
  <c r="E601" i="21"/>
  <c r="B601" i="21"/>
  <c r="G600" i="21"/>
  <c r="E600" i="21"/>
  <c r="B600" i="21"/>
  <c r="G599" i="21"/>
  <c r="E599" i="21"/>
  <c r="B599" i="21"/>
  <c r="G598" i="21"/>
  <c r="E598" i="21"/>
  <c r="B598" i="21"/>
  <c r="G597" i="21"/>
  <c r="E597" i="21"/>
  <c r="B597" i="21"/>
  <c r="G596" i="21"/>
  <c r="E596" i="21"/>
  <c r="B596" i="21"/>
  <c r="G595" i="21"/>
  <c r="E595" i="21"/>
  <c r="B595" i="21"/>
  <c r="G594" i="21"/>
  <c r="E594" i="21"/>
  <c r="B594" i="21"/>
  <c r="G502" i="21"/>
  <c r="G501" i="21"/>
  <c r="G492" i="21"/>
  <c r="E492" i="21"/>
  <c r="B492" i="21"/>
  <c r="G491" i="21"/>
  <c r="E491" i="21"/>
  <c r="B491" i="21"/>
  <c r="G490" i="21"/>
  <c r="E490" i="21"/>
  <c r="B490" i="21"/>
  <c r="G489" i="21"/>
  <c r="E489" i="21"/>
  <c r="B489" i="21"/>
  <c r="G488" i="21"/>
  <c r="E488" i="21"/>
  <c r="B488" i="21"/>
  <c r="G487" i="21"/>
  <c r="E487" i="21"/>
  <c r="B487" i="21"/>
  <c r="G486" i="21"/>
  <c r="E486" i="21"/>
  <c r="B486" i="21"/>
  <c r="G485" i="21"/>
  <c r="E485" i="21"/>
  <c r="B485" i="21"/>
  <c r="G484" i="21"/>
  <c r="E484" i="21"/>
  <c r="B484" i="21"/>
  <c r="G483" i="21"/>
  <c r="E483" i="21"/>
  <c r="B483" i="21"/>
  <c r="G482" i="21"/>
  <c r="E482" i="21"/>
  <c r="B482" i="21"/>
  <c r="G390" i="21"/>
  <c r="G389" i="21"/>
  <c r="G380" i="21"/>
  <c r="E380" i="21"/>
  <c r="B380" i="21"/>
  <c r="G379" i="21"/>
  <c r="E379" i="21"/>
  <c r="B379" i="21"/>
  <c r="G378" i="21"/>
  <c r="E378" i="21"/>
  <c r="B378" i="21"/>
  <c r="G377" i="21"/>
  <c r="E377" i="21"/>
  <c r="B377" i="21"/>
  <c r="G376" i="21"/>
  <c r="E376" i="21"/>
  <c r="B376" i="21"/>
  <c r="G375" i="21"/>
  <c r="E375" i="21"/>
  <c r="B375" i="21"/>
  <c r="G374" i="21"/>
  <c r="E374" i="21"/>
  <c r="B374" i="21"/>
  <c r="G373" i="21"/>
  <c r="E373" i="21"/>
  <c r="B373" i="21"/>
  <c r="G372" i="21"/>
  <c r="E372" i="21"/>
  <c r="B372" i="21"/>
  <c r="G371" i="21"/>
  <c r="E371" i="21"/>
  <c r="B371" i="21"/>
  <c r="G370" i="21"/>
  <c r="E370" i="21"/>
  <c r="B370" i="21"/>
  <c r="E697" i="21"/>
  <c r="B697" i="21"/>
  <c r="E696" i="21"/>
  <c r="B696" i="21"/>
  <c r="E695" i="21"/>
  <c r="B695" i="21"/>
  <c r="E641" i="21"/>
  <c r="B641" i="21"/>
  <c r="E640" i="21"/>
  <c r="B640" i="21"/>
  <c r="E639" i="21"/>
  <c r="B639" i="21"/>
  <c r="E638" i="21"/>
  <c r="B638" i="21"/>
  <c r="E585" i="21"/>
  <c r="B585" i="21"/>
  <c r="E584" i="21"/>
  <c r="B584" i="21"/>
  <c r="E583" i="21"/>
  <c r="B583" i="21"/>
  <c r="E473" i="21"/>
  <c r="B473" i="21"/>
  <c r="E472" i="21"/>
  <c r="B472" i="21"/>
  <c r="E471" i="21"/>
  <c r="B471" i="21"/>
  <c r="E470" i="21"/>
  <c r="B470" i="21"/>
  <c r="E361" i="21"/>
  <c r="B361" i="21"/>
  <c r="E360" i="21"/>
  <c r="B360" i="21"/>
  <c r="E359" i="21"/>
  <c r="B359" i="21"/>
  <c r="E358" i="21"/>
  <c r="B358" i="21"/>
  <c r="G722" i="21"/>
  <c r="E722" i="21"/>
  <c r="B722" i="21"/>
  <c r="G721" i="21"/>
  <c r="E721" i="21"/>
  <c r="B721" i="21"/>
  <c r="G720" i="21"/>
  <c r="E720" i="21"/>
  <c r="B720" i="21"/>
  <c r="E687" i="21"/>
  <c r="B687" i="21"/>
  <c r="E686" i="21"/>
  <c r="B686" i="21"/>
  <c r="E685" i="21"/>
  <c r="B685" i="21"/>
  <c r="E684" i="21"/>
  <c r="B684" i="21"/>
  <c r="G666" i="21"/>
  <c r="E666" i="21"/>
  <c r="B666" i="21"/>
  <c r="G665" i="21"/>
  <c r="E665" i="21"/>
  <c r="B665" i="21"/>
  <c r="G664" i="21"/>
  <c r="E664" i="21"/>
  <c r="B664" i="21"/>
  <c r="E631" i="21"/>
  <c r="B631" i="21"/>
  <c r="E630" i="21"/>
  <c r="B630" i="21"/>
  <c r="E629" i="21"/>
  <c r="B629" i="21"/>
  <c r="E628" i="21"/>
  <c r="B628" i="21"/>
  <c r="G610" i="21"/>
  <c r="E610" i="21"/>
  <c r="B610" i="21"/>
  <c r="G609" i="21"/>
  <c r="E609" i="21"/>
  <c r="B609" i="21"/>
  <c r="G608" i="21"/>
  <c r="E608" i="21"/>
  <c r="B608" i="21"/>
  <c r="E575" i="21"/>
  <c r="B575" i="21"/>
  <c r="E574" i="21"/>
  <c r="B574" i="21"/>
  <c r="E573" i="21"/>
  <c r="B573" i="21"/>
  <c r="E572" i="21"/>
  <c r="B572" i="21"/>
  <c r="G498" i="21"/>
  <c r="E498" i="21"/>
  <c r="B498" i="21"/>
  <c r="G497" i="21"/>
  <c r="E497" i="21"/>
  <c r="B497" i="21"/>
  <c r="G496" i="21"/>
  <c r="E496" i="21"/>
  <c r="B496" i="21"/>
  <c r="E463" i="21"/>
  <c r="B463" i="21"/>
  <c r="E462" i="21"/>
  <c r="B462" i="21"/>
  <c r="E461" i="21"/>
  <c r="B461" i="21"/>
  <c r="E460" i="21"/>
  <c r="B460" i="21"/>
  <c r="G386" i="21"/>
  <c r="E386" i="21"/>
  <c r="B386" i="21"/>
  <c r="G385" i="21"/>
  <c r="E385" i="21"/>
  <c r="B385" i="21"/>
  <c r="G384" i="21"/>
  <c r="E384" i="21"/>
  <c r="B384" i="21"/>
  <c r="E351" i="21"/>
  <c r="B351" i="21"/>
  <c r="E350" i="21"/>
  <c r="B350" i="21"/>
  <c r="E349" i="21"/>
  <c r="B349" i="21"/>
  <c r="E348" i="21"/>
  <c r="B348" i="21"/>
  <c r="G554" i="32"/>
  <c r="E554" i="32"/>
  <c r="B554" i="32"/>
  <c r="G553" i="32"/>
  <c r="E553" i="32"/>
  <c r="B553" i="32"/>
  <c r="E519" i="32"/>
  <c r="B519" i="32"/>
  <c r="E518" i="32"/>
  <c r="B518" i="32"/>
  <c r="E517" i="32"/>
  <c r="B517" i="32"/>
  <c r="E516" i="32"/>
  <c r="B516" i="32"/>
  <c r="E515" i="32"/>
  <c r="B515" i="32"/>
  <c r="G498" i="32"/>
  <c r="E498" i="32"/>
  <c r="B498" i="32"/>
  <c r="G497" i="32"/>
  <c r="E497" i="32"/>
  <c r="B497" i="32"/>
  <c r="E463" i="32"/>
  <c r="B463" i="32"/>
  <c r="E462" i="32"/>
  <c r="B462" i="32"/>
  <c r="E461" i="32"/>
  <c r="B461" i="32"/>
  <c r="E460" i="32"/>
  <c r="B460" i="32"/>
  <c r="E459" i="32"/>
  <c r="B459" i="32"/>
  <c r="G442" i="32"/>
  <c r="E442" i="32"/>
  <c r="B442" i="32"/>
  <c r="G441" i="32"/>
  <c r="E441" i="32"/>
  <c r="B441" i="32"/>
  <c r="E407" i="32"/>
  <c r="B407" i="32"/>
  <c r="E406" i="32"/>
  <c r="B406" i="32"/>
  <c r="E405" i="32"/>
  <c r="B405" i="32"/>
  <c r="E404" i="32"/>
  <c r="B404" i="32"/>
  <c r="E403" i="32"/>
  <c r="B403" i="32"/>
  <c r="G610" i="30"/>
  <c r="E610" i="30"/>
  <c r="B610" i="30"/>
  <c r="G609" i="30"/>
  <c r="E609" i="30"/>
  <c r="B609" i="30"/>
  <c r="E575" i="30"/>
  <c r="B575" i="30"/>
  <c r="E574" i="30"/>
  <c r="B574" i="30"/>
  <c r="E573" i="30"/>
  <c r="B573" i="30"/>
  <c r="E572" i="30"/>
  <c r="B572" i="30"/>
  <c r="E571" i="30"/>
  <c r="B571" i="30"/>
  <c r="G498" i="30"/>
  <c r="E498" i="30"/>
  <c r="B498" i="30"/>
  <c r="G497" i="30"/>
  <c r="E497" i="30"/>
  <c r="B497" i="30"/>
  <c r="E463" i="30"/>
  <c r="B463" i="30"/>
  <c r="E462" i="30"/>
  <c r="B462" i="30"/>
  <c r="E461" i="30"/>
  <c r="B461" i="30"/>
  <c r="E460" i="30"/>
  <c r="B460" i="30"/>
  <c r="E459" i="30"/>
  <c r="B459" i="30"/>
  <c r="G442" i="30"/>
  <c r="E442" i="30"/>
  <c r="B442" i="30"/>
  <c r="G441" i="30"/>
  <c r="E441" i="30"/>
  <c r="B441" i="30"/>
  <c r="E407" i="30"/>
  <c r="B407" i="30"/>
  <c r="E406" i="30"/>
  <c r="B406" i="30"/>
  <c r="E405" i="30"/>
  <c r="B405" i="30"/>
  <c r="E404" i="30"/>
  <c r="B404" i="30"/>
  <c r="E403" i="30"/>
  <c r="B403" i="30"/>
  <c r="G548" i="32"/>
  <c r="E548" i="32"/>
  <c r="B548" i="32"/>
  <c r="G547" i="32"/>
  <c r="E547" i="32"/>
  <c r="B547" i="32"/>
  <c r="G546" i="32"/>
  <c r="E546" i="32"/>
  <c r="B546" i="32"/>
  <c r="G545" i="32"/>
  <c r="E545" i="32"/>
  <c r="B545" i="32"/>
  <c r="G544" i="32"/>
  <c r="E544" i="32"/>
  <c r="B544" i="32"/>
  <c r="G543" i="32"/>
  <c r="E543" i="32"/>
  <c r="B543" i="32"/>
  <c r="G542" i="32"/>
  <c r="E542" i="32"/>
  <c r="B542" i="32"/>
  <c r="G492" i="32"/>
  <c r="E492" i="32"/>
  <c r="B492" i="32"/>
  <c r="G491" i="32"/>
  <c r="E491" i="32"/>
  <c r="B491" i="32"/>
  <c r="G490" i="32"/>
  <c r="E490" i="32"/>
  <c r="B490" i="32"/>
  <c r="G489" i="32"/>
  <c r="E489" i="32"/>
  <c r="B489" i="32"/>
  <c r="G488" i="32"/>
  <c r="E488" i="32"/>
  <c r="B488" i="32"/>
  <c r="G487" i="32"/>
  <c r="E487" i="32"/>
  <c r="B487" i="32"/>
  <c r="G486" i="32"/>
  <c r="E486" i="32"/>
  <c r="B486" i="32"/>
  <c r="G436" i="32"/>
  <c r="E436" i="32"/>
  <c r="B436" i="32"/>
  <c r="G435" i="32"/>
  <c r="E435" i="32"/>
  <c r="B435" i="32"/>
  <c r="G434" i="32"/>
  <c r="E434" i="32"/>
  <c r="B434" i="32"/>
  <c r="G433" i="32"/>
  <c r="E433" i="32"/>
  <c r="B433" i="32"/>
  <c r="G432" i="32"/>
  <c r="E432" i="32"/>
  <c r="B432" i="32"/>
  <c r="G431" i="32"/>
  <c r="E431" i="32"/>
  <c r="B431" i="32"/>
  <c r="G430" i="32"/>
  <c r="E430" i="32"/>
  <c r="B430" i="32"/>
  <c r="G604" i="30"/>
  <c r="E604" i="30"/>
  <c r="B604" i="30"/>
  <c r="G603" i="30"/>
  <c r="E603" i="30"/>
  <c r="B603" i="30"/>
  <c r="G602" i="30"/>
  <c r="E602" i="30"/>
  <c r="B602" i="30"/>
  <c r="G601" i="30"/>
  <c r="E601" i="30"/>
  <c r="B601" i="30"/>
  <c r="G600" i="30"/>
  <c r="E600" i="30"/>
  <c r="B600" i="30"/>
  <c r="G599" i="30"/>
  <c r="E599" i="30"/>
  <c r="B599" i="30"/>
  <c r="G598" i="30"/>
  <c r="E598" i="30"/>
  <c r="B598" i="30"/>
  <c r="G492" i="30"/>
  <c r="E492" i="30"/>
  <c r="B492" i="30"/>
  <c r="G491" i="30"/>
  <c r="E491" i="30"/>
  <c r="B491" i="30"/>
  <c r="G490" i="30"/>
  <c r="E490" i="30"/>
  <c r="B490" i="30"/>
  <c r="G489" i="30"/>
  <c r="E489" i="30"/>
  <c r="B489" i="30"/>
  <c r="G488" i="30"/>
  <c r="E488" i="30"/>
  <c r="B488" i="30"/>
  <c r="G487" i="30"/>
  <c r="E487" i="30"/>
  <c r="B487" i="30"/>
  <c r="G486" i="30"/>
  <c r="E486" i="30"/>
  <c r="B486" i="30"/>
  <c r="G436" i="30"/>
  <c r="E436" i="30"/>
  <c r="B436" i="30"/>
  <c r="G435" i="30"/>
  <c r="E435" i="30"/>
  <c r="B435" i="30"/>
  <c r="G434" i="30"/>
  <c r="E434" i="30"/>
  <c r="B434" i="30"/>
  <c r="G433" i="30"/>
  <c r="E433" i="30"/>
  <c r="B433" i="30"/>
  <c r="G432" i="30"/>
  <c r="E432" i="30"/>
  <c r="B432" i="30"/>
  <c r="G431" i="30"/>
  <c r="E431" i="30"/>
  <c r="B431" i="30"/>
  <c r="G430" i="30"/>
  <c r="E430" i="30"/>
  <c r="B430" i="30"/>
  <c r="E529" i="32"/>
  <c r="B529" i="32"/>
  <c r="E528" i="32"/>
  <c r="B528" i="32"/>
  <c r="E527" i="32"/>
  <c r="B527" i="32"/>
  <c r="E526" i="32"/>
  <c r="B526" i="32"/>
  <c r="E523" i="32"/>
  <c r="B523" i="32"/>
  <c r="E473" i="32"/>
  <c r="B473" i="32"/>
  <c r="E472" i="32"/>
  <c r="B472" i="32"/>
  <c r="E471" i="32"/>
  <c r="B471" i="32"/>
  <c r="E470" i="32"/>
  <c r="B470" i="32"/>
  <c r="E467" i="32"/>
  <c r="B467" i="32"/>
  <c r="E417" i="32"/>
  <c r="B417" i="32"/>
  <c r="E416" i="32"/>
  <c r="B416" i="32"/>
  <c r="E415" i="32"/>
  <c r="B415" i="32"/>
  <c r="E414" i="32"/>
  <c r="B414" i="32"/>
  <c r="E411" i="32"/>
  <c r="B411" i="32"/>
  <c r="E585" i="30"/>
  <c r="B585" i="30"/>
  <c r="E584" i="30"/>
  <c r="B584" i="30"/>
  <c r="E583" i="30"/>
  <c r="B583" i="30"/>
  <c r="E582" i="30"/>
  <c r="B582" i="30"/>
  <c r="E579" i="30"/>
  <c r="B579" i="30"/>
  <c r="E473" i="30"/>
  <c r="B473" i="30"/>
  <c r="E472" i="30"/>
  <c r="B472" i="30"/>
  <c r="E471" i="30"/>
  <c r="B471" i="30"/>
  <c r="E470" i="30"/>
  <c r="B470" i="30"/>
  <c r="E467" i="30"/>
  <c r="B467" i="30"/>
  <c r="E417" i="30"/>
  <c r="B417" i="30"/>
  <c r="E416" i="30"/>
  <c r="B416" i="30"/>
  <c r="E415" i="30"/>
  <c r="B415" i="30"/>
  <c r="E414" i="30"/>
  <c r="B414" i="30"/>
  <c r="E411" i="30"/>
  <c r="B411" i="30"/>
  <c r="G1618" i="19"/>
  <c r="E1618" i="19"/>
  <c r="B1618" i="19"/>
  <c r="G1617" i="19"/>
  <c r="E1617" i="19"/>
  <c r="B1617" i="19"/>
  <c r="G1612" i="19"/>
  <c r="E1612" i="19"/>
  <c r="B1612" i="19"/>
  <c r="G1611" i="19"/>
  <c r="E1611" i="19"/>
  <c r="B1611" i="19"/>
  <c r="F1593" i="19"/>
  <c r="E1593" i="19"/>
  <c r="B1593" i="19"/>
  <c r="F1592" i="19"/>
  <c r="E1592" i="19"/>
  <c r="B1592" i="19"/>
  <c r="F1591" i="19"/>
  <c r="E1591" i="19"/>
  <c r="B1591" i="19"/>
  <c r="F1590" i="19"/>
  <c r="E1590" i="19"/>
  <c r="B1590" i="19"/>
  <c r="F1583" i="19"/>
  <c r="E1583" i="19"/>
  <c r="B1583" i="19"/>
  <c r="F1582" i="19"/>
  <c r="E1582" i="19"/>
  <c r="B1582" i="19"/>
  <c r="F1581" i="19"/>
  <c r="E1581" i="19"/>
  <c r="B1581" i="19"/>
  <c r="F1580" i="19"/>
  <c r="E1580" i="19"/>
  <c r="B1580" i="19"/>
  <c r="N1569" i="19"/>
  <c r="M1569" i="19"/>
  <c r="L1569" i="19"/>
  <c r="G459" i="19"/>
  <c r="G963" i="19"/>
  <c r="G1187" i="19"/>
  <c r="G1243" i="19"/>
  <c r="G1411" i="19"/>
  <c r="G1915" i="19"/>
  <c r="H1971" i="19"/>
  <c r="H2027" i="19"/>
  <c r="G498" i="25"/>
  <c r="E498" i="25"/>
  <c r="B498" i="25"/>
  <c r="G497" i="25"/>
  <c r="E497" i="25"/>
  <c r="B497" i="25"/>
  <c r="G492" i="25"/>
  <c r="E492" i="25"/>
  <c r="B492" i="25"/>
  <c r="G491" i="25"/>
  <c r="E491" i="25"/>
  <c r="B491" i="25"/>
  <c r="G490" i="25"/>
  <c r="E490" i="25"/>
  <c r="B490" i="25"/>
  <c r="J487" i="25"/>
  <c r="J489" i="25" s="1"/>
  <c r="J488" i="25"/>
  <c r="K487" i="25"/>
  <c r="L487" i="25" s="1"/>
  <c r="K485" i="25"/>
  <c r="J485" i="25"/>
  <c r="L484" i="25"/>
  <c r="K484" i="25"/>
  <c r="J484" i="25"/>
  <c r="G483" i="25"/>
  <c r="E483" i="25"/>
  <c r="B483" i="25"/>
  <c r="G478" i="25"/>
  <c r="E478" i="25"/>
  <c r="B478" i="25"/>
  <c r="J474" i="25"/>
  <c r="F473" i="25"/>
  <c r="E473" i="25"/>
  <c r="B473" i="25"/>
  <c r="F472" i="25"/>
  <c r="E472" i="25"/>
  <c r="B472" i="25"/>
  <c r="F471" i="25"/>
  <c r="E471" i="25"/>
  <c r="B471" i="25"/>
  <c r="J470" i="25"/>
  <c r="K468" i="25"/>
  <c r="G467" i="25"/>
  <c r="F467" i="25"/>
  <c r="E467" i="25"/>
  <c r="B467" i="25"/>
  <c r="F463" i="25"/>
  <c r="E463" i="25"/>
  <c r="B463" i="25"/>
  <c r="F462" i="25"/>
  <c r="E462" i="25"/>
  <c r="B462" i="25"/>
  <c r="F461" i="25"/>
  <c r="E461" i="25"/>
  <c r="B461" i="25"/>
  <c r="N449" i="25"/>
  <c r="M449" i="25"/>
  <c r="L449" i="25"/>
  <c r="D449" i="25"/>
  <c r="G434" i="25"/>
  <c r="E434" i="25"/>
  <c r="B434" i="25"/>
  <c r="J431" i="25"/>
  <c r="J433" i="25" s="1"/>
  <c r="J432" i="25"/>
  <c r="K431" i="25"/>
  <c r="L431" i="25" s="1"/>
  <c r="K429" i="25"/>
  <c r="J429" i="25"/>
  <c r="L428" i="25"/>
  <c r="K428" i="25"/>
  <c r="J428" i="25"/>
  <c r="G427" i="25"/>
  <c r="E427" i="25"/>
  <c r="B427" i="25"/>
  <c r="G422" i="25"/>
  <c r="E422" i="25"/>
  <c r="B422" i="25"/>
  <c r="K375" i="25"/>
  <c r="L375" i="25" s="1"/>
  <c r="L372" i="25"/>
  <c r="J145" i="25"/>
  <c r="G145" i="25"/>
  <c r="E145" i="25"/>
  <c r="B145" i="25"/>
  <c r="J144" i="25"/>
  <c r="G144" i="25"/>
  <c r="E144" i="25"/>
  <c r="B144" i="25"/>
  <c r="J143" i="25"/>
  <c r="G42" i="25"/>
  <c r="E42" i="25"/>
  <c r="B42" i="25"/>
  <c r="G41" i="25"/>
  <c r="E41" i="25"/>
  <c r="B41" i="25"/>
  <c r="G40" i="25"/>
  <c r="E40" i="25"/>
  <c r="B40" i="25"/>
  <c r="L38" i="25"/>
  <c r="M38" i="25"/>
  <c r="L37" i="25"/>
  <c r="K37" i="25"/>
  <c r="M37" i="25"/>
  <c r="G36" i="25"/>
  <c r="E36" i="25"/>
  <c r="B36" i="25"/>
  <c r="K35" i="25"/>
  <c r="M34" i="25"/>
  <c r="M35" i="25"/>
  <c r="K33" i="25"/>
  <c r="K34" i="25"/>
  <c r="K36" i="25"/>
  <c r="K31" i="25"/>
  <c r="K30" i="25"/>
  <c r="K698" i="25"/>
  <c r="N57" i="21"/>
  <c r="M57" i="21"/>
  <c r="L57" i="21"/>
  <c r="D57" i="21"/>
  <c r="L612" i="29"/>
  <c r="E2" i="5"/>
  <c r="F2" i="5" s="1"/>
  <c r="G2" i="5"/>
  <c r="G85" i="26"/>
  <c r="H85" i="26"/>
  <c r="G197" i="26"/>
  <c r="H197" i="26"/>
  <c r="K132" i="12"/>
  <c r="K133" i="12"/>
  <c r="K134" i="12"/>
  <c r="E123" i="12"/>
  <c r="F123" i="12"/>
  <c r="G162" i="12"/>
  <c r="E162" i="12"/>
  <c r="B162" i="12"/>
  <c r="G161" i="12"/>
  <c r="E161" i="12"/>
  <c r="B161" i="12"/>
  <c r="G160" i="12"/>
  <c r="E160" i="12"/>
  <c r="B160" i="12"/>
  <c r="G156" i="12"/>
  <c r="E156" i="12"/>
  <c r="B156" i="12"/>
  <c r="G155" i="12"/>
  <c r="E155" i="12"/>
  <c r="B155" i="12"/>
  <c r="G154" i="12"/>
  <c r="E154" i="12"/>
  <c r="B154" i="12"/>
  <c r="G153" i="12"/>
  <c r="E153" i="12"/>
  <c r="B153" i="12"/>
  <c r="G152" i="12"/>
  <c r="E152" i="12"/>
  <c r="B152" i="12"/>
  <c r="G151" i="12"/>
  <c r="E151" i="12"/>
  <c r="B151" i="12"/>
  <c r="G150" i="12"/>
  <c r="E150" i="12"/>
  <c r="B150" i="12"/>
  <c r="G149" i="12"/>
  <c r="E149" i="12"/>
  <c r="B149" i="12"/>
  <c r="G148" i="12"/>
  <c r="E148" i="12"/>
  <c r="B148" i="12"/>
  <c r="G147" i="12"/>
  <c r="E147" i="12"/>
  <c r="B147" i="12"/>
  <c r="G146" i="12"/>
  <c r="E146" i="12"/>
  <c r="B146" i="12"/>
  <c r="G145" i="12"/>
  <c r="E145" i="12"/>
  <c r="B145" i="12"/>
  <c r="G144" i="12"/>
  <c r="E144" i="12"/>
  <c r="B144" i="12"/>
  <c r="G143" i="12"/>
  <c r="E143" i="12"/>
  <c r="B143" i="12"/>
  <c r="G142" i="12"/>
  <c r="E142" i="12"/>
  <c r="B142" i="12"/>
  <c r="G141" i="12"/>
  <c r="E141" i="12"/>
  <c r="B141" i="12"/>
  <c r="F137" i="12"/>
  <c r="E137" i="12"/>
  <c r="B137" i="12"/>
  <c r="F136" i="12"/>
  <c r="E136" i="12"/>
  <c r="B136" i="12"/>
  <c r="F135" i="12"/>
  <c r="E135" i="12"/>
  <c r="B135" i="12"/>
  <c r="F134" i="12"/>
  <c r="E134" i="12"/>
  <c r="B134" i="12"/>
  <c r="F133" i="12"/>
  <c r="E133" i="12"/>
  <c r="B133" i="12"/>
  <c r="E131" i="12"/>
  <c r="F131" i="12"/>
  <c r="G131" i="12"/>
  <c r="B131" i="12"/>
  <c r="F127" i="12"/>
  <c r="E127" i="12"/>
  <c r="B127" i="12"/>
  <c r="F126" i="12"/>
  <c r="E126" i="12"/>
  <c r="B126" i="12"/>
  <c r="F125" i="12"/>
  <c r="E125" i="12"/>
  <c r="B125" i="12"/>
  <c r="F124" i="12"/>
  <c r="E124" i="12"/>
  <c r="B124" i="12"/>
  <c r="B123" i="12"/>
  <c r="N113" i="12"/>
  <c r="M113" i="12"/>
  <c r="L113" i="12"/>
  <c r="D1" i="12"/>
  <c r="D113" i="12"/>
  <c r="G657" i="16"/>
  <c r="E657" i="16"/>
  <c r="B657" i="16"/>
  <c r="G656" i="16"/>
  <c r="E656" i="16"/>
  <c r="B656" i="16"/>
  <c r="H655" i="16"/>
  <c r="B655" i="16"/>
  <c r="H654" i="16"/>
  <c r="B654" i="16"/>
  <c r="H653" i="16"/>
  <c r="B653" i="16"/>
  <c r="H652" i="16"/>
  <c r="B652" i="16"/>
  <c r="H651" i="16"/>
  <c r="H650" i="16"/>
  <c r="K649" i="16"/>
  <c r="H649" i="16"/>
  <c r="K647" i="16"/>
  <c r="H647" i="16"/>
  <c r="H645" i="16"/>
  <c r="K638" i="16"/>
  <c r="K639" i="16"/>
  <c r="F641" i="16"/>
  <c r="E641" i="16"/>
  <c r="B641" i="16"/>
  <c r="F640" i="16"/>
  <c r="E640" i="16"/>
  <c r="B640" i="16"/>
  <c r="F639" i="16"/>
  <c r="E639" i="16"/>
  <c r="B639" i="16"/>
  <c r="G628" i="16"/>
  <c r="F629" i="16"/>
  <c r="H629" i="16" s="1"/>
  <c r="F631" i="16"/>
  <c r="E631" i="16"/>
  <c r="B631" i="16"/>
  <c r="F630" i="16"/>
  <c r="E630" i="16"/>
  <c r="B630" i="16"/>
  <c r="F627" i="16"/>
  <c r="E627" i="16"/>
  <c r="B627" i="16"/>
  <c r="G572" i="16"/>
  <c r="H594" i="16"/>
  <c r="K593" i="16"/>
  <c r="H593" i="16"/>
  <c r="K591" i="16"/>
  <c r="H591" i="16"/>
  <c r="H589" i="16"/>
  <c r="K582" i="16"/>
  <c r="K583" i="16"/>
  <c r="F585" i="16"/>
  <c r="E585" i="16"/>
  <c r="B585" i="16"/>
  <c r="F584" i="16"/>
  <c r="E584" i="16"/>
  <c r="B584" i="16"/>
  <c r="F583" i="16"/>
  <c r="E583" i="16"/>
  <c r="B583" i="16"/>
  <c r="F573" i="16"/>
  <c r="H573" i="16"/>
  <c r="F575" i="16"/>
  <c r="E575" i="16"/>
  <c r="B575" i="16"/>
  <c r="F574" i="16"/>
  <c r="E574" i="16"/>
  <c r="B574" i="16"/>
  <c r="G460" i="16"/>
  <c r="G404" i="16"/>
  <c r="G348" i="16"/>
  <c r="G292" i="16"/>
  <c r="G236" i="16"/>
  <c r="F88" i="16"/>
  <c r="F86" i="16"/>
  <c r="F85" i="16"/>
  <c r="G147" i="16"/>
  <c r="E147" i="16"/>
  <c r="B147" i="16"/>
  <c r="G145" i="16"/>
  <c r="E145" i="16"/>
  <c r="B145" i="16"/>
  <c r="K134" i="16"/>
  <c r="H89" i="16"/>
  <c r="H91" i="16"/>
  <c r="H92" i="16"/>
  <c r="H93" i="16"/>
  <c r="H94" i="16"/>
  <c r="H95" i="16"/>
  <c r="H96" i="16"/>
  <c r="H97" i="16"/>
  <c r="H98" i="16"/>
  <c r="H99" i="16"/>
  <c r="H100" i="16"/>
  <c r="G77" i="16"/>
  <c r="G68" i="16"/>
  <c r="K22" i="16"/>
  <c r="K78" i="16"/>
  <c r="F87" i="16"/>
  <c r="G91" i="16"/>
  <c r="E91" i="16"/>
  <c r="B91" i="16"/>
  <c r="G89" i="16"/>
  <c r="E89" i="16"/>
  <c r="B89" i="16"/>
  <c r="H105" i="16"/>
  <c r="H106" i="16"/>
  <c r="H79" i="16"/>
  <c r="H80" i="16"/>
  <c r="H81" i="16"/>
  <c r="H67" i="16"/>
  <c r="H69" i="16"/>
  <c r="H70" i="16"/>
  <c r="H71" i="16"/>
  <c r="G106" i="16"/>
  <c r="E106" i="16"/>
  <c r="B106" i="16"/>
  <c r="G105" i="16"/>
  <c r="E105" i="16"/>
  <c r="B105" i="16"/>
  <c r="G100" i="16"/>
  <c r="E100" i="16"/>
  <c r="B100" i="16"/>
  <c r="G99" i="16"/>
  <c r="E99" i="16"/>
  <c r="B99" i="16"/>
  <c r="G98" i="16"/>
  <c r="E98" i="16"/>
  <c r="B98" i="16"/>
  <c r="G97" i="16"/>
  <c r="E97" i="16"/>
  <c r="B97" i="16"/>
  <c r="G96" i="16"/>
  <c r="E96" i="16"/>
  <c r="B96" i="16"/>
  <c r="G95" i="16"/>
  <c r="E95" i="16"/>
  <c r="B95" i="16"/>
  <c r="G94" i="16"/>
  <c r="E94" i="16"/>
  <c r="B94" i="16"/>
  <c r="G93" i="16"/>
  <c r="E93" i="16"/>
  <c r="B93" i="16"/>
  <c r="G92" i="16"/>
  <c r="E92" i="16"/>
  <c r="B92" i="16"/>
  <c r="F81" i="16"/>
  <c r="E81" i="16"/>
  <c r="B81" i="16"/>
  <c r="F80" i="16"/>
  <c r="E80" i="16"/>
  <c r="B80" i="16"/>
  <c r="F79" i="16"/>
  <c r="E79" i="16"/>
  <c r="B79" i="16"/>
  <c r="F71" i="16"/>
  <c r="E71" i="16"/>
  <c r="B71" i="16"/>
  <c r="F70" i="16"/>
  <c r="E70" i="16"/>
  <c r="B70" i="16"/>
  <c r="F69" i="16"/>
  <c r="E69" i="16"/>
  <c r="B69" i="16"/>
  <c r="F67" i="16"/>
  <c r="E67" i="16"/>
  <c r="B67" i="16"/>
  <c r="N57" i="16"/>
  <c r="M57" i="16"/>
  <c r="L57" i="16"/>
  <c r="D1" i="16"/>
  <c r="G12" i="16"/>
  <c r="K16" i="13"/>
  <c r="K17" i="13" s="1"/>
  <c r="F15" i="13"/>
  <c r="E15" i="13"/>
  <c r="B15" i="13"/>
  <c r="F14" i="13"/>
  <c r="E14" i="13"/>
  <c r="B14" i="13"/>
  <c r="F11" i="13"/>
  <c r="E11" i="13"/>
  <c r="B11" i="13"/>
  <c r="G88" i="13"/>
  <c r="E88" i="13"/>
  <c r="B88" i="13"/>
  <c r="F81" i="13"/>
  <c r="E81" i="13"/>
  <c r="B81" i="13"/>
  <c r="F80" i="13"/>
  <c r="E80" i="13"/>
  <c r="B80" i="13"/>
  <c r="F79" i="13"/>
  <c r="E79" i="13"/>
  <c r="B79" i="13"/>
  <c r="F78" i="13"/>
  <c r="E78" i="13"/>
  <c r="B78" i="13"/>
  <c r="F71" i="13"/>
  <c r="E71" i="13"/>
  <c r="B71" i="13"/>
  <c r="F70" i="13"/>
  <c r="E70" i="13"/>
  <c r="B70" i="13"/>
  <c r="F69" i="13"/>
  <c r="E69" i="13"/>
  <c r="B69" i="13"/>
  <c r="F68" i="13"/>
  <c r="E68" i="13"/>
  <c r="B68" i="13"/>
  <c r="G123" i="13"/>
  <c r="G162" i="13"/>
  <c r="E162" i="13"/>
  <c r="B162" i="13"/>
  <c r="G161" i="13"/>
  <c r="E161" i="13"/>
  <c r="B161" i="13"/>
  <c r="G156" i="13"/>
  <c r="E156" i="13"/>
  <c r="B156" i="13"/>
  <c r="G155" i="13"/>
  <c r="E155" i="13"/>
  <c r="B155" i="13"/>
  <c r="G154" i="13"/>
  <c r="E154" i="13"/>
  <c r="B154" i="13"/>
  <c r="G153" i="13"/>
  <c r="E153" i="13"/>
  <c r="B153" i="13"/>
  <c r="G152" i="13"/>
  <c r="E152" i="13"/>
  <c r="B152" i="13"/>
  <c r="G151" i="13"/>
  <c r="E151" i="13"/>
  <c r="B151" i="13"/>
  <c r="G150" i="13"/>
  <c r="E150" i="13"/>
  <c r="B150" i="13"/>
  <c r="G149" i="13"/>
  <c r="E149" i="13"/>
  <c r="B149" i="13"/>
  <c r="G148" i="13"/>
  <c r="E148" i="13"/>
  <c r="B148" i="13"/>
  <c r="G147" i="13"/>
  <c r="E147" i="13"/>
  <c r="B147" i="13"/>
  <c r="G146" i="13"/>
  <c r="E146" i="13"/>
  <c r="B146" i="13"/>
  <c r="G145" i="13"/>
  <c r="E145" i="13"/>
  <c r="B145" i="13"/>
  <c r="G144" i="13"/>
  <c r="E144" i="13"/>
  <c r="B144" i="13"/>
  <c r="F137" i="13"/>
  <c r="E137" i="13"/>
  <c r="B137" i="13"/>
  <c r="F136" i="13"/>
  <c r="E136" i="13"/>
  <c r="B136" i="13"/>
  <c r="F135" i="13"/>
  <c r="E135" i="13"/>
  <c r="B135" i="13"/>
  <c r="F134" i="13"/>
  <c r="E134" i="13"/>
  <c r="B134" i="13"/>
  <c r="F127" i="13"/>
  <c r="E127" i="13"/>
  <c r="B127" i="13"/>
  <c r="F126" i="13"/>
  <c r="E126" i="13"/>
  <c r="B126" i="13"/>
  <c r="F125" i="13"/>
  <c r="E125" i="13"/>
  <c r="B125" i="13"/>
  <c r="F124" i="13"/>
  <c r="E124" i="13"/>
  <c r="B124" i="13"/>
  <c r="N113" i="13"/>
  <c r="M113" i="13"/>
  <c r="L113" i="13"/>
  <c r="D113" i="13"/>
  <c r="H201" i="16"/>
  <c r="H257" i="16"/>
  <c r="H313" i="16"/>
  <c r="H436" i="26"/>
  <c r="F315" i="23"/>
  <c r="H315" i="23"/>
  <c r="F312" i="23"/>
  <c r="F311" i="23"/>
  <c r="G218" i="25"/>
  <c r="E218" i="25"/>
  <c r="B218" i="25"/>
  <c r="G217" i="25"/>
  <c r="E217" i="25"/>
  <c r="B217" i="25"/>
  <c r="G212" i="25"/>
  <c r="E212" i="25"/>
  <c r="B212" i="25"/>
  <c r="G211" i="25"/>
  <c r="E211" i="25"/>
  <c r="B211" i="25"/>
  <c r="G210" i="25"/>
  <c r="E210" i="25"/>
  <c r="B210" i="25"/>
  <c r="G209" i="25"/>
  <c r="E209" i="25"/>
  <c r="B209" i="25"/>
  <c r="F183" i="25"/>
  <c r="E183" i="25"/>
  <c r="B183" i="25"/>
  <c r="F182" i="25"/>
  <c r="E182" i="25"/>
  <c r="B182" i="25"/>
  <c r="F181" i="25"/>
  <c r="E181" i="25"/>
  <c r="B181" i="25"/>
  <c r="F180" i="25"/>
  <c r="E180" i="25"/>
  <c r="B180" i="25"/>
  <c r="N169" i="25"/>
  <c r="M169" i="25"/>
  <c r="L169" i="25"/>
  <c r="D169" i="25"/>
  <c r="F309" i="23"/>
  <c r="H309" i="23" s="1"/>
  <c r="F317" i="23"/>
  <c r="G161" i="25"/>
  <c r="E161" i="25"/>
  <c r="B161" i="25"/>
  <c r="G156" i="25"/>
  <c r="E156" i="25"/>
  <c r="B156" i="25"/>
  <c r="G155" i="25"/>
  <c r="E155" i="25"/>
  <c r="B155" i="25"/>
  <c r="G154" i="25"/>
  <c r="E154" i="25"/>
  <c r="B154" i="25"/>
  <c r="G153" i="25"/>
  <c r="E153" i="25"/>
  <c r="B153" i="25"/>
  <c r="E152" i="25"/>
  <c r="B152" i="25"/>
  <c r="G148" i="25"/>
  <c r="E148" i="25"/>
  <c r="B148" i="25"/>
  <c r="G147" i="25"/>
  <c r="E147" i="25"/>
  <c r="B147" i="25"/>
  <c r="G146" i="25"/>
  <c r="E146" i="25"/>
  <c r="B146" i="25"/>
  <c r="F137" i="25"/>
  <c r="E137" i="25"/>
  <c r="B137" i="25"/>
  <c r="F136" i="25"/>
  <c r="E136" i="25"/>
  <c r="B136" i="25"/>
  <c r="F135" i="25"/>
  <c r="E135" i="25"/>
  <c r="B135" i="25"/>
  <c r="F134" i="25"/>
  <c r="E134" i="25"/>
  <c r="B134" i="25"/>
  <c r="F127" i="25"/>
  <c r="E127" i="25"/>
  <c r="B127" i="25"/>
  <c r="F126" i="25"/>
  <c r="E126" i="25"/>
  <c r="B126" i="25"/>
  <c r="F125" i="25"/>
  <c r="E125" i="25"/>
  <c r="B125" i="25"/>
  <c r="F124" i="25"/>
  <c r="E124" i="25"/>
  <c r="B124" i="25"/>
  <c r="G162" i="25"/>
  <c r="E162" i="25"/>
  <c r="B162" i="25"/>
  <c r="N113" i="25"/>
  <c r="M113" i="25"/>
  <c r="L113" i="25"/>
  <c r="D113" i="25"/>
  <c r="G105" i="25"/>
  <c r="E105" i="25"/>
  <c r="B105" i="25"/>
  <c r="G100" i="25"/>
  <c r="E100" i="25"/>
  <c r="B100" i="25"/>
  <c r="G99" i="25"/>
  <c r="E99" i="25"/>
  <c r="B99" i="25"/>
  <c r="G98" i="25"/>
  <c r="E98" i="25"/>
  <c r="B98" i="25"/>
  <c r="G97" i="25"/>
  <c r="E97" i="25"/>
  <c r="B97" i="25"/>
  <c r="E96" i="25"/>
  <c r="B96" i="25"/>
  <c r="G95" i="25"/>
  <c r="E95" i="25"/>
  <c r="B95" i="25"/>
  <c r="G94" i="25"/>
  <c r="E94" i="25"/>
  <c r="B94" i="25"/>
  <c r="G93" i="25"/>
  <c r="E93" i="25"/>
  <c r="B93" i="25"/>
  <c r="G92" i="25"/>
  <c r="E92" i="25"/>
  <c r="B92" i="25"/>
  <c r="G91" i="25"/>
  <c r="E91" i="25"/>
  <c r="B91" i="25"/>
  <c r="G90" i="25"/>
  <c r="E90" i="25"/>
  <c r="B90" i="25"/>
  <c r="J89" i="25"/>
  <c r="G89" i="25"/>
  <c r="E89" i="25"/>
  <c r="B89" i="25"/>
  <c r="J88" i="25"/>
  <c r="J85" i="25" s="1"/>
  <c r="G88" i="25"/>
  <c r="E88" i="25"/>
  <c r="B88" i="25"/>
  <c r="J87" i="25"/>
  <c r="F81" i="25"/>
  <c r="E81" i="25"/>
  <c r="B81" i="25"/>
  <c r="F80" i="25"/>
  <c r="E80" i="25"/>
  <c r="B80" i="25"/>
  <c r="F79" i="25"/>
  <c r="E79" i="25"/>
  <c r="B79" i="25"/>
  <c r="F78" i="25"/>
  <c r="E78" i="25"/>
  <c r="B78" i="25"/>
  <c r="F71" i="25"/>
  <c r="E71" i="25"/>
  <c r="B71" i="25"/>
  <c r="F70" i="25"/>
  <c r="E70" i="25"/>
  <c r="B70" i="25"/>
  <c r="F69" i="25"/>
  <c r="E69" i="25"/>
  <c r="B69" i="25"/>
  <c r="E68" i="25"/>
  <c r="F68" i="25"/>
  <c r="B68" i="25"/>
  <c r="F23" i="25"/>
  <c r="E23" i="25"/>
  <c r="B23" i="25"/>
  <c r="F22" i="25"/>
  <c r="E22" i="25"/>
  <c r="B22" i="25"/>
  <c r="G106" i="25"/>
  <c r="E106" i="25"/>
  <c r="B106" i="25"/>
  <c r="N57" i="25"/>
  <c r="M57" i="25"/>
  <c r="L57" i="25"/>
  <c r="D57" i="25"/>
  <c r="H477" i="16"/>
  <c r="H479" i="16"/>
  <c r="H480" i="16"/>
  <c r="H481" i="16"/>
  <c r="H482" i="16"/>
  <c r="H483" i="16"/>
  <c r="F461" i="16"/>
  <c r="H461" i="16"/>
  <c r="G498" i="16"/>
  <c r="E498" i="16"/>
  <c r="B498" i="16"/>
  <c r="G497" i="16"/>
  <c r="E497" i="16"/>
  <c r="B497" i="16"/>
  <c r="G492" i="16"/>
  <c r="E492" i="16"/>
  <c r="B492" i="16"/>
  <c r="G491" i="16"/>
  <c r="E491" i="16"/>
  <c r="B491" i="16"/>
  <c r="G490" i="16"/>
  <c r="E490" i="16"/>
  <c r="B490" i="16"/>
  <c r="G489" i="16"/>
  <c r="E489" i="16"/>
  <c r="B489" i="16"/>
  <c r="G488" i="16"/>
  <c r="E488" i="16"/>
  <c r="B488" i="16"/>
  <c r="G487" i="16"/>
  <c r="E487" i="16"/>
  <c r="B487" i="16"/>
  <c r="G486" i="16"/>
  <c r="E486" i="16"/>
  <c r="B486" i="16"/>
  <c r="G485" i="16"/>
  <c r="E485" i="16"/>
  <c r="B485" i="16"/>
  <c r="G484" i="16"/>
  <c r="E484" i="16"/>
  <c r="B484" i="16"/>
  <c r="K479" i="16"/>
  <c r="K480" i="16"/>
  <c r="K481" i="16" s="1"/>
  <c r="K470" i="16"/>
  <c r="K471" i="16"/>
  <c r="K474" i="16" s="1"/>
  <c r="F473" i="16"/>
  <c r="E473" i="16"/>
  <c r="B473" i="16"/>
  <c r="F472" i="16"/>
  <c r="E472" i="16"/>
  <c r="B472" i="16"/>
  <c r="F471" i="16"/>
  <c r="E471" i="16"/>
  <c r="B471" i="16"/>
  <c r="F463" i="16"/>
  <c r="E463" i="16"/>
  <c r="B463" i="16"/>
  <c r="F462" i="16"/>
  <c r="E462" i="16"/>
  <c r="B462" i="16"/>
  <c r="F459" i="16"/>
  <c r="E459" i="16"/>
  <c r="B459" i="16"/>
  <c r="N449" i="16"/>
  <c r="M449" i="16"/>
  <c r="L449" i="16"/>
  <c r="H421" i="16"/>
  <c r="H423" i="16"/>
  <c r="H424" i="16"/>
  <c r="H425" i="16"/>
  <c r="H426" i="16"/>
  <c r="H427" i="16"/>
  <c r="F405" i="16"/>
  <c r="H405" i="16" s="1"/>
  <c r="G442" i="16"/>
  <c r="E442" i="16"/>
  <c r="B442" i="16"/>
  <c r="G441" i="16"/>
  <c r="E441" i="16"/>
  <c r="B441" i="16"/>
  <c r="G436" i="16"/>
  <c r="E436" i="16"/>
  <c r="B436" i="16"/>
  <c r="G435" i="16"/>
  <c r="E435" i="16"/>
  <c r="B435" i="16"/>
  <c r="G434" i="16"/>
  <c r="E434" i="16"/>
  <c r="B434" i="16"/>
  <c r="G433" i="16"/>
  <c r="E433" i="16"/>
  <c r="B433" i="16"/>
  <c r="G432" i="16"/>
  <c r="E432" i="16"/>
  <c r="B432" i="16"/>
  <c r="G431" i="16"/>
  <c r="E431" i="16"/>
  <c r="B431" i="16"/>
  <c r="G430" i="16"/>
  <c r="E430" i="16"/>
  <c r="B430" i="16"/>
  <c r="G429" i="16"/>
  <c r="E429" i="16"/>
  <c r="B429" i="16"/>
  <c r="G428" i="16"/>
  <c r="E428" i="16"/>
  <c r="B428" i="16"/>
  <c r="K423" i="16"/>
  <c r="K424" i="16"/>
  <c r="K425" i="16" s="1"/>
  <c r="K414" i="16"/>
  <c r="K415" i="16"/>
  <c r="F417" i="16"/>
  <c r="E417" i="16"/>
  <c r="B417" i="16"/>
  <c r="F416" i="16"/>
  <c r="E416" i="16"/>
  <c r="B416" i="16"/>
  <c r="F415" i="16"/>
  <c r="E415" i="16"/>
  <c r="B415" i="16"/>
  <c r="F407" i="16"/>
  <c r="E407" i="16"/>
  <c r="B407" i="16"/>
  <c r="F406" i="16"/>
  <c r="E406" i="16"/>
  <c r="B406" i="16"/>
  <c r="F403" i="16"/>
  <c r="E403" i="16"/>
  <c r="B403" i="16"/>
  <c r="N393" i="16"/>
  <c r="M393" i="16"/>
  <c r="L393" i="16"/>
  <c r="H309" i="16"/>
  <c r="H311" i="16"/>
  <c r="H312" i="16"/>
  <c r="H314" i="16"/>
  <c r="H315" i="16"/>
  <c r="F293" i="16"/>
  <c r="H293" i="16" s="1"/>
  <c r="H253" i="16"/>
  <c r="H255" i="16"/>
  <c r="H256" i="16"/>
  <c r="H258" i="16"/>
  <c r="H259" i="16"/>
  <c r="F237" i="16"/>
  <c r="H237" i="16" s="1"/>
  <c r="H197" i="16"/>
  <c r="H199" i="16"/>
  <c r="H200" i="16"/>
  <c r="H202" i="16"/>
  <c r="H203" i="16"/>
  <c r="F181" i="16"/>
  <c r="H181" i="16"/>
  <c r="G330" i="16"/>
  <c r="E330" i="16"/>
  <c r="B330" i="16"/>
  <c r="G329" i="16"/>
  <c r="E329" i="16"/>
  <c r="B329" i="16"/>
  <c r="G324" i="16"/>
  <c r="E324" i="16"/>
  <c r="B324" i="16"/>
  <c r="G323" i="16"/>
  <c r="E323" i="16"/>
  <c r="B323" i="16"/>
  <c r="G322" i="16"/>
  <c r="E322" i="16"/>
  <c r="B322" i="16"/>
  <c r="G321" i="16"/>
  <c r="E321" i="16"/>
  <c r="B321" i="16"/>
  <c r="G320" i="16"/>
  <c r="E320" i="16"/>
  <c r="B320" i="16"/>
  <c r="G319" i="16"/>
  <c r="E319" i="16"/>
  <c r="B319" i="16"/>
  <c r="G318" i="16"/>
  <c r="E318" i="16"/>
  <c r="B318" i="16"/>
  <c r="G317" i="16"/>
  <c r="E317" i="16"/>
  <c r="B317" i="16"/>
  <c r="G316" i="16"/>
  <c r="E316" i="16"/>
  <c r="B316" i="16"/>
  <c r="K311" i="16"/>
  <c r="K312" i="16"/>
  <c r="K313" i="16" s="1"/>
  <c r="K302" i="16"/>
  <c r="K303" i="16"/>
  <c r="K306" i="16"/>
  <c r="F305" i="16"/>
  <c r="E305" i="16"/>
  <c r="B305" i="16"/>
  <c r="F304" i="16"/>
  <c r="E304" i="16"/>
  <c r="B304" i="16"/>
  <c r="F303" i="16"/>
  <c r="E303" i="16"/>
  <c r="B303" i="16"/>
  <c r="K300" i="16"/>
  <c r="F295" i="16"/>
  <c r="E295" i="16"/>
  <c r="B295" i="16"/>
  <c r="F294" i="16"/>
  <c r="E294" i="16"/>
  <c r="B294" i="16"/>
  <c r="F291" i="16"/>
  <c r="E291" i="16"/>
  <c r="B291" i="16"/>
  <c r="N281" i="16"/>
  <c r="M281" i="16"/>
  <c r="L281" i="16"/>
  <c r="G274" i="16"/>
  <c r="E274" i="16"/>
  <c r="B274" i="16"/>
  <c r="G273" i="16"/>
  <c r="E273" i="16"/>
  <c r="B273" i="16"/>
  <c r="G268" i="16"/>
  <c r="E268" i="16"/>
  <c r="B268" i="16"/>
  <c r="G267" i="16"/>
  <c r="E267" i="16"/>
  <c r="B267" i="16"/>
  <c r="G266" i="16"/>
  <c r="E266" i="16"/>
  <c r="B266" i="16"/>
  <c r="G265" i="16"/>
  <c r="E265" i="16"/>
  <c r="B265" i="16"/>
  <c r="G264" i="16"/>
  <c r="E264" i="16"/>
  <c r="B264" i="16"/>
  <c r="G263" i="16"/>
  <c r="E263" i="16"/>
  <c r="B263" i="16"/>
  <c r="G262" i="16"/>
  <c r="E262" i="16"/>
  <c r="B262" i="16"/>
  <c r="G261" i="16"/>
  <c r="E261" i="16"/>
  <c r="B261" i="16"/>
  <c r="G260" i="16"/>
  <c r="E260" i="16"/>
  <c r="B260" i="16"/>
  <c r="K255" i="16"/>
  <c r="K256" i="16"/>
  <c r="K257" i="16"/>
  <c r="K246" i="16"/>
  <c r="K250" i="16" s="1"/>
  <c r="K247" i="16"/>
  <c r="F249" i="16"/>
  <c r="E249" i="16"/>
  <c r="B249" i="16"/>
  <c r="F248" i="16"/>
  <c r="E248" i="16"/>
  <c r="B248" i="16"/>
  <c r="F247" i="16"/>
  <c r="E247" i="16"/>
  <c r="B247" i="16"/>
  <c r="K244" i="16"/>
  <c r="F239" i="16"/>
  <c r="E239" i="16"/>
  <c r="B239" i="16"/>
  <c r="F238" i="16"/>
  <c r="E238" i="16"/>
  <c r="B238" i="16"/>
  <c r="F235" i="16"/>
  <c r="E235" i="16"/>
  <c r="B235" i="16"/>
  <c r="N225" i="16"/>
  <c r="M225" i="16"/>
  <c r="L225" i="16"/>
  <c r="K702" i="25"/>
  <c r="F702" i="25"/>
  <c r="F701" i="25" s="1"/>
  <c r="G716" i="25"/>
  <c r="E716" i="25"/>
  <c r="B716" i="25"/>
  <c r="G715" i="25"/>
  <c r="E715" i="25"/>
  <c r="B715" i="25"/>
  <c r="G714" i="25"/>
  <c r="E714" i="25"/>
  <c r="B714" i="25"/>
  <c r="G713" i="25"/>
  <c r="E713" i="25"/>
  <c r="B713" i="25"/>
  <c r="G712" i="25"/>
  <c r="E712" i="25"/>
  <c r="B712" i="25"/>
  <c r="G711" i="25"/>
  <c r="E711" i="25"/>
  <c r="B711" i="25"/>
  <c r="G710" i="25"/>
  <c r="E710" i="25"/>
  <c r="B710" i="25"/>
  <c r="G709" i="25"/>
  <c r="E709" i="25"/>
  <c r="B709" i="25"/>
  <c r="G708" i="25"/>
  <c r="E708" i="25"/>
  <c r="B708" i="25"/>
  <c r="F697" i="25"/>
  <c r="E697" i="25"/>
  <c r="B697" i="25"/>
  <c r="F696" i="25"/>
  <c r="E696" i="25"/>
  <c r="B696" i="25"/>
  <c r="K695" i="25"/>
  <c r="K694" i="25"/>
  <c r="G691" i="25"/>
  <c r="F691" i="25"/>
  <c r="E691" i="25"/>
  <c r="B691" i="25"/>
  <c r="F687" i="25"/>
  <c r="E687" i="25"/>
  <c r="B687" i="25"/>
  <c r="F686" i="25"/>
  <c r="E686" i="25"/>
  <c r="B686" i="25"/>
  <c r="F685" i="25"/>
  <c r="E685" i="25"/>
  <c r="B685" i="25"/>
  <c r="G722" i="25"/>
  <c r="E722" i="25"/>
  <c r="B722" i="25"/>
  <c r="G721" i="25"/>
  <c r="E721" i="25"/>
  <c r="B721" i="25"/>
  <c r="N673" i="25"/>
  <c r="M673" i="25"/>
  <c r="L673" i="25"/>
  <c r="D673" i="25"/>
  <c r="K188" i="16"/>
  <c r="H365" i="16"/>
  <c r="H367" i="16"/>
  <c r="H368" i="16"/>
  <c r="H369" i="16"/>
  <c r="H370" i="16"/>
  <c r="H371" i="16"/>
  <c r="F349" i="16"/>
  <c r="H349" i="16"/>
  <c r="K367" i="16"/>
  <c r="K368" i="16" s="1"/>
  <c r="K369" i="16" s="1"/>
  <c r="F350" i="16"/>
  <c r="E350" i="16"/>
  <c r="B350" i="16"/>
  <c r="F347" i="16"/>
  <c r="E347" i="16"/>
  <c r="B347" i="16"/>
  <c r="G386" i="16"/>
  <c r="E386" i="16"/>
  <c r="B386" i="16"/>
  <c r="G385" i="16"/>
  <c r="E385" i="16"/>
  <c r="B385" i="16"/>
  <c r="G380" i="16"/>
  <c r="E380" i="16"/>
  <c r="B380" i="16"/>
  <c r="G379" i="16"/>
  <c r="E379" i="16"/>
  <c r="B379" i="16"/>
  <c r="G378" i="16"/>
  <c r="E378" i="16"/>
  <c r="B378" i="16"/>
  <c r="G377" i="16"/>
  <c r="E377" i="16"/>
  <c r="B377" i="16"/>
  <c r="G376" i="16"/>
  <c r="E376" i="16"/>
  <c r="B376" i="16"/>
  <c r="G375" i="16"/>
  <c r="E375" i="16"/>
  <c r="B375" i="16"/>
  <c r="G374" i="16"/>
  <c r="E374" i="16"/>
  <c r="B374" i="16"/>
  <c r="G373" i="16"/>
  <c r="E373" i="16"/>
  <c r="B373" i="16"/>
  <c r="G372" i="16"/>
  <c r="E372" i="16"/>
  <c r="B372" i="16"/>
  <c r="F361" i="16"/>
  <c r="E361" i="16"/>
  <c r="B361" i="16"/>
  <c r="F360" i="16"/>
  <c r="E360" i="16"/>
  <c r="B360" i="16"/>
  <c r="K359" i="16"/>
  <c r="K362" i="16" s="1"/>
  <c r="F359" i="16"/>
  <c r="E359" i="16"/>
  <c r="B359" i="16"/>
  <c r="K358" i="16"/>
  <c r="F351" i="16"/>
  <c r="E351" i="16"/>
  <c r="B351" i="16"/>
  <c r="N337" i="16"/>
  <c r="M337" i="16"/>
  <c r="L337" i="16"/>
  <c r="F182" i="16"/>
  <c r="E182" i="16"/>
  <c r="B182" i="16"/>
  <c r="F179" i="16"/>
  <c r="E179" i="16"/>
  <c r="B179" i="16"/>
  <c r="F519" i="16"/>
  <c r="F518" i="16"/>
  <c r="F517" i="16"/>
  <c r="H517" i="16"/>
  <c r="F515" i="16"/>
  <c r="H491" i="26"/>
  <c r="F459" i="26"/>
  <c r="H459" i="26"/>
  <c r="F460" i="26"/>
  <c r="H460" i="26"/>
  <c r="F461" i="26"/>
  <c r="H461" i="26" s="1"/>
  <c r="F478" i="26"/>
  <c r="B472" i="26"/>
  <c r="H199" i="26"/>
  <c r="H200" i="26"/>
  <c r="H201" i="26"/>
  <c r="H202" i="26"/>
  <c r="H203" i="26"/>
  <c r="H204" i="26"/>
  <c r="H205" i="26"/>
  <c r="H206" i="26"/>
  <c r="H192" i="26"/>
  <c r="G179" i="26"/>
  <c r="H180" i="26"/>
  <c r="H181" i="26"/>
  <c r="H182" i="26"/>
  <c r="K197" i="26"/>
  <c r="F193" i="26"/>
  <c r="F192" i="26"/>
  <c r="K191" i="26"/>
  <c r="F191" i="26"/>
  <c r="E191" i="26"/>
  <c r="K190" i="26"/>
  <c r="F190" i="26"/>
  <c r="E190" i="26"/>
  <c r="F183" i="26"/>
  <c r="F182" i="26"/>
  <c r="F181" i="26"/>
  <c r="F180" i="26"/>
  <c r="N169" i="26"/>
  <c r="M169" i="26"/>
  <c r="L169" i="26"/>
  <c r="D1" i="26"/>
  <c r="G235" i="26"/>
  <c r="B236" i="26"/>
  <c r="E236" i="26"/>
  <c r="F236" i="26"/>
  <c r="B237" i="26"/>
  <c r="E237" i="26"/>
  <c r="F237" i="26"/>
  <c r="B238" i="26"/>
  <c r="E238" i="26"/>
  <c r="F238" i="26"/>
  <c r="B239" i="26"/>
  <c r="E239" i="26"/>
  <c r="F239" i="26"/>
  <c r="B247" i="26"/>
  <c r="E247" i="26"/>
  <c r="F247" i="26"/>
  <c r="B248" i="26"/>
  <c r="E248" i="26"/>
  <c r="F248" i="26"/>
  <c r="B249" i="26"/>
  <c r="E249" i="26"/>
  <c r="F249" i="26"/>
  <c r="B259" i="26"/>
  <c r="E259" i="26"/>
  <c r="G259" i="26"/>
  <c r="B260" i="26"/>
  <c r="E260" i="26"/>
  <c r="G260" i="26"/>
  <c r="G123" i="26"/>
  <c r="G124" i="26" s="1"/>
  <c r="B125" i="26"/>
  <c r="E125" i="26"/>
  <c r="F125" i="26"/>
  <c r="B126" i="26"/>
  <c r="E126" i="26"/>
  <c r="F126" i="26"/>
  <c r="B127" i="26"/>
  <c r="E127" i="26"/>
  <c r="F127" i="26"/>
  <c r="K134" i="26"/>
  <c r="K135" i="26"/>
  <c r="B136" i="26"/>
  <c r="E136" i="26"/>
  <c r="F136" i="26"/>
  <c r="B137" i="26"/>
  <c r="E137" i="26"/>
  <c r="F137" i="26"/>
  <c r="K141" i="26"/>
  <c r="G67" i="26"/>
  <c r="G507" i="10"/>
  <c r="J168" i="23"/>
  <c r="G162" i="23"/>
  <c r="E162" i="23"/>
  <c r="B162" i="23"/>
  <c r="G161" i="23"/>
  <c r="E161" i="23"/>
  <c r="B161" i="23"/>
  <c r="G156" i="23"/>
  <c r="E156" i="23"/>
  <c r="B156" i="23"/>
  <c r="G155" i="23"/>
  <c r="E155" i="23"/>
  <c r="B155" i="23"/>
  <c r="G154" i="23"/>
  <c r="E154" i="23"/>
  <c r="B154" i="23"/>
  <c r="G153" i="23"/>
  <c r="E153" i="23"/>
  <c r="B153" i="23"/>
  <c r="G152" i="23"/>
  <c r="E152" i="23"/>
  <c r="B152" i="23"/>
  <c r="G151" i="23"/>
  <c r="E151" i="23"/>
  <c r="B151" i="23"/>
  <c r="G150" i="23"/>
  <c r="E150" i="23"/>
  <c r="B150" i="23"/>
  <c r="H149" i="23"/>
  <c r="H148" i="23"/>
  <c r="H147" i="23"/>
  <c r="H146" i="23"/>
  <c r="H145" i="23"/>
  <c r="H144" i="23"/>
  <c r="H143" i="23"/>
  <c r="H142" i="23"/>
  <c r="H141" i="23"/>
  <c r="F137" i="23"/>
  <c r="E137" i="23"/>
  <c r="B137" i="23"/>
  <c r="F136" i="23"/>
  <c r="E136" i="23"/>
  <c r="B136" i="23"/>
  <c r="F135" i="23"/>
  <c r="E135" i="23"/>
  <c r="B135" i="23"/>
  <c r="F134" i="23"/>
  <c r="E134" i="23"/>
  <c r="B134" i="23"/>
  <c r="G131" i="23"/>
  <c r="F131" i="23"/>
  <c r="E131" i="23"/>
  <c r="B131" i="23"/>
  <c r="F127" i="23"/>
  <c r="E127" i="23"/>
  <c r="B127" i="23"/>
  <c r="F126" i="23"/>
  <c r="E126" i="23"/>
  <c r="B126" i="23"/>
  <c r="F125" i="23"/>
  <c r="E125" i="23"/>
  <c r="B125" i="23"/>
  <c r="F124" i="23"/>
  <c r="E124" i="23"/>
  <c r="B124" i="23"/>
  <c r="F123" i="23"/>
  <c r="E123" i="23"/>
  <c r="B123" i="23"/>
  <c r="N113" i="23"/>
  <c r="M113" i="23"/>
  <c r="L113" i="23"/>
  <c r="D113" i="23"/>
  <c r="J112" i="23"/>
  <c r="G106" i="23"/>
  <c r="E106" i="23"/>
  <c r="B106" i="23"/>
  <c r="G105" i="23"/>
  <c r="E105" i="23"/>
  <c r="B105" i="23"/>
  <c r="G100" i="23"/>
  <c r="E100" i="23"/>
  <c r="B100" i="23"/>
  <c r="G99" i="23"/>
  <c r="E99" i="23"/>
  <c r="B99" i="23"/>
  <c r="G98" i="23"/>
  <c r="E98" i="23"/>
  <c r="B98" i="23"/>
  <c r="G97" i="23"/>
  <c r="E97" i="23"/>
  <c r="B97" i="23"/>
  <c r="G96" i="23"/>
  <c r="E96" i="23"/>
  <c r="B96" i="23"/>
  <c r="G95" i="23"/>
  <c r="E95" i="23"/>
  <c r="B95" i="23"/>
  <c r="G94" i="23"/>
  <c r="E94" i="23"/>
  <c r="B94" i="23"/>
  <c r="H93" i="23"/>
  <c r="H92" i="23"/>
  <c r="H91" i="23"/>
  <c r="H90" i="23"/>
  <c r="H89" i="23"/>
  <c r="H88" i="23"/>
  <c r="H87" i="23"/>
  <c r="H86" i="23"/>
  <c r="H85" i="23"/>
  <c r="F81" i="23"/>
  <c r="E81" i="23"/>
  <c r="B81" i="23"/>
  <c r="F80" i="23"/>
  <c r="E80" i="23"/>
  <c r="B80" i="23"/>
  <c r="F79" i="23"/>
  <c r="E79" i="23"/>
  <c r="B79" i="23"/>
  <c r="F78" i="23"/>
  <c r="E78" i="23"/>
  <c r="B78" i="23"/>
  <c r="G75" i="23"/>
  <c r="F75" i="23"/>
  <c r="E75" i="23"/>
  <c r="B75" i="23"/>
  <c r="F71" i="23"/>
  <c r="E71" i="23"/>
  <c r="B71" i="23"/>
  <c r="F70" i="23"/>
  <c r="E70" i="23"/>
  <c r="B70" i="23"/>
  <c r="F69" i="23"/>
  <c r="E69" i="23"/>
  <c r="B69" i="23"/>
  <c r="F68" i="23"/>
  <c r="E68" i="23"/>
  <c r="B68" i="23"/>
  <c r="F67" i="23"/>
  <c r="E67" i="23"/>
  <c r="B67" i="23"/>
  <c r="N57" i="23"/>
  <c r="M57" i="23"/>
  <c r="L57" i="23"/>
  <c r="D57" i="23"/>
  <c r="F80" i="26"/>
  <c r="F68" i="26"/>
  <c r="J694" i="21"/>
  <c r="F694" i="21"/>
  <c r="E694" i="21"/>
  <c r="B694" i="21"/>
  <c r="K692" i="21"/>
  <c r="G691" i="21"/>
  <c r="F691" i="21"/>
  <c r="E691" i="21"/>
  <c r="B691" i="21"/>
  <c r="H702" i="21"/>
  <c r="H701" i="21"/>
  <c r="F697" i="21"/>
  <c r="F696" i="21"/>
  <c r="F695" i="21"/>
  <c r="F687" i="21"/>
  <c r="F686" i="21"/>
  <c r="F685" i="21"/>
  <c r="F684" i="21"/>
  <c r="F683" i="21"/>
  <c r="A677" i="21"/>
  <c r="L673" i="21"/>
  <c r="N673" i="21"/>
  <c r="M673" i="21"/>
  <c r="G645" i="21"/>
  <c r="H645" i="21"/>
  <c r="K589" i="21"/>
  <c r="J582" i="21"/>
  <c r="F582" i="21"/>
  <c r="E582" i="21"/>
  <c r="B582" i="21"/>
  <c r="K580" i="21"/>
  <c r="G579" i="21"/>
  <c r="F579" i="21"/>
  <c r="E579" i="21"/>
  <c r="B579" i="21"/>
  <c r="F641" i="21"/>
  <c r="F640" i="21"/>
  <c r="F639" i="21"/>
  <c r="F638" i="21"/>
  <c r="F631" i="21"/>
  <c r="F630" i="21"/>
  <c r="F629" i="21"/>
  <c r="F628" i="21"/>
  <c r="A621" i="21"/>
  <c r="L617" i="21" s="1"/>
  <c r="N617" i="21"/>
  <c r="M617" i="21"/>
  <c r="H589" i="21"/>
  <c r="F585" i="21"/>
  <c r="F584" i="21"/>
  <c r="F583" i="21"/>
  <c r="F575" i="21"/>
  <c r="F574" i="21"/>
  <c r="F573" i="21"/>
  <c r="F572" i="21"/>
  <c r="F571" i="21"/>
  <c r="A565" i="21"/>
  <c r="L561" i="21"/>
  <c r="N561" i="21"/>
  <c r="M561" i="21"/>
  <c r="G666" i="25"/>
  <c r="E666" i="25"/>
  <c r="B666" i="25"/>
  <c r="G665" i="25"/>
  <c r="E665" i="25"/>
  <c r="B665" i="25"/>
  <c r="G660" i="25"/>
  <c r="E660" i="25"/>
  <c r="B660" i="25"/>
  <c r="G659" i="25"/>
  <c r="E659" i="25"/>
  <c r="B659" i="25"/>
  <c r="G658" i="25"/>
  <c r="E658" i="25"/>
  <c r="B658" i="25"/>
  <c r="G657" i="25"/>
  <c r="E657" i="25"/>
  <c r="B657" i="25"/>
  <c r="J656" i="25"/>
  <c r="G656" i="25"/>
  <c r="E656" i="25"/>
  <c r="B656" i="25"/>
  <c r="J655" i="25"/>
  <c r="J657" i="25" s="1"/>
  <c r="K653" i="25"/>
  <c r="J653" i="25"/>
  <c r="K652" i="25"/>
  <c r="J652" i="25"/>
  <c r="G651" i="25"/>
  <c r="E651" i="25"/>
  <c r="B651" i="25"/>
  <c r="J649" i="25"/>
  <c r="J647" i="25"/>
  <c r="J645" i="25"/>
  <c r="J642" i="25"/>
  <c r="F641" i="25"/>
  <c r="E641" i="25"/>
  <c r="B641" i="25"/>
  <c r="F640" i="25"/>
  <c r="E640" i="25"/>
  <c r="B640" i="25"/>
  <c r="F639" i="25"/>
  <c r="E639" i="25"/>
  <c r="B639" i="25"/>
  <c r="J638" i="25"/>
  <c r="F638" i="25"/>
  <c r="E638" i="25"/>
  <c r="B638" i="25"/>
  <c r="K636" i="25"/>
  <c r="G635" i="25"/>
  <c r="F635" i="25"/>
  <c r="E635" i="25"/>
  <c r="B635" i="25"/>
  <c r="F631" i="25"/>
  <c r="E631" i="25"/>
  <c r="B631" i="25"/>
  <c r="F630" i="25"/>
  <c r="E630" i="25"/>
  <c r="B630" i="25"/>
  <c r="F629" i="25"/>
  <c r="E629" i="25"/>
  <c r="B629" i="25"/>
  <c r="F628" i="25"/>
  <c r="E628" i="25"/>
  <c r="B628" i="25"/>
  <c r="F627" i="25"/>
  <c r="E627" i="25"/>
  <c r="B627" i="25"/>
  <c r="N617" i="25"/>
  <c r="M617" i="25"/>
  <c r="L617" i="25"/>
  <c r="D617" i="25"/>
  <c r="G610" i="25"/>
  <c r="E610" i="25"/>
  <c r="B610" i="25"/>
  <c r="G609" i="25"/>
  <c r="E609" i="25"/>
  <c r="B609" i="25"/>
  <c r="G604" i="25"/>
  <c r="E604" i="25"/>
  <c r="B604" i="25"/>
  <c r="G603" i="25"/>
  <c r="E603" i="25"/>
  <c r="B603" i="25"/>
  <c r="G602" i="25"/>
  <c r="E602" i="25"/>
  <c r="B602" i="25"/>
  <c r="G601" i="25"/>
  <c r="E601" i="25"/>
  <c r="B601" i="25"/>
  <c r="J600" i="25"/>
  <c r="G600" i="25"/>
  <c r="E600" i="25"/>
  <c r="B600" i="25"/>
  <c r="J599" i="25"/>
  <c r="K597" i="25"/>
  <c r="J597" i="25"/>
  <c r="K596" i="25"/>
  <c r="J596" i="25"/>
  <c r="G595" i="25"/>
  <c r="E595" i="25"/>
  <c r="B595" i="25"/>
  <c r="J593" i="25"/>
  <c r="J591" i="25"/>
  <c r="J586" i="25"/>
  <c r="F585" i="25"/>
  <c r="E585" i="25"/>
  <c r="B585" i="25"/>
  <c r="F584" i="25"/>
  <c r="E584" i="25"/>
  <c r="B584" i="25"/>
  <c r="F583" i="25"/>
  <c r="E583" i="25"/>
  <c r="B583" i="25"/>
  <c r="J582" i="25"/>
  <c r="F582" i="25"/>
  <c r="E582" i="25"/>
  <c r="B582" i="25"/>
  <c r="K580" i="25"/>
  <c r="G579" i="25"/>
  <c r="F579" i="25"/>
  <c r="E579" i="25"/>
  <c r="B579" i="25"/>
  <c r="F575" i="25"/>
  <c r="E575" i="25"/>
  <c r="B575" i="25"/>
  <c r="F574" i="25"/>
  <c r="E574" i="25"/>
  <c r="B574" i="25"/>
  <c r="F573" i="25"/>
  <c r="E573" i="25"/>
  <c r="B573" i="25"/>
  <c r="F572" i="25"/>
  <c r="E572" i="25"/>
  <c r="B572" i="25"/>
  <c r="F571" i="25"/>
  <c r="E571" i="25"/>
  <c r="B571" i="25"/>
  <c r="N561" i="25"/>
  <c r="M561" i="25"/>
  <c r="L561" i="25"/>
  <c r="D561" i="25"/>
  <c r="G547" i="25"/>
  <c r="E547" i="25"/>
  <c r="B547" i="25"/>
  <c r="G546" i="25"/>
  <c r="E546" i="25"/>
  <c r="B546" i="25"/>
  <c r="J543" i="25"/>
  <c r="J545" i="25"/>
  <c r="J544" i="25"/>
  <c r="G545" i="25"/>
  <c r="E545" i="25"/>
  <c r="B545" i="25"/>
  <c r="G544" i="25"/>
  <c r="E544" i="25"/>
  <c r="B544" i="25"/>
  <c r="K541" i="25"/>
  <c r="J541" i="25"/>
  <c r="K540" i="25"/>
  <c r="J540" i="25"/>
  <c r="G539" i="25"/>
  <c r="E539" i="25"/>
  <c r="B539" i="25"/>
  <c r="J530" i="25"/>
  <c r="F529" i="25"/>
  <c r="E529" i="25"/>
  <c r="B529" i="25"/>
  <c r="F528" i="25"/>
  <c r="E528" i="25"/>
  <c r="B528" i="25"/>
  <c r="F527" i="25"/>
  <c r="E527" i="25"/>
  <c r="B527" i="25"/>
  <c r="J526" i="25"/>
  <c r="K524" i="25"/>
  <c r="G523" i="25"/>
  <c r="F523" i="25"/>
  <c r="E523" i="25"/>
  <c r="B523" i="25"/>
  <c r="F519" i="25"/>
  <c r="E519" i="25"/>
  <c r="B519" i="25"/>
  <c r="F518" i="25"/>
  <c r="E518" i="25"/>
  <c r="B518" i="25"/>
  <c r="F517" i="25"/>
  <c r="E517" i="25"/>
  <c r="B517" i="25"/>
  <c r="F473" i="21"/>
  <c r="F472" i="21"/>
  <c r="F471" i="21"/>
  <c r="F470" i="21"/>
  <c r="F463" i="21"/>
  <c r="F462" i="21"/>
  <c r="F461" i="21"/>
  <c r="F460" i="21"/>
  <c r="A453" i="21"/>
  <c r="L449" i="21" s="1"/>
  <c r="N449" i="21"/>
  <c r="M449" i="21"/>
  <c r="G145" i="28"/>
  <c r="H145" i="28" s="1"/>
  <c r="G144" i="28"/>
  <c r="G162" i="28"/>
  <c r="E162" i="28"/>
  <c r="B162" i="28"/>
  <c r="G161" i="28"/>
  <c r="E161" i="28"/>
  <c r="B161" i="28"/>
  <c r="G156" i="28"/>
  <c r="E156" i="28"/>
  <c r="B156" i="28"/>
  <c r="G155" i="28"/>
  <c r="E155" i="28"/>
  <c r="B155" i="28"/>
  <c r="G154" i="28"/>
  <c r="E154" i="28"/>
  <c r="B154" i="28"/>
  <c r="G153" i="28"/>
  <c r="E153" i="28"/>
  <c r="B153" i="28"/>
  <c r="G152" i="28"/>
  <c r="E152" i="28"/>
  <c r="B152" i="28"/>
  <c r="G151" i="28"/>
  <c r="E151" i="28"/>
  <c r="B151" i="28"/>
  <c r="G150" i="28"/>
  <c r="E150" i="28"/>
  <c r="B150" i="28"/>
  <c r="H149" i="28"/>
  <c r="H148" i="28"/>
  <c r="H147" i="28"/>
  <c r="H146" i="28"/>
  <c r="H144" i="28"/>
  <c r="H143" i="28"/>
  <c r="H142" i="28"/>
  <c r="F137" i="28"/>
  <c r="E137" i="28"/>
  <c r="B137" i="28"/>
  <c r="F136" i="28"/>
  <c r="E136" i="28"/>
  <c r="B136" i="28"/>
  <c r="F135" i="28"/>
  <c r="E135" i="28"/>
  <c r="B135" i="28"/>
  <c r="F134" i="28"/>
  <c r="E134" i="28"/>
  <c r="B134" i="28"/>
  <c r="G131" i="28"/>
  <c r="F131" i="28"/>
  <c r="E131" i="28"/>
  <c r="B131" i="28"/>
  <c r="F127" i="28"/>
  <c r="E127" i="28"/>
  <c r="B127" i="28"/>
  <c r="F126" i="28"/>
  <c r="E126" i="28"/>
  <c r="B126" i="28"/>
  <c r="F125" i="28"/>
  <c r="E125" i="28"/>
  <c r="B125" i="28"/>
  <c r="F124" i="28"/>
  <c r="E124" i="28"/>
  <c r="B124" i="28"/>
  <c r="F123" i="28"/>
  <c r="E123" i="28"/>
  <c r="B123" i="28"/>
  <c r="N113" i="28"/>
  <c r="M113" i="28"/>
  <c r="L113" i="28"/>
  <c r="H253" i="21"/>
  <c r="G254" i="21"/>
  <c r="H254" i="21"/>
  <c r="G278" i="21"/>
  <c r="G277" i="21"/>
  <c r="G274" i="21"/>
  <c r="E274" i="21"/>
  <c r="B274" i="21"/>
  <c r="G273" i="21"/>
  <c r="E273" i="21"/>
  <c r="B273" i="21"/>
  <c r="G272" i="21"/>
  <c r="E272" i="21"/>
  <c r="B272" i="21"/>
  <c r="G268" i="21"/>
  <c r="E268" i="21"/>
  <c r="B268" i="21"/>
  <c r="G267" i="21"/>
  <c r="E267" i="21"/>
  <c r="B267" i="21"/>
  <c r="G266" i="21"/>
  <c r="E266" i="21"/>
  <c r="B266" i="21"/>
  <c r="G265" i="21"/>
  <c r="E265" i="21"/>
  <c r="B265" i="21"/>
  <c r="G264" i="21"/>
  <c r="E264" i="21"/>
  <c r="B264" i="21"/>
  <c r="G263" i="21"/>
  <c r="E263" i="21"/>
  <c r="B263" i="21"/>
  <c r="G262" i="21"/>
  <c r="E262" i="21"/>
  <c r="B262" i="21"/>
  <c r="G261" i="21"/>
  <c r="E261" i="21"/>
  <c r="B261" i="21"/>
  <c r="G260" i="21"/>
  <c r="E260" i="21"/>
  <c r="B260" i="21"/>
  <c r="G259" i="21"/>
  <c r="E259" i="21"/>
  <c r="B259" i="21"/>
  <c r="G258" i="21"/>
  <c r="E258" i="21"/>
  <c r="B258" i="21"/>
  <c r="G257" i="21"/>
  <c r="E257" i="21"/>
  <c r="B257" i="21"/>
  <c r="G256" i="21"/>
  <c r="E256" i="21"/>
  <c r="B256" i="21"/>
  <c r="G255" i="21"/>
  <c r="E255" i="21"/>
  <c r="B255" i="21"/>
  <c r="F249" i="21"/>
  <c r="E249" i="21"/>
  <c r="B249" i="21"/>
  <c r="F248" i="21"/>
  <c r="E248" i="21"/>
  <c r="B248" i="21"/>
  <c r="F247" i="21"/>
  <c r="E247" i="21"/>
  <c r="B247" i="21"/>
  <c r="F246" i="21"/>
  <c r="E246" i="21"/>
  <c r="B246" i="21"/>
  <c r="F239" i="21"/>
  <c r="E239" i="21"/>
  <c r="B239" i="21"/>
  <c r="F238" i="21"/>
  <c r="E238" i="21"/>
  <c r="B238" i="21"/>
  <c r="F237" i="21"/>
  <c r="E237" i="21"/>
  <c r="B237" i="21"/>
  <c r="F236" i="21"/>
  <c r="E236" i="21"/>
  <c r="B236" i="21"/>
  <c r="F235" i="21"/>
  <c r="E235" i="21"/>
  <c r="B235" i="21"/>
  <c r="N225" i="21"/>
  <c r="M225" i="21"/>
  <c r="G1555" i="19"/>
  <c r="E1555" i="19"/>
  <c r="B1555" i="19"/>
  <c r="G1562" i="19"/>
  <c r="E1562" i="19"/>
  <c r="B1562" i="19"/>
  <c r="G1561" i="19"/>
  <c r="E1561" i="19"/>
  <c r="B1561" i="19"/>
  <c r="G1556" i="19"/>
  <c r="E1556" i="19"/>
  <c r="B1556" i="19"/>
  <c r="F1537" i="19"/>
  <c r="E1537" i="19"/>
  <c r="B1537" i="19"/>
  <c r="F1536" i="19"/>
  <c r="E1536" i="19"/>
  <c r="B1536" i="19"/>
  <c r="F1535" i="19"/>
  <c r="E1535" i="19"/>
  <c r="B1535" i="19"/>
  <c r="F1534" i="19"/>
  <c r="E1534" i="19"/>
  <c r="B1534" i="19"/>
  <c r="F1527" i="19"/>
  <c r="E1527" i="19"/>
  <c r="B1527" i="19"/>
  <c r="F1526" i="19"/>
  <c r="E1526" i="19"/>
  <c r="B1526" i="19"/>
  <c r="F1525" i="19"/>
  <c r="E1525" i="19"/>
  <c r="B1525" i="19"/>
  <c r="F1524" i="19"/>
  <c r="E1524" i="19"/>
  <c r="B1524" i="19"/>
  <c r="N1513" i="19"/>
  <c r="M1513" i="19"/>
  <c r="L1513" i="19"/>
  <c r="H309" i="21"/>
  <c r="G310" i="21"/>
  <c r="H310" i="21" s="1"/>
  <c r="H478" i="23"/>
  <c r="H481" i="23"/>
  <c r="H483" i="23"/>
  <c r="G479" i="23"/>
  <c r="G480" i="23"/>
  <c r="H482" i="23"/>
  <c r="G485" i="23"/>
  <c r="G498" i="23"/>
  <c r="E498" i="23"/>
  <c r="B498" i="23"/>
  <c r="G497" i="23"/>
  <c r="E497" i="23"/>
  <c r="B497" i="23"/>
  <c r="G492" i="23"/>
  <c r="E492" i="23"/>
  <c r="B492" i="23"/>
  <c r="G491" i="23"/>
  <c r="E491" i="23"/>
  <c r="B491" i="23"/>
  <c r="G490" i="23"/>
  <c r="E490" i="23"/>
  <c r="B490" i="23"/>
  <c r="G489" i="23"/>
  <c r="E489" i="23"/>
  <c r="B489" i="23"/>
  <c r="G488" i="23"/>
  <c r="E488" i="23"/>
  <c r="B488" i="23"/>
  <c r="G487" i="23"/>
  <c r="E487" i="23"/>
  <c r="B487" i="23"/>
  <c r="G486" i="23"/>
  <c r="E486" i="23"/>
  <c r="B486" i="23"/>
  <c r="F473" i="23"/>
  <c r="E473" i="23"/>
  <c r="B473" i="23"/>
  <c r="F472" i="23"/>
  <c r="E472" i="23"/>
  <c r="B472" i="23"/>
  <c r="F471" i="23"/>
  <c r="E471" i="23"/>
  <c r="B471" i="23"/>
  <c r="F470" i="23"/>
  <c r="E470" i="23"/>
  <c r="B470" i="23"/>
  <c r="G467" i="23"/>
  <c r="F467" i="23"/>
  <c r="E467" i="23"/>
  <c r="B467" i="23"/>
  <c r="F463" i="23"/>
  <c r="E463" i="23"/>
  <c r="B463" i="23"/>
  <c r="F462" i="23"/>
  <c r="E462" i="23"/>
  <c r="B462" i="23"/>
  <c r="F461" i="23"/>
  <c r="E461" i="23"/>
  <c r="B461" i="23"/>
  <c r="F460" i="23"/>
  <c r="E460" i="23"/>
  <c r="B460" i="23"/>
  <c r="F459" i="23"/>
  <c r="E459" i="23"/>
  <c r="B459" i="23"/>
  <c r="N449" i="23"/>
  <c r="M449" i="23"/>
  <c r="L449" i="23"/>
  <c r="D449" i="23"/>
  <c r="G317" i="23"/>
  <c r="G312" i="23"/>
  <c r="G311" i="23"/>
  <c r="G373" i="23"/>
  <c r="H373" i="23" s="1"/>
  <c r="G368" i="23"/>
  <c r="G367" i="23"/>
  <c r="G429" i="23"/>
  <c r="G424" i="23"/>
  <c r="H424" i="23"/>
  <c r="G423" i="23"/>
  <c r="H423" i="23" s="1"/>
  <c r="H313" i="23"/>
  <c r="H314" i="23"/>
  <c r="H311" i="23"/>
  <c r="H318" i="23"/>
  <c r="H310" i="23"/>
  <c r="G330" i="23"/>
  <c r="E330" i="23"/>
  <c r="B330" i="23"/>
  <c r="G329" i="23"/>
  <c r="E329" i="23"/>
  <c r="B329" i="23"/>
  <c r="G324" i="23"/>
  <c r="E324" i="23"/>
  <c r="B324" i="23"/>
  <c r="G323" i="23"/>
  <c r="E323" i="23"/>
  <c r="B323" i="23"/>
  <c r="G322" i="23"/>
  <c r="E322" i="23"/>
  <c r="B322" i="23"/>
  <c r="G321" i="23"/>
  <c r="E321" i="23"/>
  <c r="B321" i="23"/>
  <c r="G320" i="23"/>
  <c r="E320" i="23"/>
  <c r="B320" i="23"/>
  <c r="G319" i="23"/>
  <c r="E319" i="23"/>
  <c r="B319" i="23"/>
  <c r="F305" i="23"/>
  <c r="E305" i="23"/>
  <c r="B305" i="23"/>
  <c r="F304" i="23"/>
  <c r="E304" i="23"/>
  <c r="B304" i="23"/>
  <c r="F303" i="23"/>
  <c r="E303" i="23"/>
  <c r="B303" i="23"/>
  <c r="F302" i="23"/>
  <c r="E302" i="23"/>
  <c r="B302" i="23"/>
  <c r="G299" i="23"/>
  <c r="F299" i="23"/>
  <c r="E299" i="23"/>
  <c r="B299" i="23"/>
  <c r="F295" i="23"/>
  <c r="E295" i="23"/>
  <c r="B295" i="23"/>
  <c r="F294" i="23"/>
  <c r="E294" i="23"/>
  <c r="B294" i="23"/>
  <c r="F293" i="23"/>
  <c r="E293" i="23"/>
  <c r="B293" i="23"/>
  <c r="F292" i="23"/>
  <c r="E292" i="23"/>
  <c r="B292" i="23"/>
  <c r="F291" i="23"/>
  <c r="E291" i="23"/>
  <c r="B291" i="23"/>
  <c r="N281" i="23"/>
  <c r="M281" i="23"/>
  <c r="L281" i="23"/>
  <c r="D281" i="23"/>
  <c r="H425" i="23"/>
  <c r="H426" i="23"/>
  <c r="H427" i="23"/>
  <c r="F429" i="23"/>
  <c r="F428" i="23" s="1"/>
  <c r="H428" i="23" s="1"/>
  <c r="H429" i="23"/>
  <c r="F424" i="23"/>
  <c r="F423" i="23"/>
  <c r="F421" i="23"/>
  <c r="H421" i="23"/>
  <c r="H422" i="23"/>
  <c r="G442" i="23"/>
  <c r="E442" i="23"/>
  <c r="B442" i="23"/>
  <c r="G441" i="23"/>
  <c r="E441" i="23"/>
  <c r="B441" i="23"/>
  <c r="G436" i="23"/>
  <c r="E436" i="23"/>
  <c r="B436" i="23"/>
  <c r="G435" i="23"/>
  <c r="E435" i="23"/>
  <c r="B435" i="23"/>
  <c r="G434" i="23"/>
  <c r="E434" i="23"/>
  <c r="B434" i="23"/>
  <c r="G433" i="23"/>
  <c r="E433" i="23"/>
  <c r="B433" i="23"/>
  <c r="G432" i="23"/>
  <c r="E432" i="23"/>
  <c r="B432" i="23"/>
  <c r="G431" i="23"/>
  <c r="E431" i="23"/>
  <c r="B431" i="23"/>
  <c r="G430" i="23"/>
  <c r="E430" i="23"/>
  <c r="B430" i="23"/>
  <c r="F417" i="23"/>
  <c r="E417" i="23"/>
  <c r="B417" i="23"/>
  <c r="F416" i="23"/>
  <c r="E416" i="23"/>
  <c r="B416" i="23"/>
  <c r="F415" i="23"/>
  <c r="E415" i="23"/>
  <c r="B415" i="23"/>
  <c r="F414" i="23"/>
  <c r="E414" i="23"/>
  <c r="B414" i="23"/>
  <c r="G411" i="23"/>
  <c r="F411" i="23"/>
  <c r="E411" i="23"/>
  <c r="B411" i="23"/>
  <c r="F407" i="23"/>
  <c r="E407" i="23"/>
  <c r="B407" i="23"/>
  <c r="F406" i="23"/>
  <c r="E406" i="23"/>
  <c r="B406" i="23"/>
  <c r="F405" i="23"/>
  <c r="E405" i="23"/>
  <c r="B405" i="23"/>
  <c r="F404" i="23"/>
  <c r="E404" i="23"/>
  <c r="B404" i="23"/>
  <c r="F403" i="23"/>
  <c r="E403" i="23"/>
  <c r="B403" i="23"/>
  <c r="N393" i="23"/>
  <c r="M393" i="23"/>
  <c r="L393" i="23"/>
  <c r="D393" i="23"/>
  <c r="H253" i="23"/>
  <c r="H254" i="23"/>
  <c r="H255" i="23"/>
  <c r="H256" i="23"/>
  <c r="H257" i="23"/>
  <c r="H258" i="23"/>
  <c r="H259" i="23"/>
  <c r="H260" i="23"/>
  <c r="H261" i="23"/>
  <c r="J280" i="23"/>
  <c r="G274" i="23"/>
  <c r="E274" i="23"/>
  <c r="B274" i="23"/>
  <c r="G273" i="23"/>
  <c r="E273" i="23"/>
  <c r="B273" i="23"/>
  <c r="G268" i="23"/>
  <c r="E268" i="23"/>
  <c r="B268" i="23"/>
  <c r="G267" i="23"/>
  <c r="E267" i="23"/>
  <c r="B267" i="23"/>
  <c r="G266" i="23"/>
  <c r="E266" i="23"/>
  <c r="B266" i="23"/>
  <c r="G265" i="23"/>
  <c r="E265" i="23"/>
  <c r="B265" i="23"/>
  <c r="G264" i="23"/>
  <c r="E264" i="23"/>
  <c r="B264" i="23"/>
  <c r="G263" i="23"/>
  <c r="E263" i="23"/>
  <c r="B263" i="23"/>
  <c r="G262" i="23"/>
  <c r="E262" i="23"/>
  <c r="B262" i="23"/>
  <c r="F249" i="23"/>
  <c r="E249" i="23"/>
  <c r="B249" i="23"/>
  <c r="F248" i="23"/>
  <c r="E248" i="23"/>
  <c r="B248" i="23"/>
  <c r="F247" i="23"/>
  <c r="E247" i="23"/>
  <c r="B247" i="23"/>
  <c r="F246" i="23"/>
  <c r="E246" i="23"/>
  <c r="B246" i="23"/>
  <c r="G243" i="23"/>
  <c r="F243" i="23"/>
  <c r="E243" i="23"/>
  <c r="B243" i="23"/>
  <c r="F239" i="23"/>
  <c r="E239" i="23"/>
  <c r="B239" i="23"/>
  <c r="F238" i="23"/>
  <c r="E238" i="23"/>
  <c r="B238" i="23"/>
  <c r="F237" i="23"/>
  <c r="E237" i="23"/>
  <c r="B237" i="23"/>
  <c r="F236" i="23"/>
  <c r="E236" i="23"/>
  <c r="B236" i="23"/>
  <c r="F235" i="23"/>
  <c r="E235" i="23"/>
  <c r="B235" i="23"/>
  <c r="N225" i="23"/>
  <c r="M225" i="23"/>
  <c r="L225" i="23"/>
  <c r="D225" i="23"/>
  <c r="H197" i="23"/>
  <c r="H198" i="23"/>
  <c r="H199" i="23"/>
  <c r="H200" i="23"/>
  <c r="H201" i="23"/>
  <c r="H202" i="23"/>
  <c r="H203" i="23"/>
  <c r="H204" i="23"/>
  <c r="H205" i="23"/>
  <c r="J253" i="29"/>
  <c r="G29" i="29"/>
  <c r="H29" i="29" s="1"/>
  <c r="J29" i="29"/>
  <c r="G338" i="10"/>
  <c r="C338" i="10"/>
  <c r="G337" i="10"/>
  <c r="C337" i="10"/>
  <c r="G501" i="10"/>
  <c r="G498" i="10"/>
  <c r="G495" i="10"/>
  <c r="G494" i="10"/>
  <c r="G493" i="10"/>
  <c r="G492" i="10"/>
  <c r="G397" i="10"/>
  <c r="G398" i="10"/>
  <c r="G399" i="10"/>
  <c r="G400" i="10"/>
  <c r="G401" i="10"/>
  <c r="G402" i="10"/>
  <c r="C402" i="10" s="1"/>
  <c r="G403" i="10"/>
  <c r="C403" i="10" s="1"/>
  <c r="B400" i="10" s="1"/>
  <c r="G404" i="10"/>
  <c r="C404" i="10" s="1"/>
  <c r="G405" i="10"/>
  <c r="G406" i="10"/>
  <c r="G407" i="10"/>
  <c r="G408" i="10"/>
  <c r="G409" i="10"/>
  <c r="G410" i="10"/>
  <c r="C410" i="10" s="1"/>
  <c r="G411" i="10"/>
  <c r="C411" i="10"/>
  <c r="G412" i="10"/>
  <c r="C412" i="10" s="1"/>
  <c r="G413" i="10"/>
  <c r="G414" i="10"/>
  <c r="G415" i="10"/>
  <c r="G416" i="10"/>
  <c r="G417" i="10"/>
  <c r="G418" i="10"/>
  <c r="G419" i="10"/>
  <c r="C419" i="10"/>
  <c r="G420" i="10"/>
  <c r="C420" i="10"/>
  <c r="G421" i="10"/>
  <c r="C421" i="10"/>
  <c r="G422" i="10"/>
  <c r="C422" i="10" s="1"/>
  <c r="G423" i="10"/>
  <c r="G424" i="10"/>
  <c r="G425" i="10"/>
  <c r="G426" i="10"/>
  <c r="G427" i="10"/>
  <c r="G428" i="10"/>
  <c r="G429" i="10"/>
  <c r="G430" i="10"/>
  <c r="G431" i="10"/>
  <c r="G432" i="10"/>
  <c r="G433" i="10"/>
  <c r="G434" i="10"/>
  <c r="G435" i="10"/>
  <c r="G436" i="10"/>
  <c r="B434" i="10"/>
  <c r="G437" i="10"/>
  <c r="G438" i="10"/>
  <c r="G439" i="10"/>
  <c r="G440" i="10"/>
  <c r="G441" i="10"/>
  <c r="G442" i="10"/>
  <c r="G443" i="10"/>
  <c r="G444" i="10"/>
  <c r="B442" i="10" s="1"/>
  <c r="G445" i="10"/>
  <c r="G446" i="10"/>
  <c r="G447" i="10"/>
  <c r="G448" i="10"/>
  <c r="G449" i="10"/>
  <c r="G450" i="10"/>
  <c r="G451" i="10"/>
  <c r="B450" i="10" s="1"/>
  <c r="G452" i="10"/>
  <c r="G453" i="10"/>
  <c r="G454" i="10"/>
  <c r="G455" i="10"/>
  <c r="G456" i="10"/>
  <c r="G457" i="10"/>
  <c r="G458" i="10"/>
  <c r="G459" i="10"/>
  <c r="G460" i="10"/>
  <c r="G461" i="10"/>
  <c r="G462" i="10"/>
  <c r="G463" i="10"/>
  <c r="G470" i="10"/>
  <c r="G467" i="10"/>
  <c r="G468" i="10"/>
  <c r="G471" i="10"/>
  <c r="G472" i="10"/>
  <c r="G473" i="10"/>
  <c r="G474" i="10"/>
  <c r="G475" i="10"/>
  <c r="G476" i="10"/>
  <c r="G477" i="10"/>
  <c r="G478" i="10"/>
  <c r="G479" i="10"/>
  <c r="G480" i="10"/>
  <c r="G481" i="10"/>
  <c r="G482" i="10"/>
  <c r="G483" i="10"/>
  <c r="G484" i="10"/>
  <c r="G485" i="10"/>
  <c r="G486" i="10"/>
  <c r="G487" i="10"/>
  <c r="G488" i="10"/>
  <c r="G489" i="10"/>
  <c r="G490" i="10"/>
  <c r="G491" i="10"/>
  <c r="G496" i="10"/>
  <c r="G396" i="10"/>
  <c r="C396" i="10"/>
  <c r="G395" i="10"/>
  <c r="C395" i="10"/>
  <c r="G394" i="10"/>
  <c r="C394" i="10"/>
  <c r="G389" i="10"/>
  <c r="C389" i="10" s="1"/>
  <c r="G388" i="10"/>
  <c r="C388" i="10" s="1"/>
  <c r="G387" i="10"/>
  <c r="C387" i="10" s="1"/>
  <c r="G386" i="10"/>
  <c r="C386" i="10"/>
  <c r="G383" i="10"/>
  <c r="C383" i="10"/>
  <c r="G382" i="10"/>
  <c r="C382" i="10"/>
  <c r="G381" i="10"/>
  <c r="C381" i="10"/>
  <c r="G380" i="10"/>
  <c r="C380" i="10"/>
  <c r="G373" i="10"/>
  <c r="C373" i="10" s="1"/>
  <c r="G372" i="10"/>
  <c r="C372" i="10"/>
  <c r="G371" i="10"/>
  <c r="C371" i="10" s="1"/>
  <c r="G366" i="10"/>
  <c r="C366" i="10"/>
  <c r="G365" i="10"/>
  <c r="C365" i="10"/>
  <c r="G364" i="10"/>
  <c r="C364" i="10"/>
  <c r="G363" i="10"/>
  <c r="C363" i="10"/>
  <c r="G356" i="10"/>
  <c r="C356" i="10"/>
  <c r="G355" i="10"/>
  <c r="C355" i="10" s="1"/>
  <c r="G354" i="10"/>
  <c r="C354" i="10"/>
  <c r="G347" i="10"/>
  <c r="C347" i="10" s="1"/>
  <c r="G346" i="10"/>
  <c r="C346" i="10"/>
  <c r="G345" i="10"/>
  <c r="C345" i="10"/>
  <c r="G340" i="10"/>
  <c r="C340" i="10"/>
  <c r="G305" i="10"/>
  <c r="G257" i="10"/>
  <c r="C257" i="10"/>
  <c r="G256" i="10"/>
  <c r="C256" i="10" s="1"/>
  <c r="G259" i="10"/>
  <c r="C259" i="10"/>
  <c r="G255" i="10"/>
  <c r="C255" i="10"/>
  <c r="G254" i="10"/>
  <c r="C254" i="10"/>
  <c r="G253" i="10"/>
  <c r="C253" i="10"/>
  <c r="G252" i="10"/>
  <c r="C252" i="10" s="1"/>
  <c r="G251" i="10"/>
  <c r="C251" i="10" s="1"/>
  <c r="G243" i="10"/>
  <c r="C243" i="10" s="1"/>
  <c r="E111" i="10"/>
  <c r="E112" i="10"/>
  <c r="G129" i="10"/>
  <c r="G130" i="10"/>
  <c r="E130" i="10" s="1"/>
  <c r="G135" i="10"/>
  <c r="E135" i="10" s="1"/>
  <c r="G136" i="10"/>
  <c r="E136" i="10"/>
  <c r="G143" i="10"/>
  <c r="C143" i="10"/>
  <c r="G144" i="10"/>
  <c r="C144" i="10"/>
  <c r="G5" i="10"/>
  <c r="C5" i="10" s="1"/>
  <c r="G6" i="10"/>
  <c r="C6" i="10" s="1"/>
  <c r="G8" i="10"/>
  <c r="G9" i="10"/>
  <c r="G10" i="10"/>
  <c r="G11" i="10"/>
  <c r="C11" i="10" s="1"/>
  <c r="G12" i="10"/>
  <c r="G13" i="10"/>
  <c r="C13" i="10"/>
  <c r="G14" i="10"/>
  <c r="C14" i="10"/>
  <c r="G15" i="10"/>
  <c r="G16" i="10"/>
  <c r="G17" i="10"/>
  <c r="G18" i="10"/>
  <c r="G19" i="10"/>
  <c r="C19" i="10" s="1"/>
  <c r="G34" i="10"/>
  <c r="G70" i="10"/>
  <c r="G71" i="10"/>
  <c r="C71" i="10"/>
  <c r="G72" i="10"/>
  <c r="C72" i="10" s="1"/>
  <c r="G75" i="10"/>
  <c r="G76" i="10"/>
  <c r="G82" i="10"/>
  <c r="G7" i="10"/>
  <c r="G4" i="10"/>
  <c r="C4" i="10"/>
  <c r="B110" i="10"/>
  <c r="G442" i="25"/>
  <c r="E442" i="25"/>
  <c r="B442" i="25"/>
  <c r="G441" i="25"/>
  <c r="E441" i="25"/>
  <c r="B441" i="25"/>
  <c r="G436" i="25"/>
  <c r="E436" i="25"/>
  <c r="B436" i="25"/>
  <c r="G435" i="25"/>
  <c r="E435" i="25"/>
  <c r="B435" i="25"/>
  <c r="J418" i="25"/>
  <c r="F417" i="25"/>
  <c r="E417" i="25"/>
  <c r="B417" i="25"/>
  <c r="F416" i="25"/>
  <c r="E416" i="25"/>
  <c r="B416" i="25"/>
  <c r="F415" i="25"/>
  <c r="E415" i="25"/>
  <c r="B415" i="25"/>
  <c r="J414" i="25"/>
  <c r="K412" i="25"/>
  <c r="G411" i="25"/>
  <c r="F411" i="25"/>
  <c r="E411" i="25"/>
  <c r="B411" i="25"/>
  <c r="F407" i="25"/>
  <c r="E407" i="25"/>
  <c r="B407" i="25"/>
  <c r="F406" i="25"/>
  <c r="E406" i="25"/>
  <c r="B406" i="25"/>
  <c r="F405" i="25"/>
  <c r="E405" i="25"/>
  <c r="B405" i="25"/>
  <c r="N393" i="25"/>
  <c r="M393" i="25"/>
  <c r="L393" i="25"/>
  <c r="D393" i="25"/>
  <c r="K1084" i="19"/>
  <c r="K1085" i="19"/>
  <c r="K1093" i="19"/>
  <c r="K1095" i="19"/>
  <c r="K1096" i="19" s="1"/>
  <c r="K1097" i="19"/>
  <c r="H259" i="28"/>
  <c r="H315" i="28"/>
  <c r="H314" i="28"/>
  <c r="H313" i="28"/>
  <c r="H312" i="28"/>
  <c r="H311" i="28"/>
  <c r="H310" i="28"/>
  <c r="G330" i="28"/>
  <c r="E330" i="28"/>
  <c r="B330" i="28"/>
  <c r="G329" i="28"/>
  <c r="E329" i="28"/>
  <c r="B329" i="28"/>
  <c r="G324" i="28"/>
  <c r="E324" i="28"/>
  <c r="B324" i="28"/>
  <c r="G323" i="28"/>
  <c r="E323" i="28"/>
  <c r="B323" i="28"/>
  <c r="G322" i="28"/>
  <c r="E322" i="28"/>
  <c r="B322" i="28"/>
  <c r="G321" i="28"/>
  <c r="E321" i="28"/>
  <c r="B321" i="28"/>
  <c r="G320" i="28"/>
  <c r="E320" i="28"/>
  <c r="B320" i="28"/>
  <c r="G319" i="28"/>
  <c r="E319" i="28"/>
  <c r="B319" i="28"/>
  <c r="G318" i="28"/>
  <c r="E318" i="28"/>
  <c r="B318" i="28"/>
  <c r="H317" i="28"/>
  <c r="H316" i="28"/>
  <c r="F305" i="28"/>
  <c r="E305" i="28"/>
  <c r="B305" i="28"/>
  <c r="F304" i="28"/>
  <c r="E304" i="28"/>
  <c r="B304" i="28"/>
  <c r="F303" i="28"/>
  <c r="E303" i="28"/>
  <c r="B303" i="28"/>
  <c r="F302" i="28"/>
  <c r="E302" i="28"/>
  <c r="B302" i="28"/>
  <c r="G299" i="28"/>
  <c r="F299" i="28"/>
  <c r="E299" i="28"/>
  <c r="B299" i="28"/>
  <c r="F295" i="28"/>
  <c r="E295" i="28"/>
  <c r="B295" i="28"/>
  <c r="F294" i="28"/>
  <c r="E294" i="28"/>
  <c r="B294" i="28"/>
  <c r="F293" i="28"/>
  <c r="E293" i="28"/>
  <c r="B293" i="28"/>
  <c r="F292" i="28"/>
  <c r="E292" i="28"/>
  <c r="B292" i="28"/>
  <c r="F291" i="28"/>
  <c r="E291" i="28"/>
  <c r="B291" i="28"/>
  <c r="N281" i="28"/>
  <c r="M281" i="28"/>
  <c r="L281" i="28"/>
  <c r="G663" i="10"/>
  <c r="G662" i="10"/>
  <c r="G661" i="10"/>
  <c r="G660" i="10"/>
  <c r="G659" i="10"/>
  <c r="G658" i="10"/>
  <c r="G657" i="10"/>
  <c r="G656" i="10"/>
  <c r="G655" i="10"/>
  <c r="G654" i="10"/>
  <c r="G653" i="10"/>
  <c r="G652" i="10"/>
  <c r="G651" i="10"/>
  <c r="G650" i="10"/>
  <c r="G649" i="10"/>
  <c r="G648" i="10"/>
  <c r="G647" i="10"/>
  <c r="G646" i="10"/>
  <c r="G645" i="10"/>
  <c r="G644" i="10"/>
  <c r="G643" i="10"/>
  <c r="G642" i="10"/>
  <c r="G641" i="10"/>
  <c r="G640" i="10"/>
  <c r="G639" i="10"/>
  <c r="G638" i="10"/>
  <c r="G637" i="10"/>
  <c r="G636" i="10"/>
  <c r="G635" i="10"/>
  <c r="G634" i="10"/>
  <c r="G633" i="10"/>
  <c r="G632" i="10"/>
  <c r="G631" i="10"/>
  <c r="G630" i="10"/>
  <c r="G629" i="10"/>
  <c r="G628" i="10"/>
  <c r="G627" i="10"/>
  <c r="G626" i="10"/>
  <c r="G625" i="10"/>
  <c r="G624" i="10"/>
  <c r="G623" i="10"/>
  <c r="G622" i="10"/>
  <c r="G621" i="10"/>
  <c r="G620" i="10"/>
  <c r="G619" i="10"/>
  <c r="G618" i="10"/>
  <c r="G617" i="10"/>
  <c r="G616" i="10"/>
  <c r="G615" i="10"/>
  <c r="G614" i="10"/>
  <c r="G613" i="10"/>
  <c r="G612" i="10"/>
  <c r="G611" i="10"/>
  <c r="G610" i="10"/>
  <c r="G609" i="10"/>
  <c r="G608" i="10"/>
  <c r="G607" i="10"/>
  <c r="G606" i="10"/>
  <c r="G605" i="10"/>
  <c r="G604" i="10"/>
  <c r="G603" i="10"/>
  <c r="G602" i="10"/>
  <c r="G601" i="10"/>
  <c r="G600" i="10"/>
  <c r="G599" i="10"/>
  <c r="G598" i="10"/>
  <c r="G597" i="10"/>
  <c r="G596" i="10"/>
  <c r="G595" i="10"/>
  <c r="G594" i="10"/>
  <c r="G593" i="10"/>
  <c r="G592" i="10"/>
  <c r="G591" i="10"/>
  <c r="G590" i="10"/>
  <c r="G589" i="10"/>
  <c r="G588" i="10"/>
  <c r="G582" i="10"/>
  <c r="G581" i="10"/>
  <c r="G580" i="10"/>
  <c r="G577" i="10"/>
  <c r="G576" i="10"/>
  <c r="G574" i="10"/>
  <c r="G573" i="10"/>
  <c r="G571" i="10"/>
  <c r="G570" i="10"/>
  <c r="G569" i="10"/>
  <c r="G568" i="10"/>
  <c r="G567" i="10"/>
  <c r="G566" i="10"/>
  <c r="G565" i="10"/>
  <c r="G564" i="10"/>
  <c r="G563" i="10"/>
  <c r="G562" i="10"/>
  <c r="G561" i="10"/>
  <c r="G560" i="10"/>
  <c r="G559" i="10"/>
  <c r="G558" i="10"/>
  <c r="G557" i="10"/>
  <c r="G556" i="10"/>
  <c r="G555" i="10"/>
  <c r="G554" i="10"/>
  <c r="G553" i="10"/>
  <c r="G552" i="10"/>
  <c r="G551" i="10"/>
  <c r="G550" i="10"/>
  <c r="G549" i="10"/>
  <c r="G548" i="10"/>
  <c r="G547" i="10"/>
  <c r="G546" i="10"/>
  <c r="G545" i="10"/>
  <c r="G544" i="10"/>
  <c r="G543" i="10"/>
  <c r="G542" i="10"/>
  <c r="G541" i="10"/>
  <c r="G540" i="10"/>
  <c r="G539" i="10"/>
  <c r="G538" i="10"/>
  <c r="G537" i="10"/>
  <c r="G536" i="10"/>
  <c r="G535" i="10"/>
  <c r="G534" i="10"/>
  <c r="G533" i="10"/>
  <c r="G532" i="10"/>
  <c r="G531" i="10"/>
  <c r="G530" i="10"/>
  <c r="G529" i="10"/>
  <c r="G528" i="10"/>
  <c r="G527" i="10"/>
  <c r="G526" i="10"/>
  <c r="G525" i="10"/>
  <c r="G524" i="10"/>
  <c r="G523" i="10"/>
  <c r="G522" i="10"/>
  <c r="G521" i="10"/>
  <c r="G520" i="10"/>
  <c r="G519" i="10"/>
  <c r="G518" i="10"/>
  <c r="G517" i="10"/>
  <c r="G516" i="10"/>
  <c r="G515" i="10"/>
  <c r="G514" i="10"/>
  <c r="G513" i="10"/>
  <c r="G512" i="10"/>
  <c r="G511" i="10"/>
  <c r="G510" i="10"/>
  <c r="G509" i="10"/>
  <c r="G508" i="10"/>
  <c r="G506" i="10"/>
  <c r="G505" i="10"/>
  <c r="G504" i="10"/>
  <c r="G503" i="10"/>
  <c r="G502" i="10"/>
  <c r="G500" i="10"/>
  <c r="G499" i="10"/>
  <c r="G497" i="10"/>
  <c r="G393" i="10"/>
  <c r="G392" i="10"/>
  <c r="G391" i="10"/>
  <c r="G390" i="10"/>
  <c r="G385" i="10"/>
  <c r="G384" i="10"/>
  <c r="G379" i="10"/>
  <c r="G378" i="10"/>
  <c r="G377" i="10"/>
  <c r="G376" i="10"/>
  <c r="G375" i="10"/>
  <c r="G374" i="10"/>
  <c r="G370" i="10"/>
  <c r="G369" i="10"/>
  <c r="G368" i="10"/>
  <c r="G367" i="10"/>
  <c r="G362" i="10"/>
  <c r="G361" i="10"/>
  <c r="G360" i="10"/>
  <c r="G359" i="10"/>
  <c r="G358" i="10"/>
  <c r="G357" i="10"/>
  <c r="G353" i="10"/>
  <c r="G352" i="10"/>
  <c r="G351" i="10"/>
  <c r="G350" i="10"/>
  <c r="G349" i="10"/>
  <c r="G348" i="10"/>
  <c r="G344" i="10"/>
  <c r="G343" i="10"/>
  <c r="G342" i="10"/>
  <c r="G341" i="10"/>
  <c r="G336" i="10"/>
  <c r="G335" i="10"/>
  <c r="G334" i="10"/>
  <c r="G333" i="10"/>
  <c r="G332" i="10"/>
  <c r="G331" i="10"/>
  <c r="G277" i="10"/>
  <c r="G276" i="10"/>
  <c r="G275" i="10"/>
  <c r="G274" i="10"/>
  <c r="G273" i="10"/>
  <c r="G272" i="10"/>
  <c r="G261" i="10"/>
  <c r="G260" i="10"/>
  <c r="G250" i="10"/>
  <c r="G249" i="10"/>
  <c r="G248" i="10"/>
  <c r="G247" i="10"/>
  <c r="G246" i="10"/>
  <c r="G245" i="10"/>
  <c r="G241" i="10"/>
  <c r="G240" i="10"/>
  <c r="G239" i="10"/>
  <c r="G235" i="10"/>
  <c r="C235" i="10" s="1"/>
  <c r="G234" i="10"/>
  <c r="C234" i="10" s="1"/>
  <c r="B232" i="10" s="1"/>
  <c r="G233" i="10"/>
  <c r="G232" i="10"/>
  <c r="G231" i="10"/>
  <c r="G230" i="10"/>
  <c r="G229" i="10"/>
  <c r="G228" i="10"/>
  <c r="G226" i="10"/>
  <c r="G225" i="10"/>
  <c r="G224" i="10"/>
  <c r="G221" i="10"/>
  <c r="C221" i="10" s="1"/>
  <c r="G220" i="10"/>
  <c r="C220" i="10" s="1"/>
  <c r="G218" i="10"/>
  <c r="C218" i="10"/>
  <c r="G217" i="10"/>
  <c r="G216" i="10"/>
  <c r="G215" i="10"/>
  <c r="G210" i="10"/>
  <c r="C210" i="10"/>
  <c r="G211" i="10"/>
  <c r="C211" i="10"/>
  <c r="B211" i="10" s="1"/>
  <c r="G207" i="10"/>
  <c r="C207" i="10" s="1"/>
  <c r="G206" i="10"/>
  <c r="G205" i="10"/>
  <c r="G204" i="10"/>
  <c r="G203" i="10"/>
  <c r="G202" i="10"/>
  <c r="G201" i="10"/>
  <c r="G200" i="10"/>
  <c r="C200" i="10"/>
  <c r="G198" i="10"/>
  <c r="C198" i="10"/>
  <c r="G197" i="10"/>
  <c r="G196" i="10"/>
  <c r="G195" i="10"/>
  <c r="G194" i="10"/>
  <c r="G193" i="10"/>
  <c r="G192" i="10"/>
  <c r="C192" i="10"/>
  <c r="G191" i="10"/>
  <c r="C191" i="10"/>
  <c r="B189" i="10" s="1"/>
  <c r="G190" i="10"/>
  <c r="G189" i="10"/>
  <c r="G188" i="10"/>
  <c r="G187" i="10"/>
  <c r="G186" i="10"/>
  <c r="C186" i="10"/>
  <c r="G184" i="10"/>
  <c r="C184" i="10" s="1"/>
  <c r="G183" i="10"/>
  <c r="C183" i="10"/>
  <c r="G182" i="10"/>
  <c r="G181" i="10"/>
  <c r="G180" i="10"/>
  <c r="G179" i="10"/>
  <c r="G178" i="10"/>
  <c r="C178" i="10"/>
  <c r="G176" i="10"/>
  <c r="G175" i="10"/>
  <c r="G174" i="10"/>
  <c r="B584" i="29"/>
  <c r="B585" i="29"/>
  <c r="K581" i="29"/>
  <c r="K583" i="29"/>
  <c r="K582" i="29"/>
  <c r="K580" i="29"/>
  <c r="K589" i="29"/>
  <c r="H601" i="29"/>
  <c r="H599" i="29"/>
  <c r="H598" i="29"/>
  <c r="F585" i="29"/>
  <c r="F584" i="29"/>
  <c r="F575" i="29"/>
  <c r="N561" i="29"/>
  <c r="M561" i="29"/>
  <c r="L561" i="29"/>
  <c r="F645" i="29"/>
  <c r="F646" i="29"/>
  <c r="F647" i="29"/>
  <c r="F649" i="29"/>
  <c r="F650" i="29"/>
  <c r="H654" i="29"/>
  <c r="H655" i="29"/>
  <c r="H656" i="29"/>
  <c r="H657" i="29"/>
  <c r="H658" i="29"/>
  <c r="H659" i="29"/>
  <c r="H660" i="29"/>
  <c r="H665" i="29"/>
  <c r="H666" i="29"/>
  <c r="G636" i="29"/>
  <c r="G627" i="29" s="1"/>
  <c r="G628" i="29" s="1"/>
  <c r="G638" i="29"/>
  <c r="G639" i="29"/>
  <c r="H640" i="29"/>
  <c r="H641" i="29"/>
  <c r="H629" i="29"/>
  <c r="H630" i="29"/>
  <c r="H631" i="29"/>
  <c r="K645" i="29"/>
  <c r="F641" i="29"/>
  <c r="F640" i="29"/>
  <c r="K639" i="29"/>
  <c r="K638" i="29"/>
  <c r="F631" i="29"/>
  <c r="F630" i="29"/>
  <c r="F629" i="29"/>
  <c r="N617" i="29"/>
  <c r="M617" i="29"/>
  <c r="L617" i="29"/>
  <c r="G85" i="30"/>
  <c r="H85" i="30" s="1"/>
  <c r="A341" i="21"/>
  <c r="L337" i="21" s="1"/>
  <c r="F361" i="21"/>
  <c r="F360" i="21"/>
  <c r="F359" i="21"/>
  <c r="F358" i="21"/>
  <c r="F351" i="21"/>
  <c r="F350" i="21"/>
  <c r="F349" i="21"/>
  <c r="F348" i="21"/>
  <c r="N337" i="21"/>
  <c r="M337" i="21"/>
  <c r="G645" i="30"/>
  <c r="H645" i="30" s="1"/>
  <c r="G477" i="30"/>
  <c r="H477" i="30" s="1"/>
  <c r="G421" i="30"/>
  <c r="H421" i="30" s="1"/>
  <c r="G141" i="30"/>
  <c r="G85" i="29"/>
  <c r="H85" i="29"/>
  <c r="K141" i="30"/>
  <c r="K85" i="30"/>
  <c r="H477" i="28"/>
  <c r="H478" i="28"/>
  <c r="H479" i="28"/>
  <c r="H480" i="28"/>
  <c r="H481" i="28"/>
  <c r="H482" i="28"/>
  <c r="H483" i="28"/>
  <c r="H484" i="28"/>
  <c r="H485" i="28"/>
  <c r="G498" i="28"/>
  <c r="E498" i="28"/>
  <c r="B498" i="28"/>
  <c r="G497" i="28"/>
  <c r="E497" i="28"/>
  <c r="B497" i="28"/>
  <c r="G492" i="28"/>
  <c r="E492" i="28"/>
  <c r="B492" i="28"/>
  <c r="G491" i="28"/>
  <c r="E491" i="28"/>
  <c r="B491" i="28"/>
  <c r="G490" i="28"/>
  <c r="E490" i="28"/>
  <c r="B490" i="28"/>
  <c r="G489" i="28"/>
  <c r="E489" i="28"/>
  <c r="B489" i="28"/>
  <c r="G488" i="28"/>
  <c r="E488" i="28"/>
  <c r="B488" i="28"/>
  <c r="G487" i="28"/>
  <c r="E487" i="28"/>
  <c r="B487" i="28"/>
  <c r="G486" i="28"/>
  <c r="E486" i="28"/>
  <c r="B486" i="28"/>
  <c r="F473" i="28"/>
  <c r="E473" i="28"/>
  <c r="B473" i="28"/>
  <c r="F472" i="28"/>
  <c r="E472" i="28"/>
  <c r="B472" i="28"/>
  <c r="F471" i="28"/>
  <c r="E471" i="28"/>
  <c r="B471" i="28"/>
  <c r="F470" i="28"/>
  <c r="E470" i="28"/>
  <c r="B470" i="28"/>
  <c r="G467" i="28"/>
  <c r="F467" i="28"/>
  <c r="E467" i="28"/>
  <c r="B467" i="28"/>
  <c r="F463" i="28"/>
  <c r="E463" i="28"/>
  <c r="B463" i="28"/>
  <c r="F462" i="28"/>
  <c r="E462" i="28"/>
  <c r="B462" i="28"/>
  <c r="F461" i="28"/>
  <c r="E461" i="28"/>
  <c r="B461" i="28"/>
  <c r="F460" i="28"/>
  <c r="E460" i="28"/>
  <c r="B460" i="28"/>
  <c r="F459" i="28"/>
  <c r="E459" i="28"/>
  <c r="B459" i="28"/>
  <c r="N449" i="28"/>
  <c r="M449" i="28"/>
  <c r="L449" i="28"/>
  <c r="H34" i="29"/>
  <c r="H33" i="29"/>
  <c r="H32" i="29"/>
  <c r="H31" i="29"/>
  <c r="F25" i="29"/>
  <c r="E25" i="29"/>
  <c r="B25" i="29"/>
  <c r="F24" i="29"/>
  <c r="E24" i="29"/>
  <c r="B24" i="29"/>
  <c r="F23" i="29"/>
  <c r="E23" i="29"/>
  <c r="B23" i="29"/>
  <c r="F22" i="29"/>
  <c r="E22" i="29"/>
  <c r="B22" i="29"/>
  <c r="G19" i="29"/>
  <c r="F19" i="29"/>
  <c r="E19" i="29"/>
  <c r="B19" i="29"/>
  <c r="G50" i="29"/>
  <c r="E50" i="29"/>
  <c r="B50" i="29"/>
  <c r="G49" i="29"/>
  <c r="E49" i="29"/>
  <c r="B49" i="29"/>
  <c r="G44" i="29"/>
  <c r="E44" i="29"/>
  <c r="B44" i="29"/>
  <c r="G43" i="29"/>
  <c r="E43" i="29"/>
  <c r="B43" i="29"/>
  <c r="G42" i="29"/>
  <c r="E42" i="29"/>
  <c r="B42" i="29"/>
  <c r="G41" i="29"/>
  <c r="E41" i="29"/>
  <c r="B41" i="29"/>
  <c r="G40" i="29"/>
  <c r="E40" i="29"/>
  <c r="B40" i="29"/>
  <c r="G39" i="29"/>
  <c r="E39" i="29"/>
  <c r="B39" i="29"/>
  <c r="G38" i="29"/>
  <c r="E38" i="29"/>
  <c r="B38" i="29"/>
  <c r="H37" i="29"/>
  <c r="H36" i="29"/>
  <c r="H35" i="29"/>
  <c r="F15" i="29"/>
  <c r="E15" i="29"/>
  <c r="B15" i="29"/>
  <c r="F14" i="29"/>
  <c r="E14" i="29"/>
  <c r="B14" i="29"/>
  <c r="F13" i="29"/>
  <c r="E13" i="29"/>
  <c r="B13" i="29"/>
  <c r="F12" i="29"/>
  <c r="E12" i="29"/>
  <c r="B12" i="29"/>
  <c r="F11" i="29"/>
  <c r="E11" i="29"/>
  <c r="B11" i="29"/>
  <c r="N1" i="29"/>
  <c r="M1" i="29"/>
  <c r="L1" i="29"/>
  <c r="G554" i="25"/>
  <c r="E554" i="25"/>
  <c r="B554" i="25"/>
  <c r="G553" i="25"/>
  <c r="E553" i="25"/>
  <c r="B553" i="25"/>
  <c r="G548" i="25"/>
  <c r="E548" i="25"/>
  <c r="B548" i="25"/>
  <c r="N505" i="25"/>
  <c r="M505" i="25"/>
  <c r="L505" i="25"/>
  <c r="D505" i="25"/>
  <c r="J375" i="25"/>
  <c r="J376" i="25"/>
  <c r="K373" i="25"/>
  <c r="J373" i="25"/>
  <c r="K372" i="25"/>
  <c r="J372" i="25"/>
  <c r="G366" i="25"/>
  <c r="E366" i="25"/>
  <c r="B366" i="25"/>
  <c r="G386" i="25"/>
  <c r="E386" i="25"/>
  <c r="B386" i="25"/>
  <c r="G385" i="25"/>
  <c r="E385" i="25"/>
  <c r="B385" i="25"/>
  <c r="G380" i="25"/>
  <c r="E380" i="25"/>
  <c r="B380" i="25"/>
  <c r="G379" i="25"/>
  <c r="E379" i="25"/>
  <c r="B379" i="25"/>
  <c r="G378" i="25"/>
  <c r="E378" i="25"/>
  <c r="B378" i="25"/>
  <c r="G371" i="25"/>
  <c r="E371" i="25"/>
  <c r="B371" i="25"/>
  <c r="J362" i="25"/>
  <c r="F361" i="25"/>
  <c r="E361" i="25"/>
  <c r="B361" i="25"/>
  <c r="F360" i="25"/>
  <c r="E360" i="25"/>
  <c r="B360" i="25"/>
  <c r="F359" i="25"/>
  <c r="E359" i="25"/>
  <c r="B359" i="25"/>
  <c r="J358" i="25"/>
  <c r="K356" i="25"/>
  <c r="G355" i="25"/>
  <c r="F355" i="25"/>
  <c r="E355" i="25"/>
  <c r="B355" i="25"/>
  <c r="F351" i="25"/>
  <c r="E351" i="25"/>
  <c r="B351" i="25"/>
  <c r="F350" i="25"/>
  <c r="E350" i="25"/>
  <c r="B350" i="25"/>
  <c r="F349" i="25"/>
  <c r="E349" i="25"/>
  <c r="B349" i="25"/>
  <c r="N337" i="25"/>
  <c r="M337" i="25"/>
  <c r="L337" i="25"/>
  <c r="D337" i="25"/>
  <c r="G11" i="26"/>
  <c r="F421" i="26"/>
  <c r="F422" i="26"/>
  <c r="F426" i="26"/>
  <c r="F427" i="26"/>
  <c r="F428" i="26"/>
  <c r="F429" i="26"/>
  <c r="F431" i="26"/>
  <c r="F432" i="26" s="1"/>
  <c r="H435" i="26"/>
  <c r="H441" i="26"/>
  <c r="H442" i="26"/>
  <c r="G413" i="26"/>
  <c r="G415" i="26"/>
  <c r="H416" i="26"/>
  <c r="H417" i="26"/>
  <c r="H404" i="26"/>
  <c r="H405" i="26"/>
  <c r="H406" i="26"/>
  <c r="H407" i="26"/>
  <c r="G301" i="30"/>
  <c r="G357" i="30"/>
  <c r="G525" i="30"/>
  <c r="J534" i="30"/>
  <c r="G534" i="30"/>
  <c r="H534" i="30" s="1"/>
  <c r="L113" i="33"/>
  <c r="M113" i="33"/>
  <c r="N113" i="33"/>
  <c r="F123" i="33"/>
  <c r="F124" i="33"/>
  <c r="F125" i="33"/>
  <c r="F126" i="33"/>
  <c r="F127" i="33"/>
  <c r="F131" i="33"/>
  <c r="G131" i="33"/>
  <c r="F132" i="33"/>
  <c r="F133" i="33"/>
  <c r="F134" i="33"/>
  <c r="F135" i="33"/>
  <c r="F136" i="33"/>
  <c r="F137" i="33"/>
  <c r="H141" i="33"/>
  <c r="G722" i="19"/>
  <c r="E722" i="19"/>
  <c r="B722" i="19"/>
  <c r="G721" i="19"/>
  <c r="E721" i="19"/>
  <c r="B721" i="19"/>
  <c r="G716" i="19"/>
  <c r="E716" i="19"/>
  <c r="B716" i="19"/>
  <c r="G715" i="19"/>
  <c r="E715" i="19"/>
  <c r="B715" i="19"/>
  <c r="G714" i="19"/>
  <c r="E714" i="19"/>
  <c r="B714" i="19"/>
  <c r="G713" i="19"/>
  <c r="E713" i="19"/>
  <c r="B713" i="19"/>
  <c r="G712" i="19"/>
  <c r="E712" i="19"/>
  <c r="B712" i="19"/>
  <c r="N673" i="19"/>
  <c r="M673" i="19"/>
  <c r="L673" i="19"/>
  <c r="G274" i="29"/>
  <c r="E274" i="29"/>
  <c r="B274" i="29"/>
  <c r="G273" i="29"/>
  <c r="E273" i="29"/>
  <c r="B273" i="29"/>
  <c r="G268" i="29"/>
  <c r="E268" i="29"/>
  <c r="B268" i="29"/>
  <c r="G267" i="29"/>
  <c r="E267" i="29"/>
  <c r="B267" i="29"/>
  <c r="G266" i="29"/>
  <c r="E266" i="29"/>
  <c r="B266" i="29"/>
  <c r="G265" i="29"/>
  <c r="E265" i="29"/>
  <c r="B265" i="29"/>
  <c r="G264" i="29"/>
  <c r="E264" i="29"/>
  <c r="B264" i="29"/>
  <c r="G263" i="29"/>
  <c r="E263" i="29"/>
  <c r="B263" i="29"/>
  <c r="G262" i="29"/>
  <c r="E262" i="29"/>
  <c r="B262" i="29"/>
  <c r="H261" i="29"/>
  <c r="H260" i="29"/>
  <c r="H259" i="29"/>
  <c r="H258" i="29"/>
  <c r="H256" i="29"/>
  <c r="H255" i="29"/>
  <c r="H257" i="29"/>
  <c r="H254" i="29"/>
  <c r="H253" i="29"/>
  <c r="F249" i="29"/>
  <c r="E249" i="29"/>
  <c r="B249" i="29"/>
  <c r="F248" i="29"/>
  <c r="E248" i="29"/>
  <c r="B248" i="29"/>
  <c r="F247" i="29"/>
  <c r="E247" i="29"/>
  <c r="B247" i="29"/>
  <c r="F246" i="29"/>
  <c r="E246" i="29"/>
  <c r="B246" i="29"/>
  <c r="G243" i="29"/>
  <c r="F243" i="29"/>
  <c r="E243" i="29"/>
  <c r="B243" i="29"/>
  <c r="F239" i="29"/>
  <c r="E239" i="29"/>
  <c r="B239" i="29"/>
  <c r="F238" i="29"/>
  <c r="E238" i="29"/>
  <c r="B238" i="29"/>
  <c r="F237" i="29"/>
  <c r="E237" i="29"/>
  <c r="B237" i="29"/>
  <c r="F236" i="29"/>
  <c r="E236" i="29"/>
  <c r="B236" i="29"/>
  <c r="F235" i="29"/>
  <c r="E235" i="29"/>
  <c r="B235" i="29"/>
  <c r="N225" i="29"/>
  <c r="M225" i="29"/>
  <c r="L225" i="29"/>
  <c r="J85" i="30"/>
  <c r="H141" i="30"/>
  <c r="H143" i="30"/>
  <c r="H144" i="30"/>
  <c r="H145" i="30"/>
  <c r="H146" i="30"/>
  <c r="H147" i="30"/>
  <c r="H148" i="30"/>
  <c r="H149" i="30"/>
  <c r="G162" i="30"/>
  <c r="E162" i="30"/>
  <c r="B162" i="30"/>
  <c r="G161" i="30"/>
  <c r="E161" i="30"/>
  <c r="B161" i="30"/>
  <c r="G156" i="30"/>
  <c r="E156" i="30"/>
  <c r="B156" i="30"/>
  <c r="G155" i="30"/>
  <c r="E155" i="30"/>
  <c r="B155" i="30"/>
  <c r="G154" i="30"/>
  <c r="E154" i="30"/>
  <c r="B154" i="30"/>
  <c r="G153" i="30"/>
  <c r="E153" i="30"/>
  <c r="B153" i="30"/>
  <c r="G152" i="30"/>
  <c r="E152" i="30"/>
  <c r="B152" i="30"/>
  <c r="G151" i="30"/>
  <c r="E151" i="30"/>
  <c r="B151" i="30"/>
  <c r="G150" i="30"/>
  <c r="E150" i="30"/>
  <c r="B150" i="30"/>
  <c r="J141" i="30"/>
  <c r="F137" i="30"/>
  <c r="E137" i="30"/>
  <c r="B137" i="30"/>
  <c r="F136" i="30"/>
  <c r="E136" i="30"/>
  <c r="B136" i="30"/>
  <c r="F135" i="30"/>
  <c r="E135" i="30"/>
  <c r="B135" i="30"/>
  <c r="F134" i="30"/>
  <c r="E134" i="30"/>
  <c r="B134" i="30"/>
  <c r="G131" i="30"/>
  <c r="F131" i="30"/>
  <c r="E131" i="30"/>
  <c r="B131" i="30"/>
  <c r="F127" i="30"/>
  <c r="E127" i="30"/>
  <c r="B127" i="30"/>
  <c r="F126" i="30"/>
  <c r="E126" i="30"/>
  <c r="B126" i="30"/>
  <c r="F125" i="30"/>
  <c r="E125" i="30"/>
  <c r="B125" i="30"/>
  <c r="F124" i="30"/>
  <c r="E124" i="30"/>
  <c r="B124" i="30"/>
  <c r="F123" i="30"/>
  <c r="E123" i="30"/>
  <c r="B123" i="30"/>
  <c r="N113" i="30"/>
  <c r="M113" i="30"/>
  <c r="L113" i="30"/>
  <c r="D113" i="30"/>
  <c r="H370" i="29"/>
  <c r="H369" i="29"/>
  <c r="H368" i="29"/>
  <c r="H367" i="29"/>
  <c r="J365" i="29"/>
  <c r="H365" i="29"/>
  <c r="F361" i="29"/>
  <c r="E361" i="29"/>
  <c r="B361" i="29"/>
  <c r="F360" i="29"/>
  <c r="E360" i="29"/>
  <c r="B360" i="29"/>
  <c r="F359" i="29"/>
  <c r="E359" i="29"/>
  <c r="B359" i="29"/>
  <c r="F358" i="29"/>
  <c r="E358" i="29"/>
  <c r="B358" i="29"/>
  <c r="H589" i="30"/>
  <c r="G590" i="30"/>
  <c r="H590" i="30"/>
  <c r="H591" i="30"/>
  <c r="H592" i="30"/>
  <c r="H593" i="30"/>
  <c r="H594" i="30"/>
  <c r="H595" i="30"/>
  <c r="H596" i="30"/>
  <c r="H597" i="30"/>
  <c r="J590" i="30"/>
  <c r="J589" i="30"/>
  <c r="F585" i="30"/>
  <c r="F584" i="30"/>
  <c r="F583" i="30"/>
  <c r="F582" i="30"/>
  <c r="G579" i="30"/>
  <c r="F579" i="30"/>
  <c r="F575" i="30"/>
  <c r="F574" i="30"/>
  <c r="F573" i="30"/>
  <c r="F572" i="30"/>
  <c r="F571" i="30"/>
  <c r="N561" i="30"/>
  <c r="M561" i="30"/>
  <c r="L561" i="30"/>
  <c r="H478" i="30"/>
  <c r="H479" i="30"/>
  <c r="H480" i="30"/>
  <c r="H481" i="30"/>
  <c r="H482" i="30"/>
  <c r="H483" i="30"/>
  <c r="H484" i="30"/>
  <c r="H485" i="30"/>
  <c r="J478" i="30"/>
  <c r="J477" i="30"/>
  <c r="F473" i="30"/>
  <c r="F472" i="30"/>
  <c r="F471" i="30"/>
  <c r="F470" i="30"/>
  <c r="G467" i="30"/>
  <c r="F467" i="30"/>
  <c r="F463" i="30"/>
  <c r="F462" i="30"/>
  <c r="F461" i="30"/>
  <c r="F460" i="30"/>
  <c r="F459" i="30"/>
  <c r="N449" i="30"/>
  <c r="M449" i="30"/>
  <c r="L449" i="30"/>
  <c r="H422" i="30"/>
  <c r="H423" i="30"/>
  <c r="H424" i="30"/>
  <c r="H425" i="30"/>
  <c r="H426" i="30"/>
  <c r="H427" i="30"/>
  <c r="H428" i="30"/>
  <c r="H429" i="30"/>
  <c r="J421" i="30"/>
  <c r="F417" i="30"/>
  <c r="F416" i="30"/>
  <c r="F415" i="30"/>
  <c r="F414" i="30"/>
  <c r="G411" i="30"/>
  <c r="F411" i="30"/>
  <c r="F407" i="30"/>
  <c r="F406" i="30"/>
  <c r="F405" i="30"/>
  <c r="F404" i="30"/>
  <c r="F403" i="30"/>
  <c r="N393" i="30"/>
  <c r="M393" i="30"/>
  <c r="L393" i="30"/>
  <c r="H421" i="28"/>
  <c r="H423" i="28"/>
  <c r="H424" i="28"/>
  <c r="H425" i="28"/>
  <c r="H426" i="28"/>
  <c r="H427" i="28"/>
  <c r="H428" i="28"/>
  <c r="H429" i="28"/>
  <c r="H541" i="32"/>
  <c r="H540" i="32"/>
  <c r="H539" i="32"/>
  <c r="H538" i="32"/>
  <c r="H537" i="32"/>
  <c r="H536" i="32"/>
  <c r="H535" i="32"/>
  <c r="J534" i="32"/>
  <c r="H534" i="32"/>
  <c r="J533" i="32"/>
  <c r="G533" i="32"/>
  <c r="H533" i="32"/>
  <c r="J530" i="32"/>
  <c r="F529" i="32"/>
  <c r="F528" i="32"/>
  <c r="F527" i="32"/>
  <c r="F526" i="32"/>
  <c r="G523" i="32"/>
  <c r="F523" i="32"/>
  <c r="F519" i="32"/>
  <c r="F518" i="32"/>
  <c r="F517" i="32"/>
  <c r="F516" i="32"/>
  <c r="F515" i="32"/>
  <c r="N505" i="32"/>
  <c r="M505" i="32"/>
  <c r="L505" i="32"/>
  <c r="H485" i="32"/>
  <c r="H484" i="32"/>
  <c r="H483" i="32"/>
  <c r="H482" i="32"/>
  <c r="H481" i="32"/>
  <c r="H480" i="32"/>
  <c r="H479" i="32"/>
  <c r="J478" i="32"/>
  <c r="G478" i="32"/>
  <c r="H478" i="32" s="1"/>
  <c r="J477" i="32"/>
  <c r="H477" i="32"/>
  <c r="J474" i="32"/>
  <c r="F473" i="32"/>
  <c r="F472" i="32"/>
  <c r="F471" i="32"/>
  <c r="F470" i="32"/>
  <c r="G467" i="32"/>
  <c r="F467" i="32"/>
  <c r="F463" i="32"/>
  <c r="F462" i="32"/>
  <c r="F461" i="32"/>
  <c r="F460" i="32"/>
  <c r="F459" i="32"/>
  <c r="N449" i="32"/>
  <c r="M449" i="32"/>
  <c r="L449" i="32"/>
  <c r="H429" i="32"/>
  <c r="H428" i="32"/>
  <c r="H427" i="32"/>
  <c r="H426" i="32"/>
  <c r="H425" i="32"/>
  <c r="H424" i="32"/>
  <c r="H423" i="32"/>
  <c r="J422" i="32"/>
  <c r="H422" i="32"/>
  <c r="J421" i="32"/>
  <c r="G421" i="32"/>
  <c r="H421" i="32"/>
  <c r="J418" i="32"/>
  <c r="F417" i="32"/>
  <c r="F416" i="32"/>
  <c r="F415" i="32"/>
  <c r="F414" i="32"/>
  <c r="G411" i="32"/>
  <c r="F411" i="32"/>
  <c r="F407" i="32"/>
  <c r="F406" i="32"/>
  <c r="F405" i="32"/>
  <c r="F404" i="32"/>
  <c r="F403" i="32"/>
  <c r="N393" i="32"/>
  <c r="M393" i="32"/>
  <c r="L393" i="32"/>
  <c r="H141" i="35"/>
  <c r="F137" i="35"/>
  <c r="F136" i="35"/>
  <c r="F135" i="35"/>
  <c r="F134" i="35"/>
  <c r="G131" i="35"/>
  <c r="F131" i="35"/>
  <c r="F127" i="35"/>
  <c r="F126" i="35"/>
  <c r="F125" i="35"/>
  <c r="F124" i="35"/>
  <c r="F123" i="35"/>
  <c r="N113" i="35"/>
  <c r="M113" i="35"/>
  <c r="L113" i="35"/>
  <c r="H85" i="35"/>
  <c r="F81" i="35"/>
  <c r="F80" i="35"/>
  <c r="F79" i="35"/>
  <c r="F78" i="35"/>
  <c r="G75" i="35"/>
  <c r="F75" i="35"/>
  <c r="F71" i="35"/>
  <c r="F70" i="35"/>
  <c r="F69" i="35"/>
  <c r="F68" i="35"/>
  <c r="F67" i="35"/>
  <c r="N57" i="35"/>
  <c r="M57" i="35"/>
  <c r="L57" i="35"/>
  <c r="H29" i="35"/>
  <c r="F25" i="35"/>
  <c r="F24" i="35"/>
  <c r="F23" i="35"/>
  <c r="F22" i="35"/>
  <c r="F19" i="35"/>
  <c r="F15" i="35"/>
  <c r="F14" i="35"/>
  <c r="F13" i="35"/>
  <c r="F12" i="35"/>
  <c r="F11" i="35"/>
  <c r="N1" i="35"/>
  <c r="M1" i="35"/>
  <c r="L1" i="35"/>
  <c r="N1849" i="34"/>
  <c r="M1849" i="34"/>
  <c r="L1849" i="34"/>
  <c r="H1765" i="34"/>
  <c r="F1761" i="34"/>
  <c r="F1760" i="34"/>
  <c r="F1759" i="34"/>
  <c r="F1758" i="34"/>
  <c r="F1757" i="34"/>
  <c r="F1756" i="34"/>
  <c r="G1755" i="34"/>
  <c r="F1755" i="34"/>
  <c r="F1751" i="34"/>
  <c r="F1750" i="34"/>
  <c r="F1749" i="34"/>
  <c r="F1748" i="34"/>
  <c r="F1747" i="34"/>
  <c r="F1746" i="34"/>
  <c r="N1737" i="34"/>
  <c r="M1737" i="34"/>
  <c r="L1737" i="34"/>
  <c r="F2097" i="34"/>
  <c r="F2087" i="34"/>
  <c r="F2086" i="34"/>
  <c r="F2085" i="34"/>
  <c r="N2073" i="34"/>
  <c r="M2073" i="34"/>
  <c r="L2073" i="34"/>
  <c r="F1985" i="34"/>
  <c r="F1984" i="34"/>
  <c r="F1983" i="34"/>
  <c r="F1982" i="34"/>
  <c r="F1981" i="34"/>
  <c r="F1980" i="34"/>
  <c r="G1979" i="34"/>
  <c r="F1979" i="34"/>
  <c r="F1975" i="34"/>
  <c r="F1974" i="34"/>
  <c r="F1973" i="34"/>
  <c r="F1972" i="34"/>
  <c r="F1971" i="34"/>
  <c r="F1970" i="34"/>
  <c r="N1961" i="34"/>
  <c r="M1961" i="34"/>
  <c r="L1961" i="34"/>
  <c r="H1597" i="34"/>
  <c r="F1593" i="34"/>
  <c r="F1592" i="34"/>
  <c r="F1591" i="34"/>
  <c r="F1590" i="34"/>
  <c r="F1589" i="34"/>
  <c r="F1588" i="34"/>
  <c r="G1587" i="34"/>
  <c r="F1587" i="34"/>
  <c r="F1583" i="34"/>
  <c r="F1582" i="34"/>
  <c r="F1581" i="34"/>
  <c r="F1580" i="34"/>
  <c r="F1579" i="34"/>
  <c r="F1578" i="34"/>
  <c r="N1569" i="34"/>
  <c r="M1569" i="34"/>
  <c r="L1569" i="34"/>
  <c r="H1394" i="34"/>
  <c r="H1393" i="34"/>
  <c r="H1388" i="34"/>
  <c r="H1387" i="34"/>
  <c r="H1386" i="34"/>
  <c r="H1385" i="34"/>
  <c r="H1384" i="34"/>
  <c r="H1383" i="34"/>
  <c r="H1382" i="34"/>
  <c r="H1381" i="34"/>
  <c r="H1380" i="34"/>
  <c r="H1379" i="34"/>
  <c r="H1378" i="34"/>
  <c r="H1377" i="34"/>
  <c r="H1376" i="34"/>
  <c r="H1375" i="34"/>
  <c r="H1374" i="34"/>
  <c r="H1373" i="34"/>
  <c r="H1369" i="34"/>
  <c r="F1369" i="34"/>
  <c r="H1368" i="34"/>
  <c r="F1368" i="34"/>
  <c r="H1367" i="34"/>
  <c r="F1367" i="34"/>
  <c r="H1366" i="34"/>
  <c r="H1370" i="34" s="1"/>
  <c r="F1366" i="34"/>
  <c r="H1365" i="34"/>
  <c r="F1365" i="34"/>
  <c r="H1364" i="34"/>
  <c r="F1364" i="34"/>
  <c r="G1363" i="34"/>
  <c r="F1363" i="34"/>
  <c r="H1359" i="34"/>
  <c r="F1359" i="34"/>
  <c r="H1358" i="34"/>
  <c r="F1358" i="34"/>
  <c r="H1357" i="34"/>
  <c r="F1357" i="34"/>
  <c r="H1356" i="34"/>
  <c r="F1356" i="34"/>
  <c r="H1355" i="34"/>
  <c r="F1355" i="34"/>
  <c r="H1354" i="34"/>
  <c r="H1360" i="34" s="1"/>
  <c r="F1354" i="34"/>
  <c r="N1345" i="34"/>
  <c r="M1345" i="34"/>
  <c r="L1345" i="34"/>
  <c r="H1205" i="34"/>
  <c r="F1201" i="34"/>
  <c r="F1200" i="34"/>
  <c r="F1199" i="34"/>
  <c r="F1198" i="34"/>
  <c r="F1197" i="34"/>
  <c r="F1196" i="34"/>
  <c r="G1195" i="34"/>
  <c r="F1195" i="34"/>
  <c r="F1191" i="34"/>
  <c r="F1190" i="34"/>
  <c r="F1189" i="34"/>
  <c r="F1188" i="34"/>
  <c r="F1187" i="34"/>
  <c r="F1186" i="34"/>
  <c r="N1177" i="34"/>
  <c r="M1177" i="34"/>
  <c r="L1177" i="34"/>
  <c r="H1261" i="34"/>
  <c r="F1257" i="34"/>
  <c r="F1256" i="34"/>
  <c r="F1255" i="34"/>
  <c r="F1254" i="34"/>
  <c r="F1253" i="34"/>
  <c r="F1252" i="34"/>
  <c r="G1251" i="34"/>
  <c r="F1251" i="34"/>
  <c r="F1247" i="34"/>
  <c r="F1246" i="34"/>
  <c r="F1245" i="34"/>
  <c r="F1244" i="34"/>
  <c r="F1243" i="34"/>
  <c r="F1242" i="34"/>
  <c r="N1233" i="34"/>
  <c r="M1233" i="34"/>
  <c r="L1233" i="34"/>
  <c r="H813" i="34"/>
  <c r="F809" i="34"/>
  <c r="F808" i="34"/>
  <c r="F807" i="34"/>
  <c r="F806" i="34"/>
  <c r="F805" i="34"/>
  <c r="F804" i="34"/>
  <c r="G803" i="34"/>
  <c r="F803" i="34"/>
  <c r="F799" i="34"/>
  <c r="F798" i="34"/>
  <c r="F797" i="34"/>
  <c r="F796" i="34"/>
  <c r="F795" i="34"/>
  <c r="F794" i="34"/>
  <c r="N785" i="34"/>
  <c r="M785" i="34"/>
  <c r="L785" i="34"/>
  <c r="H1037" i="34"/>
  <c r="F1033" i="34"/>
  <c r="F1032" i="34"/>
  <c r="F1031" i="34"/>
  <c r="F1030" i="34"/>
  <c r="F1029" i="34"/>
  <c r="F1028" i="34"/>
  <c r="G1027" i="34"/>
  <c r="F1027" i="34"/>
  <c r="F1023" i="34"/>
  <c r="F1022" i="34"/>
  <c r="F1021" i="34"/>
  <c r="F1020" i="34"/>
  <c r="F1019" i="34"/>
  <c r="F1018" i="34"/>
  <c r="N1009" i="34"/>
  <c r="M1009" i="34"/>
  <c r="L1009" i="34"/>
  <c r="H981" i="34"/>
  <c r="F977" i="34"/>
  <c r="F976" i="34"/>
  <c r="F975" i="34"/>
  <c r="F974" i="34"/>
  <c r="F973" i="34"/>
  <c r="F972" i="34"/>
  <c r="G971" i="34"/>
  <c r="F971" i="34"/>
  <c r="F967" i="34"/>
  <c r="F966" i="34"/>
  <c r="F965" i="34"/>
  <c r="F964" i="34"/>
  <c r="F963" i="34"/>
  <c r="F962" i="34"/>
  <c r="N953" i="34"/>
  <c r="M953" i="34"/>
  <c r="L953" i="34"/>
  <c r="H925" i="34"/>
  <c r="F921" i="34"/>
  <c r="F920" i="34"/>
  <c r="F919" i="34"/>
  <c r="F918" i="34"/>
  <c r="F917" i="34"/>
  <c r="F916" i="34"/>
  <c r="G915" i="34"/>
  <c r="F915" i="34"/>
  <c r="F911" i="34"/>
  <c r="F910" i="34"/>
  <c r="F909" i="34"/>
  <c r="F908" i="34"/>
  <c r="F907" i="34"/>
  <c r="F906" i="34"/>
  <c r="N897" i="34"/>
  <c r="M897" i="34"/>
  <c r="L897" i="34"/>
  <c r="H869" i="34"/>
  <c r="F865" i="34"/>
  <c r="F864" i="34"/>
  <c r="F863" i="34"/>
  <c r="F862" i="34"/>
  <c r="F861" i="34"/>
  <c r="F860" i="34"/>
  <c r="G859" i="34"/>
  <c r="F859" i="34"/>
  <c r="F855" i="34"/>
  <c r="F854" i="34"/>
  <c r="F853" i="34"/>
  <c r="F852" i="34"/>
  <c r="F851" i="34"/>
  <c r="F850" i="34"/>
  <c r="N841" i="34"/>
  <c r="M841" i="34"/>
  <c r="L841" i="34"/>
  <c r="H141" i="34"/>
  <c r="F137" i="34"/>
  <c r="F136" i="34"/>
  <c r="F135" i="34"/>
  <c r="F134" i="34"/>
  <c r="F133" i="34"/>
  <c r="F132" i="34"/>
  <c r="G131" i="34"/>
  <c r="F131" i="34"/>
  <c r="F127" i="34"/>
  <c r="F126" i="34"/>
  <c r="F125" i="34"/>
  <c r="F124" i="34"/>
  <c r="F123" i="34"/>
  <c r="F122" i="34"/>
  <c r="N113" i="34"/>
  <c r="M113" i="34"/>
  <c r="L113" i="34"/>
  <c r="H50" i="34"/>
  <c r="H49" i="34"/>
  <c r="H44" i="34"/>
  <c r="H43" i="34"/>
  <c r="H42" i="34"/>
  <c r="H41" i="34"/>
  <c r="H40" i="34"/>
  <c r="H39" i="34"/>
  <c r="H38" i="34"/>
  <c r="H37" i="34"/>
  <c r="H36" i="34"/>
  <c r="H35" i="34"/>
  <c r="H34" i="34"/>
  <c r="H33" i="34"/>
  <c r="H32" i="34"/>
  <c r="H31" i="34"/>
  <c r="H30" i="34"/>
  <c r="G29" i="34"/>
  <c r="H29" i="34" s="1"/>
  <c r="H25" i="34"/>
  <c r="F25" i="34"/>
  <c r="H24" i="34"/>
  <c r="F24" i="34"/>
  <c r="H23" i="34"/>
  <c r="F23" i="34"/>
  <c r="H22" i="34"/>
  <c r="F22" i="34"/>
  <c r="G21" i="34"/>
  <c r="F19" i="34"/>
  <c r="H15" i="34"/>
  <c r="F15" i="34"/>
  <c r="H14" i="34"/>
  <c r="F14" i="34"/>
  <c r="H13" i="34"/>
  <c r="F13" i="34"/>
  <c r="H12" i="34"/>
  <c r="F12" i="34"/>
  <c r="H11" i="34"/>
  <c r="F11" i="34"/>
  <c r="N1" i="34"/>
  <c r="M1" i="34"/>
  <c r="L1" i="34"/>
  <c r="H197" i="33"/>
  <c r="F193" i="33"/>
  <c r="F192" i="33"/>
  <c r="F191" i="33"/>
  <c r="F190" i="33"/>
  <c r="F189" i="33"/>
  <c r="F188" i="33"/>
  <c r="G187" i="33"/>
  <c r="F187" i="33"/>
  <c r="F183" i="33"/>
  <c r="F182" i="33"/>
  <c r="F181" i="33"/>
  <c r="F180" i="33"/>
  <c r="F179" i="33"/>
  <c r="N169" i="33"/>
  <c r="M169" i="33"/>
  <c r="L169" i="33"/>
  <c r="H85" i="33"/>
  <c r="F81" i="33"/>
  <c r="F80" i="33"/>
  <c r="F79" i="33"/>
  <c r="F78" i="33"/>
  <c r="F77" i="33"/>
  <c r="F76" i="33"/>
  <c r="G75" i="33"/>
  <c r="F75" i="33"/>
  <c r="F71" i="33"/>
  <c r="F70" i="33"/>
  <c r="F69" i="33"/>
  <c r="F68" i="33"/>
  <c r="F67" i="33"/>
  <c r="N57" i="33"/>
  <c r="M57" i="33"/>
  <c r="L57" i="33"/>
  <c r="H29" i="33"/>
  <c r="F25" i="33"/>
  <c r="F24" i="33"/>
  <c r="F23" i="33"/>
  <c r="F22" i="33"/>
  <c r="F21" i="33"/>
  <c r="F20" i="33"/>
  <c r="F19" i="33"/>
  <c r="F15" i="33"/>
  <c r="F14" i="33"/>
  <c r="F13" i="33"/>
  <c r="F12" i="33"/>
  <c r="F11" i="33"/>
  <c r="F10" i="33"/>
  <c r="N1" i="33"/>
  <c r="M1" i="33"/>
  <c r="L1" i="33"/>
  <c r="G710" i="16"/>
  <c r="E710" i="16"/>
  <c r="B710" i="16"/>
  <c r="G709" i="16"/>
  <c r="E709" i="16"/>
  <c r="B709" i="16"/>
  <c r="G708" i="16"/>
  <c r="E708" i="16"/>
  <c r="B708" i="16"/>
  <c r="G666" i="16"/>
  <c r="E666" i="16"/>
  <c r="B666" i="16"/>
  <c r="G665" i="16"/>
  <c r="E665" i="16"/>
  <c r="B665" i="16"/>
  <c r="G660" i="16"/>
  <c r="E660" i="16"/>
  <c r="B660" i="16"/>
  <c r="G659" i="16"/>
  <c r="E659" i="16"/>
  <c r="B659" i="16"/>
  <c r="G658" i="16"/>
  <c r="E658" i="16"/>
  <c r="B658" i="16"/>
  <c r="N617" i="16"/>
  <c r="M617" i="16"/>
  <c r="L617" i="16"/>
  <c r="G610" i="16"/>
  <c r="E610" i="16"/>
  <c r="B610" i="16"/>
  <c r="G609" i="16"/>
  <c r="E609" i="16"/>
  <c r="B609" i="16"/>
  <c r="G604" i="16"/>
  <c r="E604" i="16"/>
  <c r="B604" i="16"/>
  <c r="G603" i="16"/>
  <c r="E603" i="16"/>
  <c r="B603" i="16"/>
  <c r="G602" i="16"/>
  <c r="E602" i="16"/>
  <c r="B602" i="16"/>
  <c r="G601" i="16"/>
  <c r="E601" i="16"/>
  <c r="B601" i="16"/>
  <c r="G600" i="16"/>
  <c r="E600" i="16"/>
  <c r="B600" i="16"/>
  <c r="H598" i="16"/>
  <c r="B598" i="16"/>
  <c r="H597" i="16"/>
  <c r="B597" i="16"/>
  <c r="H596" i="16"/>
  <c r="B596" i="16"/>
  <c r="H595" i="16"/>
  <c r="F571" i="16"/>
  <c r="E571" i="16"/>
  <c r="B571" i="16"/>
  <c r="N561" i="16"/>
  <c r="M561" i="16"/>
  <c r="L561" i="16"/>
  <c r="K190" i="16"/>
  <c r="K194" i="16" s="1"/>
  <c r="G206" i="16"/>
  <c r="E206" i="16"/>
  <c r="B206" i="16"/>
  <c r="G205" i="16"/>
  <c r="E205" i="16"/>
  <c r="B205" i="16"/>
  <c r="G204" i="16"/>
  <c r="E204" i="16"/>
  <c r="B204" i="16"/>
  <c r="G150" i="16"/>
  <c r="E150" i="16"/>
  <c r="B150" i="16"/>
  <c r="G149" i="16"/>
  <c r="E149" i="16"/>
  <c r="B149" i="16"/>
  <c r="G148" i="16"/>
  <c r="E148" i="16"/>
  <c r="B148" i="16"/>
  <c r="G124" i="16"/>
  <c r="J224" i="23"/>
  <c r="B150" i="26"/>
  <c r="E150" i="26"/>
  <c r="G150" i="26"/>
  <c r="H94" i="26"/>
  <c r="H93" i="26"/>
  <c r="H89" i="26"/>
  <c r="H87" i="26"/>
  <c r="K85" i="26"/>
  <c r="F81" i="26"/>
  <c r="K79" i="26"/>
  <c r="K78" i="26"/>
  <c r="F71" i="26"/>
  <c r="F70" i="26"/>
  <c r="H70" i="26"/>
  <c r="F69" i="26"/>
  <c r="H69" i="26"/>
  <c r="H68" i="26"/>
  <c r="N57" i="26"/>
  <c r="M57" i="26"/>
  <c r="L57" i="26"/>
  <c r="K474" i="26"/>
  <c r="G498" i="26"/>
  <c r="E498" i="26"/>
  <c r="B498" i="26"/>
  <c r="G497" i="26"/>
  <c r="E497" i="26"/>
  <c r="B497" i="26"/>
  <c r="K492" i="26"/>
  <c r="G492" i="26"/>
  <c r="E492" i="26"/>
  <c r="B492" i="26"/>
  <c r="K491" i="26"/>
  <c r="E491" i="26"/>
  <c r="B491" i="26"/>
  <c r="G490" i="26"/>
  <c r="E490" i="26"/>
  <c r="B490" i="26"/>
  <c r="G489" i="26"/>
  <c r="E489" i="26"/>
  <c r="B489" i="26"/>
  <c r="G488" i="26"/>
  <c r="E488" i="26"/>
  <c r="B488" i="26"/>
  <c r="G487" i="26"/>
  <c r="E487" i="26"/>
  <c r="B487" i="26"/>
  <c r="G486" i="26"/>
  <c r="E486" i="26"/>
  <c r="B486" i="26"/>
  <c r="G485" i="26"/>
  <c r="E485" i="26"/>
  <c r="B485" i="26"/>
  <c r="G484" i="26"/>
  <c r="E484" i="26"/>
  <c r="B484" i="26"/>
  <c r="G483" i="26"/>
  <c r="E483" i="26"/>
  <c r="B483" i="26"/>
  <c r="K482" i="26"/>
  <c r="K483" i="26" s="1"/>
  <c r="G482" i="26"/>
  <c r="E482" i="26"/>
  <c r="B482" i="26"/>
  <c r="G481" i="26"/>
  <c r="E481" i="26"/>
  <c r="B481" i="26"/>
  <c r="F473" i="26"/>
  <c r="E473" i="26"/>
  <c r="B473" i="26"/>
  <c r="F472" i="26"/>
  <c r="E472" i="26"/>
  <c r="K469" i="26"/>
  <c r="K468" i="26"/>
  <c r="F463" i="26"/>
  <c r="E463" i="26"/>
  <c r="B463" i="26"/>
  <c r="F462" i="26"/>
  <c r="E462" i="26"/>
  <c r="B462" i="26"/>
  <c r="N449" i="26"/>
  <c r="M449" i="26"/>
  <c r="L449" i="26"/>
  <c r="K418" i="26"/>
  <c r="G442" i="26"/>
  <c r="E442" i="26"/>
  <c r="B442" i="26"/>
  <c r="G441" i="26"/>
  <c r="E441" i="26"/>
  <c r="B441" i="26"/>
  <c r="K436" i="26"/>
  <c r="G436" i="26"/>
  <c r="E436" i="26"/>
  <c r="B436" i="26"/>
  <c r="K435" i="26"/>
  <c r="E435" i="26"/>
  <c r="B435" i="26"/>
  <c r="K426" i="26"/>
  <c r="K427" i="26"/>
  <c r="F417" i="26"/>
  <c r="E417" i="26"/>
  <c r="B417" i="26"/>
  <c r="F416" i="26"/>
  <c r="E416" i="26"/>
  <c r="B416" i="26"/>
  <c r="K413" i="26"/>
  <c r="K412" i="26"/>
  <c r="F407" i="26"/>
  <c r="E407" i="26"/>
  <c r="B407" i="26"/>
  <c r="F406" i="26"/>
  <c r="E406" i="26"/>
  <c r="B406" i="26"/>
  <c r="F405" i="26"/>
  <c r="E405" i="26"/>
  <c r="B405" i="26"/>
  <c r="F404" i="26"/>
  <c r="E404" i="26"/>
  <c r="B404" i="26"/>
  <c r="G403" i="26"/>
  <c r="N393" i="26"/>
  <c r="M393" i="26"/>
  <c r="L393" i="26"/>
  <c r="G386" i="26"/>
  <c r="E386" i="26"/>
  <c r="B386" i="26"/>
  <c r="G385" i="26"/>
  <c r="E385" i="26"/>
  <c r="B385" i="26"/>
  <c r="G380" i="26"/>
  <c r="E380" i="26"/>
  <c r="B380" i="26"/>
  <c r="G379" i="26"/>
  <c r="E379" i="26"/>
  <c r="B379" i="26"/>
  <c r="G378" i="26"/>
  <c r="E378" i="26"/>
  <c r="B378" i="26"/>
  <c r="G377" i="26"/>
  <c r="E377" i="26"/>
  <c r="B377" i="26"/>
  <c r="G376" i="26"/>
  <c r="E376" i="26"/>
  <c r="B376" i="26"/>
  <c r="G375" i="26"/>
  <c r="E375" i="26"/>
  <c r="B375" i="26"/>
  <c r="G374" i="26"/>
  <c r="E374" i="26"/>
  <c r="B374" i="26"/>
  <c r="K365" i="26"/>
  <c r="F361" i="26"/>
  <c r="E361" i="26"/>
  <c r="B361" i="26"/>
  <c r="F360" i="26"/>
  <c r="E360" i="26"/>
  <c r="B360" i="26"/>
  <c r="K359" i="26"/>
  <c r="K358" i="26"/>
  <c r="F351" i="26"/>
  <c r="E351" i="26"/>
  <c r="B351" i="26"/>
  <c r="F350" i="26"/>
  <c r="E350" i="26"/>
  <c r="B350" i="26"/>
  <c r="F349" i="26"/>
  <c r="E349" i="26"/>
  <c r="B349" i="26"/>
  <c r="F348" i="26"/>
  <c r="E348" i="26"/>
  <c r="B348" i="26"/>
  <c r="G347" i="26"/>
  <c r="N337" i="26"/>
  <c r="M337" i="26"/>
  <c r="L337" i="26"/>
  <c r="G162" i="26"/>
  <c r="E162" i="26"/>
  <c r="B162" i="26"/>
  <c r="G161" i="26"/>
  <c r="E161" i="26"/>
  <c r="B161" i="26"/>
  <c r="G156" i="26"/>
  <c r="E156" i="26"/>
  <c r="B156" i="26"/>
  <c r="G155" i="26"/>
  <c r="E155" i="26"/>
  <c r="B155" i="26"/>
  <c r="G154" i="26"/>
  <c r="E154" i="26"/>
  <c r="B154" i="26"/>
  <c r="G153" i="26"/>
  <c r="E153" i="26"/>
  <c r="B153" i="26"/>
  <c r="G152" i="26"/>
  <c r="E152" i="26"/>
  <c r="B152" i="26"/>
  <c r="G151" i="26"/>
  <c r="E151" i="26"/>
  <c r="B151" i="26"/>
  <c r="N113" i="26"/>
  <c r="M113" i="26"/>
  <c r="L113" i="26"/>
  <c r="G42" i="26"/>
  <c r="E42" i="26"/>
  <c r="B42" i="26"/>
  <c r="G41" i="26"/>
  <c r="E41" i="26"/>
  <c r="B41" i="26"/>
  <c r="G40" i="26"/>
  <c r="E40" i="26"/>
  <c r="B40" i="26"/>
  <c r="G39" i="26"/>
  <c r="E39" i="26"/>
  <c r="B39" i="26"/>
  <c r="G38" i="26"/>
  <c r="E38" i="26"/>
  <c r="B38" i="26"/>
  <c r="G37" i="26"/>
  <c r="E37" i="26"/>
  <c r="B37" i="26"/>
  <c r="G36" i="26"/>
  <c r="E36" i="26"/>
  <c r="B36" i="26"/>
  <c r="G35" i="26"/>
  <c r="E35" i="26"/>
  <c r="B35" i="26"/>
  <c r="G34" i="26"/>
  <c r="E34" i="26"/>
  <c r="B34" i="26"/>
  <c r="G33" i="26"/>
  <c r="E33" i="26"/>
  <c r="B33" i="26"/>
  <c r="G32" i="26"/>
  <c r="E32" i="26"/>
  <c r="B32" i="26"/>
  <c r="G31" i="26"/>
  <c r="E31" i="26"/>
  <c r="B31" i="26"/>
  <c r="F25" i="26"/>
  <c r="E25" i="26"/>
  <c r="B25" i="26"/>
  <c r="F24" i="26"/>
  <c r="E24" i="26"/>
  <c r="B24" i="26"/>
  <c r="F23" i="26"/>
  <c r="E23" i="26"/>
  <c r="B23" i="26"/>
  <c r="F22" i="26"/>
  <c r="E22" i="26"/>
  <c r="B22" i="26"/>
  <c r="F21" i="26"/>
  <c r="E21" i="26"/>
  <c r="B21" i="26"/>
  <c r="F15" i="26"/>
  <c r="E15" i="26"/>
  <c r="B15" i="26"/>
  <c r="F14" i="26"/>
  <c r="E14" i="26"/>
  <c r="B14" i="26"/>
  <c r="F13" i="26"/>
  <c r="E13" i="26"/>
  <c r="B13" i="26"/>
  <c r="F12" i="26"/>
  <c r="E12" i="26"/>
  <c r="B12" i="26"/>
  <c r="G554" i="23"/>
  <c r="E554" i="23"/>
  <c r="B554" i="23"/>
  <c r="G553" i="23"/>
  <c r="E553" i="23"/>
  <c r="B553" i="23"/>
  <c r="G548" i="23"/>
  <c r="E548" i="23"/>
  <c r="B548" i="23"/>
  <c r="G547" i="23"/>
  <c r="E547" i="23"/>
  <c r="B547" i="23"/>
  <c r="G546" i="23"/>
  <c r="E546" i="23"/>
  <c r="B546" i="23"/>
  <c r="G545" i="23"/>
  <c r="E545" i="23"/>
  <c r="B545" i="23"/>
  <c r="G544" i="23"/>
  <c r="E544" i="23"/>
  <c r="B544" i="23"/>
  <c r="G543" i="23"/>
  <c r="E543" i="23"/>
  <c r="B543" i="23"/>
  <c r="G542" i="23"/>
  <c r="E542" i="23"/>
  <c r="B542" i="23"/>
  <c r="G541" i="23"/>
  <c r="E541" i="23"/>
  <c r="B541" i="23"/>
  <c r="G540" i="23"/>
  <c r="E540" i="23"/>
  <c r="B540" i="23"/>
  <c r="K539" i="23"/>
  <c r="G539" i="23"/>
  <c r="E539" i="23"/>
  <c r="B539" i="23"/>
  <c r="G538" i="23"/>
  <c r="E538" i="23"/>
  <c r="B538" i="23"/>
  <c r="K537" i="23"/>
  <c r="J538" i="23"/>
  <c r="G537" i="23"/>
  <c r="E537" i="23"/>
  <c r="B537" i="23"/>
  <c r="K536" i="23"/>
  <c r="G536" i="23"/>
  <c r="E536" i="23"/>
  <c r="B536" i="23"/>
  <c r="K535" i="23"/>
  <c r="G535" i="23"/>
  <c r="E535" i="23"/>
  <c r="B535" i="23"/>
  <c r="G534" i="23"/>
  <c r="E534" i="23"/>
  <c r="B534" i="23"/>
  <c r="J533" i="23"/>
  <c r="J534" i="23"/>
  <c r="J532" i="23"/>
  <c r="F529" i="23"/>
  <c r="E529" i="23"/>
  <c r="B529" i="23"/>
  <c r="F528" i="23"/>
  <c r="E528" i="23"/>
  <c r="B528" i="23"/>
  <c r="J527" i="23"/>
  <c r="F527" i="23"/>
  <c r="E527" i="23"/>
  <c r="B527" i="23"/>
  <c r="F526" i="23"/>
  <c r="E526" i="23"/>
  <c r="B526" i="23"/>
  <c r="F519" i="23"/>
  <c r="E519" i="23"/>
  <c r="B519" i="23"/>
  <c r="F518" i="23"/>
  <c r="E518" i="23"/>
  <c r="B518" i="23"/>
  <c r="F517" i="23"/>
  <c r="E517" i="23"/>
  <c r="B517" i="23"/>
  <c r="F516" i="23"/>
  <c r="E516" i="23"/>
  <c r="B516" i="23"/>
  <c r="F515" i="23"/>
  <c r="E515" i="23"/>
  <c r="B515" i="23"/>
  <c r="N505" i="23"/>
  <c r="M505" i="23"/>
  <c r="L505" i="23"/>
  <c r="D505" i="23"/>
  <c r="D1961" i="19"/>
  <c r="L1961" i="19"/>
  <c r="M1961" i="19"/>
  <c r="N1961" i="19"/>
  <c r="F1971" i="19"/>
  <c r="B1972" i="19"/>
  <c r="E1972" i="19"/>
  <c r="F1972" i="19"/>
  <c r="B1973" i="19"/>
  <c r="E1973" i="19"/>
  <c r="F1973" i="19"/>
  <c r="B1974" i="19"/>
  <c r="E1974" i="19"/>
  <c r="F1974" i="19"/>
  <c r="B1975" i="19"/>
  <c r="E1975" i="19"/>
  <c r="F1975" i="19"/>
  <c r="B1982" i="19"/>
  <c r="E1982" i="19"/>
  <c r="F1982" i="19"/>
  <c r="B1983" i="19"/>
  <c r="E1983" i="19"/>
  <c r="F1983" i="19"/>
  <c r="B1984" i="19"/>
  <c r="E1984" i="19"/>
  <c r="F1984" i="19"/>
  <c r="B1985" i="19"/>
  <c r="E1985" i="19"/>
  <c r="F1985" i="19"/>
  <c r="J1989" i="19"/>
  <c r="J1990" i="19"/>
  <c r="K1991" i="19"/>
  <c r="K1992" i="19"/>
  <c r="K1993" i="19"/>
  <c r="B1994" i="19"/>
  <c r="E1994" i="19"/>
  <c r="G1994" i="19"/>
  <c r="J1994" i="19"/>
  <c r="B1995" i="19"/>
  <c r="E1995" i="19"/>
  <c r="G1995" i="19"/>
  <c r="K1995" i="19"/>
  <c r="B1996" i="19"/>
  <c r="E1996" i="19"/>
  <c r="G1996" i="19"/>
  <c r="J1996" i="19"/>
  <c r="B1997" i="19"/>
  <c r="E1997" i="19"/>
  <c r="G1997" i="19"/>
  <c r="J1997" i="19"/>
  <c r="B1998" i="19"/>
  <c r="E1998" i="19"/>
  <c r="G1998" i="19"/>
  <c r="J1998" i="19"/>
  <c r="J1999" i="19" s="1"/>
  <c r="B1999" i="19"/>
  <c r="E1999" i="19"/>
  <c r="G1999" i="19"/>
  <c r="B2000" i="19"/>
  <c r="E2000" i="19"/>
  <c r="G2000" i="19"/>
  <c r="B2001" i="19"/>
  <c r="E2001" i="19"/>
  <c r="G2001" i="19"/>
  <c r="B2002" i="19"/>
  <c r="E2002" i="19"/>
  <c r="G2002" i="19"/>
  <c r="B2003" i="19"/>
  <c r="E2003" i="19"/>
  <c r="G2003" i="19"/>
  <c r="B2004" i="19"/>
  <c r="E2004" i="19"/>
  <c r="G2004" i="19"/>
  <c r="B2009" i="19"/>
  <c r="E2009" i="19"/>
  <c r="G2009" i="19"/>
  <c r="B2010" i="19"/>
  <c r="E2010" i="19"/>
  <c r="G2010" i="19"/>
  <c r="D2017" i="19"/>
  <c r="L2017" i="19"/>
  <c r="M2017" i="19"/>
  <c r="N2017" i="19"/>
  <c r="F2027" i="19"/>
  <c r="B2028" i="19"/>
  <c r="E2028" i="19"/>
  <c r="F2028" i="19"/>
  <c r="B2029" i="19"/>
  <c r="E2029" i="19"/>
  <c r="F2029" i="19"/>
  <c r="B2030" i="19"/>
  <c r="E2030" i="19"/>
  <c r="F2030" i="19"/>
  <c r="B2031" i="19"/>
  <c r="E2031" i="19"/>
  <c r="F2031" i="19"/>
  <c r="B2038" i="19"/>
  <c r="E2038" i="19"/>
  <c r="F2038" i="19"/>
  <c r="B2039" i="19"/>
  <c r="E2039" i="19"/>
  <c r="F2039" i="19"/>
  <c r="B2040" i="19"/>
  <c r="E2040" i="19"/>
  <c r="F2040" i="19"/>
  <c r="B2041" i="19"/>
  <c r="E2041" i="19"/>
  <c r="F2041" i="19"/>
  <c r="B2048" i="19"/>
  <c r="E2048" i="19"/>
  <c r="G2048" i="19"/>
  <c r="B2049" i="19"/>
  <c r="E2049" i="19"/>
  <c r="G2049" i="19"/>
  <c r="B2050" i="19"/>
  <c r="E2050" i="19"/>
  <c r="G2050" i="19"/>
  <c r="B2051" i="19"/>
  <c r="E2051" i="19"/>
  <c r="G2051" i="19"/>
  <c r="B2052" i="19"/>
  <c r="E2052" i="19"/>
  <c r="G2052" i="19"/>
  <c r="B2053" i="19"/>
  <c r="E2053" i="19"/>
  <c r="G2053" i="19"/>
  <c r="B2054" i="19"/>
  <c r="E2054" i="19"/>
  <c r="G2054" i="19"/>
  <c r="B2055" i="19"/>
  <c r="E2055" i="19"/>
  <c r="G2055" i="19"/>
  <c r="B2056" i="19"/>
  <c r="E2056" i="19"/>
  <c r="G2056" i="19"/>
  <c r="B2057" i="19"/>
  <c r="E2057" i="19"/>
  <c r="G2057" i="19"/>
  <c r="B2058" i="19"/>
  <c r="E2058" i="19"/>
  <c r="G2058" i="19"/>
  <c r="B2059" i="19"/>
  <c r="E2059" i="19"/>
  <c r="G2059" i="19"/>
  <c r="B2060" i="19"/>
  <c r="E2060" i="19"/>
  <c r="G2060" i="19"/>
  <c r="B2065" i="19"/>
  <c r="E2065" i="19"/>
  <c r="G2065" i="19"/>
  <c r="B2066" i="19"/>
  <c r="E2066" i="19"/>
  <c r="G2066" i="19"/>
  <c r="K1930" i="19"/>
  <c r="G1114" i="19"/>
  <c r="E1114" i="19"/>
  <c r="B1114" i="19"/>
  <c r="G1113" i="19"/>
  <c r="E1113" i="19"/>
  <c r="B1113" i="19"/>
  <c r="G1108" i="19"/>
  <c r="E1108" i="19"/>
  <c r="B1108" i="19"/>
  <c r="G1107" i="19"/>
  <c r="E1107" i="19"/>
  <c r="B1107" i="19"/>
  <c r="G1106" i="19"/>
  <c r="E1106" i="19"/>
  <c r="B1106" i="19"/>
  <c r="G1105" i="19"/>
  <c r="E1105" i="19"/>
  <c r="B1105" i="19"/>
  <c r="G1104" i="19"/>
  <c r="E1104" i="19"/>
  <c r="B1104" i="19"/>
  <c r="G1103" i="19"/>
  <c r="E1103" i="19"/>
  <c r="B1103" i="19"/>
  <c r="G1102" i="19"/>
  <c r="E1102" i="19"/>
  <c r="B1102" i="19"/>
  <c r="G1101" i="19"/>
  <c r="E1101" i="19"/>
  <c r="B1101" i="19"/>
  <c r="G1100" i="19"/>
  <c r="E1100" i="19"/>
  <c r="B1100" i="19"/>
  <c r="G1099" i="19"/>
  <c r="E1099" i="19"/>
  <c r="B1099" i="19"/>
  <c r="G1098" i="19"/>
  <c r="E1098" i="19"/>
  <c r="B1098" i="19"/>
  <c r="G1097" i="19"/>
  <c r="E1097" i="19"/>
  <c r="B1097" i="19"/>
  <c r="G1096" i="19"/>
  <c r="E1096" i="19"/>
  <c r="B1096" i="19"/>
  <c r="F1089" i="19"/>
  <c r="E1089" i="19"/>
  <c r="B1089" i="19"/>
  <c r="F1088" i="19"/>
  <c r="E1088" i="19"/>
  <c r="B1088" i="19"/>
  <c r="F1087" i="19"/>
  <c r="E1087" i="19"/>
  <c r="B1087" i="19"/>
  <c r="F1086" i="19"/>
  <c r="E1086" i="19"/>
  <c r="B1086" i="19"/>
  <c r="F1079" i="19"/>
  <c r="E1079" i="19"/>
  <c r="B1079" i="19"/>
  <c r="F1078" i="19"/>
  <c r="E1078" i="19"/>
  <c r="B1078" i="19"/>
  <c r="F1077" i="19"/>
  <c r="E1077" i="19"/>
  <c r="B1077" i="19"/>
  <c r="F1076" i="19"/>
  <c r="E1076" i="19"/>
  <c r="B1076" i="19"/>
  <c r="F1075" i="19"/>
  <c r="E1075" i="19"/>
  <c r="B1075" i="19"/>
  <c r="N1065" i="19"/>
  <c r="M1065" i="19"/>
  <c r="L1065" i="19"/>
  <c r="G218" i="14"/>
  <c r="E218" i="14"/>
  <c r="B218" i="14"/>
  <c r="G217" i="14"/>
  <c r="E217" i="14"/>
  <c r="B217" i="14"/>
  <c r="G216" i="14"/>
  <c r="E216" i="14"/>
  <c r="B216" i="14"/>
  <c r="G212" i="14"/>
  <c r="E212" i="14"/>
  <c r="B212" i="14"/>
  <c r="G211" i="14"/>
  <c r="E211" i="14"/>
  <c r="B211" i="14"/>
  <c r="G210" i="14"/>
  <c r="E210" i="14"/>
  <c r="B210" i="14"/>
  <c r="G209" i="14"/>
  <c r="E209" i="14"/>
  <c r="B209" i="14"/>
  <c r="G208" i="14"/>
  <c r="E208" i="14"/>
  <c r="B208" i="14"/>
  <c r="G207" i="14"/>
  <c r="E207" i="14"/>
  <c r="B207" i="14"/>
  <c r="G206" i="14"/>
  <c r="E206" i="14"/>
  <c r="B206" i="14"/>
  <c r="G205" i="14"/>
  <c r="E205" i="14"/>
  <c r="B205" i="14"/>
  <c r="G204" i="14"/>
  <c r="E204" i="14"/>
  <c r="B204" i="14"/>
  <c r="G203" i="14"/>
  <c r="E203" i="14"/>
  <c r="B203" i="14"/>
  <c r="G202" i="14"/>
  <c r="E202" i="14"/>
  <c r="B202" i="14"/>
  <c r="G201" i="14"/>
  <c r="E201" i="14"/>
  <c r="B201" i="14"/>
  <c r="G200" i="14"/>
  <c r="E200" i="14"/>
  <c r="B200" i="14"/>
  <c r="G199" i="14"/>
  <c r="E199" i="14"/>
  <c r="B199" i="14"/>
  <c r="F193" i="14"/>
  <c r="E193" i="14"/>
  <c r="B193" i="14"/>
  <c r="F192" i="14"/>
  <c r="E192" i="14"/>
  <c r="B192" i="14"/>
  <c r="F191" i="14"/>
  <c r="E191" i="14"/>
  <c r="B191" i="14"/>
  <c r="F190" i="14"/>
  <c r="E190" i="14"/>
  <c r="B190" i="14"/>
  <c r="F189" i="14"/>
  <c r="E189" i="14"/>
  <c r="B189" i="14"/>
  <c r="F183" i="14"/>
  <c r="E183" i="14"/>
  <c r="B183" i="14"/>
  <c r="F182" i="14"/>
  <c r="E182" i="14"/>
  <c r="B182" i="14"/>
  <c r="F181" i="14"/>
  <c r="E181" i="14"/>
  <c r="B181" i="14"/>
  <c r="N169" i="14"/>
  <c r="M169" i="14"/>
  <c r="L169" i="14"/>
  <c r="D169" i="14"/>
  <c r="G1898" i="19"/>
  <c r="E1898" i="19"/>
  <c r="B1898" i="19"/>
  <c r="G1897" i="19"/>
  <c r="E1897" i="19"/>
  <c r="B1897" i="19"/>
  <c r="G1892" i="19"/>
  <c r="E1892" i="19"/>
  <c r="B1892" i="19"/>
  <c r="G1891" i="19"/>
  <c r="E1891" i="19"/>
  <c r="B1891" i="19"/>
  <c r="G1890" i="19"/>
  <c r="E1890" i="19"/>
  <c r="B1890" i="19"/>
  <c r="G1889" i="19"/>
  <c r="E1889" i="19"/>
  <c r="B1889" i="19"/>
  <c r="G1888" i="19"/>
  <c r="E1888" i="19"/>
  <c r="B1888" i="19"/>
  <c r="G1887" i="19"/>
  <c r="E1887" i="19"/>
  <c r="B1887" i="19"/>
  <c r="G1886" i="19"/>
  <c r="E1886" i="19"/>
  <c r="B1886" i="19"/>
  <c r="G1885" i="19"/>
  <c r="E1885" i="19"/>
  <c r="B1885" i="19"/>
  <c r="G1884" i="19"/>
  <c r="E1884" i="19"/>
  <c r="B1884" i="19"/>
  <c r="G1883" i="19"/>
  <c r="E1883" i="19"/>
  <c r="B1883" i="19"/>
  <c r="G1882" i="19"/>
  <c r="E1882" i="19"/>
  <c r="B1882" i="19"/>
  <c r="G1881" i="19"/>
  <c r="E1881" i="19"/>
  <c r="B1881" i="19"/>
  <c r="G1880" i="19"/>
  <c r="E1880" i="19"/>
  <c r="B1880" i="19"/>
  <c r="G1879" i="19"/>
  <c r="E1879" i="19"/>
  <c r="B1879" i="19"/>
  <c r="G1878" i="19"/>
  <c r="E1878" i="19"/>
  <c r="B1878" i="19"/>
  <c r="F1873" i="19"/>
  <c r="E1873" i="19"/>
  <c r="B1873" i="19"/>
  <c r="F1872" i="19"/>
  <c r="E1872" i="19"/>
  <c r="B1872" i="19"/>
  <c r="F1871" i="19"/>
  <c r="E1871" i="19"/>
  <c r="B1871" i="19"/>
  <c r="F1870" i="19"/>
  <c r="E1870" i="19"/>
  <c r="B1870" i="19"/>
  <c r="F1863" i="19"/>
  <c r="E1863" i="19"/>
  <c r="B1863" i="19"/>
  <c r="F1862" i="19"/>
  <c r="E1862" i="19"/>
  <c r="B1862" i="19"/>
  <c r="F1861" i="19"/>
  <c r="E1861" i="19"/>
  <c r="B1861" i="19"/>
  <c r="F1860" i="19"/>
  <c r="E1860" i="19"/>
  <c r="B1860" i="19"/>
  <c r="F1859" i="19"/>
  <c r="E1859" i="19"/>
  <c r="B1859" i="19"/>
  <c r="N1849" i="19"/>
  <c r="M1849" i="19"/>
  <c r="L1849" i="19"/>
  <c r="D1" i="32"/>
  <c r="L1" i="32"/>
  <c r="M1" i="32"/>
  <c r="N1" i="32"/>
  <c r="B11" i="32"/>
  <c r="E11" i="32"/>
  <c r="F11" i="32"/>
  <c r="B12" i="32"/>
  <c r="E12" i="32"/>
  <c r="F12" i="32"/>
  <c r="B13" i="32"/>
  <c r="E13" i="32"/>
  <c r="F13" i="32"/>
  <c r="B14" i="32"/>
  <c r="E14" i="32"/>
  <c r="F14" i="32"/>
  <c r="B15" i="32"/>
  <c r="E15" i="32"/>
  <c r="F15" i="32"/>
  <c r="B19" i="32"/>
  <c r="E19" i="32"/>
  <c r="F19" i="32"/>
  <c r="G19" i="32"/>
  <c r="B22" i="32"/>
  <c r="E22" i="32"/>
  <c r="F22" i="32"/>
  <c r="B23" i="32"/>
  <c r="E23" i="32"/>
  <c r="F23" i="32"/>
  <c r="B24" i="32"/>
  <c r="E24" i="32"/>
  <c r="F24" i="32"/>
  <c r="B25" i="32"/>
  <c r="E25" i="32"/>
  <c r="F25" i="32"/>
  <c r="H29" i="32"/>
  <c r="J29" i="32"/>
  <c r="H30" i="32"/>
  <c r="H31" i="32"/>
  <c r="H32" i="32"/>
  <c r="H33" i="32"/>
  <c r="H34" i="32"/>
  <c r="H35" i="32"/>
  <c r="H36" i="32"/>
  <c r="H37" i="32"/>
  <c r="B38" i="32"/>
  <c r="E38" i="32"/>
  <c r="G38" i="32"/>
  <c r="B39" i="32"/>
  <c r="E39" i="32"/>
  <c r="G39" i="32"/>
  <c r="B40" i="32"/>
  <c r="E40" i="32"/>
  <c r="G40" i="32"/>
  <c r="B41" i="32"/>
  <c r="E41" i="32"/>
  <c r="G41" i="32"/>
  <c r="B42" i="32"/>
  <c r="E42" i="32"/>
  <c r="G42" i="32"/>
  <c r="B43" i="32"/>
  <c r="E43" i="32"/>
  <c r="G43" i="32"/>
  <c r="B44" i="32"/>
  <c r="E44" i="32"/>
  <c r="G44" i="32"/>
  <c r="B49" i="32"/>
  <c r="E49" i="32"/>
  <c r="G49" i="32"/>
  <c r="B50" i="32"/>
  <c r="E50" i="32"/>
  <c r="G50" i="32"/>
  <c r="L57" i="32"/>
  <c r="M57" i="32"/>
  <c r="N57" i="32"/>
  <c r="B67" i="32"/>
  <c r="E67" i="32"/>
  <c r="F67" i="32"/>
  <c r="B68" i="32"/>
  <c r="E68" i="32"/>
  <c r="F68" i="32"/>
  <c r="B69" i="32"/>
  <c r="E69" i="32"/>
  <c r="F69" i="32"/>
  <c r="B70" i="32"/>
  <c r="E70" i="32"/>
  <c r="F70" i="32"/>
  <c r="B71" i="32"/>
  <c r="E71" i="32"/>
  <c r="F71" i="32"/>
  <c r="B75" i="32"/>
  <c r="E75" i="32"/>
  <c r="F75" i="32"/>
  <c r="G75" i="32"/>
  <c r="B78" i="32"/>
  <c r="E78" i="32"/>
  <c r="F78" i="32"/>
  <c r="B79" i="32"/>
  <c r="E79" i="32"/>
  <c r="F79" i="32"/>
  <c r="B80" i="32"/>
  <c r="E80" i="32"/>
  <c r="F80" i="32"/>
  <c r="B81" i="32"/>
  <c r="E81" i="32"/>
  <c r="F81" i="32"/>
  <c r="H85" i="32"/>
  <c r="J85" i="32"/>
  <c r="H86" i="32"/>
  <c r="H87" i="32"/>
  <c r="H88" i="32"/>
  <c r="H89" i="32"/>
  <c r="H90" i="32"/>
  <c r="H91" i="32"/>
  <c r="H92" i="32"/>
  <c r="H93" i="32"/>
  <c r="B94" i="32"/>
  <c r="E94" i="32"/>
  <c r="G94" i="32"/>
  <c r="B95" i="32"/>
  <c r="E95" i="32"/>
  <c r="G95" i="32"/>
  <c r="B96" i="32"/>
  <c r="E96" i="32"/>
  <c r="G96" i="32"/>
  <c r="B97" i="32"/>
  <c r="E97" i="32"/>
  <c r="G97" i="32"/>
  <c r="B98" i="32"/>
  <c r="E98" i="32"/>
  <c r="G98" i="32"/>
  <c r="B99" i="32"/>
  <c r="E99" i="32"/>
  <c r="G99" i="32"/>
  <c r="B100" i="32"/>
  <c r="E100" i="32"/>
  <c r="G100" i="32"/>
  <c r="B105" i="32"/>
  <c r="E105" i="32"/>
  <c r="G105" i="32"/>
  <c r="B106" i="32"/>
  <c r="E106" i="32"/>
  <c r="G106" i="32"/>
  <c r="L113" i="32"/>
  <c r="M113" i="32"/>
  <c r="N113" i="32"/>
  <c r="B123" i="32"/>
  <c r="E123" i="32"/>
  <c r="F123" i="32"/>
  <c r="B124" i="32"/>
  <c r="E124" i="32"/>
  <c r="F124" i="32"/>
  <c r="B125" i="32"/>
  <c r="E125" i="32"/>
  <c r="F125" i="32"/>
  <c r="B126" i="32"/>
  <c r="E126" i="32"/>
  <c r="F126" i="32"/>
  <c r="B127" i="32"/>
  <c r="E127" i="32"/>
  <c r="F127" i="32"/>
  <c r="B131" i="32"/>
  <c r="E131" i="32"/>
  <c r="F131" i="32"/>
  <c r="G131" i="32"/>
  <c r="B134" i="32"/>
  <c r="E134" i="32"/>
  <c r="F134" i="32"/>
  <c r="B135" i="32"/>
  <c r="E135" i="32"/>
  <c r="F135" i="32"/>
  <c r="B136" i="32"/>
  <c r="E136" i="32"/>
  <c r="F136" i="32"/>
  <c r="B137" i="32"/>
  <c r="E137" i="32"/>
  <c r="F137" i="32"/>
  <c r="H141" i="32"/>
  <c r="J141" i="32"/>
  <c r="H142" i="32"/>
  <c r="J142" i="32"/>
  <c r="H143" i="32"/>
  <c r="H144" i="32"/>
  <c r="G145" i="32"/>
  <c r="H145" i="32" s="1"/>
  <c r="H146" i="32"/>
  <c r="H147" i="32"/>
  <c r="H148" i="32"/>
  <c r="H149" i="32"/>
  <c r="B150" i="32"/>
  <c r="E150" i="32"/>
  <c r="G150" i="32"/>
  <c r="B151" i="32"/>
  <c r="E151" i="32"/>
  <c r="G151" i="32"/>
  <c r="B152" i="32"/>
  <c r="E152" i="32"/>
  <c r="G152" i="32"/>
  <c r="B153" i="32"/>
  <c r="E153" i="32"/>
  <c r="G153" i="32"/>
  <c r="B154" i="32"/>
  <c r="E154" i="32"/>
  <c r="G154" i="32"/>
  <c r="B155" i="32"/>
  <c r="E155" i="32"/>
  <c r="G155" i="32"/>
  <c r="B156" i="32"/>
  <c r="E156" i="32"/>
  <c r="G156" i="32"/>
  <c r="B161" i="32"/>
  <c r="E161" i="32"/>
  <c r="G161" i="32"/>
  <c r="B162" i="32"/>
  <c r="E162" i="32"/>
  <c r="G162" i="32"/>
  <c r="L169" i="32"/>
  <c r="M169" i="32"/>
  <c r="N169" i="32"/>
  <c r="B179" i="32"/>
  <c r="E179" i="32"/>
  <c r="F179" i="32"/>
  <c r="B180" i="32"/>
  <c r="E180" i="32"/>
  <c r="F180" i="32"/>
  <c r="B181" i="32"/>
  <c r="E181" i="32"/>
  <c r="F181" i="32"/>
  <c r="B182" i="32"/>
  <c r="E182" i="32"/>
  <c r="F182" i="32"/>
  <c r="B183" i="32"/>
  <c r="E183" i="32"/>
  <c r="F183" i="32"/>
  <c r="B187" i="32"/>
  <c r="E187" i="32"/>
  <c r="F187" i="32"/>
  <c r="G187" i="32"/>
  <c r="B190" i="32"/>
  <c r="E190" i="32"/>
  <c r="F190" i="32"/>
  <c r="B191" i="32"/>
  <c r="E191" i="32"/>
  <c r="F191" i="32"/>
  <c r="B192" i="32"/>
  <c r="E192" i="32"/>
  <c r="F192" i="32"/>
  <c r="B193" i="32"/>
  <c r="E193" i="32"/>
  <c r="F193" i="32"/>
  <c r="H197" i="32"/>
  <c r="J197" i="32"/>
  <c r="H198" i="32"/>
  <c r="J198" i="32"/>
  <c r="H199" i="32"/>
  <c r="H200" i="32"/>
  <c r="G201" i="32"/>
  <c r="H201" i="32" s="1"/>
  <c r="H202" i="32"/>
  <c r="H203" i="32"/>
  <c r="H204" i="32"/>
  <c r="H205" i="32"/>
  <c r="B206" i="32"/>
  <c r="E206" i="32"/>
  <c r="G206" i="32"/>
  <c r="B207" i="32"/>
  <c r="E207" i="32"/>
  <c r="G207" i="32"/>
  <c r="B208" i="32"/>
  <c r="E208" i="32"/>
  <c r="G208" i="32"/>
  <c r="B209" i="32"/>
  <c r="E209" i="32"/>
  <c r="G209" i="32"/>
  <c r="B210" i="32"/>
  <c r="E210" i="32"/>
  <c r="G210" i="32"/>
  <c r="B211" i="32"/>
  <c r="E211" i="32"/>
  <c r="G211" i="32"/>
  <c r="B212" i="32"/>
  <c r="E212" i="32"/>
  <c r="G212" i="32"/>
  <c r="B217" i="32"/>
  <c r="E217" i="32"/>
  <c r="G217" i="32"/>
  <c r="B218" i="32"/>
  <c r="E218" i="32"/>
  <c r="G218" i="32"/>
  <c r="L225" i="32"/>
  <c r="M225" i="32"/>
  <c r="N225" i="32"/>
  <c r="B235" i="32"/>
  <c r="E235" i="32"/>
  <c r="F235" i="32"/>
  <c r="B236" i="32"/>
  <c r="E236" i="32"/>
  <c r="F236" i="32"/>
  <c r="B237" i="32"/>
  <c r="E237" i="32"/>
  <c r="F237" i="32"/>
  <c r="B238" i="32"/>
  <c r="E238" i="32"/>
  <c r="F238" i="32"/>
  <c r="B239" i="32"/>
  <c r="E239" i="32"/>
  <c r="F239" i="32"/>
  <c r="B243" i="32"/>
  <c r="E243" i="32"/>
  <c r="F243" i="32"/>
  <c r="G243" i="32"/>
  <c r="B246" i="32"/>
  <c r="E246" i="32"/>
  <c r="F246" i="32"/>
  <c r="B247" i="32"/>
  <c r="E247" i="32"/>
  <c r="F247" i="32"/>
  <c r="B248" i="32"/>
  <c r="E248" i="32"/>
  <c r="F248" i="32"/>
  <c r="B249" i="32"/>
  <c r="E249" i="32"/>
  <c r="F249" i="32"/>
  <c r="H254" i="32"/>
  <c r="J254" i="32"/>
  <c r="H255" i="32"/>
  <c r="H256" i="32"/>
  <c r="J256" i="32"/>
  <c r="G257" i="32"/>
  <c r="H257" i="32"/>
  <c r="H258" i="32"/>
  <c r="H259" i="32"/>
  <c r="H260" i="32"/>
  <c r="H261" i="32"/>
  <c r="B262" i="32"/>
  <c r="E262" i="32"/>
  <c r="G262" i="32"/>
  <c r="B263" i="32"/>
  <c r="E263" i="32"/>
  <c r="G263" i="32"/>
  <c r="B264" i="32"/>
  <c r="E264" i="32"/>
  <c r="G264" i="32"/>
  <c r="B265" i="32"/>
  <c r="E265" i="32"/>
  <c r="G265" i="32"/>
  <c r="B266" i="32"/>
  <c r="E266" i="32"/>
  <c r="G266" i="32"/>
  <c r="B267" i="32"/>
  <c r="E267" i="32"/>
  <c r="G267" i="32"/>
  <c r="B268" i="32"/>
  <c r="E268" i="32"/>
  <c r="G268" i="32"/>
  <c r="B273" i="32"/>
  <c r="E273" i="32"/>
  <c r="G273" i="32"/>
  <c r="B274" i="32"/>
  <c r="E274" i="32"/>
  <c r="G274" i="32"/>
  <c r="L281" i="32"/>
  <c r="M281" i="32"/>
  <c r="N281" i="32"/>
  <c r="B291" i="32"/>
  <c r="E291" i="32"/>
  <c r="F291" i="32"/>
  <c r="B292" i="32"/>
  <c r="E292" i="32"/>
  <c r="F292" i="32"/>
  <c r="B293" i="32"/>
  <c r="E293" i="32"/>
  <c r="F293" i="32"/>
  <c r="B294" i="32"/>
  <c r="E294" i="32"/>
  <c r="F294" i="32"/>
  <c r="B295" i="32"/>
  <c r="E295" i="32"/>
  <c r="F295" i="32"/>
  <c r="B299" i="32"/>
  <c r="E299" i="32"/>
  <c r="F299" i="32"/>
  <c r="G299" i="32"/>
  <c r="B302" i="32"/>
  <c r="E302" i="32"/>
  <c r="F302" i="32"/>
  <c r="B303" i="32"/>
  <c r="E303" i="32"/>
  <c r="F303" i="32"/>
  <c r="B304" i="32"/>
  <c r="E304" i="32"/>
  <c r="F304" i="32"/>
  <c r="B305" i="32"/>
  <c r="E305" i="32"/>
  <c r="F305" i="32"/>
  <c r="H309" i="32"/>
  <c r="J309" i="32"/>
  <c r="H310" i="32"/>
  <c r="H311" i="32"/>
  <c r="H312" i="32"/>
  <c r="H313" i="32"/>
  <c r="H314" i="32"/>
  <c r="H315" i="32"/>
  <c r="H316" i="32"/>
  <c r="H317" i="32"/>
  <c r="B318" i="32"/>
  <c r="E318" i="32"/>
  <c r="G318" i="32"/>
  <c r="B319" i="32"/>
  <c r="E319" i="32"/>
  <c r="G319" i="32"/>
  <c r="B320" i="32"/>
  <c r="E320" i="32"/>
  <c r="G320" i="32"/>
  <c r="B321" i="32"/>
  <c r="E321" i="32"/>
  <c r="G321" i="32"/>
  <c r="B322" i="32"/>
  <c r="E322" i="32"/>
  <c r="G322" i="32"/>
  <c r="B323" i="32"/>
  <c r="E323" i="32"/>
  <c r="G323" i="32"/>
  <c r="B324" i="32"/>
  <c r="E324" i="32"/>
  <c r="G324" i="32"/>
  <c r="B329" i="32"/>
  <c r="E329" i="32"/>
  <c r="G329" i="32"/>
  <c r="B330" i="32"/>
  <c r="E330" i="32"/>
  <c r="G330" i="32"/>
  <c r="L337" i="32"/>
  <c r="M337" i="32"/>
  <c r="N337" i="32"/>
  <c r="B347" i="32"/>
  <c r="E347" i="32"/>
  <c r="F347" i="32"/>
  <c r="B348" i="32"/>
  <c r="E348" i="32"/>
  <c r="F348" i="32"/>
  <c r="B349" i="32"/>
  <c r="E349" i="32"/>
  <c r="F349" i="32"/>
  <c r="B350" i="32"/>
  <c r="E350" i="32"/>
  <c r="F350" i="32"/>
  <c r="B351" i="32"/>
  <c r="E351" i="32"/>
  <c r="F351" i="32"/>
  <c r="B355" i="32"/>
  <c r="E355" i="32"/>
  <c r="F355" i="32"/>
  <c r="G355" i="32"/>
  <c r="B358" i="32"/>
  <c r="E358" i="32"/>
  <c r="F358" i="32"/>
  <c r="B359" i="32"/>
  <c r="E359" i="32"/>
  <c r="F359" i="32"/>
  <c r="B360" i="32"/>
  <c r="E360" i="32"/>
  <c r="F360" i="32"/>
  <c r="B361" i="32"/>
  <c r="E361" i="32"/>
  <c r="F361" i="32"/>
  <c r="H365" i="32"/>
  <c r="J365" i="32"/>
  <c r="H366" i="32"/>
  <c r="H367" i="32"/>
  <c r="H368" i="32"/>
  <c r="H369" i="32"/>
  <c r="H370" i="32"/>
  <c r="H371" i="32"/>
  <c r="H372" i="32"/>
  <c r="H373" i="32"/>
  <c r="B374" i="32"/>
  <c r="E374" i="32"/>
  <c r="G374" i="32"/>
  <c r="B375" i="32"/>
  <c r="E375" i="32"/>
  <c r="G375" i="32"/>
  <c r="B376" i="32"/>
  <c r="E376" i="32"/>
  <c r="G376" i="32"/>
  <c r="B377" i="32"/>
  <c r="E377" i="32"/>
  <c r="G377" i="32"/>
  <c r="B378" i="32"/>
  <c r="E378" i="32"/>
  <c r="G378" i="32"/>
  <c r="B379" i="32"/>
  <c r="E379" i="32"/>
  <c r="G379" i="32"/>
  <c r="B380" i="32"/>
  <c r="E380" i="32"/>
  <c r="G380" i="32"/>
  <c r="B385" i="32"/>
  <c r="E385" i="32"/>
  <c r="G385" i="32"/>
  <c r="B386" i="32"/>
  <c r="E386" i="32"/>
  <c r="G386" i="32"/>
  <c r="L57" i="30"/>
  <c r="M57" i="30"/>
  <c r="N57" i="30"/>
  <c r="B67" i="30"/>
  <c r="E67" i="30"/>
  <c r="F67" i="30"/>
  <c r="B68" i="30"/>
  <c r="E68" i="30"/>
  <c r="F68" i="30"/>
  <c r="B69" i="30"/>
  <c r="E69" i="30"/>
  <c r="F69" i="30"/>
  <c r="B70" i="30"/>
  <c r="E70" i="30"/>
  <c r="F70" i="30"/>
  <c r="B71" i="30"/>
  <c r="E71" i="30"/>
  <c r="F71" i="30"/>
  <c r="B75" i="30"/>
  <c r="E75" i="30"/>
  <c r="F75" i="30"/>
  <c r="G75" i="30"/>
  <c r="B78" i="30"/>
  <c r="E78" i="30"/>
  <c r="F78" i="30"/>
  <c r="B79" i="30"/>
  <c r="E79" i="30"/>
  <c r="F79" i="30"/>
  <c r="B80" i="30"/>
  <c r="E80" i="30"/>
  <c r="F80" i="30"/>
  <c r="B81" i="30"/>
  <c r="E81" i="30"/>
  <c r="F81" i="30"/>
  <c r="H87" i="30"/>
  <c r="H88" i="30"/>
  <c r="H89" i="30"/>
  <c r="H90" i="30"/>
  <c r="H91" i="30"/>
  <c r="H92" i="30"/>
  <c r="H93" i="30"/>
  <c r="B94" i="30"/>
  <c r="E94" i="30"/>
  <c r="G94" i="30"/>
  <c r="B95" i="30"/>
  <c r="E95" i="30"/>
  <c r="G95" i="30"/>
  <c r="B96" i="30"/>
  <c r="E96" i="30"/>
  <c r="G96" i="30"/>
  <c r="B97" i="30"/>
  <c r="E97" i="30"/>
  <c r="G97" i="30"/>
  <c r="B98" i="30"/>
  <c r="E98" i="30"/>
  <c r="G98" i="30"/>
  <c r="B99" i="30"/>
  <c r="E99" i="30"/>
  <c r="G99" i="30"/>
  <c r="B100" i="30"/>
  <c r="E100" i="30"/>
  <c r="G100" i="30"/>
  <c r="B105" i="30"/>
  <c r="E105" i="30"/>
  <c r="G105" i="30"/>
  <c r="B106" i="30"/>
  <c r="E106" i="30"/>
  <c r="G106" i="30"/>
  <c r="L281" i="30"/>
  <c r="M281" i="30"/>
  <c r="N281" i="30"/>
  <c r="B291" i="30"/>
  <c r="E291" i="30"/>
  <c r="F291" i="30"/>
  <c r="B292" i="30"/>
  <c r="E292" i="30"/>
  <c r="F292" i="30"/>
  <c r="B293" i="30"/>
  <c r="E293" i="30"/>
  <c r="F293" i="30"/>
  <c r="B294" i="30"/>
  <c r="E294" i="30"/>
  <c r="F294" i="30"/>
  <c r="B295" i="30"/>
  <c r="E295" i="30"/>
  <c r="F295" i="30"/>
  <c r="B299" i="30"/>
  <c r="E299" i="30"/>
  <c r="F299" i="30"/>
  <c r="G299" i="30"/>
  <c r="B302" i="30"/>
  <c r="E302" i="30"/>
  <c r="F302" i="30"/>
  <c r="B303" i="30"/>
  <c r="E303" i="30"/>
  <c r="F303" i="30"/>
  <c r="B304" i="30"/>
  <c r="E304" i="30"/>
  <c r="F304" i="30"/>
  <c r="B305" i="30"/>
  <c r="E305" i="30"/>
  <c r="F305" i="30"/>
  <c r="H309" i="30"/>
  <c r="J309" i="30"/>
  <c r="H311" i="30"/>
  <c r="H312" i="30"/>
  <c r="H313" i="30"/>
  <c r="H314" i="30"/>
  <c r="H315" i="30"/>
  <c r="H316" i="30"/>
  <c r="H317" i="30"/>
  <c r="B318" i="30"/>
  <c r="E318" i="30"/>
  <c r="G318" i="30"/>
  <c r="B319" i="30"/>
  <c r="E319" i="30"/>
  <c r="G319" i="30"/>
  <c r="B320" i="30"/>
  <c r="E320" i="30"/>
  <c r="G320" i="30"/>
  <c r="B321" i="30"/>
  <c r="E321" i="30"/>
  <c r="G321" i="30"/>
  <c r="B322" i="30"/>
  <c r="E322" i="30"/>
  <c r="G322" i="30"/>
  <c r="B323" i="30"/>
  <c r="E323" i="30"/>
  <c r="G323" i="30"/>
  <c r="B324" i="30"/>
  <c r="E324" i="30"/>
  <c r="G324" i="30"/>
  <c r="B329" i="30"/>
  <c r="E329" i="30"/>
  <c r="G329" i="30"/>
  <c r="B330" i="30"/>
  <c r="E330" i="30"/>
  <c r="G330" i="30"/>
  <c r="L337" i="30"/>
  <c r="M337" i="30"/>
  <c r="N337" i="30"/>
  <c r="B347" i="30"/>
  <c r="E347" i="30"/>
  <c r="F347" i="30"/>
  <c r="B348" i="30"/>
  <c r="E348" i="30"/>
  <c r="F348" i="30"/>
  <c r="B349" i="30"/>
  <c r="E349" i="30"/>
  <c r="F349" i="30"/>
  <c r="B350" i="30"/>
  <c r="E350" i="30"/>
  <c r="F350" i="30"/>
  <c r="B351" i="30"/>
  <c r="E351" i="30"/>
  <c r="F351" i="30"/>
  <c r="B355" i="30"/>
  <c r="E355" i="30"/>
  <c r="F355" i="30"/>
  <c r="G355" i="30"/>
  <c r="B358" i="30"/>
  <c r="E358" i="30"/>
  <c r="F358" i="30"/>
  <c r="B359" i="30"/>
  <c r="E359" i="30"/>
  <c r="F359" i="30"/>
  <c r="B360" i="30"/>
  <c r="E360" i="30"/>
  <c r="F360" i="30"/>
  <c r="B361" i="30"/>
  <c r="E361" i="30"/>
  <c r="F361" i="30"/>
  <c r="H365" i="30"/>
  <c r="J365" i="30"/>
  <c r="H366" i="30"/>
  <c r="J366" i="30"/>
  <c r="H367" i="30"/>
  <c r="H368" i="30"/>
  <c r="H369" i="30"/>
  <c r="H381" i="30" s="1"/>
  <c r="H370" i="30"/>
  <c r="H371" i="30"/>
  <c r="H372" i="30"/>
  <c r="H373" i="30"/>
  <c r="B374" i="30"/>
  <c r="E374" i="30"/>
  <c r="G374" i="30"/>
  <c r="B375" i="30"/>
  <c r="E375" i="30"/>
  <c r="G375" i="30"/>
  <c r="B376" i="30"/>
  <c r="E376" i="30"/>
  <c r="G376" i="30"/>
  <c r="B377" i="30"/>
  <c r="E377" i="30"/>
  <c r="G377" i="30"/>
  <c r="B378" i="30"/>
  <c r="E378" i="30"/>
  <c r="G378" i="30"/>
  <c r="B379" i="30"/>
  <c r="E379" i="30"/>
  <c r="G379" i="30"/>
  <c r="B380" i="30"/>
  <c r="E380" i="30"/>
  <c r="G380" i="30"/>
  <c r="B385" i="30"/>
  <c r="E385" i="30"/>
  <c r="G385" i="30"/>
  <c r="B386" i="30"/>
  <c r="E386" i="30"/>
  <c r="G386" i="30"/>
  <c r="L505" i="30"/>
  <c r="M505" i="30"/>
  <c r="N505" i="30"/>
  <c r="B515" i="30"/>
  <c r="E515" i="30"/>
  <c r="F515" i="30"/>
  <c r="B516" i="30"/>
  <c r="E516" i="30"/>
  <c r="F516" i="30"/>
  <c r="B517" i="30"/>
  <c r="E517" i="30"/>
  <c r="F517" i="30"/>
  <c r="B518" i="30"/>
  <c r="E518" i="30"/>
  <c r="F518" i="30"/>
  <c r="B519" i="30"/>
  <c r="E519" i="30"/>
  <c r="F519" i="30"/>
  <c r="B523" i="30"/>
  <c r="E523" i="30"/>
  <c r="F523" i="30"/>
  <c r="G523" i="30"/>
  <c r="B526" i="30"/>
  <c r="E526" i="30"/>
  <c r="F526" i="30"/>
  <c r="B527" i="30"/>
  <c r="E527" i="30"/>
  <c r="F527" i="30"/>
  <c r="B528" i="30"/>
  <c r="E528" i="30"/>
  <c r="F528" i="30"/>
  <c r="B529" i="30"/>
  <c r="E529" i="30"/>
  <c r="F529" i="30"/>
  <c r="H533" i="30"/>
  <c r="J533" i="30"/>
  <c r="H535" i="30"/>
  <c r="H536" i="30"/>
  <c r="H537" i="30"/>
  <c r="H538" i="30"/>
  <c r="H539" i="30"/>
  <c r="H540" i="30"/>
  <c r="H541" i="30"/>
  <c r="B542" i="30"/>
  <c r="E542" i="30"/>
  <c r="G542" i="30"/>
  <c r="B543" i="30"/>
  <c r="E543" i="30"/>
  <c r="G543" i="30"/>
  <c r="B544" i="30"/>
  <c r="E544" i="30"/>
  <c r="G544" i="30"/>
  <c r="B545" i="30"/>
  <c r="E545" i="30"/>
  <c r="G545" i="30"/>
  <c r="B546" i="30"/>
  <c r="E546" i="30"/>
  <c r="G546" i="30"/>
  <c r="B547" i="30"/>
  <c r="E547" i="30"/>
  <c r="G547" i="30"/>
  <c r="B548" i="30"/>
  <c r="E548" i="30"/>
  <c r="G548" i="30"/>
  <c r="B553" i="30"/>
  <c r="E553" i="30"/>
  <c r="G553" i="30"/>
  <c r="B554" i="30"/>
  <c r="E554" i="30"/>
  <c r="G554" i="30"/>
  <c r="L617" i="30"/>
  <c r="M617" i="30"/>
  <c r="N617" i="30"/>
  <c r="B627" i="30"/>
  <c r="E627" i="30"/>
  <c r="F627" i="30"/>
  <c r="B628" i="30"/>
  <c r="E628" i="30"/>
  <c r="F628" i="30"/>
  <c r="B629" i="30"/>
  <c r="E629" i="30"/>
  <c r="F629" i="30"/>
  <c r="B630" i="30"/>
  <c r="E630" i="30"/>
  <c r="F630" i="30"/>
  <c r="B631" i="30"/>
  <c r="E631" i="30"/>
  <c r="F631" i="30"/>
  <c r="B635" i="30"/>
  <c r="E635" i="30"/>
  <c r="F635" i="30"/>
  <c r="G635" i="30"/>
  <c r="B638" i="30"/>
  <c r="E638" i="30"/>
  <c r="F638" i="30"/>
  <c r="B639" i="30"/>
  <c r="E639" i="30"/>
  <c r="F639" i="30"/>
  <c r="B640" i="30"/>
  <c r="E640" i="30"/>
  <c r="F640" i="30"/>
  <c r="B641" i="30"/>
  <c r="E641" i="30"/>
  <c r="F641" i="30"/>
  <c r="J645" i="30"/>
  <c r="J648" i="30" s="1"/>
  <c r="H646" i="30"/>
  <c r="J646" i="30"/>
  <c r="H647" i="30"/>
  <c r="H648" i="30"/>
  <c r="H649" i="30"/>
  <c r="H650" i="30"/>
  <c r="H651" i="30"/>
  <c r="H652" i="30"/>
  <c r="H653" i="30"/>
  <c r="B654" i="30"/>
  <c r="E654" i="30"/>
  <c r="G654" i="30"/>
  <c r="B655" i="30"/>
  <c r="E655" i="30"/>
  <c r="G655" i="30"/>
  <c r="B656" i="30"/>
  <c r="E656" i="30"/>
  <c r="G656" i="30"/>
  <c r="B657" i="30"/>
  <c r="E657" i="30"/>
  <c r="G657" i="30"/>
  <c r="B658" i="30"/>
  <c r="E658" i="30"/>
  <c r="G658" i="30"/>
  <c r="B659" i="30"/>
  <c r="E659" i="30"/>
  <c r="G659" i="30"/>
  <c r="B660" i="30"/>
  <c r="E660" i="30"/>
  <c r="G660" i="30"/>
  <c r="B665" i="30"/>
  <c r="E665" i="30"/>
  <c r="G665" i="30"/>
  <c r="B666" i="30"/>
  <c r="E666" i="30"/>
  <c r="G666" i="30"/>
  <c r="L673" i="30"/>
  <c r="M673" i="30"/>
  <c r="N673" i="30"/>
  <c r="B683" i="30"/>
  <c r="E683" i="30"/>
  <c r="F683" i="30"/>
  <c r="B684" i="30"/>
  <c r="E684" i="30"/>
  <c r="F684" i="30"/>
  <c r="B685" i="30"/>
  <c r="E685" i="30"/>
  <c r="F685" i="30"/>
  <c r="B686" i="30"/>
  <c r="E686" i="30"/>
  <c r="F686" i="30"/>
  <c r="B687" i="30"/>
  <c r="E687" i="30"/>
  <c r="F687" i="30"/>
  <c r="B691" i="30"/>
  <c r="E691" i="30"/>
  <c r="F691" i="30"/>
  <c r="G691" i="30"/>
  <c r="B694" i="30"/>
  <c r="E694" i="30"/>
  <c r="F694" i="30"/>
  <c r="B695" i="30"/>
  <c r="E695" i="30"/>
  <c r="F695" i="30"/>
  <c r="B696" i="30"/>
  <c r="E696" i="30"/>
  <c r="F696" i="30"/>
  <c r="B697" i="30"/>
  <c r="E697" i="30"/>
  <c r="F697" i="30"/>
  <c r="H701" i="30"/>
  <c r="H702" i="30"/>
  <c r="H703" i="30"/>
  <c r="H704" i="30"/>
  <c r="H705" i="30"/>
  <c r="H706" i="30"/>
  <c r="H707" i="30"/>
  <c r="H708" i="30"/>
  <c r="H709" i="30"/>
  <c r="B710" i="30"/>
  <c r="E710" i="30"/>
  <c r="G710" i="30"/>
  <c r="B711" i="30"/>
  <c r="E711" i="30"/>
  <c r="G711" i="30"/>
  <c r="B712" i="30"/>
  <c r="E712" i="30"/>
  <c r="G712" i="30"/>
  <c r="B713" i="30"/>
  <c r="E713" i="30"/>
  <c r="G713" i="30"/>
  <c r="B714" i="30"/>
  <c r="E714" i="30"/>
  <c r="G714" i="30"/>
  <c r="B715" i="30"/>
  <c r="E715" i="30"/>
  <c r="G715" i="30"/>
  <c r="B716" i="30"/>
  <c r="E716" i="30"/>
  <c r="G716" i="30"/>
  <c r="B721" i="30"/>
  <c r="E721" i="30"/>
  <c r="G721" i="30"/>
  <c r="B722" i="30"/>
  <c r="E722" i="30"/>
  <c r="G722" i="30"/>
  <c r="D57" i="29"/>
  <c r="L57" i="29"/>
  <c r="M57" i="29"/>
  <c r="N57" i="29"/>
  <c r="B67" i="29"/>
  <c r="E67" i="29"/>
  <c r="F67" i="29"/>
  <c r="B68" i="29"/>
  <c r="E68" i="29"/>
  <c r="F68" i="29"/>
  <c r="B69" i="29"/>
  <c r="E69" i="29"/>
  <c r="F69" i="29"/>
  <c r="B70" i="29"/>
  <c r="E70" i="29"/>
  <c r="F70" i="29"/>
  <c r="B71" i="29"/>
  <c r="E71" i="29"/>
  <c r="F71" i="29"/>
  <c r="B75" i="29"/>
  <c r="E75" i="29"/>
  <c r="F75" i="29"/>
  <c r="G75" i="29"/>
  <c r="B78" i="29"/>
  <c r="E78" i="29"/>
  <c r="F78" i="29"/>
  <c r="B79" i="29"/>
  <c r="E79" i="29"/>
  <c r="F79" i="29"/>
  <c r="B80" i="29"/>
  <c r="E80" i="29"/>
  <c r="F80" i="29"/>
  <c r="B81" i="29"/>
  <c r="E81" i="29"/>
  <c r="F81" i="29"/>
  <c r="J85" i="29"/>
  <c r="H87" i="29"/>
  <c r="H88" i="29"/>
  <c r="H89" i="29"/>
  <c r="H90" i="29"/>
  <c r="H91" i="29"/>
  <c r="H92" i="29"/>
  <c r="H93" i="29"/>
  <c r="B94" i="29"/>
  <c r="E94" i="29"/>
  <c r="G94" i="29"/>
  <c r="B95" i="29"/>
  <c r="E95" i="29"/>
  <c r="G95" i="29"/>
  <c r="B96" i="29"/>
  <c r="E96" i="29"/>
  <c r="G96" i="29"/>
  <c r="B97" i="29"/>
  <c r="E97" i="29"/>
  <c r="G97" i="29"/>
  <c r="B98" i="29"/>
  <c r="E98" i="29"/>
  <c r="G98" i="29"/>
  <c r="B99" i="29"/>
  <c r="E99" i="29"/>
  <c r="G99" i="29"/>
  <c r="B100" i="29"/>
  <c r="E100" i="29"/>
  <c r="G100" i="29"/>
  <c r="B105" i="29"/>
  <c r="E105" i="29"/>
  <c r="G105" i="29"/>
  <c r="B106" i="29"/>
  <c r="E106" i="29"/>
  <c r="G106" i="29"/>
  <c r="L113" i="29"/>
  <c r="M113" i="29"/>
  <c r="N113" i="29"/>
  <c r="B123" i="29"/>
  <c r="E123" i="29"/>
  <c r="F123" i="29"/>
  <c r="B124" i="29"/>
  <c r="E124" i="29"/>
  <c r="F124" i="29"/>
  <c r="B125" i="29"/>
  <c r="E125" i="29"/>
  <c r="F125" i="29"/>
  <c r="B126" i="29"/>
  <c r="E126" i="29"/>
  <c r="F126" i="29"/>
  <c r="B127" i="29"/>
  <c r="E127" i="29"/>
  <c r="F127" i="29"/>
  <c r="B131" i="29"/>
  <c r="E131" i="29"/>
  <c r="F131" i="29"/>
  <c r="G131" i="29"/>
  <c r="B134" i="29"/>
  <c r="E134" i="29"/>
  <c r="F134" i="29"/>
  <c r="B135" i="29"/>
  <c r="E135" i="29"/>
  <c r="F135" i="29"/>
  <c r="B136" i="29"/>
  <c r="E136" i="29"/>
  <c r="F136" i="29"/>
  <c r="B137" i="29"/>
  <c r="E137" i="29"/>
  <c r="F137" i="29"/>
  <c r="J141" i="29"/>
  <c r="B150" i="29"/>
  <c r="E150" i="29"/>
  <c r="G150" i="29"/>
  <c r="B151" i="29"/>
  <c r="E151" i="29"/>
  <c r="G151" i="29"/>
  <c r="B152" i="29"/>
  <c r="E152" i="29"/>
  <c r="G152" i="29"/>
  <c r="B153" i="29"/>
  <c r="E153" i="29"/>
  <c r="G153" i="29"/>
  <c r="B154" i="29"/>
  <c r="E154" i="29"/>
  <c r="G154" i="29"/>
  <c r="B155" i="29"/>
  <c r="E155" i="29"/>
  <c r="G155" i="29"/>
  <c r="B156" i="29"/>
  <c r="E156" i="29"/>
  <c r="G156" i="29"/>
  <c r="B161" i="29"/>
  <c r="E161" i="29"/>
  <c r="G161" i="29"/>
  <c r="B162" i="29"/>
  <c r="E162" i="29"/>
  <c r="G162" i="29"/>
  <c r="L337" i="29"/>
  <c r="M337" i="29"/>
  <c r="N337" i="29"/>
  <c r="B347" i="29"/>
  <c r="E347" i="29"/>
  <c r="F347" i="29"/>
  <c r="B348" i="29"/>
  <c r="E348" i="29"/>
  <c r="F348" i="29"/>
  <c r="B349" i="29"/>
  <c r="E349" i="29"/>
  <c r="F349" i="29"/>
  <c r="B350" i="29"/>
  <c r="E350" i="29"/>
  <c r="F350" i="29"/>
  <c r="B351" i="29"/>
  <c r="E351" i="29"/>
  <c r="F351" i="29"/>
  <c r="B355" i="29"/>
  <c r="E355" i="29"/>
  <c r="F355" i="29"/>
  <c r="G355" i="29"/>
  <c r="H371" i="29"/>
  <c r="H372" i="29"/>
  <c r="H373" i="29"/>
  <c r="B374" i="29"/>
  <c r="E374" i="29"/>
  <c r="G374" i="29"/>
  <c r="B375" i="29"/>
  <c r="E375" i="29"/>
  <c r="G375" i="29"/>
  <c r="B376" i="29"/>
  <c r="E376" i="29"/>
  <c r="G376" i="29"/>
  <c r="B377" i="29"/>
  <c r="E377" i="29"/>
  <c r="G377" i="29"/>
  <c r="B378" i="29"/>
  <c r="E378" i="29"/>
  <c r="G378" i="29"/>
  <c r="B379" i="29"/>
  <c r="E379" i="29"/>
  <c r="G379" i="29"/>
  <c r="B380" i="29"/>
  <c r="E380" i="29"/>
  <c r="G380" i="29"/>
  <c r="B385" i="29"/>
  <c r="E385" i="29"/>
  <c r="G385" i="29"/>
  <c r="B386" i="29"/>
  <c r="E386" i="29"/>
  <c r="G386" i="29"/>
  <c r="L393" i="29"/>
  <c r="M393" i="29"/>
  <c r="N393" i="29"/>
  <c r="B403" i="29"/>
  <c r="E403" i="29"/>
  <c r="F403" i="29"/>
  <c r="B404" i="29"/>
  <c r="E404" i="29"/>
  <c r="F404" i="29"/>
  <c r="B405" i="29"/>
  <c r="E405" i="29"/>
  <c r="F405" i="29"/>
  <c r="B406" i="29"/>
  <c r="E406" i="29"/>
  <c r="F406" i="29"/>
  <c r="B407" i="29"/>
  <c r="E407" i="29"/>
  <c r="F407" i="29"/>
  <c r="B411" i="29"/>
  <c r="E411" i="29"/>
  <c r="F411" i="29"/>
  <c r="G411" i="29"/>
  <c r="B414" i="29"/>
  <c r="E414" i="29"/>
  <c r="F414" i="29"/>
  <c r="B415" i="29"/>
  <c r="E415" i="29"/>
  <c r="F415" i="29"/>
  <c r="B416" i="29"/>
  <c r="E416" i="29"/>
  <c r="F416" i="29"/>
  <c r="B417" i="29"/>
  <c r="E417" i="29"/>
  <c r="F417" i="29"/>
  <c r="H421" i="29"/>
  <c r="J421" i="29"/>
  <c r="H422" i="29"/>
  <c r="J422" i="29"/>
  <c r="G423" i="29"/>
  <c r="H423" i="29" s="1"/>
  <c r="G424" i="29"/>
  <c r="H424" i="29"/>
  <c r="G425" i="29"/>
  <c r="H425" i="29"/>
  <c r="H426" i="29"/>
  <c r="H427" i="29"/>
  <c r="H428" i="29"/>
  <c r="H429" i="29"/>
  <c r="B430" i="29"/>
  <c r="E430" i="29"/>
  <c r="G430" i="29"/>
  <c r="B431" i="29"/>
  <c r="E431" i="29"/>
  <c r="G431" i="29"/>
  <c r="B432" i="29"/>
  <c r="E432" i="29"/>
  <c r="G432" i="29"/>
  <c r="B433" i="29"/>
  <c r="E433" i="29"/>
  <c r="G433" i="29"/>
  <c r="B434" i="29"/>
  <c r="E434" i="29"/>
  <c r="G434" i="29"/>
  <c r="B435" i="29"/>
  <c r="E435" i="29"/>
  <c r="G435" i="29"/>
  <c r="B436" i="29"/>
  <c r="E436" i="29"/>
  <c r="G436" i="29"/>
  <c r="B441" i="29"/>
  <c r="E441" i="29"/>
  <c r="G441" i="29"/>
  <c r="B442" i="29"/>
  <c r="E442" i="29"/>
  <c r="G442" i="29"/>
  <c r="L449" i="29"/>
  <c r="M449" i="29"/>
  <c r="N449" i="29"/>
  <c r="B459" i="29"/>
  <c r="E459" i="29"/>
  <c r="F459" i="29"/>
  <c r="B460" i="29"/>
  <c r="E460" i="29"/>
  <c r="F460" i="29"/>
  <c r="B461" i="29"/>
  <c r="E461" i="29"/>
  <c r="F461" i="29"/>
  <c r="B462" i="29"/>
  <c r="E462" i="29"/>
  <c r="F462" i="29"/>
  <c r="B463" i="29"/>
  <c r="E463" i="29"/>
  <c r="F463" i="29"/>
  <c r="B467" i="29"/>
  <c r="E467" i="29"/>
  <c r="F467" i="29"/>
  <c r="G467" i="29"/>
  <c r="B470" i="29"/>
  <c r="E470" i="29"/>
  <c r="F470" i="29"/>
  <c r="B471" i="29"/>
  <c r="E471" i="29"/>
  <c r="F471" i="29"/>
  <c r="B472" i="29"/>
  <c r="E472" i="29"/>
  <c r="F472" i="29"/>
  <c r="B473" i="29"/>
  <c r="E473" i="29"/>
  <c r="F473" i="29"/>
  <c r="H477" i="29"/>
  <c r="J477" i="29"/>
  <c r="H478" i="29"/>
  <c r="J478" i="29"/>
  <c r="H479" i="29"/>
  <c r="G480" i="29"/>
  <c r="H480" i="29"/>
  <c r="H481" i="29"/>
  <c r="G482" i="29"/>
  <c r="H482" i="29" s="1"/>
  <c r="H483" i="29"/>
  <c r="H484" i="29"/>
  <c r="H485" i="29"/>
  <c r="B486" i="29"/>
  <c r="E486" i="29"/>
  <c r="G486" i="29"/>
  <c r="B487" i="29"/>
  <c r="E487" i="29"/>
  <c r="G487" i="29"/>
  <c r="B488" i="29"/>
  <c r="E488" i="29"/>
  <c r="G488" i="29"/>
  <c r="B489" i="29"/>
  <c r="E489" i="29"/>
  <c r="G489" i="29"/>
  <c r="B490" i="29"/>
  <c r="E490" i="29"/>
  <c r="G490" i="29"/>
  <c r="B491" i="29"/>
  <c r="E491" i="29"/>
  <c r="G491" i="29"/>
  <c r="B492" i="29"/>
  <c r="E492" i="29"/>
  <c r="G492" i="29"/>
  <c r="B497" i="29"/>
  <c r="E497" i="29"/>
  <c r="G497" i="29"/>
  <c r="B498" i="29"/>
  <c r="E498" i="29"/>
  <c r="G498" i="29"/>
  <c r="L505" i="29"/>
  <c r="M505" i="29"/>
  <c r="N505" i="29"/>
  <c r="B515" i="29"/>
  <c r="E515" i="29"/>
  <c r="F515" i="29"/>
  <c r="B516" i="29"/>
  <c r="E516" i="29"/>
  <c r="F516" i="29"/>
  <c r="B517" i="29"/>
  <c r="E517" i="29"/>
  <c r="F517" i="29"/>
  <c r="B518" i="29"/>
  <c r="E518" i="29"/>
  <c r="F518" i="29"/>
  <c r="B519" i="29"/>
  <c r="E519" i="29"/>
  <c r="F519" i="29"/>
  <c r="B523" i="29"/>
  <c r="E523" i="29"/>
  <c r="F523" i="29"/>
  <c r="G523" i="29"/>
  <c r="B526" i="29"/>
  <c r="E526" i="29"/>
  <c r="F526" i="29"/>
  <c r="B527" i="29"/>
  <c r="E527" i="29"/>
  <c r="F527" i="29"/>
  <c r="B528" i="29"/>
  <c r="E528" i="29"/>
  <c r="F528" i="29"/>
  <c r="B529" i="29"/>
  <c r="E529" i="29"/>
  <c r="F529" i="29"/>
  <c r="H533" i="29"/>
  <c r="J533" i="29"/>
  <c r="H534" i="29"/>
  <c r="J534" i="29"/>
  <c r="H535" i="29"/>
  <c r="H536" i="29"/>
  <c r="H537" i="29"/>
  <c r="H538" i="29"/>
  <c r="H539" i="29"/>
  <c r="H540" i="29"/>
  <c r="H541" i="29"/>
  <c r="B542" i="29"/>
  <c r="E542" i="29"/>
  <c r="G542" i="29"/>
  <c r="B543" i="29"/>
  <c r="E543" i="29"/>
  <c r="G543" i="29"/>
  <c r="B544" i="29"/>
  <c r="E544" i="29"/>
  <c r="G544" i="29"/>
  <c r="B545" i="29"/>
  <c r="E545" i="29"/>
  <c r="G545" i="29"/>
  <c r="B546" i="29"/>
  <c r="E546" i="29"/>
  <c r="G546" i="29"/>
  <c r="B547" i="29"/>
  <c r="E547" i="29"/>
  <c r="G547" i="29"/>
  <c r="B548" i="29"/>
  <c r="E548" i="29"/>
  <c r="G548" i="29"/>
  <c r="B553" i="29"/>
  <c r="E553" i="29"/>
  <c r="G553" i="29"/>
  <c r="B554" i="29"/>
  <c r="E554" i="29"/>
  <c r="G554" i="29"/>
  <c r="L1" i="28"/>
  <c r="M1" i="28"/>
  <c r="N1" i="28"/>
  <c r="B11" i="28"/>
  <c r="E11" i="28"/>
  <c r="F11" i="28"/>
  <c r="B12" i="28"/>
  <c r="E12" i="28"/>
  <c r="F12" i="28"/>
  <c r="B13" i="28"/>
  <c r="E13" i="28"/>
  <c r="F13" i="28"/>
  <c r="B14" i="28"/>
  <c r="E14" i="28"/>
  <c r="F14" i="28"/>
  <c r="B15" i="28"/>
  <c r="E15" i="28"/>
  <c r="F15" i="28"/>
  <c r="B19" i="28"/>
  <c r="E19" i="28"/>
  <c r="F19" i="28"/>
  <c r="G19" i="28"/>
  <c r="B22" i="28"/>
  <c r="E22" i="28"/>
  <c r="F22" i="28"/>
  <c r="B23" i="28"/>
  <c r="E23" i="28"/>
  <c r="F23" i="28"/>
  <c r="B24" i="28"/>
  <c r="E24" i="28"/>
  <c r="F24" i="28"/>
  <c r="B25" i="28"/>
  <c r="E25" i="28"/>
  <c r="F25" i="28"/>
  <c r="H30" i="28"/>
  <c r="H31" i="28"/>
  <c r="H32" i="28"/>
  <c r="H33" i="28"/>
  <c r="H34" i="28"/>
  <c r="H35" i="28"/>
  <c r="H36" i="28"/>
  <c r="H37" i="28"/>
  <c r="B38" i="28"/>
  <c r="E38" i="28"/>
  <c r="G38" i="28"/>
  <c r="B39" i="28"/>
  <c r="E39" i="28"/>
  <c r="G39" i="28"/>
  <c r="B40" i="28"/>
  <c r="E40" i="28"/>
  <c r="G40" i="28"/>
  <c r="B41" i="28"/>
  <c r="E41" i="28"/>
  <c r="G41" i="28"/>
  <c r="B42" i="28"/>
  <c r="E42" i="28"/>
  <c r="G42" i="28"/>
  <c r="B43" i="28"/>
  <c r="E43" i="28"/>
  <c r="G43" i="28"/>
  <c r="B44" i="28"/>
  <c r="E44" i="28"/>
  <c r="G44" i="28"/>
  <c r="B49" i="28"/>
  <c r="E49" i="28"/>
  <c r="G49" i="28"/>
  <c r="B50" i="28"/>
  <c r="E50" i="28"/>
  <c r="G50" i="28"/>
  <c r="L57" i="28"/>
  <c r="M57" i="28"/>
  <c r="N57" i="28"/>
  <c r="B67" i="28"/>
  <c r="E67" i="28"/>
  <c r="F67" i="28"/>
  <c r="B68" i="28"/>
  <c r="E68" i="28"/>
  <c r="F68" i="28"/>
  <c r="B69" i="28"/>
  <c r="E69" i="28"/>
  <c r="F69" i="28"/>
  <c r="B70" i="28"/>
  <c r="E70" i="28"/>
  <c r="F70" i="28"/>
  <c r="B71" i="28"/>
  <c r="E71" i="28"/>
  <c r="F71" i="28"/>
  <c r="B75" i="28"/>
  <c r="E75" i="28"/>
  <c r="F75" i="28"/>
  <c r="G75" i="28"/>
  <c r="B78" i="28"/>
  <c r="E78" i="28"/>
  <c r="F78" i="28"/>
  <c r="B79" i="28"/>
  <c r="E79" i="28"/>
  <c r="F79" i="28"/>
  <c r="B80" i="28"/>
  <c r="E80" i="28"/>
  <c r="F80" i="28"/>
  <c r="B81" i="28"/>
  <c r="E81" i="28"/>
  <c r="F81" i="28"/>
  <c r="H86" i="28"/>
  <c r="H87" i="28"/>
  <c r="H88" i="28"/>
  <c r="H89" i="28"/>
  <c r="H90" i="28"/>
  <c r="H91" i="28"/>
  <c r="H92" i="28"/>
  <c r="H93" i="28"/>
  <c r="B94" i="28"/>
  <c r="E94" i="28"/>
  <c r="G94" i="28"/>
  <c r="B95" i="28"/>
  <c r="E95" i="28"/>
  <c r="G95" i="28"/>
  <c r="B96" i="28"/>
  <c r="E96" i="28"/>
  <c r="G96" i="28"/>
  <c r="B97" i="28"/>
  <c r="E97" i="28"/>
  <c r="G97" i="28"/>
  <c r="B98" i="28"/>
  <c r="E98" i="28"/>
  <c r="G98" i="28"/>
  <c r="B99" i="28"/>
  <c r="E99" i="28"/>
  <c r="G99" i="28"/>
  <c r="B100" i="28"/>
  <c r="E100" i="28"/>
  <c r="G100" i="28"/>
  <c r="B105" i="28"/>
  <c r="E105" i="28"/>
  <c r="G105" i="28"/>
  <c r="B106" i="28"/>
  <c r="E106" i="28"/>
  <c r="G106" i="28"/>
  <c r="L225" i="28"/>
  <c r="M225" i="28"/>
  <c r="N225" i="28"/>
  <c r="B235" i="28"/>
  <c r="E235" i="28"/>
  <c r="F235" i="28"/>
  <c r="B236" i="28"/>
  <c r="E236" i="28"/>
  <c r="F236" i="28"/>
  <c r="B237" i="28"/>
  <c r="E237" i="28"/>
  <c r="F237" i="28"/>
  <c r="B238" i="28"/>
  <c r="E238" i="28"/>
  <c r="F238" i="28"/>
  <c r="B239" i="28"/>
  <c r="E239" i="28"/>
  <c r="F239" i="28"/>
  <c r="B243" i="28"/>
  <c r="E243" i="28"/>
  <c r="F243" i="28"/>
  <c r="G243" i="28"/>
  <c r="B246" i="28"/>
  <c r="E246" i="28"/>
  <c r="F246" i="28"/>
  <c r="B247" i="28"/>
  <c r="E247" i="28"/>
  <c r="F247" i="28"/>
  <c r="B248" i="28"/>
  <c r="E248" i="28"/>
  <c r="F248" i="28"/>
  <c r="B249" i="28"/>
  <c r="E249" i="28"/>
  <c r="F249" i="28"/>
  <c r="H254" i="28"/>
  <c r="H255" i="28"/>
  <c r="H256" i="28"/>
  <c r="H257" i="28"/>
  <c r="H258" i="28"/>
  <c r="H260" i="28"/>
  <c r="H261" i="28"/>
  <c r="B262" i="28"/>
  <c r="E262" i="28"/>
  <c r="G262" i="28"/>
  <c r="B263" i="28"/>
  <c r="E263" i="28"/>
  <c r="G263" i="28"/>
  <c r="B264" i="28"/>
  <c r="E264" i="28"/>
  <c r="G264" i="28"/>
  <c r="B265" i="28"/>
  <c r="E265" i="28"/>
  <c r="G265" i="28"/>
  <c r="B266" i="28"/>
  <c r="E266" i="28"/>
  <c r="G266" i="28"/>
  <c r="B267" i="28"/>
  <c r="E267" i="28"/>
  <c r="G267" i="28"/>
  <c r="B268" i="28"/>
  <c r="E268" i="28"/>
  <c r="G268" i="28"/>
  <c r="B273" i="28"/>
  <c r="E273" i="28"/>
  <c r="G273" i="28"/>
  <c r="B274" i="28"/>
  <c r="E274" i="28"/>
  <c r="G274" i="28"/>
  <c r="L337" i="28"/>
  <c r="M337" i="28"/>
  <c r="N337" i="28"/>
  <c r="B347" i="28"/>
  <c r="E347" i="28"/>
  <c r="F347" i="28"/>
  <c r="B348" i="28"/>
  <c r="E348" i="28"/>
  <c r="F348" i="28"/>
  <c r="B349" i="28"/>
  <c r="E349" i="28"/>
  <c r="F349" i="28"/>
  <c r="B350" i="28"/>
  <c r="E350" i="28"/>
  <c r="F350" i="28"/>
  <c r="B351" i="28"/>
  <c r="E351" i="28"/>
  <c r="F351" i="28"/>
  <c r="B355" i="28"/>
  <c r="E355" i="28"/>
  <c r="F355" i="28"/>
  <c r="G355" i="28"/>
  <c r="B358" i="28"/>
  <c r="E358" i="28"/>
  <c r="F358" i="28"/>
  <c r="B359" i="28"/>
  <c r="E359" i="28"/>
  <c r="F359" i="28"/>
  <c r="B360" i="28"/>
  <c r="E360" i="28"/>
  <c r="F360" i="28"/>
  <c r="B361" i="28"/>
  <c r="E361" i="28"/>
  <c r="F361" i="28"/>
  <c r="H365" i="28"/>
  <c r="H366" i="28"/>
  <c r="H367" i="28"/>
  <c r="H368" i="28"/>
  <c r="H369" i="28"/>
  <c r="H370" i="28"/>
  <c r="H371" i="28"/>
  <c r="H372" i="28"/>
  <c r="H373" i="28"/>
  <c r="B374" i="28"/>
  <c r="E374" i="28"/>
  <c r="G374" i="28"/>
  <c r="B375" i="28"/>
  <c r="E375" i="28"/>
  <c r="G375" i="28"/>
  <c r="B376" i="28"/>
  <c r="E376" i="28"/>
  <c r="G376" i="28"/>
  <c r="B377" i="28"/>
  <c r="E377" i="28"/>
  <c r="G377" i="28"/>
  <c r="B378" i="28"/>
  <c r="E378" i="28"/>
  <c r="G378" i="28"/>
  <c r="B379" i="28"/>
  <c r="E379" i="28"/>
  <c r="G379" i="28"/>
  <c r="B380" i="28"/>
  <c r="E380" i="28"/>
  <c r="G380" i="28"/>
  <c r="B385" i="28"/>
  <c r="E385" i="28"/>
  <c r="G385" i="28"/>
  <c r="B386" i="28"/>
  <c r="E386" i="28"/>
  <c r="G386" i="28"/>
  <c r="L393" i="28"/>
  <c r="M393" i="28"/>
  <c r="N393" i="28"/>
  <c r="B403" i="28"/>
  <c r="E403" i="28"/>
  <c r="F403" i="28"/>
  <c r="B404" i="28"/>
  <c r="E404" i="28"/>
  <c r="F404" i="28"/>
  <c r="B405" i="28"/>
  <c r="E405" i="28"/>
  <c r="F405" i="28"/>
  <c r="B406" i="28"/>
  <c r="E406" i="28"/>
  <c r="F406" i="28"/>
  <c r="B407" i="28"/>
  <c r="E407" i="28"/>
  <c r="F407" i="28"/>
  <c r="B411" i="28"/>
  <c r="E411" i="28"/>
  <c r="F411" i="28"/>
  <c r="G411" i="28"/>
  <c r="B414" i="28"/>
  <c r="E414" i="28"/>
  <c r="F414" i="28"/>
  <c r="B415" i="28"/>
  <c r="E415" i="28"/>
  <c r="F415" i="28"/>
  <c r="B416" i="28"/>
  <c r="E416" i="28"/>
  <c r="F416" i="28"/>
  <c r="B417" i="28"/>
  <c r="E417" i="28"/>
  <c r="F417" i="28"/>
  <c r="B430" i="28"/>
  <c r="E430" i="28"/>
  <c r="G430" i="28"/>
  <c r="B431" i="28"/>
  <c r="E431" i="28"/>
  <c r="G431" i="28"/>
  <c r="B432" i="28"/>
  <c r="E432" i="28"/>
  <c r="G432" i="28"/>
  <c r="B433" i="28"/>
  <c r="E433" i="28"/>
  <c r="G433" i="28"/>
  <c r="B434" i="28"/>
  <c r="E434" i="28"/>
  <c r="G434" i="28"/>
  <c r="B435" i="28"/>
  <c r="E435" i="28"/>
  <c r="G435" i="28"/>
  <c r="B436" i="28"/>
  <c r="E436" i="28"/>
  <c r="G436" i="28"/>
  <c r="B441" i="28"/>
  <c r="E441" i="28"/>
  <c r="G441" i="28"/>
  <c r="B442" i="28"/>
  <c r="E442" i="28"/>
  <c r="G442" i="28"/>
  <c r="L1" i="26"/>
  <c r="M1" i="26"/>
  <c r="N1" i="26"/>
  <c r="B43" i="26"/>
  <c r="E43" i="26"/>
  <c r="G43" i="26"/>
  <c r="B44" i="26"/>
  <c r="E44" i="26"/>
  <c r="G44" i="26"/>
  <c r="B48" i="26"/>
  <c r="E48" i="26"/>
  <c r="G48" i="26"/>
  <c r="B49" i="26"/>
  <c r="E49" i="26"/>
  <c r="G49" i="26"/>
  <c r="B50" i="26"/>
  <c r="E50" i="26"/>
  <c r="G50" i="26"/>
  <c r="M225" i="26"/>
  <c r="N225" i="26"/>
  <c r="A229" i="26"/>
  <c r="L225" i="26"/>
  <c r="B262" i="26"/>
  <c r="E262" i="26"/>
  <c r="G262" i="26"/>
  <c r="B263" i="26"/>
  <c r="E263" i="26"/>
  <c r="G263" i="26"/>
  <c r="B264" i="26"/>
  <c r="E264" i="26"/>
  <c r="G264" i="26"/>
  <c r="B265" i="26"/>
  <c r="E265" i="26"/>
  <c r="G265" i="26"/>
  <c r="B266" i="26"/>
  <c r="E266" i="26"/>
  <c r="G266" i="26"/>
  <c r="B267" i="26"/>
  <c r="E267" i="26"/>
  <c r="G267" i="26"/>
  <c r="B268" i="26"/>
  <c r="E268" i="26"/>
  <c r="G268" i="26"/>
  <c r="B273" i="26"/>
  <c r="E273" i="26"/>
  <c r="G273" i="26"/>
  <c r="B274" i="26"/>
  <c r="E274" i="26"/>
  <c r="G274" i="26"/>
  <c r="D1" i="25"/>
  <c r="L1" i="25"/>
  <c r="M1" i="25"/>
  <c r="N1" i="25"/>
  <c r="B13" i="25"/>
  <c r="E13" i="25"/>
  <c r="F13" i="25"/>
  <c r="B14" i="25"/>
  <c r="E14" i="25"/>
  <c r="F14" i="25"/>
  <c r="B15" i="25"/>
  <c r="E15" i="25"/>
  <c r="F15" i="25"/>
  <c r="B24" i="25"/>
  <c r="E24" i="25"/>
  <c r="F24" i="25"/>
  <c r="B25" i="25"/>
  <c r="E25" i="25"/>
  <c r="F25" i="25"/>
  <c r="B43" i="25"/>
  <c r="E43" i="25"/>
  <c r="G43" i="25"/>
  <c r="B44" i="25"/>
  <c r="E44" i="25"/>
  <c r="G44" i="25"/>
  <c r="B49" i="25"/>
  <c r="E49" i="25"/>
  <c r="G49" i="25"/>
  <c r="B50" i="25"/>
  <c r="E50" i="25"/>
  <c r="G50" i="25"/>
  <c r="D1" i="23"/>
  <c r="L1" i="23"/>
  <c r="M1" i="23"/>
  <c r="N1" i="23"/>
  <c r="B11" i="23"/>
  <c r="E11" i="23"/>
  <c r="F11" i="23"/>
  <c r="B12" i="23"/>
  <c r="E12" i="23"/>
  <c r="F12" i="23"/>
  <c r="B13" i="23"/>
  <c r="E13" i="23"/>
  <c r="F13" i="23"/>
  <c r="B14" i="23"/>
  <c r="E14" i="23"/>
  <c r="F14" i="23"/>
  <c r="B15" i="23"/>
  <c r="E15" i="23"/>
  <c r="F15" i="23"/>
  <c r="B19" i="23"/>
  <c r="E19" i="23"/>
  <c r="F19" i="23"/>
  <c r="G19" i="23"/>
  <c r="B22" i="23"/>
  <c r="E22" i="23"/>
  <c r="F22" i="23"/>
  <c r="B23" i="23"/>
  <c r="E23" i="23"/>
  <c r="F23" i="23"/>
  <c r="B24" i="23"/>
  <c r="E24" i="23"/>
  <c r="F24" i="23"/>
  <c r="B25" i="23"/>
  <c r="E25" i="23"/>
  <c r="F25" i="23"/>
  <c r="H29" i="23"/>
  <c r="B30" i="23"/>
  <c r="E30" i="23"/>
  <c r="G30" i="23"/>
  <c r="B31" i="23"/>
  <c r="E31" i="23"/>
  <c r="G31" i="23"/>
  <c r="B32" i="23"/>
  <c r="E32" i="23"/>
  <c r="G32" i="23"/>
  <c r="B33" i="23"/>
  <c r="E33" i="23"/>
  <c r="G33" i="23"/>
  <c r="B34" i="23"/>
  <c r="E34" i="23"/>
  <c r="G34" i="23"/>
  <c r="B35" i="23"/>
  <c r="E35" i="23"/>
  <c r="G35" i="23"/>
  <c r="B36" i="23"/>
  <c r="E36" i="23"/>
  <c r="G36" i="23"/>
  <c r="B37" i="23"/>
  <c r="E37" i="23"/>
  <c r="G37" i="23"/>
  <c r="B38" i="23"/>
  <c r="E38" i="23"/>
  <c r="G38" i="23"/>
  <c r="B39" i="23"/>
  <c r="E39" i="23"/>
  <c r="G39" i="23"/>
  <c r="B40" i="23"/>
  <c r="E40" i="23"/>
  <c r="G40" i="23"/>
  <c r="B41" i="23"/>
  <c r="E41" i="23"/>
  <c r="G41" i="23"/>
  <c r="B42" i="23"/>
  <c r="E42" i="23"/>
  <c r="G42" i="23"/>
  <c r="B43" i="23"/>
  <c r="E43" i="23"/>
  <c r="G43" i="23"/>
  <c r="B44" i="23"/>
  <c r="E44" i="23"/>
  <c r="G44" i="23"/>
  <c r="B49" i="23"/>
  <c r="E49" i="23"/>
  <c r="G49" i="23"/>
  <c r="B50" i="23"/>
  <c r="E50" i="23"/>
  <c r="G50" i="23"/>
  <c r="D337" i="23"/>
  <c r="L337" i="23"/>
  <c r="M337" i="23"/>
  <c r="N337" i="23"/>
  <c r="B347" i="23"/>
  <c r="E347" i="23"/>
  <c r="F347" i="23"/>
  <c r="B348" i="23"/>
  <c r="E348" i="23"/>
  <c r="F348" i="23"/>
  <c r="B349" i="23"/>
  <c r="E349" i="23"/>
  <c r="F349" i="23"/>
  <c r="B350" i="23"/>
  <c r="E350" i="23"/>
  <c r="F350" i="23"/>
  <c r="B351" i="23"/>
  <c r="E351" i="23"/>
  <c r="F351" i="23"/>
  <c r="B355" i="23"/>
  <c r="E355" i="23"/>
  <c r="F355" i="23"/>
  <c r="G355" i="23"/>
  <c r="B358" i="23"/>
  <c r="E358" i="23"/>
  <c r="F358" i="23"/>
  <c r="B359" i="23"/>
  <c r="E359" i="23"/>
  <c r="F359" i="23"/>
  <c r="B360" i="23"/>
  <c r="E360" i="23"/>
  <c r="F360" i="23"/>
  <c r="B361" i="23"/>
  <c r="E361" i="23"/>
  <c r="F361" i="23"/>
  <c r="H366" i="23"/>
  <c r="H369" i="23"/>
  <c r="H370" i="23"/>
  <c r="H371" i="23"/>
  <c r="F372" i="23"/>
  <c r="H372" i="23"/>
  <c r="B374" i="23"/>
  <c r="E374" i="23"/>
  <c r="G374" i="23"/>
  <c r="B375" i="23"/>
  <c r="E375" i="23"/>
  <c r="G375" i="23"/>
  <c r="B376" i="23"/>
  <c r="E376" i="23"/>
  <c r="G376" i="23"/>
  <c r="B377" i="23"/>
  <c r="E377" i="23"/>
  <c r="G377" i="23"/>
  <c r="B378" i="23"/>
  <c r="E378" i="23"/>
  <c r="G378" i="23"/>
  <c r="B379" i="23"/>
  <c r="E379" i="23"/>
  <c r="G379" i="23"/>
  <c r="B380" i="23"/>
  <c r="E380" i="23"/>
  <c r="G380" i="23"/>
  <c r="B385" i="23"/>
  <c r="E385" i="23"/>
  <c r="G385" i="23"/>
  <c r="B386" i="23"/>
  <c r="E386" i="23"/>
  <c r="G386" i="23"/>
  <c r="D169" i="23"/>
  <c r="L169" i="23"/>
  <c r="M169" i="23"/>
  <c r="N169" i="23"/>
  <c r="B179" i="23"/>
  <c r="E179" i="23"/>
  <c r="F179" i="23"/>
  <c r="B180" i="23"/>
  <c r="E180" i="23"/>
  <c r="F180" i="23"/>
  <c r="B181" i="23"/>
  <c r="E181" i="23"/>
  <c r="F181" i="23"/>
  <c r="B182" i="23"/>
  <c r="E182" i="23"/>
  <c r="F182" i="23"/>
  <c r="B183" i="23"/>
  <c r="E183" i="23"/>
  <c r="F183" i="23"/>
  <c r="B187" i="23"/>
  <c r="E187" i="23"/>
  <c r="F187" i="23"/>
  <c r="G187" i="23"/>
  <c r="B190" i="23"/>
  <c r="E190" i="23"/>
  <c r="F190" i="23"/>
  <c r="B191" i="23"/>
  <c r="E191" i="23"/>
  <c r="F191" i="23"/>
  <c r="B192" i="23"/>
  <c r="E192" i="23"/>
  <c r="F192" i="23"/>
  <c r="B193" i="23"/>
  <c r="E193" i="23"/>
  <c r="F193" i="23"/>
  <c r="B206" i="23"/>
  <c r="E206" i="23"/>
  <c r="G206" i="23"/>
  <c r="B207" i="23"/>
  <c r="E207" i="23"/>
  <c r="G207" i="23"/>
  <c r="B208" i="23"/>
  <c r="E208" i="23"/>
  <c r="G208" i="23"/>
  <c r="B209" i="23"/>
  <c r="E209" i="23"/>
  <c r="G209" i="23"/>
  <c r="B210" i="23"/>
  <c r="E210" i="23"/>
  <c r="G210" i="23"/>
  <c r="B211" i="23"/>
  <c r="E211" i="23"/>
  <c r="G211" i="23"/>
  <c r="B212" i="23"/>
  <c r="E212" i="23"/>
  <c r="G212" i="23"/>
  <c r="B217" i="23"/>
  <c r="E217" i="23"/>
  <c r="G217" i="23"/>
  <c r="B218" i="23"/>
  <c r="E218" i="23"/>
  <c r="G218" i="23"/>
  <c r="D1" i="22"/>
  <c r="L1" i="22"/>
  <c r="M1" i="22"/>
  <c r="N1" i="22"/>
  <c r="B11" i="22"/>
  <c r="B12" i="22"/>
  <c r="E12" i="22"/>
  <c r="F12" i="22"/>
  <c r="B13" i="22"/>
  <c r="E13" i="22"/>
  <c r="F13" i="22"/>
  <c r="B14" i="22"/>
  <c r="E14" i="22"/>
  <c r="F14" i="22"/>
  <c r="B15" i="22"/>
  <c r="E15" i="22"/>
  <c r="F15" i="22"/>
  <c r="B19" i="22"/>
  <c r="E19" i="22"/>
  <c r="F19" i="22"/>
  <c r="G19" i="22"/>
  <c r="B22" i="22"/>
  <c r="E22" i="22"/>
  <c r="F22" i="22"/>
  <c r="B23" i="22"/>
  <c r="E23" i="22"/>
  <c r="F23" i="22"/>
  <c r="B24" i="22"/>
  <c r="E24" i="22"/>
  <c r="F24" i="22"/>
  <c r="B25" i="22"/>
  <c r="E25" i="22"/>
  <c r="F25" i="22"/>
  <c r="E30" i="22"/>
  <c r="G30" i="22"/>
  <c r="K30" i="22"/>
  <c r="B31" i="22"/>
  <c r="E31" i="22"/>
  <c r="G31" i="22"/>
  <c r="B32" i="22"/>
  <c r="E32" i="22"/>
  <c r="G32" i="22"/>
  <c r="B33" i="22"/>
  <c r="E33" i="22"/>
  <c r="G33" i="22"/>
  <c r="B34" i="22"/>
  <c r="E34" i="22"/>
  <c r="G34" i="22"/>
  <c r="B35" i="22"/>
  <c r="E35" i="22"/>
  <c r="G35" i="22"/>
  <c r="B36" i="22"/>
  <c r="E36" i="22"/>
  <c r="G36" i="22"/>
  <c r="B37" i="22"/>
  <c r="E37" i="22"/>
  <c r="G37" i="22"/>
  <c r="B38" i="22"/>
  <c r="E38" i="22"/>
  <c r="G38" i="22"/>
  <c r="B39" i="22"/>
  <c r="E39" i="22"/>
  <c r="G39" i="22"/>
  <c r="B40" i="22"/>
  <c r="E40" i="22"/>
  <c r="G40" i="22"/>
  <c r="B41" i="22"/>
  <c r="E41" i="22"/>
  <c r="G41" i="22"/>
  <c r="B42" i="22"/>
  <c r="E42" i="22"/>
  <c r="G42" i="22"/>
  <c r="B43" i="22"/>
  <c r="E43" i="22"/>
  <c r="G43" i="22"/>
  <c r="B44" i="22"/>
  <c r="E44" i="22"/>
  <c r="G44" i="22"/>
  <c r="B49" i="22"/>
  <c r="E49" i="22"/>
  <c r="G49" i="22"/>
  <c r="B50" i="22"/>
  <c r="E50" i="22"/>
  <c r="G50" i="22"/>
  <c r="D1" i="21"/>
  <c r="D393" i="21" s="1"/>
  <c r="D113" i="21"/>
  <c r="L1" i="21"/>
  <c r="M1" i="21"/>
  <c r="N1" i="21"/>
  <c r="B68" i="21"/>
  <c r="E68" i="21"/>
  <c r="F68" i="21"/>
  <c r="B69" i="21"/>
  <c r="E69" i="21"/>
  <c r="F69" i="21"/>
  <c r="B70" i="21"/>
  <c r="E70" i="21"/>
  <c r="F70" i="21"/>
  <c r="B71" i="21"/>
  <c r="E71" i="21"/>
  <c r="F71" i="21"/>
  <c r="B75" i="21"/>
  <c r="E75" i="21"/>
  <c r="F75" i="21"/>
  <c r="G75" i="21"/>
  <c r="B78" i="21"/>
  <c r="E78" i="21"/>
  <c r="F78" i="21"/>
  <c r="B79" i="21"/>
  <c r="E79" i="21"/>
  <c r="F79" i="21"/>
  <c r="B80" i="21"/>
  <c r="E80" i="21"/>
  <c r="F80" i="21"/>
  <c r="B81" i="21"/>
  <c r="E81" i="21"/>
  <c r="F81" i="21"/>
  <c r="B88" i="21"/>
  <c r="E88" i="21"/>
  <c r="G88" i="21"/>
  <c r="B89" i="21"/>
  <c r="E89" i="21"/>
  <c r="G89" i="21"/>
  <c r="B90" i="21"/>
  <c r="E90" i="21"/>
  <c r="G90" i="21"/>
  <c r="B91" i="21"/>
  <c r="E91" i="21"/>
  <c r="G91" i="21"/>
  <c r="B92" i="21"/>
  <c r="E92" i="21"/>
  <c r="G92" i="21"/>
  <c r="B93" i="21"/>
  <c r="E93" i="21"/>
  <c r="G93" i="21"/>
  <c r="B94" i="21"/>
  <c r="E94" i="21"/>
  <c r="G94" i="21"/>
  <c r="B95" i="21"/>
  <c r="E95" i="21"/>
  <c r="G95" i="21"/>
  <c r="B96" i="21"/>
  <c r="E96" i="21"/>
  <c r="G96" i="21"/>
  <c r="B97" i="21"/>
  <c r="E97" i="21"/>
  <c r="G97" i="21"/>
  <c r="B98" i="21"/>
  <c r="E98" i="21"/>
  <c r="G98" i="21"/>
  <c r="B99" i="21"/>
  <c r="E99" i="21"/>
  <c r="G99" i="21"/>
  <c r="B100" i="21"/>
  <c r="E100" i="21"/>
  <c r="G100" i="21"/>
  <c r="B105" i="21"/>
  <c r="E105" i="21"/>
  <c r="G105" i="21"/>
  <c r="B106" i="21"/>
  <c r="E106" i="21"/>
  <c r="G106" i="21"/>
  <c r="B12" i="21"/>
  <c r="E12" i="21"/>
  <c r="F12" i="21"/>
  <c r="B13" i="21"/>
  <c r="E13" i="21"/>
  <c r="F13" i="21"/>
  <c r="B14" i="21"/>
  <c r="E14" i="21"/>
  <c r="F14" i="21"/>
  <c r="B15" i="21"/>
  <c r="E15" i="21"/>
  <c r="F15" i="21"/>
  <c r="B19" i="21"/>
  <c r="E19" i="21"/>
  <c r="F19" i="21"/>
  <c r="G19" i="21"/>
  <c r="B22" i="21"/>
  <c r="E22" i="21"/>
  <c r="F22" i="21"/>
  <c r="B23" i="21"/>
  <c r="E23" i="21"/>
  <c r="F23" i="21"/>
  <c r="B24" i="21"/>
  <c r="E24" i="21"/>
  <c r="F24" i="21"/>
  <c r="B25" i="21"/>
  <c r="E25" i="21"/>
  <c r="F25" i="21"/>
  <c r="B33" i="21"/>
  <c r="E33" i="21"/>
  <c r="G33" i="21"/>
  <c r="B34" i="21"/>
  <c r="E34" i="21"/>
  <c r="G34" i="21"/>
  <c r="B35" i="21"/>
  <c r="E35" i="21"/>
  <c r="G35" i="21"/>
  <c r="B36" i="21"/>
  <c r="E36" i="21"/>
  <c r="G36" i="21"/>
  <c r="B37" i="21"/>
  <c r="E37" i="21"/>
  <c r="G37" i="21"/>
  <c r="B38" i="21"/>
  <c r="E38" i="21"/>
  <c r="G38" i="21"/>
  <c r="B39" i="21"/>
  <c r="E39" i="21"/>
  <c r="G39" i="21"/>
  <c r="B40" i="21"/>
  <c r="E40" i="21"/>
  <c r="G40" i="21"/>
  <c r="B41" i="21"/>
  <c r="E41" i="21"/>
  <c r="G41" i="21"/>
  <c r="B42" i="21"/>
  <c r="E42" i="21"/>
  <c r="G42" i="21"/>
  <c r="B43" i="21"/>
  <c r="E43" i="21"/>
  <c r="G43" i="21"/>
  <c r="B44" i="21"/>
  <c r="E44" i="21"/>
  <c r="G44" i="21"/>
  <c r="B49" i="21"/>
  <c r="E49" i="21"/>
  <c r="G49" i="21"/>
  <c r="B50" i="21"/>
  <c r="E50" i="21"/>
  <c r="G50" i="21"/>
  <c r="L113" i="21"/>
  <c r="M113" i="21"/>
  <c r="N113" i="21"/>
  <c r="B124" i="21"/>
  <c r="E124" i="21"/>
  <c r="F124" i="21"/>
  <c r="B125" i="21"/>
  <c r="E125" i="21"/>
  <c r="F125" i="21"/>
  <c r="B126" i="21"/>
  <c r="E126" i="21"/>
  <c r="F126" i="21"/>
  <c r="B127" i="21"/>
  <c r="E127" i="21"/>
  <c r="F127" i="21"/>
  <c r="B134" i="21"/>
  <c r="E134" i="21"/>
  <c r="F134" i="21"/>
  <c r="B135" i="21"/>
  <c r="E135" i="21"/>
  <c r="F135" i="21"/>
  <c r="B136" i="21"/>
  <c r="E136" i="21"/>
  <c r="F136" i="21"/>
  <c r="B137" i="21"/>
  <c r="E137" i="21"/>
  <c r="F137" i="21"/>
  <c r="B145" i="21"/>
  <c r="E145" i="21"/>
  <c r="G145" i="21"/>
  <c r="B146" i="21"/>
  <c r="E146" i="21"/>
  <c r="G146" i="21"/>
  <c r="B147" i="21"/>
  <c r="E147" i="21"/>
  <c r="G147" i="21"/>
  <c r="B148" i="21"/>
  <c r="E148" i="21"/>
  <c r="G148" i="21"/>
  <c r="B149" i="21"/>
  <c r="E149" i="21"/>
  <c r="G149" i="21"/>
  <c r="B150" i="21"/>
  <c r="E150" i="21"/>
  <c r="G150" i="21"/>
  <c r="B151" i="21"/>
  <c r="E151" i="21"/>
  <c r="G151" i="21"/>
  <c r="B152" i="21"/>
  <c r="E152" i="21"/>
  <c r="G152" i="21"/>
  <c r="B153" i="21"/>
  <c r="E153" i="21"/>
  <c r="G153" i="21"/>
  <c r="B154" i="21"/>
  <c r="E154" i="21"/>
  <c r="G154" i="21"/>
  <c r="B155" i="21"/>
  <c r="E155" i="21"/>
  <c r="G155" i="21"/>
  <c r="B156" i="21"/>
  <c r="E156" i="21"/>
  <c r="G156" i="21"/>
  <c r="B161" i="21"/>
  <c r="E161" i="21"/>
  <c r="G161" i="21"/>
  <c r="B162" i="21"/>
  <c r="E162" i="21"/>
  <c r="G162" i="21"/>
  <c r="M281" i="21"/>
  <c r="N281" i="21"/>
  <c r="A285" i="21"/>
  <c r="A229" i="21" s="1"/>
  <c r="L225" i="21" s="1"/>
  <c r="B292" i="21"/>
  <c r="E292" i="21"/>
  <c r="F292" i="21"/>
  <c r="B293" i="21"/>
  <c r="E293" i="21"/>
  <c r="F293" i="21"/>
  <c r="B294" i="21"/>
  <c r="E294" i="21"/>
  <c r="F294" i="21"/>
  <c r="B295" i="21"/>
  <c r="E295" i="21"/>
  <c r="F295" i="21"/>
  <c r="B302" i="21"/>
  <c r="E302" i="21"/>
  <c r="F302" i="21"/>
  <c r="B303" i="21"/>
  <c r="E303" i="21"/>
  <c r="F303" i="21"/>
  <c r="B304" i="21"/>
  <c r="E304" i="21"/>
  <c r="F304" i="21"/>
  <c r="B305" i="21"/>
  <c r="E305" i="21"/>
  <c r="F305" i="21"/>
  <c r="B312" i="21"/>
  <c r="E312" i="21"/>
  <c r="G312" i="21"/>
  <c r="B313" i="21"/>
  <c r="E313" i="21"/>
  <c r="G313" i="21"/>
  <c r="B314" i="21"/>
  <c r="E314" i="21"/>
  <c r="G314" i="21"/>
  <c r="B315" i="21"/>
  <c r="E315" i="21"/>
  <c r="G315" i="21"/>
  <c r="B316" i="21"/>
  <c r="E316" i="21"/>
  <c r="G316" i="21"/>
  <c r="B317" i="21"/>
  <c r="E317" i="21"/>
  <c r="G317" i="21"/>
  <c r="B318" i="21"/>
  <c r="E318" i="21"/>
  <c r="G318" i="21"/>
  <c r="B319" i="21"/>
  <c r="E319" i="21"/>
  <c r="G319" i="21"/>
  <c r="B320" i="21"/>
  <c r="E320" i="21"/>
  <c r="G320" i="21"/>
  <c r="B321" i="21"/>
  <c r="E321" i="21"/>
  <c r="G321" i="21"/>
  <c r="B322" i="21"/>
  <c r="E322" i="21"/>
  <c r="G322" i="21"/>
  <c r="B323" i="21"/>
  <c r="E323" i="21"/>
  <c r="G323" i="21"/>
  <c r="B324" i="21"/>
  <c r="E324" i="21"/>
  <c r="G324" i="21"/>
  <c r="B329" i="21"/>
  <c r="E329" i="21"/>
  <c r="G329" i="21"/>
  <c r="B330" i="21"/>
  <c r="E330" i="21"/>
  <c r="G330" i="21"/>
  <c r="G333" i="21"/>
  <c r="G334" i="21"/>
  <c r="L113" i="19"/>
  <c r="M113" i="19"/>
  <c r="N113" i="19"/>
  <c r="B124" i="19"/>
  <c r="E124" i="19"/>
  <c r="F124" i="19"/>
  <c r="B125" i="19"/>
  <c r="E125" i="19"/>
  <c r="F125" i="19"/>
  <c r="B126" i="19"/>
  <c r="E126" i="19"/>
  <c r="F126" i="19"/>
  <c r="B127" i="19"/>
  <c r="E127" i="19"/>
  <c r="F127" i="19"/>
  <c r="B134" i="19"/>
  <c r="E134" i="19"/>
  <c r="F134" i="19"/>
  <c r="B135" i="19"/>
  <c r="E135" i="19"/>
  <c r="F135" i="19"/>
  <c r="B136" i="19"/>
  <c r="E136" i="19"/>
  <c r="F136" i="19"/>
  <c r="B137" i="19"/>
  <c r="E137" i="19"/>
  <c r="F137" i="19"/>
  <c r="B146" i="19"/>
  <c r="E146" i="19"/>
  <c r="G146" i="19"/>
  <c r="B147" i="19"/>
  <c r="E147" i="19"/>
  <c r="G147" i="19"/>
  <c r="B148" i="19"/>
  <c r="E148" i="19"/>
  <c r="G148" i="19"/>
  <c r="B149" i="19"/>
  <c r="E149" i="19"/>
  <c r="G149" i="19"/>
  <c r="B150" i="19"/>
  <c r="E150" i="19"/>
  <c r="G150" i="19"/>
  <c r="B151" i="19"/>
  <c r="E151" i="19"/>
  <c r="G151" i="19"/>
  <c r="B152" i="19"/>
  <c r="E152" i="19"/>
  <c r="G152" i="19"/>
  <c r="B153" i="19"/>
  <c r="E153" i="19"/>
  <c r="G153" i="19"/>
  <c r="B154" i="19"/>
  <c r="E154" i="19"/>
  <c r="G154" i="19"/>
  <c r="B155" i="19"/>
  <c r="E155" i="19"/>
  <c r="G155" i="19"/>
  <c r="B156" i="19"/>
  <c r="E156" i="19"/>
  <c r="G156" i="19"/>
  <c r="B161" i="19"/>
  <c r="E161" i="19"/>
  <c r="G161" i="19"/>
  <c r="B162" i="19"/>
  <c r="E162" i="19"/>
  <c r="G162" i="19"/>
  <c r="L617" i="19"/>
  <c r="M617" i="19"/>
  <c r="N617" i="19"/>
  <c r="B657" i="19"/>
  <c r="E657" i="19"/>
  <c r="G657" i="19"/>
  <c r="B658" i="19"/>
  <c r="E658" i="19"/>
  <c r="G658" i="19"/>
  <c r="B659" i="19"/>
  <c r="E659" i="19"/>
  <c r="G659" i="19"/>
  <c r="B660" i="19"/>
  <c r="E660" i="19"/>
  <c r="G660" i="19"/>
  <c r="B665" i="19"/>
  <c r="E665" i="19"/>
  <c r="G665" i="19"/>
  <c r="B666" i="19"/>
  <c r="E666" i="19"/>
  <c r="G666" i="19"/>
  <c r="L449" i="19"/>
  <c r="M449" i="19"/>
  <c r="N449" i="19"/>
  <c r="B460" i="19"/>
  <c r="E460" i="19"/>
  <c r="F460" i="19"/>
  <c r="B461" i="19"/>
  <c r="E461" i="19"/>
  <c r="F461" i="19"/>
  <c r="B462" i="19"/>
  <c r="E462" i="19"/>
  <c r="F462" i="19"/>
  <c r="B463" i="19"/>
  <c r="E463" i="19"/>
  <c r="F463" i="19"/>
  <c r="B470" i="19"/>
  <c r="E470" i="19"/>
  <c r="F470" i="19"/>
  <c r="B471" i="19"/>
  <c r="E471" i="19"/>
  <c r="F471" i="19"/>
  <c r="B472" i="19"/>
  <c r="E472" i="19"/>
  <c r="F472" i="19"/>
  <c r="B473" i="19"/>
  <c r="E473" i="19"/>
  <c r="F473" i="19"/>
  <c r="B486" i="19"/>
  <c r="E486" i="19"/>
  <c r="G486" i="19"/>
  <c r="B487" i="19"/>
  <c r="E487" i="19"/>
  <c r="G487" i="19"/>
  <c r="B488" i="19"/>
  <c r="E488" i="19"/>
  <c r="G488" i="19"/>
  <c r="B489" i="19"/>
  <c r="E489" i="19"/>
  <c r="G489" i="19"/>
  <c r="B490" i="19"/>
  <c r="E490" i="19"/>
  <c r="G490" i="19"/>
  <c r="B491" i="19"/>
  <c r="E491" i="19"/>
  <c r="G491" i="19"/>
  <c r="B492" i="19"/>
  <c r="E492" i="19"/>
  <c r="G492" i="19"/>
  <c r="B497" i="19"/>
  <c r="E497" i="19"/>
  <c r="G497" i="19"/>
  <c r="B498" i="19"/>
  <c r="E498" i="19"/>
  <c r="G498" i="19"/>
  <c r="L729" i="19"/>
  <c r="M729" i="19"/>
  <c r="N729" i="19"/>
  <c r="B739" i="19"/>
  <c r="E739" i="19"/>
  <c r="F739" i="19"/>
  <c r="B740" i="19"/>
  <c r="E740" i="19"/>
  <c r="F740" i="19"/>
  <c r="B741" i="19"/>
  <c r="E741" i="19"/>
  <c r="F741" i="19"/>
  <c r="B742" i="19"/>
  <c r="E742" i="19"/>
  <c r="F742" i="19"/>
  <c r="B743" i="19"/>
  <c r="E743" i="19"/>
  <c r="F743" i="19"/>
  <c r="B750" i="19"/>
  <c r="E750" i="19"/>
  <c r="F750" i="19"/>
  <c r="B751" i="19"/>
  <c r="E751" i="19"/>
  <c r="F751" i="19"/>
  <c r="B752" i="19"/>
  <c r="E752" i="19"/>
  <c r="F752" i="19"/>
  <c r="B753" i="19"/>
  <c r="E753" i="19"/>
  <c r="F753" i="19"/>
  <c r="B760" i="19"/>
  <c r="E760" i="19"/>
  <c r="G760" i="19"/>
  <c r="B761" i="19"/>
  <c r="E761" i="19"/>
  <c r="G761" i="19"/>
  <c r="B762" i="19"/>
  <c r="E762" i="19"/>
  <c r="G762" i="19"/>
  <c r="B763" i="19"/>
  <c r="E763" i="19"/>
  <c r="G763" i="19"/>
  <c r="B764" i="19"/>
  <c r="E764" i="19"/>
  <c r="G764" i="19"/>
  <c r="B765" i="19"/>
  <c r="E765" i="19"/>
  <c r="G765" i="19"/>
  <c r="B766" i="19"/>
  <c r="E766" i="19"/>
  <c r="G766" i="19"/>
  <c r="B767" i="19"/>
  <c r="E767" i="19"/>
  <c r="G767" i="19"/>
  <c r="B768" i="19"/>
  <c r="E768" i="19"/>
  <c r="G768" i="19"/>
  <c r="B769" i="19"/>
  <c r="E769" i="19"/>
  <c r="G769" i="19"/>
  <c r="B770" i="19"/>
  <c r="E770" i="19"/>
  <c r="G770" i="19"/>
  <c r="B771" i="19"/>
  <c r="E771" i="19"/>
  <c r="G771" i="19"/>
  <c r="B772" i="19"/>
  <c r="E772" i="19"/>
  <c r="G772" i="19"/>
  <c r="B777" i="19"/>
  <c r="E777" i="19"/>
  <c r="G777" i="19"/>
  <c r="B778" i="19"/>
  <c r="E778" i="19"/>
  <c r="G778" i="19"/>
  <c r="L785" i="19"/>
  <c r="M785" i="19"/>
  <c r="N785" i="19"/>
  <c r="B796" i="19"/>
  <c r="E796" i="19"/>
  <c r="F796" i="19"/>
  <c r="B797" i="19"/>
  <c r="E797" i="19"/>
  <c r="F797" i="19"/>
  <c r="B798" i="19"/>
  <c r="E798" i="19"/>
  <c r="F798" i="19"/>
  <c r="B799" i="19"/>
  <c r="E799" i="19"/>
  <c r="F799" i="19"/>
  <c r="B806" i="19"/>
  <c r="E806" i="19"/>
  <c r="F806" i="19"/>
  <c r="B807" i="19"/>
  <c r="E807" i="19"/>
  <c r="F807" i="19"/>
  <c r="B808" i="19"/>
  <c r="E808" i="19"/>
  <c r="F808" i="19"/>
  <c r="B809" i="19"/>
  <c r="E809" i="19"/>
  <c r="F809" i="19"/>
  <c r="B816" i="19"/>
  <c r="E816" i="19"/>
  <c r="G816" i="19"/>
  <c r="B817" i="19"/>
  <c r="E817" i="19"/>
  <c r="G817" i="19"/>
  <c r="B818" i="19"/>
  <c r="E818" i="19"/>
  <c r="G818" i="19"/>
  <c r="B819" i="19"/>
  <c r="E819" i="19"/>
  <c r="G819" i="19"/>
  <c r="B820" i="19"/>
  <c r="E820" i="19"/>
  <c r="G820" i="19"/>
  <c r="B821" i="19"/>
  <c r="E821" i="19"/>
  <c r="G821" i="19"/>
  <c r="B822" i="19"/>
  <c r="E822" i="19"/>
  <c r="G822" i="19"/>
  <c r="B823" i="19"/>
  <c r="E823" i="19"/>
  <c r="G823" i="19"/>
  <c r="B824" i="19"/>
  <c r="E824" i="19"/>
  <c r="G824" i="19"/>
  <c r="B825" i="19"/>
  <c r="E825" i="19"/>
  <c r="G825" i="19"/>
  <c r="B826" i="19"/>
  <c r="E826" i="19"/>
  <c r="G826" i="19"/>
  <c r="B827" i="19"/>
  <c r="E827" i="19"/>
  <c r="G827" i="19"/>
  <c r="B828" i="19"/>
  <c r="E828" i="19"/>
  <c r="G828" i="19"/>
  <c r="B833" i="19"/>
  <c r="E833" i="19"/>
  <c r="G833" i="19"/>
  <c r="B834" i="19"/>
  <c r="E834" i="19"/>
  <c r="G834" i="19"/>
  <c r="L841" i="19"/>
  <c r="M841" i="19"/>
  <c r="N841" i="19"/>
  <c r="B851" i="19"/>
  <c r="E851" i="19"/>
  <c r="F851" i="19"/>
  <c r="B852" i="19"/>
  <c r="E852" i="19"/>
  <c r="F852" i="19"/>
  <c r="B853" i="19"/>
  <c r="E853" i="19"/>
  <c r="F853" i="19"/>
  <c r="B854" i="19"/>
  <c r="E854" i="19"/>
  <c r="F854" i="19"/>
  <c r="B855" i="19"/>
  <c r="E855" i="19"/>
  <c r="F855" i="19"/>
  <c r="B862" i="19"/>
  <c r="E862" i="19"/>
  <c r="F862" i="19"/>
  <c r="B863" i="19"/>
  <c r="E863" i="19"/>
  <c r="F863" i="19"/>
  <c r="B864" i="19"/>
  <c r="E864" i="19"/>
  <c r="F864" i="19"/>
  <c r="B865" i="19"/>
  <c r="E865" i="19"/>
  <c r="F865" i="19"/>
  <c r="B872" i="19"/>
  <c r="E872" i="19"/>
  <c r="G872" i="19"/>
  <c r="B873" i="19"/>
  <c r="E873" i="19"/>
  <c r="G873" i="19"/>
  <c r="B874" i="19"/>
  <c r="E874" i="19"/>
  <c r="G874" i="19"/>
  <c r="B875" i="19"/>
  <c r="E875" i="19"/>
  <c r="G875" i="19"/>
  <c r="B876" i="19"/>
  <c r="E876" i="19"/>
  <c r="G876" i="19"/>
  <c r="B877" i="19"/>
  <c r="E877" i="19"/>
  <c r="G877" i="19"/>
  <c r="B878" i="19"/>
  <c r="E878" i="19"/>
  <c r="G878" i="19"/>
  <c r="B879" i="19"/>
  <c r="E879" i="19"/>
  <c r="G879" i="19"/>
  <c r="B880" i="19"/>
  <c r="E880" i="19"/>
  <c r="G880" i="19"/>
  <c r="B881" i="19"/>
  <c r="E881" i="19"/>
  <c r="G881" i="19"/>
  <c r="B882" i="19"/>
  <c r="E882" i="19"/>
  <c r="G882" i="19"/>
  <c r="B883" i="19"/>
  <c r="E883" i="19"/>
  <c r="G883" i="19"/>
  <c r="B884" i="19"/>
  <c r="E884" i="19"/>
  <c r="G884" i="19"/>
  <c r="B889" i="19"/>
  <c r="E889" i="19"/>
  <c r="G889" i="19"/>
  <c r="B890" i="19"/>
  <c r="E890" i="19"/>
  <c r="G890" i="19"/>
  <c r="L1009" i="19"/>
  <c r="M1009" i="19"/>
  <c r="N1009" i="19"/>
  <c r="B1019" i="19"/>
  <c r="E1019" i="19"/>
  <c r="F1019" i="19"/>
  <c r="B1020" i="19"/>
  <c r="E1020" i="19"/>
  <c r="F1020" i="19"/>
  <c r="B1021" i="19"/>
  <c r="E1021" i="19"/>
  <c r="F1021" i="19"/>
  <c r="B1022" i="19"/>
  <c r="E1022" i="19"/>
  <c r="F1022" i="19"/>
  <c r="B1023" i="19"/>
  <c r="E1023" i="19"/>
  <c r="F1023" i="19"/>
  <c r="B1030" i="19"/>
  <c r="E1030" i="19"/>
  <c r="F1030" i="19"/>
  <c r="B1031" i="19"/>
  <c r="E1031" i="19"/>
  <c r="F1031" i="19"/>
  <c r="B1032" i="19"/>
  <c r="E1032" i="19"/>
  <c r="F1032" i="19"/>
  <c r="B1033" i="19"/>
  <c r="E1033" i="19"/>
  <c r="F1033" i="19"/>
  <c r="B1040" i="19"/>
  <c r="E1040" i="19"/>
  <c r="G1040" i="19"/>
  <c r="B1041" i="19"/>
  <c r="E1041" i="19"/>
  <c r="G1041" i="19"/>
  <c r="B1042" i="19"/>
  <c r="E1042" i="19"/>
  <c r="G1042" i="19"/>
  <c r="B1043" i="19"/>
  <c r="E1043" i="19"/>
  <c r="G1043" i="19"/>
  <c r="B1044" i="19"/>
  <c r="E1044" i="19"/>
  <c r="G1044" i="19"/>
  <c r="B1045" i="19"/>
  <c r="E1045" i="19"/>
  <c r="G1045" i="19"/>
  <c r="B1046" i="19"/>
  <c r="E1046" i="19"/>
  <c r="G1046" i="19"/>
  <c r="B1047" i="19"/>
  <c r="E1047" i="19"/>
  <c r="G1047" i="19"/>
  <c r="B1048" i="19"/>
  <c r="E1048" i="19"/>
  <c r="G1048" i="19"/>
  <c r="B1049" i="19"/>
  <c r="E1049" i="19"/>
  <c r="G1049" i="19"/>
  <c r="B1050" i="19"/>
  <c r="E1050" i="19"/>
  <c r="G1050" i="19"/>
  <c r="B1051" i="19"/>
  <c r="E1051" i="19"/>
  <c r="G1051" i="19"/>
  <c r="B1052" i="19"/>
  <c r="E1052" i="19"/>
  <c r="G1052" i="19"/>
  <c r="B1057" i="19"/>
  <c r="E1057" i="19"/>
  <c r="G1057" i="19"/>
  <c r="B1058" i="19"/>
  <c r="E1058" i="19"/>
  <c r="G1058" i="19"/>
  <c r="D953" i="19"/>
  <c r="L953" i="19"/>
  <c r="M953" i="19"/>
  <c r="N953" i="19"/>
  <c r="B964" i="19"/>
  <c r="E964" i="19"/>
  <c r="F964" i="19"/>
  <c r="B965" i="19"/>
  <c r="E965" i="19"/>
  <c r="F965" i="19"/>
  <c r="B966" i="19"/>
  <c r="E966" i="19"/>
  <c r="F966" i="19"/>
  <c r="B967" i="19"/>
  <c r="E967" i="19"/>
  <c r="F967" i="19"/>
  <c r="B975" i="19"/>
  <c r="E975" i="19"/>
  <c r="F975" i="19"/>
  <c r="B976" i="19"/>
  <c r="E976" i="19"/>
  <c r="F976" i="19"/>
  <c r="B977" i="19"/>
  <c r="E977" i="19"/>
  <c r="F977" i="19"/>
  <c r="B988" i="19"/>
  <c r="E988" i="19"/>
  <c r="G988" i="19"/>
  <c r="B989" i="19"/>
  <c r="E989" i="19"/>
  <c r="G989" i="19"/>
  <c r="B990" i="19"/>
  <c r="E990" i="19"/>
  <c r="G990" i="19"/>
  <c r="B991" i="19"/>
  <c r="E991" i="19"/>
  <c r="G991" i="19"/>
  <c r="B992" i="19"/>
  <c r="E992" i="19"/>
  <c r="G992" i="19"/>
  <c r="B993" i="19"/>
  <c r="E993" i="19"/>
  <c r="G993" i="19"/>
  <c r="B994" i="19"/>
  <c r="E994" i="19"/>
  <c r="G994" i="19"/>
  <c r="B995" i="19"/>
  <c r="E995" i="19"/>
  <c r="G995" i="19"/>
  <c r="B996" i="19"/>
  <c r="E996" i="19"/>
  <c r="G996" i="19"/>
  <c r="B1001" i="19"/>
  <c r="E1001" i="19"/>
  <c r="G1001" i="19"/>
  <c r="B1002" i="19"/>
  <c r="E1002" i="19"/>
  <c r="G1002" i="19"/>
  <c r="L1177" i="19"/>
  <c r="M1177" i="19"/>
  <c r="N1177" i="19"/>
  <c r="B1188" i="19"/>
  <c r="E1188" i="19"/>
  <c r="F1188" i="19"/>
  <c r="B1189" i="19"/>
  <c r="E1189" i="19"/>
  <c r="F1189" i="19"/>
  <c r="B1190" i="19"/>
  <c r="E1190" i="19"/>
  <c r="F1190" i="19"/>
  <c r="B1191" i="19"/>
  <c r="E1191" i="19"/>
  <c r="F1191" i="19"/>
  <c r="B1198" i="19"/>
  <c r="E1198" i="19"/>
  <c r="F1198" i="19"/>
  <c r="B1199" i="19"/>
  <c r="E1199" i="19"/>
  <c r="F1199" i="19"/>
  <c r="B1200" i="19"/>
  <c r="E1200" i="19"/>
  <c r="F1200" i="19"/>
  <c r="B1201" i="19"/>
  <c r="E1201" i="19"/>
  <c r="F1201" i="19"/>
  <c r="B1208" i="19"/>
  <c r="E1208" i="19"/>
  <c r="G1208" i="19"/>
  <c r="B1209" i="19"/>
  <c r="E1209" i="19"/>
  <c r="G1209" i="19"/>
  <c r="B1210" i="19"/>
  <c r="E1210" i="19"/>
  <c r="G1210" i="19"/>
  <c r="B1211" i="19"/>
  <c r="E1211" i="19"/>
  <c r="G1211" i="19"/>
  <c r="B1212" i="19"/>
  <c r="E1212" i="19"/>
  <c r="G1212" i="19"/>
  <c r="B1213" i="19"/>
  <c r="E1213" i="19"/>
  <c r="G1213" i="19"/>
  <c r="B1214" i="19"/>
  <c r="E1214" i="19"/>
  <c r="G1214" i="19"/>
  <c r="B1215" i="19"/>
  <c r="E1215" i="19"/>
  <c r="G1215" i="19"/>
  <c r="B1216" i="19"/>
  <c r="E1216" i="19"/>
  <c r="G1216" i="19"/>
  <c r="B1217" i="19"/>
  <c r="E1217" i="19"/>
  <c r="G1217" i="19"/>
  <c r="B1218" i="19"/>
  <c r="E1218" i="19"/>
  <c r="G1218" i="19"/>
  <c r="B1219" i="19"/>
  <c r="E1219" i="19"/>
  <c r="G1219" i="19"/>
  <c r="B1220" i="19"/>
  <c r="E1220" i="19"/>
  <c r="G1220" i="19"/>
  <c r="B1225" i="19"/>
  <c r="E1225" i="19"/>
  <c r="G1225" i="19"/>
  <c r="B1226" i="19"/>
  <c r="E1226" i="19"/>
  <c r="G1226" i="19"/>
  <c r="L1233" i="19"/>
  <c r="M1233" i="19"/>
  <c r="N1233" i="19"/>
  <c r="B1244" i="19"/>
  <c r="E1244" i="19"/>
  <c r="F1244" i="19"/>
  <c r="B1245" i="19"/>
  <c r="E1245" i="19"/>
  <c r="F1245" i="19"/>
  <c r="B1246" i="19"/>
  <c r="E1246" i="19"/>
  <c r="F1246" i="19"/>
  <c r="B1247" i="19"/>
  <c r="E1247" i="19"/>
  <c r="F1247" i="19"/>
  <c r="B1254" i="19"/>
  <c r="E1254" i="19"/>
  <c r="F1254" i="19"/>
  <c r="B1255" i="19"/>
  <c r="E1255" i="19"/>
  <c r="F1255" i="19"/>
  <c r="B1256" i="19"/>
  <c r="E1256" i="19"/>
  <c r="F1256" i="19"/>
  <c r="B1257" i="19"/>
  <c r="E1257" i="19"/>
  <c r="F1257" i="19"/>
  <c r="B1264" i="19"/>
  <c r="E1264" i="19"/>
  <c r="G1264" i="19"/>
  <c r="B1265" i="19"/>
  <c r="E1265" i="19"/>
  <c r="G1265" i="19"/>
  <c r="B1266" i="19"/>
  <c r="E1266" i="19"/>
  <c r="G1266" i="19"/>
  <c r="B1267" i="19"/>
  <c r="E1267" i="19"/>
  <c r="G1267" i="19"/>
  <c r="B1268" i="19"/>
  <c r="E1268" i="19"/>
  <c r="G1268" i="19"/>
  <c r="B1269" i="19"/>
  <c r="E1269" i="19"/>
  <c r="G1269" i="19"/>
  <c r="B1270" i="19"/>
  <c r="E1270" i="19"/>
  <c r="G1270" i="19"/>
  <c r="B1271" i="19"/>
  <c r="E1271" i="19"/>
  <c r="G1271" i="19"/>
  <c r="B1272" i="19"/>
  <c r="E1272" i="19"/>
  <c r="G1272" i="19"/>
  <c r="B1273" i="19"/>
  <c r="E1273" i="19"/>
  <c r="G1273" i="19"/>
  <c r="B1274" i="19"/>
  <c r="E1274" i="19"/>
  <c r="G1274" i="19"/>
  <c r="B1275" i="19"/>
  <c r="E1275" i="19"/>
  <c r="G1275" i="19"/>
  <c r="B1276" i="19"/>
  <c r="E1276" i="19"/>
  <c r="G1276" i="19"/>
  <c r="B1281" i="19"/>
  <c r="E1281" i="19"/>
  <c r="G1281" i="19"/>
  <c r="B1282" i="19"/>
  <c r="E1282" i="19"/>
  <c r="G1282" i="19"/>
  <c r="L1457" i="19"/>
  <c r="M1457" i="19"/>
  <c r="N1457" i="19"/>
  <c r="B1468" i="19"/>
  <c r="E1468" i="19"/>
  <c r="F1468" i="19"/>
  <c r="B1469" i="19"/>
  <c r="E1469" i="19"/>
  <c r="F1469" i="19"/>
  <c r="B1470" i="19"/>
  <c r="E1470" i="19"/>
  <c r="F1470" i="19"/>
  <c r="B1471" i="19"/>
  <c r="E1471" i="19"/>
  <c r="F1471" i="19"/>
  <c r="B1478" i="19"/>
  <c r="E1478" i="19"/>
  <c r="F1478" i="19"/>
  <c r="B1479" i="19"/>
  <c r="E1479" i="19"/>
  <c r="F1479" i="19"/>
  <c r="B1480" i="19"/>
  <c r="E1480" i="19"/>
  <c r="F1480" i="19"/>
  <c r="B1481" i="19"/>
  <c r="E1481" i="19"/>
  <c r="F1481" i="19"/>
  <c r="B1494" i="19"/>
  <c r="E1494" i="19"/>
  <c r="G1494" i="19"/>
  <c r="B1495" i="19"/>
  <c r="E1495" i="19"/>
  <c r="G1495" i="19"/>
  <c r="B1496" i="19"/>
  <c r="E1496" i="19"/>
  <c r="G1496" i="19"/>
  <c r="B1497" i="19"/>
  <c r="E1497" i="19"/>
  <c r="G1497" i="19"/>
  <c r="B1498" i="19"/>
  <c r="E1498" i="19"/>
  <c r="G1498" i="19"/>
  <c r="B1499" i="19"/>
  <c r="E1499" i="19"/>
  <c r="G1499" i="19"/>
  <c r="B1500" i="19"/>
  <c r="E1500" i="19"/>
  <c r="G1500" i="19"/>
  <c r="B1505" i="19"/>
  <c r="E1505" i="19"/>
  <c r="G1505" i="19"/>
  <c r="B1506" i="19"/>
  <c r="E1506" i="19"/>
  <c r="G1506" i="19"/>
  <c r="L1625" i="19"/>
  <c r="M1625" i="19"/>
  <c r="N1625" i="19"/>
  <c r="B1635" i="19"/>
  <c r="E1635" i="19"/>
  <c r="F1635" i="19"/>
  <c r="B1636" i="19"/>
  <c r="E1636" i="19"/>
  <c r="F1636" i="19"/>
  <c r="B1637" i="19"/>
  <c r="E1637" i="19"/>
  <c r="F1637" i="19"/>
  <c r="B1638" i="19"/>
  <c r="E1638" i="19"/>
  <c r="F1638" i="19"/>
  <c r="B1639" i="19"/>
  <c r="E1639" i="19"/>
  <c r="F1639" i="19"/>
  <c r="B1646" i="19"/>
  <c r="E1646" i="19"/>
  <c r="F1646" i="19"/>
  <c r="B1647" i="19"/>
  <c r="E1647" i="19"/>
  <c r="F1647" i="19"/>
  <c r="B1648" i="19"/>
  <c r="E1648" i="19"/>
  <c r="F1648" i="19"/>
  <c r="B1649" i="19"/>
  <c r="E1649" i="19"/>
  <c r="F1649" i="19"/>
  <c r="B1661" i="19"/>
  <c r="E1661" i="19"/>
  <c r="G1661" i="19"/>
  <c r="B1662" i="19"/>
  <c r="E1662" i="19"/>
  <c r="G1662" i="19"/>
  <c r="B1663" i="19"/>
  <c r="E1663" i="19"/>
  <c r="G1663" i="19"/>
  <c r="B1664" i="19"/>
  <c r="E1664" i="19"/>
  <c r="G1664" i="19"/>
  <c r="B1665" i="19"/>
  <c r="E1665" i="19"/>
  <c r="G1665" i="19"/>
  <c r="B1666" i="19"/>
  <c r="E1666" i="19"/>
  <c r="G1666" i="19"/>
  <c r="B1667" i="19"/>
  <c r="E1667" i="19"/>
  <c r="G1667" i="19"/>
  <c r="B1668" i="19"/>
  <c r="E1668" i="19"/>
  <c r="G1668" i="19"/>
  <c r="B1673" i="19"/>
  <c r="E1673" i="19"/>
  <c r="G1673" i="19"/>
  <c r="B1674" i="19"/>
  <c r="E1674" i="19"/>
  <c r="G1674" i="19"/>
  <c r="L1401" i="19"/>
  <c r="M1401" i="19"/>
  <c r="N1401" i="19"/>
  <c r="B1412" i="19"/>
  <c r="E1412" i="19"/>
  <c r="F1412" i="19"/>
  <c r="B1413" i="19"/>
  <c r="E1413" i="19"/>
  <c r="F1413" i="19"/>
  <c r="B1414" i="19"/>
  <c r="E1414" i="19"/>
  <c r="F1414" i="19"/>
  <c r="B1415" i="19"/>
  <c r="E1415" i="19"/>
  <c r="F1415" i="19"/>
  <c r="B1422" i="19"/>
  <c r="E1422" i="19"/>
  <c r="F1422" i="19"/>
  <c r="B1423" i="19"/>
  <c r="E1423" i="19"/>
  <c r="F1423" i="19"/>
  <c r="B1424" i="19"/>
  <c r="E1424" i="19"/>
  <c r="F1424" i="19"/>
  <c r="B1425" i="19"/>
  <c r="E1425" i="19"/>
  <c r="F1425" i="19"/>
  <c r="B1432" i="19"/>
  <c r="E1432" i="19"/>
  <c r="G1432" i="19"/>
  <c r="B1433" i="19"/>
  <c r="E1433" i="19"/>
  <c r="G1433" i="19"/>
  <c r="B1434" i="19"/>
  <c r="E1434" i="19"/>
  <c r="G1434" i="19"/>
  <c r="B1435" i="19"/>
  <c r="E1435" i="19"/>
  <c r="G1435" i="19"/>
  <c r="B1436" i="19"/>
  <c r="E1436" i="19"/>
  <c r="G1436" i="19"/>
  <c r="B1437" i="19"/>
  <c r="E1437" i="19"/>
  <c r="G1437" i="19"/>
  <c r="B1438" i="19"/>
  <c r="E1438" i="19"/>
  <c r="G1438" i="19"/>
  <c r="B1439" i="19"/>
  <c r="E1439" i="19"/>
  <c r="G1439" i="19"/>
  <c r="B1440" i="19"/>
  <c r="E1440" i="19"/>
  <c r="G1440" i="19"/>
  <c r="B1441" i="19"/>
  <c r="E1441" i="19"/>
  <c r="G1441" i="19"/>
  <c r="B1442" i="19"/>
  <c r="E1442" i="19"/>
  <c r="G1442" i="19"/>
  <c r="B1443" i="19"/>
  <c r="E1443" i="19"/>
  <c r="G1443" i="19"/>
  <c r="B1444" i="19"/>
  <c r="E1444" i="19"/>
  <c r="G1444" i="19"/>
  <c r="B1449" i="19"/>
  <c r="E1449" i="19"/>
  <c r="G1449" i="19"/>
  <c r="B1450" i="19"/>
  <c r="E1450" i="19"/>
  <c r="G1450" i="19"/>
  <c r="D1905" i="19"/>
  <c r="L1905" i="19"/>
  <c r="M1905" i="19"/>
  <c r="N1905" i="19"/>
  <c r="B1917" i="19"/>
  <c r="E1917" i="19"/>
  <c r="F1917" i="19"/>
  <c r="B1918" i="19"/>
  <c r="E1918" i="19"/>
  <c r="F1918" i="19"/>
  <c r="B1919" i="19"/>
  <c r="E1919" i="19"/>
  <c r="F1919" i="19"/>
  <c r="B1927" i="19"/>
  <c r="E1927" i="19"/>
  <c r="F1927" i="19"/>
  <c r="B1928" i="19"/>
  <c r="E1928" i="19"/>
  <c r="F1928" i="19"/>
  <c r="B1929" i="19"/>
  <c r="E1929" i="19"/>
  <c r="F1929" i="19"/>
  <c r="B1944" i="19"/>
  <c r="E1944" i="19"/>
  <c r="G1944" i="19"/>
  <c r="B1945" i="19"/>
  <c r="E1945" i="19"/>
  <c r="G1945" i="19"/>
  <c r="B1946" i="19"/>
  <c r="E1946" i="19"/>
  <c r="G1946" i="19"/>
  <c r="B1947" i="19"/>
  <c r="E1947" i="19"/>
  <c r="G1947" i="19"/>
  <c r="B1948" i="19"/>
  <c r="E1948" i="19"/>
  <c r="G1948" i="19"/>
  <c r="B1953" i="19"/>
  <c r="E1953" i="19"/>
  <c r="G1953" i="19"/>
  <c r="B1954" i="19"/>
  <c r="E1954" i="19"/>
  <c r="G1954" i="19"/>
  <c r="L1737" i="19"/>
  <c r="M1737" i="19"/>
  <c r="N1737" i="19"/>
  <c r="B1748" i="19"/>
  <c r="E1748" i="19"/>
  <c r="F1748" i="19"/>
  <c r="B1749" i="19"/>
  <c r="E1749" i="19"/>
  <c r="F1749" i="19"/>
  <c r="B1750" i="19"/>
  <c r="E1750" i="19"/>
  <c r="F1750" i="19"/>
  <c r="B1751" i="19"/>
  <c r="E1751" i="19"/>
  <c r="F1751" i="19"/>
  <c r="B1758" i="19"/>
  <c r="E1758" i="19"/>
  <c r="F1758" i="19"/>
  <c r="B1760" i="19"/>
  <c r="E1760" i="19"/>
  <c r="F1760" i="19"/>
  <c r="B1761" i="19"/>
  <c r="E1761" i="19"/>
  <c r="F1761" i="19"/>
  <c r="K1768" i="19"/>
  <c r="B1780" i="19"/>
  <c r="E1780" i="19"/>
  <c r="G1780" i="19"/>
  <c r="B1785" i="19"/>
  <c r="E1785" i="19"/>
  <c r="G1785" i="19"/>
  <c r="B1786" i="19"/>
  <c r="E1786" i="19"/>
  <c r="G1786" i="19"/>
  <c r="D1" i="18"/>
  <c r="L1" i="18"/>
  <c r="M1" i="18"/>
  <c r="N1" i="18"/>
  <c r="G11" i="18"/>
  <c r="B12" i="18"/>
  <c r="E12" i="18"/>
  <c r="F12" i="18"/>
  <c r="B13" i="18"/>
  <c r="E13" i="18"/>
  <c r="F13" i="18"/>
  <c r="B14" i="18"/>
  <c r="E14" i="18"/>
  <c r="F14" i="18"/>
  <c r="B15" i="18"/>
  <c r="E15" i="18"/>
  <c r="F15" i="18"/>
  <c r="B23" i="18"/>
  <c r="E23" i="18"/>
  <c r="F23" i="18"/>
  <c r="B24" i="18"/>
  <c r="E24" i="18"/>
  <c r="F24" i="18"/>
  <c r="B25" i="18"/>
  <c r="E25" i="18"/>
  <c r="F25" i="18"/>
  <c r="B35" i="18"/>
  <c r="E35" i="18"/>
  <c r="G35" i="18"/>
  <c r="B36" i="18"/>
  <c r="E36" i="18"/>
  <c r="G36" i="18"/>
  <c r="B37" i="18"/>
  <c r="E37" i="18"/>
  <c r="G37" i="18"/>
  <c r="B38" i="18"/>
  <c r="E38" i="18"/>
  <c r="G38" i="18"/>
  <c r="B39" i="18"/>
  <c r="E39" i="18"/>
  <c r="G39" i="18"/>
  <c r="B40" i="18"/>
  <c r="E40" i="18"/>
  <c r="G40" i="18"/>
  <c r="B41" i="18"/>
  <c r="E41" i="18"/>
  <c r="G41" i="18"/>
  <c r="B42" i="18"/>
  <c r="E42" i="18"/>
  <c r="G42" i="18"/>
  <c r="B43" i="18"/>
  <c r="E43" i="18"/>
  <c r="G43" i="18"/>
  <c r="B44" i="18"/>
  <c r="E44" i="18"/>
  <c r="G44" i="18"/>
  <c r="B49" i="18"/>
  <c r="E49" i="18"/>
  <c r="G49" i="18"/>
  <c r="B50" i="18"/>
  <c r="E50" i="18"/>
  <c r="G50" i="18"/>
  <c r="D1" i="17"/>
  <c r="L1" i="17"/>
  <c r="M1" i="17"/>
  <c r="N1" i="17"/>
  <c r="G11" i="17"/>
  <c r="G12" i="17" s="1"/>
  <c r="B13" i="17"/>
  <c r="E13" i="17"/>
  <c r="F13" i="17"/>
  <c r="B14" i="17"/>
  <c r="E14" i="17"/>
  <c r="F14" i="17"/>
  <c r="B15" i="17"/>
  <c r="E15" i="17"/>
  <c r="F15" i="17"/>
  <c r="B19" i="17"/>
  <c r="E19" i="17"/>
  <c r="F19" i="17"/>
  <c r="G19" i="17"/>
  <c r="K22" i="17"/>
  <c r="K23" i="17"/>
  <c r="B24" i="17"/>
  <c r="E24" i="17"/>
  <c r="F24" i="17"/>
  <c r="B25" i="17"/>
  <c r="E25" i="17"/>
  <c r="F25" i="17"/>
  <c r="B34" i="17"/>
  <c r="E34" i="17"/>
  <c r="G34" i="17"/>
  <c r="B35" i="17"/>
  <c r="E35" i="17"/>
  <c r="G35" i="17"/>
  <c r="B36" i="17"/>
  <c r="E36" i="17"/>
  <c r="G36" i="17"/>
  <c r="B37" i="17"/>
  <c r="E37" i="17"/>
  <c r="G37" i="17"/>
  <c r="B38" i="17"/>
  <c r="E38" i="17"/>
  <c r="G38" i="17"/>
  <c r="B39" i="17"/>
  <c r="E39" i="17"/>
  <c r="G39" i="17"/>
  <c r="B40" i="17"/>
  <c r="E40" i="17"/>
  <c r="G40" i="17"/>
  <c r="B41" i="17"/>
  <c r="E41" i="17"/>
  <c r="G41" i="17"/>
  <c r="B42" i="17"/>
  <c r="E42" i="17"/>
  <c r="G42" i="17"/>
  <c r="B43" i="17"/>
  <c r="E43" i="17"/>
  <c r="G43" i="17"/>
  <c r="B44" i="17"/>
  <c r="E44" i="17"/>
  <c r="G44" i="17"/>
  <c r="B49" i="17"/>
  <c r="E49" i="17"/>
  <c r="G49" i="17"/>
  <c r="B50" i="17"/>
  <c r="E50" i="17"/>
  <c r="G50" i="17"/>
  <c r="L1" i="16"/>
  <c r="M1" i="16"/>
  <c r="N1" i="16"/>
  <c r="O1" i="16"/>
  <c r="B13" i="16"/>
  <c r="E13" i="16"/>
  <c r="F13" i="16"/>
  <c r="B14" i="16"/>
  <c r="E14" i="16"/>
  <c r="F14" i="16"/>
  <c r="B15" i="16"/>
  <c r="E15" i="16"/>
  <c r="F15" i="16"/>
  <c r="B24" i="16"/>
  <c r="E24" i="16"/>
  <c r="F24" i="16"/>
  <c r="B25" i="16"/>
  <c r="E25" i="16"/>
  <c r="F25" i="16"/>
  <c r="B38" i="16"/>
  <c r="E38" i="16"/>
  <c r="G38" i="16"/>
  <c r="B39" i="16"/>
  <c r="E39" i="16"/>
  <c r="G39" i="16"/>
  <c r="B40" i="16"/>
  <c r="E40" i="16"/>
  <c r="G40" i="16"/>
  <c r="B41" i="16"/>
  <c r="E41" i="16"/>
  <c r="G41" i="16"/>
  <c r="B42" i="16"/>
  <c r="E42" i="16"/>
  <c r="G42" i="16"/>
  <c r="B43" i="16"/>
  <c r="E43" i="16"/>
  <c r="G43" i="16"/>
  <c r="B44" i="16"/>
  <c r="E44" i="16"/>
  <c r="G44" i="16"/>
  <c r="B49" i="16"/>
  <c r="E49" i="16"/>
  <c r="G49" i="16"/>
  <c r="B50" i="16"/>
  <c r="E50" i="16"/>
  <c r="G50" i="16"/>
  <c r="L113" i="16"/>
  <c r="M113" i="16"/>
  <c r="N113" i="16"/>
  <c r="B125" i="16"/>
  <c r="E125" i="16"/>
  <c r="F125" i="16"/>
  <c r="B126" i="16"/>
  <c r="E126" i="16"/>
  <c r="F126" i="16"/>
  <c r="B127" i="16"/>
  <c r="E127" i="16"/>
  <c r="F127" i="16"/>
  <c r="B136" i="16"/>
  <c r="E136" i="16"/>
  <c r="F136" i="16"/>
  <c r="B137" i="16"/>
  <c r="E137" i="16"/>
  <c r="F137" i="16"/>
  <c r="B151" i="16"/>
  <c r="E151" i="16"/>
  <c r="G151" i="16"/>
  <c r="B152" i="16"/>
  <c r="E152" i="16"/>
  <c r="G152" i="16"/>
  <c r="B153" i="16"/>
  <c r="E153" i="16"/>
  <c r="G153" i="16"/>
  <c r="B154" i="16"/>
  <c r="E154" i="16"/>
  <c r="G154" i="16"/>
  <c r="B155" i="16"/>
  <c r="E155" i="16"/>
  <c r="G155" i="16"/>
  <c r="B156" i="16"/>
  <c r="E156" i="16"/>
  <c r="G156" i="16"/>
  <c r="B161" i="16"/>
  <c r="E161" i="16"/>
  <c r="G161" i="16"/>
  <c r="B162" i="16"/>
  <c r="E162" i="16"/>
  <c r="G162" i="16"/>
  <c r="L673" i="16"/>
  <c r="M673" i="16"/>
  <c r="N673" i="16"/>
  <c r="G683" i="16"/>
  <c r="G684" i="16"/>
  <c r="B685" i="16"/>
  <c r="E685" i="16"/>
  <c r="F685" i="16"/>
  <c r="B686" i="16"/>
  <c r="E686" i="16"/>
  <c r="F686" i="16"/>
  <c r="B687" i="16"/>
  <c r="E687" i="16"/>
  <c r="F687" i="16"/>
  <c r="K694" i="16"/>
  <c r="K695" i="16"/>
  <c r="B696" i="16"/>
  <c r="E696" i="16"/>
  <c r="F696" i="16"/>
  <c r="B697" i="16"/>
  <c r="E697" i="16"/>
  <c r="F697" i="16"/>
  <c r="K698" i="16"/>
  <c r="K703" i="16"/>
  <c r="K704" i="16" s="1"/>
  <c r="K705" i="16" s="1"/>
  <c r="B711" i="16"/>
  <c r="E711" i="16"/>
  <c r="G711" i="16"/>
  <c r="B712" i="16"/>
  <c r="E712" i="16"/>
  <c r="G712" i="16"/>
  <c r="B713" i="16"/>
  <c r="E713" i="16"/>
  <c r="G713" i="16"/>
  <c r="B714" i="16"/>
  <c r="E714" i="16"/>
  <c r="G714" i="16"/>
  <c r="B715" i="16"/>
  <c r="E715" i="16"/>
  <c r="G715" i="16"/>
  <c r="B716" i="16"/>
  <c r="E716" i="16"/>
  <c r="G716" i="16"/>
  <c r="B721" i="16"/>
  <c r="E721" i="16"/>
  <c r="G721" i="16"/>
  <c r="B722" i="16"/>
  <c r="E722" i="16"/>
  <c r="G722" i="16"/>
  <c r="L169" i="16"/>
  <c r="M169" i="16"/>
  <c r="N169" i="16"/>
  <c r="B183" i="16"/>
  <c r="E183" i="16"/>
  <c r="F183" i="16"/>
  <c r="B192" i="16"/>
  <c r="E192" i="16"/>
  <c r="F192" i="16"/>
  <c r="B193" i="16"/>
  <c r="E193" i="16"/>
  <c r="F193" i="16"/>
  <c r="K199" i="16"/>
  <c r="K200" i="16"/>
  <c r="K201" i="16" s="1"/>
  <c r="K191" i="16"/>
  <c r="B207" i="16"/>
  <c r="E207" i="16"/>
  <c r="G207" i="16"/>
  <c r="B208" i="16"/>
  <c r="E208" i="16"/>
  <c r="G208" i="16"/>
  <c r="B209" i="16"/>
  <c r="E209" i="16"/>
  <c r="G209" i="16"/>
  <c r="B210" i="16"/>
  <c r="E210" i="16"/>
  <c r="G210" i="16"/>
  <c r="B211" i="16"/>
  <c r="E211" i="16"/>
  <c r="G211" i="16"/>
  <c r="B212" i="16"/>
  <c r="E212" i="16"/>
  <c r="G212" i="16"/>
  <c r="B217" i="16"/>
  <c r="E217" i="16"/>
  <c r="G217" i="16"/>
  <c r="B218" i="16"/>
  <c r="E218" i="16"/>
  <c r="G218" i="16"/>
  <c r="L505" i="16"/>
  <c r="M505" i="16"/>
  <c r="N505" i="16"/>
  <c r="B518" i="16"/>
  <c r="E518" i="16"/>
  <c r="B519" i="16"/>
  <c r="E519" i="16"/>
  <c r="K526" i="16"/>
  <c r="K527" i="16"/>
  <c r="K530" i="16"/>
  <c r="B528" i="16"/>
  <c r="E528" i="16"/>
  <c r="F528" i="16"/>
  <c r="B529" i="16"/>
  <c r="E529" i="16"/>
  <c r="F529" i="16"/>
  <c r="K535" i="16"/>
  <c r="K537" i="16"/>
  <c r="H544" i="16"/>
  <c r="B545" i="16"/>
  <c r="E545" i="16"/>
  <c r="G545" i="16"/>
  <c r="B546" i="16"/>
  <c r="E546" i="16"/>
  <c r="G546" i="16"/>
  <c r="B547" i="16"/>
  <c r="E547" i="16"/>
  <c r="G547" i="16"/>
  <c r="B548" i="16"/>
  <c r="E548" i="16"/>
  <c r="G548" i="16"/>
  <c r="B553" i="16"/>
  <c r="E553" i="16"/>
  <c r="G553" i="16"/>
  <c r="B554" i="16"/>
  <c r="E554" i="16"/>
  <c r="G554" i="16"/>
  <c r="L729" i="16"/>
  <c r="M729" i="16"/>
  <c r="N729" i="16"/>
  <c r="B741" i="16"/>
  <c r="E741" i="16"/>
  <c r="F741" i="16"/>
  <c r="B742" i="16"/>
  <c r="E742" i="16"/>
  <c r="F742" i="16"/>
  <c r="B743" i="16"/>
  <c r="E743" i="16"/>
  <c r="F743" i="16"/>
  <c r="K750" i="16"/>
  <c r="K754" i="16" s="1"/>
  <c r="K751" i="16"/>
  <c r="B752" i="16"/>
  <c r="E752" i="16"/>
  <c r="F752" i="16"/>
  <c r="B753" i="16"/>
  <c r="E753" i="16"/>
  <c r="F753" i="16"/>
  <c r="K759" i="16"/>
  <c r="K760" i="16" s="1"/>
  <c r="K761" i="16" s="1"/>
  <c r="B767" i="16"/>
  <c r="E767" i="16"/>
  <c r="G767" i="16"/>
  <c r="B768" i="16"/>
  <c r="E768" i="16"/>
  <c r="G768" i="16"/>
  <c r="B769" i="16"/>
  <c r="E769" i="16"/>
  <c r="G769" i="16"/>
  <c r="B770" i="16"/>
  <c r="E770" i="16"/>
  <c r="G770" i="16"/>
  <c r="B771" i="16"/>
  <c r="E771" i="16"/>
  <c r="G771" i="16"/>
  <c r="B772" i="16"/>
  <c r="E772" i="16"/>
  <c r="G772" i="16"/>
  <c r="B777" i="16"/>
  <c r="E777" i="16"/>
  <c r="G777" i="16"/>
  <c r="B778" i="16"/>
  <c r="E778" i="16"/>
  <c r="G778" i="16"/>
  <c r="D1" i="15"/>
  <c r="D57" i="15"/>
  <c r="L1" i="15"/>
  <c r="M1" i="15"/>
  <c r="N1" i="15"/>
  <c r="G11" i="15"/>
  <c r="B12" i="15"/>
  <c r="E12" i="15"/>
  <c r="F12" i="15"/>
  <c r="B13" i="15"/>
  <c r="E13" i="15"/>
  <c r="F13" i="15"/>
  <c r="B14" i="15"/>
  <c r="E14" i="15"/>
  <c r="F14" i="15"/>
  <c r="B15" i="15"/>
  <c r="E15" i="15"/>
  <c r="F15" i="15"/>
  <c r="B23" i="15"/>
  <c r="E23" i="15"/>
  <c r="F23" i="15"/>
  <c r="B24" i="15"/>
  <c r="E24" i="15"/>
  <c r="F24" i="15"/>
  <c r="B25" i="15"/>
  <c r="E25" i="15"/>
  <c r="F25" i="15"/>
  <c r="B35" i="15"/>
  <c r="E35" i="15"/>
  <c r="G35" i="15"/>
  <c r="B36" i="15"/>
  <c r="E36" i="15"/>
  <c r="G36" i="15"/>
  <c r="B37" i="15"/>
  <c r="E37" i="15"/>
  <c r="G37" i="15"/>
  <c r="B38" i="15"/>
  <c r="E38" i="15"/>
  <c r="G38" i="15"/>
  <c r="B39" i="15"/>
  <c r="E39" i="15"/>
  <c r="G39" i="15"/>
  <c r="B40" i="15"/>
  <c r="E40" i="15"/>
  <c r="G40" i="15"/>
  <c r="B41" i="15"/>
  <c r="E41" i="15"/>
  <c r="G41" i="15"/>
  <c r="B42" i="15"/>
  <c r="E42" i="15"/>
  <c r="G42" i="15"/>
  <c r="B43" i="15"/>
  <c r="E43" i="15"/>
  <c r="G43" i="15"/>
  <c r="B44" i="15"/>
  <c r="E44" i="15"/>
  <c r="G44" i="15"/>
  <c r="B49" i="15"/>
  <c r="E49" i="15"/>
  <c r="G49" i="15"/>
  <c r="B50" i="15"/>
  <c r="E50" i="15"/>
  <c r="G50" i="15"/>
  <c r="L57" i="15"/>
  <c r="M57" i="15"/>
  <c r="N57" i="15"/>
  <c r="G67" i="15"/>
  <c r="B68" i="15"/>
  <c r="E68" i="15"/>
  <c r="F68" i="15"/>
  <c r="H68" i="15"/>
  <c r="B69" i="15"/>
  <c r="E69" i="15"/>
  <c r="F69" i="15"/>
  <c r="H69" i="15"/>
  <c r="B70" i="15"/>
  <c r="E70" i="15"/>
  <c r="F70" i="15"/>
  <c r="H70" i="15"/>
  <c r="B71" i="15"/>
  <c r="E71" i="15"/>
  <c r="F71" i="15"/>
  <c r="H71" i="15"/>
  <c r="G77" i="15"/>
  <c r="B79" i="15"/>
  <c r="E79" i="15"/>
  <c r="F79" i="15"/>
  <c r="H79" i="15"/>
  <c r="B80" i="15"/>
  <c r="E80" i="15"/>
  <c r="F80" i="15"/>
  <c r="H80" i="15"/>
  <c r="B81" i="15"/>
  <c r="E81" i="15"/>
  <c r="F81" i="15"/>
  <c r="H81" i="15"/>
  <c r="F85" i="15"/>
  <c r="F86" i="15"/>
  <c r="F87" i="15"/>
  <c r="F88" i="15"/>
  <c r="F89" i="15"/>
  <c r="F92" i="15"/>
  <c r="B94" i="15"/>
  <c r="E94" i="15"/>
  <c r="G94" i="15"/>
  <c r="B95" i="15"/>
  <c r="E95" i="15"/>
  <c r="G95" i="15"/>
  <c r="B96" i="15"/>
  <c r="E96" i="15"/>
  <c r="G96" i="15"/>
  <c r="B97" i="15"/>
  <c r="E97" i="15"/>
  <c r="G97" i="15"/>
  <c r="B98" i="15"/>
  <c r="E98" i="15"/>
  <c r="G98" i="15"/>
  <c r="B99" i="15"/>
  <c r="E99" i="15"/>
  <c r="G99" i="15"/>
  <c r="B100" i="15"/>
  <c r="E100" i="15"/>
  <c r="G100" i="15"/>
  <c r="B105" i="15"/>
  <c r="E105" i="15"/>
  <c r="G105" i="15"/>
  <c r="H105" i="15"/>
  <c r="B106" i="15"/>
  <c r="E106" i="15"/>
  <c r="G106" i="15"/>
  <c r="H106" i="15"/>
  <c r="L1" i="14"/>
  <c r="M1" i="14"/>
  <c r="N1" i="14"/>
  <c r="B49" i="14"/>
  <c r="E49" i="14"/>
  <c r="G49" i="14"/>
  <c r="B50" i="14"/>
  <c r="E50" i="14"/>
  <c r="G50" i="14"/>
  <c r="L225" i="14"/>
  <c r="M225" i="14"/>
  <c r="N225" i="14"/>
  <c r="B273" i="14"/>
  <c r="E273" i="14"/>
  <c r="G273" i="14"/>
  <c r="B274" i="14"/>
  <c r="E274" i="14"/>
  <c r="G274" i="14"/>
  <c r="L281" i="14"/>
  <c r="M281" i="14"/>
  <c r="N281" i="14"/>
  <c r="B292" i="14"/>
  <c r="B293" i="14"/>
  <c r="E293" i="14"/>
  <c r="F293" i="14"/>
  <c r="B294" i="14"/>
  <c r="E294" i="14"/>
  <c r="F294" i="14"/>
  <c r="B295" i="14"/>
  <c r="E295" i="14"/>
  <c r="F295" i="14"/>
  <c r="B301" i="14"/>
  <c r="E301" i="14"/>
  <c r="F301" i="14"/>
  <c r="B302" i="14"/>
  <c r="E302" i="14"/>
  <c r="F302" i="14"/>
  <c r="B303" i="14"/>
  <c r="E303" i="14"/>
  <c r="F303" i="14"/>
  <c r="B304" i="14"/>
  <c r="E304" i="14"/>
  <c r="F304" i="14"/>
  <c r="B305" i="14"/>
  <c r="E305" i="14"/>
  <c r="F305" i="14"/>
  <c r="B309" i="14"/>
  <c r="E309" i="14"/>
  <c r="G309" i="14"/>
  <c r="B311" i="14"/>
  <c r="E311" i="14"/>
  <c r="G311" i="14"/>
  <c r="B312" i="14"/>
  <c r="E312" i="14"/>
  <c r="G312" i="14"/>
  <c r="B313" i="14"/>
  <c r="E313" i="14"/>
  <c r="G313" i="14"/>
  <c r="B314" i="14"/>
  <c r="E314" i="14"/>
  <c r="G314" i="14"/>
  <c r="B315" i="14"/>
  <c r="E315" i="14"/>
  <c r="G315" i="14"/>
  <c r="B316" i="14"/>
  <c r="E316" i="14"/>
  <c r="G316" i="14"/>
  <c r="B317" i="14"/>
  <c r="E317" i="14"/>
  <c r="G317" i="14"/>
  <c r="B318" i="14"/>
  <c r="E318" i="14"/>
  <c r="G318" i="14"/>
  <c r="B319" i="14"/>
  <c r="E319" i="14"/>
  <c r="G319" i="14"/>
  <c r="B320" i="14"/>
  <c r="E320" i="14"/>
  <c r="G320" i="14"/>
  <c r="B321" i="14"/>
  <c r="E321" i="14"/>
  <c r="G321" i="14"/>
  <c r="B322" i="14"/>
  <c r="E322" i="14"/>
  <c r="G322" i="14"/>
  <c r="B323" i="14"/>
  <c r="E323" i="14"/>
  <c r="G323" i="14"/>
  <c r="B324" i="14"/>
  <c r="E324" i="14"/>
  <c r="G324" i="14"/>
  <c r="B328" i="14"/>
  <c r="E328" i="14"/>
  <c r="G328" i="14"/>
  <c r="B329" i="14"/>
  <c r="E329" i="14"/>
  <c r="G329" i="14"/>
  <c r="B330" i="14"/>
  <c r="E330" i="14"/>
  <c r="G330" i="14"/>
  <c r="L449" i="14"/>
  <c r="M449" i="14"/>
  <c r="N449" i="14"/>
  <c r="B458" i="14"/>
  <c r="E458" i="14"/>
  <c r="F458" i="14"/>
  <c r="B459" i="14"/>
  <c r="E459" i="14"/>
  <c r="F459" i="14"/>
  <c r="B460" i="14"/>
  <c r="E460" i="14"/>
  <c r="F460" i="14"/>
  <c r="B461" i="14"/>
  <c r="E461" i="14"/>
  <c r="F461" i="14"/>
  <c r="B462" i="14"/>
  <c r="E462" i="14"/>
  <c r="F462" i="14"/>
  <c r="B463" i="14"/>
  <c r="E463" i="14"/>
  <c r="F463" i="14"/>
  <c r="B467" i="14"/>
  <c r="E467" i="14"/>
  <c r="F467" i="14"/>
  <c r="G467" i="14"/>
  <c r="B468" i="14"/>
  <c r="E468" i="14"/>
  <c r="F468" i="14"/>
  <c r="B469" i="14"/>
  <c r="E469" i="14"/>
  <c r="F469" i="14"/>
  <c r="B470" i="14"/>
  <c r="E470" i="14"/>
  <c r="F470" i="14"/>
  <c r="B471" i="14"/>
  <c r="E471" i="14"/>
  <c r="F471" i="14"/>
  <c r="B472" i="14"/>
  <c r="E472" i="14"/>
  <c r="F472" i="14"/>
  <c r="B473" i="14"/>
  <c r="E473" i="14"/>
  <c r="F473" i="14"/>
  <c r="B478" i="14"/>
  <c r="E478" i="14"/>
  <c r="G478" i="14"/>
  <c r="B479" i="14"/>
  <c r="E479" i="14"/>
  <c r="G479" i="14"/>
  <c r="B480" i="14"/>
  <c r="E480" i="14"/>
  <c r="G480" i="14"/>
  <c r="B481" i="14"/>
  <c r="E481" i="14"/>
  <c r="G481" i="14"/>
  <c r="B482" i="14"/>
  <c r="E482" i="14"/>
  <c r="G482" i="14"/>
  <c r="B483" i="14"/>
  <c r="E483" i="14"/>
  <c r="G483" i="14"/>
  <c r="B484" i="14"/>
  <c r="E484" i="14"/>
  <c r="G484" i="14"/>
  <c r="B485" i="14"/>
  <c r="E485" i="14"/>
  <c r="G485" i="14"/>
  <c r="B486" i="14"/>
  <c r="E486" i="14"/>
  <c r="G486" i="14"/>
  <c r="B487" i="14"/>
  <c r="E487" i="14"/>
  <c r="G487" i="14"/>
  <c r="B488" i="14"/>
  <c r="E488" i="14"/>
  <c r="G488" i="14"/>
  <c r="B489" i="14"/>
  <c r="E489" i="14"/>
  <c r="G489" i="14"/>
  <c r="B490" i="14"/>
  <c r="E490" i="14"/>
  <c r="G490" i="14"/>
  <c r="B491" i="14"/>
  <c r="E491" i="14"/>
  <c r="G491" i="14"/>
  <c r="B492" i="14"/>
  <c r="E492" i="14"/>
  <c r="G492" i="14"/>
  <c r="B496" i="14"/>
  <c r="E496" i="14"/>
  <c r="G496" i="14"/>
  <c r="B497" i="14"/>
  <c r="E497" i="14"/>
  <c r="G497" i="14"/>
  <c r="B498" i="14"/>
  <c r="E498" i="14"/>
  <c r="G498" i="14"/>
  <c r="D1" i="13"/>
  <c r="L1" i="13"/>
  <c r="M1" i="13"/>
  <c r="N1" i="13"/>
  <c r="B22" i="13"/>
  <c r="E22" i="13"/>
  <c r="F22" i="13"/>
  <c r="B23" i="13"/>
  <c r="E23" i="13"/>
  <c r="F23" i="13"/>
  <c r="B24" i="13"/>
  <c r="E24" i="13"/>
  <c r="F24" i="13"/>
  <c r="B25" i="13"/>
  <c r="E25" i="13"/>
  <c r="F25" i="13"/>
  <c r="B32" i="13"/>
  <c r="E32" i="13"/>
  <c r="G32" i="13"/>
  <c r="B33" i="13"/>
  <c r="E33" i="13"/>
  <c r="G33" i="13"/>
  <c r="B34" i="13"/>
  <c r="E34" i="13"/>
  <c r="G34" i="13"/>
  <c r="B35" i="13"/>
  <c r="E35" i="13"/>
  <c r="G35" i="13"/>
  <c r="B36" i="13"/>
  <c r="E36" i="13"/>
  <c r="G36" i="13"/>
  <c r="B37" i="13"/>
  <c r="E37" i="13"/>
  <c r="G37" i="13"/>
  <c r="B38" i="13"/>
  <c r="E38" i="13"/>
  <c r="G38" i="13"/>
  <c r="B39" i="13"/>
  <c r="E39" i="13"/>
  <c r="G39" i="13"/>
  <c r="B40" i="13"/>
  <c r="E40" i="13"/>
  <c r="G40" i="13"/>
  <c r="B41" i="13"/>
  <c r="E41" i="13"/>
  <c r="G41" i="13"/>
  <c r="B42" i="13"/>
  <c r="E42" i="13"/>
  <c r="G42" i="13"/>
  <c r="B43" i="13"/>
  <c r="E43" i="13"/>
  <c r="G43" i="13"/>
  <c r="B44" i="13"/>
  <c r="E44" i="13"/>
  <c r="G44" i="13"/>
  <c r="B48" i="13"/>
  <c r="E48" i="13"/>
  <c r="G48" i="13"/>
  <c r="B49" i="13"/>
  <c r="E49" i="13"/>
  <c r="G49" i="13"/>
  <c r="B50" i="13"/>
  <c r="E50" i="13"/>
  <c r="G50" i="13"/>
  <c r="D57" i="13"/>
  <c r="L57" i="13"/>
  <c r="M57" i="13"/>
  <c r="N57" i="13"/>
  <c r="B89" i="13"/>
  <c r="E89" i="13"/>
  <c r="G89" i="13"/>
  <c r="B90" i="13"/>
  <c r="E90" i="13"/>
  <c r="G90" i="13"/>
  <c r="B91" i="13"/>
  <c r="E91" i="13"/>
  <c r="G91" i="13"/>
  <c r="B92" i="13"/>
  <c r="E92" i="13"/>
  <c r="G92" i="13"/>
  <c r="B93" i="13"/>
  <c r="E93" i="13"/>
  <c r="G93" i="13"/>
  <c r="B94" i="13"/>
  <c r="E94" i="13"/>
  <c r="G94" i="13"/>
  <c r="B95" i="13"/>
  <c r="E95" i="13"/>
  <c r="G95" i="13"/>
  <c r="B96" i="13"/>
  <c r="E96" i="13"/>
  <c r="G96" i="13"/>
  <c r="B97" i="13"/>
  <c r="E97" i="13"/>
  <c r="G97" i="13"/>
  <c r="B98" i="13"/>
  <c r="E98" i="13"/>
  <c r="G98" i="13"/>
  <c r="B99" i="13"/>
  <c r="E99" i="13"/>
  <c r="G99" i="13"/>
  <c r="B100" i="13"/>
  <c r="E100" i="13"/>
  <c r="G100" i="13"/>
  <c r="B105" i="13"/>
  <c r="E105" i="13"/>
  <c r="G105" i="13"/>
  <c r="B106" i="13"/>
  <c r="E106" i="13"/>
  <c r="G106" i="13"/>
  <c r="L1" i="12"/>
  <c r="M1" i="12"/>
  <c r="N1" i="12"/>
  <c r="B11" i="12"/>
  <c r="E11" i="12"/>
  <c r="F11" i="12"/>
  <c r="B12" i="12"/>
  <c r="E12" i="12"/>
  <c r="F12" i="12"/>
  <c r="B13" i="12"/>
  <c r="E13" i="12"/>
  <c r="F13" i="12"/>
  <c r="B14" i="12"/>
  <c r="E14" i="12"/>
  <c r="F14" i="12"/>
  <c r="B15" i="12"/>
  <c r="E15" i="12"/>
  <c r="F15" i="12"/>
  <c r="B21" i="12"/>
  <c r="E21" i="12"/>
  <c r="F21" i="12"/>
  <c r="B22" i="12"/>
  <c r="E22" i="12"/>
  <c r="F22" i="12"/>
  <c r="B23" i="12"/>
  <c r="E23" i="12"/>
  <c r="F23" i="12"/>
  <c r="B24" i="12"/>
  <c r="E24" i="12"/>
  <c r="F24" i="12"/>
  <c r="B25" i="12"/>
  <c r="E25" i="12"/>
  <c r="F25" i="12"/>
  <c r="B29" i="12"/>
  <c r="E29" i="12"/>
  <c r="G29" i="12"/>
  <c r="B30" i="12"/>
  <c r="E30" i="12"/>
  <c r="G30" i="12"/>
  <c r="B31" i="12"/>
  <c r="E31" i="12"/>
  <c r="G31" i="12"/>
  <c r="B32" i="12"/>
  <c r="E32" i="12"/>
  <c r="G32" i="12"/>
  <c r="B33" i="12"/>
  <c r="E33" i="12"/>
  <c r="G33" i="12"/>
  <c r="B34" i="12"/>
  <c r="E34" i="12"/>
  <c r="G34" i="12"/>
  <c r="B35" i="12"/>
  <c r="E35" i="12"/>
  <c r="G35" i="12"/>
  <c r="B36" i="12"/>
  <c r="E36" i="12"/>
  <c r="G36" i="12"/>
  <c r="B37" i="12"/>
  <c r="E37" i="12"/>
  <c r="G37" i="12"/>
  <c r="B38" i="12"/>
  <c r="E38" i="12"/>
  <c r="G38" i="12"/>
  <c r="B39" i="12"/>
  <c r="E39" i="12"/>
  <c r="G39" i="12"/>
  <c r="B40" i="12"/>
  <c r="E40" i="12"/>
  <c r="G40" i="12"/>
  <c r="B41" i="12"/>
  <c r="E41" i="12"/>
  <c r="G41" i="12"/>
  <c r="B42" i="12"/>
  <c r="E42" i="12"/>
  <c r="G42" i="12"/>
  <c r="B43" i="12"/>
  <c r="E43" i="12"/>
  <c r="G43" i="12"/>
  <c r="B44" i="12"/>
  <c r="E44" i="12"/>
  <c r="G44" i="12"/>
  <c r="B48" i="12"/>
  <c r="E48" i="12"/>
  <c r="G48" i="12"/>
  <c r="B49" i="12"/>
  <c r="E49" i="12"/>
  <c r="G49" i="12"/>
  <c r="B50" i="12"/>
  <c r="E50" i="12"/>
  <c r="G50" i="12"/>
  <c r="L57" i="12"/>
  <c r="M57" i="12"/>
  <c r="N57" i="12"/>
  <c r="B68" i="12"/>
  <c r="E68" i="12"/>
  <c r="F68" i="12"/>
  <c r="B69" i="12"/>
  <c r="E69" i="12"/>
  <c r="F69" i="12"/>
  <c r="B70" i="12"/>
  <c r="E70" i="12"/>
  <c r="F70" i="12"/>
  <c r="B71" i="12"/>
  <c r="E71" i="12"/>
  <c r="F71" i="12"/>
  <c r="B77" i="12"/>
  <c r="E77" i="12"/>
  <c r="F77" i="12"/>
  <c r="B78" i="12"/>
  <c r="E78" i="12"/>
  <c r="F78" i="12"/>
  <c r="B79" i="12"/>
  <c r="E79" i="12"/>
  <c r="F79" i="12"/>
  <c r="B80" i="12"/>
  <c r="E80" i="12"/>
  <c r="F80" i="12"/>
  <c r="B81" i="12"/>
  <c r="E81" i="12"/>
  <c r="F81" i="12"/>
  <c r="B85" i="12"/>
  <c r="E85" i="12"/>
  <c r="G85" i="12"/>
  <c r="B86" i="12"/>
  <c r="E86" i="12"/>
  <c r="G86" i="12"/>
  <c r="B87" i="12"/>
  <c r="E87" i="12"/>
  <c r="G87" i="12"/>
  <c r="B88" i="12"/>
  <c r="E88" i="12"/>
  <c r="G88" i="12"/>
  <c r="B89" i="12"/>
  <c r="E89" i="12"/>
  <c r="G89" i="12"/>
  <c r="B90" i="12"/>
  <c r="E90" i="12"/>
  <c r="G90" i="12"/>
  <c r="B91" i="12"/>
  <c r="E91" i="12"/>
  <c r="G91" i="12"/>
  <c r="B92" i="12"/>
  <c r="E92" i="12"/>
  <c r="G92" i="12"/>
  <c r="B93" i="12"/>
  <c r="E93" i="12"/>
  <c r="G93" i="12"/>
  <c r="B94" i="12"/>
  <c r="E94" i="12"/>
  <c r="G94" i="12"/>
  <c r="B95" i="12"/>
  <c r="E95" i="12"/>
  <c r="G95" i="12"/>
  <c r="B96" i="12"/>
  <c r="E96" i="12"/>
  <c r="G96" i="12"/>
  <c r="B97" i="12"/>
  <c r="E97" i="12"/>
  <c r="G97" i="12"/>
  <c r="B98" i="12"/>
  <c r="E98" i="12"/>
  <c r="G98" i="12"/>
  <c r="B99" i="12"/>
  <c r="E99" i="12"/>
  <c r="G99" i="12"/>
  <c r="B100" i="12"/>
  <c r="E100" i="12"/>
  <c r="G100" i="12"/>
  <c r="B104" i="12"/>
  <c r="E104" i="12"/>
  <c r="G104" i="12"/>
  <c r="B105" i="12"/>
  <c r="E105" i="12"/>
  <c r="G105" i="12"/>
  <c r="B106" i="12"/>
  <c r="E106" i="12"/>
  <c r="G106" i="12"/>
  <c r="L1" i="11"/>
  <c r="M1" i="11"/>
  <c r="N1" i="11"/>
  <c r="B11" i="11"/>
  <c r="E11" i="11"/>
  <c r="F11" i="11"/>
  <c r="B12" i="11"/>
  <c r="E12" i="11"/>
  <c r="F12" i="11"/>
  <c r="B13" i="11"/>
  <c r="E13" i="11"/>
  <c r="F13" i="11"/>
  <c r="B14" i="11"/>
  <c r="E14" i="11"/>
  <c r="F14" i="11"/>
  <c r="B15" i="11"/>
  <c r="E15" i="11"/>
  <c r="F15" i="11"/>
  <c r="B22" i="11"/>
  <c r="E22" i="11"/>
  <c r="F22" i="11"/>
  <c r="B23" i="11"/>
  <c r="E23" i="11"/>
  <c r="F23" i="11"/>
  <c r="B24" i="11"/>
  <c r="E24" i="11"/>
  <c r="F24" i="11"/>
  <c r="B25" i="11"/>
  <c r="E25" i="11"/>
  <c r="F25" i="11"/>
  <c r="B38" i="11"/>
  <c r="E38" i="11"/>
  <c r="G38" i="11"/>
  <c r="B39" i="11"/>
  <c r="E39" i="11"/>
  <c r="G39" i="11"/>
  <c r="B40" i="11"/>
  <c r="E40" i="11"/>
  <c r="G40" i="11"/>
  <c r="B41" i="11"/>
  <c r="E41" i="11"/>
  <c r="G41" i="11"/>
  <c r="B42" i="11"/>
  <c r="E42" i="11"/>
  <c r="G42" i="11"/>
  <c r="B43" i="11"/>
  <c r="E43" i="11"/>
  <c r="G43" i="11"/>
  <c r="B44" i="11"/>
  <c r="E44" i="11"/>
  <c r="G44" i="11"/>
  <c r="B49" i="11"/>
  <c r="E49" i="11"/>
  <c r="G49" i="11"/>
  <c r="B50" i="11"/>
  <c r="E50" i="11"/>
  <c r="G50" i="11"/>
  <c r="D169" i="11"/>
  <c r="L169" i="11"/>
  <c r="M169" i="11"/>
  <c r="N169" i="11"/>
  <c r="B178" i="11"/>
  <c r="E178" i="11"/>
  <c r="F178" i="11"/>
  <c r="B179" i="11"/>
  <c r="E179" i="11"/>
  <c r="F179" i="11"/>
  <c r="B180" i="11"/>
  <c r="E180" i="11"/>
  <c r="F180" i="11"/>
  <c r="B181" i="11"/>
  <c r="E181" i="11"/>
  <c r="F181" i="11"/>
  <c r="B182" i="11"/>
  <c r="E182" i="11"/>
  <c r="F182" i="11"/>
  <c r="B183" i="11"/>
  <c r="E183" i="11"/>
  <c r="F183" i="11"/>
  <c r="B187" i="11"/>
  <c r="E187" i="11"/>
  <c r="F187" i="11"/>
  <c r="G187" i="11"/>
  <c r="B188" i="11"/>
  <c r="E188" i="11"/>
  <c r="F188" i="11"/>
  <c r="B189" i="11"/>
  <c r="E189" i="11"/>
  <c r="F189" i="11"/>
  <c r="B190" i="11"/>
  <c r="E190" i="11"/>
  <c r="F190" i="11"/>
  <c r="B191" i="11"/>
  <c r="E191" i="11"/>
  <c r="F191" i="11"/>
  <c r="B192" i="11"/>
  <c r="E192" i="11"/>
  <c r="F192" i="11"/>
  <c r="B193" i="11"/>
  <c r="E193" i="11"/>
  <c r="F193" i="11"/>
  <c r="B198" i="11"/>
  <c r="E198" i="11"/>
  <c r="G198" i="11"/>
  <c r="B199" i="11"/>
  <c r="E199" i="11"/>
  <c r="G199" i="11"/>
  <c r="B200" i="11"/>
  <c r="E200" i="11"/>
  <c r="G200" i="11"/>
  <c r="B201" i="11"/>
  <c r="E201" i="11"/>
  <c r="G201" i="11"/>
  <c r="B202" i="11"/>
  <c r="E202" i="11"/>
  <c r="G202" i="11"/>
  <c r="B203" i="11"/>
  <c r="E203" i="11"/>
  <c r="G203" i="11"/>
  <c r="B204" i="11"/>
  <c r="E204" i="11"/>
  <c r="G204" i="11"/>
  <c r="B205" i="11"/>
  <c r="E205" i="11"/>
  <c r="G205" i="11"/>
  <c r="B206" i="11"/>
  <c r="E206" i="11"/>
  <c r="G206" i="11"/>
  <c r="B207" i="11"/>
  <c r="E207" i="11"/>
  <c r="G207" i="11"/>
  <c r="B208" i="11"/>
  <c r="E208" i="11"/>
  <c r="G208" i="11"/>
  <c r="B209" i="11"/>
  <c r="E209" i="11"/>
  <c r="G209" i="11"/>
  <c r="B210" i="11"/>
  <c r="E210" i="11"/>
  <c r="G210" i="11"/>
  <c r="B211" i="11"/>
  <c r="E211" i="11"/>
  <c r="G211" i="11"/>
  <c r="B212" i="11"/>
  <c r="E212" i="11"/>
  <c r="G212" i="11"/>
  <c r="B216" i="11"/>
  <c r="E216" i="11"/>
  <c r="G216" i="11"/>
  <c r="B217" i="11"/>
  <c r="E217" i="11"/>
  <c r="G217" i="11"/>
  <c r="B218" i="11"/>
  <c r="E218" i="11"/>
  <c r="G218" i="11"/>
  <c r="D113" i="11"/>
  <c r="L113" i="11"/>
  <c r="M113" i="11"/>
  <c r="N113" i="11"/>
  <c r="B123" i="11"/>
  <c r="E123" i="11"/>
  <c r="F123" i="11"/>
  <c r="B124" i="11"/>
  <c r="E124" i="11"/>
  <c r="F124" i="11"/>
  <c r="B125" i="11"/>
  <c r="E125" i="11"/>
  <c r="F125" i="11"/>
  <c r="B126" i="11"/>
  <c r="E126" i="11"/>
  <c r="F126" i="11"/>
  <c r="B127" i="11"/>
  <c r="E127" i="11"/>
  <c r="F127" i="11"/>
  <c r="B134" i="11"/>
  <c r="E134" i="11"/>
  <c r="F134" i="11"/>
  <c r="B135" i="11"/>
  <c r="E135" i="11"/>
  <c r="F135" i="11"/>
  <c r="B136" i="11"/>
  <c r="E136" i="11"/>
  <c r="F136" i="11"/>
  <c r="B137" i="11"/>
  <c r="E137" i="11"/>
  <c r="F137" i="11"/>
  <c r="H145" i="11"/>
  <c r="B146" i="11"/>
  <c r="E146" i="11"/>
  <c r="G146" i="11"/>
  <c r="B147" i="11"/>
  <c r="E147" i="11"/>
  <c r="G147" i="11"/>
  <c r="B148" i="11"/>
  <c r="E148" i="11"/>
  <c r="G148" i="11"/>
  <c r="B149" i="11"/>
  <c r="E149" i="11"/>
  <c r="G149" i="11"/>
  <c r="B150" i="11"/>
  <c r="E150" i="11"/>
  <c r="G150" i="11"/>
  <c r="B151" i="11"/>
  <c r="E151" i="11"/>
  <c r="G151" i="11"/>
  <c r="B152" i="11"/>
  <c r="E152" i="11"/>
  <c r="G152" i="11"/>
  <c r="B153" i="11"/>
  <c r="E153" i="11"/>
  <c r="G153" i="11"/>
  <c r="B154" i="11"/>
  <c r="E154" i="11"/>
  <c r="G154" i="11"/>
  <c r="B155" i="11"/>
  <c r="E155" i="11"/>
  <c r="G155" i="11"/>
  <c r="B156" i="11"/>
  <c r="E156" i="11"/>
  <c r="G156" i="11"/>
  <c r="B161" i="11"/>
  <c r="E161" i="11"/>
  <c r="G161" i="11"/>
  <c r="B162" i="11"/>
  <c r="E162" i="11"/>
  <c r="G162" i="11"/>
  <c r="G165" i="11"/>
  <c r="G166" i="11"/>
  <c r="D57" i="11"/>
  <c r="L57" i="11"/>
  <c r="M57" i="11"/>
  <c r="N57" i="11"/>
  <c r="B67" i="11"/>
  <c r="E67" i="11"/>
  <c r="F67" i="11"/>
  <c r="B68" i="11"/>
  <c r="E68" i="11"/>
  <c r="F68" i="11"/>
  <c r="B69" i="11"/>
  <c r="E69" i="11"/>
  <c r="F69" i="11"/>
  <c r="B70" i="11"/>
  <c r="E70" i="11"/>
  <c r="F70" i="11"/>
  <c r="B71" i="11"/>
  <c r="E71" i="11"/>
  <c r="F71" i="11"/>
  <c r="B78" i="11"/>
  <c r="E78" i="11"/>
  <c r="F78" i="11"/>
  <c r="B79" i="11"/>
  <c r="E79" i="11"/>
  <c r="F79" i="11"/>
  <c r="B80" i="11"/>
  <c r="E80" i="11"/>
  <c r="F80" i="11"/>
  <c r="B81" i="11"/>
  <c r="E81" i="11"/>
  <c r="F81" i="11"/>
  <c r="H96" i="11"/>
  <c r="B97" i="11"/>
  <c r="E97" i="11"/>
  <c r="G97" i="11"/>
  <c r="B98" i="11"/>
  <c r="E98" i="11"/>
  <c r="G98" i="11"/>
  <c r="B99" i="11"/>
  <c r="E99" i="11"/>
  <c r="G99" i="11"/>
  <c r="B100" i="11"/>
  <c r="E100" i="11"/>
  <c r="G100" i="11"/>
  <c r="B105" i="11"/>
  <c r="E105" i="11"/>
  <c r="G105" i="11"/>
  <c r="B106" i="11"/>
  <c r="E106" i="11"/>
  <c r="G106" i="11"/>
  <c r="G109" i="11"/>
  <c r="G110" i="11"/>
  <c r="E12" i="10"/>
  <c r="C12" i="10"/>
  <c r="B9" i="10"/>
  <c r="A4" i="7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B1139" i="19" s="1"/>
  <c r="E79" i="26"/>
  <c r="F79" i="26"/>
  <c r="D2" i="6"/>
  <c r="A3" i="6"/>
  <c r="A4" i="6" s="1"/>
  <c r="A5" i="6" s="1"/>
  <c r="A6" i="6" s="1"/>
  <c r="A7" i="6" s="1"/>
  <c r="A8" i="6"/>
  <c r="A9" i="6" s="1"/>
  <c r="A10" i="6" s="1"/>
  <c r="A11" i="6" s="1"/>
  <c r="A12" i="6" s="1"/>
  <c r="A13" i="6" s="1"/>
  <c r="A14" i="6" s="1"/>
  <c r="A15" i="6" s="1"/>
  <c r="A16" i="6" s="1"/>
  <c r="E572" i="29" s="1"/>
  <c r="F572" i="29" s="1"/>
  <c r="H572" i="29" s="1"/>
  <c r="D4" i="6"/>
  <c r="D5" i="6"/>
  <c r="D9" i="6"/>
  <c r="D11" i="6"/>
  <c r="D12" i="6"/>
  <c r="D3" i="5"/>
  <c r="D6" i="5"/>
  <c r="D7" i="5"/>
  <c r="A11" i="5"/>
  <c r="A12" i="5"/>
  <c r="A13" i="5" s="1"/>
  <c r="D21" i="5"/>
  <c r="D22" i="5"/>
  <c r="D23" i="5"/>
  <c r="D31" i="5"/>
  <c r="D33" i="5"/>
  <c r="A36" i="5"/>
  <c r="A37" i="5" s="1"/>
  <c r="A38" i="5" s="1"/>
  <c r="A39" i="5" s="1"/>
  <c r="A40" i="5" s="1"/>
  <c r="A41" i="5" s="1"/>
  <c r="A42" i="5" s="1"/>
  <c r="A45" i="5"/>
  <c r="A46" i="5" s="1"/>
  <c r="A47" i="5" s="1"/>
  <c r="A48" i="5" s="1"/>
  <c r="A49" i="5" s="1"/>
  <c r="A50" i="5" s="1"/>
  <c r="A51" i="5" s="1"/>
  <c r="A52" i="5" s="1"/>
  <c r="A53" i="5" s="1"/>
  <c r="A54" i="5" s="1"/>
  <c r="A55" i="5"/>
  <c r="A56" i="5" s="1"/>
  <c r="A57" i="5" s="1"/>
  <c r="A58" i="5" s="1"/>
  <c r="A59" i="5" s="1"/>
  <c r="A60" i="5" s="1"/>
  <c r="A61" i="5" s="1"/>
  <c r="A62" i="5" s="1"/>
  <c r="A63" i="5" s="1"/>
  <c r="D62" i="5"/>
  <c r="D63" i="5"/>
  <c r="A66" i="5"/>
  <c r="A67" i="5"/>
  <c r="A68" i="5" s="1"/>
  <c r="A69" i="5" s="1"/>
  <c r="A70" i="5" s="1"/>
  <c r="A71" i="5" s="1"/>
  <c r="A72" i="5" s="1"/>
  <c r="A79" i="5"/>
  <c r="A80" i="5" s="1"/>
  <c r="A81" i="5" s="1"/>
  <c r="A82" i="5" s="1"/>
  <c r="A83" i="5" s="1"/>
  <c r="A84" i="5" s="1"/>
  <c r="A85" i="5" s="1"/>
  <c r="A86" i="5" s="1"/>
  <c r="A87" i="5" s="1"/>
  <c r="D103" i="5"/>
  <c r="D138" i="5"/>
  <c r="E138" i="5"/>
  <c r="E139" i="5" s="1"/>
  <c r="D144" i="5"/>
  <c r="D145" i="5"/>
  <c r="D147" i="5"/>
  <c r="D150" i="5"/>
  <c r="D152" i="5"/>
  <c r="D153" i="5"/>
  <c r="D154" i="5"/>
  <c r="D155" i="5"/>
  <c r="D157" i="5"/>
  <c r="D158" i="5"/>
  <c r="D159" i="5"/>
  <c r="D161" i="5"/>
  <c r="D162" i="5"/>
  <c r="D163" i="5"/>
  <c r="D165" i="5"/>
  <c r="A166" i="5"/>
  <c r="A167" i="5" s="1"/>
  <c r="A168" i="5" s="1"/>
  <c r="A169" i="5" s="1"/>
  <c r="A170" i="5"/>
  <c r="A171" i="5"/>
  <c r="A172" i="5"/>
  <c r="A173" i="5" s="1"/>
  <c r="A174" i="5" s="1"/>
  <c r="A175" i="5" s="1"/>
  <c r="A176" i="5" s="1"/>
  <c r="A177" i="5" s="1"/>
  <c r="A178" i="5" s="1"/>
  <c r="D166" i="5"/>
  <c r="D193" i="5"/>
  <c r="D197" i="5"/>
  <c r="D198" i="5"/>
  <c r="D199" i="5"/>
  <c r="D200" i="5"/>
  <c r="D201" i="5"/>
  <c r="E201" i="5"/>
  <c r="D202" i="5"/>
  <c r="D203" i="5"/>
  <c r="D204" i="5"/>
  <c r="D205" i="5"/>
  <c r="D206" i="5"/>
  <c r="D211" i="5"/>
  <c r="D231" i="5"/>
  <c r="D232" i="5"/>
  <c r="D254" i="5"/>
  <c r="D255" i="5"/>
  <c r="A261" i="5"/>
  <c r="A262" i="5"/>
  <c r="A263" i="5" s="1"/>
  <c r="A264" i="5" s="1"/>
  <c r="A265" i="5" s="1"/>
  <c r="A266" i="5" s="1"/>
  <c r="A267" i="5" s="1"/>
  <c r="A268" i="5" s="1"/>
  <c r="A269" i="5" s="1"/>
  <c r="A270" i="5" s="1"/>
  <c r="A271" i="5" s="1"/>
  <c r="A272" i="5" s="1"/>
  <c r="A273" i="5" s="1"/>
  <c r="A274" i="5" s="1"/>
  <c r="A275" i="5" s="1"/>
  <c r="A276" i="5" s="1"/>
  <c r="A277" i="5" s="1"/>
  <c r="A278" i="5" s="1"/>
  <c r="A279" i="5" s="1"/>
  <c r="A280" i="5" s="1"/>
  <c r="A281" i="5" s="1"/>
  <c r="A282" i="5" s="1"/>
  <c r="A283" i="5" s="1"/>
  <c r="D285" i="5"/>
  <c r="A286" i="5"/>
  <c r="A287" i="5" s="1"/>
  <c r="A288" i="5" s="1"/>
  <c r="A289" i="5" s="1"/>
  <c r="A290" i="5" s="1"/>
  <c r="A291" i="5" s="1"/>
  <c r="A292" i="5" s="1"/>
  <c r="A293" i="5" s="1"/>
  <c r="A294" i="5" s="1"/>
  <c r="A295" i="5" s="1"/>
  <c r="A296" i="5" s="1"/>
  <c r="A297" i="5" s="1"/>
  <c r="A298" i="5" s="1"/>
  <c r="A299" i="5" s="1"/>
  <c r="A300" i="5" s="1"/>
  <c r="A301" i="5" s="1"/>
  <c r="A302" i="5" s="1"/>
  <c r="A303" i="5" s="1"/>
  <c r="A304" i="5" s="1"/>
  <c r="A305" i="5" s="1"/>
  <c r="A306" i="5" s="1"/>
  <c r="A307" i="5" s="1"/>
  <c r="A308" i="5" s="1"/>
  <c r="A309" i="5" s="1"/>
  <c r="A310" i="5" s="1"/>
  <c r="A311" i="5" s="1"/>
  <c r="A312" i="5" s="1"/>
  <c r="A313" i="5" s="1"/>
  <c r="A314" i="5" s="1"/>
  <c r="A315" i="5" s="1"/>
  <c r="A316" i="5" s="1"/>
  <c r="A317" i="5" s="1"/>
  <c r="A318" i="5" s="1"/>
  <c r="A319" i="5" s="1"/>
  <c r="A320" i="5" s="1"/>
  <c r="A321" i="5" s="1"/>
  <c r="D286" i="5"/>
  <c r="D287" i="5"/>
  <c r="A324" i="5"/>
  <c r="A325" i="5" s="1"/>
  <c r="A326" i="5" s="1"/>
  <c r="A327" i="5" s="1"/>
  <c r="A328" i="5" s="1"/>
  <c r="A329" i="5" s="1"/>
  <c r="A330" i="5" s="1"/>
  <c r="A331" i="5" s="1"/>
  <c r="A332" i="5" s="1"/>
  <c r="A333" i="5" s="1"/>
  <c r="A334" i="5" s="1"/>
  <c r="A335" i="5" s="1"/>
  <c r="A336" i="5" s="1"/>
  <c r="A337" i="5" s="1"/>
  <c r="A338" i="5" s="1"/>
  <c r="A339" i="5"/>
  <c r="A340" i="5"/>
  <c r="A341" i="5" s="1"/>
  <c r="A342" i="5" s="1"/>
  <c r="A343" i="5" s="1"/>
  <c r="A344" i="5" s="1"/>
  <c r="A345" i="5" s="1"/>
  <c r="A346" i="5" s="1"/>
  <c r="A347" i="5" s="1"/>
  <c r="A348" i="5" s="1"/>
  <c r="A349" i="5" s="1"/>
  <c r="A350" i="5" s="1"/>
  <c r="A351" i="5" s="1"/>
  <c r="A352" i="5" s="1"/>
  <c r="D324" i="5"/>
  <c r="D328" i="5"/>
  <c r="D329" i="5"/>
  <c r="D330" i="5"/>
  <c r="D331" i="5"/>
  <c r="B261" i="26"/>
  <c r="E261" i="26"/>
  <c r="G261" i="26"/>
  <c r="B12" i="25"/>
  <c r="G31" i="13"/>
  <c r="E31" i="13"/>
  <c r="B31" i="13"/>
  <c r="G30" i="13"/>
  <c r="E30" i="13"/>
  <c r="B30" i="13"/>
  <c r="G29" i="13"/>
  <c r="E29" i="13"/>
  <c r="B29" i="13"/>
  <c r="G109" i="15"/>
  <c r="G766" i="16"/>
  <c r="E766" i="16"/>
  <c r="B766" i="16"/>
  <c r="G765" i="16"/>
  <c r="E765" i="16"/>
  <c r="B765" i="16"/>
  <c r="G764" i="16"/>
  <c r="E764" i="16"/>
  <c r="B764" i="16"/>
  <c r="G763" i="16"/>
  <c r="E763" i="16"/>
  <c r="B763" i="16"/>
  <c r="G762" i="16"/>
  <c r="E762" i="16"/>
  <c r="B762" i="16"/>
  <c r="G761" i="16"/>
  <c r="E761" i="16"/>
  <c r="B761" i="16"/>
  <c r="G760" i="16"/>
  <c r="E760" i="16"/>
  <c r="B760" i="16"/>
  <c r="G759" i="16"/>
  <c r="E759" i="16"/>
  <c r="B759" i="16"/>
  <c r="E750" i="16"/>
  <c r="F750" i="16"/>
  <c r="B750" i="16"/>
  <c r="E749" i="16"/>
  <c r="F749" i="16"/>
  <c r="B749" i="16"/>
  <c r="E740" i="16"/>
  <c r="F740" i="16"/>
  <c r="B740" i="16"/>
  <c r="E739" i="16"/>
  <c r="F739" i="16"/>
  <c r="B739" i="16"/>
  <c r="H543" i="16"/>
  <c r="H542" i="16"/>
  <c r="H541" i="16"/>
  <c r="H540" i="16"/>
  <c r="H539" i="16"/>
  <c r="H538" i="16"/>
  <c r="H537" i="16"/>
  <c r="H535" i="16"/>
  <c r="H534" i="16"/>
  <c r="H533" i="16"/>
  <c r="E527" i="16"/>
  <c r="F527" i="16"/>
  <c r="B527" i="16"/>
  <c r="E515" i="16"/>
  <c r="B515" i="16"/>
  <c r="E191" i="16"/>
  <c r="F191" i="16"/>
  <c r="B191" i="16"/>
  <c r="G706" i="16"/>
  <c r="E706" i="16"/>
  <c r="B706" i="16"/>
  <c r="G705" i="16"/>
  <c r="E705" i="16"/>
  <c r="B705" i="16"/>
  <c r="E695" i="16"/>
  <c r="F695" i="16"/>
  <c r="B695" i="16"/>
  <c r="E135" i="16"/>
  <c r="F135" i="16"/>
  <c r="B135" i="16"/>
  <c r="E123" i="16"/>
  <c r="F123" i="16"/>
  <c r="B123" i="16"/>
  <c r="G37" i="16"/>
  <c r="E37" i="16"/>
  <c r="B37" i="16"/>
  <c r="G36" i="16"/>
  <c r="E36" i="16"/>
  <c r="B36" i="16"/>
  <c r="G35" i="16"/>
  <c r="E35" i="16"/>
  <c r="B35" i="16"/>
  <c r="G33" i="16"/>
  <c r="E33" i="16"/>
  <c r="B33" i="16"/>
  <c r="E23" i="16"/>
  <c r="F23" i="16"/>
  <c r="B23" i="16"/>
  <c r="E11" i="16"/>
  <c r="F11" i="16"/>
  <c r="B11" i="16"/>
  <c r="E1776" i="19"/>
  <c r="B1776" i="19"/>
  <c r="G1939" i="19"/>
  <c r="E1939" i="19"/>
  <c r="B1939" i="19"/>
  <c r="G1938" i="19"/>
  <c r="E1938" i="19"/>
  <c r="B1938" i="19"/>
  <c r="E328" i="21"/>
  <c r="B328" i="21"/>
  <c r="G311" i="21"/>
  <c r="E311" i="21"/>
  <c r="B311" i="21"/>
  <c r="G328" i="21"/>
  <c r="E291" i="21"/>
  <c r="F291" i="21"/>
  <c r="B291" i="21"/>
  <c r="O1" i="28"/>
  <c r="B111" i="10"/>
  <c r="H88" i="26"/>
  <c r="H90" i="26"/>
  <c r="H91" i="26"/>
  <c r="H92" i="26"/>
  <c r="E2047" i="19"/>
  <c r="B2047" i="19"/>
  <c r="E2046" i="19"/>
  <c r="B2046" i="19"/>
  <c r="B599" i="16"/>
  <c r="H599" i="16"/>
  <c r="E12" i="25"/>
  <c r="F12" i="25"/>
  <c r="G445" i="26"/>
  <c r="B1523" i="19"/>
  <c r="B516" i="25"/>
  <c r="E516" i="25"/>
  <c r="F516" i="25"/>
  <c r="B526" i="25"/>
  <c r="E526" i="25"/>
  <c r="F526" i="25"/>
  <c r="E78" i="26"/>
  <c r="F78" i="26"/>
  <c r="E151" i="25"/>
  <c r="B151" i="25"/>
  <c r="E150" i="25"/>
  <c r="B150" i="25"/>
  <c r="E149" i="25"/>
  <c r="B149" i="25"/>
  <c r="G149" i="25"/>
  <c r="G150" i="25"/>
  <c r="G151" i="25"/>
  <c r="G109" i="16"/>
  <c r="B13" i="13"/>
  <c r="B12" i="13"/>
  <c r="G2046" i="19"/>
  <c r="G2047" i="19"/>
  <c r="B1579" i="19"/>
  <c r="E104" i="35"/>
  <c r="B104" i="35"/>
  <c r="G104" i="35"/>
  <c r="G1776" i="19"/>
  <c r="B1936" i="19"/>
  <c r="E1936" i="19"/>
  <c r="B1937" i="19"/>
  <c r="E1937" i="19"/>
  <c r="E368" i="21"/>
  <c r="B368" i="21"/>
  <c r="E21" i="13"/>
  <c r="F21" i="13"/>
  <c r="H21" i="13"/>
  <c r="E135" i="26"/>
  <c r="F135" i="26"/>
  <c r="H135" i="26"/>
  <c r="B135" i="26"/>
  <c r="B21" i="13"/>
  <c r="G1936" i="19"/>
  <c r="G1937" i="19"/>
  <c r="G368" i="21"/>
  <c r="H368" i="21"/>
  <c r="E12" i="13"/>
  <c r="F12" i="13"/>
  <c r="H12" i="13"/>
  <c r="G221" i="51"/>
  <c r="G277" i="51"/>
  <c r="G445" i="51"/>
  <c r="G53" i="29"/>
  <c r="G557" i="29"/>
  <c r="G389" i="14"/>
  <c r="G333" i="29"/>
  <c r="B291" i="19"/>
  <c r="B347" i="19"/>
  <c r="E200" i="53"/>
  <c r="E144" i="53"/>
  <c r="E88" i="53"/>
  <c r="E32" i="53"/>
  <c r="G781" i="25"/>
  <c r="G725" i="25"/>
  <c r="G669" i="25"/>
  <c r="G221" i="25"/>
  <c r="G165" i="25"/>
  <c r="G109" i="25"/>
  <c r="H1691" i="19"/>
  <c r="E235" i="19"/>
  <c r="F235" i="19"/>
  <c r="H235" i="19"/>
  <c r="E347" i="19"/>
  <c r="F347" i="19"/>
  <c r="E1523" i="19"/>
  <c r="F1523" i="19"/>
  <c r="H1523" i="19"/>
  <c r="E1747" i="19"/>
  <c r="F1747" i="19"/>
  <c r="F703" i="25"/>
  <c r="G2013" i="19"/>
  <c r="G2125" i="19"/>
  <c r="G1789" i="19"/>
  <c r="G1677" i="19"/>
  <c r="G1565" i="19"/>
  <c r="G1621" i="19"/>
  <c r="G1453" i="19"/>
  <c r="G1005" i="19"/>
  <c r="G949" i="19"/>
  <c r="G893" i="19"/>
  <c r="E1922" i="49"/>
  <c r="F1922" i="49" s="1"/>
  <c r="H1922" i="49" s="1"/>
  <c r="H1920" i="49" s="1"/>
  <c r="E2062" i="49"/>
  <c r="F2062" i="49" s="1"/>
  <c r="H2062" i="49" s="1"/>
  <c r="H2060" i="49" s="1"/>
  <c r="E2156" i="49"/>
  <c r="F2156" i="49"/>
  <c r="H2156" i="49"/>
  <c r="H2154" i="49"/>
  <c r="E2015" i="49"/>
  <c r="F2015" i="49"/>
  <c r="E310" i="49"/>
  <c r="F310" i="49"/>
  <c r="H310" i="49" s="1"/>
  <c r="H308" i="49" s="1"/>
  <c r="E394" i="49"/>
  <c r="F394" i="49" s="1"/>
  <c r="H394" i="49" s="1"/>
  <c r="E434" i="49"/>
  <c r="F434" i="49" s="1"/>
  <c r="H434" i="49" s="1"/>
  <c r="H432" i="49" s="1"/>
  <c r="E2060" i="49"/>
  <c r="F2060" i="49"/>
  <c r="E1872" i="49"/>
  <c r="F1872" i="49"/>
  <c r="E2013" i="49"/>
  <c r="F2013" i="49"/>
  <c r="E2154" i="49"/>
  <c r="F2154" i="49"/>
  <c r="B200" i="53"/>
  <c r="B144" i="53"/>
  <c r="B88" i="53"/>
  <c r="B32" i="53"/>
  <c r="G200" i="53"/>
  <c r="H200" i="53"/>
  <c r="G144" i="53"/>
  <c r="H144" i="53"/>
  <c r="G88" i="53"/>
  <c r="H88" i="53"/>
  <c r="G32" i="53"/>
  <c r="H32" i="53"/>
  <c r="H888" i="51"/>
  <c r="H891" i="51"/>
  <c r="B1747" i="19"/>
  <c r="B1467" i="19"/>
  <c r="B235" i="19"/>
  <c r="E291" i="19"/>
  <c r="F291" i="19"/>
  <c r="E1579" i="19"/>
  <c r="F1579" i="19"/>
  <c r="H1579" i="19"/>
  <c r="E1467" i="19"/>
  <c r="F1467" i="19"/>
  <c r="H1467" i="19"/>
  <c r="A203" i="5"/>
  <c r="A204" i="5" s="1"/>
  <c r="A205" i="5" s="1"/>
  <c r="A206" i="5" s="1"/>
  <c r="A207" i="5" s="1"/>
  <c r="A208" i="5" s="1"/>
  <c r="A209" i="5" s="1"/>
  <c r="A210" i="5" s="1"/>
  <c r="A211" i="5" s="1"/>
  <c r="A212" i="5" s="1"/>
  <c r="A213" i="5" s="1"/>
  <c r="A214" i="5" s="1"/>
  <c r="A215" i="5" s="1"/>
  <c r="A216" i="5" s="1"/>
  <c r="A217" i="5" s="1"/>
  <c r="A218" i="5" s="1"/>
  <c r="A219" i="5" s="1"/>
  <c r="A220" i="5" s="1"/>
  <c r="A221" i="5" s="1"/>
  <c r="A222" i="5" s="1"/>
  <c r="A223" i="5" s="1"/>
  <c r="A224" i="5" s="1"/>
  <c r="A225" i="5" s="1"/>
  <c r="A226" i="5" s="1"/>
  <c r="F421" i="25"/>
  <c r="F597" i="19"/>
  <c r="F596" i="19"/>
  <c r="G545" i="41"/>
  <c r="G114" i="46"/>
  <c r="G311" i="41"/>
  <c r="G324" i="41" s="1"/>
  <c r="H1492" i="49"/>
  <c r="H1674" i="49"/>
  <c r="K642" i="16"/>
  <c r="G300" i="42"/>
  <c r="G495" i="42"/>
  <c r="F484" i="23"/>
  <c r="H484" i="23" s="1"/>
  <c r="D1401" i="19"/>
  <c r="D1737" i="19"/>
  <c r="G579" i="10"/>
  <c r="H951" i="49"/>
  <c r="H1502" i="49"/>
  <c r="H2644" i="49"/>
  <c r="H2658" i="49"/>
  <c r="G339" i="10"/>
  <c r="C339" i="10" s="1"/>
  <c r="G201" i="47"/>
  <c r="H127" i="49"/>
  <c r="H160" i="49"/>
  <c r="H214" i="49"/>
  <c r="H1080" i="49"/>
  <c r="H1087" i="49"/>
  <c r="H1545" i="49"/>
  <c r="H1631" i="49"/>
  <c r="H1750" i="49"/>
  <c r="F656" i="51"/>
  <c r="K638" i="51"/>
  <c r="K642" i="51" s="1"/>
  <c r="K646" i="51"/>
  <c r="F649" i="51" s="1"/>
  <c r="F652" i="51" s="1"/>
  <c r="F653" i="51"/>
  <c r="F33" i="18"/>
  <c r="F32" i="18"/>
  <c r="G410" i="42"/>
  <c r="G430" i="42" s="1"/>
  <c r="H540" i="49"/>
  <c r="H994" i="49"/>
  <c r="F371" i="19"/>
  <c r="H372" i="25"/>
  <c r="G1733" i="19"/>
  <c r="F850" i="51"/>
  <c r="H850" i="51" s="1"/>
  <c r="B123" i="19"/>
  <c r="E11" i="19"/>
  <c r="F11" i="19"/>
  <c r="H11" i="19"/>
  <c r="B11" i="19"/>
  <c r="E123" i="19"/>
  <c r="F123" i="19"/>
  <c r="H123" i="19"/>
  <c r="F149" i="26"/>
  <c r="D1849" i="34"/>
  <c r="D1457" i="34"/>
  <c r="D169" i="34"/>
  <c r="D953" i="34"/>
  <c r="D561" i="34"/>
  <c r="D1513" i="34"/>
  <c r="D841" i="34"/>
  <c r="D1289" i="34"/>
  <c r="F313" i="26"/>
  <c r="H1747" i="19"/>
  <c r="G125" i="10"/>
  <c r="E125" i="10"/>
  <c r="G124" i="10"/>
  <c r="E124" i="10" s="1"/>
  <c r="G303" i="10"/>
  <c r="C303" i="10"/>
  <c r="G300" i="10"/>
  <c r="C300" i="10"/>
  <c r="B297" i="10" s="1"/>
  <c r="G242" i="10"/>
  <c r="C242" i="10" s="1"/>
  <c r="B240" i="10" s="1"/>
  <c r="G177" i="10"/>
  <c r="C177" i="10" s="1"/>
  <c r="G115" i="10"/>
  <c r="E115" i="10"/>
  <c r="G116" i="10"/>
  <c r="E116" i="10" s="1"/>
  <c r="G244" i="10"/>
  <c r="C244" i="10" s="1"/>
  <c r="G126" i="10"/>
  <c r="E126" i="10"/>
  <c r="G154" i="10"/>
  <c r="C154" i="10" s="1"/>
  <c r="G123" i="10"/>
  <c r="E123" i="10" s="1"/>
  <c r="G141" i="10"/>
  <c r="C141" i="10" s="1"/>
  <c r="G414" i="26"/>
  <c r="D281" i="34"/>
  <c r="D1569" i="19"/>
  <c r="H350" i="49"/>
  <c r="F1605" i="19"/>
  <c r="H347" i="19"/>
  <c r="F86" i="19"/>
  <c r="H291" i="19"/>
  <c r="F1608" i="19"/>
  <c r="F427" i="19"/>
  <c r="F926" i="19"/>
  <c r="F1603" i="19"/>
  <c r="F1716" i="19"/>
  <c r="F1150" i="19"/>
  <c r="F314" i="25"/>
  <c r="L309" i="25"/>
  <c r="J309" i="25"/>
  <c r="F871" i="19"/>
  <c r="H365" i="21"/>
  <c r="G466" i="10"/>
  <c r="D466" i="10"/>
  <c r="F707" i="51"/>
  <c r="F708" i="51"/>
  <c r="G684" i="51"/>
  <c r="D113" i="51"/>
  <c r="D57" i="51"/>
  <c r="F596" i="51"/>
  <c r="D785" i="51"/>
  <c r="D449" i="51"/>
  <c r="D561" i="51"/>
  <c r="F594" i="51"/>
  <c r="D393" i="51"/>
  <c r="D617" i="51"/>
  <c r="D729" i="51"/>
  <c r="D281" i="51"/>
  <c r="E156" i="9"/>
  <c r="F156" i="9"/>
  <c r="F34" i="51"/>
  <c r="F35" i="51"/>
  <c r="D1625" i="34"/>
  <c r="D449" i="34"/>
  <c r="D1905" i="34"/>
  <c r="D897" i="34"/>
  <c r="D393" i="34"/>
  <c r="D1009" i="34"/>
  <c r="D1065" i="34"/>
  <c r="D113" i="34"/>
  <c r="D1961" i="34"/>
  <c r="D1177" i="34"/>
  <c r="D2017" i="34"/>
  <c r="D785" i="34"/>
  <c r="D617" i="34"/>
  <c r="D1345" i="34"/>
  <c r="D1401" i="34"/>
  <c r="D2073" i="34"/>
  <c r="D225" i="34"/>
  <c r="D505" i="34"/>
  <c r="D729" i="34"/>
  <c r="D57" i="34"/>
  <c r="F708" i="19"/>
  <c r="F540" i="19"/>
  <c r="F541" i="19"/>
  <c r="F428" i="51"/>
  <c r="F427" i="51"/>
  <c r="D113" i="35"/>
  <c r="D169" i="35"/>
  <c r="D57" i="35"/>
  <c r="F537" i="26"/>
  <c r="F146" i="51"/>
  <c r="F147" i="51"/>
  <c r="D1681" i="34"/>
  <c r="D337" i="34"/>
  <c r="D1737" i="34"/>
  <c r="D1569" i="34"/>
  <c r="F426" i="51"/>
  <c r="D617" i="29"/>
  <c r="D225" i="26"/>
  <c r="D337" i="26"/>
  <c r="F1547" i="19"/>
  <c r="F1549" i="19"/>
  <c r="F705" i="19"/>
  <c r="D1233" i="34"/>
  <c r="D673" i="34"/>
  <c r="D1793" i="34"/>
  <c r="D1121" i="34"/>
  <c r="D393" i="28"/>
  <c r="G358" i="25"/>
  <c r="G1803" i="34"/>
  <c r="G1804" i="34" s="1"/>
  <c r="F371" i="51"/>
  <c r="F36" i="51"/>
  <c r="F316" i="51"/>
  <c r="F90" i="51"/>
  <c r="F92" i="51"/>
  <c r="F1830" i="19"/>
  <c r="F1826" i="19"/>
  <c r="F1827" i="19"/>
  <c r="D673" i="19"/>
  <c r="D785" i="19"/>
  <c r="D1121" i="19"/>
  <c r="D841" i="19"/>
  <c r="D1065" i="19"/>
  <c r="D1793" i="19"/>
  <c r="D729" i="19"/>
  <c r="D1625" i="19"/>
  <c r="D1681" i="19"/>
  <c r="D1233" i="19"/>
  <c r="D1009" i="19"/>
  <c r="D393" i="26"/>
  <c r="L1824" i="19"/>
  <c r="F1770" i="19"/>
  <c r="D505" i="32"/>
  <c r="D57" i="32"/>
  <c r="F758" i="19"/>
  <c r="F759" i="19"/>
  <c r="G637" i="29"/>
  <c r="D337" i="14"/>
  <c r="G1869" i="34"/>
  <c r="G1870" i="34" s="1"/>
  <c r="G1871" i="34"/>
  <c r="G1859" i="34"/>
  <c r="G1860" i="34" s="1"/>
  <c r="D281" i="28"/>
  <c r="F260" i="51"/>
  <c r="F258" i="26"/>
  <c r="K303" i="19"/>
  <c r="H191" i="17"/>
  <c r="H190" i="17"/>
  <c r="H201" i="17"/>
  <c r="H199" i="17"/>
  <c r="K135" i="16"/>
  <c r="F652" i="29"/>
  <c r="F653" i="29"/>
  <c r="F651" i="29"/>
  <c r="K79" i="16"/>
  <c r="F313" i="19"/>
  <c r="F260" i="19"/>
  <c r="F261" i="19"/>
  <c r="F1881" i="34"/>
  <c r="F315" i="51"/>
  <c r="F314" i="51"/>
  <c r="F482" i="51"/>
  <c r="D897" i="51"/>
  <c r="D225" i="51"/>
  <c r="D1849" i="19"/>
  <c r="E129" i="10"/>
  <c r="B128" i="10" s="1"/>
  <c r="G39" i="10"/>
  <c r="C39" i="10" s="1"/>
  <c r="H986" i="51"/>
  <c r="H987" i="51"/>
  <c r="H988" i="51"/>
  <c r="K974" i="51"/>
  <c r="G964" i="51"/>
  <c r="H989" i="51"/>
  <c r="G68" i="10"/>
  <c r="G63" i="10"/>
  <c r="C63" i="10" s="1"/>
  <c r="C33" i="10"/>
  <c r="F538" i="25"/>
  <c r="D505" i="16"/>
  <c r="F1831" i="19"/>
  <c r="G694" i="25"/>
  <c r="G695" i="25"/>
  <c r="F1825" i="34"/>
  <c r="F597" i="29"/>
  <c r="F595" i="29"/>
  <c r="F537" i="19"/>
  <c r="F1941" i="19"/>
  <c r="F1943" i="19"/>
  <c r="F1942" i="19"/>
  <c r="F90" i="15"/>
  <c r="F91" i="15"/>
  <c r="D281" i="14"/>
  <c r="D113" i="14"/>
  <c r="D449" i="14"/>
  <c r="D57" i="14"/>
  <c r="D225" i="14"/>
  <c r="G460" i="51"/>
  <c r="D225" i="30"/>
  <c r="D617" i="30"/>
  <c r="D449" i="30"/>
  <c r="D337" i="30"/>
  <c r="F257" i="26"/>
  <c r="F256" i="26"/>
  <c r="F147" i="26"/>
  <c r="F148" i="26"/>
  <c r="F2108" i="19"/>
  <c r="F2107" i="19"/>
  <c r="F2106" i="19"/>
  <c r="H1752" i="34"/>
  <c r="H1090" i="34"/>
  <c r="H800" i="34"/>
  <c r="G78" i="18"/>
  <c r="G2093" i="34"/>
  <c r="G2094" i="34" s="1"/>
  <c r="G2095" i="34" s="1"/>
  <c r="G2083" i="34"/>
  <c r="G2084" i="34" s="1"/>
  <c r="F317" i="19"/>
  <c r="F315" i="19"/>
  <c r="F316" i="19"/>
  <c r="F875" i="51"/>
  <c r="F876" i="51"/>
  <c r="F874" i="51"/>
  <c r="F90" i="18"/>
  <c r="F89" i="18"/>
  <c r="F764" i="51"/>
  <c r="F763" i="51"/>
  <c r="F762" i="51"/>
  <c r="F1551" i="19"/>
  <c r="F1552" i="19"/>
  <c r="H1528" i="34"/>
  <c r="H1248" i="34"/>
  <c r="H912" i="34"/>
  <c r="G1915" i="34"/>
  <c r="G1916" i="34"/>
  <c r="G1925" i="34"/>
  <c r="D225" i="29"/>
  <c r="D393" i="29"/>
  <c r="H1258" i="34"/>
  <c r="H1146" i="34"/>
  <c r="H1080" i="34"/>
  <c r="F33" i="17"/>
  <c r="F705" i="25"/>
  <c r="D505" i="28"/>
  <c r="D225" i="28"/>
  <c r="D337" i="28"/>
  <c r="D57" i="28"/>
  <c r="F1607" i="19"/>
  <c r="F372" i="19"/>
  <c r="F373" i="19"/>
  <c r="F198" i="19"/>
  <c r="F1039" i="19"/>
  <c r="F1038" i="19"/>
  <c r="F258" i="51"/>
  <c r="F259" i="51"/>
  <c r="F484" i="51"/>
  <c r="F483" i="51"/>
  <c r="H698" i="34"/>
  <c r="H306" i="33"/>
  <c r="F425" i="19"/>
  <c r="D113" i="28"/>
  <c r="H250" i="34"/>
  <c r="F313" i="25"/>
  <c r="F31" i="19"/>
  <c r="F30" i="19"/>
  <c r="F538" i="51"/>
  <c r="F540" i="51"/>
  <c r="F539" i="51"/>
  <c r="F1772" i="19"/>
  <c r="F1771" i="19"/>
  <c r="F423" i="26"/>
  <c r="D113" i="16"/>
  <c r="D449" i="16"/>
  <c r="D281" i="16"/>
  <c r="D617" i="16"/>
  <c r="D337" i="33"/>
  <c r="D225" i="33"/>
  <c r="D281" i="33"/>
  <c r="D169" i="33"/>
  <c r="G1757" i="19"/>
  <c r="F1491" i="19"/>
  <c r="F1493" i="19"/>
  <c r="F1492" i="19"/>
  <c r="F202" i="51"/>
  <c r="F203" i="51"/>
  <c r="F204" i="51"/>
  <c r="F372" i="51"/>
  <c r="F370" i="51"/>
  <c r="D57" i="33"/>
  <c r="D57" i="12"/>
  <c r="F985" i="19"/>
  <c r="F984" i="19"/>
  <c r="F986" i="19"/>
  <c r="F483" i="19"/>
  <c r="F485" i="19"/>
  <c r="F484" i="19"/>
  <c r="F88" i="18"/>
  <c r="F1094" i="19"/>
  <c r="F1095" i="19"/>
  <c r="D169" i="51"/>
  <c r="D281" i="19"/>
  <c r="D1177" i="19"/>
  <c r="D1513" i="19"/>
  <c r="D449" i="26"/>
  <c r="D617" i="19"/>
  <c r="D449" i="19"/>
  <c r="D169" i="30"/>
  <c r="D281" i="30"/>
  <c r="D393" i="30"/>
  <c r="D561" i="30"/>
  <c r="D505" i="30"/>
  <c r="D673" i="30"/>
  <c r="F433" i="26"/>
  <c r="F991" i="51"/>
  <c r="K975" i="51"/>
  <c r="F987" i="51"/>
  <c r="F988" i="51"/>
  <c r="H352" i="34"/>
  <c r="G1926" i="34"/>
  <c r="G1927" i="34" s="1"/>
  <c r="E165" i="9"/>
  <c r="F165" i="9" s="1"/>
  <c r="K754" i="51"/>
  <c r="C60" i="10"/>
  <c r="C47" i="10"/>
  <c r="B45" i="10" s="1"/>
  <c r="E152" i="9"/>
  <c r="F152" i="9"/>
  <c r="E149" i="9"/>
  <c r="F149" i="9"/>
  <c r="E95" i="9"/>
  <c r="F95" i="9" s="1"/>
  <c r="G94" i="9" s="1"/>
  <c r="E150" i="9"/>
  <c r="F150" i="9"/>
  <c r="E147" i="9"/>
  <c r="F147" i="9" s="1"/>
  <c r="G325" i="10"/>
  <c r="C325" i="10"/>
  <c r="A17" i="5"/>
  <c r="A18" i="5" s="1"/>
  <c r="C40" i="10"/>
  <c r="G169" i="10"/>
  <c r="C169" i="10"/>
  <c r="G170" i="10"/>
  <c r="C170" i="10" s="1"/>
  <c r="G168" i="10"/>
  <c r="C168" i="10" s="1"/>
  <c r="B278" i="10"/>
  <c r="B288" i="10"/>
  <c r="B276" i="10" s="1"/>
  <c r="E84" i="10"/>
  <c r="E105" i="10"/>
  <c r="E97" i="10" s="1"/>
  <c r="D79" i="10"/>
  <c r="B196" i="10"/>
  <c r="G166" i="10"/>
  <c r="G162" i="10"/>
  <c r="C162" i="10" s="1"/>
  <c r="G155" i="10"/>
  <c r="C155" i="10" s="1"/>
  <c r="E164" i="9"/>
  <c r="F164" i="9"/>
  <c r="E139" i="9"/>
  <c r="F139" i="9" s="1"/>
  <c r="E130" i="9"/>
  <c r="E127" i="9"/>
  <c r="E137" i="9"/>
  <c r="F137" i="9" s="1"/>
  <c r="E138" i="9"/>
  <c r="F138" i="9"/>
  <c r="F1040" i="51"/>
  <c r="F1039" i="51"/>
  <c r="F1043" i="51"/>
  <c r="K1030" i="51"/>
  <c r="F1038" i="51"/>
  <c r="F1042" i="51"/>
  <c r="F1046" i="51"/>
  <c r="F1047" i="51" s="1"/>
  <c r="F1049" i="51"/>
  <c r="F1045" i="51"/>
  <c r="F1048" i="51"/>
  <c r="F1037" i="51"/>
  <c r="F1381" i="19"/>
  <c r="F1379" i="19"/>
  <c r="F1380" i="19"/>
  <c r="D1289" i="19"/>
  <c r="D1345" i="19"/>
  <c r="D505" i="19"/>
  <c r="D2073" i="19"/>
  <c r="D393" i="19"/>
  <c r="D561" i="19"/>
  <c r="D225" i="19"/>
  <c r="D1457" i="19"/>
  <c r="D897" i="19"/>
  <c r="D337" i="19"/>
  <c r="F1377" i="19"/>
  <c r="F128" i="9"/>
  <c r="F109" i="9"/>
  <c r="C114" i="17"/>
  <c r="C394" i="26"/>
  <c r="C338" i="19"/>
  <c r="C899" i="19"/>
  <c r="C282" i="29"/>
  <c r="H941" i="34"/>
  <c r="H605" i="25"/>
  <c r="H213" i="16"/>
  <c r="C451" i="21"/>
  <c r="C115" i="33"/>
  <c r="C58" i="25"/>
  <c r="C58" i="17"/>
  <c r="C59" i="51"/>
  <c r="C283" i="51"/>
  <c r="C395" i="19"/>
  <c r="C1515" i="19"/>
  <c r="C1179" i="34"/>
  <c r="F815" i="19"/>
  <c r="F814" i="19"/>
  <c r="F930" i="51"/>
  <c r="F142" i="19"/>
  <c r="G236" i="51"/>
  <c r="G23" i="17"/>
  <c r="F92" i="9"/>
  <c r="C283" i="34"/>
  <c r="C3" i="51"/>
  <c r="C339" i="23"/>
  <c r="C1011" i="19"/>
  <c r="C59" i="16"/>
  <c r="C59" i="53"/>
  <c r="C1067" i="19"/>
  <c r="C3" i="13"/>
  <c r="F108" i="9"/>
  <c r="C395" i="16"/>
  <c r="C1739" i="19"/>
  <c r="C1683" i="34"/>
  <c r="C843" i="19"/>
  <c r="C339" i="34"/>
  <c r="C1123" i="19"/>
  <c r="C115" i="16"/>
  <c r="C171" i="30"/>
  <c r="C3" i="28"/>
  <c r="C59" i="30"/>
  <c r="C339" i="33"/>
  <c r="C339" i="21"/>
  <c r="C563" i="29"/>
  <c r="C507" i="34"/>
  <c r="C675" i="34"/>
  <c r="C451" i="25"/>
  <c r="C563" i="16"/>
  <c r="C3" i="30"/>
  <c r="C227" i="25"/>
  <c r="C395" i="29"/>
  <c r="C282" i="23"/>
  <c r="C787" i="51"/>
  <c r="C1795" i="34"/>
  <c r="C114" i="26"/>
  <c r="C3" i="19"/>
  <c r="C451" i="19"/>
  <c r="C395" i="30"/>
  <c r="C339" i="51"/>
  <c r="C1739" i="34"/>
  <c r="C171" i="26"/>
  <c r="C3" i="29"/>
  <c r="C227" i="30"/>
  <c r="C227" i="17"/>
  <c r="C59" i="33"/>
  <c r="C3" i="25"/>
  <c r="C731" i="19"/>
  <c r="C339" i="29"/>
  <c r="C283" i="30"/>
  <c r="C563" i="51"/>
  <c r="C1291" i="19"/>
  <c r="C115" i="17"/>
  <c r="C395" i="23"/>
  <c r="C1178" i="19"/>
  <c r="C58" i="28"/>
  <c r="C227" i="26"/>
  <c r="C1851" i="34"/>
  <c r="C618" i="19"/>
  <c r="C1906" i="19"/>
  <c r="C787" i="34"/>
  <c r="C59" i="17"/>
  <c r="C338" i="32"/>
  <c r="C58" i="22"/>
  <c r="C450" i="29"/>
  <c r="C114" i="25"/>
  <c r="C674" i="16"/>
  <c r="C2" i="25"/>
  <c r="C114" i="53"/>
  <c r="C170" i="19"/>
  <c r="C170" i="17"/>
  <c r="C898" i="51"/>
  <c r="AF38" i="4"/>
  <c r="C1794" i="19"/>
  <c r="C2" i="26"/>
  <c r="C506" i="30"/>
  <c r="C170" i="26"/>
  <c r="C394" i="16"/>
  <c r="C2" i="29"/>
  <c r="C1682" i="34"/>
  <c r="C1850" i="19"/>
  <c r="C170" i="23"/>
  <c r="C226" i="16"/>
  <c r="C170" i="33"/>
  <c r="C730" i="16"/>
  <c r="C730" i="19"/>
  <c r="C114" i="14"/>
  <c r="C114" i="28"/>
  <c r="C394" i="29"/>
  <c r="C618" i="29"/>
  <c r="C1626" i="34"/>
  <c r="C786" i="34"/>
  <c r="C58" i="14"/>
  <c r="C618" i="51"/>
  <c r="C58" i="11"/>
  <c r="C1010" i="34"/>
  <c r="C2018" i="19"/>
  <c r="C338" i="33"/>
  <c r="C2" i="32"/>
  <c r="C170" i="34"/>
  <c r="C170" i="29"/>
  <c r="C450" i="16"/>
  <c r="C1122" i="19"/>
  <c r="C730" i="34"/>
  <c r="C562" i="34"/>
  <c r="C1626" i="19"/>
  <c r="C2" i="53"/>
  <c r="C394" i="28"/>
  <c r="C506" i="23"/>
  <c r="C394" i="14"/>
  <c r="C170" i="11"/>
  <c r="C2" i="22"/>
  <c r="C226" i="14"/>
  <c r="C1234" i="19"/>
  <c r="C58" i="32"/>
  <c r="C114" i="32"/>
  <c r="C226" i="26"/>
  <c r="C2" i="30"/>
  <c r="C226" i="30"/>
  <c r="C730" i="51"/>
  <c r="C282" i="33"/>
  <c r="C450" i="23"/>
  <c r="C339" i="19"/>
  <c r="C731" i="25"/>
  <c r="C339" i="26"/>
  <c r="C451" i="23"/>
  <c r="C339" i="14"/>
  <c r="C227" i="16"/>
  <c r="C2075" i="19"/>
  <c r="C171" i="32"/>
  <c r="C507" i="28"/>
  <c r="C3" i="50"/>
  <c r="C171" i="19"/>
  <c r="C1907" i="34"/>
  <c r="C675" i="19"/>
  <c r="C1235" i="34"/>
  <c r="C619" i="19"/>
  <c r="C1459" i="34"/>
  <c r="C451" i="29"/>
  <c r="C283" i="19"/>
  <c r="C115" i="32"/>
  <c r="C171" i="29"/>
  <c r="C283" i="16"/>
  <c r="C675" i="16"/>
  <c r="C171" i="11"/>
  <c r="C227" i="51"/>
  <c r="C1403" i="34"/>
  <c r="C339" i="30"/>
  <c r="C283" i="14"/>
  <c r="C675" i="21"/>
  <c r="C619" i="25"/>
  <c r="C955" i="51"/>
  <c r="C507" i="30"/>
  <c r="C115" i="30"/>
  <c r="C227" i="33"/>
  <c r="C59" i="19"/>
  <c r="C395" i="28"/>
  <c r="C619" i="51"/>
  <c r="C507" i="23"/>
  <c r="C59" i="11"/>
  <c r="C283" i="26"/>
  <c r="C171" i="34"/>
  <c r="C3" i="26"/>
  <c r="C1963" i="34"/>
  <c r="C283" i="28"/>
  <c r="C899" i="34"/>
  <c r="C283" i="21"/>
  <c r="C339" i="32"/>
  <c r="C563" i="21"/>
  <c r="C3" i="18"/>
  <c r="C1963" i="19"/>
  <c r="C507" i="16"/>
  <c r="C3" i="15"/>
  <c r="C1403" i="19"/>
  <c r="C1067" i="34"/>
  <c r="C619" i="29"/>
  <c r="C171" i="51"/>
  <c r="C787" i="19"/>
  <c r="C731" i="51"/>
  <c r="C451" i="34"/>
  <c r="C3" i="16"/>
  <c r="C731" i="16"/>
  <c r="C731" i="34"/>
  <c r="C395" i="51"/>
  <c r="C1011" i="51"/>
  <c r="C115" i="21"/>
  <c r="C3" i="35"/>
  <c r="C619" i="16"/>
  <c r="C507" i="32"/>
  <c r="C59" i="35"/>
  <c r="C171" i="25"/>
  <c r="C283" i="23"/>
  <c r="C227" i="19"/>
  <c r="C395" i="21"/>
  <c r="C3" i="21"/>
  <c r="C843" i="34"/>
  <c r="C1123" i="34"/>
  <c r="C59" i="18"/>
  <c r="C115" i="25"/>
  <c r="C339" i="28"/>
  <c r="C3" i="32"/>
  <c r="C451" i="28"/>
  <c r="C3" i="22"/>
  <c r="C59" i="21"/>
  <c r="C283" i="32"/>
  <c r="C563" i="25"/>
  <c r="C339" i="25"/>
  <c r="C395" i="25"/>
  <c r="C507" i="21"/>
  <c r="C955" i="34"/>
  <c r="C115" i="28"/>
  <c r="C339" i="16"/>
  <c r="C1907" i="19"/>
  <c r="C227" i="23"/>
  <c r="C227" i="14"/>
  <c r="C1459" i="19"/>
  <c r="C115" i="34"/>
  <c r="C171" i="16"/>
  <c r="C2131" i="19"/>
  <c r="C451" i="30"/>
  <c r="C115" i="13"/>
  <c r="C507" i="29"/>
  <c r="C1627" i="34"/>
  <c r="C115" i="19"/>
  <c r="C1627" i="19"/>
  <c r="C59" i="28"/>
  <c r="C3" i="14"/>
  <c r="C59" i="13"/>
  <c r="C171" i="33"/>
  <c r="C171" i="23"/>
  <c r="C507" i="25"/>
  <c r="C171" i="22"/>
  <c r="C675" i="25"/>
  <c r="C1291" i="34"/>
  <c r="C563" i="19"/>
  <c r="C227" i="29"/>
  <c r="C1795" i="19"/>
  <c r="C227" i="21"/>
  <c r="C955" i="19"/>
  <c r="C1571" i="34"/>
  <c r="C619" i="21"/>
  <c r="C115" i="53"/>
  <c r="C1011" i="34"/>
  <c r="C451" i="26"/>
  <c r="C395" i="32"/>
  <c r="C3" i="53"/>
  <c r="C171" i="35"/>
  <c r="C59" i="25"/>
  <c r="C563" i="30"/>
  <c r="C171" i="53"/>
  <c r="C395" i="26"/>
  <c r="C115" i="12"/>
  <c r="C283" i="33"/>
  <c r="C59" i="29"/>
  <c r="C1571" i="19"/>
  <c r="C451" i="16"/>
  <c r="C59" i="15"/>
  <c r="C451" i="14"/>
  <c r="C3" i="12"/>
  <c r="C2019" i="34"/>
  <c r="C171" i="28"/>
  <c r="C59" i="32"/>
  <c r="C115" i="51"/>
  <c r="C59" i="12"/>
  <c r="C115" i="23"/>
  <c r="C1851" i="19"/>
  <c r="C227" i="28"/>
  <c r="C3" i="17"/>
  <c r="C1515" i="34"/>
  <c r="C59" i="23"/>
  <c r="C171" i="21"/>
  <c r="C59" i="14"/>
  <c r="C395" i="14"/>
  <c r="C115" i="29"/>
  <c r="C899" i="51"/>
  <c r="C395" i="34"/>
  <c r="C507" i="51"/>
  <c r="C171" i="14"/>
  <c r="C2075" i="34"/>
  <c r="C3" i="33"/>
  <c r="C115" i="11"/>
  <c r="C283" i="29"/>
  <c r="C619" i="34"/>
  <c r="C507" i="26"/>
  <c r="C675" i="30"/>
  <c r="C619" i="30"/>
  <c r="C115" i="35"/>
  <c r="C59" i="34"/>
  <c r="C59" i="26"/>
  <c r="C507" i="19"/>
  <c r="C675" i="51"/>
  <c r="C1683" i="19"/>
  <c r="C1179" i="19"/>
  <c r="C227" i="34"/>
  <c r="C3" i="23"/>
  <c r="C1347" i="34"/>
  <c r="C451" i="32"/>
  <c r="C59" i="22"/>
  <c r="C115" i="26"/>
  <c r="C171" i="17"/>
  <c r="C1347" i="19"/>
  <c r="C283" i="25"/>
  <c r="C227" i="32"/>
  <c r="C115" i="14"/>
  <c r="C115" i="22"/>
  <c r="C1235" i="19"/>
  <c r="C3" i="34"/>
  <c r="C451" i="51"/>
  <c r="C394" i="23"/>
  <c r="AA38" i="4"/>
  <c r="AB38" i="4"/>
  <c r="AG38" i="4"/>
  <c r="AC38" i="4"/>
  <c r="AE38" i="4"/>
  <c r="AD38" i="4"/>
  <c r="E11" i="26"/>
  <c r="F11" i="26" s="1"/>
  <c r="H11" i="26" s="1"/>
  <c r="B459" i="19"/>
  <c r="B627" i="29"/>
  <c r="H968" i="34"/>
  <c r="E110" i="10"/>
  <c r="B291" i="25"/>
  <c r="B2140" i="19"/>
  <c r="E2139" i="19"/>
  <c r="F2139" i="19" s="1"/>
  <c r="H2139" i="19" s="1"/>
  <c r="B67" i="18"/>
  <c r="E683" i="19"/>
  <c r="F683" i="19" s="1"/>
  <c r="H683" i="19" s="1"/>
  <c r="E67" i="26"/>
  <c r="F67" i="26" s="1"/>
  <c r="H67" i="26" s="1"/>
  <c r="B67" i="51"/>
  <c r="E291" i="26"/>
  <c r="F291" i="26" s="1"/>
  <c r="H291" i="26" s="1"/>
  <c r="B571" i="29"/>
  <c r="B235" i="51"/>
  <c r="B628" i="29"/>
  <c r="B11" i="17"/>
  <c r="E123" i="13"/>
  <c r="F123" i="13" s="1"/>
  <c r="H123" i="13" s="1"/>
  <c r="B67" i="13"/>
  <c r="B12" i="51"/>
  <c r="B1803" i="34"/>
  <c r="E516" i="51"/>
  <c r="F516" i="51" s="1"/>
  <c r="B515" i="19"/>
  <c r="E852" i="51"/>
  <c r="F852" i="51" s="1"/>
  <c r="B347" i="26"/>
  <c r="B403" i="25"/>
  <c r="B180" i="16"/>
  <c r="E404" i="16"/>
  <c r="F404" i="16" s="1"/>
  <c r="H404" i="16" s="1"/>
  <c r="B516" i="51"/>
  <c r="E123" i="25"/>
  <c r="F123" i="25" s="1"/>
  <c r="H123" i="25" s="1"/>
  <c r="B627" i="19"/>
  <c r="B123" i="13"/>
  <c r="E684" i="16"/>
  <c r="F684" i="16" s="1"/>
  <c r="H684" i="16" s="1"/>
  <c r="E180" i="16"/>
  <c r="F180" i="16"/>
  <c r="H180" i="16" s="1"/>
  <c r="B291" i="51"/>
  <c r="E1915" i="34"/>
  <c r="F1915" i="34" s="1"/>
  <c r="H1915" i="34" s="1"/>
  <c r="E516" i="16"/>
  <c r="F516" i="16"/>
  <c r="H516" i="16" s="1"/>
  <c r="B572" i="29"/>
  <c r="E459" i="51"/>
  <c r="F459" i="51" s="1"/>
  <c r="H459" i="51" s="1"/>
  <c r="E571" i="29"/>
  <c r="F571" i="29" s="1"/>
  <c r="H571" i="29" s="1"/>
  <c r="B515" i="25"/>
  <c r="B627" i="51"/>
  <c r="E11" i="18"/>
  <c r="F11" i="18" s="1"/>
  <c r="E179" i="51"/>
  <c r="F179" i="51" s="1"/>
  <c r="H179" i="51" s="1"/>
  <c r="E11" i="51"/>
  <c r="F11" i="51" s="1"/>
  <c r="K1031" i="51"/>
  <c r="K1034" i="51" s="1"/>
  <c r="F257" i="25"/>
  <c r="H2159" i="49"/>
  <c r="H2173" i="49"/>
  <c r="G2154" i="49"/>
  <c r="B122" i="10"/>
  <c r="B121" i="10"/>
  <c r="B403" i="51"/>
  <c r="B347" i="51"/>
  <c r="E573" i="29"/>
  <c r="F573" i="29" s="1"/>
  <c r="H573" i="29" s="1"/>
  <c r="B1915" i="34"/>
  <c r="B684" i="16"/>
  <c r="B11" i="26"/>
  <c r="H2065" i="49"/>
  <c r="G2060" i="49"/>
  <c r="F706" i="25"/>
  <c r="E67" i="18"/>
  <c r="F67" i="18" s="1"/>
  <c r="H67" i="18" s="1"/>
  <c r="E627" i="29"/>
  <c r="F627" i="29" s="1"/>
  <c r="H627" i="29" s="1"/>
  <c r="G66" i="48"/>
  <c r="G126" i="48"/>
  <c r="H864" i="49"/>
  <c r="H1297" i="49"/>
  <c r="H2213" i="49"/>
  <c r="D78" i="10"/>
  <c r="F78" i="10" s="1"/>
  <c r="K978" i="51"/>
  <c r="H150" i="10"/>
  <c r="G150" i="10" s="1"/>
  <c r="C150" i="10" s="1"/>
  <c r="E141" i="10"/>
  <c r="C140" i="10"/>
  <c r="G516" i="51"/>
  <c r="H516" i="51" s="1"/>
  <c r="H194" i="11"/>
  <c r="H2015" i="49"/>
  <c r="H2013" i="49"/>
  <c r="G65" i="42"/>
  <c r="G83" i="42" s="1"/>
  <c r="G238" i="42"/>
  <c r="G252" i="42"/>
  <c r="B134" i="10"/>
  <c r="H368" i="23"/>
  <c r="G272" i="41"/>
  <c r="G326" i="42"/>
  <c r="G342" i="42" s="1"/>
  <c r="H1621" i="49"/>
  <c r="H1638" i="49"/>
  <c r="G22" i="15"/>
  <c r="G53" i="34"/>
  <c r="G221" i="11"/>
  <c r="G109" i="12"/>
  <c r="G53" i="13"/>
  <c r="G165" i="13"/>
  <c r="G221" i="14"/>
  <c r="G333" i="14"/>
  <c r="G53" i="15"/>
  <c r="G165" i="16"/>
  <c r="G277" i="16"/>
  <c r="G389" i="16"/>
  <c r="G501" i="16"/>
  <c r="G613" i="16"/>
  <c r="G725" i="16"/>
  <c r="G53" i="17"/>
  <c r="G53" i="23"/>
  <c r="G165" i="23"/>
  <c r="G277" i="23"/>
  <c r="G389" i="23"/>
  <c r="G501" i="23"/>
  <c r="G53" i="21"/>
  <c r="G165" i="21"/>
  <c r="G109" i="26"/>
  <c r="G221" i="26"/>
  <c r="G389" i="26"/>
  <c r="G53" i="28"/>
  <c r="G165" i="28"/>
  <c r="G333" i="28"/>
  <c r="G445" i="28"/>
  <c r="G109" i="29"/>
  <c r="G389" i="29"/>
  <c r="G501" i="29"/>
  <c r="G109" i="51"/>
  <c r="G333" i="51"/>
  <c r="G109" i="14"/>
  <c r="G221" i="35"/>
  <c r="G109" i="35"/>
  <c r="G2125" i="34"/>
  <c r="G2013" i="34"/>
  <c r="G1901" i="34"/>
  <c r="G1845" i="34"/>
  <c r="G1733" i="34"/>
  <c r="G1621" i="34"/>
  <c r="G1509" i="34"/>
  <c r="G1341" i="34"/>
  <c r="G1229" i="34"/>
  <c r="G1117" i="34"/>
  <c r="G1005" i="34"/>
  <c r="G893" i="34"/>
  <c r="G781" i="34"/>
  <c r="G669" i="34"/>
  <c r="G501" i="34"/>
  <c r="G389" i="34"/>
  <c r="G277" i="34"/>
  <c r="G165" i="34"/>
  <c r="G389" i="33"/>
  <c r="G277" i="33"/>
  <c r="G165" i="33"/>
  <c r="G53" i="33"/>
  <c r="G501" i="32"/>
  <c r="G389" i="32"/>
  <c r="G277" i="32"/>
  <c r="G165" i="32"/>
  <c r="G53" i="32"/>
  <c r="G669" i="30"/>
  <c r="G501" i="30"/>
  <c r="G109" i="30"/>
  <c r="G109" i="17"/>
  <c r="G277" i="30"/>
  <c r="G165" i="30"/>
  <c r="G389" i="30"/>
  <c r="G445" i="14"/>
  <c r="G165" i="22"/>
  <c r="G53" i="22"/>
  <c r="G221" i="53"/>
  <c r="G109" i="53"/>
  <c r="G1957" i="19"/>
  <c r="G109" i="19"/>
  <c r="G221" i="19"/>
  <c r="G333" i="19"/>
  <c r="G445" i="19"/>
  <c r="G557" i="19"/>
  <c r="G333" i="26"/>
  <c r="G1397" i="34"/>
  <c r="G669" i="29"/>
  <c r="G613" i="34"/>
  <c r="G389" i="51"/>
  <c r="G53" i="12"/>
  <c r="G165" i="12"/>
  <c r="G109" i="13"/>
  <c r="G165" i="14"/>
  <c r="G277" i="14"/>
  <c r="G501" i="14"/>
  <c r="G53" i="16"/>
  <c r="G221" i="16"/>
  <c r="G333" i="16"/>
  <c r="G445" i="16"/>
  <c r="G557" i="16"/>
  <c r="G669" i="16"/>
  <c r="G781" i="16"/>
  <c r="G53" i="18"/>
  <c r="G109" i="23"/>
  <c r="G221" i="23"/>
  <c r="G333" i="23"/>
  <c r="G445" i="23"/>
  <c r="G557" i="23"/>
  <c r="G109" i="21"/>
  <c r="G53" i="26"/>
  <c r="G165" i="26"/>
  <c r="G277" i="26"/>
  <c r="G501" i="26"/>
  <c r="G109" i="28"/>
  <c r="G277" i="28"/>
  <c r="G389" i="28"/>
  <c r="G501" i="28"/>
  <c r="G277" i="29"/>
  <c r="G445" i="29"/>
  <c r="G165" i="51"/>
  <c r="G669" i="51"/>
  <c r="G53" i="14"/>
  <c r="G53" i="50"/>
  <c r="G165" i="35"/>
  <c r="G53" i="35"/>
  <c r="G2069" i="34"/>
  <c r="G1957" i="34"/>
  <c r="G1789" i="34"/>
  <c r="G1677" i="34"/>
  <c r="G1565" i="34"/>
  <c r="G1453" i="34"/>
  <c r="G1285" i="34"/>
  <c r="G1173" i="34"/>
  <c r="G1061" i="34"/>
  <c r="G949" i="34"/>
  <c r="G837" i="34"/>
  <c r="G725" i="34"/>
  <c r="G557" i="34"/>
  <c r="G445" i="34"/>
  <c r="G333" i="34"/>
  <c r="G221" i="34"/>
  <c r="G109" i="34"/>
  <c r="G333" i="33"/>
  <c r="G221" i="33"/>
  <c r="G109" i="33"/>
  <c r="G557" i="32"/>
  <c r="G445" i="32"/>
  <c r="G333" i="32"/>
  <c r="G221" i="32"/>
  <c r="G109" i="32"/>
  <c r="G725" i="30"/>
  <c r="G613" i="30"/>
  <c r="G445" i="30"/>
  <c r="G613" i="29"/>
  <c r="G53" i="30"/>
  <c r="G221" i="30"/>
  <c r="G333" i="30"/>
  <c r="G557" i="30"/>
  <c r="G221" i="22"/>
  <c r="G109" i="22"/>
  <c r="G221" i="28"/>
  <c r="G221" i="29"/>
  <c r="G165" i="53"/>
  <c r="G53" i="53"/>
  <c r="G109" i="18"/>
  <c r="G53" i="19"/>
  <c r="G165" i="19"/>
  <c r="G277" i="19"/>
  <c r="G389" i="19"/>
  <c r="G501" i="19"/>
  <c r="G613" i="19"/>
  <c r="G557" i="28"/>
  <c r="G105" i="54"/>
  <c r="G852" i="55"/>
  <c r="H852" i="55" s="1"/>
  <c r="G20" i="10"/>
  <c r="C20" i="10" s="1"/>
  <c r="B17" i="10" s="1"/>
  <c r="B69" i="10"/>
  <c r="G285" i="41"/>
  <c r="G428" i="41"/>
  <c r="G441" i="41" s="1"/>
  <c r="G519" i="41"/>
  <c r="G584" i="41"/>
  <c r="G469" i="42"/>
  <c r="G22" i="47"/>
  <c r="G40" i="47" s="1"/>
  <c r="H49" i="49"/>
  <c r="H1113" i="49"/>
  <c r="H1129" i="49"/>
  <c r="H2522" i="49"/>
  <c r="H1304" i="34"/>
  <c r="H1202" i="34"/>
  <c r="G557" i="26"/>
  <c r="B36" i="10"/>
  <c r="G915" i="55"/>
  <c r="H915" i="55" s="1"/>
  <c r="G1041" i="55"/>
  <c r="H1041" i="55"/>
  <c r="B438" i="10"/>
  <c r="K586" i="16"/>
  <c r="G592" i="41"/>
  <c r="G599" i="41" s="1"/>
  <c r="G154" i="42"/>
  <c r="G169" i="42" s="1"/>
  <c r="G22" i="46"/>
  <c r="G33" i="47"/>
  <c r="G240" i="48"/>
  <c r="G255" i="48" s="1"/>
  <c r="H793" i="49"/>
  <c r="H815" i="49"/>
  <c r="H940" i="49"/>
  <c r="H958" i="49"/>
  <c r="H1122" i="49"/>
  <c r="H1588" i="49"/>
  <c r="H1595" i="49" s="1"/>
  <c r="H163" i="35"/>
  <c r="F1937" i="34"/>
  <c r="H1594" i="34"/>
  <c r="H1482" i="34"/>
  <c r="H744" i="34"/>
  <c r="H240" i="34"/>
  <c r="H250" i="33"/>
  <c r="H107" i="26"/>
  <c r="H163" i="14"/>
  <c r="H605" i="34"/>
  <c r="H116" i="49"/>
  <c r="H134" i="49" s="1"/>
  <c r="H267" i="49"/>
  <c r="H287" i="49" s="1"/>
  <c r="H364" i="49"/>
  <c r="H628" i="49"/>
  <c r="H11" i="51"/>
  <c r="K530" i="51"/>
  <c r="H51" i="35"/>
  <c r="H1640" i="34"/>
  <c r="H922" i="34"/>
  <c r="H530" i="34"/>
  <c r="H26" i="33"/>
  <c r="H219" i="26"/>
  <c r="H387" i="21"/>
  <c r="H464" i="14"/>
  <c r="H219" i="11"/>
  <c r="G1397" i="19"/>
  <c r="G1061" i="51"/>
  <c r="G277" i="53"/>
  <c r="G1005" i="51"/>
  <c r="G414" i="55"/>
  <c r="G288" i="55"/>
  <c r="G90" i="55"/>
  <c r="G1845" i="19"/>
  <c r="G725" i="51"/>
  <c r="G978" i="55"/>
  <c r="H978" i="55" s="1"/>
  <c r="G789" i="55"/>
  <c r="H789" i="55"/>
  <c r="G600" i="55"/>
  <c r="H600" i="55"/>
  <c r="G221" i="17"/>
  <c r="G1341" i="19"/>
  <c r="G277" i="17"/>
  <c r="G476" i="55"/>
  <c r="G186" i="55"/>
  <c r="G333" i="25"/>
  <c r="G277" i="25"/>
  <c r="G613" i="51"/>
  <c r="G537" i="55"/>
  <c r="G1167" i="55"/>
  <c r="H1167" i="55" s="1"/>
  <c r="G1104" i="55"/>
  <c r="H1104" i="55"/>
  <c r="G726" i="55"/>
  <c r="H726" i="55"/>
  <c r="G1230" i="55"/>
  <c r="H1230" i="55"/>
  <c r="G949" i="51"/>
  <c r="G1293" i="55"/>
  <c r="G352" i="55"/>
  <c r="G2181" i="19"/>
  <c r="G51" i="54"/>
  <c r="G165" i="17"/>
  <c r="H549" i="28"/>
  <c r="H97" i="54"/>
  <c r="G144" i="55"/>
  <c r="G226" i="55"/>
  <c r="G663" i="55"/>
  <c r="H663" i="55"/>
  <c r="D1009" i="51"/>
  <c r="D953" i="51"/>
  <c r="H443" i="14"/>
  <c r="J477" i="25"/>
  <c r="F477" i="25"/>
  <c r="H152" i="10"/>
  <c r="G152" i="10" s="1"/>
  <c r="C152" i="10" s="1"/>
  <c r="E152" i="10" s="1"/>
  <c r="E142" i="10"/>
  <c r="G180" i="17"/>
  <c r="G36" i="55"/>
  <c r="D80" i="10"/>
  <c r="F368" i="51"/>
  <c r="F366" i="51"/>
  <c r="K358" i="51"/>
  <c r="K362" i="51"/>
  <c r="F367" i="51"/>
  <c r="E208" i="55"/>
  <c r="F208" i="55"/>
  <c r="F13" i="7"/>
  <c r="E16" i="55"/>
  <c r="F16" i="55"/>
  <c r="H16" i="55" s="1"/>
  <c r="H14" i="55" s="1"/>
  <c r="K580" i="51"/>
  <c r="F592" i="51"/>
  <c r="K582" i="51"/>
  <c r="F597" i="51"/>
  <c r="F590" i="51"/>
  <c r="F601" i="51"/>
  <c r="F600" i="51"/>
  <c r="L1768" i="19"/>
  <c r="G500" i="55"/>
  <c r="H500" i="55"/>
  <c r="H499" i="55"/>
  <c r="F589" i="51"/>
  <c r="K1367" i="19"/>
  <c r="L2155" i="19"/>
  <c r="L2156" i="19"/>
  <c r="K936" i="51"/>
  <c r="K937" i="51" s="1"/>
  <c r="G377" i="55"/>
  <c r="H377" i="55" s="1"/>
  <c r="H376" i="55"/>
  <c r="H382" i="55"/>
  <c r="D470" i="10"/>
  <c r="F149" i="53"/>
  <c r="D469" i="10"/>
  <c r="F37" i="53"/>
  <c r="K320" i="51"/>
  <c r="K321" i="51" s="1"/>
  <c r="F423" i="51"/>
  <c r="F421" i="51"/>
  <c r="G324" i="10"/>
  <c r="C324" i="10"/>
  <c r="N29" i="4"/>
  <c r="P29" i="4"/>
  <c r="T29" i="4"/>
  <c r="U29" i="4"/>
  <c r="S29" i="4"/>
  <c r="O29" i="4"/>
  <c r="Q29" i="4"/>
  <c r="V29" i="4"/>
  <c r="Y29" i="4"/>
  <c r="W29" i="4"/>
  <c r="R29" i="4"/>
  <c r="X29" i="4"/>
  <c r="AC39" i="4"/>
  <c r="AI39" i="4"/>
  <c r="AH39" i="4"/>
  <c r="AF39" i="4"/>
  <c r="AD39" i="4"/>
  <c r="AE39" i="4"/>
  <c r="AG39" i="4"/>
  <c r="Z41" i="4"/>
  <c r="AC41" i="4"/>
  <c r="AB41" i="4"/>
  <c r="AA41" i="4"/>
  <c r="AF41" i="4"/>
  <c r="AI41" i="4"/>
  <c r="AH41" i="4"/>
  <c r="AE41" i="4"/>
  <c r="AD41" i="4"/>
  <c r="AG41" i="4"/>
  <c r="AK41" i="4"/>
  <c r="AJ41" i="4"/>
  <c r="AI34" i="4"/>
  <c r="AE34" i="4"/>
  <c r="AA34" i="4"/>
  <c r="Y34" i="4"/>
  <c r="AD34" i="4"/>
  <c r="Z34" i="4"/>
  <c r="AC34" i="4"/>
  <c r="V34" i="4"/>
  <c r="X34" i="4"/>
  <c r="AB34" i="4"/>
  <c r="AF34" i="4"/>
  <c r="AH34" i="4"/>
  <c r="AG34" i="4"/>
  <c r="W34" i="4"/>
  <c r="G308" i="49"/>
  <c r="H313" i="49"/>
  <c r="H437" i="49"/>
  <c r="H451" i="49"/>
  <c r="G432" i="49"/>
  <c r="B220" i="10"/>
  <c r="B216" i="10"/>
  <c r="G480" i="41"/>
  <c r="G38" i="41"/>
  <c r="B369" i="10"/>
  <c r="G626" i="41"/>
  <c r="L281" i="21"/>
  <c r="G109" i="42"/>
  <c r="G128" i="42" s="1"/>
  <c r="G195" i="48"/>
  <c r="G214" i="48" s="1"/>
  <c r="H984" i="49"/>
  <c r="H1450" i="49"/>
  <c r="H1466" i="49"/>
  <c r="H1985" i="49"/>
  <c r="H2253" i="49"/>
  <c r="H2333" i="49"/>
  <c r="H2399" i="49"/>
  <c r="H2414" i="49"/>
  <c r="H1417" i="49"/>
  <c r="H1424" i="49"/>
  <c r="H2514" i="49"/>
  <c r="H2537" i="49" s="1"/>
  <c r="M17" i="5"/>
  <c r="F1325" i="19"/>
  <c r="F1324" i="19"/>
  <c r="H28" i="55"/>
  <c r="G251" i="55"/>
  <c r="H251" i="55"/>
  <c r="H250" i="55"/>
  <c r="H256" i="55" s="1"/>
  <c r="K173" i="9" s="1"/>
  <c r="B307" i="10"/>
  <c r="F100" i="9"/>
  <c r="C227" i="53"/>
  <c r="C563" i="34"/>
  <c r="H151" i="10"/>
  <c r="G151" i="10" s="1"/>
  <c r="C151" i="10" s="1"/>
  <c r="E151" i="10" s="1"/>
  <c r="H71" i="54"/>
  <c r="H77" i="54" s="1"/>
  <c r="G72" i="54"/>
  <c r="H72" i="54"/>
  <c r="L533" i="26"/>
  <c r="L197" i="25"/>
  <c r="H136" i="55"/>
  <c r="F1323" i="19"/>
  <c r="F598" i="51"/>
  <c r="K246" i="51"/>
  <c r="K583" i="51"/>
  <c r="K586" i="51"/>
  <c r="F599" i="51"/>
  <c r="A227" i="5"/>
  <c r="A228" i="5"/>
  <c r="A229" i="5" s="1"/>
  <c r="A230" i="5" s="1"/>
  <c r="A231" i="5" s="1"/>
  <c r="A232" i="5" s="1"/>
  <c r="A233" i="5" s="1"/>
  <c r="A234" i="5" s="1"/>
  <c r="A235" i="5" s="1"/>
  <c r="G222" i="11"/>
  <c r="G54" i="15"/>
  <c r="G446" i="26"/>
  <c r="G110" i="12"/>
  <c r="G166" i="13"/>
  <c r="G614" i="34"/>
  <c r="G1174" i="34"/>
  <c r="G110" i="33"/>
  <c r="G726" i="30"/>
  <c r="G558" i="30"/>
  <c r="G110" i="22"/>
  <c r="G222" i="26"/>
  <c r="G110" i="29"/>
  <c r="G502" i="29"/>
  <c r="G446" i="19"/>
  <c r="G334" i="23"/>
  <c r="G558" i="23"/>
  <c r="G166" i="51"/>
  <c r="G670" i="51"/>
  <c r="G1958" i="34"/>
  <c r="G1734" i="34"/>
  <c r="G1006" i="34"/>
  <c r="G390" i="30"/>
  <c r="G2070" i="19"/>
  <c r="G1286" i="19"/>
  <c r="G894" i="34"/>
  <c r="G278" i="33"/>
  <c r="G726" i="25"/>
  <c r="G166" i="25"/>
  <c r="G1230" i="19"/>
  <c r="G166" i="26"/>
  <c r="G446" i="29"/>
  <c r="G1006" i="19"/>
  <c r="G558" i="29"/>
  <c r="G1118" i="19"/>
  <c r="G334" i="51"/>
  <c r="G334" i="26"/>
  <c r="G166" i="32"/>
  <c r="G227" i="55"/>
  <c r="G1006" i="51"/>
  <c r="G538" i="55"/>
  <c r="G950" i="51"/>
  <c r="G477" i="55"/>
  <c r="G1168" i="55"/>
  <c r="H1168" i="55"/>
  <c r="H1169" i="55" s="1"/>
  <c r="H1170" i="55" s="1"/>
  <c r="G222" i="17"/>
  <c r="G145" i="55"/>
  <c r="A236" i="5"/>
  <c r="A237" i="5" s="1"/>
  <c r="A353" i="5"/>
  <c r="A354" i="5"/>
  <c r="A355" i="5"/>
  <c r="A356" i="5" s="1"/>
  <c r="A357" i="5" s="1"/>
  <c r="A358" i="5" s="1"/>
  <c r="A359" i="5" s="1"/>
  <c r="A360" i="5" s="1"/>
  <c r="A361" i="5" s="1"/>
  <c r="A362" i="5" s="1"/>
  <c r="A363" i="5" s="1"/>
  <c r="A364" i="5" s="1"/>
  <c r="A365" i="5" s="1"/>
  <c r="A366" i="5" s="1"/>
  <c r="A367" i="5" s="1"/>
  <c r="A368" i="5" s="1"/>
  <c r="F316" i="23"/>
  <c r="H316" i="23"/>
  <c r="H317" i="23"/>
  <c r="A117" i="5"/>
  <c r="B75" i="18"/>
  <c r="A179" i="5"/>
  <c r="A180" i="5" s="1"/>
  <c r="G509" i="42"/>
  <c r="H1509" i="49"/>
  <c r="A73" i="5"/>
  <c r="A74" i="5" s="1"/>
  <c r="A75" i="5" s="1"/>
  <c r="A76" i="5" s="1"/>
  <c r="J589" i="25"/>
  <c r="E683" i="25"/>
  <c r="F683" i="25"/>
  <c r="H683" i="25" s="1"/>
  <c r="B446" i="10"/>
  <c r="B385" i="10"/>
  <c r="B361" i="10"/>
  <c r="B408" i="10"/>
  <c r="K418" i="16"/>
  <c r="G402" i="41"/>
  <c r="G152" i="48"/>
  <c r="G169" i="48" s="1"/>
  <c r="H474" i="14"/>
  <c r="M39" i="25"/>
  <c r="M40" i="25" s="1"/>
  <c r="M41" i="25" s="1"/>
  <c r="M42" i="25" s="1"/>
  <c r="H367" i="23"/>
  <c r="H381" i="23"/>
  <c r="G22" i="42"/>
  <c r="G106" i="46"/>
  <c r="G121" i="46"/>
  <c r="G234" i="47"/>
  <c r="G248" i="47" s="1"/>
  <c r="G22" i="48"/>
  <c r="G40" i="48"/>
  <c r="E2109" i="49"/>
  <c r="F2109" i="49" s="1"/>
  <c r="H2109" i="49" s="1"/>
  <c r="H2107" i="49" s="1"/>
  <c r="E1874" i="49"/>
  <c r="F1874" i="49"/>
  <c r="H1874" i="49" s="1"/>
  <c r="H1872" i="49" s="1"/>
  <c r="G1872" i="49" s="1"/>
  <c r="G233" i="41"/>
  <c r="G246" i="41"/>
  <c r="G147" i="46"/>
  <c r="G162" i="46" s="1"/>
  <c r="C226" i="53"/>
  <c r="C1346" i="19"/>
  <c r="F312" i="51"/>
  <c r="K302" i="51"/>
  <c r="K306" i="51" s="1"/>
  <c r="F311" i="51"/>
  <c r="F309" i="51"/>
  <c r="F310" i="51"/>
  <c r="H723" i="21"/>
  <c r="H576" i="34"/>
  <c r="G195" i="42"/>
  <c r="G107" i="47"/>
  <c r="G120" i="47"/>
  <c r="H1037" i="49"/>
  <c r="H1044" i="49" s="1"/>
  <c r="H479" i="23"/>
  <c r="H586" i="34"/>
  <c r="G212" i="42"/>
  <c r="H2563" i="49"/>
  <c r="H2042" i="34"/>
  <c r="H128" i="34"/>
  <c r="H480" i="23"/>
  <c r="G667" i="41"/>
  <c r="H1374" i="49"/>
  <c r="H1381" i="49" s="1"/>
  <c r="H856" i="34"/>
  <c r="H468" i="55"/>
  <c r="H1416" i="34"/>
  <c r="H1136" i="34"/>
  <c r="H418" i="34"/>
  <c r="H2032" i="49"/>
  <c r="H43" i="54"/>
  <c r="H2440" i="49"/>
  <c r="H2455" i="49" s="1"/>
  <c r="H978" i="34"/>
  <c r="H688" i="34"/>
  <c r="H16" i="33"/>
  <c r="H611" i="21"/>
  <c r="H163" i="12"/>
  <c r="H1192" i="34"/>
  <c r="H810" i="34"/>
  <c r="H667" i="21"/>
  <c r="H331" i="14"/>
  <c r="H51" i="12"/>
  <c r="H2079" i="49"/>
  <c r="H2086" i="49"/>
  <c r="H219" i="35"/>
  <c r="H1024" i="34"/>
  <c r="H464" i="34"/>
  <c r="F255" i="51"/>
  <c r="F254" i="51"/>
  <c r="F256" i="51"/>
  <c r="H642" i="34"/>
  <c r="H529" i="55"/>
  <c r="F1717" i="19"/>
  <c r="K694" i="51"/>
  <c r="A369" i="5"/>
  <c r="A370" i="5" s="1"/>
  <c r="A371" i="5" s="1"/>
  <c r="A372" i="5" s="1"/>
  <c r="A181" i="5"/>
  <c r="A182" i="5" s="1"/>
  <c r="K178" i="9"/>
  <c r="G2182" i="19"/>
  <c r="G278" i="16"/>
  <c r="G54" i="34"/>
  <c r="G54" i="16"/>
  <c r="G110" i="16"/>
  <c r="G166" i="16"/>
  <c r="G390" i="51"/>
  <c r="G222" i="16"/>
  <c r="G390" i="23"/>
  <c r="G166" i="28"/>
  <c r="G446" i="51"/>
  <c r="G1902" i="34"/>
  <c r="G950" i="34"/>
  <c r="G222" i="34"/>
  <c r="G446" i="30"/>
  <c r="G334" i="29"/>
  <c r="G558" i="19"/>
  <c r="G278" i="23"/>
  <c r="G54" i="28"/>
  <c r="G54" i="11"/>
  <c r="G110" i="14"/>
  <c r="G1790" i="34"/>
  <c r="G838" i="34"/>
  <c r="G110" i="34"/>
  <c r="G110" i="32"/>
  <c r="G334" i="30"/>
  <c r="G1958" i="19"/>
  <c r="G782" i="16"/>
  <c r="G54" i="26"/>
  <c r="G278" i="29"/>
  <c r="G54" i="50"/>
  <c r="G1510" i="34"/>
  <c r="G502" i="34"/>
  <c r="G502" i="32"/>
  <c r="G54" i="29"/>
  <c r="G390" i="14"/>
  <c r="G670" i="25"/>
  <c r="G110" i="25"/>
  <c r="G446" i="21"/>
  <c r="G1510" i="19"/>
  <c r="G1062" i="19"/>
  <c r="G726" i="19"/>
  <c r="G838" i="51"/>
  <c r="G670" i="30"/>
  <c r="G614" i="19"/>
  <c r="G54" i="18"/>
  <c r="G54" i="14"/>
  <c r="G110" i="30"/>
  <c r="G2014" i="19"/>
  <c r="G222" i="23"/>
  <c r="G390" i="34"/>
  <c r="G502" i="25"/>
  <c r="G446" i="23"/>
  <c r="G278" i="28"/>
  <c r="G110" i="17"/>
  <c r="G166" i="34"/>
  <c r="G670" i="19"/>
  <c r="G1398" i="19"/>
  <c r="G664" i="55"/>
  <c r="H664" i="55" s="1"/>
  <c r="H665" i="55" s="1"/>
  <c r="H666" i="55" s="1"/>
  <c r="G334" i="25"/>
  <c r="G558" i="26"/>
  <c r="G52" i="54"/>
  <c r="G726" i="51"/>
  <c r="G1105" i="55"/>
  <c r="H1105" i="55" s="1"/>
  <c r="H1106" i="55" s="1"/>
  <c r="H1107" i="55" s="1"/>
  <c r="G853" i="55"/>
  <c r="H853" i="55"/>
  <c r="H854" i="55"/>
  <c r="H855" i="55"/>
  <c r="G37" i="55"/>
  <c r="G415" i="55"/>
  <c r="G278" i="25"/>
  <c r="G54" i="13"/>
  <c r="G502" i="16"/>
  <c r="G54" i="12"/>
  <c r="G334" i="16"/>
  <c r="G670" i="29"/>
  <c r="G390" i="16"/>
  <c r="G166" i="12"/>
  <c r="G446" i="16"/>
  <c r="G54" i="21"/>
  <c r="G446" i="28"/>
  <c r="G558" i="51"/>
  <c r="G1678" i="34"/>
  <c r="G446" i="32"/>
  <c r="G222" i="30"/>
  <c r="G166" i="53"/>
  <c r="G1734" i="19"/>
  <c r="G502" i="23"/>
  <c r="G334" i="28"/>
  <c r="G278" i="51"/>
  <c r="G110" i="35"/>
  <c r="G1566" i="34"/>
  <c r="G558" i="34"/>
  <c r="G222" i="33"/>
  <c r="G614" i="30"/>
  <c r="G222" i="22"/>
  <c r="G222" i="19"/>
  <c r="G110" i="23"/>
  <c r="G278" i="26"/>
  <c r="G110" i="51"/>
  <c r="G54" i="35"/>
  <c r="G1230" i="34"/>
  <c r="G278" i="34"/>
  <c r="G278" i="32"/>
  <c r="G278" i="30"/>
  <c r="G222" i="29"/>
  <c r="G558" i="25"/>
  <c r="G54" i="19"/>
  <c r="G1902" i="19"/>
  <c r="G1622" i="19"/>
  <c r="G558" i="16"/>
  <c r="G1846" i="34"/>
  <c r="G166" i="30"/>
  <c r="G2126" i="19"/>
  <c r="G1622" i="34"/>
  <c r="G446" i="14"/>
  <c r="G1454" i="19"/>
  <c r="G502" i="26"/>
  <c r="G390" i="32"/>
  <c r="G166" i="19"/>
  <c r="G2070" i="34"/>
  <c r="G1118" i="34"/>
  <c r="G54" i="25"/>
  <c r="G166" i="29"/>
  <c r="G54" i="51"/>
  <c r="G353" i="55"/>
  <c r="G278" i="53"/>
  <c r="G614" i="51"/>
  <c r="G916" i="55"/>
  <c r="H916" i="55"/>
  <c r="H917" i="55" s="1"/>
  <c r="H918" i="55" s="1"/>
  <c r="G106" i="54"/>
  <c r="G1062" i="51"/>
  <c r="G1846" i="19"/>
  <c r="F482" i="25"/>
  <c r="K175" i="9"/>
  <c r="H2018" i="49"/>
  <c r="H2039" i="49" s="1"/>
  <c r="G2013" i="49"/>
  <c r="H82" i="33"/>
  <c r="H717" i="21"/>
  <c r="E598" i="51"/>
  <c r="B646" i="19"/>
  <c r="G262" i="25"/>
  <c r="H262" i="25" s="1"/>
  <c r="G29" i="51"/>
  <c r="H29" i="51" s="1"/>
  <c r="E536" i="51"/>
  <c r="B1324" i="19"/>
  <c r="G87" i="21"/>
  <c r="H87" i="21" s="1"/>
  <c r="G706" i="25"/>
  <c r="H706" i="25" s="1"/>
  <c r="E1711" i="19"/>
  <c r="G593" i="19"/>
  <c r="H593" i="19" s="1"/>
  <c r="G34" i="25"/>
  <c r="H34" i="25" s="1"/>
  <c r="B25" i="10"/>
  <c r="B23" i="10"/>
  <c r="E593" i="51"/>
  <c r="B424" i="51"/>
  <c r="E95" i="51"/>
  <c r="G374" i="51"/>
  <c r="H374" i="51" s="1"/>
  <c r="G371" i="51"/>
  <c r="H371" i="51" s="1"/>
  <c r="G701" i="19"/>
  <c r="H701" i="19" s="1"/>
  <c r="G85" i="22"/>
  <c r="H85" i="22" s="1"/>
  <c r="H101" i="22" s="1"/>
  <c r="B701" i="16"/>
  <c r="E2105" i="34"/>
  <c r="B590" i="51"/>
  <c r="B636" i="30"/>
  <c r="H493" i="29"/>
  <c r="B12" i="16"/>
  <c r="E11" i="17"/>
  <c r="F11" i="17"/>
  <c r="H11" i="17"/>
  <c r="B236" i="51"/>
  <c r="B683" i="25"/>
  <c r="E67" i="51"/>
  <c r="F67" i="51" s="1"/>
  <c r="H67" i="51" s="1"/>
  <c r="E1019" i="51"/>
  <c r="F1019" i="51"/>
  <c r="H1019" i="51" s="1"/>
  <c r="E964" i="51"/>
  <c r="F964" i="51"/>
  <c r="H964" i="51"/>
  <c r="E179" i="17"/>
  <c r="F179" i="17" s="1"/>
  <c r="H179" i="17" s="1"/>
  <c r="B907" i="51"/>
  <c r="B684" i="51"/>
  <c r="E571" i="51"/>
  <c r="F571" i="51"/>
  <c r="E907" i="51"/>
  <c r="F907" i="51" s="1"/>
  <c r="H907" i="51" s="1"/>
  <c r="B571" i="51"/>
  <c r="B572" i="51"/>
  <c r="E515" i="51"/>
  <c r="F515" i="51" s="1"/>
  <c r="H515" i="51" s="1"/>
  <c r="E2140" i="19"/>
  <c r="F2140" i="19" s="1"/>
  <c r="H2140" i="19" s="1"/>
  <c r="E460" i="51"/>
  <c r="F460" i="51"/>
  <c r="H460" i="51" s="1"/>
  <c r="E347" i="25"/>
  <c r="F347" i="25" s="1"/>
  <c r="H347" i="25"/>
  <c r="B67" i="25"/>
  <c r="B460" i="16"/>
  <c r="B628" i="51"/>
  <c r="E124" i="26"/>
  <c r="F124" i="26" s="1"/>
  <c r="H124" i="26" s="1"/>
  <c r="B274" i="10"/>
  <c r="B167" i="10"/>
  <c r="F650" i="51"/>
  <c r="F651" i="51"/>
  <c r="B335" i="10"/>
  <c r="B334" i="10" s="1"/>
  <c r="D113" i="26"/>
  <c r="D281" i="26"/>
  <c r="D169" i="26"/>
  <c r="D57" i="26"/>
  <c r="H312" i="23"/>
  <c r="D729" i="16"/>
  <c r="D337" i="16"/>
  <c r="D561" i="16"/>
  <c r="D393" i="16"/>
  <c r="D57" i="16"/>
  <c r="D169" i="16"/>
  <c r="D673" i="16"/>
  <c r="D225" i="16"/>
  <c r="F430" i="26"/>
  <c r="H661" i="30"/>
  <c r="H605" i="30"/>
  <c r="J377" i="25"/>
  <c r="G558" i="41"/>
  <c r="H2293" i="49"/>
  <c r="H1696" i="34"/>
  <c r="D281" i="29"/>
  <c r="D505" i="29"/>
  <c r="B352" i="10"/>
  <c r="B392" i="10"/>
  <c r="H584" i="49"/>
  <c r="H1214" i="49"/>
  <c r="G553" i="42"/>
  <c r="H188" i="49"/>
  <c r="H1314" i="34"/>
  <c r="J528" i="23"/>
  <c r="G53" i="51"/>
  <c r="G501" i="51"/>
  <c r="G165" i="29"/>
  <c r="G613" i="25"/>
  <c r="G389" i="25"/>
  <c r="G53" i="25"/>
  <c r="G445" i="21"/>
  <c r="G2069" i="19"/>
  <c r="G1509" i="19"/>
  <c r="G1285" i="19"/>
  <c r="G1061" i="19"/>
  <c r="G837" i="19"/>
  <c r="F424" i="51"/>
  <c r="F422" i="51"/>
  <c r="K414" i="51"/>
  <c r="K418" i="51"/>
  <c r="H269" i="29"/>
  <c r="B343" i="10"/>
  <c r="B379" i="10"/>
  <c r="B377" i="10"/>
  <c r="B430" i="10"/>
  <c r="G81" i="41"/>
  <c r="H719" i="49"/>
  <c r="H1681" i="49"/>
  <c r="H1844" i="49"/>
  <c r="H1851" i="49"/>
  <c r="H1986" i="34"/>
  <c r="H1650" i="34"/>
  <c r="H1426" i="34"/>
  <c r="H632" i="34"/>
  <c r="H408" i="34"/>
  <c r="H194" i="34"/>
  <c r="H138" i="34"/>
  <c r="H138" i="33"/>
  <c r="H499" i="14"/>
  <c r="H322" i="49"/>
  <c r="H329" i="49"/>
  <c r="B250" i="10"/>
  <c r="G193" i="41"/>
  <c r="G207" i="41"/>
  <c r="D673" i="51"/>
  <c r="D337" i="51"/>
  <c r="D505" i="51"/>
  <c r="H107" i="35"/>
  <c r="H1706" i="34"/>
  <c r="F372" i="26"/>
  <c r="F371" i="26"/>
  <c r="D169" i="28"/>
  <c r="D449" i="28"/>
  <c r="F1659" i="19"/>
  <c r="F1660" i="19"/>
  <c r="D463" i="10"/>
  <c r="H314" i="55"/>
  <c r="G315" i="55"/>
  <c r="H315" i="55"/>
  <c r="H320" i="55" s="1"/>
  <c r="K174" i="9" s="1"/>
  <c r="G65" i="46"/>
  <c r="G80" i="46"/>
  <c r="H1332" i="49"/>
  <c r="H484" i="25"/>
  <c r="H51" i="26"/>
  <c r="H23" i="54"/>
  <c r="H166" i="55"/>
  <c r="H169" i="55" s="1"/>
  <c r="D45" i="10"/>
  <c r="G163" i="10"/>
  <c r="C163" i="10"/>
  <c r="B161" i="10" s="1"/>
  <c r="G208" i="55"/>
  <c r="H208" i="55"/>
  <c r="H207" i="55"/>
  <c r="H211" i="55" s="1"/>
  <c r="K172" i="9" s="1"/>
  <c r="C43" i="10"/>
  <c r="D464" i="10"/>
  <c r="C62" i="10"/>
  <c r="B60" i="10" s="1"/>
  <c r="G320" i="10"/>
  <c r="C320" i="10" s="1"/>
  <c r="K171" i="9"/>
  <c r="G704" i="25"/>
  <c r="H704" i="25" s="1"/>
  <c r="B704" i="25"/>
  <c r="B312" i="25"/>
  <c r="G312" i="25"/>
  <c r="H312" i="25" s="1"/>
  <c r="H269" i="33" l="1"/>
  <c r="H157" i="33"/>
  <c r="H45" i="33"/>
  <c r="H549" i="29"/>
  <c r="H437" i="29"/>
  <c r="H493" i="28"/>
  <c r="H381" i="28"/>
  <c r="H493" i="26"/>
  <c r="H605" i="21"/>
  <c r="H325" i="21"/>
  <c r="H269" i="21"/>
  <c r="H213" i="21"/>
  <c r="H549" i="23"/>
  <c r="H437" i="23"/>
  <c r="H269" i="23"/>
  <c r="H45" i="23"/>
  <c r="H493" i="16"/>
  <c r="H493" i="14"/>
  <c r="H157" i="14"/>
  <c r="H45" i="13"/>
  <c r="H101" i="12"/>
  <c r="H325" i="29"/>
  <c r="H213" i="29"/>
  <c r="H269" i="30"/>
  <c r="H661" i="25"/>
  <c r="H493" i="23"/>
  <c r="H325" i="23"/>
  <c r="H2005" i="34"/>
  <c r="H1781" i="34"/>
  <c r="H1669" i="34"/>
  <c r="H1445" i="34"/>
  <c r="H1277" i="34"/>
  <c r="H1165" i="34"/>
  <c r="H1389" i="34"/>
  <c r="H45" i="14"/>
  <c r="H1725" i="34"/>
  <c r="H1053" i="34"/>
  <c r="H1221" i="34"/>
  <c r="H549" i="32"/>
  <c r="H549" i="30"/>
  <c r="H101" i="23"/>
  <c r="H45" i="32"/>
  <c r="H269" i="16"/>
  <c r="H500" i="14"/>
  <c r="H501" i="14" s="1"/>
  <c r="H437" i="14"/>
  <c r="H2061" i="19"/>
  <c r="H1472" i="34"/>
  <c r="H1584" i="34"/>
  <c r="H219" i="14"/>
  <c r="H107" i="14"/>
  <c r="H184" i="11"/>
  <c r="H571" i="51"/>
  <c r="H296" i="34"/>
  <c r="H331" i="21"/>
  <c r="H387" i="14"/>
  <c r="H11" i="18"/>
  <c r="H107" i="12"/>
  <c r="H51" i="13"/>
  <c r="H499" i="21"/>
  <c r="H1557" i="34"/>
  <c r="H157" i="12"/>
  <c r="H829" i="34"/>
  <c r="H1109" i="34"/>
  <c r="H381" i="14"/>
  <c r="H1613" i="34"/>
  <c r="H1501" i="34"/>
  <c r="H773" i="25"/>
  <c r="H269" i="14"/>
  <c r="H885" i="34"/>
  <c r="H1333" i="34"/>
  <c r="AK47" i="4"/>
  <c r="AM34" i="4"/>
  <c r="AO34" i="4" s="1"/>
  <c r="AM38" i="4"/>
  <c r="AO38" i="4" s="1"/>
  <c r="AM39" i="4"/>
  <c r="AO39" i="4" s="1"/>
  <c r="AE47" i="4"/>
  <c r="Q47" i="4"/>
  <c r="S47" i="4"/>
  <c r="M47" i="4"/>
  <c r="AJ47" i="4"/>
  <c r="U47" i="4"/>
  <c r="W47" i="4"/>
  <c r="AB47" i="4"/>
  <c r="X47" i="4"/>
  <c r="AC47" i="4"/>
  <c r="H47" i="4"/>
  <c r="I47" i="4"/>
  <c r="P47" i="4"/>
  <c r="Y47" i="4"/>
  <c r="AA47" i="4"/>
  <c r="O47" i="4"/>
  <c r="L47" i="4"/>
  <c r="T47" i="4"/>
  <c r="G47" i="4"/>
  <c r="AG47" i="4"/>
  <c r="K47" i="4"/>
  <c r="AF47" i="4"/>
  <c r="C2" i="23"/>
  <c r="C170" i="51"/>
  <c r="C58" i="29"/>
  <c r="C226" i="23"/>
  <c r="C2" i="35"/>
  <c r="C1962" i="19"/>
  <c r="C226" i="19"/>
  <c r="C114" i="29"/>
  <c r="C58" i="16"/>
  <c r="C226" i="28"/>
  <c r="C674" i="25"/>
  <c r="C114" i="16"/>
  <c r="C282" i="51"/>
  <c r="C1178" i="34"/>
  <c r="C450" i="28"/>
  <c r="C58" i="33"/>
  <c r="C282" i="28"/>
  <c r="C2074" i="34"/>
  <c r="C58" i="23"/>
  <c r="C170" i="14"/>
  <c r="C226" i="51"/>
  <c r="C58" i="12"/>
  <c r="C674" i="30"/>
  <c r="C114" i="19"/>
  <c r="C338" i="16"/>
  <c r="C842" i="19"/>
  <c r="C506" i="26"/>
  <c r="C506" i="29"/>
  <c r="C898" i="19"/>
  <c r="C338" i="14"/>
  <c r="C618" i="21"/>
  <c r="C170" i="32"/>
  <c r="C394" i="51"/>
  <c r="C506" i="51"/>
  <c r="C282" i="16"/>
  <c r="C450" i="30"/>
  <c r="C170" i="53"/>
  <c r="C562" i="16"/>
  <c r="C170" i="21"/>
  <c r="C114" i="23"/>
  <c r="C1850" i="34"/>
  <c r="C506" i="21"/>
  <c r="C226" i="21"/>
  <c r="C2" i="13"/>
  <c r="C562" i="30"/>
  <c r="C1514" i="19"/>
  <c r="C338" i="28"/>
  <c r="C114" i="11"/>
  <c r="C170" i="30"/>
  <c r="A373" i="5"/>
  <c r="A374" i="5" s="1"/>
  <c r="A375" i="5" s="1"/>
  <c r="G93" i="11"/>
  <c r="H93" i="11" s="1"/>
  <c r="E30" i="30"/>
  <c r="B95" i="11"/>
  <c r="B480" i="51"/>
  <c r="E1877" i="34"/>
  <c r="B147" i="26"/>
  <c r="G480" i="19"/>
  <c r="H480" i="19" s="1"/>
  <c r="G1375" i="19"/>
  <c r="H1375" i="19" s="1"/>
  <c r="G422" i="19"/>
  <c r="H422" i="19" s="1"/>
  <c r="G757" i="51"/>
  <c r="H757" i="51" s="1"/>
  <c r="G429" i="19"/>
  <c r="H429" i="19" s="1"/>
  <c r="E1822" i="19"/>
  <c r="E95" i="11"/>
  <c r="G312" i="19"/>
  <c r="H312" i="19" s="1"/>
  <c r="B594" i="29"/>
  <c r="G486" i="51"/>
  <c r="H486" i="51" s="1"/>
  <c r="E707" i="19"/>
  <c r="B1321" i="19"/>
  <c r="G935" i="51"/>
  <c r="H935" i="51" s="1"/>
  <c r="G1822" i="19"/>
  <c r="H1822" i="19" s="1"/>
  <c r="E1048" i="51"/>
  <c r="G1044" i="51"/>
  <c r="H1044" i="51" s="1"/>
  <c r="E141" i="21"/>
  <c r="E368" i="51"/>
  <c r="G31" i="51"/>
  <c r="H31" i="51" s="1"/>
  <c r="B86" i="53"/>
  <c r="E199" i="22"/>
  <c r="B142" i="13"/>
  <c r="G202" i="51"/>
  <c r="H202" i="51" s="1"/>
  <c r="B1317" i="19"/>
  <c r="B935" i="51"/>
  <c r="G1041" i="51"/>
  <c r="H1041" i="51" s="1"/>
  <c r="E253" i="25"/>
  <c r="E144" i="16"/>
  <c r="G86" i="13"/>
  <c r="H86" i="13" s="1"/>
  <c r="B765" i="51"/>
  <c r="G482" i="25"/>
  <c r="H482" i="25" s="1"/>
  <c r="G199" i="22"/>
  <c r="H199" i="22" s="1"/>
  <c r="E38" i="25"/>
  <c r="G142" i="26"/>
  <c r="H142" i="26" s="1"/>
  <c r="E260" i="53"/>
  <c r="B257" i="53"/>
  <c r="E926" i="51"/>
  <c r="G313" i="25"/>
  <c r="H313" i="25" s="1"/>
  <c r="B711" i="51"/>
  <c r="B30" i="11"/>
  <c r="E85" i="51"/>
  <c r="B2102" i="19"/>
  <c r="G29" i="18"/>
  <c r="H29" i="18" s="1"/>
  <c r="E593" i="29"/>
  <c r="G366" i="26"/>
  <c r="H366" i="26" s="1"/>
  <c r="E431" i="51"/>
  <c r="B422" i="19"/>
  <c r="B879" i="51"/>
  <c r="B365" i="51"/>
  <c r="G879" i="51"/>
  <c r="H879" i="51" s="1"/>
  <c r="G203" i="25"/>
  <c r="H203" i="25" s="1"/>
  <c r="G311" i="51"/>
  <c r="B85" i="18"/>
  <c r="B1541" i="19"/>
  <c r="B1933" i="19"/>
  <c r="B92" i="11"/>
  <c r="B316" i="19"/>
  <c r="G1777" i="19"/>
  <c r="H1777" i="19" s="1"/>
  <c r="E31" i="15"/>
  <c r="B595" i="51"/>
  <c r="G370" i="19"/>
  <c r="H370" i="19" s="1"/>
  <c r="B1551" i="19"/>
  <c r="B604" i="29"/>
  <c r="E32" i="11"/>
  <c r="B253" i="28"/>
  <c r="G257" i="53"/>
  <c r="H257" i="53" s="1"/>
  <c r="B253" i="25"/>
  <c r="E1376" i="19"/>
  <c r="G537" i="26"/>
  <c r="H537" i="26" s="1"/>
  <c r="E35" i="53"/>
  <c r="E478" i="26"/>
  <c r="G709" i="51"/>
  <c r="H709" i="51" s="1"/>
  <c r="B992" i="51"/>
  <c r="B197" i="14"/>
  <c r="B88" i="15"/>
  <c r="E310" i="51"/>
  <c r="E201" i="53"/>
  <c r="E1933" i="34"/>
  <c r="B32" i="51"/>
  <c r="E36" i="53"/>
  <c r="E535" i="19"/>
  <c r="G141" i="26"/>
  <c r="H141" i="26" s="1"/>
  <c r="E197" i="53"/>
  <c r="B33" i="11"/>
  <c r="B2103" i="34"/>
  <c r="B310" i="30"/>
  <c r="G1261" i="19"/>
  <c r="H1261" i="19" s="1"/>
  <c r="E146" i="51"/>
  <c r="G254" i="53"/>
  <c r="H254" i="53" s="1"/>
  <c r="G927" i="51"/>
  <c r="H927" i="51" s="1"/>
  <c r="G36" i="53"/>
  <c r="H36" i="53" s="1"/>
  <c r="B703" i="16"/>
  <c r="G592" i="16"/>
  <c r="H592" i="16" s="1"/>
  <c r="H605" i="16" s="1"/>
  <c r="E312" i="51"/>
  <c r="B146" i="53"/>
  <c r="B1325" i="19"/>
  <c r="G29" i="16"/>
  <c r="H29" i="16" s="1"/>
  <c r="G30" i="51"/>
  <c r="H30" i="51" s="1"/>
  <c r="B2103" i="19"/>
  <c r="E89" i="53"/>
  <c r="G1765" i="19"/>
  <c r="H1765" i="19" s="1"/>
  <c r="E29" i="16"/>
  <c r="E255" i="19"/>
  <c r="G263" i="51"/>
  <c r="E146" i="53"/>
  <c r="G2113" i="19"/>
  <c r="H2113" i="19" s="1"/>
  <c r="G91" i="53"/>
  <c r="H91" i="53" s="1"/>
  <c r="E203" i="53"/>
  <c r="B1767" i="19"/>
  <c r="B203" i="53"/>
  <c r="G1042" i="51"/>
  <c r="H1042" i="51" s="1"/>
  <c r="G1834" i="19"/>
  <c r="H1834" i="19" s="1"/>
  <c r="G591" i="51"/>
  <c r="H591" i="51" s="1"/>
  <c r="B1765" i="19"/>
  <c r="E534" i="51"/>
  <c r="G37" i="53"/>
  <c r="H37" i="53" s="1"/>
  <c r="G142" i="16"/>
  <c r="H142" i="16" s="1"/>
  <c r="E1041" i="51"/>
  <c r="G1320" i="19"/>
  <c r="H1320" i="19" s="1"/>
  <c r="E539" i="26"/>
  <c r="B479" i="19"/>
  <c r="G703" i="16"/>
  <c r="H703" i="16" s="1"/>
  <c r="E535" i="51"/>
  <c r="B1825" i="34"/>
  <c r="B199" i="51"/>
  <c r="G477" i="25"/>
  <c r="G430" i="26"/>
  <c r="H430" i="26" s="1"/>
  <c r="G31" i="53"/>
  <c r="H31" i="53" s="1"/>
  <c r="B600" i="51"/>
  <c r="E477" i="51"/>
  <c r="E257" i="53"/>
  <c r="E991" i="51"/>
  <c r="B926" i="51"/>
  <c r="B87" i="16"/>
  <c r="B31" i="51"/>
  <c r="E705" i="19"/>
  <c r="B1486" i="19"/>
  <c r="G702" i="16"/>
  <c r="H702" i="16" s="1"/>
  <c r="E263" i="51"/>
  <c r="B537" i="19"/>
  <c r="E85" i="18"/>
  <c r="G646" i="19"/>
  <c r="H646" i="19" s="1"/>
  <c r="B151" i="51"/>
  <c r="E1765" i="19"/>
  <c r="G198" i="22"/>
  <c r="H198" i="22" s="1"/>
  <c r="B142" i="22"/>
  <c r="B85" i="21"/>
  <c r="G37" i="11"/>
  <c r="H37" i="11" s="1"/>
  <c r="G145" i="19"/>
  <c r="H145" i="19" s="1"/>
  <c r="E1714" i="19"/>
  <c r="E536" i="19"/>
  <c r="G482" i="51"/>
  <c r="H482" i="51" s="1"/>
  <c r="E317" i="19"/>
  <c r="B2109" i="19"/>
  <c r="B1655" i="19"/>
  <c r="E369" i="26"/>
  <c r="B423" i="51"/>
  <c r="G423" i="19"/>
  <c r="H423" i="19" s="1"/>
  <c r="G367" i="26"/>
  <c r="H367" i="26" s="1"/>
  <c r="B370" i="25"/>
  <c r="E34" i="11"/>
  <c r="G143" i="51"/>
  <c r="H143" i="51" s="1"/>
  <c r="B421" i="25"/>
  <c r="G482" i="19"/>
  <c r="H482" i="19" s="1"/>
  <c r="G92" i="53"/>
  <c r="H92" i="53" s="1"/>
  <c r="E1325" i="19"/>
  <c r="G309" i="25"/>
  <c r="H309" i="25" s="1"/>
  <c r="B1378" i="19"/>
  <c r="B592" i="51"/>
  <c r="B85" i="16"/>
  <c r="B39" i="51"/>
  <c r="B85" i="22"/>
  <c r="E311" i="26"/>
  <c r="B481" i="19"/>
  <c r="E421" i="51"/>
  <c r="B310" i="19"/>
  <c r="G311" i="19"/>
  <c r="H311" i="19" s="1"/>
  <c r="B254" i="51"/>
  <c r="E310" i="26"/>
  <c r="E428" i="26"/>
  <c r="B2104" i="34"/>
  <c r="E981" i="19"/>
  <c r="G88" i="18"/>
  <c r="H88" i="18" s="1"/>
  <c r="B702" i="25"/>
  <c r="B312" i="19"/>
  <c r="B483" i="51"/>
  <c r="B1430" i="19"/>
  <c r="B433" i="26"/>
  <c r="G1263" i="19"/>
  <c r="H1263" i="19" s="1"/>
  <c r="E428" i="51"/>
  <c r="E1542" i="19"/>
  <c r="E487" i="51"/>
  <c r="E30" i="21"/>
  <c r="E1489" i="19"/>
  <c r="B31" i="53"/>
  <c r="E1937" i="34"/>
  <c r="B1660" i="19"/>
  <c r="E312" i="26"/>
  <c r="G1038" i="19"/>
  <c r="H1038" i="19" s="1"/>
  <c r="B815" i="19"/>
  <c r="G1606" i="19"/>
  <c r="H1606" i="19" s="1"/>
  <c r="B371" i="19"/>
  <c r="G651" i="29"/>
  <c r="H651" i="29" s="1"/>
  <c r="G593" i="51"/>
  <c r="H593" i="51" s="1"/>
  <c r="E424" i="26"/>
  <c r="E29" i="51"/>
  <c r="E1322" i="19"/>
  <c r="E983" i="51"/>
  <c r="E37" i="53"/>
  <c r="B533" i="19"/>
  <c r="B704" i="16"/>
  <c r="G310" i="26"/>
  <c r="H310" i="26" s="1"/>
  <c r="B647" i="29"/>
  <c r="E36" i="11"/>
  <c r="B319" i="51"/>
  <c r="B477" i="25"/>
  <c r="G651" i="51"/>
  <c r="H651" i="51" s="1"/>
  <c r="B1491" i="19"/>
  <c r="G368" i="19"/>
  <c r="H368" i="19" s="1"/>
  <c r="G542" i="51"/>
  <c r="H542" i="51" s="1"/>
  <c r="E705" i="51"/>
  <c r="G255" i="26"/>
  <c r="H255" i="26" s="1"/>
  <c r="B596" i="19"/>
  <c r="E1655" i="19"/>
  <c r="G315" i="26"/>
  <c r="B144" i="22"/>
  <c r="G533" i="25"/>
  <c r="H533" i="25" s="1"/>
  <c r="E425" i="25"/>
  <c r="E145" i="53"/>
  <c r="G704" i="16"/>
  <c r="H704" i="16" s="1"/>
  <c r="B1597" i="19"/>
  <c r="B86" i="19"/>
  <c r="G878" i="51"/>
  <c r="H878" i="51" s="1"/>
  <c r="E710" i="51"/>
  <c r="B1606" i="19"/>
  <c r="G1769" i="19"/>
  <c r="H1769" i="19" s="1"/>
  <c r="E1261" i="19"/>
  <c r="G708" i="51"/>
  <c r="H708" i="51" s="1"/>
  <c r="E934" i="51"/>
  <c r="G86" i="30"/>
  <c r="H86" i="30" s="1"/>
  <c r="H101" i="30" s="1"/>
  <c r="E878" i="51"/>
  <c r="G1609" i="19"/>
  <c r="H1609" i="19" s="1"/>
  <c r="B645" i="19"/>
  <c r="G90" i="11"/>
  <c r="H90" i="11" s="1"/>
  <c r="B33" i="19"/>
  <c r="E1431" i="19"/>
  <c r="B1831" i="19"/>
  <c r="E706" i="19"/>
  <c r="G1653" i="19"/>
  <c r="H1653" i="19" s="1"/>
  <c r="E1039" i="19"/>
  <c r="E422" i="26"/>
  <c r="E372" i="19"/>
  <c r="B595" i="19"/>
  <c r="B707" i="19"/>
  <c r="E929" i="51"/>
  <c r="E198" i="30"/>
  <c r="B1429" i="19"/>
  <c r="G710" i="51"/>
  <c r="H710" i="51" s="1"/>
  <c r="B200" i="19"/>
  <c r="G312" i="26"/>
  <c r="H312" i="26" s="1"/>
  <c r="E92" i="51"/>
  <c r="G146" i="26"/>
  <c r="H146" i="26" s="1"/>
  <c r="E201" i="51"/>
  <c r="B1375" i="19"/>
  <c r="E981" i="51"/>
  <c r="G1040" i="51"/>
  <c r="H1040" i="51" s="1"/>
  <c r="B255" i="19"/>
  <c r="B29" i="16"/>
  <c r="B30" i="51"/>
  <c r="B534" i="19"/>
  <c r="B591" i="29"/>
  <c r="B29" i="21"/>
  <c r="E480" i="51"/>
  <c r="G1823" i="34"/>
  <c r="H1823" i="34" s="1"/>
  <c r="B426" i="25"/>
  <c r="E813" i="19"/>
  <c r="G1830" i="19"/>
  <c r="H1830" i="19" s="1"/>
  <c r="B1492" i="19"/>
  <c r="G90" i="15"/>
  <c r="H90" i="15" s="1"/>
  <c r="G925" i="19"/>
  <c r="H925" i="19" s="1"/>
  <c r="E85" i="13"/>
  <c r="E197" i="22"/>
  <c r="E1709" i="19"/>
  <c r="B1937" i="34"/>
  <c r="G29" i="53"/>
  <c r="H29" i="53" s="1"/>
  <c r="E1879" i="34"/>
  <c r="G93" i="15"/>
  <c r="H93" i="15" s="1"/>
  <c r="B535" i="25"/>
  <c r="B146" i="26"/>
  <c r="B706" i="19"/>
  <c r="E1829" i="19"/>
  <c r="B934" i="51"/>
  <c r="G198" i="14"/>
  <c r="H198" i="14" s="1"/>
  <c r="B312" i="51"/>
  <c r="G533" i="19"/>
  <c r="H533" i="19" s="1"/>
  <c r="B32" i="21"/>
  <c r="E592" i="29"/>
  <c r="E1771" i="19"/>
  <c r="G262" i="51"/>
  <c r="H262" i="51" s="1"/>
  <c r="G94" i="51"/>
  <c r="H94" i="51" s="1"/>
  <c r="B373" i="19"/>
  <c r="G1430" i="19"/>
  <c r="H1430" i="19" s="1"/>
  <c r="B537" i="26"/>
  <c r="G369" i="26"/>
  <c r="H369" i="26" s="1"/>
  <c r="B367" i="19"/>
  <c r="B427" i="26"/>
  <c r="B425" i="19"/>
  <c r="G2102" i="19"/>
  <c r="H2102" i="19" s="1"/>
  <c r="B141" i="51"/>
  <c r="B365" i="25"/>
  <c r="B646" i="51"/>
  <c r="B31" i="21"/>
  <c r="B1777" i="19"/>
  <c r="G648" i="19"/>
  <c r="G536" i="19"/>
  <c r="H536" i="19" s="1"/>
  <c r="E604" i="29"/>
  <c r="B1827" i="19"/>
  <c r="E1603" i="19"/>
  <c r="B590" i="29"/>
  <c r="E253" i="19"/>
  <c r="E599" i="51"/>
  <c r="E87" i="51"/>
  <c r="G89" i="53"/>
  <c r="H89" i="53" s="1"/>
  <c r="E142" i="26"/>
  <c r="G197" i="51"/>
  <c r="H197" i="51" s="1"/>
  <c r="G1543" i="19"/>
  <c r="H1543" i="19" s="1"/>
  <c r="G423" i="51"/>
  <c r="G1824" i="34"/>
  <c r="H1824" i="34" s="1"/>
  <c r="G29" i="22"/>
  <c r="H29" i="22" s="1"/>
  <c r="H45" i="22" s="1"/>
  <c r="B88" i="16"/>
  <c r="E256" i="19"/>
  <c r="B33" i="18"/>
  <c r="B429" i="26"/>
  <c r="B1717" i="19"/>
  <c r="G260" i="51"/>
  <c r="H260" i="51" s="1"/>
  <c r="B1714" i="19"/>
  <c r="E148" i="26"/>
  <c r="E39" i="51"/>
  <c r="B1043" i="51"/>
  <c r="G701" i="51"/>
  <c r="H701" i="51" s="1"/>
  <c r="B538" i="26"/>
  <c r="G200" i="51"/>
  <c r="H200" i="51" s="1"/>
  <c r="G313" i="19"/>
  <c r="H313" i="19" s="1"/>
  <c r="B143" i="16"/>
  <c r="B145" i="53"/>
  <c r="G1601" i="19"/>
  <c r="H1601" i="19" s="1"/>
  <c r="E711" i="51"/>
  <c r="B367" i="26"/>
  <c r="B95" i="51"/>
  <c r="G369" i="19"/>
  <c r="G85" i="13"/>
  <c r="H85" i="13" s="1"/>
  <c r="E422" i="51"/>
  <c r="G87" i="53"/>
  <c r="H87" i="53" s="1"/>
  <c r="G982" i="19"/>
  <c r="H982" i="19" s="1"/>
  <c r="E88" i="15"/>
  <c r="E534" i="19"/>
  <c r="G2105" i="34"/>
  <c r="H2105" i="34" s="1"/>
  <c r="E1881" i="34"/>
  <c r="G873" i="51"/>
  <c r="H873" i="51" s="1"/>
  <c r="E597" i="29"/>
  <c r="B1822" i="34"/>
  <c r="E1600" i="19"/>
  <c r="B427" i="51"/>
  <c r="E92" i="15"/>
  <c r="E2107" i="19"/>
  <c r="E373" i="19"/>
  <c r="G141" i="51"/>
  <c r="H141" i="51" s="1"/>
  <c r="G30" i="53"/>
  <c r="H30" i="53" s="1"/>
  <c r="E31" i="21"/>
  <c r="B366" i="51"/>
  <c r="G591" i="19"/>
  <c r="H591" i="19" s="1"/>
  <c r="E1718" i="19"/>
  <c r="B30" i="30"/>
  <c r="G1655" i="19"/>
  <c r="E312" i="19"/>
  <c r="G313" i="26"/>
  <c r="H313" i="26" s="1"/>
  <c r="B1942" i="19"/>
  <c r="G652" i="29"/>
  <c r="H652" i="29" s="1"/>
  <c r="G706" i="51"/>
  <c r="H706" i="51" s="1"/>
  <c r="E371" i="26"/>
  <c r="B257" i="26"/>
  <c r="E1658" i="19"/>
  <c r="G1492" i="19"/>
  <c r="H1492" i="19" s="1"/>
  <c r="E86" i="15"/>
  <c r="E767" i="51"/>
  <c r="G31" i="25"/>
  <c r="H31" i="25" s="1"/>
  <c r="E589" i="29"/>
  <c r="G373" i="26"/>
  <c r="H373" i="26" s="1"/>
  <c r="B32" i="15"/>
  <c r="B30" i="17"/>
  <c r="B480" i="19"/>
  <c r="G926" i="51"/>
  <c r="H926" i="51" s="1"/>
  <c r="E143" i="26"/>
  <c r="E207" i="51"/>
  <c r="G648" i="16"/>
  <c r="H648" i="16" s="1"/>
  <c r="H661" i="16" s="1"/>
  <c r="E31" i="53"/>
  <c r="E423" i="19"/>
  <c r="B142" i="26"/>
  <c r="E365" i="19"/>
  <c r="E1713" i="19"/>
  <c r="G36" i="11"/>
  <c r="H36" i="11" s="1"/>
  <c r="E707" i="51"/>
  <c r="B592" i="29"/>
  <c r="G538" i="51"/>
  <c r="G1774" i="19"/>
  <c r="E591" i="51"/>
  <c r="B253" i="51"/>
  <c r="E879" i="51"/>
  <c r="E1541" i="19"/>
  <c r="E141" i="26"/>
  <c r="B207" i="51"/>
  <c r="G538" i="25"/>
  <c r="G1711" i="19"/>
  <c r="H1711" i="19" s="1"/>
  <c r="E369" i="51"/>
  <c r="G317" i="25"/>
  <c r="H317" i="25" s="1"/>
  <c r="E1149" i="19"/>
  <c r="G1716" i="19"/>
  <c r="H1716" i="19" s="1"/>
  <c r="G30" i="19"/>
  <c r="H30" i="19" s="1"/>
  <c r="G653" i="19"/>
  <c r="G427" i="19"/>
  <c r="H427" i="19" s="1"/>
  <c r="G142" i="30"/>
  <c r="H142" i="30" s="1"/>
  <c r="H157" i="30" s="1"/>
  <c r="B708" i="51"/>
  <c r="E931" i="51"/>
  <c r="E479" i="19"/>
  <c r="E141" i="22"/>
  <c r="G255" i="51"/>
  <c r="H255" i="51" s="1"/>
  <c r="E29" i="15"/>
  <c r="G1094" i="19"/>
  <c r="H1094" i="19" s="1"/>
  <c r="E1774" i="19"/>
  <c r="G30" i="25"/>
  <c r="H30" i="25" s="1"/>
  <c r="E1772" i="19"/>
  <c r="E595" i="29"/>
  <c r="E540" i="51"/>
  <c r="E143" i="19"/>
  <c r="E1263" i="19"/>
  <c r="G759" i="19"/>
  <c r="E932" i="51"/>
  <c r="B145" i="51"/>
  <c r="E261" i="19"/>
  <c r="G253" i="17"/>
  <c r="H253" i="17" s="1"/>
  <c r="E204" i="53"/>
  <c r="G984" i="51"/>
  <c r="H984" i="51" s="1"/>
  <c r="E1601" i="19"/>
  <c r="B479" i="51"/>
  <c r="G1599" i="19"/>
  <c r="H1599" i="19" s="1"/>
  <c r="B757" i="51"/>
  <c r="G365" i="25"/>
  <c r="B143" i="22"/>
  <c r="B143" i="53"/>
  <c r="G428" i="26"/>
  <c r="H428" i="26" s="1"/>
  <c r="E85" i="53"/>
  <c r="E589" i="19"/>
  <c r="B1261" i="19"/>
  <c r="B146" i="51"/>
  <c r="B145" i="19"/>
  <c r="G148" i="26"/>
  <c r="H148" i="26" s="1"/>
  <c r="B34" i="15"/>
  <c r="B147" i="51"/>
  <c r="E88" i="16"/>
  <c r="B256" i="51"/>
  <c r="G481" i="19"/>
  <c r="H481" i="19" s="1"/>
  <c r="B2101" i="34"/>
  <c r="B33" i="25"/>
  <c r="B263" i="51"/>
  <c r="G421" i="26"/>
  <c r="H421" i="26" s="1"/>
  <c r="B369" i="51"/>
  <c r="E2112" i="19"/>
  <c r="E650" i="29"/>
  <c r="B651" i="51"/>
  <c r="B1773" i="19"/>
  <c r="B253" i="17"/>
  <c r="E1543" i="19"/>
  <c r="E537" i="19"/>
  <c r="B1933" i="34"/>
  <c r="B534" i="25"/>
  <c r="B203" i="51"/>
  <c r="B650" i="29"/>
  <c r="E30" i="17"/>
  <c r="B651" i="19"/>
  <c r="B1094" i="19"/>
  <c r="B142" i="19"/>
  <c r="E87" i="18"/>
  <c r="G653" i="29"/>
  <c r="H653" i="29" s="1"/>
  <c r="B1039" i="19"/>
  <c r="G1940" i="19"/>
  <c r="H1940" i="19" s="1"/>
  <c r="G927" i="19"/>
  <c r="H927" i="19" s="1"/>
  <c r="E316" i="51"/>
  <c r="G1150" i="19"/>
  <c r="H1150" i="19" s="1"/>
  <c r="E425" i="26"/>
  <c r="G1833" i="19"/>
  <c r="H1833" i="19" s="1"/>
  <c r="G204" i="53"/>
  <c r="H204" i="53" s="1"/>
  <c r="E594" i="29"/>
  <c r="B1775" i="19"/>
  <c r="E370" i="19"/>
  <c r="E652" i="19"/>
  <c r="E1493" i="19"/>
  <c r="B422" i="26"/>
  <c r="G200" i="22"/>
  <c r="H200" i="22" s="1"/>
  <c r="G30" i="18"/>
  <c r="H30" i="18" s="1"/>
  <c r="G589" i="51"/>
  <c r="H589" i="51" s="1"/>
  <c r="G758" i="51"/>
  <c r="G31" i="17"/>
  <c r="H31" i="17" s="1"/>
  <c r="E32" i="17"/>
  <c r="G481" i="51"/>
  <c r="H481" i="51" s="1"/>
  <c r="B1490" i="19"/>
  <c r="B648" i="51"/>
  <c r="B365" i="26"/>
  <c r="B33" i="17"/>
  <c r="E197" i="19"/>
  <c r="B262" i="51"/>
  <c r="B198" i="30"/>
  <c r="E31" i="18"/>
  <c r="B91" i="15"/>
  <c r="B761" i="51"/>
  <c r="E32" i="19"/>
  <c r="B253" i="32"/>
  <c r="G371" i="19"/>
  <c r="H371" i="19" s="1"/>
  <c r="E1554" i="19"/>
  <c r="G604" i="29"/>
  <c r="H604" i="29" s="1"/>
  <c r="G539" i="51"/>
  <c r="H539" i="51" s="1"/>
  <c r="E198" i="19"/>
  <c r="B88" i="18"/>
  <c r="E651" i="19"/>
  <c r="B259" i="51"/>
  <c r="B1149" i="19"/>
  <c r="E90" i="15"/>
  <c r="G2160" i="19"/>
  <c r="G88" i="19"/>
  <c r="H88" i="19" s="1"/>
  <c r="B2112" i="19"/>
  <c r="B94" i="51"/>
  <c r="B258" i="51"/>
  <c r="E481" i="51"/>
  <c r="G85" i="19"/>
  <c r="H85" i="19" s="1"/>
  <c r="B203" i="25"/>
  <c r="B1778" i="19"/>
  <c r="E257" i="19"/>
  <c r="E32" i="25"/>
  <c r="B598" i="51"/>
  <c r="B814" i="19"/>
  <c r="E595" i="51"/>
  <c r="B32" i="18"/>
  <c r="E758" i="51"/>
  <c r="G87" i="16"/>
  <c r="H87" i="16" s="1"/>
  <c r="E537" i="25"/>
  <c r="G425" i="19"/>
  <c r="H425" i="19" s="1"/>
  <c r="B32" i="16"/>
  <c r="E29" i="26"/>
  <c r="B425" i="26"/>
  <c r="B540" i="51"/>
  <c r="B372" i="51"/>
  <c r="E759" i="19"/>
  <c r="G426" i="19"/>
  <c r="H426" i="19" s="1"/>
  <c r="E1093" i="19"/>
  <c r="G874" i="51"/>
  <c r="H874" i="51" s="1"/>
  <c r="B144" i="19"/>
  <c r="G645" i="51"/>
  <c r="H645" i="51" s="1"/>
  <c r="B1718" i="19"/>
  <c r="E254" i="17"/>
  <c r="B201" i="19"/>
  <c r="B318" i="51"/>
  <c r="G1828" i="19"/>
  <c r="H1828" i="19" s="1"/>
  <c r="G370" i="26"/>
  <c r="H370" i="26" s="1"/>
  <c r="G310" i="14"/>
  <c r="H310" i="14" s="1"/>
  <c r="H325" i="14" s="1"/>
  <c r="E34" i="18"/>
  <c r="G373" i="19"/>
  <c r="H373" i="19" s="1"/>
  <c r="B428" i="19"/>
  <c r="B314" i="51"/>
  <c r="G595" i="51"/>
  <c r="H595" i="51" s="1"/>
  <c r="E142" i="29"/>
  <c r="E1831" i="19"/>
  <c r="B652" i="29"/>
  <c r="G31" i="18"/>
  <c r="H31" i="18" s="1"/>
  <c r="B757" i="16"/>
  <c r="G875" i="51"/>
  <c r="H875" i="51" s="1"/>
  <c r="E197" i="25"/>
  <c r="G87" i="15"/>
  <c r="H87" i="15" s="1"/>
  <c r="G367" i="19"/>
  <c r="H367" i="19" s="1"/>
  <c r="G590" i="19"/>
  <c r="H590" i="19" s="1"/>
  <c r="G1935" i="19"/>
  <c r="H1935" i="19" s="1"/>
  <c r="B645" i="29"/>
  <c r="E1610" i="19"/>
  <c r="E87" i="13"/>
  <c r="B1653" i="19"/>
  <c r="G422" i="26"/>
  <c r="H422" i="26" s="1"/>
  <c r="E765" i="51"/>
  <c r="E85" i="21"/>
  <c r="E477" i="25"/>
  <c r="B86" i="21"/>
  <c r="G34" i="18"/>
  <c r="H34" i="18" s="1"/>
  <c r="E757" i="16"/>
  <c r="G86" i="14"/>
  <c r="H86" i="14" s="1"/>
  <c r="H101" i="14" s="1"/>
  <c r="B1431" i="19"/>
  <c r="B148" i="26"/>
  <c r="E89" i="15"/>
  <c r="B429" i="19"/>
  <c r="G87" i="13"/>
  <c r="H87" i="13" s="1"/>
  <c r="E88" i="19"/>
  <c r="E591" i="19"/>
  <c r="E202" i="51"/>
  <c r="G762" i="51"/>
  <c r="H762" i="51" s="1"/>
  <c r="B878" i="51"/>
  <c r="B538" i="19"/>
  <c r="G261" i="19"/>
  <c r="H261" i="19" s="1"/>
  <c r="E1037" i="19"/>
  <c r="G539" i="19"/>
  <c r="H539" i="19" s="1"/>
  <c r="G1037" i="19"/>
  <c r="H1037" i="19" s="1"/>
  <c r="G2167" i="19"/>
  <c r="H2167" i="19" s="1"/>
  <c r="B1493" i="19"/>
  <c r="B1656" i="19"/>
  <c r="G708" i="19"/>
  <c r="H708" i="19" s="1"/>
  <c r="E930" i="51"/>
  <c r="B1602" i="19"/>
  <c r="E314" i="51"/>
  <c r="E33" i="19"/>
  <c r="E433" i="26"/>
  <c r="G758" i="19"/>
  <c r="B1037" i="51"/>
  <c r="E538" i="26"/>
  <c r="G31" i="11"/>
  <c r="H31" i="11" s="1"/>
  <c r="G701" i="25"/>
  <c r="H701" i="25" s="1"/>
  <c r="G535" i="19"/>
  <c r="H535" i="19" s="1"/>
  <c r="B1934" i="19"/>
  <c r="G86" i="29"/>
  <c r="H86" i="29" s="1"/>
  <c r="H101" i="29" s="1"/>
  <c r="B1715" i="19"/>
  <c r="G32" i="18"/>
  <c r="H32" i="18" s="1"/>
  <c r="E369" i="19"/>
  <c r="E1597" i="19"/>
  <c r="E29" i="22"/>
  <c r="B144" i="16"/>
  <c r="E38" i="51"/>
  <c r="G1660" i="19"/>
  <c r="H1660" i="19" s="1"/>
  <c r="B86" i="30"/>
  <c r="G29" i="19"/>
  <c r="H29" i="19" s="1"/>
  <c r="E1550" i="19"/>
  <c r="G985" i="19"/>
  <c r="H985" i="19" s="1"/>
  <c r="E2110" i="19"/>
  <c r="B702" i="19"/>
  <c r="B649" i="19"/>
  <c r="B652" i="19"/>
  <c r="B648" i="29"/>
  <c r="B256" i="26"/>
  <c r="E1608" i="19"/>
  <c r="G484" i="19"/>
  <c r="H484" i="19" s="1"/>
  <c r="G1546" i="19"/>
  <c r="H1546" i="19" s="1"/>
  <c r="G33" i="51"/>
  <c r="H33" i="51" s="1"/>
  <c r="B1262" i="19"/>
  <c r="E259" i="25"/>
  <c r="G142" i="19"/>
  <c r="H142" i="19" s="1"/>
  <c r="E373" i="26"/>
  <c r="E1095" i="19"/>
  <c r="G594" i="29"/>
  <c r="H594" i="29" s="1"/>
  <c r="E1878" i="34"/>
  <c r="G314" i="26"/>
  <c r="G253" i="32"/>
  <c r="H253" i="32" s="1"/>
  <c r="H269" i="32" s="1"/>
  <c r="G1047" i="51"/>
  <c r="H1047" i="51" s="1"/>
  <c r="G2162" i="19"/>
  <c r="B421" i="19"/>
  <c r="B197" i="51"/>
  <c r="G1937" i="34"/>
  <c r="B35" i="11"/>
  <c r="E318" i="51"/>
  <c r="G145" i="51"/>
  <c r="H145" i="51" s="1"/>
  <c r="E434" i="26"/>
  <c r="E199" i="53"/>
  <c r="E1880" i="34"/>
  <c r="B981" i="19"/>
  <c r="G705" i="25"/>
  <c r="H705" i="25" s="1"/>
  <c r="G88" i="11"/>
  <c r="H88" i="11" s="1"/>
  <c r="E1833" i="19"/>
  <c r="G1772" i="19"/>
  <c r="H1772" i="19" s="1"/>
  <c r="B483" i="19"/>
  <c r="G199" i="19"/>
  <c r="H199" i="19" s="1"/>
  <c r="G1553" i="19"/>
  <c r="H1553" i="19" s="1"/>
  <c r="E366" i="19"/>
  <c r="E1485" i="19"/>
  <c r="E32" i="18"/>
  <c r="B592" i="19"/>
  <c r="B1607" i="19"/>
  <c r="E85" i="19"/>
  <c r="B426" i="19"/>
  <c r="E709" i="19"/>
  <c r="G602" i="29"/>
  <c r="H602" i="29" s="1"/>
  <c r="E1607" i="19"/>
  <c r="B871" i="19"/>
  <c r="G318" i="51"/>
  <c r="H318" i="51" s="1"/>
  <c r="E94" i="51"/>
  <c r="G90" i="18"/>
  <c r="H90" i="18" s="1"/>
  <c r="E143" i="13"/>
  <c r="B1828" i="19"/>
  <c r="G30" i="17"/>
  <c r="H30" i="17" s="1"/>
  <c r="E595" i="19"/>
  <c r="G145" i="53"/>
  <c r="H145" i="53" s="1"/>
  <c r="G1323" i="19"/>
  <c r="H1323" i="19" s="1"/>
  <c r="B533" i="26"/>
  <c r="E142" i="51"/>
  <c r="E2103" i="34"/>
  <c r="B1881" i="34"/>
  <c r="G35" i="11"/>
  <c r="H35" i="11" s="1"/>
  <c r="B316" i="51"/>
  <c r="G424" i="19"/>
  <c r="H424" i="19" s="1"/>
  <c r="G1549" i="19"/>
  <c r="H1549" i="19" s="1"/>
  <c r="E701" i="16"/>
  <c r="E1324" i="19"/>
  <c r="E646" i="29"/>
  <c r="B758" i="51"/>
  <c r="G31" i="21"/>
  <c r="H31" i="21" s="1"/>
  <c r="G143" i="26"/>
  <c r="H143" i="26" s="1"/>
  <c r="E253" i="32"/>
  <c r="G257" i="51"/>
  <c r="H257" i="51" s="1"/>
  <c r="B1878" i="34"/>
  <c r="G650" i="51"/>
  <c r="B538" i="51"/>
  <c r="E1487" i="19"/>
  <c r="G1881" i="34"/>
  <c r="H1881" i="34" s="1"/>
  <c r="B593" i="29"/>
  <c r="G421" i="25"/>
  <c r="H421" i="25" s="1"/>
  <c r="G598" i="51"/>
  <c r="B602" i="29"/>
  <c r="B1206" i="19"/>
  <c r="E1942" i="19"/>
  <c r="G1771" i="19"/>
  <c r="H1771" i="19" s="1"/>
  <c r="B1657" i="19"/>
  <c r="B707" i="51"/>
  <c r="E34" i="53"/>
  <c r="E533" i="25"/>
  <c r="E592" i="19"/>
  <c r="E310" i="14"/>
  <c r="B255" i="26"/>
  <c r="B87" i="18"/>
  <c r="G198" i="26"/>
  <c r="H198" i="26" s="1"/>
  <c r="H213" i="26" s="1"/>
  <c r="G89" i="15"/>
  <c r="H89" i="15" s="1"/>
  <c r="E1491" i="19"/>
  <c r="B258" i="19"/>
  <c r="B603" i="29"/>
  <c r="E1549" i="19"/>
  <c r="E1656" i="19"/>
  <c r="E427" i="51"/>
  <c r="E198" i="14"/>
  <c r="E141" i="19"/>
  <c r="G1826" i="19"/>
  <c r="H1826" i="19" s="1"/>
  <c r="G150" i="51"/>
  <c r="H150" i="51" s="1"/>
  <c r="B201" i="51"/>
  <c r="E534" i="25"/>
  <c r="B647" i="51"/>
  <c r="B315" i="25"/>
  <c r="G30" i="15"/>
  <c r="H30" i="15" s="1"/>
  <c r="E703" i="19"/>
  <c r="E198" i="22"/>
  <c r="E141" i="13"/>
  <c r="E31" i="25"/>
  <c r="E374" i="51"/>
  <c r="B198" i="26"/>
  <c r="G603" i="29"/>
  <c r="H603" i="29" s="1"/>
  <c r="G2157" i="19"/>
  <c r="G85" i="16"/>
  <c r="H85" i="16" s="1"/>
  <c r="G481" i="25"/>
  <c r="H481" i="25" s="1"/>
  <c r="B591" i="19"/>
  <c r="G312" i="51"/>
  <c r="H312" i="51" s="1"/>
  <c r="B425" i="25"/>
  <c r="G263" i="25"/>
  <c r="H263" i="25" s="1"/>
  <c r="E370" i="26"/>
  <c r="E484" i="51"/>
  <c r="B594" i="19"/>
  <c r="G1149" i="19"/>
  <c r="H1149" i="19" s="1"/>
  <c r="B150" i="51"/>
  <c r="B596" i="51"/>
  <c r="E648" i="16"/>
  <c r="E1824" i="34"/>
  <c r="B648" i="19"/>
  <c r="G147" i="51"/>
  <c r="H147" i="51" s="1"/>
  <c r="B2102" i="34"/>
  <c r="E33" i="18"/>
  <c r="B86" i="29"/>
  <c r="G203" i="17"/>
  <c r="H203" i="17" s="1"/>
  <c r="G30" i="30"/>
  <c r="H30" i="30" s="1"/>
  <c r="H45" i="30" s="1"/>
  <c r="G314" i="19"/>
  <c r="H314" i="19" s="1"/>
  <c r="E87" i="19"/>
  <c r="B763" i="51"/>
  <c r="G32" i="15"/>
  <c r="H32" i="15" s="1"/>
  <c r="B1205" i="19"/>
  <c r="G2102" i="34"/>
  <c r="H2102" i="34" s="1"/>
  <c r="B985" i="19"/>
  <c r="G1709" i="19"/>
  <c r="H1709" i="19" s="1"/>
  <c r="G144" i="51"/>
  <c r="H144" i="51" s="1"/>
  <c r="B309" i="25"/>
  <c r="G2161" i="19"/>
  <c r="G88" i="15"/>
  <c r="H88" i="15" s="1"/>
  <c r="E1766" i="19"/>
  <c r="B646" i="29"/>
  <c r="E2106" i="19"/>
  <c r="G203" i="51"/>
  <c r="H203" i="51" s="1"/>
  <c r="G484" i="51"/>
  <c r="H484" i="51" s="1"/>
  <c r="G1715" i="19"/>
  <c r="H1715" i="19" s="1"/>
  <c r="E313" i="26"/>
  <c r="B368" i="51"/>
  <c r="B29" i="17"/>
  <c r="E141" i="17"/>
  <c r="E479" i="51"/>
  <c r="G30" i="21"/>
  <c r="H30" i="21" s="1"/>
  <c r="B38" i="51"/>
  <c r="G259" i="51"/>
  <c r="H259" i="51" s="1"/>
  <c r="E314" i="26"/>
  <c r="E538" i="51"/>
  <c r="G92" i="15"/>
  <c r="H92" i="15" s="1"/>
  <c r="G766" i="51"/>
  <c r="H766" i="51" s="1"/>
  <c r="E85" i="16"/>
  <c r="G32" i="25"/>
  <c r="H32" i="25" s="1"/>
  <c r="E29" i="25"/>
  <c r="G876" i="51"/>
  <c r="H876" i="51" s="1"/>
  <c r="G1941" i="19"/>
  <c r="H1941" i="19" s="1"/>
  <c r="G261" i="25"/>
  <c r="H261" i="25" s="1"/>
  <c r="G91" i="51"/>
  <c r="H91" i="51" s="1"/>
  <c r="G428" i="19"/>
  <c r="H428" i="19" s="1"/>
  <c r="B141" i="19"/>
  <c r="G1942" i="19"/>
  <c r="H1942" i="19" s="1"/>
  <c r="B482" i="51"/>
  <c r="B30" i="29"/>
  <c r="B1603" i="19"/>
  <c r="B87" i="19"/>
  <c r="G2170" i="19"/>
  <c r="H2170" i="19" s="1"/>
  <c r="G2169" i="19"/>
  <c r="H2169" i="19" s="1"/>
  <c r="B1772" i="19"/>
  <c r="G1605" i="19"/>
  <c r="H1605" i="19" s="1"/>
  <c r="E35" i="51"/>
  <c r="G757" i="16"/>
  <c r="H757" i="16" s="1"/>
  <c r="E645" i="51"/>
  <c r="E538" i="25"/>
  <c r="G1657" i="19"/>
  <c r="H1657" i="19" s="1"/>
  <c r="B86" i="51"/>
  <c r="G315" i="19"/>
  <c r="H315" i="19" s="1"/>
  <c r="G2168" i="19"/>
  <c r="H2168" i="19" s="1"/>
  <c r="G198" i="30"/>
  <c r="H198" i="30" s="1"/>
  <c r="H213" i="30" s="1"/>
  <c r="E761" i="51"/>
  <c r="G1934" i="19"/>
  <c r="H1934" i="19" s="1"/>
  <c r="E2102" i="34"/>
  <c r="E654" i="51"/>
  <c r="E371" i="51"/>
  <c r="G537" i="51"/>
  <c r="H537" i="51" s="1"/>
  <c r="G540" i="19"/>
  <c r="H540" i="19" s="1"/>
  <c r="E206" i="51"/>
  <c r="G32" i="19"/>
  <c r="H32" i="19" s="1"/>
  <c r="G1775" i="19"/>
  <c r="H1775" i="19" s="1"/>
  <c r="G371" i="26"/>
  <c r="H371" i="26" s="1"/>
  <c r="B704" i="19"/>
  <c r="B1879" i="34"/>
  <c r="E478" i="51"/>
  <c r="G1489" i="19"/>
  <c r="H1489" i="19" s="1"/>
  <c r="E427" i="26"/>
  <c r="B29" i="15"/>
  <c r="G1878" i="34"/>
  <c r="H1878" i="34" s="1"/>
  <c r="E30" i="26"/>
  <c r="G1933" i="19"/>
  <c r="H1933" i="19" s="1"/>
  <c r="B535" i="51"/>
  <c r="G704" i="19"/>
  <c r="H704" i="19" s="1"/>
  <c r="B89" i="18"/>
  <c r="G597" i="29"/>
  <c r="H597" i="29" s="1"/>
  <c r="E90" i="51"/>
  <c r="G984" i="19"/>
  <c r="H984" i="19" s="1"/>
  <c r="E262" i="51"/>
  <c r="G2109" i="19"/>
  <c r="H2109" i="19" s="1"/>
  <c r="B481" i="51"/>
  <c r="G143" i="16"/>
  <c r="H143" i="16" s="1"/>
  <c r="E536" i="16"/>
  <c r="G647" i="19"/>
  <c r="H647" i="19" s="1"/>
  <c r="G421" i="51"/>
  <c r="H421" i="51" s="1"/>
  <c r="E365" i="25"/>
  <c r="G148" i="51"/>
  <c r="H148" i="51" s="1"/>
  <c r="E200" i="22"/>
  <c r="G1205" i="19"/>
  <c r="H1205" i="19" s="1"/>
  <c r="B1549" i="19"/>
  <c r="B425" i="51"/>
  <c r="E316" i="19"/>
  <c r="B199" i="22"/>
  <c r="E1094" i="19"/>
  <c r="E430" i="51"/>
  <c r="E203" i="51"/>
  <c r="B484" i="51"/>
  <c r="G1603" i="19"/>
  <c r="H1603" i="19" s="1"/>
  <c r="B1548" i="19"/>
  <c r="B203" i="17"/>
  <c r="E540" i="19"/>
  <c r="G1550" i="19"/>
  <c r="H1550" i="19" s="1"/>
  <c r="E1657" i="19"/>
  <c r="E430" i="26"/>
  <c r="G1380" i="19"/>
  <c r="H1380" i="19" s="1"/>
  <c r="B30" i="15"/>
  <c r="B534" i="51"/>
  <c r="B538" i="25"/>
  <c r="G2111" i="19"/>
  <c r="H2111" i="19" s="1"/>
  <c r="E2108" i="19"/>
  <c r="G589" i="29"/>
  <c r="H589" i="29" s="1"/>
  <c r="E425" i="19"/>
  <c r="E542" i="51"/>
  <c r="E1490" i="19"/>
  <c r="E143" i="22"/>
  <c r="E90" i="18"/>
  <c r="E1777" i="19"/>
  <c r="B314" i="26"/>
  <c r="B1263" i="19"/>
  <c r="G313" i="51"/>
  <c r="H313" i="51" s="1"/>
  <c r="G596" i="51"/>
  <c r="H596" i="51" s="1"/>
  <c r="E874" i="51"/>
  <c r="B86" i="14"/>
  <c r="E1602" i="19"/>
  <c r="E758" i="16"/>
  <c r="B1821" i="19"/>
  <c r="E253" i="26"/>
  <c r="G648" i="51"/>
  <c r="H648" i="51" s="1"/>
  <c r="G815" i="19"/>
  <c r="H815" i="19" s="1"/>
  <c r="E1551" i="19"/>
  <c r="B86" i="18"/>
  <c r="E429" i="26"/>
  <c r="E596" i="19"/>
  <c r="G983" i="19"/>
  <c r="H983" i="19" s="1"/>
  <c r="B30" i="25"/>
  <c r="G1656" i="19"/>
  <c r="H1656" i="19" s="1"/>
  <c r="E926" i="19"/>
  <c r="B206" i="51"/>
  <c r="B314" i="19"/>
  <c r="G2105" i="19"/>
  <c r="H2105" i="19" s="1"/>
  <c r="B2106" i="19"/>
  <c r="G926" i="19"/>
  <c r="H926" i="19" s="1"/>
  <c r="G2106" i="19"/>
  <c r="H2106" i="19" s="1"/>
  <c r="G764" i="51"/>
  <c r="H764" i="51" s="1"/>
  <c r="B1935" i="19"/>
  <c r="B1380" i="19"/>
  <c r="G368" i="51"/>
  <c r="H368" i="51" s="1"/>
  <c r="E2103" i="19"/>
  <c r="E142" i="11"/>
  <c r="B984" i="19"/>
  <c r="G85" i="21"/>
  <c r="H85" i="21" s="1"/>
  <c r="G257" i="19"/>
  <c r="E147" i="51"/>
  <c r="G89" i="19"/>
  <c r="H89" i="19" s="1"/>
  <c r="G33" i="11"/>
  <c r="H33" i="11" s="1"/>
  <c r="E814" i="19"/>
  <c r="E1488" i="19"/>
  <c r="B86" i="26"/>
  <c r="G427" i="51"/>
  <c r="H427" i="51" s="1"/>
  <c r="B1037" i="19"/>
  <c r="B704" i="51"/>
  <c r="G656" i="51"/>
  <c r="H656" i="51" s="1"/>
  <c r="G151" i="51"/>
  <c r="H151" i="51" s="1"/>
  <c r="B90" i="18"/>
  <c r="E1038" i="19"/>
  <c r="E199" i="51"/>
  <c r="B31" i="11"/>
  <c r="B424" i="19"/>
  <c r="B91" i="51"/>
  <c r="B260" i="51"/>
  <c r="B649" i="29"/>
  <c r="E2101" i="34"/>
  <c r="B1826" i="19"/>
  <c r="G1095" i="19"/>
  <c r="H1095" i="19" s="1"/>
  <c r="B2108" i="19"/>
  <c r="G648" i="29"/>
  <c r="H648" i="29" s="1"/>
  <c r="B931" i="51"/>
  <c r="E426" i="19"/>
  <c r="B1093" i="19"/>
  <c r="B1545" i="19"/>
  <c r="G87" i="51"/>
  <c r="H87" i="51" s="1"/>
  <c r="B1038" i="19"/>
  <c r="G258" i="26"/>
  <c r="H258" i="26" s="1"/>
  <c r="B144" i="51"/>
  <c r="E649" i="19"/>
  <c r="G1877" i="34"/>
  <c r="H1877" i="34" s="1"/>
  <c r="E648" i="19"/>
  <c r="G594" i="19"/>
  <c r="H594" i="19" s="1"/>
  <c r="B371" i="51"/>
  <c r="B930" i="51"/>
  <c r="E197" i="51"/>
  <c r="E1933" i="19"/>
  <c r="B762" i="51"/>
  <c r="B434" i="26"/>
  <c r="B1830" i="19"/>
  <c r="B990" i="51"/>
  <c r="G144" i="19"/>
  <c r="H144" i="19" s="1"/>
  <c r="B199" i="19"/>
  <c r="E34" i="25"/>
  <c r="E591" i="29"/>
  <c r="G201" i="53"/>
  <c r="H201" i="53" s="1"/>
  <c r="E2102" i="19"/>
  <c r="E652" i="29"/>
  <c r="B1485" i="19"/>
  <c r="G1554" i="19"/>
  <c r="H1554" i="19" s="1"/>
  <c r="B370" i="19"/>
  <c r="E429" i="19"/>
  <c r="G253" i="51"/>
  <c r="H253" i="51" s="1"/>
  <c r="E35" i="11"/>
  <c r="E2111" i="19"/>
  <c r="B478" i="26"/>
  <c r="E89" i="18"/>
  <c r="B873" i="51"/>
  <c r="B652" i="51"/>
  <c r="B31" i="18"/>
  <c r="G1827" i="19"/>
  <c r="H1827" i="19" s="1"/>
  <c r="B708" i="19"/>
  <c r="G2165" i="19"/>
  <c r="B2105" i="34"/>
  <c r="B207" i="17"/>
  <c r="G1778" i="19"/>
  <c r="H1778" i="19" s="1"/>
  <c r="E32" i="15"/>
  <c r="E370" i="25"/>
  <c r="E485" i="19"/>
  <c r="G652" i="51"/>
  <c r="H652" i="51" s="1"/>
  <c r="E653" i="19"/>
  <c r="G869" i="19"/>
  <c r="H869" i="19" s="1"/>
  <c r="B1609" i="19"/>
  <c r="G31" i="19"/>
  <c r="H31" i="19" s="1"/>
  <c r="G141" i="16"/>
  <c r="H141" i="16" s="1"/>
  <c r="E1825" i="34"/>
  <c r="G595" i="19"/>
  <c r="H595" i="19" s="1"/>
  <c r="G1773" i="19"/>
  <c r="H1773" i="19" s="1"/>
  <c r="G596" i="29"/>
  <c r="H596" i="29" s="1"/>
  <c r="B541" i="19"/>
  <c r="B1654" i="19"/>
  <c r="B368" i="19"/>
  <c r="G597" i="19"/>
  <c r="H597" i="19" s="1"/>
  <c r="E646" i="19"/>
  <c r="E29" i="18"/>
  <c r="B1709" i="19"/>
  <c r="E538" i="19"/>
  <c r="B1771" i="19"/>
  <c r="G1431" i="19"/>
  <c r="H1431" i="19" s="1"/>
  <c r="B597" i="29"/>
  <c r="B1095" i="19"/>
  <c r="B813" i="51"/>
  <c r="G426" i="26"/>
  <c r="H426" i="26" s="1"/>
  <c r="E647" i="19"/>
  <c r="E1429" i="19"/>
  <c r="G201" i="25"/>
  <c r="G650" i="29"/>
  <c r="H650" i="29" s="1"/>
  <c r="E983" i="19"/>
  <c r="E702" i="25"/>
  <c r="E1207" i="19"/>
  <c r="E141" i="51"/>
  <c r="B311" i="51"/>
  <c r="E927" i="19"/>
  <c r="E30" i="18"/>
  <c r="E482" i="19"/>
  <c r="B705" i="51"/>
  <c r="E708" i="51"/>
  <c r="B37" i="11"/>
  <c r="G479" i="19"/>
  <c r="H479" i="19" s="1"/>
  <c r="G33" i="15"/>
  <c r="H33" i="15" s="1"/>
  <c r="B543" i="51"/>
  <c r="B422" i="28"/>
  <c r="B1769" i="19"/>
  <c r="B421" i="51"/>
  <c r="G813" i="51"/>
  <c r="H813" i="51" s="1"/>
  <c r="E34" i="15"/>
  <c r="G434" i="26"/>
  <c r="B874" i="51"/>
  <c r="B87" i="53"/>
  <c r="B1712" i="19"/>
  <c r="E426" i="51"/>
  <c r="B142" i="21"/>
  <c r="G425" i="51"/>
  <c r="H425" i="51" s="1"/>
  <c r="E257" i="26"/>
  <c r="B1941" i="19"/>
  <c r="G197" i="14"/>
  <c r="H197" i="14" s="1"/>
  <c r="H213" i="14" s="1"/>
  <c r="B90" i="15"/>
  <c r="B1711" i="19"/>
  <c r="G33" i="25"/>
  <c r="H33" i="25" s="1"/>
  <c r="G1607" i="19"/>
  <c r="H1607" i="19" s="1"/>
  <c r="E593" i="19"/>
  <c r="B430" i="51"/>
  <c r="E649" i="51"/>
  <c r="B590" i="19"/>
  <c r="E372" i="26"/>
  <c r="E876" i="51"/>
  <c r="G707" i="51"/>
  <c r="H707" i="51" s="1"/>
  <c r="G483" i="51"/>
  <c r="H483" i="51" s="1"/>
  <c r="E645" i="29"/>
  <c r="E704" i="16"/>
  <c r="E426" i="26"/>
  <c r="E315" i="26"/>
  <c r="G485" i="19"/>
  <c r="H485" i="19" s="1"/>
  <c r="E1609" i="19"/>
  <c r="G1658" i="19"/>
  <c r="H1658" i="19" s="1"/>
  <c r="G478" i="21"/>
  <c r="H478" i="21" s="1"/>
  <c r="B368" i="26"/>
  <c r="B29" i="28"/>
  <c r="G1989" i="19"/>
  <c r="H1989" i="19" s="1"/>
  <c r="E30" i="51"/>
  <c r="B143" i="26"/>
  <c r="E30" i="29"/>
  <c r="E1828" i="19"/>
  <c r="E1553" i="19"/>
  <c r="B142" i="11"/>
  <c r="G649" i="21"/>
  <c r="H649" i="21" s="1"/>
  <c r="E141" i="28"/>
  <c r="B1768" i="19"/>
  <c r="E1492" i="19"/>
  <c r="E650" i="51"/>
  <c r="B141" i="21"/>
  <c r="E1768" i="19"/>
  <c r="G144" i="11"/>
  <c r="H144" i="11" s="1"/>
  <c r="E535" i="21"/>
  <c r="E141" i="11"/>
  <c r="G91" i="18"/>
  <c r="H91" i="18" s="1"/>
  <c r="G1659" i="19"/>
  <c r="G543" i="51"/>
  <c r="H543" i="51" s="1"/>
  <c r="E146" i="26"/>
  <c r="B422" i="21"/>
  <c r="G366" i="21"/>
  <c r="H366" i="21" s="1"/>
  <c r="B477" i="14"/>
  <c r="E91" i="18"/>
  <c r="E1877" i="19"/>
  <c r="G206" i="51"/>
  <c r="H206" i="51" s="1"/>
  <c r="B202" i="51"/>
  <c r="G142" i="53"/>
  <c r="H142" i="53" s="1"/>
  <c r="G541" i="19"/>
  <c r="H541" i="19" s="1"/>
  <c r="B535" i="21"/>
  <c r="B1989" i="19"/>
  <c r="G987" i="19"/>
  <c r="H987" i="19" s="1"/>
  <c r="E987" i="19"/>
  <c r="E1993" i="19"/>
  <c r="B1877" i="19"/>
  <c r="G592" i="29"/>
  <c r="H592" i="29" s="1"/>
  <c r="E425" i="51"/>
  <c r="B142" i="53"/>
  <c r="E1430" i="19"/>
  <c r="G141" i="28"/>
  <c r="H141" i="28" s="1"/>
  <c r="H157" i="28" s="1"/>
  <c r="G29" i="28"/>
  <c r="H29" i="28" s="1"/>
  <c r="H45" i="28" s="1"/>
  <c r="E651" i="29"/>
  <c r="G1039" i="19"/>
  <c r="H1039" i="19" s="1"/>
  <c r="E86" i="11"/>
  <c r="G34" i="51"/>
  <c r="H34" i="51" s="1"/>
  <c r="G253" i="25"/>
  <c r="H253" i="25" s="1"/>
  <c r="E597" i="19"/>
  <c r="E652" i="51"/>
  <c r="G91" i="15"/>
  <c r="H91" i="15" s="1"/>
  <c r="B594" i="51"/>
  <c r="G89" i="18"/>
  <c r="H89" i="18" s="1"/>
  <c r="E87" i="21"/>
  <c r="B144" i="11"/>
  <c r="B1824" i="19"/>
  <c r="E33" i="15"/>
  <c r="E1606" i="19"/>
  <c r="G423" i="26"/>
  <c r="H423" i="26" s="1"/>
  <c r="E145" i="51"/>
  <c r="B589" i="19"/>
  <c r="E1990" i="19"/>
  <c r="G85" i="28"/>
  <c r="H85" i="28" s="1"/>
  <c r="H101" i="28" s="1"/>
  <c r="E144" i="11"/>
  <c r="G365" i="26"/>
  <c r="H365" i="26" s="1"/>
  <c r="B986" i="19"/>
  <c r="E142" i="21"/>
  <c r="B143" i="11"/>
  <c r="E421" i="21"/>
  <c r="E1935" i="34"/>
  <c r="E142" i="30"/>
  <c r="E313" i="19"/>
  <c r="B478" i="21"/>
  <c r="E1989" i="19"/>
  <c r="B85" i="28"/>
  <c r="E310" i="30"/>
  <c r="G367" i="21"/>
  <c r="H367" i="21" s="1"/>
  <c r="B365" i="21"/>
  <c r="B36" i="11"/>
  <c r="G422" i="21"/>
  <c r="H422" i="21" s="1"/>
  <c r="G1824" i="19"/>
  <c r="H1824" i="19" s="1"/>
  <c r="B141" i="28"/>
  <c r="B89" i="11"/>
  <c r="E366" i="29"/>
  <c r="B85" i="11"/>
  <c r="B1823" i="34"/>
  <c r="E1773" i="19"/>
  <c r="B259" i="19"/>
  <c r="B987" i="19"/>
  <c r="G596" i="19"/>
  <c r="H596" i="19" s="1"/>
  <c r="B649" i="21"/>
  <c r="B197" i="11"/>
  <c r="B601" i="51"/>
  <c r="B90" i="11"/>
  <c r="E86" i="21"/>
  <c r="B87" i="11"/>
  <c r="E200" i="19"/>
  <c r="G479" i="21"/>
  <c r="H479" i="21" s="1"/>
  <c r="G647" i="21"/>
  <c r="H647" i="21" s="1"/>
  <c r="B486" i="51"/>
  <c r="E144" i="26"/>
  <c r="G197" i="11"/>
  <c r="H197" i="11" s="1"/>
  <c r="H213" i="11" s="1"/>
  <c r="E601" i="51"/>
  <c r="G1768" i="19"/>
  <c r="H1768" i="19" s="1"/>
  <c r="G89" i="11"/>
  <c r="H89" i="11" s="1"/>
  <c r="B369" i="25"/>
  <c r="B421" i="28"/>
  <c r="E144" i="19"/>
  <c r="G1045" i="51"/>
  <c r="H1045" i="51" s="1"/>
  <c r="B432" i="26"/>
  <c r="G2110" i="19"/>
  <c r="H2110" i="19" s="1"/>
  <c r="E649" i="21"/>
  <c r="B1992" i="19"/>
  <c r="E142" i="53"/>
  <c r="B315" i="19"/>
  <c r="B1604" i="19"/>
  <c r="G601" i="51"/>
  <c r="H601" i="51" s="1"/>
  <c r="G1992" i="19"/>
  <c r="H1992" i="19" s="1"/>
  <c r="G1877" i="19"/>
  <c r="H1877" i="19" s="1"/>
  <c r="H1893" i="19" s="1"/>
  <c r="G535" i="21"/>
  <c r="H535" i="21" s="1"/>
  <c r="G142" i="21"/>
  <c r="H142" i="21" s="1"/>
  <c r="G33" i="17"/>
  <c r="B482" i="25"/>
  <c r="E197" i="28"/>
  <c r="E1992" i="19"/>
  <c r="B88" i="11"/>
  <c r="B29" i="19"/>
  <c r="G142" i="11"/>
  <c r="H142" i="11" s="1"/>
  <c r="E477" i="14"/>
  <c r="G309" i="28"/>
  <c r="H309" i="28" s="1"/>
  <c r="H325" i="28" s="1"/>
  <c r="G143" i="11"/>
  <c r="H143" i="11" s="1"/>
  <c r="G425" i="25"/>
  <c r="H425" i="25" s="1"/>
  <c r="G424" i="26"/>
  <c r="H424" i="26" s="1"/>
  <c r="E39" i="25"/>
  <c r="B87" i="25"/>
  <c r="E646" i="21"/>
  <c r="B311" i="25"/>
  <c r="B423" i="26"/>
  <c r="E422" i="21"/>
  <c r="E2104" i="19"/>
  <c r="G422" i="28"/>
  <c r="H422" i="28" s="1"/>
  <c r="H437" i="28" s="1"/>
  <c r="E198" i="53"/>
  <c r="G87" i="25"/>
  <c r="H87" i="25" s="1"/>
  <c r="H101" i="25" s="1"/>
  <c r="B479" i="21"/>
  <c r="B143" i="21"/>
  <c r="E1779" i="19"/>
  <c r="B536" i="21"/>
  <c r="B597" i="51"/>
  <c r="G2104" i="19"/>
  <c r="H2104" i="19" s="1"/>
  <c r="B1991" i="19"/>
  <c r="E1824" i="19"/>
  <c r="B144" i="26"/>
  <c r="E706" i="25"/>
  <c r="E31" i="16"/>
  <c r="B541" i="51"/>
  <c r="E365" i="21"/>
  <c r="E367" i="21"/>
  <c r="B703" i="25"/>
  <c r="E597" i="51"/>
  <c r="E869" i="19"/>
  <c r="G1712" i="19"/>
  <c r="H1712" i="19" s="1"/>
  <c r="G254" i="17"/>
  <c r="H254" i="17" s="1"/>
  <c r="B31" i="25"/>
  <c r="E603" i="29"/>
  <c r="E1822" i="34"/>
  <c r="G87" i="18"/>
  <c r="H87" i="18" s="1"/>
  <c r="E432" i="26"/>
  <c r="B142" i="30"/>
  <c r="B706" i="51"/>
  <c r="G201" i="19"/>
  <c r="H201" i="19" s="1"/>
  <c r="G1825" i="19"/>
  <c r="H1825" i="19" s="1"/>
  <c r="G370" i="51"/>
  <c r="H370" i="51" s="1"/>
  <c r="E1605" i="19"/>
  <c r="G1993" i="19"/>
  <c r="H1993" i="19" s="1"/>
  <c r="E309" i="28"/>
  <c r="E1049" i="51"/>
  <c r="E366" i="21"/>
  <c r="E31" i="51"/>
  <c r="G597" i="51"/>
  <c r="E589" i="21"/>
  <c r="B423" i="21"/>
  <c r="G255" i="25"/>
  <c r="H255" i="25" s="1"/>
  <c r="B533" i="21"/>
  <c r="E764" i="51"/>
  <c r="E253" i="28"/>
  <c r="G368" i="26"/>
  <c r="H368" i="26" s="1"/>
  <c r="B141" i="11"/>
  <c r="E29" i="28"/>
  <c r="G92" i="11"/>
  <c r="H92" i="11" s="1"/>
  <c r="E814" i="51"/>
  <c r="G646" i="21"/>
  <c r="H646" i="21" s="1"/>
  <c r="E533" i="21"/>
  <c r="B813" i="19"/>
  <c r="E1262" i="19"/>
  <c r="G143" i="53"/>
  <c r="H143" i="53" s="1"/>
  <c r="B91" i="18"/>
  <c r="E1991" i="19"/>
  <c r="G86" i="11"/>
  <c r="H86" i="11" s="1"/>
  <c r="E422" i="28"/>
  <c r="E653" i="51"/>
  <c r="B1990" i="19"/>
  <c r="B197" i="28"/>
  <c r="G197" i="28"/>
  <c r="H197" i="28" s="1"/>
  <c r="H213" i="28" s="1"/>
  <c r="G310" i="30"/>
  <c r="H310" i="30" s="1"/>
  <c r="H325" i="30" s="1"/>
  <c r="G645" i="29"/>
  <c r="H645" i="29" s="1"/>
  <c r="G423" i="21"/>
  <c r="H423" i="21" s="1"/>
  <c r="B431" i="26"/>
  <c r="G932" i="51"/>
  <c r="H932" i="51" s="1"/>
  <c r="G1207" i="19"/>
  <c r="H1207" i="19" s="1"/>
  <c r="E704" i="19"/>
  <c r="G478" i="26"/>
  <c r="G649" i="51"/>
  <c r="H649" i="51" s="1"/>
  <c r="B597" i="19"/>
  <c r="B32" i="17"/>
  <c r="B1608" i="19"/>
  <c r="G421" i="19"/>
  <c r="H421" i="19" s="1"/>
  <c r="E372" i="51"/>
  <c r="E873" i="51"/>
  <c r="G253" i="28"/>
  <c r="H253" i="28" s="1"/>
  <c r="H269" i="28" s="1"/>
  <c r="E309" i="25"/>
  <c r="E30" i="11"/>
  <c r="G542" i="26"/>
  <c r="H542" i="26" s="1"/>
  <c r="B89" i="19"/>
  <c r="G1491" i="19"/>
  <c r="H1491" i="19" s="1"/>
  <c r="B87" i="13"/>
  <c r="G317" i="19"/>
  <c r="H317" i="19" s="1"/>
  <c r="B593" i="51"/>
  <c r="E150" i="51"/>
  <c r="E653" i="29"/>
  <c r="E708" i="19"/>
  <c r="E762" i="51"/>
  <c r="B1550" i="19"/>
  <c r="G1717" i="19"/>
  <c r="H1717" i="19" s="1"/>
  <c r="E1544" i="19"/>
  <c r="E1715" i="19"/>
  <c r="E1040" i="51"/>
  <c r="G204" i="17"/>
  <c r="H204" i="17" s="1"/>
  <c r="B589" i="51"/>
  <c r="B428" i="26"/>
  <c r="B814" i="51"/>
  <c r="G309" i="26"/>
  <c r="H309" i="26" s="1"/>
  <c r="E1486" i="19"/>
  <c r="B645" i="51"/>
  <c r="G143" i="13"/>
  <c r="H143" i="13" s="1"/>
  <c r="E368" i="26"/>
  <c r="B1880" i="34"/>
  <c r="E982" i="19"/>
  <c r="B653" i="51"/>
  <c r="E479" i="21"/>
  <c r="B143" i="25"/>
  <c r="G702" i="25"/>
  <c r="H702" i="25" s="1"/>
  <c r="E650" i="19"/>
  <c r="B539" i="51"/>
  <c r="G929" i="51"/>
  <c r="H929" i="51" s="1"/>
  <c r="E1934" i="34"/>
  <c r="E1206" i="19"/>
  <c r="G422" i="51"/>
  <c r="H422" i="51" s="1"/>
  <c r="E2105" i="19"/>
  <c r="E985" i="19"/>
  <c r="E30" i="19"/>
  <c r="E990" i="51"/>
  <c r="B757" i="19"/>
  <c r="G707" i="19"/>
  <c r="E482" i="51"/>
  <c r="E91" i="15"/>
  <c r="E93" i="15"/>
  <c r="E539" i="51"/>
  <c r="E258" i="26"/>
  <c r="E533" i="19"/>
  <c r="B1042" i="51"/>
  <c r="G1378" i="19"/>
  <c r="H1378" i="19" s="1"/>
  <c r="E1823" i="19"/>
  <c r="E537" i="26"/>
  <c r="B1542" i="19"/>
  <c r="G39" i="51"/>
  <c r="H39" i="51" s="1"/>
  <c r="E144" i="22"/>
  <c r="G645" i="19"/>
  <c r="H645" i="19" s="1"/>
  <c r="G29" i="15"/>
  <c r="H29" i="15" s="1"/>
  <c r="B1821" i="34"/>
  <c r="B89" i="53"/>
  <c r="G143" i="21"/>
  <c r="H143" i="21" s="1"/>
  <c r="E143" i="25"/>
  <c r="E149" i="53"/>
  <c r="E90" i="11"/>
  <c r="E87" i="16"/>
  <c r="G421" i="21"/>
  <c r="H421" i="21" s="1"/>
  <c r="B764" i="51"/>
  <c r="G144" i="26"/>
  <c r="H144" i="26" s="1"/>
  <c r="E88" i="11"/>
  <c r="B86" i="11"/>
  <c r="G653" i="51"/>
  <c r="H653" i="51" s="1"/>
  <c r="G426" i="51"/>
  <c r="H426" i="51" s="1"/>
  <c r="G1490" i="19"/>
  <c r="H1490" i="19" s="1"/>
  <c r="G207" i="25"/>
  <c r="H207" i="25" s="1"/>
  <c r="G149" i="26"/>
  <c r="H149" i="26" s="1"/>
  <c r="G654" i="51"/>
  <c r="H654" i="51" s="1"/>
  <c r="B92" i="15"/>
  <c r="B2107" i="19"/>
  <c r="B759" i="19"/>
  <c r="G144" i="22"/>
  <c r="H144" i="22" s="1"/>
  <c r="G1991" i="19"/>
  <c r="H1991" i="19" s="1"/>
  <c r="E85" i="11"/>
  <c r="B367" i="21"/>
  <c r="E477" i="21"/>
  <c r="E478" i="21"/>
  <c r="E87" i="11"/>
  <c r="E1045" i="51"/>
  <c r="G143" i="25"/>
  <c r="H143" i="25" s="1"/>
  <c r="H157" i="25" s="1"/>
  <c r="B646" i="21"/>
  <c r="G533" i="21"/>
  <c r="H533" i="21" s="1"/>
  <c r="E254" i="19"/>
  <c r="B1774" i="19"/>
  <c r="B89" i="51"/>
  <c r="E534" i="21"/>
  <c r="E89" i="19"/>
  <c r="B870" i="19"/>
  <c r="G314" i="51"/>
  <c r="H314" i="51" s="1"/>
  <c r="E201" i="19"/>
  <c r="G650" i="19"/>
  <c r="H650" i="19" s="1"/>
  <c r="B485" i="19"/>
  <c r="B32" i="19"/>
  <c r="E29" i="19"/>
  <c r="G142" i="29"/>
  <c r="H142" i="29" s="1"/>
  <c r="H157" i="29" s="1"/>
  <c r="E91" i="51"/>
  <c r="B92" i="51"/>
  <c r="G95" i="51"/>
  <c r="H95" i="51" s="1"/>
  <c r="E428" i="19"/>
  <c r="G141" i="19"/>
  <c r="H141" i="19" s="1"/>
  <c r="G1379" i="19"/>
  <c r="H1379" i="19" s="1"/>
  <c r="E1834" i="19"/>
  <c r="B202" i="25"/>
  <c r="G202" i="25"/>
  <c r="G30" i="16"/>
  <c r="H30" i="16" s="1"/>
  <c r="E254" i="51"/>
  <c r="B478" i="19"/>
  <c r="G29" i="11"/>
  <c r="H29" i="11" s="1"/>
  <c r="G86" i="15"/>
  <c r="H86" i="15" s="1"/>
  <c r="G38" i="25"/>
  <c r="H38" i="25" s="1"/>
  <c r="E89" i="11"/>
  <c r="B1049" i="51"/>
  <c r="E143" i="11"/>
  <c r="G87" i="11"/>
  <c r="H87" i="11" s="1"/>
  <c r="E541" i="51"/>
  <c r="B647" i="21"/>
  <c r="E367" i="26"/>
  <c r="G647" i="51"/>
  <c r="H647" i="51" s="1"/>
  <c r="G1831" i="19"/>
  <c r="H1831" i="19" s="1"/>
  <c r="B258" i="26"/>
  <c r="G706" i="19"/>
  <c r="H706" i="19" s="1"/>
  <c r="E203" i="17"/>
  <c r="E537" i="51"/>
  <c r="G2108" i="19"/>
  <c r="H2108" i="19" s="1"/>
  <c r="E86" i="14"/>
  <c r="B35" i="51"/>
  <c r="E925" i="19"/>
  <c r="E482" i="25"/>
  <c r="E427" i="19"/>
  <c r="E1827" i="19"/>
  <c r="E1654" i="19"/>
  <c r="E255" i="26"/>
  <c r="B198" i="19"/>
  <c r="B2113" i="19"/>
  <c r="G33" i="53"/>
  <c r="H33" i="53" s="1"/>
  <c r="E1321" i="19"/>
  <c r="G260" i="53"/>
  <c r="H260" i="53" s="1"/>
  <c r="G702" i="51"/>
  <c r="H702" i="51" s="1"/>
  <c r="G533" i="26"/>
  <c r="H533" i="26" s="1"/>
  <c r="B477" i="51"/>
  <c r="G310" i="19"/>
  <c r="H310" i="19" s="1"/>
  <c r="B366" i="26"/>
  <c r="G1598" i="19"/>
  <c r="H1598" i="19" s="1"/>
  <c r="B1936" i="34"/>
  <c r="G258" i="19"/>
  <c r="H258" i="19" s="1"/>
  <c r="E87" i="25"/>
  <c r="E656" i="51"/>
  <c r="G1604" i="19"/>
  <c r="H1604" i="19" s="1"/>
  <c r="E645" i="19"/>
  <c r="G1822" i="34"/>
  <c r="H1822" i="34" s="1"/>
  <c r="B1658" i="19"/>
  <c r="B1940" i="19"/>
  <c r="E815" i="19"/>
  <c r="G430" i="51"/>
  <c r="H430" i="51" s="1"/>
  <c r="E1546" i="19"/>
  <c r="E1205" i="19"/>
  <c r="G934" i="51"/>
  <c r="H934" i="51" s="1"/>
  <c r="E1825" i="19"/>
  <c r="E1317" i="19"/>
  <c r="E148" i="53"/>
  <c r="B258" i="25"/>
  <c r="B1487" i="19"/>
  <c r="B198" i="51"/>
  <c r="G366" i="51"/>
  <c r="H366" i="51" s="1"/>
  <c r="G309" i="19"/>
  <c r="H309" i="19" s="1"/>
  <c r="E30" i="15"/>
  <c r="B255" i="51"/>
  <c r="B1041" i="51"/>
  <c r="E1323" i="19"/>
  <c r="E93" i="53"/>
  <c r="B647" i="19"/>
  <c r="B141" i="13"/>
  <c r="B430" i="26"/>
  <c r="G480" i="51"/>
  <c r="H480" i="51" s="1"/>
  <c r="G649" i="19"/>
  <c r="E30" i="16"/>
  <c r="E368" i="19"/>
  <c r="B93" i="53"/>
  <c r="E37" i="25"/>
  <c r="B37" i="25"/>
  <c r="B34" i="18"/>
  <c r="B313" i="51"/>
  <c r="G761" i="51"/>
  <c r="H761" i="51" s="1"/>
  <c r="E1823" i="34"/>
  <c r="B1552" i="19"/>
  <c r="B2111" i="19"/>
  <c r="G432" i="26"/>
  <c r="H432" i="26" s="1"/>
  <c r="E813" i="51"/>
  <c r="E1710" i="19"/>
  <c r="G33" i="18"/>
  <c r="H33" i="18" s="1"/>
  <c r="E86" i="30"/>
  <c r="G87" i="19"/>
  <c r="H87" i="19" s="1"/>
  <c r="G315" i="51"/>
  <c r="H315" i="51" s="1"/>
  <c r="B256" i="19"/>
  <c r="B1374" i="19"/>
  <c r="B702" i="51"/>
  <c r="G1718" i="19"/>
  <c r="H1718" i="19" s="1"/>
  <c r="B536" i="16"/>
  <c r="G198" i="51"/>
  <c r="H198" i="51" s="1"/>
  <c r="G366" i="19"/>
  <c r="H366" i="19" s="1"/>
  <c r="G253" i="26"/>
  <c r="H253" i="26" s="1"/>
  <c r="E701" i="19"/>
  <c r="B253" i="26"/>
  <c r="E311" i="19"/>
  <c r="B1544" i="19"/>
  <c r="B148" i="53"/>
  <c r="G1037" i="51"/>
  <c r="H1037" i="51" s="1"/>
  <c r="B1377" i="19"/>
  <c r="B991" i="51"/>
  <c r="E984" i="51"/>
  <c r="G600" i="51"/>
  <c r="H600" i="51" s="1"/>
  <c r="G1710" i="19"/>
  <c r="H1710" i="19" s="1"/>
  <c r="E870" i="19"/>
  <c r="E259" i="51"/>
  <c r="G655" i="51"/>
  <c r="H655" i="51" s="1"/>
  <c r="B1833" i="19"/>
  <c r="G1093" i="19"/>
  <c r="H1093" i="19" s="1"/>
  <c r="G594" i="51"/>
  <c r="H594" i="51" s="1"/>
  <c r="G36" i="51"/>
  <c r="H36" i="51" s="1"/>
  <c r="G146" i="51"/>
  <c r="H146" i="51" s="1"/>
  <c r="B370" i="26"/>
  <c r="B2110" i="19"/>
  <c r="E1934" i="19"/>
  <c r="B260" i="53"/>
  <c r="B205" i="53"/>
  <c r="E1374" i="19"/>
  <c r="B85" i="13"/>
  <c r="G32" i="16"/>
  <c r="H32" i="16" s="1"/>
  <c r="G85" i="51"/>
  <c r="H85" i="51" s="1"/>
  <c r="G365" i="19"/>
  <c r="H365" i="19" s="1"/>
  <c r="E143" i="16"/>
  <c r="B90" i="53"/>
  <c r="G1206" i="19"/>
  <c r="H1206" i="19" s="1"/>
  <c r="B1048" i="51"/>
  <c r="B204" i="53"/>
  <c r="B927" i="51"/>
  <c r="G711" i="51"/>
  <c r="H711" i="51" s="1"/>
  <c r="E375" i="51"/>
  <c r="B200" i="51"/>
  <c r="G1825" i="34"/>
  <c r="H1825" i="34" s="1"/>
  <c r="B592" i="16"/>
  <c r="E648" i="51"/>
  <c r="B481" i="25"/>
  <c r="E86" i="16"/>
  <c r="G543" i="26"/>
  <c r="H543" i="26" s="1"/>
  <c r="E647" i="21"/>
  <c r="G479" i="51"/>
  <c r="H479" i="51" s="1"/>
  <c r="G1049" i="51"/>
  <c r="H1049" i="51" s="1"/>
  <c r="E423" i="21"/>
  <c r="E148" i="51"/>
  <c r="E1659" i="19"/>
  <c r="G309" i="51"/>
  <c r="H309" i="51" s="1"/>
  <c r="G871" i="19"/>
  <c r="H871" i="19" s="1"/>
  <c r="E431" i="26"/>
  <c r="E197" i="14"/>
  <c r="G318" i="25"/>
  <c r="H318" i="25" s="1"/>
  <c r="E92" i="11"/>
  <c r="G1943" i="19"/>
  <c r="H1943" i="19" s="1"/>
  <c r="E763" i="51"/>
  <c r="B148" i="51"/>
  <c r="G141" i="17"/>
  <c r="H141" i="17" s="1"/>
  <c r="H157" i="17" s="1"/>
  <c r="E875" i="51"/>
  <c r="E207" i="17"/>
  <c r="G425" i="26"/>
  <c r="H425" i="26" s="1"/>
  <c r="G1552" i="19"/>
  <c r="H1552" i="19" s="1"/>
  <c r="G256" i="19"/>
  <c r="H256" i="19" s="1"/>
  <c r="G205" i="25"/>
  <c r="H205" i="25" s="1"/>
  <c r="B143" i="13"/>
  <c r="E424" i="19"/>
  <c r="B309" i="28"/>
  <c r="B1045" i="51"/>
  <c r="G541" i="51"/>
  <c r="G254" i="19"/>
  <c r="H254" i="19" s="1"/>
  <c r="G30" i="29"/>
  <c r="H30" i="29" s="1"/>
  <c r="H45" i="29" s="1"/>
  <c r="B595" i="29"/>
  <c r="B649" i="51"/>
  <c r="B542" i="51"/>
  <c r="G1714" i="19"/>
  <c r="H1714" i="19" s="1"/>
  <c r="E484" i="19"/>
  <c r="E145" i="19"/>
  <c r="E260" i="51"/>
  <c r="B651" i="29"/>
  <c r="B371" i="26"/>
  <c r="B254" i="26"/>
  <c r="G1376" i="19"/>
  <c r="H1376" i="19" s="1"/>
  <c r="E147" i="53"/>
  <c r="E701" i="51"/>
  <c r="E203" i="25"/>
  <c r="B535" i="19"/>
  <c r="B29" i="11"/>
  <c r="G758" i="16"/>
  <c r="H758" i="16" s="1"/>
  <c r="G1487" i="19"/>
  <c r="H1487" i="19" s="1"/>
  <c r="B29" i="25"/>
  <c r="G30" i="26"/>
  <c r="H30" i="26" s="1"/>
  <c r="E33" i="11"/>
  <c r="B1373" i="19"/>
  <c r="G255" i="53"/>
  <c r="H255" i="53" s="1"/>
  <c r="E927" i="51"/>
  <c r="G259" i="25"/>
  <c r="H259" i="25" s="1"/>
  <c r="B34" i="11"/>
  <c r="G202" i="53"/>
  <c r="H202" i="53" s="1"/>
  <c r="G1542" i="19"/>
  <c r="H1542" i="19" s="1"/>
  <c r="E142" i="22"/>
  <c r="E702" i="16"/>
  <c r="E759" i="51"/>
  <c r="B1829" i="19"/>
  <c r="B1993" i="19"/>
  <c r="G1990" i="19"/>
  <c r="H1990" i="19" s="1"/>
  <c r="E32" i="16"/>
  <c r="G814" i="19"/>
  <c r="H814" i="19" s="1"/>
  <c r="E31" i="17"/>
  <c r="G1544" i="19"/>
  <c r="H1544" i="19" s="1"/>
  <c r="E314" i="19"/>
  <c r="G931" i="51"/>
  <c r="H931" i="51" s="1"/>
  <c r="G258" i="51"/>
  <c r="H258" i="51" s="1"/>
  <c r="B1600" i="19"/>
  <c r="B1770" i="19"/>
  <c r="G763" i="51"/>
  <c r="H763" i="51" s="1"/>
  <c r="E33" i="51"/>
  <c r="B1151" i="19"/>
  <c r="B1546" i="19"/>
  <c r="B204" i="51"/>
  <c r="G205" i="53"/>
  <c r="H205" i="53" s="1"/>
  <c r="B1381" i="19"/>
  <c r="G928" i="51"/>
  <c r="H928" i="51" s="1"/>
  <c r="G2164" i="19"/>
  <c r="B311" i="19"/>
  <c r="B702" i="16"/>
  <c r="E144" i="51"/>
  <c r="G90" i="53"/>
  <c r="H90" i="53" s="1"/>
  <c r="E705" i="25"/>
  <c r="E535" i="25"/>
  <c r="G197" i="22"/>
  <c r="H197" i="22" s="1"/>
  <c r="E259" i="53"/>
  <c r="B1822" i="19"/>
  <c r="B92" i="53"/>
  <c r="B758" i="16"/>
  <c r="B760" i="51"/>
  <c r="G592" i="51"/>
  <c r="H592" i="51" s="1"/>
  <c r="G365" i="51"/>
  <c r="H365" i="51" s="1"/>
  <c r="B257" i="19"/>
  <c r="E478" i="19"/>
  <c r="E367" i="19"/>
  <c r="G2103" i="34"/>
  <c r="H2103" i="34" s="1"/>
  <c r="E422" i="19"/>
  <c r="B593" i="19"/>
  <c r="E1940" i="19"/>
  <c r="G533" i="51"/>
  <c r="H533" i="51" s="1"/>
  <c r="E253" i="53"/>
  <c r="B366" i="21"/>
  <c r="E421" i="28"/>
  <c r="E757" i="19"/>
  <c r="E86" i="19"/>
  <c r="B87" i="21"/>
  <c r="B31" i="19"/>
  <c r="G534" i="21"/>
  <c r="H534" i="21" s="1"/>
  <c r="B1943" i="19"/>
  <c r="B534" i="21"/>
  <c r="B539" i="19"/>
  <c r="B650" i="51"/>
  <c r="G1829" i="19"/>
  <c r="H1829" i="19" s="1"/>
  <c r="E483" i="19"/>
  <c r="B2105" i="19"/>
  <c r="G148" i="53"/>
  <c r="H148" i="53" s="1"/>
  <c r="G1374" i="19"/>
  <c r="H1374" i="19" s="1"/>
  <c r="G981" i="51"/>
  <c r="H981" i="51" s="1"/>
  <c r="B423" i="19"/>
  <c r="B1766" i="19"/>
  <c r="E311" i="51"/>
  <c r="G1541" i="19"/>
  <c r="H1541" i="19" s="1"/>
  <c r="B310" i="51"/>
  <c r="B141" i="22"/>
  <c r="G37" i="25"/>
  <c r="H37" i="25" s="1"/>
  <c r="E421" i="19"/>
  <c r="E871" i="19"/>
  <c r="E1150" i="19"/>
  <c r="G536" i="51"/>
  <c r="H536" i="51" s="1"/>
  <c r="E258" i="19"/>
  <c r="G33" i="19"/>
  <c r="H33" i="19" s="1"/>
  <c r="B143" i="19"/>
  <c r="E1381" i="19"/>
  <c r="E1935" i="19"/>
  <c r="E655" i="51"/>
  <c r="E590" i="29"/>
  <c r="G199" i="51"/>
  <c r="H199" i="51" s="1"/>
  <c r="G595" i="29"/>
  <c r="H595" i="29" s="1"/>
  <c r="B259" i="53"/>
  <c r="B257" i="25"/>
  <c r="E702" i="51"/>
  <c r="B30" i="18"/>
  <c r="G32" i="11"/>
  <c r="H32" i="11" s="1"/>
  <c r="B253" i="19"/>
  <c r="G981" i="19"/>
  <c r="H981" i="19" s="1"/>
  <c r="B1489" i="19"/>
  <c r="B369" i="19"/>
  <c r="E85" i="22"/>
  <c r="E480" i="19"/>
  <c r="B1038" i="51"/>
  <c r="G1043" i="51"/>
  <c r="H1043" i="51" s="1"/>
  <c r="B929" i="51"/>
  <c r="G372" i="26"/>
  <c r="H372" i="26" s="1"/>
  <c r="G204" i="51"/>
  <c r="H204" i="51" s="1"/>
  <c r="G2159" i="19"/>
  <c r="B315" i="26"/>
  <c r="E703" i="16"/>
  <c r="E1826" i="19"/>
  <c r="B709" i="19"/>
  <c r="B30" i="19"/>
  <c r="G86" i="19"/>
  <c r="H86" i="19" s="1"/>
  <c r="G478" i="19"/>
  <c r="H478" i="19" s="1"/>
  <c r="E29" i="11"/>
  <c r="B369" i="26"/>
  <c r="E253" i="51"/>
  <c r="G590" i="51"/>
  <c r="H590" i="51" s="1"/>
  <c r="E1046" i="51"/>
  <c r="E423" i="25"/>
  <c r="E1835" i="19"/>
  <c r="G199" i="25"/>
  <c r="H199" i="25" s="1"/>
  <c r="G85" i="11"/>
  <c r="H85" i="11" s="1"/>
  <c r="E1770" i="19"/>
  <c r="B317" i="19"/>
  <c r="B1553" i="19"/>
  <c r="E315" i="19"/>
  <c r="G757" i="19"/>
  <c r="H757" i="19" s="1"/>
  <c r="E204" i="51"/>
  <c r="E258" i="51"/>
  <c r="G2101" i="34"/>
  <c r="H2101" i="34" s="1"/>
  <c r="G1046" i="51"/>
  <c r="H1046" i="51" s="1"/>
  <c r="B85" i="15"/>
  <c r="B656" i="51"/>
  <c r="E423" i="51"/>
  <c r="G311" i="26"/>
  <c r="H311" i="26" s="1"/>
  <c r="E757" i="51"/>
  <c r="B254" i="53"/>
  <c r="G704" i="51"/>
  <c r="H704" i="51" s="1"/>
  <c r="E313" i="25"/>
  <c r="B982" i="19"/>
  <c r="B29" i="51"/>
  <c r="B365" i="19"/>
  <c r="B1543" i="19"/>
  <c r="B198" i="53"/>
  <c r="E1936" i="34"/>
  <c r="B141" i="53"/>
  <c r="G316" i="19"/>
  <c r="H316" i="19" s="1"/>
  <c r="B1323" i="19"/>
  <c r="G1373" i="19"/>
  <c r="H1373" i="19" s="1"/>
  <c r="B30" i="26"/>
  <c r="B869" i="19"/>
  <c r="E1830" i="19"/>
  <c r="B1824" i="34"/>
  <c r="G255" i="19"/>
  <c r="H255" i="19" s="1"/>
  <c r="G89" i="51"/>
  <c r="H89" i="51" s="1"/>
  <c r="E36" i="51"/>
  <c r="B90" i="51"/>
  <c r="B366" i="29"/>
  <c r="B34" i="25"/>
  <c r="G1821" i="34"/>
  <c r="H1821" i="34" s="1"/>
  <c r="B29" i="18"/>
  <c r="G30" i="11"/>
  <c r="H30" i="11" s="1"/>
  <c r="B925" i="51"/>
  <c r="E142" i="13"/>
  <c r="G930" i="51"/>
  <c r="H930" i="51" s="1"/>
  <c r="B199" i="25"/>
  <c r="G423" i="25"/>
  <c r="H423" i="25" s="1"/>
  <c r="G94" i="11"/>
  <c r="H94" i="11" s="1"/>
  <c r="E197" i="11"/>
  <c r="G986" i="19"/>
  <c r="H986" i="19" s="1"/>
  <c r="G1429" i="19"/>
  <c r="H1429" i="19" s="1"/>
  <c r="H1445" i="19" s="1"/>
  <c r="E313" i="51"/>
  <c r="B197" i="19"/>
  <c r="E86" i="26"/>
  <c r="E371" i="19"/>
  <c r="B313" i="26"/>
  <c r="B255" i="53"/>
  <c r="B30" i="16"/>
  <c r="G591" i="29"/>
  <c r="H591" i="29" s="1"/>
  <c r="G536" i="16"/>
  <c r="H536" i="16" s="1"/>
  <c r="H549" i="16" s="1"/>
  <c r="E646" i="51"/>
  <c r="G141" i="22"/>
  <c r="H141" i="22" s="1"/>
  <c r="E481" i="25"/>
  <c r="G258" i="53"/>
  <c r="H258" i="53" s="1"/>
  <c r="B591" i="51"/>
  <c r="B426" i="26"/>
  <c r="E151" i="51"/>
  <c r="G197" i="53"/>
  <c r="H197" i="53" s="1"/>
  <c r="B86" i="13"/>
  <c r="B34" i="53"/>
  <c r="B1598" i="19"/>
  <c r="E426" i="25"/>
  <c r="B30" i="53"/>
  <c r="E1319" i="19"/>
  <c r="G983" i="51"/>
  <c r="H983" i="51" s="1"/>
  <c r="E89" i="51"/>
  <c r="E1552" i="19"/>
  <c r="G705" i="51"/>
  <c r="H705" i="51" s="1"/>
  <c r="E1547" i="19"/>
  <c r="B149" i="26"/>
  <c r="E701" i="25"/>
  <c r="G92" i="51"/>
  <c r="H92" i="51" s="1"/>
  <c r="G2107" i="19"/>
  <c r="H2107" i="19" s="1"/>
  <c r="G2166" i="19"/>
  <c r="H2166" i="19" s="1"/>
  <c r="G31" i="16"/>
  <c r="H31" i="16" s="1"/>
  <c r="G141" i="53"/>
  <c r="H141" i="53" s="1"/>
  <c r="G593" i="29"/>
  <c r="H593" i="29" s="1"/>
  <c r="B32" i="11"/>
  <c r="E589" i="51"/>
  <c r="E1377" i="19"/>
  <c r="B766" i="51"/>
  <c r="G141" i="11"/>
  <c r="H141" i="11" s="1"/>
  <c r="E703" i="25"/>
  <c r="G1488" i="19"/>
  <c r="H1488" i="19" s="1"/>
  <c r="E2113" i="19"/>
  <c r="E536" i="21"/>
  <c r="B33" i="15"/>
  <c r="B654" i="51"/>
  <c r="B373" i="26"/>
  <c r="B142" i="29"/>
  <c r="E370" i="51"/>
  <c r="G259" i="53"/>
  <c r="H259" i="53" s="1"/>
  <c r="E982" i="51"/>
  <c r="E649" i="29"/>
  <c r="B199" i="53"/>
  <c r="B759" i="51"/>
  <c r="G1767" i="19"/>
  <c r="H1767" i="19" s="1"/>
  <c r="E33" i="53"/>
  <c r="E260" i="19"/>
  <c r="E1043" i="51"/>
  <c r="B701" i="51"/>
  <c r="B201" i="25"/>
  <c r="E254" i="26"/>
  <c r="E255" i="51"/>
  <c r="G649" i="29"/>
  <c r="H649" i="29" s="1"/>
  <c r="G703" i="19"/>
  <c r="H703" i="19" s="1"/>
  <c r="B367" i="51"/>
  <c r="G32" i="21"/>
  <c r="H32" i="21" s="1"/>
  <c r="G477" i="19"/>
  <c r="H477" i="19" s="1"/>
  <c r="B33" i="51"/>
  <c r="B1376" i="19"/>
  <c r="B258" i="53"/>
  <c r="G372" i="19"/>
  <c r="H372" i="19" s="1"/>
  <c r="G259" i="19"/>
  <c r="H259" i="19" s="1"/>
  <c r="B428" i="51"/>
  <c r="E594" i="51"/>
  <c r="E1821" i="34"/>
  <c r="E310" i="19"/>
  <c r="G1602" i="19"/>
  <c r="H1602" i="19" s="1"/>
  <c r="E314" i="25"/>
  <c r="G145" i="26"/>
  <c r="H145" i="26" s="1"/>
  <c r="B36" i="53"/>
  <c r="G703" i="51"/>
  <c r="H703" i="51" s="1"/>
  <c r="G870" i="19"/>
  <c r="H870" i="19" s="1"/>
  <c r="B540" i="19"/>
  <c r="G536" i="21"/>
  <c r="H536" i="21" s="1"/>
  <c r="G427" i="26"/>
  <c r="H427" i="26" s="1"/>
  <c r="E88" i="18"/>
  <c r="B536" i="19"/>
  <c r="B370" i="51"/>
  <c r="G1654" i="19"/>
  <c r="G925" i="51"/>
  <c r="H925" i="51" s="1"/>
  <c r="B39" i="25"/>
  <c r="E141" i="53"/>
  <c r="G544" i="51"/>
  <c r="G253" i="19"/>
  <c r="H253" i="19" s="1"/>
  <c r="G1493" i="19"/>
  <c r="H1493" i="19" s="1"/>
  <c r="B1039" i="51"/>
  <c r="G253" i="53"/>
  <c r="H253" i="53" s="1"/>
  <c r="G1823" i="19"/>
  <c r="H1823" i="19" s="1"/>
  <c r="G538" i="26"/>
  <c r="H538" i="26" s="1"/>
  <c r="B142" i="16"/>
  <c r="B478" i="51"/>
  <c r="B197" i="53"/>
  <c r="E256" i="51"/>
  <c r="E198" i="51"/>
  <c r="E143" i="21"/>
  <c r="E253" i="17"/>
  <c r="G535" i="25"/>
  <c r="H535" i="25" s="1"/>
  <c r="E1769" i="19"/>
  <c r="E541" i="19"/>
  <c r="G428" i="51"/>
  <c r="H428" i="51" s="1"/>
  <c r="E147" i="26"/>
  <c r="E1044" i="51"/>
  <c r="G1317" i="19"/>
  <c r="H1317" i="19" s="1"/>
  <c r="E592" i="51"/>
  <c r="G144" i="16"/>
  <c r="H144" i="16" s="1"/>
  <c r="G702" i="19"/>
  <c r="H702" i="19" s="1"/>
  <c r="G198" i="53"/>
  <c r="H198" i="53" s="1"/>
  <c r="E1373" i="19"/>
  <c r="G1318" i="19"/>
  <c r="H1318" i="19" s="1"/>
  <c r="G314" i="25"/>
  <c r="H314" i="25" s="1"/>
  <c r="B544" i="51"/>
  <c r="G534" i="25"/>
  <c r="H534" i="25" s="1"/>
  <c r="G142" i="22"/>
  <c r="H142" i="22" s="1"/>
  <c r="G146" i="53"/>
  <c r="H146" i="53" s="1"/>
  <c r="B197" i="25"/>
  <c r="E86" i="29"/>
  <c r="E1037" i="51"/>
  <c r="E594" i="19"/>
  <c r="B89" i="15"/>
  <c r="B1934" i="34"/>
  <c r="E87" i="15"/>
  <c r="B537" i="25"/>
  <c r="E2109" i="19"/>
  <c r="E539" i="19"/>
  <c r="G1600" i="19"/>
  <c r="H1600" i="19" s="1"/>
  <c r="G1548" i="19"/>
  <c r="H1548" i="19" s="1"/>
  <c r="E29" i="17"/>
  <c r="B201" i="53"/>
  <c r="G477" i="51"/>
  <c r="H477" i="51" s="1"/>
  <c r="G705" i="19"/>
  <c r="H705" i="19" s="1"/>
  <c r="G599" i="51"/>
  <c r="H599" i="51" s="1"/>
  <c r="B147" i="53"/>
  <c r="B200" i="22"/>
  <c r="E311" i="25"/>
  <c r="B205" i="17"/>
  <c r="B91" i="11"/>
  <c r="B2104" i="19"/>
  <c r="B421" i="21"/>
  <c r="B482" i="19"/>
  <c r="G143" i="19"/>
  <c r="H143" i="19" s="1"/>
  <c r="E602" i="29"/>
  <c r="B93" i="15"/>
  <c r="B202" i="53"/>
  <c r="E984" i="19"/>
  <c r="G197" i="19"/>
  <c r="H197" i="19" s="1"/>
  <c r="B1040" i="51"/>
  <c r="E315" i="25"/>
  <c r="E202" i="53"/>
  <c r="B38" i="25"/>
  <c r="E254" i="53"/>
  <c r="E1039" i="51"/>
  <c r="E533" i="26"/>
  <c r="B197" i="22"/>
  <c r="G39" i="25"/>
  <c r="H39" i="25" s="1"/>
  <c r="G143" i="22"/>
  <c r="H143" i="22" s="1"/>
  <c r="G141" i="13"/>
  <c r="H141" i="13" s="1"/>
  <c r="E1545" i="19"/>
  <c r="G426" i="25"/>
  <c r="H426" i="25" s="1"/>
  <c r="B424" i="26"/>
  <c r="B1044" i="51"/>
  <c r="G1319" i="19"/>
  <c r="H1319" i="19" s="1"/>
  <c r="B983" i="19"/>
  <c r="G1547" i="19"/>
  <c r="H1547" i="19" s="1"/>
  <c r="E142" i="19"/>
  <c r="B710" i="51"/>
  <c r="G1713" i="19"/>
  <c r="H1713" i="19" s="1"/>
  <c r="B589" i="29"/>
  <c r="G319" i="51"/>
  <c r="H319" i="51" s="1"/>
  <c r="B925" i="19"/>
  <c r="G86" i="26"/>
  <c r="H86" i="26" s="1"/>
  <c r="H101" i="26" s="1"/>
  <c r="E33" i="17"/>
  <c r="B703" i="19"/>
  <c r="G1936" i="34"/>
  <c r="H1936" i="34" s="1"/>
  <c r="B701" i="19"/>
  <c r="E29" i="53"/>
  <c r="B309" i="19"/>
  <c r="E367" i="51"/>
  <c r="B91" i="53"/>
  <c r="B1935" i="34"/>
  <c r="E199" i="25"/>
  <c r="G703" i="25"/>
  <c r="H703" i="25" s="1"/>
  <c r="E94" i="11"/>
  <c r="B1610" i="19"/>
  <c r="G369" i="51"/>
  <c r="H369" i="51" s="1"/>
  <c r="E31" i="19"/>
  <c r="E259" i="19"/>
  <c r="B1716" i="19"/>
  <c r="G1934" i="34"/>
  <c r="H1934" i="34" s="1"/>
  <c r="E87" i="53"/>
  <c r="G260" i="19"/>
  <c r="H260" i="19" s="1"/>
  <c r="B1547" i="19"/>
  <c r="G1324" i="19"/>
  <c r="H1324" i="19" s="1"/>
  <c r="B983" i="51"/>
  <c r="E600" i="51"/>
  <c r="E33" i="25"/>
  <c r="G29" i="21"/>
  <c r="H29" i="21" s="1"/>
  <c r="G85" i="53"/>
  <c r="H85" i="53" s="1"/>
  <c r="B375" i="51"/>
  <c r="E423" i="26"/>
  <c r="G147" i="53"/>
  <c r="H147" i="53" s="1"/>
  <c r="G992" i="51"/>
  <c r="H992" i="51" s="1"/>
  <c r="G257" i="25"/>
  <c r="H257" i="25" s="1"/>
  <c r="B539" i="26"/>
  <c r="G85" i="15"/>
  <c r="H85" i="15" s="1"/>
  <c r="E86" i="18"/>
  <c r="G760" i="51"/>
  <c r="H760" i="51" s="1"/>
  <c r="G982" i="51"/>
  <c r="H982" i="51" s="1"/>
  <c r="E86" i="53"/>
  <c r="B85" i="51"/>
  <c r="B653" i="19"/>
  <c r="B143" i="51"/>
  <c r="G1039" i="51"/>
  <c r="H1039" i="51" s="1"/>
  <c r="E257" i="51"/>
  <c r="E706" i="51"/>
  <c r="B537" i="51"/>
  <c r="G589" i="19"/>
  <c r="H589" i="19" s="1"/>
  <c r="B260" i="19"/>
  <c r="E30" i="25"/>
  <c r="B312" i="26"/>
  <c r="B141" i="17"/>
  <c r="G535" i="51"/>
  <c r="H535" i="51" s="1"/>
  <c r="B536" i="51"/>
  <c r="B313" i="19"/>
  <c r="E309" i="51"/>
  <c r="G1545" i="19"/>
  <c r="H1545" i="19" s="1"/>
  <c r="G88" i="51"/>
  <c r="H88" i="51" s="1"/>
  <c r="E1598" i="19"/>
  <c r="E709" i="51"/>
  <c r="E261" i="53"/>
  <c r="E315" i="51"/>
  <c r="B1150" i="19"/>
  <c r="B535" i="26"/>
  <c r="E205" i="17"/>
  <c r="B93" i="11"/>
  <c r="G198" i="19"/>
  <c r="H198" i="19" s="1"/>
  <c r="B257" i="51"/>
  <c r="G537" i="19"/>
  <c r="H537" i="19" s="1"/>
  <c r="E1660" i="19"/>
  <c r="G149" i="53"/>
  <c r="H149" i="53" s="1"/>
  <c r="B703" i="51"/>
  <c r="B88" i="19"/>
  <c r="G537" i="25"/>
  <c r="H537" i="25" s="1"/>
  <c r="E91" i="53"/>
  <c r="B1379" i="19"/>
  <c r="G29" i="17"/>
  <c r="H29" i="17" s="1"/>
  <c r="G1766" i="19"/>
  <c r="H1766" i="19" s="1"/>
  <c r="B145" i="26"/>
  <c r="G207" i="51"/>
  <c r="H207" i="51" s="1"/>
  <c r="G261" i="53"/>
  <c r="H261" i="53" s="1"/>
  <c r="G990" i="51"/>
  <c r="H990" i="51" s="1"/>
  <c r="E1717" i="19"/>
  <c r="E37" i="11"/>
  <c r="E1712" i="19"/>
  <c r="B1877" i="34"/>
  <c r="B142" i="51"/>
  <c r="E86" i="13"/>
  <c r="G199" i="53"/>
  <c r="H199" i="53" s="1"/>
  <c r="B204" i="17"/>
  <c r="E1318" i="19"/>
  <c r="B596" i="29"/>
  <c r="E596" i="51"/>
  <c r="G1322" i="19"/>
  <c r="H1322" i="19" s="1"/>
  <c r="E202" i="25"/>
  <c r="E145" i="26"/>
  <c r="B1046" i="51"/>
  <c r="E204" i="17"/>
  <c r="G86" i="16"/>
  <c r="H86" i="16" s="1"/>
  <c r="E986" i="19"/>
  <c r="B981" i="51"/>
  <c r="B1605" i="19"/>
  <c r="E369" i="25"/>
  <c r="E544" i="51"/>
  <c r="E149" i="26"/>
  <c r="B34" i="51"/>
  <c r="B701" i="25"/>
  <c r="E142" i="16"/>
  <c r="E366" i="26"/>
  <c r="G647" i="29"/>
  <c r="H647" i="29" s="1"/>
  <c r="G539" i="26"/>
  <c r="H539" i="26" s="1"/>
  <c r="B309" i="51"/>
  <c r="G429" i="26"/>
  <c r="H429" i="26" s="1"/>
  <c r="B374" i="51"/>
  <c r="B37" i="53"/>
  <c r="B86" i="16"/>
  <c r="G86" i="18"/>
  <c r="H86" i="18" s="1"/>
  <c r="B421" i="26"/>
  <c r="B1319" i="19"/>
  <c r="E1821" i="19"/>
  <c r="G254" i="26"/>
  <c r="H254" i="26" s="1"/>
  <c r="G1486" i="19"/>
  <c r="H1486" i="19" s="1"/>
  <c r="E88" i="51"/>
  <c r="G424" i="51"/>
  <c r="H424" i="51" s="1"/>
  <c r="B1825" i="19"/>
  <c r="E258" i="53"/>
  <c r="G207" i="17"/>
  <c r="H207" i="17" s="1"/>
  <c r="G206" i="25"/>
  <c r="H206" i="25" s="1"/>
  <c r="B426" i="51"/>
  <c r="B706" i="25"/>
  <c r="G646" i="51"/>
  <c r="H646" i="51" s="1"/>
  <c r="B653" i="29"/>
  <c r="G316" i="51"/>
  <c r="H316" i="51" s="1"/>
  <c r="G86" i="21"/>
  <c r="H86" i="21" s="1"/>
  <c r="E481" i="19"/>
  <c r="E702" i="19"/>
  <c r="E93" i="11"/>
  <c r="G479" i="25"/>
  <c r="H479" i="25" s="1"/>
  <c r="G366" i="29"/>
  <c r="H366" i="29" s="1"/>
  <c r="H381" i="29" s="1"/>
  <c r="B705" i="19"/>
  <c r="G141" i="21"/>
  <c r="H141" i="21" s="1"/>
  <c r="E198" i="26"/>
  <c r="B1554" i="19"/>
  <c r="B533" i="25"/>
  <c r="B1320" i="19"/>
  <c r="E31" i="11"/>
  <c r="E1599" i="19"/>
  <c r="E1380" i="19"/>
  <c r="G814" i="51"/>
  <c r="H814" i="51" s="1"/>
  <c r="B533" i="51"/>
  <c r="E1943" i="19"/>
  <c r="G1048" i="51"/>
  <c r="H1048" i="51" s="1"/>
  <c r="G540" i="51"/>
  <c r="H540" i="51" s="1"/>
  <c r="E421" i="25"/>
  <c r="G256" i="26"/>
  <c r="H256" i="26" s="1"/>
  <c r="G2163" i="19"/>
  <c r="B141" i="16"/>
  <c r="B767" i="51"/>
  <c r="E935" i="51"/>
  <c r="G88" i="16"/>
  <c r="H88" i="16" s="1"/>
  <c r="E1775" i="19"/>
  <c r="E92" i="53"/>
  <c r="E366" i="51"/>
  <c r="E258" i="25"/>
  <c r="E533" i="51"/>
  <c r="E319" i="51"/>
  <c r="G310" i="51"/>
  <c r="H310" i="51" s="1"/>
  <c r="E760" i="51"/>
  <c r="B926" i="19"/>
  <c r="E309" i="19"/>
  <c r="G534" i="51"/>
  <c r="H534" i="51" s="1"/>
  <c r="E1941" i="19"/>
  <c r="G32" i="17"/>
  <c r="H32" i="17" s="1"/>
  <c r="G1880" i="34"/>
  <c r="H1880" i="34" s="1"/>
  <c r="E647" i="51"/>
  <c r="E704" i="51"/>
  <c r="B255" i="25"/>
  <c r="G651" i="19"/>
  <c r="B932" i="51"/>
  <c r="G1321" i="19"/>
  <c r="H1321" i="19" s="1"/>
  <c r="G142" i="13"/>
  <c r="H142" i="13" s="1"/>
  <c r="G1933" i="34"/>
  <c r="H1933" i="34" s="1"/>
  <c r="E199" i="19"/>
  <c r="G93" i="53"/>
  <c r="H93" i="53" s="1"/>
  <c r="B599" i="51"/>
  <c r="E543" i="51"/>
  <c r="E424" i="51"/>
  <c r="B198" i="14"/>
  <c r="B1322" i="19"/>
  <c r="E1767" i="19"/>
  <c r="E2114" i="19"/>
  <c r="G147" i="26"/>
  <c r="H147" i="26" s="1"/>
  <c r="E200" i="51"/>
  <c r="E486" i="51"/>
  <c r="G592" i="19"/>
  <c r="H592" i="19" s="1"/>
  <c r="B310" i="14"/>
  <c r="B1823" i="19"/>
  <c r="E143" i="51"/>
  <c r="G32" i="51"/>
  <c r="H32" i="51" s="1"/>
  <c r="B927" i="19"/>
  <c r="E1047" i="51"/>
  <c r="G35" i="53"/>
  <c r="H35" i="53" s="1"/>
  <c r="E29" i="21"/>
  <c r="G534" i="19"/>
  <c r="H534" i="19" s="1"/>
  <c r="E32" i="21"/>
  <c r="B253" i="53"/>
  <c r="B372" i="26"/>
  <c r="B87" i="15"/>
  <c r="E85" i="15"/>
  <c r="B876" i="51"/>
  <c r="E421" i="26"/>
  <c r="G34" i="53"/>
  <c r="H34" i="53" s="1"/>
  <c r="G2103" i="19"/>
  <c r="H2103" i="19" s="1"/>
  <c r="B259" i="25"/>
  <c r="G2112" i="19"/>
  <c r="H2112" i="19" s="1"/>
  <c r="B423" i="25"/>
  <c r="E85" i="28"/>
  <c r="E256" i="26"/>
  <c r="B314" i="25"/>
  <c r="B487" i="51"/>
  <c r="E1375" i="19"/>
  <c r="G86" i="51"/>
  <c r="H86" i="51" s="1"/>
  <c r="B86" i="15"/>
  <c r="G590" i="29"/>
  <c r="H590" i="29" s="1"/>
  <c r="B31" i="17"/>
  <c r="E1778" i="19"/>
  <c r="G759" i="51"/>
  <c r="H759" i="51" s="1"/>
  <c r="G1325" i="19"/>
  <c r="H1325" i="19" s="1"/>
  <c r="B315" i="51"/>
  <c r="E1653" i="19"/>
  <c r="B30" i="21"/>
  <c r="E651" i="51"/>
  <c r="G709" i="19"/>
  <c r="B648" i="16"/>
  <c r="E925" i="51"/>
  <c r="G205" i="17"/>
  <c r="H205" i="17" s="1"/>
  <c r="B536" i="25"/>
  <c r="E1604" i="19"/>
  <c r="B1207" i="19"/>
  <c r="E30" i="53"/>
  <c r="G86" i="53"/>
  <c r="H86" i="53" s="1"/>
  <c r="B431" i="51"/>
  <c r="B149" i="53"/>
  <c r="G34" i="15"/>
  <c r="H34" i="15" s="1"/>
  <c r="E141" i="16"/>
  <c r="G372" i="51"/>
  <c r="H372" i="51" s="1"/>
  <c r="E2104" i="34"/>
  <c r="B650" i="19"/>
  <c r="B479" i="25"/>
  <c r="E704" i="25"/>
  <c r="E424" i="25"/>
  <c r="G1770" i="19"/>
  <c r="H1770" i="19" s="1"/>
  <c r="G370" i="25"/>
  <c r="B311" i="26"/>
  <c r="G1821" i="19"/>
  <c r="H1821" i="19" s="1"/>
  <c r="G1935" i="34"/>
  <c r="H1935" i="34" s="1"/>
  <c r="G1151" i="19"/>
  <c r="H1151" i="19" s="1"/>
  <c r="G1381" i="19"/>
  <c r="H1381" i="19" s="1"/>
  <c r="E365" i="26"/>
  <c r="B141" i="26"/>
  <c r="G256" i="51"/>
  <c r="H256" i="51" s="1"/>
  <c r="G85" i="18"/>
  <c r="H85" i="18" s="1"/>
  <c r="G315" i="25"/>
  <c r="H315" i="25" s="1"/>
  <c r="B367" i="25"/>
  <c r="E256" i="25"/>
  <c r="E90" i="53"/>
  <c r="B427" i="19"/>
  <c r="B1710" i="19"/>
  <c r="E255" i="25"/>
  <c r="B261" i="19"/>
  <c r="G433" i="26"/>
  <c r="H433" i="26" s="1"/>
  <c r="B309" i="26"/>
  <c r="G1485" i="19"/>
  <c r="H1485" i="19" s="1"/>
  <c r="E34" i="51"/>
  <c r="E255" i="53"/>
  <c r="B709" i="51"/>
  <c r="G813" i="19"/>
  <c r="H813" i="19" s="1"/>
  <c r="B310" i="26"/>
  <c r="G257" i="26"/>
  <c r="H257" i="26" s="1"/>
  <c r="G991" i="51"/>
  <c r="H991" i="51" s="1"/>
  <c r="G538" i="19"/>
  <c r="H538" i="19" s="1"/>
  <c r="E758" i="19"/>
  <c r="E32" i="51"/>
  <c r="B984" i="51"/>
  <c r="B1779" i="19"/>
  <c r="G367" i="25"/>
  <c r="H367" i="25" s="1"/>
  <c r="G424" i="25"/>
  <c r="H424" i="25" s="1"/>
  <c r="B480" i="25"/>
  <c r="G431" i="26"/>
  <c r="H431" i="26" s="1"/>
  <c r="G1262" i="19"/>
  <c r="H1262" i="19" s="1"/>
  <c r="E703" i="51"/>
  <c r="B254" i="19"/>
  <c r="E1320" i="19"/>
  <c r="E365" i="51"/>
  <c r="G1879" i="34"/>
  <c r="H1879" i="34" s="1"/>
  <c r="G652" i="19"/>
  <c r="E592" i="16"/>
  <c r="B32" i="25"/>
  <c r="G2114" i="19"/>
  <c r="H2114" i="19" s="1"/>
  <c r="G95" i="11"/>
  <c r="H95" i="11" s="1"/>
  <c r="G536" i="25"/>
  <c r="H536" i="25" s="1"/>
  <c r="E536" i="26"/>
  <c r="B1834" i="19"/>
  <c r="B366" i="19"/>
  <c r="G1377" i="19"/>
  <c r="H1377" i="19" s="1"/>
  <c r="G701" i="16"/>
  <c r="H701" i="16" s="1"/>
  <c r="G375" i="51"/>
  <c r="H375" i="51" s="1"/>
  <c r="B1047" i="51"/>
  <c r="G35" i="51"/>
  <c r="H35" i="51" s="1"/>
  <c r="E477" i="19"/>
  <c r="G487" i="51"/>
  <c r="H487" i="51" s="1"/>
  <c r="B477" i="19"/>
  <c r="G200" i="19"/>
  <c r="H200" i="19" s="1"/>
  <c r="G480" i="25"/>
  <c r="H480" i="25" s="1"/>
  <c r="E91" i="11"/>
  <c r="F202" i="25"/>
  <c r="F201" i="25"/>
  <c r="H201" i="25" s="1"/>
  <c r="H1293" i="55"/>
  <c r="B368" i="25"/>
  <c r="F2160" i="19"/>
  <c r="F2161" i="19"/>
  <c r="F2159" i="19"/>
  <c r="L2166" i="19"/>
  <c r="F2163" i="19"/>
  <c r="F2158" i="19"/>
  <c r="F2162" i="19"/>
  <c r="L2138" i="19"/>
  <c r="F2157" i="19"/>
  <c r="H1774" i="19"/>
  <c r="G91" i="11"/>
  <c r="H91" i="11" s="1"/>
  <c r="B36" i="51"/>
  <c r="G369" i="25"/>
  <c r="H369" i="25" s="1"/>
  <c r="G319" i="25"/>
  <c r="H319" i="25" s="1"/>
  <c r="G1551" i="19"/>
  <c r="H1551" i="19" s="1"/>
  <c r="E992" i="51"/>
  <c r="G29" i="25"/>
  <c r="H29" i="25" s="1"/>
  <c r="B35" i="53"/>
  <c r="B1599" i="19"/>
  <c r="G536" i="26"/>
  <c r="H536" i="26" s="1"/>
  <c r="E312" i="25"/>
  <c r="B94" i="11"/>
  <c r="G535" i="26"/>
  <c r="H535" i="26" s="1"/>
  <c r="E143" i="53"/>
  <c r="G31" i="15"/>
  <c r="H31" i="15" s="1"/>
  <c r="E1379" i="19"/>
  <c r="B29" i="53"/>
  <c r="G431" i="51"/>
  <c r="H431" i="51" s="1"/>
  <c r="B928" i="51"/>
  <c r="E596" i="29"/>
  <c r="E536" i="25"/>
  <c r="G311" i="25"/>
  <c r="H311" i="25" s="1"/>
  <c r="B33" i="53"/>
  <c r="G254" i="51"/>
  <c r="H254" i="51" s="1"/>
  <c r="E1548" i="19"/>
  <c r="G29" i="26"/>
  <c r="H29" i="26" s="1"/>
  <c r="H45" i="26" s="1"/>
  <c r="B1318" i="19"/>
  <c r="B655" i="51"/>
  <c r="E647" i="29"/>
  <c r="G142" i="51"/>
  <c r="H142" i="51" s="1"/>
  <c r="E928" i="51"/>
  <c r="B85" i="19"/>
  <c r="E479" i="25"/>
  <c r="B422" i="51"/>
  <c r="E1716" i="19"/>
  <c r="B484" i="19"/>
  <c r="E1042" i="51"/>
  <c r="B705" i="25"/>
  <c r="B88" i="51"/>
  <c r="B758" i="19"/>
  <c r="G2104" i="34"/>
  <c r="H2104" i="34" s="1"/>
  <c r="G203" i="53"/>
  <c r="H203" i="53" s="1"/>
  <c r="E201" i="25"/>
  <c r="B1366" i="19"/>
  <c r="B1310" i="19"/>
  <c r="E1363" i="19"/>
  <c r="F1363" i="19" s="1"/>
  <c r="B299" i="25"/>
  <c r="B581" i="51"/>
  <c r="E695" i="51"/>
  <c r="F695" i="51" s="1"/>
  <c r="H695" i="51" s="1"/>
  <c r="B187" i="25"/>
  <c r="E918" i="51"/>
  <c r="F918" i="51" s="1"/>
  <c r="H918" i="51" s="1"/>
  <c r="E187" i="25"/>
  <c r="F187" i="25" s="1"/>
  <c r="E691" i="51"/>
  <c r="F691" i="51" s="1"/>
  <c r="E581" i="51"/>
  <c r="F581" i="51" s="1"/>
  <c r="H581" i="51" s="1"/>
  <c r="B751" i="51"/>
  <c r="B1085" i="19"/>
  <c r="B189" i="19"/>
  <c r="E860" i="51"/>
  <c r="F860" i="51" s="1"/>
  <c r="H860" i="51" s="1"/>
  <c r="E132" i="32"/>
  <c r="F132" i="32" s="1"/>
  <c r="H132" i="32" s="1"/>
  <c r="E356" i="29"/>
  <c r="F356" i="29" s="1"/>
  <c r="H356" i="29" s="1"/>
  <c r="E21" i="17"/>
  <c r="F21" i="17" s="1"/>
  <c r="H21" i="17" s="1"/>
  <c r="B1365" i="19"/>
  <c r="E1366" i="19"/>
  <c r="F1366" i="19" s="1"/>
  <c r="H1366" i="19" s="1"/>
  <c r="B243" i="25"/>
  <c r="E303" i="25"/>
  <c r="F303" i="25" s="1"/>
  <c r="H303" i="25" s="1"/>
  <c r="E188" i="17"/>
  <c r="F188" i="17" s="1"/>
  <c r="H188" i="17" s="1"/>
  <c r="B580" i="51"/>
  <c r="B528" i="26"/>
  <c r="B583" i="51"/>
  <c r="E639" i="51"/>
  <c r="F639" i="51" s="1"/>
  <c r="H639" i="51" s="1"/>
  <c r="B358" i="26"/>
  <c r="E356" i="14"/>
  <c r="F356" i="14" s="1"/>
  <c r="H356" i="14" s="1"/>
  <c r="H355" i="14" s="1"/>
  <c r="E23" i="51"/>
  <c r="F23" i="51" s="1"/>
  <c r="H23" i="51" s="1"/>
  <c r="E245" i="53"/>
  <c r="F245" i="53" s="1"/>
  <c r="H245" i="53" s="1"/>
  <c r="B1364" i="19"/>
  <c r="E971" i="51"/>
  <c r="F971" i="51" s="1"/>
  <c r="E974" i="51"/>
  <c r="F974" i="51" s="1"/>
  <c r="H974" i="51" s="1"/>
  <c r="E1027" i="51"/>
  <c r="F1027" i="51" s="1"/>
  <c r="E1367" i="19"/>
  <c r="F1367" i="19" s="1"/>
  <c r="H1367" i="19" s="1"/>
  <c r="B527" i="26"/>
  <c r="E528" i="26"/>
  <c r="F528" i="26" s="1"/>
  <c r="H528" i="26" s="1"/>
  <c r="B192" i="25"/>
  <c r="E580" i="51"/>
  <c r="F580" i="51" s="1"/>
  <c r="H580" i="51" s="1"/>
  <c r="B581" i="29"/>
  <c r="E77" i="16"/>
  <c r="F77" i="16" s="1"/>
  <c r="H77" i="16" s="1"/>
  <c r="B245" i="53"/>
  <c r="B694" i="51"/>
  <c r="E525" i="26"/>
  <c r="F525" i="26" s="1"/>
  <c r="H525" i="26" s="1"/>
  <c r="B691" i="51"/>
  <c r="E189" i="25"/>
  <c r="F189" i="25" s="1"/>
  <c r="H189" i="25" s="1"/>
  <c r="E1030" i="51"/>
  <c r="F1030" i="51" s="1"/>
  <c r="H1030" i="51" s="1"/>
  <c r="E1031" i="51"/>
  <c r="F1031" i="51" s="1"/>
  <c r="H1031" i="51" s="1"/>
  <c r="B245" i="17"/>
  <c r="B189" i="17"/>
  <c r="B301" i="25"/>
  <c r="B919" i="51"/>
  <c r="E1309" i="19"/>
  <c r="F1309" i="19" s="1"/>
  <c r="H1309" i="19" s="1"/>
  <c r="E582" i="51"/>
  <c r="F582" i="51" s="1"/>
  <c r="H582" i="51" s="1"/>
  <c r="E2149" i="19"/>
  <c r="F2149" i="19" s="1"/>
  <c r="H2149" i="19" s="1"/>
  <c r="E469" i="51"/>
  <c r="F469" i="51" s="1"/>
  <c r="H469" i="51" s="1"/>
  <c r="B245" i="26"/>
  <c r="E1532" i="19"/>
  <c r="F1532" i="19" s="1"/>
  <c r="H1532" i="19" s="1"/>
  <c r="E21" i="15"/>
  <c r="F21" i="15" s="1"/>
  <c r="H21" i="15" s="1"/>
  <c r="E1311" i="19"/>
  <c r="F1311" i="19" s="1"/>
  <c r="H1311" i="19" s="1"/>
  <c r="E1029" i="51"/>
  <c r="F1029" i="51" s="1"/>
  <c r="H1029" i="51" s="1"/>
  <c r="B1028" i="51"/>
  <c r="B916" i="51"/>
  <c r="B975" i="51"/>
  <c r="E1813" i="19"/>
  <c r="F1813" i="19" s="1"/>
  <c r="H1813" i="19" s="1"/>
  <c r="E915" i="51"/>
  <c r="F915" i="51" s="1"/>
  <c r="B244" i="25"/>
  <c r="E694" i="51"/>
  <c r="F694" i="51" s="1"/>
  <c r="H694" i="51" s="1"/>
  <c r="B2149" i="19"/>
  <c r="E2151" i="19"/>
  <c r="F2151" i="19" s="1"/>
  <c r="H2151" i="19" s="1"/>
  <c r="B75" i="11"/>
  <c r="E636" i="19"/>
  <c r="F636" i="19" s="1"/>
  <c r="H636" i="19" s="1"/>
  <c r="E749" i="51"/>
  <c r="F749" i="51" s="1"/>
  <c r="H749" i="51" s="1"/>
  <c r="E467" i="26"/>
  <c r="F467" i="26" s="1"/>
  <c r="H467" i="26" s="1"/>
  <c r="H474" i="26" s="1"/>
  <c r="B189" i="25"/>
  <c r="B412" i="28"/>
  <c r="E1310" i="19"/>
  <c r="F1310" i="19" s="1"/>
  <c r="H1310" i="19" s="1"/>
  <c r="B1363" i="19"/>
  <c r="B974" i="51"/>
  <c r="B695" i="51"/>
  <c r="E190" i="51"/>
  <c r="F190" i="51" s="1"/>
  <c r="H190" i="51" s="1"/>
  <c r="B2151" i="19"/>
  <c r="E692" i="16"/>
  <c r="F692" i="16" s="1"/>
  <c r="H692" i="16" s="1"/>
  <c r="B78" i="15"/>
  <c r="E639" i="29"/>
  <c r="F639" i="29" s="1"/>
  <c r="H639" i="29" s="1"/>
  <c r="B526" i="19"/>
  <c r="E188" i="28"/>
  <c r="F188" i="28" s="1"/>
  <c r="H188" i="28" s="1"/>
  <c r="B524" i="21"/>
  <c r="E188" i="21"/>
  <c r="F188" i="21" s="1"/>
  <c r="H188" i="21" s="1"/>
  <c r="H187" i="21" s="1"/>
  <c r="E20" i="12"/>
  <c r="F20" i="12" s="1"/>
  <c r="H20" i="12" s="1"/>
  <c r="H19" i="12" s="1"/>
  <c r="E20" i="16"/>
  <c r="F20" i="16" s="1"/>
  <c r="H20" i="16" s="1"/>
  <c r="H19" i="16" s="1"/>
  <c r="B19" i="11"/>
  <c r="B582" i="16"/>
  <c r="E524" i="25"/>
  <c r="F524" i="25" s="1"/>
  <c r="H524" i="25" s="1"/>
  <c r="E189" i="19"/>
  <c r="F189" i="19" s="1"/>
  <c r="H189" i="19" s="1"/>
  <c r="E356" i="51"/>
  <c r="F356" i="51" s="1"/>
  <c r="H356" i="51" s="1"/>
  <c r="B1029" i="51"/>
  <c r="B188" i="17"/>
  <c r="E1365" i="19"/>
  <c r="F1365" i="19" s="1"/>
  <c r="H1365" i="19" s="1"/>
  <c r="B524" i="26"/>
  <c r="B19" i="25"/>
  <c r="B637" i="19"/>
  <c r="E189" i="23"/>
  <c r="F189" i="23" s="1"/>
  <c r="H189" i="23" s="1"/>
  <c r="B747" i="16"/>
  <c r="B1587" i="19"/>
  <c r="B523" i="19"/>
  <c r="B77" i="26"/>
  <c r="E1253" i="19"/>
  <c r="F1253" i="19" s="1"/>
  <c r="H1253" i="19" s="1"/>
  <c r="B523" i="21"/>
  <c r="E300" i="51"/>
  <c r="F300" i="51" s="1"/>
  <c r="H300" i="51" s="1"/>
  <c r="E77" i="51"/>
  <c r="F77" i="51" s="1"/>
  <c r="H77" i="51" s="1"/>
  <c r="B246" i="16"/>
  <c r="E468" i="26"/>
  <c r="F468" i="26" s="1"/>
  <c r="H468" i="26" s="1"/>
  <c r="B636" i="51"/>
  <c r="B524" i="16"/>
  <c r="E21" i="25"/>
  <c r="F21" i="25" s="1"/>
  <c r="H21" i="25" s="1"/>
  <c r="E1364" i="19"/>
  <c r="F1364" i="19" s="1"/>
  <c r="H1364" i="19" s="1"/>
  <c r="E916" i="51"/>
  <c r="F916" i="51" s="1"/>
  <c r="H916" i="51" s="1"/>
  <c r="E245" i="25"/>
  <c r="F245" i="25" s="1"/>
  <c r="H245" i="25" s="1"/>
  <c r="E2150" i="19"/>
  <c r="F2150" i="19" s="1"/>
  <c r="H2150" i="19" s="1"/>
  <c r="B191" i="25"/>
  <c r="E2093" i="34"/>
  <c r="F2093" i="34" s="1"/>
  <c r="H2093" i="34" s="1"/>
  <c r="B77" i="16"/>
  <c r="B77" i="18"/>
  <c r="E861" i="19"/>
  <c r="F861" i="19" s="1"/>
  <c r="H861" i="19" s="1"/>
  <c r="E359" i="26"/>
  <c r="F359" i="26" s="1"/>
  <c r="H359" i="26" s="1"/>
  <c r="B131" i="16"/>
  <c r="B76" i="26"/>
  <c r="B300" i="19"/>
  <c r="E1420" i="19"/>
  <c r="F1420" i="19" s="1"/>
  <c r="H1420" i="19" s="1"/>
  <c r="E188" i="26"/>
  <c r="F188" i="26" s="1"/>
  <c r="H188" i="26" s="1"/>
  <c r="H187" i="26" s="1"/>
  <c r="B357" i="51"/>
  <c r="B1925" i="34"/>
  <c r="E412" i="14"/>
  <c r="F412" i="14" s="1"/>
  <c r="H412" i="14" s="1"/>
  <c r="H411" i="14" s="1"/>
  <c r="E1699" i="19"/>
  <c r="F1699" i="19" s="1"/>
  <c r="B691" i="16"/>
  <c r="B131" i="25"/>
  <c r="B527" i="51"/>
  <c r="B20" i="16"/>
  <c r="B355" i="16"/>
  <c r="E468" i="28"/>
  <c r="F468" i="28" s="1"/>
  <c r="H468" i="28" s="1"/>
  <c r="B76" i="32"/>
  <c r="B356" i="25"/>
  <c r="B19" i="19"/>
  <c r="E638" i="19"/>
  <c r="F638" i="19" s="1"/>
  <c r="H638" i="19" s="1"/>
  <c r="B748" i="19"/>
  <c r="E1757" i="19"/>
  <c r="F1757" i="19" s="1"/>
  <c r="H1757" i="19" s="1"/>
  <c r="B525" i="21"/>
  <c r="E244" i="32"/>
  <c r="F244" i="32" s="1"/>
  <c r="H244" i="32" s="1"/>
  <c r="E131" i="11"/>
  <c r="F131" i="11" s="1"/>
  <c r="E76" i="16"/>
  <c r="F76" i="16" s="1"/>
  <c r="H76" i="16" s="1"/>
  <c r="B1811" i="19"/>
  <c r="E524" i="26"/>
  <c r="F524" i="26" s="1"/>
  <c r="H524" i="26" s="1"/>
  <c r="H523" i="26" s="1"/>
  <c r="E131" i="13"/>
  <c r="F131" i="13" s="1"/>
  <c r="E246" i="19"/>
  <c r="F246" i="19" s="1"/>
  <c r="H246" i="19" s="1"/>
  <c r="E133" i="26"/>
  <c r="F133" i="26" s="1"/>
  <c r="H133" i="26" s="1"/>
  <c r="B1757" i="19"/>
  <c r="B412" i="30"/>
  <c r="B356" i="19"/>
  <c r="E133" i="51"/>
  <c r="F133" i="51" s="1"/>
  <c r="H133" i="51" s="1"/>
  <c r="E302" i="19"/>
  <c r="F302" i="19" s="1"/>
  <c r="H302" i="19" s="1"/>
  <c r="E188" i="16"/>
  <c r="F188" i="16" s="1"/>
  <c r="H188" i="16" s="1"/>
  <c r="E76" i="21"/>
  <c r="F76" i="21" s="1"/>
  <c r="H76" i="21" s="1"/>
  <c r="B525" i="51"/>
  <c r="E77" i="17"/>
  <c r="F77" i="17" s="1"/>
  <c r="H77" i="17" s="1"/>
  <c r="E303" i="19"/>
  <c r="F303" i="19" s="1"/>
  <c r="H303" i="19" s="1"/>
  <c r="E76" i="29"/>
  <c r="F76" i="29" s="1"/>
  <c r="H76" i="29" s="1"/>
  <c r="H82" i="29" s="1"/>
  <c r="B19" i="16"/>
  <c r="B580" i="16"/>
  <c r="B300" i="51"/>
  <c r="E1923" i="19"/>
  <c r="F1923" i="19" s="1"/>
  <c r="B75" i="25"/>
  <c r="B133" i="21"/>
  <c r="E583" i="19"/>
  <c r="F583" i="19" s="1"/>
  <c r="H583" i="19" s="1"/>
  <c r="E21" i="14"/>
  <c r="F21" i="14" s="1"/>
  <c r="H21" i="14" s="1"/>
  <c r="B1533" i="19"/>
  <c r="E1028" i="51"/>
  <c r="F1028" i="51" s="1"/>
  <c r="H1028" i="51" s="1"/>
  <c r="B971" i="51"/>
  <c r="E300" i="25"/>
  <c r="F300" i="25" s="1"/>
  <c r="H300" i="25" s="1"/>
  <c r="H299" i="25" s="1"/>
  <c r="E975" i="51"/>
  <c r="F975" i="51" s="1"/>
  <c r="H975" i="51" s="1"/>
  <c r="B2147" i="19"/>
  <c r="E245" i="23"/>
  <c r="F245" i="23" s="1"/>
  <c r="H245" i="23" s="1"/>
  <c r="E861" i="51"/>
  <c r="F861" i="51" s="1"/>
  <c r="H861" i="51" s="1"/>
  <c r="E1643" i="19"/>
  <c r="F1643" i="19" s="1"/>
  <c r="B1927" i="34"/>
  <c r="B583" i="19"/>
  <c r="E245" i="17"/>
  <c r="F245" i="17" s="1"/>
  <c r="H245" i="17" s="1"/>
  <c r="E1815" i="19"/>
  <c r="F1815" i="19" s="1"/>
  <c r="H1815" i="19" s="1"/>
  <c r="E357" i="16"/>
  <c r="F357" i="16" s="1"/>
  <c r="H357" i="16" s="1"/>
  <c r="B636" i="29"/>
  <c r="E247" i="19"/>
  <c r="F247" i="19" s="1"/>
  <c r="H247" i="19" s="1"/>
  <c r="E77" i="34"/>
  <c r="F77" i="34" s="1"/>
  <c r="H77" i="34" s="1"/>
  <c r="B77" i="19"/>
  <c r="B694" i="19"/>
  <c r="E1759" i="19"/>
  <c r="F1759" i="19" s="1"/>
  <c r="H1759" i="19" s="1"/>
  <c r="E132" i="28"/>
  <c r="F132" i="28" s="1"/>
  <c r="H132" i="28" s="1"/>
  <c r="E20" i="51"/>
  <c r="F20" i="51" s="1"/>
  <c r="H20" i="51" s="1"/>
  <c r="E971" i="19"/>
  <c r="F971" i="19" s="1"/>
  <c r="B1643" i="19"/>
  <c r="B77" i="35"/>
  <c r="E2095" i="34"/>
  <c r="F2095" i="34" s="1"/>
  <c r="H2095" i="34" s="1"/>
  <c r="E523" i="23"/>
  <c r="F523" i="23" s="1"/>
  <c r="B299" i="16"/>
  <c r="B636" i="19"/>
  <c r="E1085" i="19"/>
  <c r="F1085" i="19" s="1"/>
  <c r="H1085" i="19" s="1"/>
  <c r="B468" i="30"/>
  <c r="B1926" i="19"/>
  <c r="E1813" i="34"/>
  <c r="F1813" i="34" s="1"/>
  <c r="H1813" i="34" s="1"/>
  <c r="B357" i="21"/>
  <c r="E1701" i="19"/>
  <c r="F1701" i="19" s="1"/>
  <c r="H1701" i="19" s="1"/>
  <c r="E580" i="30"/>
  <c r="F580" i="30" s="1"/>
  <c r="H580" i="30" s="1"/>
  <c r="H586" i="30" s="1"/>
  <c r="B971" i="19"/>
  <c r="E524" i="30"/>
  <c r="F524" i="30" s="1"/>
  <c r="H524" i="30" s="1"/>
  <c r="B861" i="51"/>
  <c r="E245" i="26"/>
  <c r="F245" i="26" s="1"/>
  <c r="H245" i="26" s="1"/>
  <c r="B1699" i="19"/>
  <c r="E412" i="16"/>
  <c r="F412" i="16" s="1"/>
  <c r="H412" i="16" s="1"/>
  <c r="H411" i="16" s="1"/>
  <c r="E469" i="21"/>
  <c r="F469" i="21" s="1"/>
  <c r="H469" i="21" s="1"/>
  <c r="E79" i="51"/>
  <c r="F79" i="51" s="1"/>
  <c r="H79" i="51" s="1"/>
  <c r="B188" i="28"/>
  <c r="E359" i="19"/>
  <c r="F359" i="19" s="1"/>
  <c r="H359" i="19" s="1"/>
  <c r="E692" i="30"/>
  <c r="F692" i="30" s="1"/>
  <c r="H692" i="30" s="1"/>
  <c r="B1867" i="19"/>
  <c r="B76" i="13"/>
  <c r="B974" i="19"/>
  <c r="B355" i="21"/>
  <c r="B301" i="26"/>
  <c r="B638" i="51"/>
  <c r="B1589" i="19"/>
  <c r="E76" i="18"/>
  <c r="F76" i="18" s="1"/>
  <c r="H76" i="18" s="1"/>
  <c r="B75" i="19"/>
  <c r="E188" i="30"/>
  <c r="F188" i="30" s="1"/>
  <c r="H188" i="30" s="1"/>
  <c r="H194" i="30" s="1"/>
  <c r="E21" i="18"/>
  <c r="F21" i="18" s="1"/>
  <c r="H21" i="18" s="1"/>
  <c r="E470" i="16"/>
  <c r="F470" i="16" s="1"/>
  <c r="H470" i="16" s="1"/>
  <c r="B1030" i="51"/>
  <c r="B917" i="51"/>
  <c r="B300" i="25"/>
  <c r="B693" i="51"/>
  <c r="E191" i="25"/>
  <c r="F191" i="25" s="1"/>
  <c r="H191" i="25" s="1"/>
  <c r="E523" i="26"/>
  <c r="F523" i="26" s="1"/>
  <c r="B189" i="16"/>
  <c r="B1140" i="19"/>
  <c r="E244" i="21"/>
  <c r="F244" i="21" s="1"/>
  <c r="H244" i="21" s="1"/>
  <c r="B412" i="51"/>
  <c r="B415" i="26"/>
  <c r="E358" i="19"/>
  <c r="F358" i="19" s="1"/>
  <c r="H358" i="19" s="1"/>
  <c r="E356" i="16"/>
  <c r="F356" i="16" s="1"/>
  <c r="H356" i="16" s="1"/>
  <c r="H355" i="16" s="1"/>
  <c r="B19" i="12"/>
  <c r="E693" i="21"/>
  <c r="F693" i="21" s="1"/>
  <c r="H693" i="21" s="1"/>
  <c r="B20" i="11"/>
  <c r="B411" i="26"/>
  <c r="B1868" i="34"/>
  <c r="E1869" i="34"/>
  <c r="F1869" i="34" s="1"/>
  <c r="H1869" i="34" s="1"/>
  <c r="B244" i="28"/>
  <c r="B412" i="16"/>
  <c r="E1307" i="19"/>
  <c r="F1307" i="19" s="1"/>
  <c r="B1815" i="19"/>
  <c r="B248" i="25"/>
  <c r="B692" i="51"/>
  <c r="B582" i="51"/>
  <c r="E188" i="25"/>
  <c r="F188" i="25" s="1"/>
  <c r="H188" i="25" s="1"/>
  <c r="B523" i="26"/>
  <c r="B21" i="17"/>
  <c r="B300" i="29"/>
  <c r="E804" i="51"/>
  <c r="F804" i="51" s="1"/>
  <c r="H804" i="51" s="1"/>
  <c r="H803" i="51" s="1"/>
  <c r="B245" i="21"/>
  <c r="E132" i="30"/>
  <c r="F132" i="30" s="1"/>
  <c r="H132" i="30" s="1"/>
  <c r="H138" i="30" s="1"/>
  <c r="E357" i="51"/>
  <c r="F357" i="51" s="1"/>
  <c r="H357" i="51" s="1"/>
  <c r="B22" i="16"/>
  <c r="E243" i="19"/>
  <c r="F243" i="19" s="1"/>
  <c r="E413" i="25"/>
  <c r="F413" i="25" s="1"/>
  <c r="H413" i="25" s="1"/>
  <c r="E635" i="19"/>
  <c r="F635" i="19" s="1"/>
  <c r="E637" i="21"/>
  <c r="F637" i="21" s="1"/>
  <c r="H637" i="21" s="1"/>
  <c r="E415" i="51"/>
  <c r="F415" i="51" s="1"/>
  <c r="H415" i="51" s="1"/>
  <c r="E78" i="15"/>
  <c r="F78" i="15" s="1"/>
  <c r="H78" i="15" s="1"/>
  <c r="E355" i="21"/>
  <c r="F355" i="21" s="1"/>
  <c r="E77" i="11"/>
  <c r="F77" i="11" s="1"/>
  <c r="H77" i="11" s="1"/>
  <c r="E19" i="11"/>
  <c r="F19" i="11" s="1"/>
  <c r="B19" i="26"/>
  <c r="B21" i="35"/>
  <c r="B21" i="22"/>
  <c r="E973" i="51"/>
  <c r="F973" i="51" s="1"/>
  <c r="H973" i="51" s="1"/>
  <c r="B247" i="25"/>
  <c r="B915" i="51"/>
  <c r="E579" i="51"/>
  <c r="F579" i="51" s="1"/>
  <c r="E2147" i="19"/>
  <c r="F2147" i="19" s="1"/>
  <c r="H2147" i="19" s="1"/>
  <c r="B1923" i="19"/>
  <c r="E76" i="25"/>
  <c r="F76" i="25" s="1"/>
  <c r="H76" i="25" s="1"/>
  <c r="E860" i="19"/>
  <c r="F860" i="19" s="1"/>
  <c r="H860" i="19" s="1"/>
  <c r="H859" i="19" s="1"/>
  <c r="B693" i="21"/>
  <c r="E132" i="29"/>
  <c r="F132" i="29" s="1"/>
  <c r="H132" i="29" s="1"/>
  <c r="E357" i="23"/>
  <c r="F357" i="23" s="1"/>
  <c r="H357" i="23" s="1"/>
  <c r="E21" i="23"/>
  <c r="F21" i="23" s="1"/>
  <c r="H21" i="23" s="1"/>
  <c r="B300" i="21"/>
  <c r="E1644" i="19"/>
  <c r="F1644" i="19" s="1"/>
  <c r="H1644" i="19" s="1"/>
  <c r="H1643" i="19" s="1"/>
  <c r="E1531" i="19"/>
  <c r="F1531" i="19" s="1"/>
  <c r="E190" i="16"/>
  <c r="F190" i="16" s="1"/>
  <c r="H190" i="16" s="1"/>
  <c r="E413" i="51"/>
  <c r="F413" i="51" s="1"/>
  <c r="H413" i="51" s="1"/>
  <c r="B636" i="21"/>
  <c r="B299" i="14"/>
  <c r="B1027" i="51"/>
  <c r="E917" i="51"/>
  <c r="F917" i="51" s="1"/>
  <c r="H917" i="51" s="1"/>
  <c r="B749" i="25"/>
  <c r="E973" i="19"/>
  <c r="F973" i="19" s="1"/>
  <c r="H973" i="19" s="1"/>
  <c r="B467" i="19"/>
  <c r="E22" i="18"/>
  <c r="F22" i="18" s="1"/>
  <c r="H22" i="18" s="1"/>
  <c r="B132" i="12"/>
  <c r="E76" i="26"/>
  <c r="F76" i="26" s="1"/>
  <c r="H76" i="26" s="1"/>
  <c r="H75" i="26" s="1"/>
  <c r="E187" i="16"/>
  <c r="F187" i="16" s="1"/>
  <c r="B189" i="53"/>
  <c r="B2148" i="19"/>
  <c r="B582" i="29"/>
  <c r="B300" i="14"/>
  <c r="E19" i="13"/>
  <c r="F19" i="13" s="1"/>
  <c r="B300" i="28"/>
  <c r="B748" i="51"/>
  <c r="B77" i="51"/>
  <c r="E21" i="22"/>
  <c r="F21" i="22" s="1"/>
  <c r="H21" i="22" s="1"/>
  <c r="E916" i="19"/>
  <c r="F916" i="19" s="1"/>
  <c r="H916" i="19" s="1"/>
  <c r="B524" i="25"/>
  <c r="E2095" i="19"/>
  <c r="F2095" i="19" s="1"/>
  <c r="H2095" i="19" s="1"/>
  <c r="E132" i="12"/>
  <c r="F132" i="12" s="1"/>
  <c r="H132" i="12" s="1"/>
  <c r="H138" i="12" s="1"/>
  <c r="B807" i="51"/>
  <c r="B692" i="25"/>
  <c r="B411" i="51"/>
  <c r="B468" i="25"/>
  <c r="B412" i="26"/>
  <c r="B244" i="30"/>
  <c r="B23" i="51"/>
  <c r="B20" i="25"/>
  <c r="E751" i="51"/>
  <c r="F751" i="51" s="1"/>
  <c r="H751" i="51" s="1"/>
  <c r="B356" i="21"/>
  <c r="B299" i="26"/>
  <c r="B1311" i="19"/>
  <c r="B245" i="25"/>
  <c r="E2148" i="19"/>
  <c r="F2148" i="19" s="1"/>
  <c r="H2148" i="19" s="1"/>
  <c r="B2150" i="19"/>
  <c r="E1979" i="19"/>
  <c r="F1979" i="19" s="1"/>
  <c r="E415" i="19"/>
  <c r="F415" i="19" s="1"/>
  <c r="H415" i="19" s="1"/>
  <c r="B359" i="51"/>
  <c r="B1924" i="19"/>
  <c r="E76" i="30"/>
  <c r="F76" i="30" s="1"/>
  <c r="H76" i="30" s="1"/>
  <c r="H82" i="30" s="1"/>
  <c r="E469" i="25"/>
  <c r="F469" i="25" s="1"/>
  <c r="H469" i="25" s="1"/>
  <c r="B188" i="25"/>
  <c r="B21" i="34"/>
  <c r="E693" i="19"/>
  <c r="F693" i="19" s="1"/>
  <c r="H693" i="19" s="1"/>
  <c r="E355" i="16"/>
  <c r="F355" i="16" s="1"/>
  <c r="B76" i="15"/>
  <c r="E636" i="21"/>
  <c r="F636" i="21" s="1"/>
  <c r="H636" i="21" s="1"/>
  <c r="H635" i="21" s="1"/>
  <c r="B747" i="51"/>
  <c r="B22" i="51"/>
  <c r="B581" i="25"/>
  <c r="B245" i="51"/>
  <c r="E1588" i="19"/>
  <c r="F1588" i="19" s="1"/>
  <c r="H1588" i="19" s="1"/>
  <c r="B302" i="26"/>
  <c r="B20" i="28"/>
  <c r="E243" i="16"/>
  <c r="F243" i="16" s="1"/>
  <c r="E525" i="19"/>
  <c r="F525" i="19" s="1"/>
  <c r="H525" i="19" s="1"/>
  <c r="B187" i="51"/>
  <c r="B133" i="13"/>
  <c r="E77" i="23"/>
  <c r="F77" i="23" s="1"/>
  <c r="H77" i="23" s="1"/>
  <c r="B133" i="51"/>
  <c r="B245" i="16"/>
  <c r="B524" i="32"/>
  <c r="E21" i="19"/>
  <c r="F21" i="19" s="1"/>
  <c r="H21" i="19" s="1"/>
  <c r="B469" i="23"/>
  <c r="B411" i="14"/>
  <c r="B1701" i="19"/>
  <c r="B21" i="23"/>
  <c r="B413" i="51"/>
  <c r="B973" i="19"/>
  <c r="E524" i="28"/>
  <c r="F524" i="28" s="1"/>
  <c r="H524" i="28" s="1"/>
  <c r="E75" i="14"/>
  <c r="F75" i="14" s="1"/>
  <c r="E301" i="23"/>
  <c r="F301" i="23" s="1"/>
  <c r="H301" i="23" s="1"/>
  <c r="E133" i="23"/>
  <c r="F133" i="23" s="1"/>
  <c r="H133" i="23" s="1"/>
  <c r="E244" i="28"/>
  <c r="F244" i="28" s="1"/>
  <c r="H244" i="28" s="1"/>
  <c r="E749" i="25"/>
  <c r="F749" i="25" s="1"/>
  <c r="H749" i="25" s="1"/>
  <c r="B244" i="51"/>
  <c r="E301" i="26"/>
  <c r="F301" i="26" s="1"/>
  <c r="H301" i="26" s="1"/>
  <c r="E1308" i="19"/>
  <c r="F1308" i="19" s="1"/>
  <c r="H1308" i="19" s="1"/>
  <c r="E247" i="25"/>
  <c r="F247" i="25" s="1"/>
  <c r="H247" i="25" s="1"/>
  <c r="E21" i="11"/>
  <c r="F21" i="11" s="1"/>
  <c r="H21" i="11" s="1"/>
  <c r="E1477" i="19"/>
  <c r="F1477" i="19" s="1"/>
  <c r="H1477" i="19" s="1"/>
  <c r="B188" i="29"/>
  <c r="B859" i="19"/>
  <c r="E468" i="30"/>
  <c r="F468" i="30" s="1"/>
  <c r="H468" i="30" s="1"/>
  <c r="B805" i="19"/>
  <c r="B20" i="19"/>
  <c r="E1924" i="34"/>
  <c r="F1924" i="34" s="1"/>
  <c r="H1924" i="34" s="1"/>
  <c r="B189" i="22"/>
  <c r="E300" i="14"/>
  <c r="F300" i="14" s="1"/>
  <c r="H300" i="14" s="1"/>
  <c r="H299" i="14" s="1"/>
  <c r="B525" i="19"/>
  <c r="E303" i="51"/>
  <c r="F303" i="51" s="1"/>
  <c r="H303" i="51" s="1"/>
  <c r="B523" i="16"/>
  <c r="B1588" i="19"/>
  <c r="E471" i="51"/>
  <c r="F471" i="51" s="1"/>
  <c r="H471" i="51" s="1"/>
  <c r="B20" i="32"/>
  <c r="B133" i="26"/>
  <c r="B356" i="30"/>
  <c r="B244" i="19"/>
  <c r="E523" i="21"/>
  <c r="F523" i="21" s="1"/>
  <c r="B77" i="15"/>
  <c r="E695" i="25"/>
  <c r="F695" i="25" s="1"/>
  <c r="H695" i="25" s="1"/>
  <c r="E527" i="26"/>
  <c r="F527" i="26" s="1"/>
  <c r="H527" i="26" s="1"/>
  <c r="E580" i="29"/>
  <c r="F580" i="29" s="1"/>
  <c r="H580" i="29" s="1"/>
  <c r="B76" i="30"/>
  <c r="B412" i="32"/>
  <c r="B246" i="51"/>
  <c r="B77" i="25"/>
  <c r="E187" i="19"/>
  <c r="F187" i="19" s="1"/>
  <c r="B413" i="21"/>
  <c r="E133" i="35"/>
  <c r="F133" i="35" s="1"/>
  <c r="H133" i="35" s="1"/>
  <c r="E411" i="16"/>
  <c r="F411" i="16" s="1"/>
  <c r="B77" i="22"/>
  <c r="E582" i="19"/>
  <c r="F582" i="19" s="1"/>
  <c r="H582" i="19" s="1"/>
  <c r="B356" i="28"/>
  <c r="E22" i="16"/>
  <c r="F22" i="16" s="1"/>
  <c r="H22" i="16" s="1"/>
  <c r="B22" i="15"/>
  <c r="B804" i="51"/>
  <c r="E414" i="26"/>
  <c r="F414" i="26" s="1"/>
  <c r="H414" i="26" s="1"/>
  <c r="E299" i="26"/>
  <c r="F299" i="26" s="1"/>
  <c r="E527" i="51"/>
  <c r="F527" i="51" s="1"/>
  <c r="H527" i="51" s="1"/>
  <c r="B77" i="11"/>
  <c r="B247" i="19"/>
  <c r="E637" i="19"/>
  <c r="F637" i="19" s="1"/>
  <c r="H637" i="19" s="1"/>
  <c r="B244" i="16"/>
  <c r="E1084" i="19"/>
  <c r="F1084" i="19" s="1"/>
  <c r="H1084" i="19" s="1"/>
  <c r="H1083" i="19" s="1"/>
  <c r="B1700" i="19"/>
  <c r="E583" i="29"/>
  <c r="F583" i="29" s="1"/>
  <c r="H583" i="29" s="1"/>
  <c r="E525" i="25"/>
  <c r="F525" i="25" s="1"/>
  <c r="H525" i="25" s="1"/>
  <c r="E636" i="30"/>
  <c r="F636" i="30" s="1"/>
  <c r="H636" i="30" s="1"/>
  <c r="E526" i="16"/>
  <c r="F526" i="16" s="1"/>
  <c r="H526" i="16" s="1"/>
  <c r="B133" i="19"/>
  <c r="B132" i="19"/>
  <c r="B639" i="51"/>
  <c r="B301" i="19"/>
  <c r="E20" i="25"/>
  <c r="F20" i="25" s="1"/>
  <c r="H20" i="25" s="1"/>
  <c r="E412" i="19"/>
  <c r="F412" i="19" s="1"/>
  <c r="H412" i="19" s="1"/>
  <c r="B582" i="19"/>
  <c r="E355" i="14"/>
  <c r="F355" i="14" s="1"/>
  <c r="E131" i="16"/>
  <c r="F131" i="16" s="1"/>
  <c r="B469" i="21"/>
  <c r="B357" i="23"/>
  <c r="B411" i="16"/>
  <c r="B751" i="16"/>
  <c r="B358" i="19"/>
  <c r="E19" i="18"/>
  <c r="F19" i="18" s="1"/>
  <c r="E915" i="19"/>
  <c r="F915" i="19" s="1"/>
  <c r="E2092" i="19"/>
  <c r="F2092" i="19" s="1"/>
  <c r="H2092" i="19" s="1"/>
  <c r="B76" i="16"/>
  <c r="E1815" i="34"/>
  <c r="F1815" i="34" s="1"/>
  <c r="H1815" i="34" s="1"/>
  <c r="E133" i="11"/>
  <c r="F133" i="11" s="1"/>
  <c r="H133" i="11" s="1"/>
  <c r="B76" i="21"/>
  <c r="B1813" i="34"/>
  <c r="B79" i="51"/>
  <c r="B78" i="16"/>
  <c r="E20" i="28"/>
  <c r="F20" i="28" s="1"/>
  <c r="H20" i="28" s="1"/>
  <c r="H26" i="28" s="1"/>
  <c r="E359" i="51"/>
  <c r="F359" i="51" s="1"/>
  <c r="H359" i="51" s="1"/>
  <c r="E77" i="53"/>
  <c r="F77" i="53" s="1"/>
  <c r="H77" i="53" s="1"/>
  <c r="B1644" i="19"/>
  <c r="E581" i="21"/>
  <c r="F581" i="21" s="1"/>
  <c r="H581" i="21" s="1"/>
  <c r="B1252" i="19"/>
  <c r="E187" i="14"/>
  <c r="F187" i="14" s="1"/>
  <c r="E1139" i="19"/>
  <c r="F1139" i="19" s="1"/>
  <c r="B411" i="19"/>
  <c r="E75" i="25"/>
  <c r="F75" i="25" s="1"/>
  <c r="E525" i="21"/>
  <c r="F525" i="21" s="1"/>
  <c r="H525" i="21" s="1"/>
  <c r="E414" i="16"/>
  <c r="F414" i="16" s="1"/>
  <c r="H414" i="16" s="1"/>
  <c r="E2091" i="19"/>
  <c r="F2091" i="19" s="1"/>
  <c r="B1979" i="19"/>
  <c r="E2035" i="19"/>
  <c r="F2035" i="19" s="1"/>
  <c r="E470" i="51"/>
  <c r="F470" i="51" s="1"/>
  <c r="H470" i="51" s="1"/>
  <c r="B415" i="19"/>
  <c r="B302" i="51"/>
  <c r="E78" i="18"/>
  <c r="F78" i="18" s="1"/>
  <c r="H78" i="18" s="1"/>
  <c r="E1141" i="19"/>
  <c r="F1141" i="19" s="1"/>
  <c r="H1141" i="19" s="1"/>
  <c r="E189" i="16"/>
  <c r="F189" i="16" s="1"/>
  <c r="H189" i="16" s="1"/>
  <c r="B244" i="14"/>
  <c r="E75" i="12"/>
  <c r="F75" i="12" s="1"/>
  <c r="B357" i="16"/>
  <c r="E19" i="16"/>
  <c r="F19" i="16" s="1"/>
  <c r="B863" i="51"/>
  <c r="E1476" i="19"/>
  <c r="F1476" i="19" s="1"/>
  <c r="H1476" i="19" s="1"/>
  <c r="H1475" i="19" s="1"/>
  <c r="E188" i="51"/>
  <c r="F188" i="51" s="1"/>
  <c r="H188" i="51" s="1"/>
  <c r="B638" i="29"/>
  <c r="E299" i="51"/>
  <c r="F299" i="51" s="1"/>
  <c r="B76" i="12"/>
  <c r="E132" i="14"/>
  <c r="F132" i="14" s="1"/>
  <c r="H132" i="14" s="1"/>
  <c r="H131" i="14" s="1"/>
  <c r="E245" i="21"/>
  <c r="F245" i="21" s="1"/>
  <c r="H245" i="21" s="1"/>
  <c r="B692" i="30"/>
  <c r="E1587" i="19"/>
  <c r="F1587" i="19" s="1"/>
  <c r="B1141" i="19"/>
  <c r="E1252" i="19"/>
  <c r="F1252" i="19" s="1"/>
  <c r="H1252" i="19" s="1"/>
  <c r="H1251" i="19" s="1"/>
  <c r="E635" i="16"/>
  <c r="F635" i="16" s="1"/>
  <c r="B244" i="21"/>
  <c r="B468" i="19"/>
  <c r="E244" i="16"/>
  <c r="F244" i="16" s="1"/>
  <c r="H244" i="16" s="1"/>
  <c r="B243" i="51"/>
  <c r="E133" i="22"/>
  <c r="F133" i="22" s="1"/>
  <c r="H133" i="22" s="1"/>
  <c r="E20" i="29"/>
  <c r="F20" i="29" s="1"/>
  <c r="H20" i="29" s="1"/>
  <c r="B414" i="51"/>
  <c r="E637" i="51"/>
  <c r="F637" i="51" s="1"/>
  <c r="H637" i="51" s="1"/>
  <c r="B580" i="19"/>
  <c r="B469" i="16"/>
  <c r="E972" i="51"/>
  <c r="F972" i="51" s="1"/>
  <c r="H972" i="51" s="1"/>
  <c r="H971" i="51" s="1"/>
  <c r="B579" i="51"/>
  <c r="E244" i="51"/>
  <c r="F244" i="51" s="1"/>
  <c r="H244" i="51" s="1"/>
  <c r="B414" i="19"/>
  <c r="E244" i="25"/>
  <c r="F244" i="25" s="1"/>
  <c r="H244" i="25" s="1"/>
  <c r="B413" i="19"/>
  <c r="B1532" i="19"/>
  <c r="E21" i="35"/>
  <c r="F21" i="35" s="1"/>
  <c r="H21" i="35" s="1"/>
  <c r="E133" i="17"/>
  <c r="F133" i="17" s="1"/>
  <c r="H133" i="17" s="1"/>
  <c r="E131" i="51"/>
  <c r="F131" i="51" s="1"/>
  <c r="E635" i="51"/>
  <c r="F635" i="51" s="1"/>
  <c r="E638" i="51"/>
  <c r="F638" i="51" s="1"/>
  <c r="H638" i="51" s="1"/>
  <c r="E1755" i="19"/>
  <c r="F1755" i="19" s="1"/>
  <c r="B358" i="51"/>
  <c r="E244" i="26"/>
  <c r="F244" i="26" s="1"/>
  <c r="H244" i="26" s="1"/>
  <c r="H243" i="26" s="1"/>
  <c r="E134" i="51"/>
  <c r="F134" i="51" s="1"/>
  <c r="H134" i="51" s="1"/>
  <c r="B635" i="16"/>
  <c r="E1924" i="19"/>
  <c r="F1924" i="19" s="1"/>
  <c r="H1924" i="19" s="1"/>
  <c r="H1923" i="19" s="1"/>
  <c r="B972" i="19"/>
  <c r="E133" i="53"/>
  <c r="F133" i="53" s="1"/>
  <c r="H133" i="53" s="1"/>
  <c r="B243" i="19"/>
  <c r="E356" i="21"/>
  <c r="F356" i="21" s="1"/>
  <c r="H356" i="21" s="1"/>
  <c r="B189" i="35"/>
  <c r="E468" i="32"/>
  <c r="F468" i="32" s="1"/>
  <c r="H468" i="32" s="1"/>
  <c r="B21" i="16"/>
  <c r="B132" i="21"/>
  <c r="B973" i="51"/>
  <c r="B1812" i="19"/>
  <c r="B525" i="26"/>
  <c r="B1759" i="19"/>
  <c r="B2093" i="19"/>
  <c r="E77" i="22"/>
  <c r="F77" i="22" s="1"/>
  <c r="H77" i="22" s="1"/>
  <c r="E132" i="13"/>
  <c r="F132" i="13" s="1"/>
  <c r="H132" i="13" s="1"/>
  <c r="H131" i="13" s="1"/>
  <c r="E411" i="51"/>
  <c r="F411" i="51" s="1"/>
  <c r="E1925" i="19"/>
  <c r="F1925" i="19" s="1"/>
  <c r="H1925" i="19" s="1"/>
  <c r="E694" i="16"/>
  <c r="F694" i="16" s="1"/>
  <c r="H694" i="16" s="1"/>
  <c r="E19" i="51"/>
  <c r="F19" i="51" s="1"/>
  <c r="E75" i="16"/>
  <c r="F75" i="16" s="1"/>
  <c r="E76" i="51"/>
  <c r="F76" i="51" s="1"/>
  <c r="H76" i="51" s="1"/>
  <c r="B132" i="13"/>
  <c r="B747" i="19"/>
  <c r="E245" i="19"/>
  <c r="F245" i="19" s="1"/>
  <c r="H245" i="19" s="1"/>
  <c r="B1925" i="19"/>
  <c r="B245" i="19"/>
  <c r="E1645" i="19"/>
  <c r="F1645" i="19" s="1"/>
  <c r="H1645" i="19" s="1"/>
  <c r="B1981" i="19"/>
  <c r="E468" i="16"/>
  <c r="F468" i="16" s="1"/>
  <c r="H468" i="16" s="1"/>
  <c r="E1027" i="19"/>
  <c r="F1027" i="19" s="1"/>
  <c r="B1869" i="34"/>
  <c r="E2093" i="19"/>
  <c r="F2093" i="19" s="1"/>
  <c r="H2093" i="19" s="1"/>
  <c r="E412" i="21"/>
  <c r="F412" i="21" s="1"/>
  <c r="H412" i="21" s="1"/>
  <c r="E77" i="19"/>
  <c r="F77" i="19" s="1"/>
  <c r="H77" i="19" s="1"/>
  <c r="B131" i="19"/>
  <c r="B301" i="21"/>
  <c r="E301" i="51"/>
  <c r="F301" i="51" s="1"/>
  <c r="H301" i="51" s="1"/>
  <c r="B189" i="23"/>
  <c r="E355" i="19"/>
  <c r="F355" i="19" s="1"/>
  <c r="E357" i="26"/>
  <c r="F357" i="26" s="1"/>
  <c r="H357" i="26" s="1"/>
  <c r="E78" i="51"/>
  <c r="F78" i="51" s="1"/>
  <c r="H78" i="51" s="1"/>
  <c r="E636" i="29"/>
  <c r="F636" i="29" s="1"/>
  <c r="H636" i="29" s="1"/>
  <c r="B21" i="19"/>
  <c r="B635" i="19"/>
  <c r="E470" i="26"/>
  <c r="F470" i="26" s="1"/>
  <c r="H470" i="26" s="1"/>
  <c r="E20" i="14"/>
  <c r="F20" i="14" s="1"/>
  <c r="H20" i="14" s="1"/>
  <c r="H26" i="14" s="1"/>
  <c r="B77" i="53"/>
  <c r="E1811" i="19"/>
  <c r="F1811" i="19" s="1"/>
  <c r="E301" i="25"/>
  <c r="F301" i="25" s="1"/>
  <c r="H301" i="25" s="1"/>
  <c r="B132" i="29"/>
  <c r="B526" i="51"/>
  <c r="E132" i="16"/>
  <c r="F132" i="16" s="1"/>
  <c r="H132" i="16" s="1"/>
  <c r="E523" i="19"/>
  <c r="F523" i="19" s="1"/>
  <c r="E189" i="21"/>
  <c r="F189" i="21" s="1"/>
  <c r="H189" i="21" s="1"/>
  <c r="B412" i="29"/>
  <c r="B133" i="35"/>
  <c r="E75" i="51"/>
  <c r="F75" i="51" s="1"/>
  <c r="B21" i="50"/>
  <c r="B357" i="25"/>
  <c r="B1027" i="19"/>
  <c r="B359" i="19"/>
  <c r="E636" i="51"/>
  <c r="F636" i="51" s="1"/>
  <c r="H636" i="51" s="1"/>
  <c r="E1589" i="19"/>
  <c r="F1589" i="19" s="1"/>
  <c r="H1589" i="19" s="1"/>
  <c r="B413" i="26"/>
  <c r="E524" i="16"/>
  <c r="F524" i="16" s="1"/>
  <c r="H524" i="16" s="1"/>
  <c r="B637" i="29"/>
  <c r="E412" i="29"/>
  <c r="F412" i="29" s="1"/>
  <c r="H412" i="29" s="1"/>
  <c r="E20" i="19"/>
  <c r="F20" i="19" s="1"/>
  <c r="H20" i="19" s="1"/>
  <c r="H19" i="19" s="1"/>
  <c r="E526" i="51"/>
  <c r="F526" i="51" s="1"/>
  <c r="H526" i="51" s="1"/>
  <c r="B357" i="19"/>
  <c r="E1195" i="19"/>
  <c r="F1195" i="19" s="1"/>
  <c r="E693" i="16"/>
  <c r="F693" i="16" s="1"/>
  <c r="H693" i="16" s="1"/>
  <c r="B20" i="26"/>
  <c r="E412" i="32"/>
  <c r="F412" i="32" s="1"/>
  <c r="H412" i="32" s="1"/>
  <c r="B1980" i="19"/>
  <c r="B187" i="16"/>
  <c r="B581" i="19"/>
  <c r="E189" i="22"/>
  <c r="F189" i="22" s="1"/>
  <c r="H189" i="22" s="1"/>
  <c r="B2095" i="34"/>
  <c r="B581" i="21"/>
  <c r="B299" i="19"/>
  <c r="B355" i="19"/>
  <c r="E358" i="16"/>
  <c r="F358" i="16" s="1"/>
  <c r="H358" i="16" s="1"/>
  <c r="E76" i="12"/>
  <c r="F76" i="12" s="1"/>
  <c r="H76" i="12" s="1"/>
  <c r="H75" i="12" s="1"/>
  <c r="B78" i="18"/>
  <c r="E412" i="30"/>
  <c r="F412" i="30" s="1"/>
  <c r="H412" i="30" s="1"/>
  <c r="E414" i="19"/>
  <c r="F414" i="19" s="1"/>
  <c r="H414" i="19" s="1"/>
  <c r="E1475" i="19"/>
  <c r="F1475" i="19" s="1"/>
  <c r="B21" i="18"/>
  <c r="B412" i="25"/>
  <c r="B20" i="13"/>
  <c r="B693" i="19"/>
  <c r="B134" i="16"/>
  <c r="B191" i="51"/>
  <c r="E2037" i="19"/>
  <c r="F2037" i="19" s="1"/>
  <c r="H2037" i="19" s="1"/>
  <c r="B134" i="51"/>
  <c r="B637" i="21"/>
  <c r="B20" i="51"/>
  <c r="B2037" i="19"/>
  <c r="E131" i="14"/>
  <c r="F131" i="14" s="1"/>
  <c r="B188" i="32"/>
  <c r="E188" i="29"/>
  <c r="F188" i="29" s="1"/>
  <c r="H188" i="29" s="1"/>
  <c r="B635" i="21"/>
  <c r="B693" i="30"/>
  <c r="B525" i="32"/>
  <c r="E304" i="25"/>
  <c r="F304" i="25" s="1"/>
  <c r="H304" i="25" s="1"/>
  <c r="B20" i="17"/>
  <c r="B1307" i="19"/>
  <c r="E748" i="19"/>
  <c r="F748" i="19" s="1"/>
  <c r="H748" i="19" s="1"/>
  <c r="H747" i="19" s="1"/>
  <c r="E692" i="51"/>
  <c r="F692" i="51" s="1"/>
  <c r="H692" i="51" s="1"/>
  <c r="E1925" i="34"/>
  <c r="F1925" i="34" s="1"/>
  <c r="H1925" i="34" s="1"/>
  <c r="E859" i="51"/>
  <c r="F859" i="51" s="1"/>
  <c r="G859" i="51" s="1"/>
  <c r="B77" i="23"/>
  <c r="E299" i="16"/>
  <c r="F299" i="16" s="1"/>
  <c r="E133" i="16"/>
  <c r="F133" i="16" s="1"/>
  <c r="H133" i="16" s="1"/>
  <c r="E188" i="32"/>
  <c r="F188" i="32" s="1"/>
  <c r="H188" i="32" s="1"/>
  <c r="B1645" i="19"/>
  <c r="E131" i="25"/>
  <c r="F131" i="25" s="1"/>
  <c r="E638" i="29"/>
  <c r="F638" i="29" s="1"/>
  <c r="H638" i="29" s="1"/>
  <c r="E75" i="18"/>
  <c r="F75" i="18" s="1"/>
  <c r="E1871" i="34"/>
  <c r="F1871" i="34" s="1"/>
  <c r="H1871" i="34" s="1"/>
  <c r="E20" i="15"/>
  <c r="F20" i="15" s="1"/>
  <c r="H20" i="15" s="1"/>
  <c r="B860" i="19"/>
  <c r="B78" i="51"/>
  <c r="E524" i="32"/>
  <c r="F524" i="32" s="1"/>
  <c r="H524" i="32" s="1"/>
  <c r="H530" i="32" s="1"/>
  <c r="B468" i="32"/>
  <c r="B300" i="26"/>
  <c r="B132" i="30"/>
  <c r="B21" i="14"/>
  <c r="B75" i="15"/>
  <c r="B77" i="13"/>
  <c r="E76" i="15"/>
  <c r="F76" i="15" s="1"/>
  <c r="H76" i="15" s="1"/>
  <c r="B357" i="26"/>
  <c r="B579" i="19"/>
  <c r="B413" i="29"/>
  <c r="E581" i="29"/>
  <c r="F581" i="29" s="1"/>
  <c r="H581" i="29" s="1"/>
  <c r="B918" i="51"/>
  <c r="B467" i="51"/>
  <c r="E581" i="19"/>
  <c r="F581" i="19" s="1"/>
  <c r="H581" i="19" s="1"/>
  <c r="B75" i="26"/>
  <c r="B1815" i="34"/>
  <c r="E76" i="13"/>
  <c r="F76" i="13" s="1"/>
  <c r="H76" i="13" s="1"/>
  <c r="E748" i="16"/>
  <c r="F748" i="16" s="1"/>
  <c r="H748" i="16" s="1"/>
  <c r="H747" i="16" s="1"/>
  <c r="B20" i="29"/>
  <c r="E1812" i="34"/>
  <c r="F1812" i="34" s="1"/>
  <c r="H1812" i="34" s="1"/>
  <c r="E467" i="19"/>
  <c r="F467" i="19" s="1"/>
  <c r="B1871" i="34"/>
  <c r="B189" i="26"/>
  <c r="B637" i="51"/>
  <c r="E301" i="16"/>
  <c r="F301" i="16" s="1"/>
  <c r="H301" i="16" s="1"/>
  <c r="E411" i="26"/>
  <c r="F411" i="26" s="1"/>
  <c r="B1755" i="19"/>
  <c r="E748" i="51"/>
  <c r="F748" i="51" s="1"/>
  <c r="H748" i="51" s="1"/>
  <c r="E75" i="19"/>
  <c r="F75" i="19" s="1"/>
  <c r="E191" i="51"/>
  <c r="F191" i="51" s="1"/>
  <c r="H191" i="51" s="1"/>
  <c r="B245" i="23"/>
  <c r="E523" i="16"/>
  <c r="F523" i="16" s="1"/>
  <c r="E803" i="19"/>
  <c r="F803" i="19" s="1"/>
  <c r="B131" i="14"/>
  <c r="E859" i="19"/>
  <c r="F859" i="19" s="1"/>
  <c r="B133" i="23"/>
  <c r="B862" i="51"/>
  <c r="B77" i="32"/>
  <c r="B77" i="30"/>
  <c r="B301" i="32"/>
  <c r="B304" i="25"/>
  <c r="E2036" i="19"/>
  <c r="F2036" i="19" s="1"/>
  <c r="H2036" i="19" s="1"/>
  <c r="E692" i="19"/>
  <c r="F692" i="19" s="1"/>
  <c r="H692" i="19" s="1"/>
  <c r="B187" i="21"/>
  <c r="E358" i="51"/>
  <c r="F358" i="51" s="1"/>
  <c r="H358" i="51" s="1"/>
  <c r="B414" i="16"/>
  <c r="B20" i="30"/>
  <c r="A17" i="7"/>
  <c r="A18" i="7" s="1"/>
  <c r="A19" i="7" s="1"/>
  <c r="A20" i="7" s="1"/>
  <c r="B1812" i="34"/>
  <c r="E468" i="51"/>
  <c r="F468" i="51" s="1"/>
  <c r="H468" i="51" s="1"/>
  <c r="B804" i="19"/>
  <c r="E1756" i="19"/>
  <c r="F1756" i="19" s="1"/>
  <c r="H1756" i="19" s="1"/>
  <c r="H1755" i="19" s="1"/>
  <c r="B300" i="16"/>
  <c r="B470" i="16"/>
  <c r="B246" i="19"/>
  <c r="B132" i="25"/>
  <c r="B859" i="51"/>
  <c r="E244" i="19"/>
  <c r="F244" i="19" s="1"/>
  <c r="H244" i="19" s="1"/>
  <c r="B132" i="11"/>
  <c r="E77" i="30"/>
  <c r="F77" i="30" s="1"/>
  <c r="H77" i="30" s="1"/>
  <c r="E189" i="32"/>
  <c r="F189" i="32" s="1"/>
  <c r="H189" i="32" s="1"/>
  <c r="E133" i="30"/>
  <c r="F133" i="30" s="1"/>
  <c r="H133" i="30" s="1"/>
  <c r="E301" i="32"/>
  <c r="F301" i="32" s="1"/>
  <c r="H301" i="32" s="1"/>
  <c r="E919" i="51"/>
  <c r="F919" i="51" s="1"/>
  <c r="H919" i="51" s="1"/>
  <c r="B303" i="25"/>
  <c r="E189" i="17"/>
  <c r="F189" i="17" s="1"/>
  <c r="H189" i="17" s="1"/>
  <c r="E1029" i="19"/>
  <c r="F1029" i="19" s="1"/>
  <c r="H1029" i="19" s="1"/>
  <c r="B190" i="51"/>
  <c r="E580" i="16"/>
  <c r="F580" i="16" s="1"/>
  <c r="H580" i="16" s="1"/>
  <c r="H579" i="16" s="1"/>
  <c r="E356" i="26"/>
  <c r="F356" i="26" s="1"/>
  <c r="H356" i="26" s="1"/>
  <c r="E132" i="19"/>
  <c r="F132" i="19" s="1"/>
  <c r="H132" i="19" s="1"/>
  <c r="B300" i="32"/>
  <c r="E411" i="14"/>
  <c r="F411" i="14" s="1"/>
  <c r="B133" i="25"/>
  <c r="B1084" i="19"/>
  <c r="B915" i="19"/>
  <c r="E20" i="30"/>
  <c r="F20" i="30" s="1"/>
  <c r="H20" i="30" s="1"/>
  <c r="H26" i="30" s="1"/>
  <c r="E526" i="19"/>
  <c r="F526" i="19" s="1"/>
  <c r="H526" i="19" s="1"/>
  <c r="B131" i="21"/>
  <c r="E21" i="51"/>
  <c r="F21" i="51" s="1"/>
  <c r="H21" i="51" s="1"/>
  <c r="B468" i="28"/>
  <c r="B301" i="23"/>
  <c r="E246" i="16"/>
  <c r="F246" i="16" s="1"/>
  <c r="H246" i="16" s="1"/>
  <c r="E635" i="29"/>
  <c r="F635" i="29" s="1"/>
  <c r="B75" i="16"/>
  <c r="B413" i="25"/>
  <c r="E524" i="19"/>
  <c r="F524" i="19" s="1"/>
  <c r="H524" i="19" s="1"/>
  <c r="B1028" i="19"/>
  <c r="B469" i="25"/>
  <c r="E413" i="19"/>
  <c r="F413" i="19" s="1"/>
  <c r="H413" i="19" s="1"/>
  <c r="B581" i="30"/>
  <c r="E21" i="30"/>
  <c r="F21" i="30" s="1"/>
  <c r="H21" i="30" s="1"/>
  <c r="B75" i="51"/>
  <c r="E749" i="19"/>
  <c r="F749" i="19" s="1"/>
  <c r="H749" i="19" s="1"/>
  <c r="E244" i="14"/>
  <c r="F244" i="14" s="1"/>
  <c r="H244" i="14" s="1"/>
  <c r="E20" i="18"/>
  <c r="F20" i="18" s="1"/>
  <c r="H20" i="18" s="1"/>
  <c r="H19" i="18" s="1"/>
  <c r="B20" i="15"/>
  <c r="E582" i="29"/>
  <c r="F582" i="29" s="1"/>
  <c r="H582" i="29" s="1"/>
  <c r="E1927" i="34"/>
  <c r="F1927" i="34" s="1"/>
  <c r="H1927" i="34" s="1"/>
  <c r="B355" i="26"/>
  <c r="B133" i="53"/>
  <c r="B188" i="16"/>
  <c r="E1926" i="19"/>
  <c r="F1926" i="19" s="1"/>
  <c r="H1926" i="19" s="1"/>
  <c r="E582" i="16"/>
  <c r="F582" i="16" s="1"/>
  <c r="H582" i="16" s="1"/>
  <c r="B413" i="23"/>
  <c r="B695" i="25"/>
  <c r="B523" i="51"/>
  <c r="E356" i="25"/>
  <c r="F356" i="25" s="1"/>
  <c r="H356" i="25" s="1"/>
  <c r="E412" i="51"/>
  <c r="F412" i="51" s="1"/>
  <c r="H412" i="51" s="1"/>
  <c r="E468" i="29"/>
  <c r="F468" i="29" s="1"/>
  <c r="H468" i="29" s="1"/>
  <c r="H474" i="29" s="1"/>
  <c r="K139" i="9" s="1"/>
  <c r="B76" i="19"/>
  <c r="E299" i="19"/>
  <c r="F299" i="19" s="1"/>
  <c r="E245" i="14"/>
  <c r="F245" i="14" s="1"/>
  <c r="H245" i="14" s="1"/>
  <c r="B524" i="23"/>
  <c r="E356" i="32"/>
  <c r="F356" i="32" s="1"/>
  <c r="H356" i="32" s="1"/>
  <c r="B637" i="30"/>
  <c r="E693" i="51"/>
  <c r="F693" i="51" s="1"/>
  <c r="H693" i="51" s="1"/>
  <c r="E302" i="51"/>
  <c r="F302" i="51" s="1"/>
  <c r="H302" i="51" s="1"/>
  <c r="B19" i="13"/>
  <c r="E355" i="51"/>
  <c r="F355" i="51" s="1"/>
  <c r="E357" i="21"/>
  <c r="F357" i="21" s="1"/>
  <c r="H357" i="21" s="1"/>
  <c r="B301" i="51"/>
  <c r="E134" i="16"/>
  <c r="F134" i="16" s="1"/>
  <c r="H134" i="16" s="1"/>
  <c r="B187" i="26"/>
  <c r="E300" i="26"/>
  <c r="F300" i="26" s="1"/>
  <c r="H300" i="26" s="1"/>
  <c r="B412" i="14"/>
  <c r="E19" i="15"/>
  <c r="F19" i="15" s="1"/>
  <c r="B1421" i="19"/>
  <c r="B468" i="21"/>
  <c r="B21" i="53"/>
  <c r="E1980" i="19"/>
  <c r="F1980" i="19" s="1"/>
  <c r="H1980" i="19" s="1"/>
  <c r="B132" i="32"/>
  <c r="B467" i="21"/>
  <c r="E300" i="16"/>
  <c r="F300" i="16" s="1"/>
  <c r="H300" i="16" s="1"/>
  <c r="E301" i="19"/>
  <c r="F301" i="19" s="1"/>
  <c r="H301" i="19" s="1"/>
  <c r="B133" i="17"/>
  <c r="E972" i="19"/>
  <c r="F972" i="19" s="1"/>
  <c r="H972" i="19" s="1"/>
  <c r="H971" i="19" s="1"/>
  <c r="B246" i="26"/>
  <c r="B524" i="29"/>
  <c r="E639" i="19"/>
  <c r="F639" i="19" s="1"/>
  <c r="H639" i="19" s="1"/>
  <c r="B1813" i="19"/>
  <c r="E636" i="16"/>
  <c r="F636" i="16" s="1"/>
  <c r="H636" i="16" s="1"/>
  <c r="H635" i="16" s="1"/>
  <c r="E77" i="13"/>
  <c r="F77" i="13" s="1"/>
  <c r="H77" i="13" s="1"/>
  <c r="B749" i="51"/>
  <c r="E187" i="51"/>
  <c r="F187" i="51" s="1"/>
  <c r="B694" i="16"/>
  <c r="E525" i="51"/>
  <c r="F525" i="51" s="1"/>
  <c r="H525" i="51" s="1"/>
  <c r="E807" i="51"/>
  <c r="F807" i="51" s="1"/>
  <c r="H807" i="51" s="1"/>
  <c r="E133" i="19"/>
  <c r="F133" i="19" s="1"/>
  <c r="H133" i="19" s="1"/>
  <c r="E21" i="53"/>
  <c r="F21" i="53" s="1"/>
  <c r="H21" i="53" s="1"/>
  <c r="E579" i="19"/>
  <c r="F579" i="19" s="1"/>
  <c r="E637" i="16"/>
  <c r="F637" i="16" s="1"/>
  <c r="H637" i="16" s="1"/>
  <c r="B861" i="19"/>
  <c r="B76" i="14"/>
  <c r="B748" i="16"/>
  <c r="B303" i="19"/>
  <c r="E76" i="28"/>
  <c r="F76" i="28" s="1"/>
  <c r="H76" i="28" s="1"/>
  <c r="B1083" i="19"/>
  <c r="E245" i="28"/>
  <c r="F245" i="28" s="1"/>
  <c r="H245" i="28" s="1"/>
  <c r="E638" i="16"/>
  <c r="F638" i="16" s="1"/>
  <c r="H638" i="16" s="1"/>
  <c r="B467" i="16"/>
  <c r="B1031" i="51"/>
  <c r="E299" i="25"/>
  <c r="F299" i="25" s="1"/>
  <c r="B1475" i="19"/>
  <c r="E75" i="11"/>
  <c r="F75" i="11" s="1"/>
  <c r="B579" i="29"/>
  <c r="E1083" i="19"/>
  <c r="F1083" i="19" s="1"/>
  <c r="B471" i="51"/>
  <c r="E527" i="19"/>
  <c r="F527" i="19" s="1"/>
  <c r="H527" i="19" s="1"/>
  <c r="E132" i="25"/>
  <c r="F132" i="25" s="1"/>
  <c r="H132" i="25" s="1"/>
  <c r="B638" i="19"/>
  <c r="E301" i="21"/>
  <c r="F301" i="21" s="1"/>
  <c r="H301" i="21" s="1"/>
  <c r="E412" i="26"/>
  <c r="F412" i="26" s="1"/>
  <c r="H412" i="26" s="1"/>
  <c r="H411" i="26" s="1"/>
  <c r="E22" i="51"/>
  <c r="F22" i="51" s="1"/>
  <c r="H22" i="51" s="1"/>
  <c r="B1476" i="19"/>
  <c r="B20" i="21"/>
  <c r="E805" i="19"/>
  <c r="F805" i="19" s="1"/>
  <c r="H805" i="19" s="1"/>
  <c r="E804" i="19"/>
  <c r="F804" i="19" s="1"/>
  <c r="H804" i="19" s="1"/>
  <c r="H803" i="19" s="1"/>
  <c r="B243" i="21"/>
  <c r="E1028" i="19"/>
  <c r="F1028" i="19" s="1"/>
  <c r="H1028" i="19" s="1"/>
  <c r="E357" i="28"/>
  <c r="F357" i="28" s="1"/>
  <c r="H357" i="28" s="1"/>
  <c r="B356" i="29"/>
  <c r="E469" i="26"/>
  <c r="F469" i="26" s="1"/>
  <c r="H469" i="26" s="1"/>
  <c r="B76" i="28"/>
  <c r="B190" i="16"/>
  <c r="E133" i="21"/>
  <c r="F133" i="21" s="1"/>
  <c r="H133" i="21" s="1"/>
  <c r="E1700" i="19"/>
  <c r="F1700" i="19" s="1"/>
  <c r="H1700" i="19" s="1"/>
  <c r="H1699" i="19" s="1"/>
  <c r="B639" i="19"/>
  <c r="E300" i="21"/>
  <c r="F300" i="21" s="1"/>
  <c r="H300" i="21" s="1"/>
  <c r="B692" i="16"/>
  <c r="E581" i="30"/>
  <c r="F581" i="30" s="1"/>
  <c r="H581" i="30" s="1"/>
  <c r="B135" i="51"/>
  <c r="B244" i="26"/>
  <c r="E243" i="26"/>
  <c r="F243" i="26" s="1"/>
  <c r="B187" i="14"/>
  <c r="B244" i="29"/>
  <c r="E469" i="16"/>
  <c r="F469" i="16" s="1"/>
  <c r="H469" i="16" s="1"/>
  <c r="E77" i="26"/>
  <c r="F77" i="26" s="1"/>
  <c r="H77" i="26" s="1"/>
  <c r="E77" i="18"/>
  <c r="F77" i="18" s="1"/>
  <c r="H77" i="18" s="1"/>
  <c r="E1251" i="19"/>
  <c r="F1251" i="19" s="1"/>
  <c r="E1421" i="19"/>
  <c r="F1421" i="19" s="1"/>
  <c r="H1421" i="19" s="1"/>
  <c r="B1029" i="19"/>
  <c r="B357" i="30"/>
  <c r="E20" i="21"/>
  <c r="F20" i="21" s="1"/>
  <c r="H20" i="21" s="1"/>
  <c r="E691" i="16"/>
  <c r="F691" i="16" s="1"/>
  <c r="E411" i="19"/>
  <c r="F411" i="19" s="1"/>
  <c r="B468" i="29"/>
  <c r="B355" i="14"/>
  <c r="B637" i="16"/>
  <c r="E131" i="26"/>
  <c r="F131" i="26" s="1"/>
  <c r="B301" i="16"/>
  <c r="E187" i="21"/>
  <c r="F187" i="21" s="1"/>
  <c r="E747" i="51"/>
  <c r="F747" i="51" s="1"/>
  <c r="E192" i="25"/>
  <c r="F192" i="25" s="1"/>
  <c r="H192" i="25" s="1"/>
  <c r="E469" i="32"/>
  <c r="F469" i="32" s="1"/>
  <c r="H469" i="32" s="1"/>
  <c r="B133" i="32"/>
  <c r="E189" i="29"/>
  <c r="F189" i="29" s="1"/>
  <c r="H189" i="29" s="1"/>
  <c r="E917" i="19"/>
  <c r="F917" i="19" s="1"/>
  <c r="H917" i="19" s="1"/>
  <c r="B469" i="19"/>
  <c r="E2092" i="34"/>
  <c r="F2092" i="34" s="1"/>
  <c r="H2092" i="34" s="1"/>
  <c r="B299" i="21"/>
  <c r="E133" i="13"/>
  <c r="F133" i="13" s="1"/>
  <c r="H133" i="13" s="1"/>
  <c r="B132" i="51"/>
  <c r="B749" i="19"/>
  <c r="E76" i="19"/>
  <c r="F76" i="19" s="1"/>
  <c r="H76" i="19" s="1"/>
  <c r="H75" i="19" s="1"/>
  <c r="B695" i="19"/>
  <c r="B2095" i="19"/>
  <c r="B243" i="26"/>
  <c r="E523" i="51"/>
  <c r="F523" i="51" s="1"/>
  <c r="B20" i="18"/>
  <c r="B1531" i="19"/>
  <c r="E1981" i="19"/>
  <c r="F1981" i="19" s="1"/>
  <c r="H1981" i="19" s="1"/>
  <c r="B244" i="32"/>
  <c r="B188" i="21"/>
  <c r="E134" i="26"/>
  <c r="F134" i="26" s="1"/>
  <c r="H134" i="26" s="1"/>
  <c r="B415" i="51"/>
  <c r="B1253" i="19"/>
  <c r="E863" i="51"/>
  <c r="F863" i="51" s="1"/>
  <c r="H863" i="51" s="1"/>
  <c r="E132" i="51"/>
  <c r="F132" i="51" s="1"/>
  <c r="H132" i="51" s="1"/>
  <c r="B21" i="25"/>
  <c r="B525" i="28"/>
  <c r="B76" i="18"/>
  <c r="E20" i="11"/>
  <c r="F20" i="11" s="1"/>
  <c r="H20" i="11" s="1"/>
  <c r="H19" i="11" s="1"/>
  <c r="E77" i="15"/>
  <c r="F77" i="15" s="1"/>
  <c r="H77" i="15" s="1"/>
  <c r="E1196" i="19"/>
  <c r="F1196" i="19" s="1"/>
  <c r="H1196" i="19" s="1"/>
  <c r="H1195" i="19" s="1"/>
  <c r="B2036" i="19"/>
  <c r="B356" i="26"/>
  <c r="E300" i="19"/>
  <c r="F300" i="19" s="1"/>
  <c r="H300" i="19" s="1"/>
  <c r="H299" i="19" s="1"/>
  <c r="B2091" i="19"/>
  <c r="B302" i="16"/>
  <c r="E189" i="35"/>
  <c r="F189" i="35" s="1"/>
  <c r="H189" i="35" s="1"/>
  <c r="E19" i="12"/>
  <c r="F19" i="12" s="1"/>
  <c r="E300" i="30"/>
  <c r="F300" i="30" s="1"/>
  <c r="H300" i="30" s="1"/>
  <c r="H306" i="30" s="1"/>
  <c r="E691" i="19"/>
  <c r="F691" i="19" s="1"/>
  <c r="E751" i="16"/>
  <c r="F751" i="16" s="1"/>
  <c r="H751" i="16" s="1"/>
  <c r="B693" i="25"/>
  <c r="E692" i="25"/>
  <c r="F692" i="25" s="1"/>
  <c r="H692" i="25" s="1"/>
  <c r="B470" i="51"/>
  <c r="E358" i="26"/>
  <c r="F358" i="26" s="1"/>
  <c r="H358" i="26" s="1"/>
  <c r="B635" i="29"/>
  <c r="B21" i="32"/>
  <c r="B301" i="28"/>
  <c r="E188" i="14"/>
  <c r="F188" i="14" s="1"/>
  <c r="H188" i="14" s="1"/>
  <c r="H187" i="14" s="1"/>
  <c r="B75" i="12"/>
  <c r="B358" i="16"/>
  <c r="B188" i="26"/>
  <c r="B189" i="21"/>
  <c r="B525" i="16"/>
  <c r="E469" i="19"/>
  <c r="F469" i="19" s="1"/>
  <c r="H469" i="19" s="1"/>
  <c r="B639" i="29"/>
  <c r="B356" i="14"/>
  <c r="B1308" i="19"/>
  <c r="E75" i="26"/>
  <c r="F75" i="26" s="1"/>
  <c r="E75" i="15"/>
  <c r="F75" i="15" s="1"/>
  <c r="E132" i="26"/>
  <c r="F132" i="26" s="1"/>
  <c r="H132" i="26" s="1"/>
  <c r="E524" i="23"/>
  <c r="F524" i="23" s="1"/>
  <c r="H524" i="23" s="1"/>
  <c r="B1477" i="19"/>
  <c r="E188" i="19"/>
  <c r="F188" i="19" s="1"/>
  <c r="H188" i="19" s="1"/>
  <c r="H187" i="19" s="1"/>
  <c r="E469" i="23"/>
  <c r="F469" i="23" s="1"/>
  <c r="H469" i="23" s="1"/>
  <c r="E187" i="26"/>
  <c r="F187" i="26" s="1"/>
  <c r="E974" i="19"/>
  <c r="F974" i="19" s="1"/>
  <c r="H974" i="19" s="1"/>
  <c r="E356" i="19"/>
  <c r="F356" i="19" s="1"/>
  <c r="H356" i="19" s="1"/>
  <c r="H355" i="19" s="1"/>
  <c r="B133" i="30"/>
  <c r="B359" i="26"/>
  <c r="E131" i="21"/>
  <c r="F131" i="21" s="1"/>
  <c r="E132" i="21"/>
  <c r="F132" i="21" s="1"/>
  <c r="H132" i="21" s="1"/>
  <c r="H131" i="21" s="1"/>
  <c r="B299" i="51"/>
  <c r="E23" i="17"/>
  <c r="F23" i="17" s="1"/>
  <c r="H23" i="17" s="1"/>
  <c r="E750" i="51"/>
  <c r="F750" i="51" s="1"/>
  <c r="H750" i="51" s="1"/>
  <c r="B524" i="51"/>
  <c r="E693" i="30"/>
  <c r="F693" i="30" s="1"/>
  <c r="H693" i="30" s="1"/>
  <c r="B21" i="30"/>
  <c r="B580" i="29"/>
  <c r="E300" i="32"/>
  <c r="F300" i="32" s="1"/>
  <c r="H300" i="32" s="1"/>
  <c r="H306" i="32" s="1"/>
  <c r="B638" i="16"/>
  <c r="E1812" i="19"/>
  <c r="F1812" i="19" s="1"/>
  <c r="H1812" i="19" s="1"/>
  <c r="H1811" i="19" s="1"/>
  <c r="B356" i="51"/>
  <c r="E246" i="26"/>
  <c r="F246" i="26" s="1"/>
  <c r="H246" i="26" s="1"/>
  <c r="B303" i="51"/>
  <c r="E302" i="26"/>
  <c r="F302" i="26" s="1"/>
  <c r="H302" i="26" s="1"/>
  <c r="E76" i="32"/>
  <c r="F76" i="32" s="1"/>
  <c r="H76" i="32" s="1"/>
  <c r="E693" i="25"/>
  <c r="F693" i="25" s="1"/>
  <c r="H693" i="25" s="1"/>
  <c r="B1197" i="19"/>
  <c r="E300" i="28"/>
  <c r="F300" i="28" s="1"/>
  <c r="H300" i="28" s="1"/>
  <c r="B76" i="25"/>
  <c r="B19" i="18"/>
  <c r="E1869" i="19"/>
  <c r="F1869" i="19" s="1"/>
  <c r="H1869" i="19" s="1"/>
  <c r="B189" i="51"/>
  <c r="E21" i="32"/>
  <c r="F21" i="32" s="1"/>
  <c r="H21" i="32" s="1"/>
  <c r="E469" i="28"/>
  <c r="F469" i="28" s="1"/>
  <c r="H469" i="28" s="1"/>
  <c r="E469" i="30"/>
  <c r="F469" i="30" s="1"/>
  <c r="H469" i="30" s="1"/>
  <c r="E133" i="32"/>
  <c r="F133" i="32" s="1"/>
  <c r="H133" i="32" s="1"/>
  <c r="E357" i="32"/>
  <c r="F357" i="32" s="1"/>
  <c r="H357" i="32" s="1"/>
  <c r="B972" i="51"/>
  <c r="E583" i="51"/>
  <c r="F583" i="51" s="1"/>
  <c r="H583" i="51" s="1"/>
  <c r="E581" i="25"/>
  <c r="F581" i="25" s="1"/>
  <c r="H581" i="25" s="1"/>
  <c r="B526" i="16"/>
  <c r="B2035" i="19"/>
  <c r="E525" i="29"/>
  <c r="F525" i="29" s="1"/>
  <c r="H525" i="29" s="1"/>
  <c r="B247" i="51"/>
  <c r="B2093" i="34"/>
  <c r="E189" i="26"/>
  <c r="F189" i="26" s="1"/>
  <c r="H189" i="26" s="1"/>
  <c r="B1251" i="19"/>
  <c r="E412" i="25"/>
  <c r="F412" i="25" s="1"/>
  <c r="H412" i="25" s="1"/>
  <c r="E189" i="51"/>
  <c r="F189" i="51" s="1"/>
  <c r="H189" i="51" s="1"/>
  <c r="E248" i="25"/>
  <c r="F248" i="25" s="1"/>
  <c r="H248" i="25" s="1"/>
  <c r="B76" i="29"/>
  <c r="B21" i="15"/>
  <c r="B77" i="17"/>
  <c r="B75" i="13"/>
  <c r="B413" i="32"/>
  <c r="E189" i="30"/>
  <c r="F189" i="30" s="1"/>
  <c r="H189" i="30" s="1"/>
  <c r="B23" i="17"/>
  <c r="B131" i="13"/>
  <c r="B302" i="19"/>
  <c r="B188" i="30"/>
  <c r="E131" i="19"/>
  <c r="F131" i="19" s="1"/>
  <c r="B21" i="51"/>
  <c r="E243" i="25"/>
  <c r="F243" i="25" s="1"/>
  <c r="E1867" i="19"/>
  <c r="F1867" i="19" s="1"/>
  <c r="E244" i="30"/>
  <c r="F244" i="30" s="1"/>
  <c r="H244" i="30" s="1"/>
  <c r="H250" i="30" s="1"/>
  <c r="B77" i="34"/>
  <c r="E133" i="29"/>
  <c r="F133" i="29" s="1"/>
  <c r="H133" i="29" s="1"/>
  <c r="B188" i="14"/>
  <c r="E467" i="21"/>
  <c r="F467" i="21" s="1"/>
  <c r="B131" i="51"/>
  <c r="E1197" i="19"/>
  <c r="F1197" i="19" s="1"/>
  <c r="H1197" i="19" s="1"/>
  <c r="B635" i="51"/>
  <c r="B691" i="19"/>
  <c r="E525" i="16"/>
  <c r="F525" i="16" s="1"/>
  <c r="H525" i="16" s="1"/>
  <c r="E299" i="14"/>
  <c r="F299" i="14" s="1"/>
  <c r="B2092" i="34"/>
  <c r="E301" i="30"/>
  <c r="F301" i="30" s="1"/>
  <c r="H301" i="30" s="1"/>
  <c r="B860" i="51"/>
  <c r="E299" i="21"/>
  <c r="F299" i="21" s="1"/>
  <c r="E524" i="29"/>
  <c r="F524" i="29" s="1"/>
  <c r="H524" i="29" s="1"/>
  <c r="H530" i="29" s="1"/>
  <c r="K140" i="9" s="1"/>
  <c r="B19" i="51"/>
  <c r="E77" i="32"/>
  <c r="F77" i="32" s="1"/>
  <c r="H77" i="32" s="1"/>
  <c r="B22" i="18"/>
  <c r="B1420" i="19"/>
  <c r="E524" i="51"/>
  <c r="F524" i="51" s="1"/>
  <c r="H524" i="51" s="1"/>
  <c r="E20" i="13"/>
  <c r="F20" i="13" s="1"/>
  <c r="H20" i="13" s="1"/>
  <c r="H19" i="13" s="1"/>
  <c r="E243" i="21"/>
  <c r="F243" i="21" s="1"/>
  <c r="E411" i="21"/>
  <c r="F411" i="21" s="1"/>
  <c r="B527" i="19"/>
  <c r="B356" i="16"/>
  <c r="B245" i="14"/>
  <c r="E20" i="26"/>
  <c r="F20" i="26" s="1"/>
  <c r="H20" i="26" s="1"/>
  <c r="H19" i="26" s="1"/>
  <c r="E77" i="35"/>
  <c r="F77" i="35" s="1"/>
  <c r="H77" i="35" s="1"/>
  <c r="B581" i="16"/>
  <c r="B20" i="14"/>
  <c r="B580" i="30"/>
  <c r="B1924" i="34"/>
  <c r="E637" i="25"/>
  <c r="F637" i="25" s="1"/>
  <c r="H637" i="25" s="1"/>
  <c r="B411" i="21"/>
  <c r="E302" i="16"/>
  <c r="F302" i="16" s="1"/>
  <c r="H302" i="16" s="1"/>
  <c r="E524" i="21"/>
  <c r="F524" i="21" s="1"/>
  <c r="H524" i="21" s="1"/>
  <c r="E357" i="25"/>
  <c r="F357" i="25" s="1"/>
  <c r="H357" i="25" s="1"/>
  <c r="E19" i="25"/>
  <c r="F19" i="25" s="1"/>
  <c r="B133" i="29"/>
  <c r="E133" i="28"/>
  <c r="F133" i="28" s="1"/>
  <c r="H133" i="28" s="1"/>
  <c r="B524" i="19"/>
  <c r="B131" i="26"/>
  <c r="B803" i="51"/>
  <c r="E694" i="19"/>
  <c r="F694" i="19" s="1"/>
  <c r="H694" i="19" s="1"/>
  <c r="B356" i="32"/>
  <c r="E467" i="16"/>
  <c r="F467" i="16" s="1"/>
  <c r="B355" i="51"/>
  <c r="E579" i="16"/>
  <c r="F579" i="16" s="1"/>
  <c r="B300" i="30"/>
  <c r="B245" i="29"/>
  <c r="B245" i="32"/>
  <c r="E413" i="29"/>
  <c r="F413" i="29" s="1"/>
  <c r="H413" i="29" s="1"/>
  <c r="B21" i="29"/>
  <c r="E413" i="21"/>
  <c r="F413" i="21" s="1"/>
  <c r="H413" i="21" s="1"/>
  <c r="E1419" i="19"/>
  <c r="F1419" i="19" s="1"/>
  <c r="B132" i="14"/>
  <c r="B412" i="21"/>
  <c r="B1419" i="19"/>
  <c r="B692" i="19"/>
  <c r="B77" i="28"/>
  <c r="B189" i="30"/>
  <c r="E243" i="51"/>
  <c r="F243" i="51" s="1"/>
  <c r="B469" i="51"/>
  <c r="E357" i="29"/>
  <c r="F357" i="29" s="1"/>
  <c r="H357" i="29" s="1"/>
  <c r="B189" i="29"/>
  <c r="E245" i="51"/>
  <c r="F245" i="51" s="1"/>
  <c r="H245" i="51" s="1"/>
  <c r="B1196" i="19"/>
  <c r="B133" i="22"/>
  <c r="E77" i="28"/>
  <c r="F77" i="28" s="1"/>
  <c r="H77" i="28" s="1"/>
  <c r="B77" i="29"/>
  <c r="E133" i="25"/>
  <c r="F133" i="25" s="1"/>
  <c r="H133" i="25" s="1"/>
  <c r="B636" i="16"/>
  <c r="B583" i="29"/>
  <c r="E525" i="30"/>
  <c r="F525" i="30" s="1"/>
  <c r="H525" i="30" s="1"/>
  <c r="E132" i="11"/>
  <c r="F132" i="11" s="1"/>
  <c r="H132" i="11" s="1"/>
  <c r="H131" i="11" s="1"/>
  <c r="B133" i="11"/>
  <c r="E78" i="16"/>
  <c r="F78" i="16" s="1"/>
  <c r="H78" i="16" s="1"/>
  <c r="E301" i="28"/>
  <c r="F301" i="28" s="1"/>
  <c r="H301" i="28" s="1"/>
  <c r="E747" i="16"/>
  <c r="F747" i="16" s="1"/>
  <c r="E1140" i="19"/>
  <c r="F1140" i="19" s="1"/>
  <c r="H1140" i="19" s="1"/>
  <c r="H1139" i="19" s="1"/>
  <c r="E301" i="29"/>
  <c r="F301" i="29" s="1"/>
  <c r="H301" i="29" s="1"/>
  <c r="B134" i="26"/>
  <c r="E413" i="23"/>
  <c r="F413" i="23" s="1"/>
  <c r="H413" i="23" s="1"/>
  <c r="B188" i="19"/>
  <c r="B637" i="25"/>
  <c r="E356" i="30"/>
  <c r="F356" i="30" s="1"/>
  <c r="H356" i="30" s="1"/>
  <c r="B2092" i="19"/>
  <c r="E637" i="30"/>
  <c r="F637" i="30" s="1"/>
  <c r="H637" i="30" s="1"/>
  <c r="E803" i="51"/>
  <c r="F803" i="51" s="1"/>
  <c r="B132" i="16"/>
  <c r="E1868" i="19"/>
  <c r="F1868" i="19" s="1"/>
  <c r="H1868" i="19" s="1"/>
  <c r="H1867" i="19" s="1"/>
  <c r="E579" i="29"/>
  <c r="F579" i="29" s="1"/>
  <c r="E412" i="28"/>
  <c r="F412" i="28" s="1"/>
  <c r="H412" i="28" s="1"/>
  <c r="H418" i="28" s="1"/>
  <c r="K131" i="9" s="1"/>
  <c r="E245" i="32"/>
  <c r="F245" i="32" s="1"/>
  <c r="H245" i="32" s="1"/>
  <c r="B76" i="11"/>
  <c r="B75" i="14"/>
  <c r="E862" i="51"/>
  <c r="F862" i="51" s="1"/>
  <c r="H862" i="51" s="1"/>
  <c r="B412" i="19"/>
  <c r="E468" i="19"/>
  <c r="F468" i="19" s="1"/>
  <c r="H468" i="19" s="1"/>
  <c r="H467" i="19" s="1"/>
  <c r="B245" i="30"/>
  <c r="E747" i="19"/>
  <c r="F747" i="19" s="1"/>
  <c r="E21" i="16"/>
  <c r="F21" i="16" s="1"/>
  <c r="H21" i="16" s="1"/>
  <c r="E77" i="25"/>
  <c r="F77" i="25" s="1"/>
  <c r="H77" i="25" s="1"/>
  <c r="E414" i="51"/>
  <c r="F414" i="51" s="1"/>
  <c r="H414" i="51" s="1"/>
  <c r="B468" i="16"/>
  <c r="E637" i="29"/>
  <c r="F637" i="29" s="1"/>
  <c r="H637" i="29" s="1"/>
  <c r="B1756" i="19"/>
  <c r="E19" i="26"/>
  <c r="F19" i="26" s="1"/>
  <c r="B469" i="30"/>
  <c r="E76" i="11"/>
  <c r="F76" i="11" s="1"/>
  <c r="H76" i="11" s="1"/>
  <c r="H75" i="11" s="1"/>
  <c r="B414" i="26"/>
  <c r="E21" i="50"/>
  <c r="F21" i="50" s="1"/>
  <c r="H21" i="50" s="1"/>
  <c r="E525" i="28"/>
  <c r="F525" i="28" s="1"/>
  <c r="H525" i="28" s="1"/>
  <c r="E246" i="51"/>
  <c r="F246" i="51" s="1"/>
  <c r="H246" i="51" s="1"/>
  <c r="E580" i="19"/>
  <c r="F580" i="19" s="1"/>
  <c r="H580" i="19" s="1"/>
  <c r="H579" i="19" s="1"/>
  <c r="E467" i="51"/>
  <c r="F467" i="51" s="1"/>
  <c r="E189" i="28"/>
  <c r="F189" i="28" s="1"/>
  <c r="H189" i="28" s="1"/>
  <c r="B133" i="16"/>
  <c r="B750" i="51"/>
  <c r="E245" i="16"/>
  <c r="F245" i="16" s="1"/>
  <c r="H245" i="16" s="1"/>
  <c r="E135" i="51"/>
  <c r="F135" i="51" s="1"/>
  <c r="H135" i="51" s="1"/>
  <c r="E356" i="28"/>
  <c r="F356" i="28" s="1"/>
  <c r="H356" i="28" s="1"/>
  <c r="H362" i="28" s="1"/>
  <c r="E75" i="13"/>
  <c r="F75" i="13" s="1"/>
  <c r="B131" i="11"/>
  <c r="B413" i="30"/>
  <c r="E525" i="32"/>
  <c r="F525" i="32" s="1"/>
  <c r="H525" i="32" s="1"/>
  <c r="E22" i="15"/>
  <c r="F22" i="15" s="1"/>
  <c r="H22" i="15" s="1"/>
  <c r="E415" i="26"/>
  <c r="F415" i="26" s="1"/>
  <c r="H415" i="26" s="1"/>
  <c r="E245" i="29"/>
  <c r="F245" i="29" s="1"/>
  <c r="H245" i="29" s="1"/>
  <c r="E300" i="29"/>
  <c r="F300" i="29" s="1"/>
  <c r="H300" i="29" s="1"/>
  <c r="B1868" i="19"/>
  <c r="B523" i="23"/>
  <c r="E20" i="32"/>
  <c r="F20" i="32" s="1"/>
  <c r="H20" i="32" s="1"/>
  <c r="H26" i="32" s="1"/>
  <c r="B1195" i="19"/>
  <c r="B189" i="28"/>
  <c r="E413" i="26"/>
  <c r="F413" i="26" s="1"/>
  <c r="H413" i="26" s="1"/>
  <c r="B525" i="25"/>
  <c r="B21" i="28"/>
  <c r="E20" i="17"/>
  <c r="F20" i="17" s="1"/>
  <c r="H20" i="17" s="1"/>
  <c r="E1868" i="34"/>
  <c r="F1868" i="34" s="1"/>
  <c r="H1868" i="34" s="1"/>
  <c r="B803" i="19"/>
  <c r="E355" i="26"/>
  <c r="F355" i="26" s="1"/>
  <c r="B525" i="30"/>
  <c r="E357" i="30"/>
  <c r="F357" i="30" s="1"/>
  <c r="H357" i="30" s="1"/>
  <c r="E468" i="21"/>
  <c r="F468" i="21" s="1"/>
  <c r="H468" i="21" s="1"/>
  <c r="B132" i="28"/>
  <c r="B916" i="19"/>
  <c r="B413" i="16"/>
  <c r="B524" i="28"/>
  <c r="B133" i="28"/>
  <c r="B132" i="26"/>
  <c r="E77" i="29"/>
  <c r="F77" i="29" s="1"/>
  <c r="H77" i="29" s="1"/>
  <c r="E244" i="29"/>
  <c r="F244" i="29" s="1"/>
  <c r="H244" i="29" s="1"/>
  <c r="E247" i="51"/>
  <c r="F247" i="51" s="1"/>
  <c r="H247" i="51" s="1"/>
  <c r="E189" i="53"/>
  <c r="F189" i="53" s="1"/>
  <c r="H189" i="53" s="1"/>
  <c r="B21" i="11"/>
  <c r="E1533" i="19"/>
  <c r="F1533" i="19" s="1"/>
  <c r="H1533" i="19" s="1"/>
  <c r="B469" i="29"/>
  <c r="B187" i="19"/>
  <c r="E357" i="19"/>
  <c r="F357" i="19" s="1"/>
  <c r="H357" i="19" s="1"/>
  <c r="E245" i="30"/>
  <c r="F245" i="30" s="1"/>
  <c r="H245" i="30" s="1"/>
  <c r="B1869" i="19"/>
  <c r="B413" i="28"/>
  <c r="B525" i="29"/>
  <c r="B469" i="28"/>
  <c r="B579" i="16"/>
  <c r="B468" i="51"/>
  <c r="B469" i="32"/>
  <c r="E635" i="21"/>
  <c r="F635" i="21" s="1"/>
  <c r="E471" i="26"/>
  <c r="F471" i="26" s="1"/>
  <c r="H471" i="26" s="1"/>
  <c r="E468" i="25"/>
  <c r="F468" i="25" s="1"/>
  <c r="H468" i="25" s="1"/>
  <c r="B301" i="29"/>
  <c r="E413" i="16"/>
  <c r="F413" i="16" s="1"/>
  <c r="H413" i="16" s="1"/>
  <c r="E21" i="34"/>
  <c r="F21" i="34" s="1"/>
  <c r="H21" i="34" s="1"/>
  <c r="B917" i="19"/>
  <c r="B188" i="51"/>
  <c r="E21" i="28"/>
  <c r="F21" i="28" s="1"/>
  <c r="H21" i="28" s="1"/>
  <c r="B1309" i="19"/>
  <c r="E581" i="16"/>
  <c r="F581" i="16" s="1"/>
  <c r="H581" i="16" s="1"/>
  <c r="B1367" i="19"/>
  <c r="E469" i="29"/>
  <c r="F469" i="29" s="1"/>
  <c r="H469" i="29" s="1"/>
  <c r="E19" i="19"/>
  <c r="F19" i="19" s="1"/>
  <c r="B19" i="15"/>
  <c r="E21" i="29"/>
  <c r="F21" i="29" s="1"/>
  <c r="H21" i="29" s="1"/>
  <c r="B357" i="32"/>
  <c r="B76" i="51"/>
  <c r="E695" i="19"/>
  <c r="F695" i="19" s="1"/>
  <c r="H695" i="19" s="1"/>
  <c r="B524" i="30"/>
  <c r="B20" i="12"/>
  <c r="E76" i="14"/>
  <c r="F76" i="14" s="1"/>
  <c r="H76" i="14" s="1"/>
  <c r="H75" i="14" s="1"/>
  <c r="E413" i="28"/>
  <c r="F413" i="28" s="1"/>
  <c r="H413" i="28" s="1"/>
  <c r="B693" i="16"/>
  <c r="G200" i="25"/>
  <c r="H200" i="25" s="1"/>
  <c r="E480" i="25"/>
  <c r="G1835" i="19"/>
  <c r="H1835" i="19" s="1"/>
  <c r="E205" i="53"/>
  <c r="E309" i="26"/>
  <c r="B1659" i="19"/>
  <c r="B29" i="26"/>
  <c r="B261" i="53"/>
  <c r="E257" i="25"/>
  <c r="B85" i="53"/>
  <c r="G541" i="26"/>
  <c r="H541" i="26" s="1"/>
  <c r="G368" i="25"/>
  <c r="H368" i="25" s="1"/>
  <c r="B536" i="26"/>
  <c r="E535" i="26"/>
  <c r="G367" i="51"/>
  <c r="H367" i="51" s="1"/>
  <c r="B1601" i="19"/>
  <c r="G478" i="51"/>
  <c r="H478" i="51" s="1"/>
  <c r="B189" i="32"/>
  <c r="B424" i="25"/>
  <c r="B200" i="25"/>
  <c r="E367" i="25"/>
  <c r="H1659" i="19"/>
  <c r="G1038" i="51"/>
  <c r="H1038" i="51" s="1"/>
  <c r="G483" i="19"/>
  <c r="H483" i="19" s="1"/>
  <c r="B87" i="51"/>
  <c r="E590" i="19"/>
  <c r="B313" i="25"/>
  <c r="E86" i="51"/>
  <c r="G2158" i="19"/>
  <c r="G66" i="10"/>
  <c r="C66" i="10" s="1"/>
  <c r="H67" i="10"/>
  <c r="G67" i="10" s="1"/>
  <c r="C67" i="10" s="1"/>
  <c r="B1488" i="19"/>
  <c r="B875" i="51"/>
  <c r="G767" i="51"/>
  <c r="H767" i="51" s="1"/>
  <c r="E200" i="25"/>
  <c r="B198" i="22"/>
  <c r="B254" i="17"/>
  <c r="A257" i="5"/>
  <c r="A258" i="5" s="1"/>
  <c r="G197" i="25"/>
  <c r="H197" i="25" s="1"/>
  <c r="G201" i="51"/>
  <c r="H201" i="51" s="1"/>
  <c r="E766" i="51"/>
  <c r="B2114" i="19"/>
  <c r="G1779" i="19"/>
  <c r="H1779" i="19" s="1"/>
  <c r="E1378" i="19"/>
  <c r="G765" i="51"/>
  <c r="H765" i="51" s="1"/>
  <c r="E648" i="29"/>
  <c r="G1610" i="19"/>
  <c r="H1610" i="19" s="1"/>
  <c r="E483" i="51"/>
  <c r="G646" i="29"/>
  <c r="H646" i="29" s="1"/>
  <c r="B982" i="51"/>
  <c r="G1608" i="19"/>
  <c r="H1608" i="19" s="1"/>
  <c r="G256" i="25"/>
  <c r="H256" i="25" s="1"/>
  <c r="B1835" i="19"/>
  <c r="K170" i="9"/>
  <c r="K169" i="9"/>
  <c r="G258" i="25"/>
  <c r="H258" i="25" s="1"/>
  <c r="B31" i="15"/>
  <c r="B1713" i="19"/>
  <c r="B31" i="16"/>
  <c r="G34" i="11"/>
  <c r="H34" i="11" s="1"/>
  <c r="B372" i="19"/>
  <c r="E368" i="25"/>
  <c r="B256" i="25"/>
  <c r="E590" i="51"/>
  <c r="G90" i="51"/>
  <c r="H90" i="51" s="1"/>
  <c r="G1597" i="19"/>
  <c r="H1597" i="19" s="1"/>
  <c r="E1038" i="51"/>
  <c r="G38" i="51"/>
  <c r="H38" i="51" s="1"/>
  <c r="B243" i="16"/>
  <c r="B158" i="10"/>
  <c r="E161" i="10"/>
  <c r="H650" i="51"/>
  <c r="G682" i="41"/>
  <c r="AM41" i="4"/>
  <c r="AO41" i="4" s="1"/>
  <c r="AM29" i="4"/>
  <c r="AO29" i="4" s="1"/>
  <c r="H1877" i="49"/>
  <c r="G641" i="41"/>
  <c r="H597" i="51"/>
  <c r="G14" i="55"/>
  <c r="H19" i="55"/>
  <c r="G2107" i="49"/>
  <c r="H2112" i="49"/>
  <c r="H2133" i="49" s="1"/>
  <c r="E150" i="10"/>
  <c r="H423" i="51"/>
  <c r="H311" i="51"/>
  <c r="G726" i="16"/>
  <c r="G110" i="26"/>
  <c r="G110" i="19"/>
  <c r="G334" i="32"/>
  <c r="G782" i="34"/>
  <c r="G1174" i="19"/>
  <c r="G110" i="18"/>
  <c r="G1342" i="19"/>
  <c r="G979" i="55"/>
  <c r="H979" i="55" s="1"/>
  <c r="H980" i="55" s="1"/>
  <c r="H981" i="55" s="1"/>
  <c r="G110" i="15"/>
  <c r="G390" i="26"/>
  <c r="G334" i="19"/>
  <c r="G614" i="29"/>
  <c r="G390" i="33"/>
  <c r="G950" i="19"/>
  <c r="G894" i="19"/>
  <c r="G1231" i="55"/>
  <c r="H1231" i="55" s="1"/>
  <c r="H1232" i="55" s="1"/>
  <c r="H1233" i="55" s="1"/>
  <c r="G110" i="13"/>
  <c r="G390" i="29"/>
  <c r="G670" i="16"/>
  <c r="G54" i="30"/>
  <c r="G166" i="33"/>
  <c r="G838" i="19"/>
  <c r="G166" i="17"/>
  <c r="G91" i="55"/>
  <c r="G278" i="14"/>
  <c r="G222" i="51"/>
  <c r="G54" i="23"/>
  <c r="G222" i="28"/>
  <c r="G54" i="32"/>
  <c r="G110" i="21"/>
  <c r="G166" i="35"/>
  <c r="G790" i="55"/>
  <c r="H790" i="55" s="1"/>
  <c r="H791" i="55" s="1"/>
  <c r="H792" i="55" s="1"/>
  <c r="M18" i="5"/>
  <c r="G222" i="35"/>
  <c r="G166" i="21"/>
  <c r="G54" i="53"/>
  <c r="G502" i="30"/>
  <c r="G502" i="28"/>
  <c r="G1342" i="34"/>
  <c r="G334" i="14"/>
  <c r="G446" i="34"/>
  <c r="G782" i="51"/>
  <c r="G110" i="28"/>
  <c r="G614" i="16"/>
  <c r="G334" i="33"/>
  <c r="G2014" i="34"/>
  <c r="G390" i="28"/>
  <c r="G222" i="25"/>
  <c r="G782" i="19"/>
  <c r="G1678" i="19"/>
  <c r="G727" i="55"/>
  <c r="H727" i="55" s="1"/>
  <c r="H728" i="55" s="1"/>
  <c r="H729" i="55" s="1"/>
  <c r="G222" i="32"/>
  <c r="G222" i="14"/>
  <c r="G601" i="55"/>
  <c r="H601" i="55" s="1"/>
  <c r="H602" i="55" s="1"/>
  <c r="H603" i="55" s="1"/>
  <c r="G614" i="25"/>
  <c r="G1790" i="19"/>
  <c r="G558" i="28"/>
  <c r="G726" i="34"/>
  <c r="G1398" i="34"/>
  <c r="H598" i="51"/>
  <c r="H477" i="25"/>
  <c r="H1937" i="34"/>
  <c r="G326" i="10"/>
  <c r="C326" i="10" s="1"/>
  <c r="B323" i="10" s="1"/>
  <c r="K247" i="19"/>
  <c r="F257" i="19"/>
  <c r="H257" i="19" s="1"/>
  <c r="G289" i="55"/>
  <c r="G1566" i="19"/>
  <c r="G502" i="19"/>
  <c r="G558" i="32"/>
  <c r="G1454" i="34"/>
  <c r="G187" i="55"/>
  <c r="G110" i="53"/>
  <c r="G278" i="19"/>
  <c r="G2126" i="34"/>
  <c r="H505" i="55"/>
  <c r="K177" i="9" s="1"/>
  <c r="G54" i="22"/>
  <c r="G446" i="25"/>
  <c r="G334" i="34"/>
  <c r="G166" i="23"/>
  <c r="G1042" i="55"/>
  <c r="H1042" i="55" s="1"/>
  <c r="H1043" i="55" s="1"/>
  <c r="H1044" i="55" s="1"/>
  <c r="G390" i="25"/>
  <c r="G782" i="25"/>
  <c r="G1062" i="34"/>
  <c r="G54" i="17"/>
  <c r="G1294" i="55"/>
  <c r="H1294" i="55" s="1"/>
  <c r="H1295" i="55" s="1"/>
  <c r="H1296" i="55" s="1"/>
  <c r="G54" i="33"/>
  <c r="G222" i="53"/>
  <c r="G1286" i="34"/>
  <c r="G502" i="14"/>
  <c r="G278" i="17"/>
  <c r="G670" i="34"/>
  <c r="G166" i="22"/>
  <c r="G502" i="51"/>
  <c r="G166" i="14"/>
  <c r="G1920" i="49"/>
  <c r="H1925" i="49"/>
  <c r="H1945" i="49" s="1"/>
  <c r="H538" i="25"/>
  <c r="H33" i="17"/>
  <c r="H241" i="49"/>
  <c r="H759" i="19"/>
  <c r="H538" i="51"/>
  <c r="B291" i="26"/>
  <c r="E68" i="16"/>
  <c r="F68" i="16" s="1"/>
  <c r="H68" i="16" s="1"/>
  <c r="B515" i="26"/>
  <c r="B571" i="19"/>
  <c r="E347" i="51"/>
  <c r="F347" i="51" s="1"/>
  <c r="H347" i="51" s="1"/>
  <c r="B628" i="16"/>
  <c r="B683" i="51"/>
  <c r="B124" i="51"/>
  <c r="E963" i="19"/>
  <c r="F963" i="19" s="1"/>
  <c r="H963" i="19" s="1"/>
  <c r="E124" i="51"/>
  <c r="F124" i="51" s="1"/>
  <c r="H124" i="51" s="1"/>
  <c r="A17" i="6"/>
  <c r="B626" i="29" s="1"/>
  <c r="H1759" i="49"/>
  <c r="H758" i="19"/>
  <c r="D393" i="32"/>
  <c r="D281" i="32"/>
  <c r="D169" i="32"/>
  <c r="D113" i="32"/>
  <c r="D337" i="32"/>
  <c r="D449" i="32"/>
  <c r="D225" i="32"/>
  <c r="H153" i="10"/>
  <c r="G153" i="10" s="1"/>
  <c r="C153" i="10" s="1"/>
  <c r="E153" i="10" s="1"/>
  <c r="B235" i="25"/>
  <c r="B2139" i="19"/>
  <c r="B404" i="16"/>
  <c r="B740" i="51"/>
  <c r="B514" i="29"/>
  <c r="B67" i="15"/>
  <c r="E235" i="25"/>
  <c r="F235" i="25" s="1"/>
  <c r="H235" i="25" s="1"/>
  <c r="E348" i="16"/>
  <c r="F348" i="16" s="1"/>
  <c r="H348" i="16" s="1"/>
  <c r="E515" i="26"/>
  <c r="F515" i="26" s="1"/>
  <c r="H515" i="26" s="1"/>
  <c r="B572" i="16"/>
  <c r="B2083" i="19"/>
  <c r="B68" i="51"/>
  <c r="E2083" i="34"/>
  <c r="F2083" i="34" s="1"/>
  <c r="H2083" i="34" s="1"/>
  <c r="E572" i="16"/>
  <c r="F572" i="16" s="1"/>
  <c r="H572" i="16" s="1"/>
  <c r="E515" i="25"/>
  <c r="F515" i="25" s="1"/>
  <c r="H515" i="25" s="1"/>
  <c r="B11" i="25"/>
  <c r="E12" i="51"/>
  <c r="F12" i="51" s="1"/>
  <c r="H12" i="51" s="1"/>
  <c r="E67" i="25"/>
  <c r="F67" i="25" s="1"/>
  <c r="H67" i="25" s="1"/>
  <c r="B179" i="25"/>
  <c r="B292" i="51"/>
  <c r="B66" i="19"/>
  <c r="E403" i="14"/>
  <c r="F403" i="14" s="1"/>
  <c r="H403" i="14" s="1"/>
  <c r="B574" i="29"/>
  <c r="B11" i="18"/>
  <c r="B1915" i="19"/>
  <c r="E123" i="51"/>
  <c r="F123" i="51" s="1"/>
  <c r="H123" i="51" s="1"/>
  <c r="B739" i="51"/>
  <c r="B459" i="51"/>
  <c r="B850" i="19"/>
  <c r="B67" i="12"/>
  <c r="B11" i="51"/>
  <c r="E291" i="51"/>
  <c r="F291" i="51" s="1"/>
  <c r="H291" i="51" s="1"/>
  <c r="E851" i="51"/>
  <c r="F851" i="51" s="1"/>
  <c r="B2083" i="34"/>
  <c r="E574" i="29"/>
  <c r="F574" i="29" s="1"/>
  <c r="H574" i="29" s="1"/>
  <c r="B290" i="23"/>
  <c r="E684" i="51"/>
  <c r="F684" i="51" s="1"/>
  <c r="H684" i="51" s="1"/>
  <c r="E403" i="26"/>
  <c r="F403" i="26" s="1"/>
  <c r="H403" i="26" s="1"/>
  <c r="B348" i="51"/>
  <c r="B67" i="26"/>
  <c r="E2083" i="19"/>
  <c r="F2083" i="19" s="1"/>
  <c r="H2083" i="19" s="1"/>
  <c r="E740" i="51"/>
  <c r="F740" i="51" s="1"/>
  <c r="H740" i="51" s="1"/>
  <c r="B234" i="26"/>
  <c r="B346" i="23"/>
  <c r="B180" i="51"/>
  <c r="E739" i="51"/>
  <c r="F739" i="51" s="1"/>
  <c r="H739" i="51" s="1"/>
  <c r="B236" i="16"/>
  <c r="B1020" i="51"/>
  <c r="E291" i="25"/>
  <c r="F291" i="25" s="1"/>
  <c r="H291" i="25" s="1"/>
  <c r="B1019" i="51"/>
  <c r="B403" i="14"/>
  <c r="E627" i="51"/>
  <c r="F627" i="51" s="1"/>
  <c r="H627" i="51" s="1"/>
  <c r="E460" i="16"/>
  <c r="F460" i="16" s="1"/>
  <c r="H460" i="16" s="1"/>
  <c r="B124" i="16"/>
  <c r="E292" i="51"/>
  <c r="F292" i="51" s="1"/>
  <c r="H292" i="51" s="1"/>
  <c r="E515" i="19"/>
  <c r="F515" i="19" s="1"/>
  <c r="H515" i="19" s="1"/>
  <c r="E403" i="51"/>
  <c r="F403" i="51" s="1"/>
  <c r="H403" i="51" s="1"/>
  <c r="B292" i="16"/>
  <c r="E628" i="29"/>
  <c r="F628" i="29" s="1"/>
  <c r="H628" i="29" s="1"/>
  <c r="B123" i="51"/>
  <c r="B852" i="51"/>
  <c r="E683" i="16"/>
  <c r="F683" i="16" s="1"/>
  <c r="H683" i="16" s="1"/>
  <c r="B178" i="28"/>
  <c r="B179" i="26"/>
  <c r="B1690" i="19"/>
  <c r="B235" i="26"/>
  <c r="B123" i="26"/>
  <c r="B738" i="16"/>
  <c r="B794" i="19"/>
  <c r="E1020" i="51"/>
  <c r="F1020" i="51" s="1"/>
  <c r="H1020" i="51" s="1"/>
  <c r="E235" i="51"/>
  <c r="F235" i="51" s="1"/>
  <c r="H235" i="51" s="1"/>
  <c r="E1915" i="19"/>
  <c r="F1915" i="19" s="1"/>
  <c r="H1915" i="19" s="1"/>
  <c r="E571" i="19"/>
  <c r="F571" i="19" s="1"/>
  <c r="H571" i="19" s="1"/>
  <c r="E628" i="16"/>
  <c r="F628" i="16" s="1"/>
  <c r="H628" i="16" s="1"/>
  <c r="B516" i="16"/>
  <c r="E123" i="14"/>
  <c r="F123" i="14" s="1"/>
  <c r="H123" i="14" s="1"/>
  <c r="B2082" i="34"/>
  <c r="B123" i="25"/>
  <c r="B68" i="16"/>
  <c r="B570" i="29"/>
  <c r="B178" i="32"/>
  <c r="E123" i="26"/>
  <c r="F123" i="26" s="1"/>
  <c r="H123" i="26" s="1"/>
  <c r="E627" i="19"/>
  <c r="F627" i="19" s="1"/>
  <c r="H627" i="19" s="1"/>
  <c r="E12" i="16"/>
  <c r="F12" i="16" s="1"/>
  <c r="H12" i="16" s="1"/>
  <c r="B66" i="21"/>
  <c r="B459" i="25"/>
  <c r="B346" i="14"/>
  <c r="B10" i="35"/>
  <c r="E180" i="51"/>
  <c r="F180" i="51" s="1"/>
  <c r="H180" i="51" s="1"/>
  <c r="B347" i="25"/>
  <c r="B10" i="11"/>
  <c r="B346" i="26"/>
  <c r="B123" i="14"/>
  <c r="E292" i="16"/>
  <c r="F292" i="16" s="1"/>
  <c r="H292" i="16" s="1"/>
  <c r="E403" i="25"/>
  <c r="F403" i="25" s="1"/>
  <c r="H403" i="25" s="1"/>
  <c r="B346" i="28"/>
  <c r="B122" i="32"/>
  <c r="E348" i="51"/>
  <c r="F348" i="51" s="1"/>
  <c r="H348" i="51" s="1"/>
  <c r="B179" i="17"/>
  <c r="E11" i="25"/>
  <c r="F11" i="25" s="1"/>
  <c r="H11" i="25" s="1"/>
  <c r="E459" i="19"/>
  <c r="F459" i="19" s="1"/>
  <c r="H459" i="19" s="1"/>
  <c r="B11" i="15"/>
  <c r="B851" i="51"/>
  <c r="E124" i="16"/>
  <c r="F124" i="16" s="1"/>
  <c r="H124" i="16" s="1"/>
  <c r="E347" i="26"/>
  <c r="F347" i="26" s="1"/>
  <c r="H347" i="26" s="1"/>
  <c r="B573" i="29"/>
  <c r="B122" i="12"/>
  <c r="E459" i="25"/>
  <c r="F459" i="25" s="1"/>
  <c r="H459" i="25" s="1"/>
  <c r="B403" i="19"/>
  <c r="B964" i="51"/>
  <c r="B348" i="16"/>
  <c r="E68" i="51"/>
  <c r="F68" i="51" s="1"/>
  <c r="H68" i="51" s="1"/>
  <c r="B1916" i="19"/>
  <c r="B124" i="26"/>
  <c r="B122" i="14"/>
  <c r="B346" i="30"/>
  <c r="B515" i="51"/>
  <c r="E179" i="25"/>
  <c r="F179" i="25" s="1"/>
  <c r="H179" i="25" s="1"/>
  <c r="E683" i="51"/>
  <c r="F683" i="51" s="1"/>
  <c r="H683" i="51" s="1"/>
  <c r="B1859" i="34"/>
  <c r="E67" i="15"/>
  <c r="F67" i="15" s="1"/>
  <c r="H67" i="15" s="1"/>
  <c r="E67" i="13"/>
  <c r="F67" i="13" s="1"/>
  <c r="H67" i="13" s="1"/>
  <c r="E1803" i="34"/>
  <c r="F1803" i="34" s="1"/>
  <c r="H1803" i="34" s="1"/>
  <c r="E11" i="15"/>
  <c r="F11" i="15" s="1"/>
  <c r="H11" i="15" s="1"/>
  <c r="B683" i="19"/>
  <c r="B626" i="30"/>
  <c r="E236" i="16"/>
  <c r="F236" i="16" s="1"/>
  <c r="H236" i="16" s="1"/>
  <c r="E67" i="12"/>
  <c r="F67" i="12" s="1"/>
  <c r="H67" i="12" s="1"/>
  <c r="B404" i="51"/>
  <c r="E572" i="51"/>
  <c r="F572" i="51" s="1"/>
  <c r="H572" i="51" s="1"/>
  <c r="E235" i="26"/>
  <c r="F235" i="26" s="1"/>
  <c r="H235" i="26" s="1"/>
  <c r="E236" i="51"/>
  <c r="F236" i="51" s="1"/>
  <c r="H236" i="51" s="1"/>
  <c r="B963" i="19"/>
  <c r="E179" i="26"/>
  <c r="F179" i="26" s="1"/>
  <c r="H179" i="26" s="1"/>
  <c r="B346" i="19"/>
  <c r="E1916" i="19"/>
  <c r="F1916" i="19" s="1"/>
  <c r="H1916" i="19" s="1"/>
  <c r="B514" i="21"/>
  <c r="E404" i="51"/>
  <c r="F404" i="51" s="1"/>
  <c r="H404" i="51" s="1"/>
  <c r="B460" i="51"/>
  <c r="E403" i="19"/>
  <c r="F403" i="19" s="1"/>
  <c r="H403" i="19" s="1"/>
  <c r="B683" i="16"/>
  <c r="H325" i="34"/>
  <c r="H184" i="34"/>
  <c r="H157" i="34"/>
  <c r="H381" i="33"/>
  <c r="H213" i="33"/>
  <c r="B403" i="26"/>
  <c r="B346" i="16"/>
  <c r="B2082" i="19"/>
  <c r="E628" i="51"/>
  <c r="F628" i="51" s="1"/>
  <c r="H628" i="51" s="1"/>
  <c r="H549" i="34"/>
  <c r="H474" i="34"/>
  <c r="H493" i="34"/>
  <c r="H437" i="34"/>
  <c r="H362" i="34"/>
  <c r="H381" i="34"/>
  <c r="H45" i="12"/>
  <c r="B402" i="29"/>
  <c r="B10" i="34"/>
  <c r="B179" i="51"/>
  <c r="E1859" i="34"/>
  <c r="F1859" i="34" s="1"/>
  <c r="H1859" i="34" s="1"/>
  <c r="H437" i="16"/>
  <c r="H2495" i="49"/>
  <c r="K247" i="51"/>
  <c r="K250" i="51" s="1"/>
  <c r="F263" i="51"/>
  <c r="H263" i="51" s="1"/>
  <c r="F651" i="19"/>
  <c r="F653" i="19"/>
  <c r="H653" i="19" s="1"/>
  <c r="F652" i="19"/>
  <c r="D123" i="10"/>
  <c r="D169" i="29"/>
  <c r="D561" i="29"/>
  <c r="D449" i="29"/>
  <c r="D337" i="29"/>
  <c r="D113" i="29"/>
  <c r="H493" i="30"/>
  <c r="H1766" i="49"/>
  <c r="F649" i="19"/>
  <c r="H649" i="19" s="1"/>
  <c r="H648" i="19"/>
  <c r="H717" i="30"/>
  <c r="H101" i="33"/>
  <c r="H1724" i="49"/>
  <c r="F369" i="19"/>
  <c r="K359" i="19"/>
  <c r="H2061" i="34"/>
  <c r="H2126" i="49"/>
  <c r="G851" i="51"/>
  <c r="G852" i="51"/>
  <c r="H852" i="51" s="1"/>
  <c r="C2" i="21"/>
  <c r="C226" i="25"/>
  <c r="C450" i="51"/>
  <c r="C1290" i="19"/>
  <c r="C2" i="34"/>
  <c r="C226" i="34"/>
  <c r="C674" i="21"/>
  <c r="C450" i="25"/>
  <c r="C1010" i="19"/>
  <c r="C1514" i="34"/>
  <c r="C562" i="29"/>
  <c r="C674" i="34"/>
  <c r="C114" i="34"/>
  <c r="C1010" i="51"/>
  <c r="C506" i="32"/>
  <c r="C2" i="18"/>
  <c r="C506" i="25"/>
  <c r="C1122" i="34"/>
  <c r="C2" i="19"/>
  <c r="C1570" i="34"/>
  <c r="C394" i="25"/>
  <c r="C226" i="33"/>
  <c r="C1458" i="19"/>
  <c r="C506" i="19"/>
  <c r="C338" i="34"/>
  <c r="C170" i="25"/>
  <c r="C2" i="12"/>
  <c r="C2" i="33"/>
  <c r="C58" i="21"/>
  <c r="C954" i="51"/>
  <c r="C394" i="19"/>
  <c r="C226" i="17"/>
  <c r="C114" i="13"/>
  <c r="C562" i="19"/>
  <c r="C58" i="19"/>
  <c r="C282" i="14"/>
  <c r="C842" i="34"/>
  <c r="C338" i="29"/>
  <c r="C1066" i="34"/>
  <c r="C674" i="19"/>
  <c r="C450" i="21"/>
  <c r="C618" i="30"/>
  <c r="C506" i="28"/>
  <c r="C58" i="34"/>
  <c r="C226" i="29"/>
  <c r="C898" i="34"/>
  <c r="C674" i="51"/>
  <c r="C282" i="30"/>
  <c r="C58" i="35"/>
  <c r="C1346" i="34"/>
  <c r="C506" i="34"/>
  <c r="C282" i="26"/>
  <c r="C618" i="34"/>
  <c r="C730" i="25"/>
  <c r="C1290" i="34"/>
  <c r="C1906" i="34"/>
  <c r="C170" i="22"/>
  <c r="C1738" i="34"/>
  <c r="C282" i="19"/>
  <c r="C394" i="34"/>
  <c r="C618" i="25"/>
  <c r="C2" i="50"/>
  <c r="C2074" i="19"/>
  <c r="C282" i="32"/>
  <c r="C338" i="30"/>
  <c r="C58" i="13"/>
  <c r="C954" i="19"/>
  <c r="C58" i="26"/>
  <c r="C2" i="17"/>
  <c r="C1682" i="19"/>
  <c r="C450" i="14"/>
  <c r="C338" i="26"/>
  <c r="C1066" i="19"/>
  <c r="C58" i="18"/>
  <c r="C282" i="34"/>
  <c r="C338" i="21"/>
  <c r="C1458" i="34"/>
  <c r="C58" i="51"/>
  <c r="C1962" i="34"/>
  <c r="C394" i="32"/>
  <c r="C282" i="21"/>
  <c r="C114" i="30"/>
  <c r="C786" i="51"/>
  <c r="C450" i="32"/>
  <c r="C282" i="25"/>
  <c r="C114" i="35"/>
  <c r="C58" i="53"/>
  <c r="C170" i="16"/>
  <c r="C1402" i="19"/>
  <c r="C114" i="21"/>
  <c r="C2" i="16"/>
  <c r="C2" i="14"/>
  <c r="C2130" i="19"/>
  <c r="C338" i="51"/>
  <c r="C450" i="34"/>
  <c r="C1234" i="34"/>
  <c r="C1570" i="19"/>
  <c r="C226" i="32"/>
  <c r="C58" i="30"/>
  <c r="C562" i="51"/>
  <c r="C954" i="34"/>
  <c r="C394" i="30"/>
  <c r="C1738" i="19"/>
  <c r="C562" i="21"/>
  <c r="C58" i="15"/>
  <c r="C2" i="15"/>
  <c r="C114" i="12"/>
  <c r="C338" i="25"/>
  <c r="C2018" i="34"/>
  <c r="C114" i="51"/>
  <c r="C114" i="22"/>
  <c r="C2" i="51"/>
  <c r="C114" i="33"/>
  <c r="C450" i="26"/>
  <c r="C170" i="35"/>
  <c r="C338" i="23"/>
  <c r="C786" i="19"/>
  <c r="C562" i="25"/>
  <c r="C170" i="28"/>
  <c r="C1402" i="34"/>
  <c r="C2" i="28"/>
  <c r="C450" i="19"/>
  <c r="C506" i="16"/>
  <c r="C394" i="21"/>
  <c r="C1794" i="34"/>
  <c r="F127" i="9"/>
  <c r="H213" i="34"/>
  <c r="H758" i="51"/>
  <c r="H381" i="16"/>
  <c r="H325" i="33"/>
  <c r="G121" i="41"/>
  <c r="G128" i="41" s="1"/>
  <c r="G384" i="42"/>
  <c r="H2726" i="49"/>
  <c r="H2741" i="49" s="1"/>
  <c r="H157" i="35"/>
  <c r="H437" i="32"/>
  <c r="H773" i="34"/>
  <c r="H717" i="34"/>
  <c r="H157" i="32"/>
  <c r="H1254" i="49"/>
  <c r="H101" i="35"/>
  <c r="H45" i="35"/>
  <c r="H392" i="49"/>
  <c r="G350" i="41"/>
  <c r="G363" i="41" s="1"/>
  <c r="G66" i="47"/>
  <c r="G81" i="47" s="1"/>
  <c r="H101" i="17"/>
  <c r="H325" i="32"/>
  <c r="H555" i="21"/>
  <c r="B261" i="10"/>
  <c r="B249" i="10" s="1"/>
  <c r="G350" i="49"/>
  <c r="H355" i="49"/>
  <c r="H371" i="49" s="1"/>
  <c r="B175" i="10"/>
  <c r="H45" i="34"/>
  <c r="H101" i="34"/>
  <c r="G390" i="19"/>
  <c r="G1229" i="19"/>
  <c r="G1173" i="19"/>
  <c r="G53" i="11"/>
  <c r="G1117" i="19"/>
  <c r="G557" i="51"/>
  <c r="G557" i="25"/>
  <c r="G781" i="19"/>
  <c r="G781" i="51"/>
  <c r="G501" i="25"/>
  <c r="G725" i="19"/>
  <c r="G837" i="51"/>
  <c r="G445" i="25"/>
  <c r="G1901" i="19"/>
  <c r="G669" i="19"/>
  <c r="G188" i="46"/>
  <c r="G202" i="46" s="1"/>
  <c r="F541" i="51"/>
  <c r="F544" i="51"/>
  <c r="D77" i="10"/>
  <c r="F77" i="10" s="1"/>
  <c r="B205" i="10"/>
  <c r="B204" i="10" s="1"/>
  <c r="H437" i="30"/>
  <c r="B218" i="10"/>
  <c r="H325" i="16"/>
  <c r="H75" i="49"/>
  <c r="H90" i="49" s="1"/>
  <c r="H1164" i="49"/>
  <c r="H1171" i="49" s="1"/>
  <c r="E140" i="5"/>
  <c r="G32" i="46"/>
  <c r="G39" i="46" s="1"/>
  <c r="H1892" i="49"/>
  <c r="J365" i="25"/>
  <c r="F434" i="26"/>
  <c r="H434" i="26" s="1"/>
  <c r="H493" i="32"/>
  <c r="F707" i="19"/>
  <c r="F709" i="19"/>
  <c r="G439" i="55"/>
  <c r="H439" i="55" s="1"/>
  <c r="H438" i="55"/>
  <c r="H381" i="32"/>
  <c r="J601" i="25"/>
  <c r="F314" i="26"/>
  <c r="H314" i="26" s="1"/>
  <c r="F315" i="26"/>
  <c r="F1654" i="19"/>
  <c r="F1655" i="19"/>
  <c r="H1655" i="19" s="1"/>
  <c r="H997" i="34"/>
  <c r="H269" i="34"/>
  <c r="H661" i="34"/>
  <c r="H213" i="35"/>
  <c r="C311" i="10"/>
  <c r="H1976" i="34"/>
  <c r="H362" i="33"/>
  <c r="H213" i="32"/>
  <c r="H101" i="32"/>
  <c r="B207" i="10"/>
  <c r="J141" i="25"/>
  <c r="G319" i="10"/>
  <c r="C319" i="10" s="1"/>
  <c r="B317" i="10" s="1"/>
  <c r="B181" i="10"/>
  <c r="G242" i="46"/>
  <c r="B417" i="10"/>
  <c r="G675" i="41"/>
  <c r="H1323" i="49"/>
  <c r="H1339" i="49" s="1"/>
  <c r="H1971" i="49"/>
  <c r="H1992" i="49" s="1"/>
  <c r="H213" i="23"/>
  <c r="H157" i="23"/>
  <c r="H2820" i="49"/>
  <c r="H2827" i="49" s="1"/>
  <c r="F2165" i="19"/>
  <c r="H110" i="55"/>
  <c r="G111" i="55"/>
  <c r="H111" i="55" s="1"/>
  <c r="G281" i="48"/>
  <c r="G295" i="48" s="1"/>
  <c r="H652" i="19" l="1"/>
  <c r="H502" i="14"/>
  <c r="H503" i="14" s="1"/>
  <c r="H504" i="14" s="1"/>
  <c r="O449" i="14" s="1"/>
  <c r="H157" i="11"/>
  <c r="H1654" i="19"/>
  <c r="H1669" i="19" s="1"/>
  <c r="H202" i="25"/>
  <c r="H213" i="25" s="1"/>
  <c r="H437" i="19"/>
  <c r="H651" i="19"/>
  <c r="H220" i="11"/>
  <c r="H222" i="11" s="1"/>
  <c r="H773" i="51"/>
  <c r="H101" i="13"/>
  <c r="H2158" i="19"/>
  <c r="H829" i="19"/>
  <c r="H381" i="21"/>
  <c r="H157" i="16"/>
  <c r="H45" i="51"/>
  <c r="H269" i="19"/>
  <c r="H661" i="21"/>
  <c r="H885" i="19"/>
  <c r="H157" i="21"/>
  <c r="H101" i="53"/>
  <c r="H381" i="51"/>
  <c r="H157" i="19"/>
  <c r="H1053" i="19"/>
  <c r="H45" i="17"/>
  <c r="G635" i="16"/>
  <c r="H642" i="16"/>
  <c r="E626" i="16" s="1"/>
  <c r="F626" i="16" s="1"/>
  <c r="H626" i="16" s="1"/>
  <c r="H632" i="16" s="1"/>
  <c r="H138" i="13"/>
  <c r="K22" i="9" s="1"/>
  <c r="G131" i="13"/>
  <c r="H1531" i="19"/>
  <c r="H1899" i="49"/>
  <c r="H1146" i="19"/>
  <c r="E1130" i="19" s="1"/>
  <c r="F1130" i="19" s="1"/>
  <c r="H1130" i="19" s="1"/>
  <c r="G1139" i="19"/>
  <c r="H1725" i="19"/>
  <c r="G579" i="19"/>
  <c r="H586" i="19"/>
  <c r="L412" i="51"/>
  <c r="H411" i="51"/>
  <c r="H411" i="19"/>
  <c r="H579" i="51"/>
  <c r="L580" i="51"/>
  <c r="H493" i="51"/>
  <c r="H250" i="29"/>
  <c r="G1867" i="19"/>
  <c r="H1874" i="19"/>
  <c r="K77" i="9" s="1"/>
  <c r="H131" i="25"/>
  <c r="H19" i="25"/>
  <c r="H579" i="29"/>
  <c r="H75" i="18"/>
  <c r="H418" i="14"/>
  <c r="G411" i="14"/>
  <c r="H915" i="51"/>
  <c r="H194" i="17"/>
  <c r="K122" i="9" s="1"/>
  <c r="H2163" i="19"/>
  <c r="H941" i="51"/>
  <c r="H157" i="22"/>
  <c r="H1053" i="51"/>
  <c r="H45" i="53"/>
  <c r="K149" i="9"/>
  <c r="K148" i="9"/>
  <c r="K150" i="9"/>
  <c r="K147" i="9"/>
  <c r="G1699" i="19"/>
  <c r="H1706" i="19"/>
  <c r="H45" i="21"/>
  <c r="H437" i="51"/>
  <c r="H250" i="28"/>
  <c r="E234" i="28" s="1"/>
  <c r="F234" i="28" s="1"/>
  <c r="H234" i="28" s="1"/>
  <c r="H240" i="28" s="1"/>
  <c r="G523" i="26"/>
  <c r="H530" i="26"/>
  <c r="E514" i="26" s="1"/>
  <c r="F514" i="26" s="1"/>
  <c r="H514" i="26" s="1"/>
  <c r="H520" i="26" s="1"/>
  <c r="H306" i="14"/>
  <c r="G299" i="14"/>
  <c r="H467" i="51"/>
  <c r="G1643" i="19"/>
  <c r="H1650" i="19"/>
  <c r="K71" i="9" s="1"/>
  <c r="H362" i="16"/>
  <c r="E346" i="16" s="1"/>
  <c r="F346" i="16" s="1"/>
  <c r="H346" i="16" s="1"/>
  <c r="H352" i="16" s="1"/>
  <c r="G355" i="16"/>
  <c r="H75" i="16"/>
  <c r="H194" i="28"/>
  <c r="E178" i="28" s="1"/>
  <c r="F178" i="28" s="1"/>
  <c r="H178" i="28" s="1"/>
  <c r="H184" i="28" s="1"/>
  <c r="H213" i="19"/>
  <c r="B402" i="16"/>
  <c r="H35" i="55"/>
  <c r="K164" i="9"/>
  <c r="G19" i="26"/>
  <c r="H26" i="26"/>
  <c r="H1818" i="19"/>
  <c r="G1811" i="19"/>
  <c r="A21" i="7"/>
  <c r="B245" i="28"/>
  <c r="E413" i="32"/>
  <c r="F413" i="32" s="1"/>
  <c r="H413" i="32" s="1"/>
  <c r="E413" i="30"/>
  <c r="F413" i="30" s="1"/>
  <c r="H413" i="30" s="1"/>
  <c r="H418" i="32"/>
  <c r="E402" i="32" s="1"/>
  <c r="F402" i="32" s="1"/>
  <c r="H402" i="32" s="1"/>
  <c r="H408" i="32" s="1"/>
  <c r="H635" i="29"/>
  <c r="H26" i="29"/>
  <c r="H187" i="51"/>
  <c r="L188" i="51"/>
  <c r="H530" i="28"/>
  <c r="K132" i="9" s="1"/>
  <c r="H187" i="25"/>
  <c r="H530" i="30"/>
  <c r="E514" i="30" s="1"/>
  <c r="F514" i="30" s="1"/>
  <c r="H514" i="30" s="1"/>
  <c r="H520" i="30" s="1"/>
  <c r="H19" i="51"/>
  <c r="L20" i="51"/>
  <c r="H250" i="32"/>
  <c r="K151" i="9" s="1"/>
  <c r="H1363" i="19"/>
  <c r="L1364" i="19"/>
  <c r="H1389" i="19"/>
  <c r="H997" i="51"/>
  <c r="H2005" i="19"/>
  <c r="H269" i="51"/>
  <c r="H1165" i="19"/>
  <c r="H437" i="25"/>
  <c r="H717" i="25"/>
  <c r="H661" i="51"/>
  <c r="H26" i="11"/>
  <c r="K12" i="9" s="1"/>
  <c r="G19" i="11"/>
  <c r="H250" i="14"/>
  <c r="G131" i="14"/>
  <c r="H138" i="14"/>
  <c r="G411" i="16"/>
  <c r="H418" i="16"/>
  <c r="H549" i="21"/>
  <c r="H635" i="19"/>
  <c r="H2162" i="19"/>
  <c r="H1949" i="34"/>
  <c r="H213" i="22"/>
  <c r="H138" i="29"/>
  <c r="H325" i="51"/>
  <c r="H829" i="51"/>
  <c r="E317" i="10"/>
  <c r="B314" i="10"/>
  <c r="G392" i="49"/>
  <c r="H397" i="49"/>
  <c r="H411" i="49" s="1"/>
  <c r="C149" i="10"/>
  <c r="G75" i="11"/>
  <c r="H82" i="11"/>
  <c r="K13" i="9" s="1"/>
  <c r="L132" i="51"/>
  <c r="H131" i="51"/>
  <c r="H75" i="13"/>
  <c r="H75" i="15"/>
  <c r="H194" i="32"/>
  <c r="E178" i="32" s="1"/>
  <c r="F178" i="32" s="1"/>
  <c r="H178" i="32" s="1"/>
  <c r="H184" i="32" s="1"/>
  <c r="H243" i="16"/>
  <c r="H2091" i="19"/>
  <c r="H187" i="16"/>
  <c r="H1419" i="19"/>
  <c r="B357" i="28"/>
  <c r="H2160" i="19"/>
  <c r="H101" i="15"/>
  <c r="H157" i="13"/>
  <c r="H2117" i="34"/>
  <c r="H549" i="26"/>
  <c r="H493" i="21"/>
  <c r="H773" i="16"/>
  <c r="H45" i="19"/>
  <c r="H2157" i="19"/>
  <c r="H1762" i="19"/>
  <c r="K72" i="9" s="1"/>
  <c r="G1755" i="19"/>
  <c r="H635" i="51"/>
  <c r="H605" i="29"/>
  <c r="H1587" i="19"/>
  <c r="H243" i="21"/>
  <c r="H194" i="26"/>
  <c r="G187" i="26"/>
  <c r="H2161" i="19"/>
  <c r="H45" i="11"/>
  <c r="B178" i="35"/>
  <c r="B514" i="25"/>
  <c r="B10" i="25"/>
  <c r="B458" i="29"/>
  <c r="B290" i="25"/>
  <c r="B682" i="19"/>
  <c r="B66" i="51"/>
  <c r="B458" i="26"/>
  <c r="B1634" i="19"/>
  <c r="B402" i="26"/>
  <c r="B626" i="51"/>
  <c r="B66" i="53"/>
  <c r="B402" i="14"/>
  <c r="B178" i="22"/>
  <c r="B458" i="32"/>
  <c r="B514" i="23"/>
  <c r="B346" i="33"/>
  <c r="B122" i="13"/>
  <c r="B682" i="16"/>
  <c r="B514" i="51"/>
  <c r="B234" i="19"/>
  <c r="B458" i="16"/>
  <c r="E290" i="14"/>
  <c r="F290" i="14" s="1"/>
  <c r="H290" i="14" s="1"/>
  <c r="B66" i="17"/>
  <c r="B66" i="14"/>
  <c r="E122" i="12"/>
  <c r="F122" i="12" s="1"/>
  <c r="H122" i="12" s="1"/>
  <c r="H128" i="12" s="1"/>
  <c r="H164" i="12" s="1"/>
  <c r="B66" i="35"/>
  <c r="B178" i="14"/>
  <c r="E234" i="33"/>
  <c r="F234" i="33" s="1"/>
  <c r="H234" i="33" s="1"/>
  <c r="H240" i="33" s="1"/>
  <c r="B10" i="23"/>
  <c r="B10" i="12"/>
  <c r="B234" i="23"/>
  <c r="B290" i="21"/>
  <c r="B10" i="51"/>
  <c r="B178" i="23"/>
  <c r="B178" i="26"/>
  <c r="E570" i="19"/>
  <c r="F570" i="19" s="1"/>
  <c r="H570" i="19" s="1"/>
  <c r="H576" i="19" s="1"/>
  <c r="B346" i="32"/>
  <c r="B10" i="21"/>
  <c r="B570" i="16"/>
  <c r="B66" i="22"/>
  <c r="B66" i="15"/>
  <c r="B234" i="33"/>
  <c r="B402" i="25"/>
  <c r="B1186" i="19"/>
  <c r="B66" i="26"/>
  <c r="B1802" i="19"/>
  <c r="B626" i="21"/>
  <c r="B290" i="16"/>
  <c r="B1354" i="19"/>
  <c r="B234" i="28"/>
  <c r="B1578" i="19"/>
  <c r="B402" i="19"/>
  <c r="B626" i="16"/>
  <c r="B1018" i="51"/>
  <c r="B402" i="51"/>
  <c r="B10" i="53"/>
  <c r="B290" i="32"/>
  <c r="B234" i="25"/>
  <c r="B10" i="18"/>
  <c r="B290" i="29"/>
  <c r="B10" i="50"/>
  <c r="B850" i="51"/>
  <c r="B1298" i="19"/>
  <c r="B1802" i="34"/>
  <c r="B66" i="23"/>
  <c r="B1914" i="34"/>
  <c r="E178" i="33"/>
  <c r="F178" i="33" s="1"/>
  <c r="H178" i="33" s="1"/>
  <c r="H184" i="33" s="1"/>
  <c r="B1242" i="19"/>
  <c r="B234" i="29"/>
  <c r="B514" i="16"/>
  <c r="B682" i="25"/>
  <c r="B366" i="55"/>
  <c r="B626" i="25"/>
  <c r="E66" i="12"/>
  <c r="F66" i="12" s="1"/>
  <c r="H66" i="12" s="1"/>
  <c r="H72" i="12" s="1"/>
  <c r="B66" i="34"/>
  <c r="B66" i="16"/>
  <c r="B122" i="35"/>
  <c r="B570" i="25"/>
  <c r="B1410" i="19"/>
  <c r="B906" i="51"/>
  <c r="B66" i="28"/>
  <c r="B738" i="25"/>
  <c r="B178" i="17"/>
  <c r="B290" i="14"/>
  <c r="B66" i="18"/>
  <c r="B122" i="28"/>
  <c r="B122" i="19"/>
  <c r="B10" i="15"/>
  <c r="B66" i="33"/>
  <c r="B66" i="13"/>
  <c r="B1018" i="19"/>
  <c r="B234" i="17"/>
  <c r="B178" i="53"/>
  <c r="B458" i="30"/>
  <c r="B234" i="21"/>
  <c r="B1466" i="19"/>
  <c r="B682" i="21"/>
  <c r="B122" i="16"/>
  <c r="E66" i="19"/>
  <c r="F66" i="19" s="1"/>
  <c r="H66" i="19" s="1"/>
  <c r="B428" i="55"/>
  <c r="E962" i="51"/>
  <c r="F962" i="51" s="1"/>
  <c r="H962" i="51" s="1"/>
  <c r="H968" i="51" s="1"/>
  <c r="B570" i="51"/>
  <c r="B570" i="19"/>
  <c r="B1858" i="34"/>
  <c r="B10" i="26"/>
  <c r="B234" i="53"/>
  <c r="B1522" i="19"/>
  <c r="B66" i="11"/>
  <c r="B962" i="19"/>
  <c r="B458" i="19"/>
  <c r="E514" i="29"/>
  <c r="F514" i="29" s="1"/>
  <c r="H514" i="29" s="1"/>
  <c r="H520" i="29" s="1"/>
  <c r="B346" i="25"/>
  <c r="B402" i="21"/>
  <c r="B122" i="22"/>
  <c r="B1970" i="19"/>
  <c r="B10" i="13"/>
  <c r="B234" i="14"/>
  <c r="E346" i="33"/>
  <c r="F346" i="33" s="1"/>
  <c r="H346" i="33" s="1"/>
  <c r="H352" i="33" s="1"/>
  <c r="E10" i="12"/>
  <c r="F10" i="12" s="1"/>
  <c r="H10" i="12" s="1"/>
  <c r="H16" i="12" s="1"/>
  <c r="H52" i="12" s="1"/>
  <c r="E10" i="13"/>
  <c r="F10" i="13" s="1"/>
  <c r="H10" i="13" s="1"/>
  <c r="H16" i="13" s="1"/>
  <c r="A18" i="6"/>
  <c r="A19" i="6" s="1"/>
  <c r="A20" i="6" s="1"/>
  <c r="A21" i="6" s="1"/>
  <c r="A22" i="6" s="1"/>
  <c r="A23" i="6" s="1"/>
  <c r="A24" i="6" s="1"/>
  <c r="B10" i="16"/>
  <c r="E489" i="55"/>
  <c r="F489" i="55" s="1"/>
  <c r="H489" i="55" s="1"/>
  <c r="H495" i="55" s="1"/>
  <c r="B738" i="51"/>
  <c r="B794" i="51"/>
  <c r="B66" i="12"/>
  <c r="B290" i="28"/>
  <c r="B178" i="16"/>
  <c r="B962" i="51"/>
  <c r="E122" i="13"/>
  <c r="F122" i="13" s="1"/>
  <c r="H122" i="13" s="1"/>
  <c r="H128" i="13" s="1"/>
  <c r="B178" i="21"/>
  <c r="B458" i="28"/>
  <c r="B234" i="51"/>
  <c r="B570" i="21"/>
  <c r="E1242" i="19"/>
  <c r="F1242" i="19" s="1"/>
  <c r="H1242" i="19" s="1"/>
  <c r="B10" i="17"/>
  <c r="B514" i="19"/>
  <c r="B178" i="19"/>
  <c r="B122" i="17"/>
  <c r="B122" i="53"/>
  <c r="B570" i="30"/>
  <c r="B122" i="21"/>
  <c r="B458" i="21"/>
  <c r="B122" i="33"/>
  <c r="B178" i="33"/>
  <c r="B2026" i="19"/>
  <c r="B402" i="23"/>
  <c r="B514" i="32"/>
  <c r="E10" i="19"/>
  <c r="F10" i="19" s="1"/>
  <c r="H10" i="19" s="1"/>
  <c r="H16" i="19" s="1"/>
  <c r="B122" i="11"/>
  <c r="B346" i="21"/>
  <c r="B738" i="19"/>
  <c r="E794" i="51"/>
  <c r="F794" i="51" s="1"/>
  <c r="H794" i="51" s="1"/>
  <c r="H800" i="51" s="1"/>
  <c r="B122" i="25"/>
  <c r="B122" i="51"/>
  <c r="E290" i="29"/>
  <c r="F290" i="29" s="1"/>
  <c r="H290" i="29" s="1"/>
  <c r="H296" i="29" s="1"/>
  <c r="B290" i="19"/>
  <c r="B514" i="26"/>
  <c r="E1802" i="19"/>
  <c r="F1802" i="19" s="1"/>
  <c r="H1802" i="19" s="1"/>
  <c r="H1808" i="19" s="1"/>
  <c r="B1914" i="19"/>
  <c r="E458" i="19"/>
  <c r="F458" i="19" s="1"/>
  <c r="H458" i="19" s="1"/>
  <c r="H464" i="19" s="1"/>
  <c r="B682" i="51"/>
  <c r="B290" i="33"/>
  <c r="E290" i="32"/>
  <c r="F290" i="32" s="1"/>
  <c r="H290" i="32" s="1"/>
  <c r="H296" i="32" s="1"/>
  <c r="E1466" i="19"/>
  <c r="F1466" i="19" s="1"/>
  <c r="H1466" i="19" s="1"/>
  <c r="H1472" i="19" s="1"/>
  <c r="B1074" i="19"/>
  <c r="B2138" i="19"/>
  <c r="E346" i="28"/>
  <c r="F346" i="28" s="1"/>
  <c r="H346" i="28" s="1"/>
  <c r="H352" i="28" s="1"/>
  <c r="E346" i="14"/>
  <c r="F346" i="14" s="1"/>
  <c r="H346" i="14" s="1"/>
  <c r="H352" i="14" s="1"/>
  <c r="E1914" i="19"/>
  <c r="F1914" i="19" s="1"/>
  <c r="H1914" i="19" s="1"/>
  <c r="H1920" i="19" s="1"/>
  <c r="E514" i="32"/>
  <c r="F514" i="32" s="1"/>
  <c r="H514" i="32" s="1"/>
  <c r="H520" i="32" s="1"/>
  <c r="B290" i="26"/>
  <c r="B906" i="19"/>
  <c r="B514" i="30"/>
  <c r="B10" i="28"/>
  <c r="E234" i="29"/>
  <c r="F234" i="29" s="1"/>
  <c r="H234" i="29" s="1"/>
  <c r="H240" i="29" s="1"/>
  <c r="B10" i="22"/>
  <c r="B514" i="28"/>
  <c r="E458" i="26"/>
  <c r="F458" i="26" s="1"/>
  <c r="H458" i="26" s="1"/>
  <c r="H464" i="26" s="1"/>
  <c r="E850" i="19"/>
  <c r="F850" i="19" s="1"/>
  <c r="H850" i="19" s="1"/>
  <c r="H856" i="19" s="1"/>
  <c r="E290" i="33"/>
  <c r="F290" i="33" s="1"/>
  <c r="H290" i="33" s="1"/>
  <c r="H296" i="33" s="1"/>
  <c r="E1690" i="19"/>
  <c r="F1690" i="19" s="1"/>
  <c r="H1690" i="19" s="1"/>
  <c r="H1696" i="19" s="1"/>
  <c r="B458" i="23"/>
  <c r="B1858" i="19"/>
  <c r="B122" i="23"/>
  <c r="B234" i="16"/>
  <c r="B178" i="51"/>
  <c r="E10" i="28"/>
  <c r="F10" i="28" s="1"/>
  <c r="H10" i="28" s="1"/>
  <c r="H16" i="28" s="1"/>
  <c r="E10" i="11"/>
  <c r="F10" i="11" s="1"/>
  <c r="H10" i="11" s="1"/>
  <c r="H16" i="11" s="1"/>
  <c r="E570" i="30"/>
  <c r="F570" i="30" s="1"/>
  <c r="H570" i="30" s="1"/>
  <c r="H576" i="30" s="1"/>
  <c r="B402" i="32"/>
  <c r="E1074" i="19"/>
  <c r="F1074" i="19" s="1"/>
  <c r="H1074" i="19" s="1"/>
  <c r="H1080" i="19" s="1"/>
  <c r="B122" i="26"/>
  <c r="E402" i="29"/>
  <c r="F402" i="29" s="1"/>
  <c r="H402" i="29" s="1"/>
  <c r="H408" i="29" s="1"/>
  <c r="E366" i="55"/>
  <c r="F366" i="55" s="1"/>
  <c r="H366" i="55" s="1"/>
  <c r="H372" i="55" s="1"/>
  <c r="B1746" i="19"/>
  <c r="E738" i="16"/>
  <c r="F738" i="16" s="1"/>
  <c r="H738" i="16" s="1"/>
  <c r="H744" i="16" s="1"/>
  <c r="E346" i="32"/>
  <c r="F346" i="32" s="1"/>
  <c r="H346" i="32" s="1"/>
  <c r="H352" i="32" s="1"/>
  <c r="B489" i="55"/>
  <c r="B626" i="19"/>
  <c r="E10" i="14"/>
  <c r="F10" i="14" s="1"/>
  <c r="H10" i="14" s="1"/>
  <c r="H16" i="14" s="1"/>
  <c r="H52" i="14" s="1"/>
  <c r="E178" i="21"/>
  <c r="F178" i="21" s="1"/>
  <c r="H178" i="21" s="1"/>
  <c r="H184" i="21" s="1"/>
  <c r="E66" i="26"/>
  <c r="F66" i="26" s="1"/>
  <c r="H66" i="26" s="1"/>
  <c r="H72" i="26" s="1"/>
  <c r="H108" i="26" s="1"/>
  <c r="B178" i="25"/>
  <c r="B290" i="51"/>
  <c r="E122" i="14"/>
  <c r="F122" i="14" s="1"/>
  <c r="H122" i="14" s="1"/>
  <c r="H128" i="14" s="1"/>
  <c r="B458" i="51"/>
  <c r="E178" i="26"/>
  <c r="F178" i="26" s="1"/>
  <c r="H178" i="26" s="1"/>
  <c r="H184" i="26" s="1"/>
  <c r="E234" i="14"/>
  <c r="F234" i="14" s="1"/>
  <c r="H234" i="14" s="1"/>
  <c r="H240" i="14" s="1"/>
  <c r="E122" i="11"/>
  <c r="F122" i="11" s="1"/>
  <c r="H122" i="11" s="1"/>
  <c r="H128" i="11" s="1"/>
  <c r="E402" i="28"/>
  <c r="F402" i="28" s="1"/>
  <c r="H402" i="28" s="1"/>
  <c r="H408" i="28" s="1"/>
  <c r="E122" i="33"/>
  <c r="F122" i="33" s="1"/>
  <c r="H122" i="33" s="1"/>
  <c r="H128" i="33" s="1"/>
  <c r="E458" i="29"/>
  <c r="F458" i="29" s="1"/>
  <c r="H458" i="29" s="1"/>
  <c r="H464" i="29" s="1"/>
  <c r="E1858" i="19"/>
  <c r="F1858" i="19" s="1"/>
  <c r="H1858" i="19" s="1"/>
  <c r="H1864" i="19" s="1"/>
  <c r="E402" i="16"/>
  <c r="F402" i="16" s="1"/>
  <c r="H402" i="16" s="1"/>
  <c r="H408" i="16" s="1"/>
  <c r="E66" i="28"/>
  <c r="F66" i="28" s="1"/>
  <c r="H66" i="28" s="1"/>
  <c r="H72" i="28" s="1"/>
  <c r="E346" i="30"/>
  <c r="F346" i="30" s="1"/>
  <c r="H346" i="30" s="1"/>
  <c r="H352" i="30" s="1"/>
  <c r="E234" i="32"/>
  <c r="F234" i="32" s="1"/>
  <c r="H234" i="32" s="1"/>
  <c r="H240" i="32" s="1"/>
  <c r="E66" i="11"/>
  <c r="F66" i="11" s="1"/>
  <c r="H66" i="11" s="1"/>
  <c r="H72" i="11" s="1"/>
  <c r="E66" i="33"/>
  <c r="F66" i="33" s="1"/>
  <c r="H66" i="33" s="1"/>
  <c r="H72" i="33" s="1"/>
  <c r="H474" i="19"/>
  <c r="G467" i="19"/>
  <c r="G131" i="11"/>
  <c r="H138" i="11"/>
  <c r="K14" i="9" s="1"/>
  <c r="H299" i="16"/>
  <c r="H194" i="29"/>
  <c r="H418" i="30"/>
  <c r="H474" i="32"/>
  <c r="E458" i="32" s="1"/>
  <c r="F458" i="32" s="1"/>
  <c r="H458" i="32" s="1"/>
  <c r="H464" i="32" s="1"/>
  <c r="H866" i="19"/>
  <c r="K61" i="9" s="1"/>
  <c r="G859" i="19"/>
  <c r="L1028" i="51"/>
  <c r="H1027" i="51"/>
  <c r="H437" i="21"/>
  <c r="H269" i="17"/>
  <c r="H941" i="19"/>
  <c r="H82" i="28"/>
  <c r="H810" i="51"/>
  <c r="G803" i="51"/>
  <c r="G187" i="21"/>
  <c r="H194" i="21"/>
  <c r="H2159" i="19"/>
  <c r="H474" i="30"/>
  <c r="E458" i="30" s="1"/>
  <c r="F458" i="30" s="1"/>
  <c r="H458" i="30" s="1"/>
  <c r="H464" i="30" s="1"/>
  <c r="H851" i="51"/>
  <c r="H856" i="51" s="1"/>
  <c r="H444" i="55"/>
  <c r="K176" i="9" s="1"/>
  <c r="B234" i="32"/>
  <c r="B458" i="25"/>
  <c r="G75" i="14"/>
  <c r="H82" i="14"/>
  <c r="H362" i="30"/>
  <c r="H194" i="14"/>
  <c r="E178" i="14" s="1"/>
  <c r="F178" i="14" s="1"/>
  <c r="H178" i="14" s="1"/>
  <c r="G187" i="14"/>
  <c r="H1027" i="19"/>
  <c r="B357" i="29"/>
  <c r="H691" i="19"/>
  <c r="L76" i="51"/>
  <c r="H75" i="51"/>
  <c r="H642" i="30"/>
  <c r="E626" i="30" s="1"/>
  <c r="F626" i="30" s="1"/>
  <c r="H626" i="30" s="1"/>
  <c r="H632" i="30" s="1"/>
  <c r="H915" i="19"/>
  <c r="H75" i="25"/>
  <c r="L356" i="51"/>
  <c r="H355" i="51"/>
  <c r="H362" i="29"/>
  <c r="K137" i="9" s="1"/>
  <c r="H717" i="16"/>
  <c r="H1837" i="34"/>
  <c r="H997" i="19"/>
  <c r="H1109" i="19"/>
  <c r="H269" i="26"/>
  <c r="H661" i="29"/>
  <c r="H885" i="51"/>
  <c r="H549" i="19"/>
  <c r="H325" i="25"/>
  <c r="H1277" i="19"/>
  <c r="H1930" i="19"/>
  <c r="K119" i="9" s="1"/>
  <c r="G1923" i="19"/>
  <c r="H26" i="12"/>
  <c r="K17" i="9" s="1"/>
  <c r="G19" i="12"/>
  <c r="G971" i="19"/>
  <c r="H978" i="19"/>
  <c r="E962" i="19" s="1"/>
  <c r="F962" i="19" s="1"/>
  <c r="H962" i="19" s="1"/>
  <c r="H968" i="19" s="1"/>
  <c r="G1475" i="19"/>
  <c r="H1482" i="19"/>
  <c r="K70" i="9" s="1"/>
  <c r="G75" i="26"/>
  <c r="H82" i="26"/>
  <c r="H362" i="19"/>
  <c r="K58" i="9" s="1"/>
  <c r="G355" i="19"/>
  <c r="G747" i="16"/>
  <c r="H754" i="16"/>
  <c r="H45" i="25"/>
  <c r="H269" i="25"/>
  <c r="H26" i="13"/>
  <c r="G19" i="13"/>
  <c r="H194" i="19"/>
  <c r="E178" i="19" s="1"/>
  <c r="F178" i="19" s="1"/>
  <c r="H178" i="19" s="1"/>
  <c r="G187" i="19"/>
  <c r="H243" i="19"/>
  <c r="H2035" i="19"/>
  <c r="G75" i="12"/>
  <c r="H82" i="12"/>
  <c r="H26" i="19"/>
  <c r="K55" i="9" s="1"/>
  <c r="G19" i="19"/>
  <c r="H131" i="16"/>
  <c r="H355" i="21"/>
  <c r="H138" i="32"/>
  <c r="E122" i="32" s="1"/>
  <c r="F122" i="32" s="1"/>
  <c r="H122" i="32" s="1"/>
  <c r="H128" i="32" s="1"/>
  <c r="H1501" i="19"/>
  <c r="H493" i="19"/>
  <c r="H773" i="19"/>
  <c r="H1893" i="34"/>
  <c r="H213" i="17"/>
  <c r="G747" i="19"/>
  <c r="H754" i="19"/>
  <c r="K59" i="9" s="1"/>
  <c r="H26" i="16"/>
  <c r="E10" i="16" s="1"/>
  <c r="F10" i="16" s="1"/>
  <c r="H10" i="16" s="1"/>
  <c r="H16" i="16" s="1"/>
  <c r="G19" i="16"/>
  <c r="H157" i="26"/>
  <c r="F365" i="25"/>
  <c r="H365" i="25" s="1"/>
  <c r="F370" i="25"/>
  <c r="H370" i="25" s="1"/>
  <c r="G19" i="18"/>
  <c r="H26" i="18"/>
  <c r="H978" i="51"/>
  <c r="G971" i="51"/>
  <c r="H101" i="11"/>
  <c r="G411" i="26"/>
  <c r="H418" i="26"/>
  <c r="E402" i="26" s="1"/>
  <c r="F402" i="26" s="1"/>
  <c r="H402" i="26" s="1"/>
  <c r="H408" i="26" s="1"/>
  <c r="H45" i="15"/>
  <c r="H493" i="25"/>
  <c r="H299" i="26"/>
  <c r="H19" i="15"/>
  <c r="G75" i="19"/>
  <c r="H82" i="19"/>
  <c r="H101" i="18"/>
  <c r="G299" i="25"/>
  <c r="H306" i="25"/>
  <c r="E290" i="25" s="1"/>
  <c r="F290" i="25" s="1"/>
  <c r="H290" i="25" s="1"/>
  <c r="H296" i="25" s="1"/>
  <c r="H541" i="51"/>
  <c r="B1130" i="19"/>
  <c r="H523" i="21"/>
  <c r="H523" i="51"/>
  <c r="H306" i="19"/>
  <c r="E290" i="19" s="1"/>
  <c r="F290" i="19" s="1"/>
  <c r="H290" i="19" s="1"/>
  <c r="H296" i="19" s="1"/>
  <c r="G299" i="19"/>
  <c r="G803" i="19"/>
  <c r="H810" i="19"/>
  <c r="H1979" i="19"/>
  <c r="H418" i="29"/>
  <c r="K138" i="9" s="1"/>
  <c r="H243" i="25"/>
  <c r="H1258" i="19"/>
  <c r="K66" i="9" s="1"/>
  <c r="G1251" i="19"/>
  <c r="H642" i="21"/>
  <c r="E626" i="21" s="1"/>
  <c r="F626" i="21" s="1"/>
  <c r="H626" i="21" s="1"/>
  <c r="G635" i="21"/>
  <c r="H2154" i="19"/>
  <c r="E2138" i="19" s="1"/>
  <c r="F2138" i="19" s="1"/>
  <c r="H2138" i="19" s="1"/>
  <c r="H2144" i="19" s="1"/>
  <c r="H698" i="30"/>
  <c r="E682" i="30" s="1"/>
  <c r="F682" i="30" s="1"/>
  <c r="H682" i="30" s="1"/>
  <c r="H688" i="30" s="1"/>
  <c r="L300" i="51"/>
  <c r="H299" i="51"/>
  <c r="H530" i="25"/>
  <c r="E514" i="25" s="1"/>
  <c r="F514" i="25" s="1"/>
  <c r="H514" i="25" s="1"/>
  <c r="H520" i="25" s="1"/>
  <c r="H866" i="51"/>
  <c r="H605" i="19"/>
  <c r="H157" i="53"/>
  <c r="H1221" i="19"/>
  <c r="H101" i="19"/>
  <c r="H213" i="51"/>
  <c r="H1781" i="19"/>
  <c r="H82" i="32"/>
  <c r="H437" i="26"/>
  <c r="H1613" i="19"/>
  <c r="H138" i="21"/>
  <c r="K86" i="9" s="1"/>
  <c r="G131" i="21"/>
  <c r="H250" i="26"/>
  <c r="E234" i="26" s="1"/>
  <c r="F234" i="26" s="1"/>
  <c r="H234" i="26" s="1"/>
  <c r="H240" i="26" s="1"/>
  <c r="G243" i="26"/>
  <c r="H157" i="51"/>
  <c r="H138" i="28"/>
  <c r="E122" i="28" s="1"/>
  <c r="F122" i="28" s="1"/>
  <c r="H122" i="28" s="1"/>
  <c r="H128" i="28" s="1"/>
  <c r="H381" i="26"/>
  <c r="H45" i="18"/>
  <c r="H691" i="16"/>
  <c r="H116" i="55"/>
  <c r="H369" i="19"/>
  <c r="H381" i="19" s="1"/>
  <c r="B66" i="25"/>
  <c r="B10" i="19"/>
  <c r="H306" i="28"/>
  <c r="E290" i="28" s="1"/>
  <c r="F290" i="28" s="1"/>
  <c r="H290" i="28" s="1"/>
  <c r="H296" i="28" s="1"/>
  <c r="H362" i="32"/>
  <c r="K155" i="9" s="1"/>
  <c r="H523" i="19"/>
  <c r="H131" i="19"/>
  <c r="B2094" i="34"/>
  <c r="L748" i="51"/>
  <c r="H747" i="51"/>
  <c r="L1308" i="19"/>
  <c r="H1307" i="19"/>
  <c r="B301" i="30"/>
  <c r="H474" i="28"/>
  <c r="E458" i="28" s="1"/>
  <c r="F458" i="28" s="1"/>
  <c r="H458" i="28" s="1"/>
  <c r="H464" i="28" s="1"/>
  <c r="H1837" i="19"/>
  <c r="H1333" i="19"/>
  <c r="H269" i="53"/>
  <c r="H1949" i="19"/>
  <c r="H605" i="51"/>
  <c r="L605" i="51" s="1"/>
  <c r="H717" i="51"/>
  <c r="H2117" i="19"/>
  <c r="H1202" i="19"/>
  <c r="K65" i="9" s="1"/>
  <c r="G1195" i="19"/>
  <c r="G579" i="16"/>
  <c r="H586" i="16"/>
  <c r="E570" i="16" s="1"/>
  <c r="F570" i="16" s="1"/>
  <c r="H570" i="16" s="1"/>
  <c r="H576" i="16" s="1"/>
  <c r="H45" i="16"/>
  <c r="H1557" i="19"/>
  <c r="H306" i="29"/>
  <c r="K136" i="9" s="1"/>
  <c r="H467" i="16"/>
  <c r="H315" i="26"/>
  <c r="H325" i="26" s="1"/>
  <c r="E149" i="10"/>
  <c r="K152" i="9"/>
  <c r="K153" i="9"/>
  <c r="H544" i="51"/>
  <c r="H709" i="19"/>
  <c r="H707" i="19"/>
  <c r="F2164" i="19"/>
  <c r="H2164" i="19" s="1"/>
  <c r="H2165" i="19"/>
  <c r="B402" i="28"/>
  <c r="B10" i="14"/>
  <c r="B682" i="30"/>
  <c r="B346" i="51"/>
  <c r="H467" i="21"/>
  <c r="H131" i="26"/>
  <c r="H299" i="21"/>
  <c r="H355" i="26"/>
  <c r="B1814" i="34"/>
  <c r="H691" i="51"/>
  <c r="H523" i="16"/>
  <c r="H411" i="21"/>
  <c r="H243" i="51"/>
  <c r="L244" i="51"/>
  <c r="H1090" i="19"/>
  <c r="K64" i="9" s="1"/>
  <c r="G1083" i="19"/>
  <c r="H362" i="14"/>
  <c r="G355" i="14"/>
  <c r="H213" i="53"/>
  <c r="H101" i="51"/>
  <c r="H325" i="19"/>
  <c r="H101" i="21"/>
  <c r="H101" i="16"/>
  <c r="H549" i="25"/>
  <c r="H661" i="19" l="1"/>
  <c r="H221" i="11"/>
  <c r="H223" i="11" s="1"/>
  <c r="H224" i="11" s="1"/>
  <c r="O169" i="11" s="1"/>
  <c r="H381" i="25"/>
  <c r="H220" i="26"/>
  <c r="H221" i="26" s="1"/>
  <c r="H717" i="19"/>
  <c r="G720" i="19" s="1"/>
  <c r="H720" i="19" s="1"/>
  <c r="H723" i="19" s="1"/>
  <c r="H549" i="51"/>
  <c r="H165" i="12"/>
  <c r="H166" i="12"/>
  <c r="H53" i="12"/>
  <c r="H54" i="12"/>
  <c r="H1034" i="19"/>
  <c r="E1018" i="19" s="1"/>
  <c r="F1018" i="19" s="1"/>
  <c r="H1018" i="19" s="1"/>
  <c r="H1024" i="19" s="1"/>
  <c r="G1027" i="19"/>
  <c r="G187" i="16"/>
  <c r="H194" i="16"/>
  <c r="E178" i="16" s="1"/>
  <c r="F178" i="16" s="1"/>
  <c r="H178" i="16" s="1"/>
  <c r="H184" i="16" s="1"/>
  <c r="K21" i="9"/>
  <c r="H52" i="13"/>
  <c r="K144" i="9"/>
  <c r="G187" i="51"/>
  <c r="H194" i="51"/>
  <c r="G1531" i="19"/>
  <c r="H1538" i="19"/>
  <c r="K168" i="9"/>
  <c r="K166" i="9"/>
  <c r="K167" i="9"/>
  <c r="G299" i="51"/>
  <c r="H306" i="51"/>
  <c r="E346" i="19"/>
  <c r="F346" i="19" s="1"/>
  <c r="H346" i="19" s="1"/>
  <c r="H352" i="19" s="1"/>
  <c r="H82" i="13"/>
  <c r="E66" i="13" s="1"/>
  <c r="F66" i="13" s="1"/>
  <c r="H66" i="13" s="1"/>
  <c r="H72" i="13" s="1"/>
  <c r="G75" i="13"/>
  <c r="G75" i="18"/>
  <c r="H82" i="18"/>
  <c r="G187" i="25"/>
  <c r="H194" i="25"/>
  <c r="H306" i="21"/>
  <c r="G299" i="21"/>
  <c r="K118" i="9"/>
  <c r="K52" i="9"/>
  <c r="G75" i="15"/>
  <c r="H82" i="15"/>
  <c r="H138" i="26"/>
  <c r="E122" i="26" s="1"/>
  <c r="F122" i="26" s="1"/>
  <c r="H122" i="26" s="1"/>
  <c r="H128" i="26" s="1"/>
  <c r="G131" i="26"/>
  <c r="G523" i="21"/>
  <c r="H530" i="21"/>
  <c r="E514" i="28"/>
  <c r="F514" i="28" s="1"/>
  <c r="H514" i="28" s="1"/>
  <c r="H520" i="28" s="1"/>
  <c r="H474" i="21"/>
  <c r="G467" i="21"/>
  <c r="G355" i="21"/>
  <c r="H362" i="21"/>
  <c r="E738" i="19"/>
  <c r="F738" i="19" s="1"/>
  <c r="H738" i="19" s="1"/>
  <c r="H744" i="19" s="1"/>
  <c r="H138" i="51"/>
  <c r="E122" i="51" s="1"/>
  <c r="F122" i="51" s="1"/>
  <c r="H122" i="51" s="1"/>
  <c r="H128" i="51" s="1"/>
  <c r="G131" i="51"/>
  <c r="H642" i="29"/>
  <c r="E626" i="29" s="1"/>
  <c r="F626" i="29" s="1"/>
  <c r="H626" i="29" s="1"/>
  <c r="H632" i="29" s="1"/>
  <c r="G635" i="29"/>
  <c r="H474" i="51"/>
  <c r="G467" i="51"/>
  <c r="G579" i="51"/>
  <c r="H586" i="51"/>
  <c r="K114" i="9"/>
  <c r="K60" i="9"/>
  <c r="K115" i="9"/>
  <c r="K76" i="9"/>
  <c r="H2173" i="19"/>
  <c r="H1034" i="51"/>
  <c r="E1018" i="51" s="1"/>
  <c r="F1018" i="51" s="1"/>
  <c r="H1018" i="51" s="1"/>
  <c r="H1024" i="51" s="1"/>
  <c r="G1027" i="51"/>
  <c r="H38" i="55"/>
  <c r="H39" i="55" s="1"/>
  <c r="H36" i="55"/>
  <c r="H37" i="55"/>
  <c r="H109" i="26"/>
  <c r="G579" i="29"/>
  <c r="H586" i="29"/>
  <c r="E570" i="29" s="1"/>
  <c r="F570" i="29" s="1"/>
  <c r="H570" i="29" s="1"/>
  <c r="H576" i="29" s="1"/>
  <c r="H418" i="19"/>
  <c r="E402" i="19" s="1"/>
  <c r="F402" i="19" s="1"/>
  <c r="H402" i="19" s="1"/>
  <c r="H408" i="19" s="1"/>
  <c r="G411" i="19"/>
  <c r="H388" i="14"/>
  <c r="H530" i="19"/>
  <c r="E514" i="19" s="1"/>
  <c r="F514" i="19" s="1"/>
  <c r="H514" i="19" s="1"/>
  <c r="H520" i="19" s="1"/>
  <c r="G523" i="19"/>
  <c r="K143" i="9"/>
  <c r="K135" i="9"/>
  <c r="E66" i="14"/>
  <c r="F66" i="14" s="1"/>
  <c r="H66" i="14" s="1"/>
  <c r="E1186" i="19"/>
  <c r="F1186" i="19" s="1"/>
  <c r="H1186" i="19" s="1"/>
  <c r="H250" i="21"/>
  <c r="G243" i="21"/>
  <c r="H26" i="25"/>
  <c r="E10" i="25" s="1"/>
  <c r="F10" i="25" s="1"/>
  <c r="H10" i="25" s="1"/>
  <c r="H16" i="25" s="1"/>
  <c r="G19" i="25"/>
  <c r="G411" i="51"/>
  <c r="H418" i="51"/>
  <c r="H53" i="14"/>
  <c r="H54" i="14"/>
  <c r="G243" i="16"/>
  <c r="H250" i="16"/>
  <c r="K129" i="9"/>
  <c r="K130" i="9"/>
  <c r="H362" i="51"/>
  <c r="E346" i="51" s="1"/>
  <c r="F346" i="51" s="1"/>
  <c r="H346" i="51" s="1"/>
  <c r="H352" i="51" s="1"/>
  <c r="G355" i="51"/>
  <c r="E402" i="14"/>
  <c r="F402" i="14" s="1"/>
  <c r="H402" i="14" s="1"/>
  <c r="H408" i="14" s="1"/>
  <c r="H444" i="14" s="1"/>
  <c r="G1587" i="19"/>
  <c r="H1594" i="19"/>
  <c r="E1578" i="19" s="1"/>
  <c r="F1578" i="19" s="1"/>
  <c r="H1578" i="19" s="1"/>
  <c r="H1584" i="19" s="1"/>
  <c r="H110" i="26"/>
  <c r="H306" i="26"/>
  <c r="E290" i="26" s="1"/>
  <c r="F290" i="26" s="1"/>
  <c r="H290" i="26" s="1"/>
  <c r="H296" i="26" s="1"/>
  <c r="G299" i="26"/>
  <c r="K18" i="9"/>
  <c r="H108" i="12"/>
  <c r="H922" i="19"/>
  <c r="G915" i="19"/>
  <c r="H220" i="21"/>
  <c r="H223" i="21" s="1"/>
  <c r="H224" i="21" s="1"/>
  <c r="O169" i="21" s="1"/>
  <c r="E178" i="17"/>
  <c r="F178" i="17" s="1"/>
  <c r="H178" i="17" s="1"/>
  <c r="E10" i="26"/>
  <c r="F10" i="26" s="1"/>
  <c r="H10" i="26" s="1"/>
  <c r="H16" i="26" s="1"/>
  <c r="H52" i="26" s="1"/>
  <c r="H138" i="25"/>
  <c r="E122" i="25" s="1"/>
  <c r="F122" i="25" s="1"/>
  <c r="H122" i="25" s="1"/>
  <c r="H128" i="25" s="1"/>
  <c r="G131" i="25"/>
  <c r="H642" i="19"/>
  <c r="E626" i="19" s="1"/>
  <c r="F626" i="19" s="1"/>
  <c r="H626" i="19" s="1"/>
  <c r="H632" i="19" s="1"/>
  <c r="G635" i="19"/>
  <c r="E794" i="19"/>
  <c r="F794" i="19" s="1"/>
  <c r="H794" i="19" s="1"/>
  <c r="G747" i="51"/>
  <c r="H754" i="51"/>
  <c r="H138" i="19"/>
  <c r="G131" i="19"/>
  <c r="H26" i="15"/>
  <c r="G19" i="15"/>
  <c r="H306" i="16"/>
  <c r="G299" i="16"/>
  <c r="H164" i="14"/>
  <c r="G243" i="51"/>
  <c r="H250" i="51"/>
  <c r="G2035" i="19"/>
  <c r="H2042" i="19"/>
  <c r="E2026" i="19" s="1"/>
  <c r="F2026" i="19" s="1"/>
  <c r="H2026" i="19" s="1"/>
  <c r="H2032" i="19" s="1"/>
  <c r="G75" i="51"/>
  <c r="H82" i="51"/>
  <c r="E428" i="55"/>
  <c r="F428" i="55" s="1"/>
  <c r="H428" i="55" s="1"/>
  <c r="H434" i="55" s="1"/>
  <c r="H1370" i="19"/>
  <c r="E1354" i="19" s="1"/>
  <c r="F1354" i="19" s="1"/>
  <c r="H1354" i="19" s="1"/>
  <c r="H1360" i="19" s="1"/>
  <c r="G1363" i="19"/>
  <c r="H1314" i="19"/>
  <c r="G1307" i="19"/>
  <c r="E122" i="21"/>
  <c r="F122" i="21" s="1"/>
  <c r="H122" i="21" s="1"/>
  <c r="H138" i="16"/>
  <c r="E122" i="16" s="1"/>
  <c r="F122" i="16" s="1"/>
  <c r="H122" i="16" s="1"/>
  <c r="H128" i="16" s="1"/>
  <c r="G131" i="16"/>
  <c r="H698" i="16"/>
  <c r="E682" i="16" s="1"/>
  <c r="F682" i="16" s="1"/>
  <c r="H682" i="16" s="1"/>
  <c r="H688" i="16" s="1"/>
  <c r="G691" i="16"/>
  <c r="H250" i="25"/>
  <c r="E234" i="25" s="1"/>
  <c r="F234" i="25" s="1"/>
  <c r="H234" i="25" s="1"/>
  <c r="H240" i="25" s="1"/>
  <c r="G243" i="25"/>
  <c r="H250" i="19"/>
  <c r="G243" i="19"/>
  <c r="H276" i="14"/>
  <c r="A22" i="7"/>
  <c r="B21" i="21"/>
  <c r="E414" i="25"/>
  <c r="F414" i="25" s="1"/>
  <c r="H414" i="25" s="1"/>
  <c r="H418" i="25" s="1"/>
  <c r="E402" i="25" s="1"/>
  <c r="F402" i="25" s="1"/>
  <c r="H402" i="25" s="1"/>
  <c r="E470" i="25"/>
  <c r="F470" i="25" s="1"/>
  <c r="H470" i="25" s="1"/>
  <c r="H474" i="25" s="1"/>
  <c r="E458" i="25" s="1"/>
  <c r="F458" i="25" s="1"/>
  <c r="H458" i="25" s="1"/>
  <c r="E2094" i="34"/>
  <c r="F2094" i="34" s="1"/>
  <c r="H2094" i="34" s="1"/>
  <c r="H2098" i="34" s="1"/>
  <c r="E2082" i="34" s="1"/>
  <c r="F2082" i="34" s="1"/>
  <c r="H2082" i="34" s="1"/>
  <c r="E358" i="25"/>
  <c r="F358" i="25" s="1"/>
  <c r="H358" i="25" s="1"/>
  <c r="H362" i="25" s="1"/>
  <c r="E346" i="25" s="1"/>
  <c r="F346" i="25" s="1"/>
  <c r="H346" i="25" s="1"/>
  <c r="B470" i="25"/>
  <c r="E1814" i="34"/>
  <c r="F1814" i="34" s="1"/>
  <c r="H1814" i="34" s="1"/>
  <c r="H1818" i="34" s="1"/>
  <c r="E1802" i="34" s="1"/>
  <c r="F1802" i="34" s="1"/>
  <c r="H1802" i="34" s="1"/>
  <c r="E1870" i="34"/>
  <c r="F1870" i="34" s="1"/>
  <c r="H1870" i="34" s="1"/>
  <c r="H1874" i="34" s="1"/>
  <c r="E1858" i="34" s="1"/>
  <c r="F1858" i="34" s="1"/>
  <c r="H1858" i="34" s="1"/>
  <c r="E21" i="21"/>
  <c r="F21" i="21" s="1"/>
  <c r="H21" i="21" s="1"/>
  <c r="H26" i="21" s="1"/>
  <c r="B414" i="25"/>
  <c r="B1870" i="34"/>
  <c r="B1926" i="34"/>
  <c r="E694" i="25"/>
  <c r="F694" i="25" s="1"/>
  <c r="H694" i="25" s="1"/>
  <c r="H698" i="25" s="1"/>
  <c r="E682" i="25" s="1"/>
  <c r="F682" i="25" s="1"/>
  <c r="H682" i="25" s="1"/>
  <c r="B358" i="25"/>
  <c r="E77" i="21"/>
  <c r="F77" i="21" s="1"/>
  <c r="H77" i="21" s="1"/>
  <c r="H82" i="21" s="1"/>
  <c r="E1926" i="34"/>
  <c r="F1926" i="34" s="1"/>
  <c r="H1926" i="34" s="1"/>
  <c r="H1930" i="34" s="1"/>
  <c r="E1914" i="34" s="1"/>
  <c r="F1914" i="34" s="1"/>
  <c r="H1914" i="34" s="1"/>
  <c r="E22" i="17"/>
  <c r="F22" i="17" s="1"/>
  <c r="H22" i="17" s="1"/>
  <c r="H26" i="17" s="1"/>
  <c r="B77" i="21"/>
  <c r="B694" i="25"/>
  <c r="B22" i="17"/>
  <c r="G2091" i="19"/>
  <c r="H2098" i="19"/>
  <c r="E2082" i="19" s="1"/>
  <c r="F2082" i="19" s="1"/>
  <c r="H2082" i="19" s="1"/>
  <c r="H2088" i="19" s="1"/>
  <c r="G355" i="26"/>
  <c r="H362" i="26"/>
  <c r="E346" i="26" s="1"/>
  <c r="F346" i="26" s="1"/>
  <c r="H346" i="26" s="1"/>
  <c r="H352" i="26" s="1"/>
  <c r="K26" i="9"/>
  <c r="K25" i="9"/>
  <c r="H922" i="51"/>
  <c r="G915" i="51"/>
  <c r="E1634" i="19"/>
  <c r="F1634" i="19" s="1"/>
  <c r="H1634" i="19" s="1"/>
  <c r="H1640" i="19" s="1"/>
  <c r="H530" i="16"/>
  <c r="E514" i="16" s="1"/>
  <c r="F514" i="16" s="1"/>
  <c r="H514" i="16" s="1"/>
  <c r="H520" i="16" s="1"/>
  <c r="G523" i="16"/>
  <c r="H892" i="51"/>
  <c r="H698" i="19"/>
  <c r="E682" i="19" s="1"/>
  <c r="F682" i="19" s="1"/>
  <c r="H682" i="19" s="1"/>
  <c r="H688" i="19" s="1"/>
  <c r="G691" i="19"/>
  <c r="K127" i="9"/>
  <c r="K128" i="9"/>
  <c r="G104" i="33"/>
  <c r="H104" i="33" s="1"/>
  <c r="H107" i="33" s="1"/>
  <c r="H108" i="33" s="1"/>
  <c r="G384" i="30"/>
  <c r="H384" i="30" s="1"/>
  <c r="H387" i="30" s="1"/>
  <c r="H388" i="30" s="1"/>
  <c r="B496" i="29"/>
  <c r="E48" i="15"/>
  <c r="B384" i="16"/>
  <c r="E272" i="32"/>
  <c r="G720" i="30"/>
  <c r="H720" i="30" s="1"/>
  <c r="H723" i="30" s="1"/>
  <c r="H724" i="30" s="1"/>
  <c r="B1840" i="34"/>
  <c r="E440" i="30"/>
  <c r="G216" i="29"/>
  <c r="H216" i="29" s="1"/>
  <c r="H219" i="29" s="1"/>
  <c r="B552" i="16"/>
  <c r="B384" i="29"/>
  <c r="E48" i="32"/>
  <c r="E402" i="30"/>
  <c r="F402" i="30" s="1"/>
  <c r="H402" i="30" s="1"/>
  <c r="H408" i="30" s="1"/>
  <c r="B440" i="16"/>
  <c r="E1168" i="34"/>
  <c r="B160" i="13"/>
  <c r="B384" i="32"/>
  <c r="B664" i="51"/>
  <c r="E85" i="55"/>
  <c r="B10" i="29"/>
  <c r="E776" i="34"/>
  <c r="E1224" i="19"/>
  <c r="E1336" i="19"/>
  <c r="B664" i="19"/>
  <c r="E1000" i="51"/>
  <c r="B440" i="34"/>
  <c r="E440" i="29"/>
  <c r="B384" i="25"/>
  <c r="E608" i="51"/>
  <c r="E328" i="30"/>
  <c r="B48" i="21"/>
  <c r="E104" i="28"/>
  <c r="B328" i="16"/>
  <c r="B48" i="33"/>
  <c r="B552" i="26"/>
  <c r="G216" i="23"/>
  <c r="H216" i="23" s="1"/>
  <c r="H219" i="23" s="1"/>
  <c r="E384" i="28"/>
  <c r="E496" i="25"/>
  <c r="B48" i="17"/>
  <c r="B1504" i="19"/>
  <c r="B440" i="28"/>
  <c r="B552" i="34"/>
  <c r="B496" i="23"/>
  <c r="E48" i="22"/>
  <c r="E1504" i="34"/>
  <c r="B104" i="34"/>
  <c r="B104" i="21"/>
  <c r="B160" i="53"/>
  <c r="B552" i="51"/>
  <c r="E160" i="25"/>
  <c r="E48" i="11"/>
  <c r="B104" i="18"/>
  <c r="E1280" i="34"/>
  <c r="B48" i="25"/>
  <c r="E216" i="16"/>
  <c r="B48" i="30"/>
  <c r="G48" i="30"/>
  <c r="H48" i="30" s="1"/>
  <c r="H51" i="30" s="1"/>
  <c r="E888" i="34"/>
  <c r="E160" i="22"/>
  <c r="B1952" i="34"/>
  <c r="B272" i="32"/>
  <c r="G48" i="34"/>
  <c r="H48" i="34" s="1"/>
  <c r="H51" i="34" s="1"/>
  <c r="B48" i="53"/>
  <c r="E216" i="32"/>
  <c r="B1056" i="51"/>
  <c r="B664" i="34"/>
  <c r="B2176" i="19"/>
  <c r="B216" i="33"/>
  <c r="E440" i="28"/>
  <c r="G664" i="25"/>
  <c r="H664" i="25" s="1"/>
  <c r="H667" i="25" s="1"/>
  <c r="E61" i="54"/>
  <c r="E440" i="51"/>
  <c r="E48" i="33"/>
  <c r="B440" i="21"/>
  <c r="E1952" i="34"/>
  <c r="B160" i="19"/>
  <c r="B776" i="34"/>
  <c r="E272" i="26"/>
  <c r="B48" i="18"/>
  <c r="E1448" i="19"/>
  <c r="B832" i="34"/>
  <c r="E216" i="33"/>
  <c r="B1616" i="34"/>
  <c r="G1784" i="34"/>
  <c r="H1784" i="34" s="1"/>
  <c r="H1787" i="34" s="1"/>
  <c r="H1788" i="34" s="1"/>
  <c r="E104" i="29"/>
  <c r="E720" i="25"/>
  <c r="E944" i="51"/>
  <c r="E776" i="19"/>
  <c r="E440" i="19"/>
  <c r="E384" i="26"/>
  <c r="B1616" i="19"/>
  <c r="E1560" i="19"/>
  <c r="G160" i="25"/>
  <c r="H160" i="25" s="1"/>
  <c r="H163" i="25" s="1"/>
  <c r="H164" i="25" s="1"/>
  <c r="E1952" i="19"/>
  <c r="B272" i="23"/>
  <c r="G1560" i="34"/>
  <c r="H1560" i="34" s="1"/>
  <c r="H1563" i="34" s="1"/>
  <c r="H1564" i="34" s="1"/>
  <c r="G1056" i="34"/>
  <c r="H1056" i="34" s="1"/>
  <c r="H1059" i="34" s="1"/>
  <c r="H1060" i="34" s="1"/>
  <c r="E104" i="16"/>
  <c r="G104" i="28"/>
  <c r="H104" i="28" s="1"/>
  <c r="H107" i="28" s="1"/>
  <c r="H108" i="28" s="1"/>
  <c r="G216" i="33"/>
  <c r="H216" i="33" s="1"/>
  <c r="H219" i="33" s="1"/>
  <c r="H220" i="33" s="1"/>
  <c r="E328" i="26"/>
  <c r="E104" i="18"/>
  <c r="E240" i="55"/>
  <c r="F240" i="55" s="1"/>
  <c r="H240" i="55" s="1"/>
  <c r="H246" i="55" s="1"/>
  <c r="H287" i="55" s="1"/>
  <c r="G139" i="55"/>
  <c r="H139" i="55" s="1"/>
  <c r="H142" i="55" s="1"/>
  <c r="E48" i="34"/>
  <c r="E552" i="55"/>
  <c r="F552" i="55" s="1"/>
  <c r="H552" i="55" s="1"/>
  <c r="E608" i="34"/>
  <c r="G216" i="32"/>
  <c r="H216" i="32" s="1"/>
  <c r="H219" i="32" s="1"/>
  <c r="H220" i="32" s="1"/>
  <c r="E272" i="51"/>
  <c r="E104" i="15"/>
  <c r="B1784" i="19"/>
  <c r="E384" i="29"/>
  <c r="B48" i="28"/>
  <c r="E1784" i="34"/>
  <c r="G160" i="23"/>
  <c r="H160" i="23" s="1"/>
  <c r="H163" i="23" s="1"/>
  <c r="B160" i="25"/>
  <c r="G552" i="28"/>
  <c r="H552" i="28" s="1"/>
  <c r="H555" i="28" s="1"/>
  <c r="E832" i="51"/>
  <c r="B664" i="29"/>
  <c r="E104" i="25"/>
  <c r="B48" i="15"/>
  <c r="B216" i="51"/>
  <c r="G2064" i="34"/>
  <c r="H2064" i="34" s="1"/>
  <c r="H2067" i="34" s="1"/>
  <c r="H2068" i="34" s="1"/>
  <c r="E720" i="19"/>
  <c r="E1616" i="34"/>
  <c r="E160" i="28"/>
  <c r="B1448" i="19"/>
  <c r="G328" i="32"/>
  <c r="H328" i="32" s="1"/>
  <c r="H331" i="32" s="1"/>
  <c r="H332" i="32" s="1"/>
  <c r="B720" i="30"/>
  <c r="B384" i="28"/>
  <c r="B48" i="16"/>
  <c r="E160" i="23"/>
  <c r="E1896" i="34"/>
  <c r="B272" i="29"/>
  <c r="B328" i="33"/>
  <c r="B440" i="19"/>
  <c r="E104" i="51"/>
  <c r="G552" i="34"/>
  <c r="H552" i="34" s="1"/>
  <c r="H555" i="34" s="1"/>
  <c r="H556" i="34" s="1"/>
  <c r="B328" i="30"/>
  <c r="B664" i="25"/>
  <c r="B2008" i="19"/>
  <c r="E216" i="28"/>
  <c r="E122" i="29"/>
  <c r="F122" i="29" s="1"/>
  <c r="H122" i="29" s="1"/>
  <c r="H128" i="29" s="1"/>
  <c r="B1896" i="19"/>
  <c r="B234" i="30"/>
  <c r="G48" i="28"/>
  <c r="H48" i="28" s="1"/>
  <c r="H51" i="28" s="1"/>
  <c r="H52" i="28" s="1"/>
  <c r="E1616" i="19"/>
  <c r="G496" i="32"/>
  <c r="H496" i="32" s="1"/>
  <c r="H499" i="32" s="1"/>
  <c r="H500" i="32" s="1"/>
  <c r="E440" i="21"/>
  <c r="B608" i="34"/>
  <c r="G1728" i="34"/>
  <c r="H1728" i="34" s="1"/>
  <c r="H1731" i="34" s="1"/>
  <c r="H1732" i="34" s="1"/>
  <c r="B1280" i="34"/>
  <c r="G384" i="16"/>
  <c r="H384" i="16" s="1"/>
  <c r="H387" i="16" s="1"/>
  <c r="H388" i="16" s="1"/>
  <c r="B608" i="29"/>
  <c r="E1392" i="34"/>
  <c r="B160" i="21"/>
  <c r="B1728" i="34"/>
  <c r="B440" i="29"/>
  <c r="B216" i="23"/>
  <c r="G46" i="54"/>
  <c r="H46" i="54" s="1"/>
  <c r="H49" i="54" s="1"/>
  <c r="H50" i="54" s="1"/>
  <c r="E328" i="33"/>
  <c r="E1056" i="51"/>
  <c r="E384" i="34"/>
  <c r="B272" i="28"/>
  <c r="E1672" i="34"/>
  <c r="E664" i="30"/>
  <c r="E272" i="16"/>
  <c r="E409" i="55"/>
  <c r="E496" i="23"/>
  <c r="B272" i="53"/>
  <c r="B160" i="23"/>
  <c r="E2064" i="19"/>
  <c r="E608" i="30"/>
  <c r="B2008" i="34"/>
  <c r="G776" i="34"/>
  <c r="H776" i="34" s="1"/>
  <c r="H779" i="34" s="1"/>
  <c r="H780" i="34" s="1"/>
  <c r="B48" i="11"/>
  <c r="E328" i="34"/>
  <c r="E2120" i="19"/>
  <c r="B216" i="25"/>
  <c r="B2064" i="34"/>
  <c r="E552" i="25"/>
  <c r="B104" i="23"/>
  <c r="E160" i="29"/>
  <c r="E664" i="51"/>
  <c r="B496" i="26"/>
  <c r="G384" i="32"/>
  <c r="H384" i="32" s="1"/>
  <c r="H387" i="32" s="1"/>
  <c r="H388" i="32" s="1"/>
  <c r="E216" i="30"/>
  <c r="G104" i="23"/>
  <c r="H104" i="23" s="1"/>
  <c r="H107" i="23" s="1"/>
  <c r="E160" i="19"/>
  <c r="E664" i="16"/>
  <c r="E888" i="19"/>
  <c r="B440" i="23"/>
  <c r="E48" i="17"/>
  <c r="B48" i="50"/>
  <c r="B384" i="51"/>
  <c r="B720" i="34"/>
  <c r="G1616" i="34"/>
  <c r="H1616" i="34" s="1"/>
  <c r="H1619" i="34" s="1"/>
  <c r="H1620" i="34" s="1"/>
  <c r="B160" i="22"/>
  <c r="E720" i="30"/>
  <c r="B1952" i="19"/>
  <c r="B328" i="26"/>
  <c r="G440" i="30"/>
  <c r="H440" i="30" s="1"/>
  <c r="H443" i="30" s="1"/>
  <c r="H444" i="30" s="1"/>
  <c r="G104" i="32"/>
  <c r="H104" i="32" s="1"/>
  <c r="H107" i="32" s="1"/>
  <c r="H108" i="32" s="1"/>
  <c r="B178" i="30"/>
  <c r="B1728" i="19"/>
  <c r="B1000" i="34"/>
  <c r="G608" i="34"/>
  <c r="H608" i="34" s="1"/>
  <c r="H611" i="34" s="1"/>
  <c r="H612" i="34" s="1"/>
  <c r="B2064" i="19"/>
  <c r="B46" i="54"/>
  <c r="E496" i="34"/>
  <c r="B384" i="34"/>
  <c r="E66" i="32"/>
  <c r="F66" i="32" s="1"/>
  <c r="H66" i="32" s="1"/>
  <c r="H72" i="32" s="1"/>
  <c r="E216" i="29"/>
  <c r="E776" i="25"/>
  <c r="E1448" i="34"/>
  <c r="E664" i="29"/>
  <c r="G272" i="16"/>
  <c r="H272" i="16" s="1"/>
  <c r="H275" i="16" s="1"/>
  <c r="G1392" i="34"/>
  <c r="H1392" i="34" s="1"/>
  <c r="H1395" i="34" s="1"/>
  <c r="H1396" i="34" s="1"/>
  <c r="B1504" i="34"/>
  <c r="B776" i="25"/>
  <c r="B104" i="51"/>
  <c r="B496" i="28"/>
  <c r="B328" i="51"/>
  <c r="B608" i="51"/>
  <c r="G104" i="34"/>
  <c r="H104" i="34" s="1"/>
  <c r="H107" i="34" s="1"/>
  <c r="E552" i="30"/>
  <c r="E1392" i="19"/>
  <c r="B1448" i="34"/>
  <c r="E48" i="19"/>
  <c r="B552" i="25"/>
  <c r="B104" i="17"/>
  <c r="B104" i="29"/>
  <c r="G1336" i="34"/>
  <c r="H1336" i="34" s="1"/>
  <c r="H1339" i="34" s="1"/>
  <c r="H1340" i="34" s="1"/>
  <c r="B496" i="51"/>
  <c r="B1560" i="19"/>
  <c r="B720" i="25"/>
  <c r="E776" i="16"/>
  <c r="E328" i="32"/>
  <c r="E48" i="50"/>
  <c r="E384" i="32"/>
  <c r="E440" i="26"/>
  <c r="E160" i="16"/>
  <c r="G328" i="28"/>
  <c r="H328" i="28" s="1"/>
  <c r="H331" i="28" s="1"/>
  <c r="H332" i="28" s="1"/>
  <c r="E178" i="29"/>
  <c r="F178" i="29" s="1"/>
  <c r="H178" i="29" s="1"/>
  <c r="H184" i="29" s="1"/>
  <c r="B944" i="51"/>
  <c r="E1840" i="19"/>
  <c r="B552" i="30"/>
  <c r="B160" i="11"/>
  <c r="G1896" i="19"/>
  <c r="H1896" i="19" s="1"/>
  <c r="H1899" i="19" s="1"/>
  <c r="H1900" i="19" s="1"/>
  <c r="B409" i="55"/>
  <c r="B496" i="19"/>
  <c r="E328" i="25"/>
  <c r="B178" i="29"/>
  <c r="G216" i="16"/>
  <c r="H216" i="16" s="1"/>
  <c r="H219" i="16" s="1"/>
  <c r="H220" i="16" s="1"/>
  <c r="E272" i="53"/>
  <c r="E328" i="28"/>
  <c r="E1728" i="19"/>
  <c r="G272" i="33"/>
  <c r="H272" i="33" s="1"/>
  <c r="H275" i="33" s="1"/>
  <c r="H276" i="33" s="1"/>
  <c r="E160" i="13"/>
  <c r="B2120" i="19"/>
  <c r="E552" i="23"/>
  <c r="G496" i="16"/>
  <c r="H496" i="16" s="1"/>
  <c r="H499" i="16" s="1"/>
  <c r="B532" i="55"/>
  <c r="B328" i="32"/>
  <c r="E496" i="26"/>
  <c r="B1112" i="34"/>
  <c r="G720" i="34"/>
  <c r="H720" i="34" s="1"/>
  <c r="H723" i="34" s="1"/>
  <c r="H724" i="34" s="1"/>
  <c r="G440" i="34"/>
  <c r="H440" i="34" s="1"/>
  <c r="H443" i="34" s="1"/>
  <c r="H444" i="34" s="1"/>
  <c r="B216" i="16"/>
  <c r="E160" i="53"/>
  <c r="G440" i="21"/>
  <c r="H440" i="21" s="1"/>
  <c r="H443" i="21" s="1"/>
  <c r="B1392" i="19"/>
  <c r="B100" i="54"/>
  <c r="B720" i="16"/>
  <c r="E832" i="19"/>
  <c r="B552" i="32"/>
  <c r="B160" i="29"/>
  <c r="E552" i="32"/>
  <c r="E160" i="17"/>
  <c r="B552" i="23"/>
  <c r="G832" i="34"/>
  <c r="H832" i="34" s="1"/>
  <c r="H835" i="34" s="1"/>
  <c r="H836" i="34" s="1"/>
  <c r="B104" i="19"/>
  <c r="E664" i="25"/>
  <c r="B216" i="28"/>
  <c r="B104" i="30"/>
  <c r="B496" i="25"/>
  <c r="E608" i="16"/>
  <c r="E328" i="19"/>
  <c r="E384" i="16"/>
  <c r="E104" i="33"/>
  <c r="B1280" i="19"/>
  <c r="B272" i="19"/>
  <c r="G496" i="23"/>
  <c r="H496" i="23" s="1"/>
  <c r="H499" i="23" s="1"/>
  <c r="B160" i="34"/>
  <c r="E104" i="13"/>
  <c r="B1560" i="34"/>
  <c r="E384" i="30"/>
  <c r="G104" i="29"/>
  <c r="H104" i="29" s="1"/>
  <c r="H107" i="29" s="1"/>
  <c r="E384" i="25"/>
  <c r="B66" i="29"/>
  <c r="B384" i="30"/>
  <c r="B10" i="32"/>
  <c r="E272" i="17"/>
  <c r="B1112" i="19"/>
  <c r="G440" i="28"/>
  <c r="H440" i="28" s="1"/>
  <c r="H443" i="28" s="1"/>
  <c r="H444" i="28" s="1"/>
  <c r="G104" i="25"/>
  <c r="H104" i="25" s="1"/>
  <c r="H107" i="25" s="1"/>
  <c r="G2008" i="19"/>
  <c r="H2008" i="19" s="1"/>
  <c r="H2011" i="19" s="1"/>
  <c r="B216" i="30"/>
  <c r="E272" i="34"/>
  <c r="B290" i="30"/>
  <c r="G216" i="34"/>
  <c r="H216" i="34" s="1"/>
  <c r="H219" i="34" s="1"/>
  <c r="H220" i="34" s="1"/>
  <c r="E1784" i="19"/>
  <c r="E720" i="34"/>
  <c r="B272" i="34"/>
  <c r="B10" i="30"/>
  <c r="E48" i="18"/>
  <c r="B104" i="13"/>
  <c r="G1056" i="19"/>
  <c r="H1056" i="19" s="1"/>
  <c r="H1059" i="19" s="1"/>
  <c r="H1060" i="19" s="1"/>
  <c r="G1672" i="34"/>
  <c r="H1672" i="34" s="1"/>
  <c r="H1675" i="34" s="1"/>
  <c r="H1676" i="34" s="1"/>
  <c r="B440" i="25"/>
  <c r="E1056" i="19"/>
  <c r="E944" i="34"/>
  <c r="E272" i="33"/>
  <c r="E160" i="26"/>
  <c r="B48" i="23"/>
  <c r="B48" i="29"/>
  <c r="G384" i="29"/>
  <c r="H384" i="29" s="1"/>
  <c r="H387" i="29" s="1"/>
  <c r="E440" i="16"/>
  <c r="B384" i="26"/>
  <c r="B66" i="30"/>
  <c r="B440" i="30"/>
  <c r="B1392" i="34"/>
  <c r="G272" i="34"/>
  <c r="H272" i="34" s="1"/>
  <c r="H275" i="34" s="1"/>
  <c r="H276" i="34" s="1"/>
  <c r="B328" i="29"/>
  <c r="E1840" i="34"/>
  <c r="E384" i="33"/>
  <c r="B48" i="19"/>
  <c r="B888" i="34"/>
  <c r="E440" i="23"/>
  <c r="B440" i="32"/>
  <c r="E48" i="29"/>
  <c r="G1280" i="34"/>
  <c r="H1280" i="34" s="1"/>
  <c r="H1283" i="34" s="1"/>
  <c r="H1284" i="34" s="1"/>
  <c r="B104" i="22"/>
  <c r="G328" i="34"/>
  <c r="H328" i="34" s="1"/>
  <c r="H331" i="34" s="1"/>
  <c r="H332" i="34" s="1"/>
  <c r="E552" i="19"/>
  <c r="G1168" i="34"/>
  <c r="H1168" i="34" s="1"/>
  <c r="H1171" i="34" s="1"/>
  <c r="H1172" i="34" s="1"/>
  <c r="E1504" i="19"/>
  <c r="E160" i="33"/>
  <c r="B85" i="55"/>
  <c r="E160" i="11"/>
  <c r="B608" i="16"/>
  <c r="E48" i="23"/>
  <c r="B402" i="30"/>
  <c r="E664" i="19"/>
  <c r="E104" i="23"/>
  <c r="B328" i="23"/>
  <c r="A25" i="6"/>
  <c r="A26" i="6" s="1"/>
  <c r="A27" i="6" s="1"/>
  <c r="A28" i="6" s="1"/>
  <c r="A29" i="6" s="1"/>
  <c r="A30" i="6" s="1"/>
  <c r="E216" i="22"/>
  <c r="B328" i="28"/>
  <c r="B216" i="34"/>
  <c r="B160" i="26"/>
  <c r="B1224" i="19"/>
  <c r="E1000" i="19"/>
  <c r="E664" i="34"/>
  <c r="G664" i="34"/>
  <c r="H664" i="34" s="1"/>
  <c r="H667" i="34" s="1"/>
  <c r="H668" i="34" s="1"/>
  <c r="B160" i="17"/>
  <c r="E2120" i="34"/>
  <c r="E440" i="25"/>
  <c r="E160" i="21"/>
  <c r="G440" i="29"/>
  <c r="H440" i="29" s="1"/>
  <c r="H443" i="29" s="1"/>
  <c r="H444" i="29" s="1"/>
  <c r="E66" i="30"/>
  <c r="F66" i="30" s="1"/>
  <c r="H66" i="30" s="1"/>
  <c r="H72" i="30" s="1"/>
  <c r="E104" i="30"/>
  <c r="E1672" i="19"/>
  <c r="E216" i="17"/>
  <c r="B720" i="19"/>
  <c r="E1000" i="34"/>
  <c r="G328" i="30"/>
  <c r="H328" i="30" s="1"/>
  <c r="H331" i="30" s="1"/>
  <c r="H332" i="30" s="1"/>
  <c r="B664" i="30"/>
  <c r="B552" i="28"/>
  <c r="B272" i="26"/>
  <c r="G272" i="30"/>
  <c r="H272" i="30" s="1"/>
  <c r="H275" i="30" s="1"/>
  <c r="H276" i="30" s="1"/>
  <c r="E496" i="29"/>
  <c r="E180" i="17"/>
  <c r="F180" i="17" s="1"/>
  <c r="H180" i="17" s="1"/>
  <c r="B48" i="32"/>
  <c r="G328" i="33"/>
  <c r="H328" i="33" s="1"/>
  <c r="H331" i="33" s="1"/>
  <c r="H332" i="33" s="1"/>
  <c r="B496" i="30"/>
  <c r="E234" i="30"/>
  <c r="F234" i="30" s="1"/>
  <c r="H234" i="30" s="1"/>
  <c r="H240" i="30" s="1"/>
  <c r="G776" i="19"/>
  <c r="H776" i="19" s="1"/>
  <c r="H779" i="19" s="1"/>
  <c r="H780" i="19" s="1"/>
  <c r="E328" i="51"/>
  <c r="B272" i="17"/>
  <c r="E46" i="54"/>
  <c r="B104" i="25"/>
  <c r="G552" i="30"/>
  <c r="H552" i="30" s="1"/>
  <c r="H555" i="30" s="1"/>
  <c r="H556" i="30" s="1"/>
  <c r="E471" i="55"/>
  <c r="G272" i="28"/>
  <c r="H272" i="28" s="1"/>
  <c r="H275" i="28" s="1"/>
  <c r="H276" i="28" s="1"/>
  <c r="E1336" i="34"/>
  <c r="B440" i="51"/>
  <c r="B272" i="30"/>
  <c r="G2008" i="34"/>
  <c r="H2008" i="34" s="1"/>
  <c r="H2011" i="34" s="1"/>
  <c r="H2012" i="34" s="1"/>
  <c r="E104" i="11"/>
  <c r="E684" i="25"/>
  <c r="F684" i="25" s="1"/>
  <c r="H684" i="25" s="1"/>
  <c r="G100" i="54"/>
  <c r="H100" i="54" s="1"/>
  <c r="H103" i="54" s="1"/>
  <c r="H104" i="54" s="1"/>
  <c r="E48" i="30"/>
  <c r="G384" i="34"/>
  <c r="H384" i="34" s="1"/>
  <c r="H387" i="34" s="1"/>
  <c r="H388" i="34" s="1"/>
  <c r="G552" i="23"/>
  <c r="H552" i="23" s="1"/>
  <c r="H555" i="23" s="1"/>
  <c r="G1112" i="19"/>
  <c r="H1112" i="19" s="1"/>
  <c r="H1115" i="19" s="1"/>
  <c r="H1116" i="19" s="1"/>
  <c r="B944" i="19"/>
  <c r="E1280" i="19"/>
  <c r="B1336" i="34"/>
  <c r="B139" i="55"/>
  <c r="E346" i="29"/>
  <c r="F346" i="29" s="1"/>
  <c r="H346" i="29" s="1"/>
  <c r="H352" i="29" s="1"/>
  <c r="B104" i="32"/>
  <c r="B104" i="28"/>
  <c r="G104" i="13"/>
  <c r="H104" i="13" s="1"/>
  <c r="H107" i="13" s="1"/>
  <c r="H108" i="13" s="1"/>
  <c r="B1056" i="19"/>
  <c r="E496" i="30"/>
  <c r="E440" i="32"/>
  <c r="B944" i="34"/>
  <c r="B346" i="29"/>
  <c r="E532" i="55"/>
  <c r="E552" i="28"/>
  <c r="E776" i="51"/>
  <c r="E160" i="34"/>
  <c r="E48" i="25"/>
  <c r="B2120" i="34"/>
  <c r="B328" i="19"/>
  <c r="B160" i="32"/>
  <c r="E496" i="16"/>
  <c r="B272" i="33"/>
  <c r="E104" i="53"/>
  <c r="B216" i="19"/>
  <c r="E328" i="23"/>
  <c r="E1112" i="34"/>
  <c r="E384" i="19"/>
  <c r="B160" i="28"/>
  <c r="G160" i="17"/>
  <c r="H160" i="17" s="1"/>
  <c r="H163" i="17" s="1"/>
  <c r="B440" i="26"/>
  <c r="E48" i="51"/>
  <c r="B552" i="19"/>
  <c r="B832" i="51"/>
  <c r="E216" i="19"/>
  <c r="E10" i="29"/>
  <c r="F10" i="29" s="1"/>
  <c r="H10" i="29" s="1"/>
  <c r="H16" i="29" s="1"/>
  <c r="G532" i="55"/>
  <c r="H532" i="55" s="1"/>
  <c r="H535" i="55" s="1"/>
  <c r="H536" i="55" s="1"/>
  <c r="E384" i="23"/>
  <c r="G664" i="16"/>
  <c r="H664" i="16" s="1"/>
  <c r="H667" i="16" s="1"/>
  <c r="H668" i="16" s="1"/>
  <c r="E272" i="29"/>
  <c r="G1000" i="34"/>
  <c r="H1000" i="34" s="1"/>
  <c r="H1003" i="34" s="1"/>
  <c r="H1004" i="34" s="1"/>
  <c r="E216" i="25"/>
  <c r="E100" i="54"/>
  <c r="E1728" i="34"/>
  <c r="G496" i="34"/>
  <c r="H496" i="34" s="1"/>
  <c r="H499" i="34" s="1"/>
  <c r="H500" i="34" s="1"/>
  <c r="E608" i="29"/>
  <c r="E1560" i="34"/>
  <c r="G944" i="19"/>
  <c r="H944" i="19" s="1"/>
  <c r="H947" i="19" s="1"/>
  <c r="B272" i="16"/>
  <c r="E384" i="51"/>
  <c r="E720" i="51"/>
  <c r="E2008" i="34"/>
  <c r="G2064" i="19"/>
  <c r="H2064" i="19" s="1"/>
  <c r="H2067" i="19" s="1"/>
  <c r="H2068" i="19" s="1"/>
  <c r="E104" i="17"/>
  <c r="G104" i="17"/>
  <c r="H104" i="17" s="1"/>
  <c r="H107" i="17" s="1"/>
  <c r="B832" i="19"/>
  <c r="B66" i="32"/>
  <c r="E1056" i="34"/>
  <c r="B496" i="32"/>
  <c r="G440" i="32"/>
  <c r="H440" i="32" s="1"/>
  <c r="H443" i="32" s="1"/>
  <c r="H444" i="32" s="1"/>
  <c r="B496" i="16"/>
  <c r="E216" i="23"/>
  <c r="B384" i="33"/>
  <c r="B104" i="33"/>
  <c r="G608" i="16"/>
  <c r="H608" i="16" s="1"/>
  <c r="H611" i="16" s="1"/>
  <c r="H612" i="16" s="1"/>
  <c r="G160" i="51"/>
  <c r="H160" i="51" s="1"/>
  <c r="H163" i="51" s="1"/>
  <c r="H164" i="51" s="1"/>
  <c r="B720" i="51"/>
  <c r="B888" i="19"/>
  <c r="E2008" i="19"/>
  <c r="B1168" i="19"/>
  <c r="E552" i="29"/>
  <c r="G1112" i="34"/>
  <c r="H1112" i="34" s="1"/>
  <c r="H1115" i="34" s="1"/>
  <c r="H1116" i="34" s="1"/>
  <c r="B104" i="16"/>
  <c r="E104" i="19"/>
  <c r="G328" i="16"/>
  <c r="H328" i="16" s="1"/>
  <c r="H331" i="16" s="1"/>
  <c r="B608" i="30"/>
  <c r="G160" i="21"/>
  <c r="H160" i="21" s="1"/>
  <c r="H163" i="21" s="1"/>
  <c r="G48" i="22"/>
  <c r="H48" i="22" s="1"/>
  <c r="H51" i="22" s="1"/>
  <c r="E216" i="34"/>
  <c r="G216" i="30"/>
  <c r="H216" i="30" s="1"/>
  <c r="H219" i="30" s="1"/>
  <c r="G471" i="55"/>
  <c r="H471" i="55" s="1"/>
  <c r="H474" i="55" s="1"/>
  <c r="E1224" i="34"/>
  <c r="E496" i="32"/>
  <c r="B272" i="51"/>
  <c r="G1448" i="19"/>
  <c r="H1448" i="19" s="1"/>
  <c r="H1451" i="19" s="1"/>
  <c r="G104" i="15"/>
  <c r="H104" i="15" s="1"/>
  <c r="H107" i="15" s="1"/>
  <c r="E272" i="25"/>
  <c r="G409" i="55"/>
  <c r="H409" i="55" s="1"/>
  <c r="H412" i="55" s="1"/>
  <c r="H413" i="55" s="1"/>
  <c r="B384" i="23"/>
  <c r="B1840" i="19"/>
  <c r="B48" i="34"/>
  <c r="G85" i="55"/>
  <c r="H85" i="55" s="1"/>
  <c r="H88" i="55" s="1"/>
  <c r="E160" i="30"/>
  <c r="B104" i="53"/>
  <c r="B471" i="55"/>
  <c r="E2176" i="19"/>
  <c r="G496" i="28"/>
  <c r="H496" i="28" s="1"/>
  <c r="H499" i="28" s="1"/>
  <c r="H500" i="28" s="1"/>
  <c r="G832" i="19"/>
  <c r="H832" i="19" s="1"/>
  <c r="H835" i="19" s="1"/>
  <c r="B1896" i="34"/>
  <c r="E104" i="34"/>
  <c r="E178" i="30"/>
  <c r="F178" i="30" s="1"/>
  <c r="H178" i="30" s="1"/>
  <c r="H184" i="30" s="1"/>
  <c r="B1916" i="34"/>
  <c r="B216" i="17"/>
  <c r="B1784" i="34"/>
  <c r="E272" i="30"/>
  <c r="E608" i="19"/>
  <c r="B1672" i="19"/>
  <c r="B1336" i="19"/>
  <c r="E832" i="34"/>
  <c r="E66" i="29"/>
  <c r="F66" i="29" s="1"/>
  <c r="H66" i="29" s="1"/>
  <c r="H72" i="29" s="1"/>
  <c r="E48" i="16"/>
  <c r="B216" i="29"/>
  <c r="B48" i="51"/>
  <c r="E272" i="23"/>
  <c r="E608" i="25"/>
  <c r="B122" i="29"/>
  <c r="E48" i="28"/>
  <c r="G888" i="34"/>
  <c r="H888" i="34" s="1"/>
  <c r="H891" i="34" s="1"/>
  <c r="H892" i="34" s="1"/>
  <c r="G48" i="18"/>
  <c r="H48" i="18" s="1"/>
  <c r="H51" i="18" s="1"/>
  <c r="G160" i="30"/>
  <c r="H160" i="30" s="1"/>
  <c r="H163" i="30" s="1"/>
  <c r="B216" i="53"/>
  <c r="B552" i="29"/>
  <c r="B122" i="30"/>
  <c r="E10" i="30"/>
  <c r="F10" i="30" s="1"/>
  <c r="H10" i="30" s="1"/>
  <c r="H16" i="30" s="1"/>
  <c r="B160" i="33"/>
  <c r="E48" i="53"/>
  <c r="B216" i="22"/>
  <c r="G272" i="17"/>
  <c r="H272" i="17" s="1"/>
  <c r="H275" i="17" s="1"/>
  <c r="E328" i="16"/>
  <c r="E104" i="22"/>
  <c r="E272" i="28"/>
  <c r="G384" i="23"/>
  <c r="H384" i="23" s="1"/>
  <c r="H387" i="23" s="1"/>
  <c r="G776" i="25"/>
  <c r="H776" i="25" s="1"/>
  <c r="H779" i="25" s="1"/>
  <c r="G1224" i="34"/>
  <c r="H1224" i="34" s="1"/>
  <c r="H1227" i="34" s="1"/>
  <c r="H1228" i="34" s="1"/>
  <c r="E328" i="29"/>
  <c r="E1860" i="34"/>
  <c r="F1860" i="34" s="1"/>
  <c r="H1860" i="34" s="1"/>
  <c r="G440" i="16"/>
  <c r="H440" i="16" s="1"/>
  <c r="H443" i="16" s="1"/>
  <c r="H444" i="16" s="1"/>
  <c r="E272" i="19"/>
  <c r="E46" i="55"/>
  <c r="F46" i="55" s="1"/>
  <c r="H46" i="55" s="1"/>
  <c r="H52" i="55" s="1"/>
  <c r="H89" i="55" s="1"/>
  <c r="E48" i="21"/>
  <c r="E496" i="28"/>
  <c r="E552" i="26"/>
  <c r="G48" i="33"/>
  <c r="H48" i="33" s="1"/>
  <c r="H51" i="33" s="1"/>
  <c r="H52" i="33" s="1"/>
  <c r="E216" i="51"/>
  <c r="E440" i="34"/>
  <c r="B1000" i="19"/>
  <c r="G552" i="32"/>
  <c r="H552" i="32" s="1"/>
  <c r="H555" i="32" s="1"/>
  <c r="H556" i="32" s="1"/>
  <c r="G160" i="16"/>
  <c r="H160" i="16" s="1"/>
  <c r="H163" i="16" s="1"/>
  <c r="B776" i="16"/>
  <c r="G496" i="30"/>
  <c r="H496" i="30" s="1"/>
  <c r="H499" i="30" s="1"/>
  <c r="H500" i="30" s="1"/>
  <c r="G440" i="23"/>
  <c r="H440" i="23" s="1"/>
  <c r="H443" i="23" s="1"/>
  <c r="E552" i="51"/>
  <c r="B272" i="25"/>
  <c r="B384" i="19"/>
  <c r="G216" i="22"/>
  <c r="H216" i="22" s="1"/>
  <c r="H219" i="22" s="1"/>
  <c r="G104" i="16"/>
  <c r="H104" i="16" s="1"/>
  <c r="H107" i="16" s="1"/>
  <c r="G272" i="51"/>
  <c r="H272" i="51" s="1"/>
  <c r="H275" i="51" s="1"/>
  <c r="G48" i="32"/>
  <c r="H48" i="32" s="1"/>
  <c r="H51" i="32" s="1"/>
  <c r="E290" i="30"/>
  <c r="F290" i="30" s="1"/>
  <c r="H290" i="30" s="1"/>
  <c r="H296" i="30" s="1"/>
  <c r="G272" i="53"/>
  <c r="H272" i="53" s="1"/>
  <c r="H275" i="53" s="1"/>
  <c r="E404" i="25"/>
  <c r="F404" i="25" s="1"/>
  <c r="H404" i="25" s="1"/>
  <c r="G216" i="53"/>
  <c r="H216" i="53" s="1"/>
  <c r="H219" i="53" s="1"/>
  <c r="G2120" i="19"/>
  <c r="H2120" i="19" s="1"/>
  <c r="H2123" i="19" s="1"/>
  <c r="G440" i="19"/>
  <c r="H440" i="19" s="1"/>
  <c r="H443" i="19" s="1"/>
  <c r="E944" i="19"/>
  <c r="B1056" i="34"/>
  <c r="B664" i="16"/>
  <c r="B160" i="51"/>
  <c r="G48" i="19"/>
  <c r="H48" i="19" s="1"/>
  <c r="H51" i="19" s="1"/>
  <c r="H52" i="19" s="1"/>
  <c r="G104" i="18"/>
  <c r="H104" i="18" s="1"/>
  <c r="H107" i="18" s="1"/>
  <c r="G496" i="19"/>
  <c r="H496" i="19" s="1"/>
  <c r="H499" i="19" s="1"/>
  <c r="H500" i="19" s="1"/>
  <c r="G1392" i="19"/>
  <c r="H1392" i="19" s="1"/>
  <c r="H1395" i="19" s="1"/>
  <c r="H1396" i="19" s="1"/>
  <c r="G384" i="51"/>
  <c r="H384" i="51" s="1"/>
  <c r="H387" i="51" s="1"/>
  <c r="H388" i="51" s="1"/>
  <c r="G440" i="26"/>
  <c r="H440" i="26" s="1"/>
  <c r="H443" i="26" s="1"/>
  <c r="H444" i="26" s="1"/>
  <c r="E67" i="19"/>
  <c r="F67" i="19" s="1"/>
  <c r="H67" i="19" s="1"/>
  <c r="H72" i="19" s="1"/>
  <c r="B1131" i="19"/>
  <c r="B403" i="21"/>
  <c r="B160" i="16"/>
  <c r="B776" i="19"/>
  <c r="B328" i="34"/>
  <c r="B160" i="30"/>
  <c r="G496" i="26"/>
  <c r="H496" i="26" s="1"/>
  <c r="H499" i="26" s="1"/>
  <c r="H500" i="26" s="1"/>
  <c r="G160" i="29"/>
  <c r="H160" i="29" s="1"/>
  <c r="H163" i="29" s="1"/>
  <c r="H164" i="29" s="1"/>
  <c r="G832" i="51"/>
  <c r="H832" i="51" s="1"/>
  <c r="H835" i="51" s="1"/>
  <c r="H836" i="51" s="1"/>
  <c r="G1168" i="19"/>
  <c r="H1168" i="19" s="1"/>
  <c r="H1171" i="19" s="1"/>
  <c r="G552" i="29"/>
  <c r="H552" i="29" s="1"/>
  <c r="H555" i="29" s="1"/>
  <c r="H556" i="29" s="1"/>
  <c r="G384" i="28"/>
  <c r="H384" i="28" s="1"/>
  <c r="H387" i="28" s="1"/>
  <c r="H388" i="28" s="1"/>
  <c r="G328" i="23"/>
  <c r="H328" i="23" s="1"/>
  <c r="H331" i="23" s="1"/>
  <c r="G552" i="19"/>
  <c r="H552" i="19" s="1"/>
  <c r="H555" i="19" s="1"/>
  <c r="G720" i="51"/>
  <c r="H720" i="51" s="1"/>
  <c r="H723" i="51" s="1"/>
  <c r="G104" i="30"/>
  <c r="H104" i="30" s="1"/>
  <c r="H107" i="30" s="1"/>
  <c r="H108" i="30" s="1"/>
  <c r="B1168" i="34"/>
  <c r="G160" i="34"/>
  <c r="H160" i="34" s="1"/>
  <c r="H163" i="34" s="1"/>
  <c r="H164" i="34" s="1"/>
  <c r="E104" i="32"/>
  <c r="G1000" i="19"/>
  <c r="H1000" i="19" s="1"/>
  <c r="H1003" i="19" s="1"/>
  <c r="H1004" i="19" s="1"/>
  <c r="G104" i="19"/>
  <c r="H104" i="19" s="1"/>
  <c r="H107" i="19" s="1"/>
  <c r="B348" i="25"/>
  <c r="E216" i="53"/>
  <c r="G160" i="32"/>
  <c r="H160" i="32" s="1"/>
  <c r="H163" i="32" s="1"/>
  <c r="H164" i="32" s="1"/>
  <c r="B608" i="19"/>
  <c r="G48" i="53"/>
  <c r="H48" i="53" s="1"/>
  <c r="H51" i="53" s="1"/>
  <c r="B776" i="51"/>
  <c r="B216" i="32"/>
  <c r="E496" i="51"/>
  <c r="B328" i="25"/>
  <c r="G944" i="34"/>
  <c r="H944" i="34" s="1"/>
  <c r="H947" i="34" s="1"/>
  <c r="H948" i="34" s="1"/>
  <c r="E1896" i="19"/>
  <c r="G160" i="33"/>
  <c r="H160" i="33" s="1"/>
  <c r="H163" i="33" s="1"/>
  <c r="H164" i="33" s="1"/>
  <c r="G664" i="30"/>
  <c r="H664" i="30" s="1"/>
  <c r="H667" i="30" s="1"/>
  <c r="H668" i="30" s="1"/>
  <c r="G384" i="26"/>
  <c r="H384" i="26" s="1"/>
  <c r="H387" i="26" s="1"/>
  <c r="B2084" i="34"/>
  <c r="G216" i="19"/>
  <c r="H216" i="19" s="1"/>
  <c r="H219" i="19" s="1"/>
  <c r="E100" i="55"/>
  <c r="F100" i="55" s="1"/>
  <c r="H100" i="55" s="1"/>
  <c r="H106" i="55" s="1"/>
  <c r="H143" i="55" s="1"/>
  <c r="G1448" i="34"/>
  <c r="H1448" i="34" s="1"/>
  <c r="H1451" i="34" s="1"/>
  <c r="H1452" i="34" s="1"/>
  <c r="B48" i="22"/>
  <c r="G1504" i="34"/>
  <c r="H1504" i="34" s="1"/>
  <c r="H1507" i="34" s="1"/>
  <c r="H1508" i="34" s="1"/>
  <c r="G328" i="51"/>
  <c r="H328" i="51" s="1"/>
  <c r="H331" i="51" s="1"/>
  <c r="G48" i="51"/>
  <c r="H48" i="51" s="1"/>
  <c r="H51" i="51" s="1"/>
  <c r="B1860" i="34"/>
  <c r="B180" i="17"/>
  <c r="G1896" i="34"/>
  <c r="H1896" i="34" s="1"/>
  <c r="H1899" i="34" s="1"/>
  <c r="G1056" i="51"/>
  <c r="H1056" i="51" s="1"/>
  <c r="H1059" i="51" s="1"/>
  <c r="H1060" i="51" s="1"/>
  <c r="G1560" i="19"/>
  <c r="H1560" i="19" s="1"/>
  <c r="H1563" i="19" s="1"/>
  <c r="B67" i="14"/>
  <c r="G160" i="28"/>
  <c r="H160" i="28" s="1"/>
  <c r="H163" i="28" s="1"/>
  <c r="H164" i="28" s="1"/>
  <c r="G1224" i="19"/>
  <c r="H1224" i="19" s="1"/>
  <c r="H1227" i="19" s="1"/>
  <c r="G720" i="16"/>
  <c r="H720" i="16" s="1"/>
  <c r="H723" i="16" s="1"/>
  <c r="H724" i="16" s="1"/>
  <c r="G1952" i="34"/>
  <c r="H1952" i="34" s="1"/>
  <c r="H1955" i="34" s="1"/>
  <c r="B460" i="25"/>
  <c r="B684" i="25"/>
  <c r="E160" i="51"/>
  <c r="B608" i="25"/>
  <c r="G48" i="23"/>
  <c r="H48" i="23" s="1"/>
  <c r="H51" i="23" s="1"/>
  <c r="G160" i="13"/>
  <c r="H160" i="13" s="1"/>
  <c r="H163" i="13" s="1"/>
  <c r="H164" i="13" s="1"/>
  <c r="G496" i="29"/>
  <c r="H496" i="29" s="1"/>
  <c r="H499" i="29" s="1"/>
  <c r="H500" i="29" s="1"/>
  <c r="G48" i="21"/>
  <c r="H48" i="21" s="1"/>
  <c r="H51" i="21" s="1"/>
  <c r="E552" i="16"/>
  <c r="B496" i="34"/>
  <c r="E139" i="55"/>
  <c r="G1840" i="34"/>
  <c r="H1840" i="34" s="1"/>
  <c r="H1843" i="34" s="1"/>
  <c r="B12" i="17"/>
  <c r="G104" i="53"/>
  <c r="H104" i="53" s="1"/>
  <c r="H107" i="53" s="1"/>
  <c r="G216" i="17"/>
  <c r="H216" i="17" s="1"/>
  <c r="H219" i="17" s="1"/>
  <c r="B67" i="21"/>
  <c r="B11" i="21"/>
  <c r="E2064" i="34"/>
  <c r="B1224" i="34"/>
  <c r="G888" i="19"/>
  <c r="H888" i="19" s="1"/>
  <c r="H891" i="19" s="1"/>
  <c r="H892" i="19" s="1"/>
  <c r="B1000" i="51"/>
  <c r="G160" i="19"/>
  <c r="H160" i="19" s="1"/>
  <c r="H163" i="19" s="1"/>
  <c r="G552" i="16"/>
  <c r="H552" i="16" s="1"/>
  <c r="H555" i="16" s="1"/>
  <c r="H556" i="16" s="1"/>
  <c r="G664" i="51"/>
  <c r="H664" i="51" s="1"/>
  <c r="H667" i="51" s="1"/>
  <c r="G1504" i="19"/>
  <c r="H1504" i="19" s="1"/>
  <c r="H1507" i="19" s="1"/>
  <c r="H1508" i="19" s="1"/>
  <c r="G1784" i="19"/>
  <c r="H1784" i="19" s="1"/>
  <c r="H1787" i="19" s="1"/>
  <c r="G1336" i="19"/>
  <c r="H1336" i="19" s="1"/>
  <c r="H1339" i="19" s="1"/>
  <c r="G1728" i="19"/>
  <c r="H1728" i="19" s="1"/>
  <c r="H1731" i="19" s="1"/>
  <c r="H1732" i="19" s="1"/>
  <c r="G1952" i="19"/>
  <c r="H1952" i="19" s="1"/>
  <c r="H1955" i="19" s="1"/>
  <c r="H1956" i="19" s="1"/>
  <c r="B1672" i="34"/>
  <c r="G104" i="22"/>
  <c r="H104" i="22" s="1"/>
  <c r="H107" i="22" s="1"/>
  <c r="G2176" i="19"/>
  <c r="H2176" i="19" s="1"/>
  <c r="H2179" i="19" s="1"/>
  <c r="H2180" i="19" s="1"/>
  <c r="E304" i="55"/>
  <c r="F304" i="55" s="1"/>
  <c r="H304" i="55" s="1"/>
  <c r="H310" i="55" s="1"/>
  <c r="H351" i="55" s="1"/>
  <c r="E2084" i="34"/>
  <c r="F2084" i="34" s="1"/>
  <c r="H2084" i="34" s="1"/>
  <c r="B1411" i="19"/>
  <c r="B1187" i="19"/>
  <c r="E795" i="19"/>
  <c r="F795" i="19" s="1"/>
  <c r="H795" i="19" s="1"/>
  <c r="B1299" i="19"/>
  <c r="G384" i="25"/>
  <c r="H384" i="25" s="1"/>
  <c r="H387" i="25" s="1"/>
  <c r="E552" i="34"/>
  <c r="G160" i="53"/>
  <c r="H160" i="53" s="1"/>
  <c r="H163" i="53" s="1"/>
  <c r="G328" i="19"/>
  <c r="H328" i="19" s="1"/>
  <c r="H331" i="19" s="1"/>
  <c r="H332" i="19" s="1"/>
  <c r="E158" i="55"/>
  <c r="F158" i="55" s="1"/>
  <c r="H158" i="55" s="1"/>
  <c r="H161" i="55" s="1"/>
  <c r="H185" i="55" s="1"/>
  <c r="B123" i="21"/>
  <c r="B180" i="14"/>
  <c r="E907" i="19"/>
  <c r="F907" i="19" s="1"/>
  <c r="H907" i="19" s="1"/>
  <c r="E1411" i="19"/>
  <c r="F1411" i="19" s="1"/>
  <c r="H1411" i="19" s="1"/>
  <c r="E10" i="32"/>
  <c r="F10" i="32" s="1"/>
  <c r="H10" i="32" s="1"/>
  <c r="H16" i="32" s="1"/>
  <c r="E104" i="21"/>
  <c r="G216" i="51"/>
  <c r="H216" i="51" s="1"/>
  <c r="H219" i="51" s="1"/>
  <c r="E1187" i="19"/>
  <c r="F1187" i="19" s="1"/>
  <c r="H1187" i="19" s="1"/>
  <c r="G608" i="51"/>
  <c r="H608" i="51" s="1"/>
  <c r="H611" i="51" s="1"/>
  <c r="G48" i="11"/>
  <c r="H48" i="11" s="1"/>
  <c r="H51" i="11" s="1"/>
  <c r="H52" i="11" s="1"/>
  <c r="G160" i="22"/>
  <c r="H160" i="22" s="1"/>
  <c r="H163" i="22" s="1"/>
  <c r="B291" i="14"/>
  <c r="E180" i="14"/>
  <c r="F180" i="14" s="1"/>
  <c r="H180" i="14" s="1"/>
  <c r="H184" i="14" s="1"/>
  <c r="H220" i="14" s="1"/>
  <c r="E123" i="21"/>
  <c r="F123" i="21" s="1"/>
  <c r="H123" i="21" s="1"/>
  <c r="B67" i="19"/>
  <c r="G552" i="26"/>
  <c r="H552" i="26" s="1"/>
  <c r="H555" i="26" s="1"/>
  <c r="H556" i="26" s="1"/>
  <c r="G104" i="21"/>
  <c r="H104" i="21" s="1"/>
  <c r="H107" i="21" s="1"/>
  <c r="G328" i="29"/>
  <c r="H328" i="29" s="1"/>
  <c r="H331" i="29" s="1"/>
  <c r="H332" i="29" s="1"/>
  <c r="E11" i="21"/>
  <c r="F11" i="21" s="1"/>
  <c r="H11" i="21" s="1"/>
  <c r="G272" i="25"/>
  <c r="H272" i="25" s="1"/>
  <c r="H275" i="25" s="1"/>
  <c r="H276" i="25" s="1"/>
  <c r="B1243" i="19"/>
  <c r="G48" i="29"/>
  <c r="H48" i="29" s="1"/>
  <c r="H51" i="29" s="1"/>
  <c r="H52" i="29" s="1"/>
  <c r="G496" i="51"/>
  <c r="H496" i="51" s="1"/>
  <c r="H499" i="51" s="1"/>
  <c r="G776" i="51"/>
  <c r="H776" i="51" s="1"/>
  <c r="H779" i="51" s="1"/>
  <c r="G944" i="51"/>
  <c r="H944" i="51" s="1"/>
  <c r="H947" i="51" s="1"/>
  <c r="B459" i="21"/>
  <c r="E459" i="21"/>
  <c r="F459" i="21" s="1"/>
  <c r="H459" i="21" s="1"/>
  <c r="E200" i="55"/>
  <c r="F200" i="55" s="1"/>
  <c r="H200" i="55" s="1"/>
  <c r="H203" i="55" s="1"/>
  <c r="H225" i="55" s="1"/>
  <c r="E122" i="30"/>
  <c r="F122" i="30" s="1"/>
  <c r="H122" i="30" s="1"/>
  <c r="H128" i="30" s="1"/>
  <c r="G160" i="26"/>
  <c r="H160" i="26" s="1"/>
  <c r="H163" i="26" s="1"/>
  <c r="H164" i="26" s="1"/>
  <c r="G608" i="29"/>
  <c r="H608" i="29" s="1"/>
  <c r="H611" i="29" s="1"/>
  <c r="H612" i="29" s="1"/>
  <c r="E1804" i="34"/>
  <c r="F1804" i="34" s="1"/>
  <c r="H1804" i="34" s="1"/>
  <c r="G2120" i="34"/>
  <c r="H2120" i="34" s="1"/>
  <c r="H2123" i="34" s="1"/>
  <c r="G216" i="28"/>
  <c r="H216" i="28" s="1"/>
  <c r="H219" i="28" s="1"/>
  <c r="H220" i="28" s="1"/>
  <c r="E160" i="32"/>
  <c r="G1280" i="19"/>
  <c r="H1280" i="19" s="1"/>
  <c r="H1283" i="19" s="1"/>
  <c r="G48" i="15"/>
  <c r="H48" i="15" s="1"/>
  <c r="H51" i="15" s="1"/>
  <c r="B347" i="21"/>
  <c r="G216" i="25"/>
  <c r="H216" i="25" s="1"/>
  <c r="H219" i="25" s="1"/>
  <c r="G384" i="33"/>
  <c r="H384" i="33" s="1"/>
  <c r="H387" i="33" s="1"/>
  <c r="H388" i="33" s="1"/>
  <c r="G776" i="16"/>
  <c r="H776" i="16" s="1"/>
  <c r="H779" i="16" s="1"/>
  <c r="H780" i="16" s="1"/>
  <c r="G552" i="51"/>
  <c r="H552" i="51" s="1"/>
  <c r="H555" i="51" s="1"/>
  <c r="H556" i="51" s="1"/>
  <c r="G272" i="19"/>
  <c r="H272" i="19" s="1"/>
  <c r="H275" i="19" s="1"/>
  <c r="B1804" i="34"/>
  <c r="E291" i="14"/>
  <c r="F291" i="14" s="1"/>
  <c r="H291" i="14" s="1"/>
  <c r="H296" i="14" s="1"/>
  <c r="H332" i="14" s="1"/>
  <c r="E67" i="21"/>
  <c r="F67" i="21" s="1"/>
  <c r="H67" i="21" s="1"/>
  <c r="B627" i="21"/>
  <c r="E1168" i="19"/>
  <c r="G608" i="19"/>
  <c r="H608" i="19" s="1"/>
  <c r="H611" i="19" s="1"/>
  <c r="H612" i="19" s="1"/>
  <c r="G48" i="17"/>
  <c r="H48" i="17" s="1"/>
  <c r="H51" i="17" s="1"/>
  <c r="E627" i="21"/>
  <c r="F627" i="21" s="1"/>
  <c r="H627" i="21" s="1"/>
  <c r="H632" i="21" s="1"/>
  <c r="H668" i="21" s="1"/>
  <c r="H671" i="21" s="1"/>
  <c r="H672" i="21" s="1"/>
  <c r="O617" i="21" s="1"/>
  <c r="G608" i="25"/>
  <c r="H608" i="25" s="1"/>
  <c r="H611" i="25" s="1"/>
  <c r="G1616" i="19"/>
  <c r="H1616" i="19" s="1"/>
  <c r="H1619" i="19" s="1"/>
  <c r="H1620" i="19" s="1"/>
  <c r="G720" i="25"/>
  <c r="H720" i="25" s="1"/>
  <c r="H723" i="25" s="1"/>
  <c r="G272" i="23"/>
  <c r="H272" i="23" s="1"/>
  <c r="H275" i="23" s="1"/>
  <c r="G48" i="25"/>
  <c r="H48" i="25" s="1"/>
  <c r="H51" i="25" s="1"/>
  <c r="H52" i="25" s="1"/>
  <c r="E1243" i="19"/>
  <c r="F1243" i="19" s="1"/>
  <c r="H1243" i="19" s="1"/>
  <c r="H1248" i="19" s="1"/>
  <c r="G496" i="25"/>
  <c r="H496" i="25" s="1"/>
  <c r="H499" i="25" s="1"/>
  <c r="B104" i="11"/>
  <c r="G384" i="19"/>
  <c r="H384" i="19" s="1"/>
  <c r="H387" i="19" s="1"/>
  <c r="H388" i="19" s="1"/>
  <c r="E7" i="54"/>
  <c r="G328" i="26"/>
  <c r="H328" i="26" s="1"/>
  <c r="H331" i="26" s="1"/>
  <c r="G272" i="32"/>
  <c r="H272" i="32" s="1"/>
  <c r="H275" i="32" s="1"/>
  <c r="H276" i="32" s="1"/>
  <c r="B104" i="15"/>
  <c r="G104" i="51"/>
  <c r="H104" i="51" s="1"/>
  <c r="H107" i="51" s="1"/>
  <c r="E496" i="19"/>
  <c r="G160" i="11"/>
  <c r="H160" i="11" s="1"/>
  <c r="H163" i="11" s="1"/>
  <c r="H164" i="11" s="1"/>
  <c r="H167" i="11" s="1"/>
  <c r="H168" i="11" s="1"/>
  <c r="G664" i="19"/>
  <c r="H664" i="19" s="1"/>
  <c r="H667" i="19" s="1"/>
  <c r="H668" i="19" s="1"/>
  <c r="G664" i="29"/>
  <c r="H664" i="29" s="1"/>
  <c r="H667" i="29" s="1"/>
  <c r="H668" i="29" s="1"/>
  <c r="B179" i="19"/>
  <c r="E1131" i="19"/>
  <c r="F1131" i="19" s="1"/>
  <c r="H1131" i="19" s="1"/>
  <c r="H1136" i="19" s="1"/>
  <c r="E347" i="21"/>
  <c r="F347" i="21" s="1"/>
  <c r="H347" i="21" s="1"/>
  <c r="E1112" i="19"/>
  <c r="G48" i="16"/>
  <c r="H48" i="16" s="1"/>
  <c r="H51" i="16" s="1"/>
  <c r="H52" i="16" s="1"/>
  <c r="B795" i="19"/>
  <c r="E67" i="14"/>
  <c r="F67" i="14" s="1"/>
  <c r="H67" i="14" s="1"/>
  <c r="E720" i="16"/>
  <c r="G1000" i="51"/>
  <c r="H1000" i="51" s="1"/>
  <c r="H1003" i="51" s="1"/>
  <c r="H1004" i="51" s="1"/>
  <c r="E1299" i="19"/>
  <c r="F1299" i="19" s="1"/>
  <c r="H1299" i="19" s="1"/>
  <c r="B179" i="22"/>
  <c r="G1672" i="19"/>
  <c r="H1672" i="19" s="1"/>
  <c r="H1675" i="19" s="1"/>
  <c r="H1676" i="19" s="1"/>
  <c r="E179" i="22"/>
  <c r="F179" i="22" s="1"/>
  <c r="H179" i="22" s="1"/>
  <c r="G104" i="11"/>
  <c r="H104" i="11" s="1"/>
  <c r="H107" i="11" s="1"/>
  <c r="H108" i="11" s="1"/>
  <c r="H111" i="11" s="1"/>
  <c r="H112" i="11" s="1"/>
  <c r="G328" i="25"/>
  <c r="H328" i="25" s="1"/>
  <c r="H331" i="25" s="1"/>
  <c r="H332" i="25" s="1"/>
  <c r="G608" i="30"/>
  <c r="H608" i="30" s="1"/>
  <c r="H611" i="30" s="1"/>
  <c r="H612" i="30" s="1"/>
  <c r="E348" i="25"/>
  <c r="F348" i="25" s="1"/>
  <c r="H348" i="25" s="1"/>
  <c r="G552" i="25"/>
  <c r="H552" i="25" s="1"/>
  <c r="H555" i="25" s="1"/>
  <c r="H556" i="25" s="1"/>
  <c r="G272" i="29"/>
  <c r="H272" i="29" s="1"/>
  <c r="H275" i="29" s="1"/>
  <c r="H276" i="29" s="1"/>
  <c r="G1840" i="19"/>
  <c r="H1840" i="19" s="1"/>
  <c r="H1843" i="19" s="1"/>
  <c r="H1844" i="19" s="1"/>
  <c r="G272" i="26"/>
  <c r="H272" i="26" s="1"/>
  <c r="H275" i="26" s="1"/>
  <c r="H276" i="26" s="1"/>
  <c r="E179" i="19"/>
  <c r="F179" i="19" s="1"/>
  <c r="H179" i="19" s="1"/>
  <c r="H184" i="19" s="1"/>
  <c r="E403" i="21"/>
  <c r="F403" i="21" s="1"/>
  <c r="H403" i="21" s="1"/>
  <c r="G440" i="25"/>
  <c r="H440" i="25" s="1"/>
  <c r="H443" i="25" s="1"/>
  <c r="G440" i="51"/>
  <c r="H440" i="51" s="1"/>
  <c r="H443" i="51" s="1"/>
  <c r="B907" i="19"/>
  <c r="E1916" i="34"/>
  <c r="F1916" i="34" s="1"/>
  <c r="H1916" i="34" s="1"/>
  <c r="G635" i="51"/>
  <c r="H642" i="51"/>
  <c r="E626" i="51" s="1"/>
  <c r="F626" i="51" s="1"/>
  <c r="H626" i="51" s="1"/>
  <c r="H632" i="51" s="1"/>
  <c r="G75" i="16"/>
  <c r="H82" i="16"/>
  <c r="E66" i="16" s="1"/>
  <c r="F66" i="16" s="1"/>
  <c r="H66" i="16" s="1"/>
  <c r="H72" i="16" s="1"/>
  <c r="G523" i="51"/>
  <c r="H530" i="51"/>
  <c r="E514" i="51" s="1"/>
  <c r="F514" i="51" s="1"/>
  <c r="H514" i="51" s="1"/>
  <c r="H520" i="51" s="1"/>
  <c r="G75" i="25"/>
  <c r="H82" i="25"/>
  <c r="E66" i="25" s="1"/>
  <c r="F66" i="25" s="1"/>
  <c r="H66" i="25" s="1"/>
  <c r="H72" i="25" s="1"/>
  <c r="E10" i="18"/>
  <c r="F10" i="18" s="1"/>
  <c r="H10" i="18" s="1"/>
  <c r="H16" i="18" s="1"/>
  <c r="H418" i="21"/>
  <c r="G411" i="21"/>
  <c r="G467" i="16"/>
  <c r="H474" i="16"/>
  <c r="E458" i="16" s="1"/>
  <c r="F458" i="16" s="1"/>
  <c r="H458" i="16" s="1"/>
  <c r="H464" i="16" s="1"/>
  <c r="H698" i="51"/>
  <c r="E682" i="51" s="1"/>
  <c r="F682" i="51" s="1"/>
  <c r="H682" i="51" s="1"/>
  <c r="H688" i="51" s="1"/>
  <c r="G691" i="51"/>
  <c r="G1979" i="19"/>
  <c r="H1986" i="19"/>
  <c r="E1970" i="19" s="1"/>
  <c r="F1970" i="19" s="1"/>
  <c r="H1970" i="19" s="1"/>
  <c r="H1976" i="19" s="1"/>
  <c r="E1746" i="19"/>
  <c r="F1746" i="19" s="1"/>
  <c r="H1746" i="19" s="1"/>
  <c r="H1752" i="19" s="1"/>
  <c r="G1419" i="19"/>
  <c r="H1426" i="19"/>
  <c r="E1410" i="19" s="1"/>
  <c r="F1410" i="19" s="1"/>
  <c r="H1410" i="19" s="1"/>
  <c r="H26" i="51"/>
  <c r="E10" i="51" s="1"/>
  <c r="F10" i="51" s="1"/>
  <c r="H10" i="51" s="1"/>
  <c r="H16" i="51" s="1"/>
  <c r="G19" i="51"/>
  <c r="K74" i="9"/>
  <c r="K73" i="9"/>
  <c r="K75" i="9" s="1"/>
  <c r="H55" i="14" l="1"/>
  <c r="H56" i="14" s="1"/>
  <c r="O1" i="14" s="1"/>
  <c r="H111" i="26"/>
  <c r="H112" i="26" s="1"/>
  <c r="O57" i="26" s="1"/>
  <c r="H164" i="30"/>
  <c r="H166" i="30" s="1"/>
  <c r="H108" i="29"/>
  <c r="H110" i="29" s="1"/>
  <c r="H724" i="51"/>
  <c r="H184" i="17"/>
  <c r="H1864" i="34"/>
  <c r="H108" i="25"/>
  <c r="H109" i="25" s="1"/>
  <c r="H1808" i="34"/>
  <c r="H1844" i="34" s="1"/>
  <c r="H222" i="26"/>
  <c r="H223" i="26" s="1"/>
  <c r="H224" i="26" s="1"/>
  <c r="O169" i="26" s="1"/>
  <c r="H352" i="25"/>
  <c r="H1920" i="34"/>
  <c r="H128" i="21"/>
  <c r="H164" i="21" s="1"/>
  <c r="H52" i="51"/>
  <c r="H54" i="51" s="1"/>
  <c r="H52" i="32"/>
  <c r="H53" i="32" s="1"/>
  <c r="H55" i="12"/>
  <c r="H56" i="12" s="1"/>
  <c r="O1" i="12" s="1"/>
  <c r="H167" i="12"/>
  <c r="H168" i="12" s="1"/>
  <c r="O113" i="12" s="1"/>
  <c r="H445" i="14"/>
  <c r="H446" i="14"/>
  <c r="H53" i="26"/>
  <c r="H54" i="26"/>
  <c r="H221" i="14"/>
  <c r="H222" i="14"/>
  <c r="H445" i="16"/>
  <c r="H446" i="16"/>
  <c r="H165" i="14"/>
  <c r="H166" i="14"/>
  <c r="H838" i="51"/>
  <c r="H837" i="51"/>
  <c r="H389" i="30"/>
  <c r="H390" i="30"/>
  <c r="H53" i="25"/>
  <c r="H54" i="25"/>
  <c r="H165" i="29"/>
  <c r="H166" i="29"/>
  <c r="H1565" i="34"/>
  <c r="H1566" i="34"/>
  <c r="H54" i="13"/>
  <c r="H53" i="13"/>
  <c r="H501" i="30"/>
  <c r="H502" i="30"/>
  <c r="H893" i="34"/>
  <c r="H894" i="34"/>
  <c r="H277" i="30"/>
  <c r="H278" i="30"/>
  <c r="H277" i="34"/>
  <c r="H278" i="34"/>
  <c r="H781" i="34"/>
  <c r="H782" i="34"/>
  <c r="H2088" i="34"/>
  <c r="H109" i="12"/>
  <c r="H110" i="12"/>
  <c r="H1416" i="19"/>
  <c r="H1452" i="19" s="1"/>
  <c r="H613" i="30"/>
  <c r="H614" i="30"/>
  <c r="H670" i="29"/>
  <c r="H669" i="29"/>
  <c r="H53" i="29"/>
  <c r="H54" i="29"/>
  <c r="H353" i="55"/>
  <c r="H352" i="55"/>
  <c r="H354" i="55" s="1"/>
  <c r="H355" i="55" s="1"/>
  <c r="J174" i="9" s="1"/>
  <c r="E174" i="9" s="1"/>
  <c r="F174" i="9" s="1"/>
  <c r="H145" i="55"/>
  <c r="H144" i="55"/>
  <c r="H146" i="55" s="1"/>
  <c r="H147" i="55" s="1"/>
  <c r="H2070" i="19"/>
  <c r="H2069" i="19"/>
  <c r="K113" i="9" s="1"/>
  <c r="H222" i="16"/>
  <c r="H221" i="16"/>
  <c r="K29" i="9"/>
  <c r="E10" i="15"/>
  <c r="F10" i="15" s="1"/>
  <c r="H10" i="15" s="1"/>
  <c r="H16" i="15" s="1"/>
  <c r="H52" i="15" s="1"/>
  <c r="K38" i="9"/>
  <c r="K42" i="9"/>
  <c r="E402" i="51"/>
  <c r="F402" i="51" s="1"/>
  <c r="H402" i="51" s="1"/>
  <c r="H408" i="51" s="1"/>
  <c r="L250" i="16"/>
  <c r="E234" i="16"/>
  <c r="F234" i="16" s="1"/>
  <c r="H234" i="16" s="1"/>
  <c r="H240" i="16" s="1"/>
  <c r="H54" i="11"/>
  <c r="H53" i="11"/>
  <c r="H1005" i="34"/>
  <c r="H1006" i="34"/>
  <c r="H501" i="26"/>
  <c r="H502" i="26"/>
  <c r="H1230" i="34"/>
  <c r="H1229" i="34"/>
  <c r="H669" i="34"/>
  <c r="H670" i="34"/>
  <c r="H613" i="34"/>
  <c r="H614" i="34"/>
  <c r="K68" i="9"/>
  <c r="K67" i="9"/>
  <c r="E1298" i="19"/>
  <c r="F1298" i="19" s="1"/>
  <c r="H1298" i="19" s="1"/>
  <c r="H1304" i="19" s="1"/>
  <c r="K43" i="9"/>
  <c r="K39" i="9"/>
  <c r="L586" i="51"/>
  <c r="E570" i="51"/>
  <c r="F570" i="51" s="1"/>
  <c r="H570" i="51" s="1"/>
  <c r="H576" i="51" s="1"/>
  <c r="H333" i="25"/>
  <c r="H334" i="25"/>
  <c r="H670" i="19"/>
  <c r="H669" i="19"/>
  <c r="H1622" i="19"/>
  <c r="H1621" i="19"/>
  <c r="H2182" i="19"/>
  <c r="H2181" i="19"/>
  <c r="H1956" i="34"/>
  <c r="H220" i="19"/>
  <c r="H108" i="19"/>
  <c r="H444" i="19"/>
  <c r="H164" i="16"/>
  <c r="H277" i="28"/>
  <c r="H278" i="28"/>
  <c r="H165" i="25"/>
  <c r="H166" i="25"/>
  <c r="H408" i="25"/>
  <c r="H278" i="26"/>
  <c r="H277" i="26"/>
  <c r="H333" i="33"/>
  <c r="H334" i="33"/>
  <c r="H53" i="19"/>
  <c r="H54" i="19"/>
  <c r="K117" i="9"/>
  <c r="E66" i="18"/>
  <c r="F66" i="18" s="1"/>
  <c r="H66" i="18" s="1"/>
  <c r="H72" i="18" s="1"/>
  <c r="H108" i="18" s="1"/>
  <c r="H389" i="33"/>
  <c r="H390" i="33"/>
  <c r="H110" i="33"/>
  <c r="H109" i="33"/>
  <c r="J13" i="9"/>
  <c r="E13" i="9" s="1"/>
  <c r="F13" i="9" s="1"/>
  <c r="O57" i="11"/>
  <c r="H333" i="14"/>
  <c r="H334" i="14"/>
  <c r="K36" i="9"/>
  <c r="E290" i="51"/>
  <c r="F290" i="51" s="1"/>
  <c r="H290" i="51" s="1"/>
  <c r="H296" i="51" s="1"/>
  <c r="H332" i="51" s="1"/>
  <c r="H109" i="32"/>
  <c r="H110" i="32"/>
  <c r="H1677" i="19"/>
  <c r="H1678" i="19"/>
  <c r="H221" i="28"/>
  <c r="H222" i="28"/>
  <c r="H333" i="29"/>
  <c r="H334" i="29"/>
  <c r="H1957" i="19"/>
  <c r="H1958" i="19"/>
  <c r="H165" i="28"/>
  <c r="H166" i="28"/>
  <c r="H669" i="30"/>
  <c r="H670" i="30"/>
  <c r="H166" i="34"/>
  <c r="H165" i="34"/>
  <c r="H501" i="28"/>
  <c r="H502" i="28"/>
  <c r="H613" i="16"/>
  <c r="H614" i="16"/>
  <c r="H333" i="34"/>
  <c r="H334" i="34"/>
  <c r="H838" i="34"/>
  <c r="H837" i="34"/>
  <c r="H1397" i="34"/>
  <c r="H1398" i="34"/>
  <c r="H445" i="30"/>
  <c r="H446" i="30"/>
  <c r="H389" i="32"/>
  <c r="H390" i="32"/>
  <c r="H557" i="34"/>
  <c r="H558" i="34"/>
  <c r="K116" i="9"/>
  <c r="K85" i="9"/>
  <c r="E66" i="21"/>
  <c r="F66" i="21" s="1"/>
  <c r="H66" i="21" s="1"/>
  <c r="H72" i="21" s="1"/>
  <c r="H277" i="14"/>
  <c r="H278" i="14"/>
  <c r="H475" i="55"/>
  <c r="K91" i="9"/>
  <c r="K92" i="9"/>
  <c r="E458" i="21"/>
  <c r="F458" i="21" s="1"/>
  <c r="H458" i="21" s="1"/>
  <c r="H464" i="21" s="1"/>
  <c r="H558" i="51"/>
  <c r="H557" i="51"/>
  <c r="H782" i="16"/>
  <c r="H781" i="16"/>
  <c r="H1061" i="19"/>
  <c r="H1062" i="19"/>
  <c r="K62" i="9"/>
  <c r="K63" i="9"/>
  <c r="E906" i="19"/>
  <c r="F906" i="19" s="1"/>
  <c r="H906" i="19" s="1"/>
  <c r="H912" i="19" s="1"/>
  <c r="H1453" i="34"/>
  <c r="H1454" i="34"/>
  <c r="H2124" i="19"/>
  <c r="A23" i="7"/>
  <c r="E22" i="53" s="1"/>
  <c r="F22" i="53" s="1"/>
  <c r="H22" i="53" s="1"/>
  <c r="B76" i="17"/>
  <c r="B20" i="22"/>
  <c r="E132" i="23"/>
  <c r="F132" i="23" s="1"/>
  <c r="H132" i="23" s="1"/>
  <c r="H138" i="23" s="1"/>
  <c r="E122" i="23" s="1"/>
  <c r="F122" i="23" s="1"/>
  <c r="H122" i="23" s="1"/>
  <c r="H128" i="23" s="1"/>
  <c r="H164" i="23" s="1"/>
  <c r="B244" i="17"/>
  <c r="E580" i="25"/>
  <c r="F580" i="25" s="1"/>
  <c r="H580" i="25" s="1"/>
  <c r="H586" i="25" s="1"/>
  <c r="E570" i="25" s="1"/>
  <c r="F570" i="25" s="1"/>
  <c r="H570" i="25" s="1"/>
  <c r="H576" i="25" s="1"/>
  <c r="E132" i="53"/>
  <c r="F132" i="53" s="1"/>
  <c r="H132" i="53" s="1"/>
  <c r="B132" i="23"/>
  <c r="B20" i="35"/>
  <c r="B748" i="25"/>
  <c r="E244" i="17"/>
  <c r="F244" i="17" s="1"/>
  <c r="H244" i="17" s="1"/>
  <c r="H250" i="17" s="1"/>
  <c r="B76" i="23"/>
  <c r="E132" i="17"/>
  <c r="F132" i="17" s="1"/>
  <c r="H132" i="17" s="1"/>
  <c r="H138" i="17" s="1"/>
  <c r="E20" i="23"/>
  <c r="F20" i="23" s="1"/>
  <c r="H20" i="23" s="1"/>
  <c r="H26" i="23" s="1"/>
  <c r="E10" i="23" s="1"/>
  <c r="F10" i="23" s="1"/>
  <c r="H10" i="23" s="1"/>
  <c r="H16" i="23" s="1"/>
  <c r="B300" i="23"/>
  <c r="B132" i="22"/>
  <c r="B356" i="23"/>
  <c r="B692" i="21"/>
  <c r="E356" i="23"/>
  <c r="F356" i="23" s="1"/>
  <c r="H356" i="23" s="1"/>
  <c r="H362" i="23" s="1"/>
  <c r="E346" i="23" s="1"/>
  <c r="F346" i="23" s="1"/>
  <c r="H346" i="23" s="1"/>
  <c r="H352" i="23" s="1"/>
  <c r="E20" i="35"/>
  <c r="F20" i="35" s="1"/>
  <c r="H20" i="35" s="1"/>
  <c r="H26" i="35" s="1"/>
  <c r="E76" i="23"/>
  <c r="F76" i="23" s="1"/>
  <c r="H76" i="23" s="1"/>
  <c r="H82" i="23" s="1"/>
  <c r="E66" i="23" s="1"/>
  <c r="F66" i="23" s="1"/>
  <c r="H66" i="23" s="1"/>
  <c r="H72" i="23" s="1"/>
  <c r="E468" i="23"/>
  <c r="F468" i="23" s="1"/>
  <c r="H468" i="23" s="1"/>
  <c r="H474" i="23" s="1"/>
  <c r="E458" i="23" s="1"/>
  <c r="F458" i="23" s="1"/>
  <c r="H458" i="23" s="1"/>
  <c r="H464" i="23" s="1"/>
  <c r="H500" i="23" s="1"/>
  <c r="E20" i="50"/>
  <c r="F20" i="50" s="1"/>
  <c r="H20" i="50" s="1"/>
  <c r="H26" i="50" s="1"/>
  <c r="E132" i="35"/>
  <c r="F132" i="35" s="1"/>
  <c r="H132" i="35" s="1"/>
  <c r="H138" i="35" s="1"/>
  <c r="B132" i="17"/>
  <c r="B412" i="23"/>
  <c r="B20" i="53"/>
  <c r="E132" i="22"/>
  <c r="F132" i="22" s="1"/>
  <c r="H132" i="22" s="1"/>
  <c r="H138" i="22" s="1"/>
  <c r="E122" i="22" s="1"/>
  <c r="F122" i="22" s="1"/>
  <c r="H122" i="22" s="1"/>
  <c r="H128" i="22" s="1"/>
  <c r="B76" i="35"/>
  <c r="E244" i="53"/>
  <c r="F244" i="53" s="1"/>
  <c r="H244" i="53" s="1"/>
  <c r="B76" i="22"/>
  <c r="E692" i="21"/>
  <c r="F692" i="21" s="1"/>
  <c r="H692" i="21" s="1"/>
  <c r="H698" i="21" s="1"/>
  <c r="B244" i="23"/>
  <c r="B188" i="23"/>
  <c r="B580" i="25"/>
  <c r="B132" i="53"/>
  <c r="B188" i="35"/>
  <c r="E188" i="23"/>
  <c r="F188" i="23" s="1"/>
  <c r="H188" i="23" s="1"/>
  <c r="H194" i="23" s="1"/>
  <c r="E178" i="23" s="1"/>
  <c r="F178" i="23" s="1"/>
  <c r="H178" i="23" s="1"/>
  <c r="H184" i="23" s="1"/>
  <c r="E76" i="17"/>
  <c r="F76" i="17" s="1"/>
  <c r="H76" i="17" s="1"/>
  <c r="H82" i="17" s="1"/>
  <c r="E66" i="17" s="1"/>
  <c r="F66" i="17" s="1"/>
  <c r="H66" i="17" s="1"/>
  <c r="H72" i="17" s="1"/>
  <c r="B188" i="22"/>
  <c r="E188" i="35"/>
  <c r="F188" i="35" s="1"/>
  <c r="H188" i="35" s="1"/>
  <c r="H194" i="35" s="1"/>
  <c r="E20" i="22"/>
  <c r="F20" i="22" s="1"/>
  <c r="H20" i="22" s="1"/>
  <c r="H26" i="22" s="1"/>
  <c r="E10" i="22" s="1"/>
  <c r="F10" i="22" s="1"/>
  <c r="H10" i="22" s="1"/>
  <c r="H16" i="22" s="1"/>
  <c r="E748" i="25"/>
  <c r="F748" i="25" s="1"/>
  <c r="H748" i="25" s="1"/>
  <c r="H754" i="25" s="1"/>
  <c r="E738" i="25" s="1"/>
  <c r="F738" i="25" s="1"/>
  <c r="H738" i="25" s="1"/>
  <c r="H744" i="25" s="1"/>
  <c r="E76" i="35"/>
  <c r="F76" i="35" s="1"/>
  <c r="H76" i="35" s="1"/>
  <c r="H82" i="35" s="1"/>
  <c r="E188" i="22"/>
  <c r="F188" i="22" s="1"/>
  <c r="H188" i="22" s="1"/>
  <c r="H194" i="22" s="1"/>
  <c r="E178" i="22" s="1"/>
  <c r="F178" i="22" s="1"/>
  <c r="H178" i="22" s="1"/>
  <c r="H184" i="22" s="1"/>
  <c r="B580" i="21"/>
  <c r="B525" i="23"/>
  <c r="E20" i="34"/>
  <c r="F20" i="34" s="1"/>
  <c r="H20" i="34" s="1"/>
  <c r="H26" i="34" s="1"/>
  <c r="E10" i="34" s="1"/>
  <c r="F10" i="34" s="1"/>
  <c r="H10" i="34" s="1"/>
  <c r="H16" i="34" s="1"/>
  <c r="E76" i="34"/>
  <c r="F76" i="34" s="1"/>
  <c r="H76" i="34" s="1"/>
  <c r="H82" i="34" s="1"/>
  <c r="E66" i="34" s="1"/>
  <c r="F66" i="34" s="1"/>
  <c r="H66" i="34" s="1"/>
  <c r="H72" i="34" s="1"/>
  <c r="E525" i="23"/>
  <c r="F525" i="23" s="1"/>
  <c r="H525" i="23" s="1"/>
  <c r="H523" i="23" s="1"/>
  <c r="E76" i="22"/>
  <c r="F76" i="22" s="1"/>
  <c r="H76" i="22" s="1"/>
  <c r="H82" i="22" s="1"/>
  <c r="E66" i="22" s="1"/>
  <c r="F66" i="22" s="1"/>
  <c r="H66" i="22" s="1"/>
  <c r="H72" i="22" s="1"/>
  <c r="H108" i="22" s="1"/>
  <c r="E20" i="53"/>
  <c r="F20" i="53" s="1"/>
  <c r="H20" i="53" s="1"/>
  <c r="E244" i="23"/>
  <c r="F244" i="23" s="1"/>
  <c r="H244" i="23" s="1"/>
  <c r="H250" i="23" s="1"/>
  <c r="E234" i="23" s="1"/>
  <c r="F234" i="23" s="1"/>
  <c r="H234" i="23" s="1"/>
  <c r="H240" i="23" s="1"/>
  <c r="B636" i="25"/>
  <c r="E636" i="25"/>
  <c r="F636" i="25" s="1"/>
  <c r="H636" i="25" s="1"/>
  <c r="H642" i="25" s="1"/>
  <c r="E626" i="25" s="1"/>
  <c r="F626" i="25" s="1"/>
  <c r="H626" i="25" s="1"/>
  <c r="H632" i="25" s="1"/>
  <c r="B244" i="53"/>
  <c r="E412" i="23"/>
  <c r="F412" i="23" s="1"/>
  <c r="H412" i="23" s="1"/>
  <c r="H418" i="23" s="1"/>
  <c r="E402" i="23" s="1"/>
  <c r="F402" i="23" s="1"/>
  <c r="H402" i="23" s="1"/>
  <c r="H408" i="23" s="1"/>
  <c r="B76" i="34"/>
  <c r="B468" i="23"/>
  <c r="E76" i="53"/>
  <c r="F76" i="53" s="1"/>
  <c r="H76" i="53" s="1"/>
  <c r="B20" i="23"/>
  <c r="B20" i="34"/>
  <c r="E580" i="21"/>
  <c r="F580" i="21" s="1"/>
  <c r="H580" i="21" s="1"/>
  <c r="H586" i="21" s="1"/>
  <c r="B188" i="53"/>
  <c r="B132" i="35"/>
  <c r="E300" i="23"/>
  <c r="F300" i="23" s="1"/>
  <c r="H300" i="23" s="1"/>
  <c r="H306" i="23" s="1"/>
  <c r="E290" i="23" s="1"/>
  <c r="F290" i="23" s="1"/>
  <c r="H290" i="23" s="1"/>
  <c r="H296" i="23" s="1"/>
  <c r="B20" i="50"/>
  <c r="E188" i="53"/>
  <c r="F188" i="53" s="1"/>
  <c r="H188" i="53" s="1"/>
  <c r="B76" i="53"/>
  <c r="K40" i="9"/>
  <c r="E738" i="51"/>
  <c r="F738" i="51" s="1"/>
  <c r="H738" i="51" s="1"/>
  <c r="H744" i="51" s="1"/>
  <c r="H780" i="51" s="1"/>
  <c r="H613" i="19"/>
  <c r="H614" i="19"/>
  <c r="H2124" i="34"/>
  <c r="H108" i="21"/>
  <c r="H1733" i="19"/>
  <c r="H1734" i="19"/>
  <c r="H165" i="33"/>
  <c r="H166" i="33"/>
  <c r="H220" i="30"/>
  <c r="H948" i="19"/>
  <c r="E12" i="17"/>
  <c r="F12" i="17" s="1"/>
  <c r="H12" i="17" s="1"/>
  <c r="H388" i="29"/>
  <c r="E460" i="25"/>
  <c r="F460" i="25" s="1"/>
  <c r="H460" i="25" s="1"/>
  <c r="H464" i="25" s="1"/>
  <c r="H500" i="25" s="1"/>
  <c r="H1902" i="19"/>
  <c r="H1901" i="19"/>
  <c r="H1341" i="34"/>
  <c r="H1342" i="34"/>
  <c r="H276" i="16"/>
  <c r="H389" i="16"/>
  <c r="H390" i="16"/>
  <c r="H52" i="30"/>
  <c r="H220" i="29"/>
  <c r="K33" i="9"/>
  <c r="E66" i="51"/>
  <c r="F66" i="51" s="1"/>
  <c r="H66" i="51" s="1"/>
  <c r="H72" i="51" s="1"/>
  <c r="H108" i="51" s="1"/>
  <c r="H800" i="19"/>
  <c r="H166" i="13"/>
  <c r="H165" i="13"/>
  <c r="H333" i="28"/>
  <c r="H334" i="28"/>
  <c r="H446" i="28"/>
  <c r="H445" i="28"/>
  <c r="H278" i="29"/>
  <c r="H277" i="29"/>
  <c r="H1061" i="34"/>
  <c r="H1062" i="34"/>
  <c r="H389" i="14"/>
  <c r="H390" i="14"/>
  <c r="H52" i="18"/>
  <c r="H1284" i="19"/>
  <c r="H1005" i="19"/>
  <c r="H1006" i="19"/>
  <c r="H445" i="34"/>
  <c r="H446" i="34"/>
  <c r="H836" i="19"/>
  <c r="H894" i="51"/>
  <c r="H893" i="51"/>
  <c r="H538" i="55"/>
  <c r="H537" i="55"/>
  <c r="H539" i="55" s="1"/>
  <c r="H540" i="55" s="1"/>
  <c r="J177" i="9" s="1"/>
  <c r="E177" i="9" s="1"/>
  <c r="F177" i="9" s="1"/>
  <c r="H278" i="32"/>
  <c r="H277" i="32"/>
  <c r="H557" i="26"/>
  <c r="H558" i="26"/>
  <c r="H186" i="55"/>
  <c r="H188" i="55" s="1"/>
  <c r="H189" i="55" s="1"/>
  <c r="H187" i="55"/>
  <c r="H1340" i="19"/>
  <c r="H110" i="30"/>
  <c r="H109" i="30"/>
  <c r="H53" i="33"/>
  <c r="H54" i="33"/>
  <c r="H1118" i="19"/>
  <c r="H1117" i="19"/>
  <c r="H1285" i="34"/>
  <c r="H1286" i="34"/>
  <c r="H221" i="34"/>
  <c r="H222" i="34"/>
  <c r="H688" i="25"/>
  <c r="H724" i="25" s="1"/>
  <c r="K57" i="9"/>
  <c r="E234" i="19"/>
  <c r="F234" i="19" s="1"/>
  <c r="H234" i="19" s="1"/>
  <c r="H240" i="19" s="1"/>
  <c r="E234" i="21"/>
  <c r="F234" i="21" s="1"/>
  <c r="H234" i="21" s="1"/>
  <c r="H240" i="21" s="1"/>
  <c r="H276" i="21" s="1"/>
  <c r="H279" i="21" s="1"/>
  <c r="H280" i="21" s="1"/>
  <c r="O225" i="21" s="1"/>
  <c r="H53" i="51"/>
  <c r="H53" i="28"/>
  <c r="H54" i="28"/>
  <c r="H1117" i="34"/>
  <c r="H1118" i="34"/>
  <c r="H276" i="23"/>
  <c r="H725" i="16"/>
  <c r="H726" i="16"/>
  <c r="K41" i="9"/>
  <c r="E458" i="51"/>
  <c r="F458" i="51" s="1"/>
  <c r="H458" i="51" s="1"/>
  <c r="H464" i="51" s="1"/>
  <c r="H500" i="51" s="1"/>
  <c r="H1228" i="19"/>
  <c r="H165" i="51"/>
  <c r="H166" i="51"/>
  <c r="H1788" i="19"/>
  <c r="H949" i="34"/>
  <c r="H950" i="34"/>
  <c r="H725" i="51"/>
  <c r="H726" i="51"/>
  <c r="H445" i="26"/>
  <c r="H446" i="26"/>
  <c r="B404" i="25"/>
  <c r="H1733" i="34"/>
  <c r="H1734" i="34"/>
  <c r="H288" i="55"/>
  <c r="H289" i="55"/>
  <c r="H1192" i="19"/>
  <c r="K69" i="9"/>
  <c r="E1522" i="19"/>
  <c r="F1522" i="19" s="1"/>
  <c r="H1522" i="19" s="1"/>
  <c r="H1528" i="19" s="1"/>
  <c r="H1564" i="19" s="1"/>
  <c r="H277" i="33"/>
  <c r="H278" i="33"/>
  <c r="H414" i="55"/>
  <c r="H415" i="55"/>
  <c r="H893" i="19"/>
  <c r="H894" i="19"/>
  <c r="H108" i="34"/>
  <c r="H558" i="25"/>
  <c r="H557" i="25"/>
  <c r="H669" i="16"/>
  <c r="H670" i="16"/>
  <c r="H671" i="16" s="1"/>
  <c r="H672" i="16" s="1"/>
  <c r="O617" i="16" s="1"/>
  <c r="H51" i="54"/>
  <c r="H52" i="54"/>
  <c r="J14" i="9"/>
  <c r="E14" i="9" s="1"/>
  <c r="F14" i="9" s="1"/>
  <c r="O113" i="11"/>
  <c r="H220" i="17"/>
  <c r="H388" i="26"/>
  <c r="H333" i="30"/>
  <c r="H334" i="30"/>
  <c r="H2069" i="34"/>
  <c r="H2070" i="34"/>
  <c r="K30" i="9"/>
  <c r="E66" i="15"/>
  <c r="F66" i="15" s="1"/>
  <c r="H66" i="15" s="1"/>
  <c r="H72" i="15" s="1"/>
  <c r="H108" i="15" s="1"/>
  <c r="H1005" i="51"/>
  <c r="H1006" i="51"/>
  <c r="H333" i="19"/>
  <c r="H334" i="19"/>
  <c r="H444" i="25"/>
  <c r="H724" i="19"/>
  <c r="H166" i="26"/>
  <c r="H165" i="26"/>
  <c r="H1509" i="19"/>
  <c r="H1510" i="19"/>
  <c r="H1900" i="34"/>
  <c r="H556" i="19"/>
  <c r="H390" i="51"/>
  <c r="H389" i="51"/>
  <c r="H501" i="34"/>
  <c r="H502" i="34"/>
  <c r="H390" i="34"/>
  <c r="H389" i="34"/>
  <c r="H781" i="19"/>
  <c r="H782" i="19"/>
  <c r="H500" i="16"/>
  <c r="H725" i="30"/>
  <c r="H726" i="30"/>
  <c r="K44" i="9"/>
  <c r="E906" i="51"/>
  <c r="F906" i="51" s="1"/>
  <c r="H906" i="51" s="1"/>
  <c r="H912" i="51" s="1"/>
  <c r="H948" i="51" s="1"/>
  <c r="H72" i="14"/>
  <c r="H108" i="14" s="1"/>
  <c r="K89" i="9"/>
  <c r="E346" i="21"/>
  <c r="F346" i="21" s="1"/>
  <c r="H346" i="21" s="1"/>
  <c r="H352" i="21" s="1"/>
  <c r="H388" i="21" s="1"/>
  <c r="H391" i="21" s="1"/>
  <c r="H392" i="21" s="1"/>
  <c r="H54" i="16"/>
  <c r="H53" i="16"/>
  <c r="H110" i="25"/>
  <c r="H109" i="28"/>
  <c r="H110" i="28"/>
  <c r="H1846" i="19"/>
  <c r="H1845" i="19"/>
  <c r="H1172" i="19"/>
  <c r="H1509" i="34"/>
  <c r="H1510" i="34"/>
  <c r="H2013" i="34"/>
  <c r="H2014" i="34"/>
  <c r="E514" i="21"/>
  <c r="F514" i="21" s="1"/>
  <c r="H514" i="21" s="1"/>
  <c r="H520" i="21" s="1"/>
  <c r="H556" i="21" s="1"/>
  <c r="H559" i="21" s="1"/>
  <c r="H560" i="21" s="1"/>
  <c r="O505" i="21" s="1"/>
  <c r="H165" i="32"/>
  <c r="H166" i="32"/>
  <c r="H333" i="32"/>
  <c r="H334" i="32"/>
  <c r="H612" i="25"/>
  <c r="H557" i="32"/>
  <c r="H558" i="32"/>
  <c r="H1173" i="34"/>
  <c r="H1174" i="34"/>
  <c r="H108" i="23"/>
  <c r="K56" i="9"/>
  <c r="E122" i="19"/>
  <c r="F122" i="19" s="1"/>
  <c r="H122" i="19" s="1"/>
  <c r="H128" i="19" s="1"/>
  <c r="H164" i="19" s="1"/>
  <c r="H557" i="30"/>
  <c r="H558" i="30"/>
  <c r="H725" i="34"/>
  <c r="H726" i="34"/>
  <c r="H444" i="51"/>
  <c r="H332" i="26"/>
  <c r="H668" i="51"/>
  <c r="H332" i="23"/>
  <c r="H1398" i="19"/>
  <c r="H1397" i="19"/>
  <c r="H108" i="16"/>
  <c r="H446" i="32"/>
  <c r="H445" i="32"/>
  <c r="H1621" i="34"/>
  <c r="H1622" i="34"/>
  <c r="H556" i="28"/>
  <c r="K37" i="9"/>
  <c r="K35" i="9"/>
  <c r="E234" i="51"/>
  <c r="F234" i="51" s="1"/>
  <c r="H234" i="51" s="1"/>
  <c r="H240" i="51" s="1"/>
  <c r="H276" i="51" s="1"/>
  <c r="K87" i="9"/>
  <c r="K88" i="9"/>
  <c r="E290" i="21"/>
  <c r="F290" i="21" s="1"/>
  <c r="H290" i="21" s="1"/>
  <c r="H296" i="21" s="1"/>
  <c r="H332" i="21" s="1"/>
  <c r="H335" i="21" s="1"/>
  <c r="H336" i="21" s="1"/>
  <c r="H276" i="19"/>
  <c r="H557" i="29"/>
  <c r="H558" i="29"/>
  <c r="H612" i="51"/>
  <c r="H1677" i="34"/>
  <c r="H1678" i="34"/>
  <c r="H109" i="13"/>
  <c r="H110" i="13"/>
  <c r="L306" i="16"/>
  <c r="E290" i="16"/>
  <c r="F290" i="16" s="1"/>
  <c r="H290" i="16" s="1"/>
  <c r="H296" i="16" s="1"/>
  <c r="H277" i="25"/>
  <c r="H278" i="25"/>
  <c r="H221" i="32"/>
  <c r="H222" i="32"/>
  <c r="K47" i="9"/>
  <c r="E10" i="17"/>
  <c r="F10" i="17" s="1"/>
  <c r="H10" i="17" s="1"/>
  <c r="H16" i="17" s="1"/>
  <c r="H52" i="17" s="1"/>
  <c r="H500" i="21"/>
  <c r="H503" i="21" s="1"/>
  <c r="H504" i="21" s="1"/>
  <c r="H613" i="29"/>
  <c r="H614" i="29"/>
  <c r="H1062" i="51"/>
  <c r="H1061" i="51"/>
  <c r="K90" i="9"/>
  <c r="E402" i="21"/>
  <c r="F402" i="21" s="1"/>
  <c r="H402" i="21" s="1"/>
  <c r="H408" i="21" s="1"/>
  <c r="H444" i="21" s="1"/>
  <c r="H389" i="19"/>
  <c r="H390" i="19"/>
  <c r="H226" i="55"/>
  <c r="H227" i="55"/>
  <c r="H388" i="25"/>
  <c r="H557" i="16"/>
  <c r="H558" i="16"/>
  <c r="H502" i="29"/>
  <c r="H501" i="29"/>
  <c r="H389" i="28"/>
  <c r="H390" i="28"/>
  <c r="H501" i="19"/>
  <c r="H502" i="19"/>
  <c r="H220" i="22"/>
  <c r="H90" i="55"/>
  <c r="H92" i="55" s="1"/>
  <c r="H93" i="55" s="1"/>
  <c r="H91" i="55"/>
  <c r="H332" i="16"/>
  <c r="H105" i="54"/>
  <c r="H106" i="54"/>
  <c r="H107" i="54"/>
  <c r="H108" i="54" s="1"/>
  <c r="H445" i="29"/>
  <c r="H446" i="29"/>
  <c r="H2012" i="19"/>
  <c r="H501" i="32"/>
  <c r="H502" i="32"/>
  <c r="H221" i="33"/>
  <c r="H222" i="33"/>
  <c r="H1789" i="34"/>
  <c r="H1790" i="34"/>
  <c r="K83" i="9"/>
  <c r="K84" i="9"/>
  <c r="E10" i="21"/>
  <c r="F10" i="21" s="1"/>
  <c r="H10" i="21" s="1"/>
  <c r="H16" i="21" s="1"/>
  <c r="H52" i="21" s="1"/>
  <c r="K121" i="9"/>
  <c r="E178" i="25"/>
  <c r="F178" i="25" s="1"/>
  <c r="H178" i="25" s="1"/>
  <c r="H184" i="25" s="1"/>
  <c r="H220" i="25" s="1"/>
  <c r="K34" i="9"/>
  <c r="E178" i="51"/>
  <c r="F178" i="51" s="1"/>
  <c r="H178" i="51" s="1"/>
  <c r="H184" i="51" s="1"/>
  <c r="H220" i="51" s="1"/>
  <c r="H1847" i="19" l="1"/>
  <c r="H1848" i="19" s="1"/>
  <c r="O1793" i="19" s="1"/>
  <c r="H559" i="16"/>
  <c r="H560" i="16" s="1"/>
  <c r="O505" i="16" s="1"/>
  <c r="H1399" i="19"/>
  <c r="H1400" i="19" s="1"/>
  <c r="O1345" i="19" s="1"/>
  <c r="H111" i="13"/>
  <c r="H112" i="13" s="1"/>
  <c r="O57" i="13" s="1"/>
  <c r="H727" i="51"/>
  <c r="H728" i="51" s="1"/>
  <c r="O673" i="51" s="1"/>
  <c r="H615" i="29"/>
  <c r="H616" i="29" s="1"/>
  <c r="O561" i="29" s="1"/>
  <c r="H1903" i="19"/>
  <c r="H1904" i="19" s="1"/>
  <c r="O1849" i="19" s="1"/>
  <c r="H2183" i="19"/>
  <c r="H2184" i="19" s="1"/>
  <c r="H503" i="30"/>
  <c r="H504" i="30" s="1"/>
  <c r="O449" i="30" s="1"/>
  <c r="H1679" i="34"/>
  <c r="H1680" i="34" s="1"/>
  <c r="O1625" i="34" s="1"/>
  <c r="H167" i="29"/>
  <c r="H168" i="29" s="1"/>
  <c r="O113" i="29" s="1"/>
  <c r="H223" i="14"/>
  <c r="H224" i="14" s="1"/>
  <c r="O169" i="14" s="1"/>
  <c r="H54" i="32"/>
  <c r="H55" i="32" s="1"/>
  <c r="H56" i="32" s="1"/>
  <c r="O1" i="32" s="1"/>
  <c r="H391" i="51"/>
  <c r="H392" i="51" s="1"/>
  <c r="O337" i="51" s="1"/>
  <c r="H1007" i="51"/>
  <c r="H1008" i="51" s="1"/>
  <c r="O953" i="51" s="1"/>
  <c r="H559" i="29"/>
  <c r="H560" i="29" s="1"/>
  <c r="J140" i="9" s="1"/>
  <c r="E140" i="9" s="1"/>
  <c r="F140" i="9" s="1"/>
  <c r="H447" i="26"/>
  <c r="H448" i="26" s="1"/>
  <c r="O393" i="26" s="1"/>
  <c r="H951" i="34"/>
  <c r="H952" i="34" s="1"/>
  <c r="O897" i="34" s="1"/>
  <c r="H391" i="33"/>
  <c r="H392" i="33" s="1"/>
  <c r="O337" i="33" s="1"/>
  <c r="H167" i="51"/>
  <c r="H168" i="51" s="1"/>
  <c r="O113" i="51" s="1"/>
  <c r="H55" i="51"/>
  <c r="H56" i="51" s="1"/>
  <c r="H55" i="33"/>
  <c r="H56" i="33" s="1"/>
  <c r="O1" i="33" s="1"/>
  <c r="H279" i="29"/>
  <c r="H280" i="29" s="1"/>
  <c r="O225" i="29" s="1"/>
  <c r="H503" i="34"/>
  <c r="H504" i="34" s="1"/>
  <c r="O449" i="34" s="1"/>
  <c r="H1063" i="19"/>
  <c r="H1064" i="19" s="1"/>
  <c r="O1009" i="19" s="1"/>
  <c r="H167" i="28"/>
  <c r="H168" i="28" s="1"/>
  <c r="O113" i="28" s="1"/>
  <c r="H55" i="19"/>
  <c r="H56" i="19" s="1"/>
  <c r="O1" i="19" s="1"/>
  <c r="H503" i="26"/>
  <c r="H504" i="26" s="1"/>
  <c r="O449" i="26" s="1"/>
  <c r="H447" i="29"/>
  <c r="H448" i="29" s="1"/>
  <c r="O393" i="29" s="1"/>
  <c r="H727" i="16"/>
  <c r="H728" i="16" s="1"/>
  <c r="O673" i="16" s="1"/>
  <c r="H783" i="16"/>
  <c r="H784" i="16" s="1"/>
  <c r="O729" i="16" s="1"/>
  <c r="H279" i="26"/>
  <c r="H280" i="26" s="1"/>
  <c r="O225" i="26" s="1"/>
  <c r="H111" i="12"/>
  <c r="H112" i="12" s="1"/>
  <c r="O57" i="12" s="1"/>
  <c r="H1511" i="19"/>
  <c r="H1512" i="19" s="1"/>
  <c r="J70" i="9" s="1"/>
  <c r="E70" i="9" s="1"/>
  <c r="F70" i="9" s="1"/>
  <c r="H167" i="34"/>
  <c r="H168" i="34" s="1"/>
  <c r="O113" i="34" s="1"/>
  <c r="H1679" i="19"/>
  <c r="H1680" i="19" s="1"/>
  <c r="O1625" i="19" s="1"/>
  <c r="H727" i="34"/>
  <c r="H728" i="34" s="1"/>
  <c r="O673" i="34" s="1"/>
  <c r="H727" i="30"/>
  <c r="H728" i="30" s="1"/>
  <c r="O673" i="30" s="1"/>
  <c r="H1119" i="34"/>
  <c r="H1120" i="34" s="1"/>
  <c r="O1065" i="34" s="1"/>
  <c r="H1623" i="34"/>
  <c r="H1624" i="34" s="1"/>
  <c r="O1569" i="34" s="1"/>
  <c r="H165" i="30"/>
  <c r="H167" i="30" s="1"/>
  <c r="H168" i="30" s="1"/>
  <c r="O113" i="30" s="1"/>
  <c r="H1567" i="34"/>
  <c r="H1568" i="34" s="1"/>
  <c r="O1513" i="34" s="1"/>
  <c r="H109" i="29"/>
  <c r="H111" i="29" s="1"/>
  <c r="H112" i="29" s="1"/>
  <c r="O57" i="29" s="1"/>
  <c r="H391" i="28"/>
  <c r="H392" i="28" s="1"/>
  <c r="O337" i="28" s="1"/>
  <c r="H1063" i="51"/>
  <c r="H1064" i="51" s="1"/>
  <c r="K1064" i="51" s="1"/>
  <c r="H391" i="32"/>
  <c r="H392" i="32" s="1"/>
  <c r="J155" i="9" s="1"/>
  <c r="E155" i="9" s="1"/>
  <c r="F155" i="9" s="1"/>
  <c r="H503" i="28"/>
  <c r="H504" i="28" s="1"/>
  <c r="O449" i="28" s="1"/>
  <c r="H111" i="33"/>
  <c r="H112" i="33" s="1"/>
  <c r="O57" i="33" s="1"/>
  <c r="H1007" i="34"/>
  <c r="H1008" i="34" s="1"/>
  <c r="O953" i="34" s="1"/>
  <c r="H447" i="14"/>
  <c r="H448" i="14" s="1"/>
  <c r="O393" i="14" s="1"/>
  <c r="H559" i="32"/>
  <c r="H560" i="32" s="1"/>
  <c r="O505" i="32" s="1"/>
  <c r="H55" i="11"/>
  <c r="H56" i="11" s="1"/>
  <c r="J12" i="9" s="1"/>
  <c r="H391" i="16"/>
  <c r="H392" i="16" s="1"/>
  <c r="O337" i="16" s="1"/>
  <c r="H279" i="14"/>
  <c r="H280" i="14" s="1"/>
  <c r="H671" i="30"/>
  <c r="H672" i="30" s="1"/>
  <c r="O617" i="30" s="1"/>
  <c r="H111" i="32"/>
  <c r="H112" i="32" s="1"/>
  <c r="O57" i="32" s="1"/>
  <c r="H279" i="28"/>
  <c r="H280" i="28" s="1"/>
  <c r="O225" i="28" s="1"/>
  <c r="H503" i="32"/>
  <c r="H504" i="32" s="1"/>
  <c r="O449" i="32" s="1"/>
  <c r="H111" i="25"/>
  <c r="H112" i="25" s="1"/>
  <c r="O57" i="25" s="1"/>
  <c r="H559" i="26"/>
  <c r="H560" i="26" s="1"/>
  <c r="O505" i="26" s="1"/>
  <c r="H55" i="16"/>
  <c r="H56" i="16" s="1"/>
  <c r="H2071" i="34"/>
  <c r="H2072" i="34" s="1"/>
  <c r="O2017" i="34" s="1"/>
  <c r="H290" i="55"/>
  <c r="H291" i="55" s="1"/>
  <c r="J173" i="9" s="1"/>
  <c r="E173" i="9" s="1"/>
  <c r="F173" i="9" s="1"/>
  <c r="H55" i="28"/>
  <c r="H56" i="28" s="1"/>
  <c r="H1119" i="19"/>
  <c r="H1120" i="19" s="1"/>
  <c r="O1065" i="19" s="1"/>
  <c r="H279" i="32"/>
  <c r="H280" i="32" s="1"/>
  <c r="J151" i="9" s="1"/>
  <c r="E151" i="9" s="1"/>
  <c r="F151" i="9" s="1"/>
  <c r="H223" i="16"/>
  <c r="H224" i="16" s="1"/>
  <c r="O169" i="16" s="1"/>
  <c r="H447" i="16"/>
  <c r="H448" i="16" s="1"/>
  <c r="O393" i="16" s="1"/>
  <c r="H335" i="28"/>
  <c r="H336" i="28" s="1"/>
  <c r="O281" i="28" s="1"/>
  <c r="H1735" i="19"/>
  <c r="H1736" i="19" s="1"/>
  <c r="O1681" i="19" s="1"/>
  <c r="H671" i="29"/>
  <c r="H672" i="29" s="1"/>
  <c r="O617" i="29" s="1"/>
  <c r="H1175" i="34"/>
  <c r="H1176" i="34" s="1"/>
  <c r="O1121" i="34" s="1"/>
  <c r="H1511" i="34"/>
  <c r="H1512" i="34" s="1"/>
  <c r="O1457" i="34" s="1"/>
  <c r="H167" i="26"/>
  <c r="H168" i="26" s="1"/>
  <c r="O113" i="26" s="1"/>
  <c r="H895" i="19"/>
  <c r="H896" i="19" s="1"/>
  <c r="O841" i="19" s="1"/>
  <c r="H416" i="55"/>
  <c r="H417" i="55" s="1"/>
  <c r="J175" i="9" s="1"/>
  <c r="E175" i="9" s="1"/>
  <c r="F175" i="9" s="1"/>
  <c r="H111" i="30"/>
  <c r="H112" i="30" s="1"/>
  <c r="O57" i="30" s="1"/>
  <c r="H895" i="51"/>
  <c r="H896" i="51" s="1"/>
  <c r="H615" i="30"/>
  <c r="H616" i="30" s="1"/>
  <c r="O561" i="30" s="1"/>
  <c r="H55" i="26"/>
  <c r="H56" i="26" s="1"/>
  <c r="O1" i="26" s="1"/>
  <c r="H615" i="19"/>
  <c r="H616" i="19" s="1"/>
  <c r="O561" i="19" s="1"/>
  <c r="H335" i="34"/>
  <c r="H336" i="34" s="1"/>
  <c r="O281" i="34" s="1"/>
  <c r="H1959" i="19"/>
  <c r="H1960" i="19" s="1"/>
  <c r="J119" i="9" s="1"/>
  <c r="E119" i="9" s="1"/>
  <c r="F119" i="9" s="1"/>
  <c r="H391" i="30"/>
  <c r="H392" i="30" s="1"/>
  <c r="O337" i="30" s="1"/>
  <c r="H228" i="55"/>
  <c r="H229" i="55" s="1"/>
  <c r="J172" i="9" s="1"/>
  <c r="E172" i="9" s="1"/>
  <c r="F172" i="9" s="1"/>
  <c r="H53" i="54"/>
  <c r="H54" i="54" s="1"/>
  <c r="H559" i="51"/>
  <c r="H560" i="51" s="1"/>
  <c r="O505" i="51" s="1"/>
  <c r="H615" i="16"/>
  <c r="H616" i="16" s="1"/>
  <c r="O561" i="16" s="1"/>
  <c r="H559" i="30"/>
  <c r="H560" i="30" s="1"/>
  <c r="O505" i="30" s="1"/>
  <c r="H111" i="28"/>
  <c r="H112" i="28" s="1"/>
  <c r="O57" i="28" s="1"/>
  <c r="H223" i="34"/>
  <c r="H224" i="34" s="1"/>
  <c r="O169" i="34" s="1"/>
  <c r="H335" i="29"/>
  <c r="H336" i="29" s="1"/>
  <c r="O281" i="29" s="1"/>
  <c r="H167" i="14"/>
  <c r="H168" i="14" s="1"/>
  <c r="O113" i="14" s="1"/>
  <c r="H503" i="19"/>
  <c r="H504" i="19" s="1"/>
  <c r="O449" i="19" s="1"/>
  <c r="H895" i="34"/>
  <c r="H896" i="34" s="1"/>
  <c r="O841" i="34" s="1"/>
  <c r="H167" i="32"/>
  <c r="H168" i="32" s="1"/>
  <c r="O113" i="32" s="1"/>
  <c r="H335" i="19"/>
  <c r="H336" i="19" s="1"/>
  <c r="O281" i="19" s="1"/>
  <c r="H447" i="34"/>
  <c r="H448" i="34" s="1"/>
  <c r="O393" i="34" s="1"/>
  <c r="H447" i="28"/>
  <c r="H448" i="28" s="1"/>
  <c r="O393" i="28" s="1"/>
  <c r="H167" i="33"/>
  <c r="H168" i="33" s="1"/>
  <c r="O113" i="33" s="1"/>
  <c r="H559" i="34"/>
  <c r="H560" i="34" s="1"/>
  <c r="O505" i="34" s="1"/>
  <c r="H335" i="14"/>
  <c r="H336" i="14" s="1"/>
  <c r="O281" i="14" s="1"/>
  <c r="H335" i="25"/>
  <c r="H336" i="25" s="1"/>
  <c r="O281" i="25" s="1"/>
  <c r="H671" i="34"/>
  <c r="H672" i="34" s="1"/>
  <c r="O617" i="34" s="1"/>
  <c r="H1007" i="19"/>
  <c r="H1008" i="19" s="1"/>
  <c r="O953" i="19" s="1"/>
  <c r="H503" i="29"/>
  <c r="H504" i="29" s="1"/>
  <c r="O449" i="29" s="1"/>
  <c r="H2015" i="34"/>
  <c r="H2016" i="34" s="1"/>
  <c r="O1961" i="34" s="1"/>
  <c r="H279" i="33"/>
  <c r="H280" i="33" s="1"/>
  <c r="O225" i="33" s="1"/>
  <c r="H335" i="33"/>
  <c r="H336" i="33" s="1"/>
  <c r="O281" i="33" s="1"/>
  <c r="H1231" i="34"/>
  <c r="H1232" i="34" s="1"/>
  <c r="O1177" i="34" s="1"/>
  <c r="H839" i="51"/>
  <c r="H840" i="51" s="1"/>
  <c r="O785" i="51" s="1"/>
  <c r="H55" i="13"/>
  <c r="H56" i="13" s="1"/>
  <c r="O1" i="13" s="1"/>
  <c r="H1343" i="34"/>
  <c r="H1344" i="34" s="1"/>
  <c r="O1289" i="34" s="1"/>
  <c r="H447" i="30"/>
  <c r="H448" i="30" s="1"/>
  <c r="O393" i="30" s="1"/>
  <c r="H223" i="28"/>
  <c r="H224" i="28" s="1"/>
  <c r="O169" i="28" s="1"/>
  <c r="H55" i="29"/>
  <c r="H56" i="29" s="1"/>
  <c r="O1" i="29" s="1"/>
  <c r="H783" i="19"/>
  <c r="H784" i="19" s="1"/>
  <c r="O729" i="19" s="1"/>
  <c r="H783" i="34"/>
  <c r="H784" i="34" s="1"/>
  <c r="O729" i="34" s="1"/>
  <c r="H1791" i="34"/>
  <c r="H1792" i="34" s="1"/>
  <c r="O1737" i="34" s="1"/>
  <c r="H391" i="34"/>
  <c r="H392" i="34" s="1"/>
  <c r="O337" i="34" s="1"/>
  <c r="H391" i="14"/>
  <c r="H392" i="14" s="1"/>
  <c r="O337" i="14" s="1"/>
  <c r="H167" i="13"/>
  <c r="H168" i="13" s="1"/>
  <c r="O113" i="13" s="1"/>
  <c r="H1399" i="34"/>
  <c r="H1400" i="34" s="1"/>
  <c r="O1345" i="34" s="1"/>
  <c r="H279" i="34"/>
  <c r="H280" i="34" s="1"/>
  <c r="O225" i="34" s="1"/>
  <c r="J17" i="9"/>
  <c r="E17" i="9" s="1"/>
  <c r="F17" i="9" s="1"/>
  <c r="H223" i="33"/>
  <c r="H224" i="33" s="1"/>
  <c r="O169" i="33" s="1"/>
  <c r="H559" i="25"/>
  <c r="H560" i="25" s="1"/>
  <c r="O505" i="25" s="1"/>
  <c r="H1063" i="34"/>
  <c r="H1064" i="34" s="1"/>
  <c r="O1009" i="34" s="1"/>
  <c r="H839" i="34"/>
  <c r="H840" i="34" s="1"/>
  <c r="O785" i="34" s="1"/>
  <c r="H167" i="25"/>
  <c r="H168" i="25" s="1"/>
  <c r="O113" i="25" s="1"/>
  <c r="H1623" i="19"/>
  <c r="H1624" i="19" s="1"/>
  <c r="O1569" i="19" s="1"/>
  <c r="K182" i="9"/>
  <c r="L113" i="9"/>
  <c r="L182" i="9" s="1"/>
  <c r="H279" i="30"/>
  <c r="H280" i="30" s="1"/>
  <c r="O225" i="30" s="1"/>
  <c r="H391" i="19"/>
  <c r="H392" i="19" s="1"/>
  <c r="J58" i="9" s="1"/>
  <c r="E58" i="9" s="1"/>
  <c r="F58" i="9" s="1"/>
  <c r="H223" i="32"/>
  <c r="H224" i="32" s="1"/>
  <c r="O169" i="32" s="1"/>
  <c r="H447" i="32"/>
  <c r="H448" i="32" s="1"/>
  <c r="O393" i="32" s="1"/>
  <c r="H335" i="32"/>
  <c r="H336" i="32" s="1"/>
  <c r="O281" i="32" s="1"/>
  <c r="H335" i="30"/>
  <c r="H336" i="30" s="1"/>
  <c r="O281" i="30" s="1"/>
  <c r="H1735" i="34"/>
  <c r="H1736" i="34" s="1"/>
  <c r="O1681" i="34" s="1"/>
  <c r="H1287" i="34"/>
  <c r="H1288" i="34" s="1"/>
  <c r="O1233" i="34" s="1"/>
  <c r="H1455" i="34"/>
  <c r="H1456" i="34" s="1"/>
  <c r="O1401" i="34" s="1"/>
  <c r="H671" i="19"/>
  <c r="H672" i="19" s="1"/>
  <c r="O617" i="19" s="1"/>
  <c r="H615" i="34"/>
  <c r="H616" i="34" s="1"/>
  <c r="O561" i="34" s="1"/>
  <c r="H279" i="25"/>
  <c r="H280" i="25" s="1"/>
  <c r="O225" i="25" s="1"/>
  <c r="H55" i="25"/>
  <c r="H56" i="25" s="1"/>
  <c r="O1" i="25" s="1"/>
  <c r="H1454" i="19"/>
  <c r="H1453" i="19"/>
  <c r="H53" i="17"/>
  <c r="H54" i="17"/>
  <c r="J88" i="9"/>
  <c r="E88" i="9" s="1"/>
  <c r="F88" i="9" s="1"/>
  <c r="J87" i="9"/>
  <c r="E87" i="9" s="1"/>
  <c r="F87" i="9" s="1"/>
  <c r="O281" i="21"/>
  <c r="H502" i="25"/>
  <c r="H501" i="25"/>
  <c r="H109" i="18"/>
  <c r="H110" i="18"/>
  <c r="H781" i="51"/>
  <c r="H782" i="51"/>
  <c r="H221" i="25"/>
  <c r="H222" i="25"/>
  <c r="J170" i="9"/>
  <c r="E170" i="9" s="1"/>
  <c r="F170" i="9" s="1"/>
  <c r="J171" i="9"/>
  <c r="E171" i="9" s="1"/>
  <c r="F171" i="9" s="1"/>
  <c r="H1565" i="19"/>
  <c r="H1566" i="19"/>
  <c r="H334" i="51"/>
  <c r="H333" i="51"/>
  <c r="H221" i="51"/>
  <c r="H222" i="51"/>
  <c r="J120" i="9"/>
  <c r="E120" i="9" s="1"/>
  <c r="F120" i="9" s="1"/>
  <c r="O337" i="21"/>
  <c r="J89" i="9"/>
  <c r="E89" i="9" s="1"/>
  <c r="F89" i="9" s="1"/>
  <c r="H54" i="21"/>
  <c r="H53" i="21"/>
  <c r="H109" i="51"/>
  <c r="H110" i="51"/>
  <c r="H54" i="15"/>
  <c r="H53" i="15"/>
  <c r="H109" i="34"/>
  <c r="H110" i="34"/>
  <c r="H837" i="19"/>
  <c r="H838" i="19"/>
  <c r="H1173" i="19"/>
  <c r="H1174" i="19"/>
  <c r="H222" i="17"/>
  <c r="H221" i="17"/>
  <c r="E178" i="35"/>
  <c r="F178" i="35" s="1"/>
  <c r="H178" i="35" s="1"/>
  <c r="H184" i="35" s="1"/>
  <c r="H220" i="35" s="1"/>
  <c r="H220" i="23"/>
  <c r="O449" i="21"/>
  <c r="J91" i="9"/>
  <c r="E91" i="9" s="1"/>
  <c r="F91" i="9" s="1"/>
  <c r="H165" i="21"/>
  <c r="H166" i="21"/>
  <c r="H614" i="51"/>
  <c r="H613" i="51"/>
  <c r="H277" i="51"/>
  <c r="H278" i="51"/>
  <c r="H52" i="23"/>
  <c r="H278" i="16"/>
  <c r="H277" i="16"/>
  <c r="E134" i="53"/>
  <c r="F134" i="53" s="1"/>
  <c r="H134" i="53" s="1"/>
  <c r="H2071" i="19"/>
  <c r="H2072" i="19" s="1"/>
  <c r="O2017" i="19" s="1"/>
  <c r="H613" i="25"/>
  <c r="H614" i="25"/>
  <c r="J74" i="9"/>
  <c r="E74" i="9" s="1"/>
  <c r="F74" i="9" s="1"/>
  <c r="B190" i="53"/>
  <c r="K49" i="9"/>
  <c r="E234" i="17"/>
  <c r="F234" i="17" s="1"/>
  <c r="H234" i="17" s="1"/>
  <c r="H240" i="17" s="1"/>
  <c r="H276" i="17" s="1"/>
  <c r="H333" i="16"/>
  <c r="H334" i="16"/>
  <c r="H389" i="25"/>
  <c r="H390" i="25"/>
  <c r="H52" i="22"/>
  <c r="H165" i="23"/>
  <c r="H166" i="23"/>
  <c r="H1846" i="34"/>
  <c r="H1845" i="34"/>
  <c r="H26" i="53"/>
  <c r="H388" i="23"/>
  <c r="H166" i="16"/>
  <c r="H165" i="16"/>
  <c r="H780" i="25"/>
  <c r="E570" i="21"/>
  <c r="F570" i="21" s="1"/>
  <c r="H570" i="21" s="1"/>
  <c r="H576" i="21" s="1"/>
  <c r="H612" i="21" s="1"/>
  <c r="H615" i="21" s="1"/>
  <c r="H616" i="21" s="1"/>
  <c r="O561" i="21" s="1"/>
  <c r="H501" i="16"/>
  <c r="H502" i="16"/>
  <c r="H558" i="19"/>
  <c r="H557" i="19"/>
  <c r="H530" i="23"/>
  <c r="G523" i="23"/>
  <c r="E246" i="53"/>
  <c r="F246" i="53" s="1"/>
  <c r="H246" i="53" s="1"/>
  <c r="H250" i="53" s="1"/>
  <c r="H476" i="55"/>
  <c r="H477" i="55"/>
  <c r="H478" i="55"/>
  <c r="H479" i="55" s="1"/>
  <c r="J176" i="9" s="1"/>
  <c r="E176" i="9" s="1"/>
  <c r="F176" i="9" s="1"/>
  <c r="H109" i="19"/>
  <c r="H110" i="19"/>
  <c r="H949" i="51"/>
  <c r="H950" i="51"/>
  <c r="J56" i="33"/>
  <c r="H110" i="22"/>
  <c r="H109" i="22"/>
  <c r="H277" i="19"/>
  <c r="H278" i="19"/>
  <c r="H501" i="23"/>
  <c r="H502" i="23"/>
  <c r="H1902" i="34"/>
  <c r="H1901" i="34"/>
  <c r="H109" i="21"/>
  <c r="H110" i="21"/>
  <c r="H222" i="19"/>
  <c r="H221" i="19"/>
  <c r="H222" i="30"/>
  <c r="H221" i="30"/>
  <c r="H446" i="51"/>
  <c r="H445" i="51"/>
  <c r="K48" i="9"/>
  <c r="E122" i="17"/>
  <c r="F122" i="17" s="1"/>
  <c r="H122" i="17" s="1"/>
  <c r="H128" i="17" s="1"/>
  <c r="H164" i="17" s="1"/>
  <c r="H1789" i="19"/>
  <c r="H1790" i="19"/>
  <c r="H445" i="21"/>
  <c r="H446" i="21"/>
  <c r="E78" i="53"/>
  <c r="F78" i="53" s="1"/>
  <c r="H78" i="53" s="1"/>
  <c r="H54" i="18"/>
  <c r="H53" i="18"/>
  <c r="H138" i="53"/>
  <c r="H110" i="23"/>
  <c r="H109" i="23"/>
  <c r="H2125" i="34"/>
  <c r="H2126" i="34"/>
  <c r="E190" i="53"/>
  <c r="F190" i="53" s="1"/>
  <c r="H190" i="53" s="1"/>
  <c r="H194" i="53" s="1"/>
  <c r="B246" i="53"/>
  <c r="E10" i="35"/>
  <c r="F10" i="35" s="1"/>
  <c r="H10" i="35" s="1"/>
  <c r="H16" i="35" s="1"/>
  <c r="H52" i="35" s="1"/>
  <c r="O225" i="14"/>
  <c r="J25" i="9"/>
  <c r="E25" i="9" s="1"/>
  <c r="F25" i="9" s="1"/>
  <c r="H1957" i="34"/>
  <c r="H1958" i="34"/>
  <c r="H725" i="25"/>
  <c r="H726" i="25"/>
  <c r="H726" i="19"/>
  <c r="H725" i="19"/>
  <c r="H109" i="15"/>
  <c r="H110" i="15"/>
  <c r="H668" i="25"/>
  <c r="H82" i="53"/>
  <c r="H222" i="29"/>
  <c r="H221" i="29"/>
  <c r="H109" i="14"/>
  <c r="H110" i="14"/>
  <c r="B134" i="53"/>
  <c r="H1286" i="19"/>
  <c r="H1285" i="19"/>
  <c r="G29" i="50"/>
  <c r="H29" i="50" s="1"/>
  <c r="H45" i="50" s="1"/>
  <c r="E10" i="50"/>
  <c r="F10" i="50" s="1"/>
  <c r="H10" i="50" s="1"/>
  <c r="H16" i="50" s="1"/>
  <c r="H109" i="16"/>
  <c r="H110" i="16"/>
  <c r="H277" i="23"/>
  <c r="H278" i="23"/>
  <c r="H1341" i="19"/>
  <c r="H1342" i="19"/>
  <c r="H389" i="29"/>
  <c r="H390" i="29"/>
  <c r="H108" i="17"/>
  <c r="H333" i="26"/>
  <c r="H334" i="26"/>
  <c r="H53" i="30"/>
  <c r="H54" i="30"/>
  <c r="H557" i="28"/>
  <c r="H558" i="28"/>
  <c r="H2125" i="19"/>
  <c r="H2126" i="19"/>
  <c r="H445" i="25"/>
  <c r="H446" i="25"/>
  <c r="H445" i="19"/>
  <c r="H446" i="19"/>
  <c r="J68" i="9"/>
  <c r="E68" i="9" s="1"/>
  <c r="F68" i="9" s="1"/>
  <c r="B22" i="53"/>
  <c r="H444" i="23"/>
  <c r="H389" i="26"/>
  <c r="H390" i="26"/>
  <c r="B78" i="53"/>
  <c r="H501" i="51"/>
  <c r="H502" i="51"/>
  <c r="H1230" i="19"/>
  <c r="H1229" i="19"/>
  <c r="E122" i="35"/>
  <c r="F122" i="35" s="1"/>
  <c r="H122" i="35" s="1"/>
  <c r="H128" i="35" s="1"/>
  <c r="H164" i="35" s="1"/>
  <c r="H166" i="19"/>
  <c r="H165" i="19"/>
  <c r="H164" i="22"/>
  <c r="H222" i="22"/>
  <c r="H221" i="22"/>
  <c r="H333" i="23"/>
  <c r="H334" i="23"/>
  <c r="H2014" i="19"/>
  <c r="H2013" i="19"/>
  <c r="H669" i="51"/>
  <c r="H670" i="51"/>
  <c r="H949" i="19"/>
  <c r="H950" i="19"/>
  <c r="E66" i="35"/>
  <c r="F66" i="35" s="1"/>
  <c r="H66" i="35" s="1"/>
  <c r="H72" i="35" s="1"/>
  <c r="H108" i="35" s="1"/>
  <c r="H724" i="21"/>
  <c r="H727" i="21" s="1"/>
  <c r="H728" i="21" s="1"/>
  <c r="O673" i="21" s="1"/>
  <c r="E682" i="21"/>
  <c r="F682" i="21" s="1"/>
  <c r="H682" i="21" s="1"/>
  <c r="H688" i="21" s="1"/>
  <c r="H52" i="34"/>
  <c r="J73" i="9" l="1"/>
  <c r="E73" i="9" s="1"/>
  <c r="F73" i="9" s="1"/>
  <c r="J158" i="9"/>
  <c r="E158" i="9" s="1"/>
  <c r="F158" i="9" s="1"/>
  <c r="G146" i="9" s="1"/>
  <c r="D43" i="4" s="1"/>
  <c r="AJ43" i="4" s="1"/>
  <c r="O505" i="29"/>
  <c r="H2127" i="34"/>
  <c r="H2128" i="34" s="1"/>
  <c r="O2073" i="34" s="1"/>
  <c r="J77" i="9"/>
  <c r="E77" i="9" s="1"/>
  <c r="F77" i="9" s="1"/>
  <c r="J26" i="9"/>
  <c r="E26" i="9" s="1"/>
  <c r="F26" i="9" s="1"/>
  <c r="G24" i="9" s="1"/>
  <c r="D11" i="4" s="1"/>
  <c r="H951" i="51"/>
  <c r="H952" i="51" s="1"/>
  <c r="O897" i="51" s="1"/>
  <c r="O1" i="11"/>
  <c r="H111" i="15"/>
  <c r="H112" i="15" s="1"/>
  <c r="O57" i="15" s="1"/>
  <c r="J22" i="9"/>
  <c r="E22" i="9" s="1"/>
  <c r="F22" i="9" s="1"/>
  <c r="H39" i="9"/>
  <c r="J18" i="9"/>
  <c r="E18" i="9" s="1"/>
  <c r="F18" i="9" s="1"/>
  <c r="G16" i="9" s="1"/>
  <c r="D9" i="4" s="1"/>
  <c r="J55" i="9"/>
  <c r="E55" i="9" s="1"/>
  <c r="F55" i="9" s="1"/>
  <c r="O337" i="32"/>
  <c r="O1457" i="19"/>
  <c r="J129" i="9"/>
  <c r="E129" i="9" s="1"/>
  <c r="F129" i="9" s="1"/>
  <c r="J59" i="9"/>
  <c r="E59" i="9" s="1"/>
  <c r="F59" i="9" s="1"/>
  <c r="J21" i="9"/>
  <c r="E21" i="9" s="1"/>
  <c r="F21" i="9" s="1"/>
  <c r="O1905" i="19"/>
  <c r="J43" i="9"/>
  <c r="E43" i="9" s="1"/>
  <c r="F43" i="9" s="1"/>
  <c r="J71" i="9"/>
  <c r="E71" i="9" s="1"/>
  <c r="F71" i="9" s="1"/>
  <c r="J39" i="9"/>
  <c r="E39" i="9" s="1"/>
  <c r="F39" i="9" s="1"/>
  <c r="O337" i="19"/>
  <c r="H223" i="22"/>
  <c r="H224" i="22" s="1"/>
  <c r="O169" i="22" s="1"/>
  <c r="H279" i="23"/>
  <c r="H280" i="23" s="1"/>
  <c r="O225" i="23" s="1"/>
  <c r="H1847" i="34"/>
  <c r="H1848" i="34" s="1"/>
  <c r="O1793" i="34" s="1"/>
  <c r="H223" i="19"/>
  <c r="H224" i="19" s="1"/>
  <c r="O169" i="19" s="1"/>
  <c r="H111" i="16"/>
  <c r="H112" i="16" s="1"/>
  <c r="O57" i="16" s="1"/>
  <c r="H391" i="25"/>
  <c r="H392" i="25" s="1"/>
  <c r="O337" i="25" s="1"/>
  <c r="H55" i="17"/>
  <c r="H56" i="17" s="1"/>
  <c r="O1" i="17" s="1"/>
  <c r="H503" i="23"/>
  <c r="H504" i="23" s="1"/>
  <c r="O449" i="23" s="1"/>
  <c r="H167" i="16"/>
  <c r="H168" i="16" s="1"/>
  <c r="O113" i="16" s="1"/>
  <c r="H391" i="29"/>
  <c r="H392" i="29" s="1"/>
  <c r="O337" i="29" s="1"/>
  <c r="O225" i="32"/>
  <c r="H167" i="21"/>
  <c r="H168" i="21" s="1"/>
  <c r="O57" i="21" s="1"/>
  <c r="J144" i="9"/>
  <c r="E144" i="9" s="1"/>
  <c r="F144" i="9" s="1"/>
  <c r="H55" i="30"/>
  <c r="H56" i="30" s="1"/>
  <c r="O1" i="30" s="1"/>
  <c r="H279" i="16"/>
  <c r="H280" i="16" s="1"/>
  <c r="O225" i="16" s="1"/>
  <c r="H1343" i="19"/>
  <c r="H1344" i="19" s="1"/>
  <c r="J67" i="9" s="1"/>
  <c r="E67" i="9" s="1"/>
  <c r="F67" i="9" s="1"/>
  <c r="H223" i="17"/>
  <c r="H224" i="17" s="1"/>
  <c r="J122" i="9" s="1"/>
  <c r="E122" i="9" s="1"/>
  <c r="F122" i="9" s="1"/>
  <c r="H111" i="18"/>
  <c r="H112" i="18" s="1"/>
  <c r="J117" i="9" s="1"/>
  <c r="E117" i="9" s="1"/>
  <c r="F117" i="9" s="1"/>
  <c r="H223" i="30"/>
  <c r="H224" i="30" s="1"/>
  <c r="O169" i="30" s="1"/>
  <c r="H223" i="29"/>
  <c r="H224" i="29" s="1"/>
  <c r="J143" i="9" s="1"/>
  <c r="E143" i="9" s="1"/>
  <c r="F143" i="9" s="1"/>
  <c r="H1455" i="19"/>
  <c r="H1456" i="19" s="1"/>
  <c r="O1401" i="19" s="1"/>
  <c r="H1287" i="19"/>
  <c r="H1288" i="19" s="1"/>
  <c r="O1233" i="19" s="1"/>
  <c r="O1009" i="51"/>
  <c r="H503" i="25"/>
  <c r="H504" i="25" s="1"/>
  <c r="O449" i="25" s="1"/>
  <c r="H2127" i="19"/>
  <c r="H2128" i="19" s="1"/>
  <c r="O2073" i="19" s="1"/>
  <c r="J61" i="9"/>
  <c r="E61" i="9" s="1"/>
  <c r="F61" i="9" s="1"/>
  <c r="H559" i="28"/>
  <c r="H560" i="28" s="1"/>
  <c r="O505" i="28" s="1"/>
  <c r="H55" i="18"/>
  <c r="H56" i="18" s="1"/>
  <c r="O1" i="18" s="1"/>
  <c r="H111" i="51"/>
  <c r="H112" i="51" s="1"/>
  <c r="J33" i="9" s="1"/>
  <c r="E33" i="9" s="1"/>
  <c r="F33" i="9" s="1"/>
  <c r="H335" i="51"/>
  <c r="H336" i="51" s="1"/>
  <c r="J36" i="9" s="1"/>
  <c r="E36" i="9" s="1"/>
  <c r="F36" i="9" s="1"/>
  <c r="J64" i="9"/>
  <c r="E64" i="9" s="1"/>
  <c r="F64" i="9" s="1"/>
  <c r="H951" i="19"/>
  <c r="H952" i="19" s="1"/>
  <c r="J62" i="9" s="1"/>
  <c r="E62" i="9" s="1"/>
  <c r="F62" i="9" s="1"/>
  <c r="H671" i="51"/>
  <c r="H672" i="51" s="1"/>
  <c r="O617" i="51" s="1"/>
  <c r="H615" i="51"/>
  <c r="H616" i="51" s="1"/>
  <c r="O561" i="51" s="1"/>
  <c r="H727" i="25"/>
  <c r="H728" i="25" s="1"/>
  <c r="O673" i="25" s="1"/>
  <c r="H1903" i="34"/>
  <c r="H1904" i="34" s="1"/>
  <c r="O1849" i="34" s="1"/>
  <c r="H615" i="25"/>
  <c r="H616" i="25" s="1"/>
  <c r="O561" i="25" s="1"/>
  <c r="H839" i="19"/>
  <c r="H840" i="19" s="1"/>
  <c r="J114" i="9" s="1"/>
  <c r="E114" i="9" s="1"/>
  <c r="F114" i="9" s="1"/>
  <c r="J131" i="9"/>
  <c r="E131" i="9" s="1"/>
  <c r="F131" i="9" s="1"/>
  <c r="H335" i="23"/>
  <c r="H336" i="23" s="1"/>
  <c r="O281" i="23" s="1"/>
  <c r="J136" i="9"/>
  <c r="E136" i="9" s="1"/>
  <c r="F136" i="9" s="1"/>
  <c r="H111" i="23"/>
  <c r="H112" i="23" s="1"/>
  <c r="O57" i="23" s="1"/>
  <c r="H167" i="19"/>
  <c r="H168" i="19" s="1"/>
  <c r="O113" i="19" s="1"/>
  <c r="H1959" i="34"/>
  <c r="H1960" i="34" s="1"/>
  <c r="O1905" i="34" s="1"/>
  <c r="H279" i="19"/>
  <c r="H280" i="19" s="1"/>
  <c r="J57" i="9" s="1"/>
  <c r="E57" i="9" s="1"/>
  <c r="F57" i="9" s="1"/>
  <c r="H223" i="51"/>
  <c r="H224" i="51" s="1"/>
  <c r="O169" i="51" s="1"/>
  <c r="H447" i="19"/>
  <c r="H448" i="19" s="1"/>
  <c r="O393" i="19" s="1"/>
  <c r="H279" i="51"/>
  <c r="H280" i="51" s="1"/>
  <c r="J35" i="9" s="1"/>
  <c r="E35" i="9" s="1"/>
  <c r="F35" i="9" s="1"/>
  <c r="H447" i="21"/>
  <c r="H448" i="21" s="1"/>
  <c r="J90" i="9" s="1"/>
  <c r="E90" i="9" s="1"/>
  <c r="F90" i="9" s="1"/>
  <c r="H55" i="21"/>
  <c r="H56" i="21" s="1"/>
  <c r="J84" i="9" s="1"/>
  <c r="E84" i="9" s="1"/>
  <c r="F84" i="9" s="1"/>
  <c r="H335" i="26"/>
  <c r="H336" i="26" s="1"/>
  <c r="O281" i="26" s="1"/>
  <c r="H559" i="19"/>
  <c r="H560" i="19" s="1"/>
  <c r="O505" i="19" s="1"/>
  <c r="H783" i="51"/>
  <c r="H784" i="51" s="1"/>
  <c r="J40" i="9" s="1"/>
  <c r="E40" i="9" s="1"/>
  <c r="F40" i="9" s="1"/>
  <c r="H111" i="34"/>
  <c r="H112" i="34" s="1"/>
  <c r="O57" i="34" s="1"/>
  <c r="H391" i="26"/>
  <c r="H392" i="26" s="1"/>
  <c r="O337" i="26" s="1"/>
  <c r="H727" i="19"/>
  <c r="H728" i="19" s="1"/>
  <c r="O673" i="19" s="1"/>
  <c r="H111" i="22"/>
  <c r="H112" i="22" s="1"/>
  <c r="O57" i="22" s="1"/>
  <c r="H335" i="16"/>
  <c r="H336" i="16" s="1"/>
  <c r="O281" i="16" s="1"/>
  <c r="H55" i="15"/>
  <c r="H56" i="15" s="1"/>
  <c r="J29" i="9" s="1"/>
  <c r="E29" i="9" s="1"/>
  <c r="F29" i="9" s="1"/>
  <c r="H1567" i="19"/>
  <c r="H1568" i="19" s="1"/>
  <c r="J69" i="9" s="1"/>
  <c r="E69" i="9" s="1"/>
  <c r="F69" i="9" s="1"/>
  <c r="H503" i="51"/>
  <c r="H504" i="51" s="1"/>
  <c r="O449" i="51" s="1"/>
  <c r="H111" i="21"/>
  <c r="H112" i="21" s="1"/>
  <c r="J116" i="9" s="1"/>
  <c r="E116" i="9" s="1"/>
  <c r="F116" i="9" s="1"/>
  <c r="H111" i="14"/>
  <c r="H112" i="14" s="1"/>
  <c r="O57" i="14" s="1"/>
  <c r="H1791" i="19"/>
  <c r="H1792" i="19" s="1"/>
  <c r="O1737" i="19" s="1"/>
  <c r="H2015" i="19"/>
  <c r="H2016" i="19" s="1"/>
  <c r="O1961" i="19" s="1"/>
  <c r="H1231" i="19"/>
  <c r="H1232" i="19" s="1"/>
  <c r="J65" i="9" s="1"/>
  <c r="E65" i="9" s="1"/>
  <c r="F65" i="9" s="1"/>
  <c r="H447" i="51"/>
  <c r="H448" i="51" s="1"/>
  <c r="O393" i="51" s="1"/>
  <c r="H503" i="16"/>
  <c r="H504" i="16" s="1"/>
  <c r="O449" i="16" s="1"/>
  <c r="H167" i="23"/>
  <c r="H168" i="23" s="1"/>
  <c r="O113" i="23" s="1"/>
  <c r="H1175" i="19"/>
  <c r="H1176" i="19" s="1"/>
  <c r="O1121" i="19" s="1"/>
  <c r="E12" i="9"/>
  <c r="F12" i="9" s="1"/>
  <c r="G11" i="9" s="1"/>
  <c r="H223" i="25"/>
  <c r="H224" i="25" s="1"/>
  <c r="O169" i="25" s="1"/>
  <c r="H111" i="19"/>
  <c r="H112" i="19" s="1"/>
  <c r="O57" i="19" s="1"/>
  <c r="H447" i="25"/>
  <c r="H448" i="25" s="1"/>
  <c r="O393" i="25" s="1"/>
  <c r="H109" i="35"/>
  <c r="H110" i="35"/>
  <c r="H165" i="35"/>
  <c r="H166" i="35"/>
  <c r="E234" i="53"/>
  <c r="F234" i="53" s="1"/>
  <c r="H234" i="53" s="1"/>
  <c r="H240" i="53" s="1"/>
  <c r="H276" i="53" s="1"/>
  <c r="H54" i="35"/>
  <c r="H53" i="35"/>
  <c r="E178" i="53"/>
  <c r="F178" i="53" s="1"/>
  <c r="H178" i="53" s="1"/>
  <c r="H184" i="53" s="1"/>
  <c r="H220" i="53" s="1"/>
  <c r="H221" i="35"/>
  <c r="H222" i="35"/>
  <c r="H390" i="23"/>
  <c r="H389" i="23"/>
  <c r="H446" i="23"/>
  <c r="H445" i="23"/>
  <c r="K105" i="9"/>
  <c r="K109" i="9"/>
  <c r="K104" i="9"/>
  <c r="K106" i="9"/>
  <c r="K110" i="9"/>
  <c r="K107" i="9"/>
  <c r="K108" i="9"/>
  <c r="E66" i="53"/>
  <c r="F66" i="53" s="1"/>
  <c r="H66" i="53" s="1"/>
  <c r="H72" i="53" s="1"/>
  <c r="H108" i="53" s="1"/>
  <c r="E10" i="53"/>
  <c r="F10" i="53" s="1"/>
  <c r="H10" i="53" s="1"/>
  <c r="H16" i="53" s="1"/>
  <c r="H52" i="53"/>
  <c r="H669" i="25"/>
  <c r="H670" i="25"/>
  <c r="E514" i="23"/>
  <c r="F514" i="23" s="1"/>
  <c r="H514" i="23" s="1"/>
  <c r="H520" i="23" s="1"/>
  <c r="H556" i="23" s="1"/>
  <c r="E122" i="53"/>
  <c r="F122" i="53" s="1"/>
  <c r="H122" i="53" s="1"/>
  <c r="H128" i="53" s="1"/>
  <c r="H164" i="53" s="1"/>
  <c r="H277" i="17"/>
  <c r="H278" i="17"/>
  <c r="H53" i="22"/>
  <c r="H54" i="22"/>
  <c r="H53" i="34"/>
  <c r="H54" i="34"/>
  <c r="H109" i="17"/>
  <c r="H110" i="17"/>
  <c r="J44" i="9"/>
  <c r="E44" i="9" s="1"/>
  <c r="F44" i="9" s="1"/>
  <c r="H165" i="17"/>
  <c r="H166" i="17"/>
  <c r="G162" i="9"/>
  <c r="D44" i="4" s="1"/>
  <c r="H52" i="50"/>
  <c r="H221" i="23"/>
  <c r="H222" i="23"/>
  <c r="H165" i="22"/>
  <c r="H166" i="22"/>
  <c r="H781" i="25"/>
  <c r="H782" i="25"/>
  <c r="H53" i="23"/>
  <c r="H54" i="23"/>
  <c r="O57" i="18" l="1"/>
  <c r="G142" i="9"/>
  <c r="J75" i="9"/>
  <c r="E75" i="9" s="1"/>
  <c r="F75" i="9" s="1"/>
  <c r="J86" i="9"/>
  <c r="E86" i="9" s="1"/>
  <c r="F86" i="9" s="1"/>
  <c r="J135" i="9"/>
  <c r="E135" i="9" s="1"/>
  <c r="F135" i="9" s="1"/>
  <c r="G134" i="9" s="1"/>
  <c r="O169" i="17"/>
  <c r="J132" i="9"/>
  <c r="E132" i="9" s="1"/>
  <c r="F132" i="9" s="1"/>
  <c r="G126" i="9" s="1"/>
  <c r="G20" i="9"/>
  <c r="D76" i="4" s="1"/>
  <c r="D96" i="4" s="1"/>
  <c r="O785" i="19"/>
  <c r="J76" i="9"/>
  <c r="E76" i="9" s="1"/>
  <c r="F76" i="9" s="1"/>
  <c r="J30" i="9"/>
  <c r="E30" i="9" s="1"/>
  <c r="F30" i="9" s="1"/>
  <c r="G28" i="9" s="1"/>
  <c r="D15" i="4" s="1"/>
  <c r="O393" i="21"/>
  <c r="O1" i="21"/>
  <c r="O1289" i="19"/>
  <c r="J83" i="9"/>
  <c r="E83" i="9" s="1"/>
  <c r="F83" i="9" s="1"/>
  <c r="J60" i="9"/>
  <c r="E60" i="9" s="1"/>
  <c r="F60" i="9" s="1"/>
  <c r="O281" i="51"/>
  <c r="J47" i="9"/>
  <c r="E47" i="9" s="1"/>
  <c r="F47" i="9" s="1"/>
  <c r="J115" i="9"/>
  <c r="E115" i="9" s="1"/>
  <c r="F115" i="9" s="1"/>
  <c r="O113" i="21"/>
  <c r="O225" i="51"/>
  <c r="O1" i="15"/>
  <c r="J52" i="9"/>
  <c r="E52" i="9" s="1"/>
  <c r="F52" i="9" s="1"/>
  <c r="G51" i="9" s="1"/>
  <c r="D28" i="4" s="1"/>
  <c r="K28" i="4" s="1"/>
  <c r="J37" i="9"/>
  <c r="E37" i="9" s="1"/>
  <c r="F37" i="9" s="1"/>
  <c r="J118" i="9"/>
  <c r="E118" i="9" s="1"/>
  <c r="F118" i="9" s="1"/>
  <c r="O1513" i="19"/>
  <c r="O169" i="29"/>
  <c r="AH43" i="4"/>
  <c r="AI43" i="4"/>
  <c r="D72" i="4"/>
  <c r="D92" i="4" s="1"/>
  <c r="J66" i="9"/>
  <c r="E66" i="9" s="1"/>
  <c r="F66" i="9" s="1"/>
  <c r="O1177" i="19"/>
  <c r="AK43" i="4"/>
  <c r="H447" i="23"/>
  <c r="H448" i="23" s="1"/>
  <c r="O393" i="23" s="1"/>
  <c r="O897" i="19"/>
  <c r="O729" i="51"/>
  <c r="J63" i="9"/>
  <c r="E63" i="9" s="1"/>
  <c r="F63" i="9" s="1"/>
  <c r="H111" i="17"/>
  <c r="H112" i="17" s="1"/>
  <c r="J48" i="9" s="1"/>
  <c r="E48" i="9" s="1"/>
  <c r="F48" i="9" s="1"/>
  <c r="O57" i="51"/>
  <c r="H55" i="23"/>
  <c r="H56" i="23" s="1"/>
  <c r="J98" i="9" s="1"/>
  <c r="E98" i="9" s="1"/>
  <c r="F98" i="9" s="1"/>
  <c r="G97" i="9" s="1"/>
  <c r="H55" i="34"/>
  <c r="H56" i="34" s="1"/>
  <c r="J56" i="34" s="1"/>
  <c r="H279" i="17"/>
  <c r="H280" i="17" s="1"/>
  <c r="J49" i="9" s="1"/>
  <c r="E49" i="9" s="1"/>
  <c r="F49" i="9" s="1"/>
  <c r="J85" i="9"/>
  <c r="E85" i="9" s="1"/>
  <c r="F85" i="9" s="1"/>
  <c r="J56" i="9"/>
  <c r="E56" i="9" s="1"/>
  <c r="F56" i="9" s="1"/>
  <c r="H223" i="35"/>
  <c r="H224" i="35" s="1"/>
  <c r="O169" i="35" s="1"/>
  <c r="H167" i="22"/>
  <c r="H168" i="22" s="1"/>
  <c r="O113" i="22" s="1"/>
  <c r="H223" i="23"/>
  <c r="H224" i="23" s="1"/>
  <c r="O169" i="23" s="1"/>
  <c r="H391" i="23"/>
  <c r="H392" i="23" s="1"/>
  <c r="O337" i="23" s="1"/>
  <c r="O225" i="19"/>
  <c r="H111" i="35"/>
  <c r="H112" i="35" s="1"/>
  <c r="O57" i="35" s="1"/>
  <c r="J72" i="9"/>
  <c r="E72" i="9" s="1"/>
  <c r="F72" i="9" s="1"/>
  <c r="H55" i="35"/>
  <c r="H56" i="35" s="1"/>
  <c r="J56" i="35" s="1"/>
  <c r="J42" i="9"/>
  <c r="E42" i="9" s="1"/>
  <c r="F42" i="9" s="1"/>
  <c r="J38" i="9"/>
  <c r="E38" i="9" s="1"/>
  <c r="F38" i="9" s="1"/>
  <c r="J34" i="9"/>
  <c r="E34" i="9" s="1"/>
  <c r="F34" i="9" s="1"/>
  <c r="V44" i="4"/>
  <c r="AF44" i="4"/>
  <c r="R44" i="4"/>
  <c r="AG44" i="4"/>
  <c r="S44" i="4"/>
  <c r="AA44" i="4"/>
  <c r="AI44" i="4"/>
  <c r="AK44" i="4"/>
  <c r="N44" i="4"/>
  <c r="M44" i="4"/>
  <c r="Y44" i="4"/>
  <c r="AB44" i="4"/>
  <c r="Q44" i="4"/>
  <c r="O44" i="4"/>
  <c r="AH44" i="4"/>
  <c r="P44" i="4"/>
  <c r="Z44" i="4"/>
  <c r="U44" i="4"/>
  <c r="X44" i="4"/>
  <c r="AC44" i="4"/>
  <c r="AJ44" i="4"/>
  <c r="L44" i="4"/>
  <c r="AE44" i="4"/>
  <c r="W44" i="4"/>
  <c r="T44" i="4"/>
  <c r="AD44" i="4"/>
  <c r="H55" i="22"/>
  <c r="H56" i="22" s="1"/>
  <c r="O1" i="22" s="1"/>
  <c r="H167" i="35"/>
  <c r="H168" i="35" s="1"/>
  <c r="O113" i="35" s="1"/>
  <c r="AD9" i="4"/>
  <c r="J9" i="4"/>
  <c r="W9" i="4"/>
  <c r="Z9" i="4"/>
  <c r="AE9" i="4"/>
  <c r="H9" i="4"/>
  <c r="M9" i="4"/>
  <c r="AB9" i="4"/>
  <c r="AC9" i="4"/>
  <c r="AA9" i="4"/>
  <c r="F9" i="4"/>
  <c r="Y9" i="4"/>
  <c r="AI9" i="4"/>
  <c r="R9" i="4"/>
  <c r="K9" i="4"/>
  <c r="N9" i="4"/>
  <c r="L9" i="4"/>
  <c r="AH9" i="4"/>
  <c r="P9" i="4"/>
  <c r="Q9" i="4"/>
  <c r="AJ9" i="4"/>
  <c r="G9" i="4"/>
  <c r="AK9" i="4"/>
  <c r="O9" i="4"/>
  <c r="X9" i="4"/>
  <c r="T9" i="4"/>
  <c r="AG9" i="4"/>
  <c r="V9" i="4"/>
  <c r="AF9" i="4"/>
  <c r="U9" i="4"/>
  <c r="I9" i="4"/>
  <c r="S9" i="4"/>
  <c r="G11" i="4"/>
  <c r="F11" i="4"/>
  <c r="AM11" i="4" s="1"/>
  <c r="AO11" i="4" s="1"/>
  <c r="J121" i="9"/>
  <c r="E121" i="9" s="1"/>
  <c r="F121" i="9" s="1"/>
  <c r="H783" i="25"/>
  <c r="H784" i="25" s="1"/>
  <c r="O729" i="25" s="1"/>
  <c r="H167" i="17"/>
  <c r="H168" i="17" s="1"/>
  <c r="O113" i="17" s="1"/>
  <c r="J41" i="9"/>
  <c r="E41" i="9" s="1"/>
  <c r="F41" i="9" s="1"/>
  <c r="D8" i="4"/>
  <c r="D67" i="4"/>
  <c r="D87" i="4" s="1"/>
  <c r="H671" i="25"/>
  <c r="H672" i="25" s="1"/>
  <c r="O617" i="25" s="1"/>
  <c r="H221" i="53"/>
  <c r="H222" i="53"/>
  <c r="H109" i="53"/>
  <c r="H110" i="53"/>
  <c r="H165" i="53"/>
  <c r="H166" i="53"/>
  <c r="H557" i="23"/>
  <c r="H558" i="23"/>
  <c r="H53" i="53"/>
  <c r="H54" i="53"/>
  <c r="H278" i="53"/>
  <c r="H277" i="53"/>
  <c r="H53" i="50"/>
  <c r="H54" i="50"/>
  <c r="D10" i="4" l="1"/>
  <c r="F10" i="4" s="1"/>
  <c r="AM10" i="4" s="1"/>
  <c r="AO10" i="4" s="1"/>
  <c r="G124" i="9"/>
  <c r="D42" i="4" s="1"/>
  <c r="W42" i="4" s="1"/>
  <c r="G82" i="9"/>
  <c r="O57" i="17"/>
  <c r="O225" i="17"/>
  <c r="G112" i="9"/>
  <c r="J392" i="23"/>
  <c r="AM43" i="4"/>
  <c r="AO43" i="4" s="1"/>
  <c r="G32" i="9"/>
  <c r="D18" i="4" s="1"/>
  <c r="J18" i="4" s="1"/>
  <c r="L28" i="4"/>
  <c r="AM28" i="4" s="1"/>
  <c r="AO28" i="4" s="1"/>
  <c r="O1" i="34"/>
  <c r="G54" i="9"/>
  <c r="O1" i="35"/>
  <c r="H559" i="23"/>
  <c r="H560" i="23" s="1"/>
  <c r="O505" i="23" s="1"/>
  <c r="H55" i="50"/>
  <c r="H56" i="50" s="1"/>
  <c r="O1" i="50" s="1"/>
  <c r="O1" i="23"/>
  <c r="H111" i="53"/>
  <c r="H112" i="53" s="1"/>
  <c r="O57" i="53" s="1"/>
  <c r="AD46" i="4"/>
  <c r="AD47" i="4" s="1"/>
  <c r="AD48" i="4" s="1"/>
  <c r="AD50" i="4" s="1"/>
  <c r="AD53" i="4" s="1"/>
  <c r="H223" i="53"/>
  <c r="H224" i="53" s="1"/>
  <c r="J107" i="9" s="1"/>
  <c r="E107" i="9" s="1"/>
  <c r="F107" i="9" s="1"/>
  <c r="AM44" i="4"/>
  <c r="AO44" i="4" s="1"/>
  <c r="H279" i="53"/>
  <c r="H280" i="53" s="1"/>
  <c r="O225" i="53" s="1"/>
  <c r="J15" i="4"/>
  <c r="G15" i="4"/>
  <c r="I15" i="4"/>
  <c r="H15" i="4"/>
  <c r="AM9" i="4"/>
  <c r="AO9" i="4" s="1"/>
  <c r="H167" i="53"/>
  <c r="H168" i="53" s="1"/>
  <c r="J106" i="9" s="1"/>
  <c r="E106" i="9" s="1"/>
  <c r="F106" i="9" s="1"/>
  <c r="H55" i="53"/>
  <c r="H56" i="53" s="1"/>
  <c r="O1" i="53" s="1"/>
  <c r="F8" i="4"/>
  <c r="AH46" i="4"/>
  <c r="AH47" i="4" s="1"/>
  <c r="AH48" i="4" s="1"/>
  <c r="AH50" i="4" s="1"/>
  <c r="Z46" i="4"/>
  <c r="Z47" i="4" s="1"/>
  <c r="Z48" i="4" s="1"/>
  <c r="Z50" i="4" s="1"/>
  <c r="G46" i="9"/>
  <c r="D24" i="4" s="1"/>
  <c r="G9" i="9"/>
  <c r="D65" i="4" s="1"/>
  <c r="M42" i="4" l="1"/>
  <c r="K42" i="4"/>
  <c r="Z42" i="4"/>
  <c r="U42" i="4"/>
  <c r="AF42" i="4"/>
  <c r="Q42" i="4"/>
  <c r="R42" i="4"/>
  <c r="Y42" i="4"/>
  <c r="AC42" i="4"/>
  <c r="AD42" i="4"/>
  <c r="J42" i="4"/>
  <c r="S42" i="4"/>
  <c r="V42" i="4"/>
  <c r="X42" i="4"/>
  <c r="AH42" i="4"/>
  <c r="AA42" i="4"/>
  <c r="AI42" i="4"/>
  <c r="AE42" i="4"/>
  <c r="L42" i="4"/>
  <c r="O42" i="4"/>
  <c r="AB42" i="4"/>
  <c r="AG42" i="4"/>
  <c r="P42" i="4"/>
  <c r="N42" i="4"/>
  <c r="T42" i="4"/>
  <c r="K18" i="4"/>
  <c r="R18" i="4"/>
  <c r="M18" i="4"/>
  <c r="T18" i="4"/>
  <c r="I18" i="4"/>
  <c r="F46" i="4" s="1"/>
  <c r="F47" i="4" s="1"/>
  <c r="F48" i="4" s="1"/>
  <c r="F50" i="4" s="1"/>
  <c r="D46" i="4"/>
  <c r="D47" i="4" s="1"/>
  <c r="D48" i="4" s="1"/>
  <c r="D50" i="4" s="1"/>
  <c r="D55" i="4" s="1"/>
  <c r="N18" i="4"/>
  <c r="S18" i="4"/>
  <c r="P18" i="4"/>
  <c r="Q18" i="4"/>
  <c r="L18" i="4"/>
  <c r="O18" i="4"/>
  <c r="O169" i="53"/>
  <c r="J105" i="9"/>
  <c r="E105" i="9" s="1"/>
  <c r="F105" i="9" s="1"/>
  <c r="O113" i="53"/>
  <c r="J104" i="9"/>
  <c r="E104" i="9" s="1"/>
  <c r="F104" i="9" s="1"/>
  <c r="J103" i="9"/>
  <c r="E103" i="9" s="1"/>
  <c r="F103" i="9" s="1"/>
  <c r="AH53" i="4"/>
  <c r="AM15" i="4"/>
  <c r="AO15" i="4" s="1"/>
  <c r="AM8" i="4"/>
  <c r="AO8" i="4" s="1"/>
  <c r="D85" i="4"/>
  <c r="D79" i="4"/>
  <c r="D99" i="4" s="1"/>
  <c r="O24" i="4"/>
  <c r="N24" i="4"/>
  <c r="V24" i="4"/>
  <c r="V46" i="4" s="1"/>
  <c r="V47" i="4" s="1"/>
  <c r="V48" i="4" s="1"/>
  <c r="V50" i="4" s="1"/>
  <c r="P24" i="4"/>
  <c r="M24" i="4"/>
  <c r="T24" i="4"/>
  <c r="U24" i="4"/>
  <c r="S24" i="4"/>
  <c r="Q24" i="4"/>
  <c r="R24" i="4"/>
  <c r="Z53" i="4"/>
  <c r="AD54" i="4" l="1"/>
  <c r="AM42" i="4"/>
  <c r="AO42" i="4" s="1"/>
  <c r="Z54" i="4"/>
  <c r="AH54" i="4"/>
  <c r="AM18" i="4"/>
  <c r="AO18" i="4" s="1"/>
  <c r="R46" i="4"/>
  <c r="R47" i="4" s="1"/>
  <c r="R48" i="4" s="1"/>
  <c r="R50" i="4" s="1"/>
  <c r="R53" i="4" s="1"/>
  <c r="J46" i="4"/>
  <c r="G102" i="9"/>
  <c r="N46" i="4"/>
  <c r="N47" i="4" s="1"/>
  <c r="N48" i="4" s="1"/>
  <c r="N50" i="4" s="1"/>
  <c r="N54" i="4" s="1"/>
  <c r="F182" i="9"/>
  <c r="J182" i="9"/>
  <c r="G80" i="9"/>
  <c r="D40" i="4"/>
  <c r="AM24" i="4"/>
  <c r="AO24" i="4" s="1"/>
  <c r="V53" i="4"/>
  <c r="V54" i="4"/>
  <c r="F53" i="4"/>
  <c r="F55" i="4" s="1"/>
  <c r="F54" i="4"/>
  <c r="F56" i="4" s="1"/>
  <c r="J47" i="4"/>
  <c r="J48" i="4" s="1"/>
  <c r="J50" i="4" s="1"/>
  <c r="R54" i="4" l="1"/>
  <c r="N53" i="4"/>
  <c r="H162" i="9"/>
  <c r="H126" i="9"/>
  <c r="H24" i="9"/>
  <c r="H9" i="9"/>
  <c r="H51" i="9"/>
  <c r="H142" i="9"/>
  <c r="F183" i="9"/>
  <c r="F184" i="9" s="1"/>
  <c r="H11" i="9"/>
  <c r="H94" i="9"/>
  <c r="H16" i="9"/>
  <c r="H112" i="9"/>
  <c r="H28" i="9"/>
  <c r="H82" i="9"/>
  <c r="H46" i="9"/>
  <c r="H146" i="9"/>
  <c r="H32" i="9"/>
  <c r="H20" i="9"/>
  <c r="H124" i="9"/>
  <c r="H54" i="9"/>
  <c r="H97" i="9"/>
  <c r="H134" i="9"/>
  <c r="H102" i="9"/>
  <c r="H80" i="9"/>
  <c r="J54" i="4"/>
  <c r="J56" i="4" s="1"/>
  <c r="N56" i="4" s="1"/>
  <c r="R56" i="4" s="1"/>
  <c r="V56" i="4" s="1"/>
  <c r="Z56" i="4" s="1"/>
  <c r="AD56" i="4" s="1"/>
  <c r="AH56" i="4" s="1"/>
  <c r="J53" i="4"/>
  <c r="J55" i="4" s="1"/>
  <c r="AJ40" i="4"/>
  <c r="AI40" i="4"/>
  <c r="AF40" i="4"/>
  <c r="AK40" i="4"/>
  <c r="AG40" i="4"/>
  <c r="AH40" i="4"/>
  <c r="N55" i="4" l="1"/>
  <c r="R55" i="4" s="1"/>
  <c r="V55" i="4" s="1"/>
  <c r="Z55" i="4" s="1"/>
  <c r="AD55" i="4" s="1"/>
  <c r="AH55" i="4" s="1"/>
  <c r="AM40" i="4"/>
  <c r="AO40" i="4" s="1"/>
</calcChain>
</file>

<file path=xl/sharedStrings.xml><?xml version="1.0" encoding="utf-8"?>
<sst xmlns="http://schemas.openxmlformats.org/spreadsheetml/2006/main" count="25833" uniqueCount="2249">
  <si>
    <t>Rollo</t>
  </si>
  <si>
    <t>Teflón ½"</t>
  </si>
  <si>
    <t>Litro</t>
  </si>
  <si>
    <t>Limpiador</t>
  </si>
  <si>
    <t xml:space="preserve">Pegante </t>
  </si>
  <si>
    <t>Unidad</t>
  </si>
  <si>
    <t>Tapón H. de PVC Desagüe de 50 mm</t>
  </si>
  <si>
    <t>Codo de PVC Desagüe de 45 ° x  50 mm</t>
  </si>
  <si>
    <t>Codo de PVC Desagüe de 90 ° x  50 mm</t>
  </si>
  <si>
    <t>Tee de PP roscable ø 1”</t>
  </si>
  <si>
    <t>Codo PP roscable 1" X 90°</t>
  </si>
  <si>
    <t>Tee de PP roscable ø ½”</t>
  </si>
  <si>
    <t>Neplo H.G. De 1/2¨ x 3¨</t>
  </si>
  <si>
    <t>Tapón H.G. de ½¨</t>
  </si>
  <si>
    <t>Codo PP roscable ½" X 90°</t>
  </si>
  <si>
    <t>Puntos de 1/2" APF</t>
  </si>
  <si>
    <t>Pasta polimex</t>
  </si>
  <si>
    <t>Reductor  de PP roscable ø ¾” × ½”</t>
  </si>
  <si>
    <t>Tee de PP roscable ø ¾”</t>
  </si>
  <si>
    <t>Codo PP roscable ¾" X 45°</t>
  </si>
  <si>
    <t>Codo PP roscable ¾" X 90°</t>
  </si>
  <si>
    <t>Redes de PVC presión roscable   3/4" (inc. Accesorios)</t>
  </si>
  <si>
    <t>Reductor  de PP roscable ø 1” × ¾”</t>
  </si>
  <si>
    <t>Redes de PVC presión roscable    1" (inc. Accesorios)</t>
  </si>
  <si>
    <t>Yee Reducida de PVC, de 110 x 50 mm</t>
  </si>
  <si>
    <t>Metro</t>
  </si>
  <si>
    <t>Tubería de PVC Desagüe de 50mm.</t>
  </si>
  <si>
    <t>Tapón H. de PVC Desagüe de 110 mm</t>
  </si>
  <si>
    <t>Yee de PVC 110 mm desague</t>
  </si>
  <si>
    <t>CIELOS RASOS</t>
  </si>
  <si>
    <t>AREAS</t>
  </si>
  <si>
    <t>PISO 1</t>
  </si>
  <si>
    <t>PISO 2</t>
  </si>
  <si>
    <t>Codo de PVC Desagüe de 45 ° x  110 mm</t>
  </si>
  <si>
    <t>Codo de PVC Desagüe de 90 ° x  110 mm</t>
  </si>
  <si>
    <t>Tubería de PVC Desagüe de 110mm.</t>
  </si>
  <si>
    <t>Colector   PVC des ø 110 mm AA.SS.</t>
  </si>
  <si>
    <t>SALIDA DE CIRCUITOS - TOMACORRIENTES 220v</t>
  </si>
  <si>
    <t>SALIDA DE CIRCUITOS - TOMA TELEFONICA</t>
  </si>
  <si>
    <t>SALIDA DE CIRCUITOS - TOMA TELEVISION</t>
  </si>
  <si>
    <t>TABLERO DE MEDICION</t>
  </si>
  <si>
    <t>TABLERO METALICO</t>
  </si>
  <si>
    <t>BASE SOCKET CLASE 200 3F</t>
  </si>
  <si>
    <t xml:space="preserve">BARRAS DE COBRE </t>
  </si>
  <si>
    <t>BREAKER DE 2 POLOS 70 A</t>
  </si>
  <si>
    <t>Cielo raso: Gypsum</t>
  </si>
  <si>
    <t xml:space="preserve">Contrapiso hormigon simple   e= 10cm </t>
  </si>
  <si>
    <t>semana</t>
  </si>
  <si>
    <t>SEMANA</t>
  </si>
  <si>
    <t>Limpieza del terreno</t>
  </si>
  <si>
    <t xml:space="preserve">Limpieza del terreno </t>
  </si>
  <si>
    <t>Replanteo y trazado de cimientos</t>
  </si>
  <si>
    <t>Excavacion manual</t>
  </si>
  <si>
    <t>Excavación para cimientos (Manual)</t>
  </si>
  <si>
    <t>Enlucido de tumbado de losa</t>
  </si>
  <si>
    <t>Enlucido de escalera (rampa y tumbados)</t>
  </si>
  <si>
    <t>Enlucido de escalera (escalones)</t>
  </si>
  <si>
    <t>Adoquin de hormigon e= 8cm (parqueos)</t>
  </si>
  <si>
    <t>Pavimento exterior  de hormigón simple e= 10cm</t>
  </si>
  <si>
    <t>Redes de PVC presión roscable   1/2  (inc. Accesorios)</t>
  </si>
  <si>
    <t>Reductor  de PP roscable ø 3/4” × 1/2”</t>
  </si>
  <si>
    <t>Codo PP roscable ½" X 45</t>
  </si>
  <si>
    <t>Redes de PVC presión roscable   1 1/2 (inc. Accesorios)</t>
  </si>
  <si>
    <t>Tuberia PVC des ø  50mm</t>
  </si>
  <si>
    <t>Tuberia PVC des ø75mm</t>
  </si>
  <si>
    <t>Tuberia PVC des ø50mm</t>
  </si>
  <si>
    <t>TUBERIA   PVC des ø 110 mm AA.SS.</t>
  </si>
  <si>
    <t xml:space="preserve">Puertas madera (0.90m x 2. 00m). </t>
  </si>
  <si>
    <t>CERRADURA  POMO</t>
  </si>
  <si>
    <t>CERRADURA  BAÑO</t>
  </si>
  <si>
    <t xml:space="preserve">Puertas madera (0.80m x 2,00m). </t>
  </si>
  <si>
    <t xml:space="preserve">Puertas madera (0.70m x 2,00m). </t>
  </si>
  <si>
    <t xml:space="preserve">Puertas madera (0.60m x 2,00m). </t>
  </si>
  <si>
    <t>Gypsum (tipo losa)</t>
  </si>
  <si>
    <t>Revestimiento de meson en cocina</t>
  </si>
  <si>
    <t xml:space="preserve">Revestimiento de meson en baños </t>
  </si>
  <si>
    <t>Yeso (perfileria aluminio)</t>
  </si>
  <si>
    <t xml:space="preserve">GYPSUM </t>
  </si>
  <si>
    <t>Fibrocel prepintado (perfileria metalica prepintada)</t>
  </si>
  <si>
    <t>Desalojo</t>
  </si>
  <si>
    <t>Tubería de PVC Desagüe de 160mm.</t>
  </si>
  <si>
    <t>Colector   PVC des ø 160 mm AA.SS.</t>
  </si>
  <si>
    <t>Rejillas aluminio CC 150 x 110mm</t>
  </si>
  <si>
    <t>Permatex 11 onz</t>
  </si>
  <si>
    <t>Tubo</t>
  </si>
  <si>
    <t>Silicon 11 onz.</t>
  </si>
  <si>
    <t>Llave</t>
  </si>
  <si>
    <t>Dispensador de papel acero inoxidable</t>
  </si>
  <si>
    <t>Secador de manos automatico</t>
  </si>
  <si>
    <t>Dispensador de jabon de acero inoxidable</t>
  </si>
  <si>
    <t>Ducha regadera, griferia monocromada</t>
  </si>
  <si>
    <t xml:space="preserve">GRIFERIA </t>
  </si>
  <si>
    <t>LLAVE ANGULAR Y TUBERIA DE ABASTO</t>
  </si>
  <si>
    <t>DESAGUE DE 1 1/4</t>
  </si>
  <si>
    <t>SIFON DE 1 1/4</t>
  </si>
  <si>
    <t>GRIFERIA PRESSMATIC</t>
  </si>
  <si>
    <t xml:space="preserve">u </t>
  </si>
  <si>
    <t>LAVAMANOS DE PEDESTAL</t>
  </si>
  <si>
    <t xml:space="preserve">LAVAMANOS DE EMPOTRAR </t>
  </si>
  <si>
    <t>LLAVE ANGULAR Y GRIFERIA DE PRESION FRONTAL</t>
  </si>
  <si>
    <t>Urinario</t>
  </si>
  <si>
    <t>Par</t>
  </si>
  <si>
    <t>Pares de tornillo de anclaje para inodoro</t>
  </si>
  <si>
    <t xml:space="preserve">Anillo de Cera </t>
  </si>
  <si>
    <t>Inodoros de tanque</t>
  </si>
  <si>
    <t>2.4.11</t>
  </si>
  <si>
    <t>Ventanas (abatibles)  aluminio y vidrio</t>
  </si>
  <si>
    <t>Ventanas (corredizas)  aluminio y vidrio</t>
  </si>
  <si>
    <t>FORM. #3</t>
  </si>
  <si>
    <t>Replantillo hormigon simple</t>
  </si>
  <si>
    <t>Estructuras metalicas para cubiertas</t>
  </si>
  <si>
    <t>PLANCHA STEEL PANEL</t>
  </si>
  <si>
    <t>Estructura espacial de aluminio</t>
  </si>
  <si>
    <t>Planchas de alumino compuesto</t>
  </si>
  <si>
    <t>ESPACATO</t>
  </si>
  <si>
    <t>PEGAMENTO</t>
  </si>
  <si>
    <t>ALFOMBRA</t>
  </si>
  <si>
    <t>Operador equipo pesado OEP 2</t>
  </si>
  <si>
    <t xml:space="preserve">Tuberia de cobre de 3/8" </t>
  </si>
  <si>
    <t>Base metálica</t>
  </si>
  <si>
    <t>2.1.13</t>
  </si>
  <si>
    <t>Flashing de pared</t>
  </si>
  <si>
    <t>1.9.22</t>
  </si>
  <si>
    <t>Tapas para Cajas de registro (de hierro fundido) AA.SS.- AA.LL.</t>
  </si>
  <si>
    <t>Tapa de hierro ductil</t>
  </si>
  <si>
    <t>Flashing</t>
  </si>
  <si>
    <t>unidad</t>
  </si>
  <si>
    <t>Extractor tipo hongo 3000 CFM 1"SP</t>
  </si>
  <si>
    <t>4.1.1.5</t>
  </si>
  <si>
    <t>4.1.1.6</t>
  </si>
  <si>
    <t>4.1.1.7</t>
  </si>
  <si>
    <t>Ducto plancha galvanizada aislada con Ductwrap</t>
  </si>
  <si>
    <t>kilos</t>
  </si>
  <si>
    <t>Ducto plancha galvanizada sin aislar con Ductwrap</t>
  </si>
  <si>
    <t>Difusor de aire 10x10"</t>
  </si>
  <si>
    <t>Difusor de aire 12x12"</t>
  </si>
  <si>
    <t>Difusor de aire 14x14"</t>
  </si>
  <si>
    <t>Rejilla de retorno 14x14"</t>
  </si>
  <si>
    <t>Rejilla de retorno 18x18"</t>
  </si>
  <si>
    <t>Rejilla de retorno 20x20"</t>
  </si>
  <si>
    <t>Rejilla de retorno 22x22"</t>
  </si>
  <si>
    <t>Rejilla de retorno 24x24"</t>
  </si>
  <si>
    <t>Rejilla de extracción 6x6"</t>
  </si>
  <si>
    <t>Rejilla de extracción 8x8"</t>
  </si>
  <si>
    <t>Manguera flexible de 10"</t>
  </si>
  <si>
    <t>metros</t>
  </si>
  <si>
    <t>Manguera flexible de 12"</t>
  </si>
  <si>
    <t>Tuberia de cobre 1/4</t>
  </si>
  <si>
    <t>Tuberia de cobre 1/2</t>
  </si>
  <si>
    <t>Tuberia de cobre 3/4</t>
  </si>
  <si>
    <t>Tuberia de cobre 3/8</t>
  </si>
  <si>
    <t>Tuberia de cobre 7/8</t>
  </si>
  <si>
    <t>Tuberia de cobre 1 3/8</t>
  </si>
  <si>
    <t>Aislante rubatex 3/4</t>
  </si>
  <si>
    <t>Aislante rubatex 5/8</t>
  </si>
  <si>
    <t>Aislante rubatex 7/8</t>
  </si>
  <si>
    <t>Aislante rubatex 1 3/8</t>
  </si>
  <si>
    <t>Timer</t>
  </si>
  <si>
    <t>Presotato de Alta</t>
  </si>
  <si>
    <t>Presotato de Baja</t>
  </si>
  <si>
    <t xml:space="preserve">Refrigerante R22 </t>
  </si>
  <si>
    <t>libras</t>
  </si>
  <si>
    <t>Filtro de 3/8  5 TON</t>
  </si>
  <si>
    <t>Filtro de 1/2 15 TON</t>
  </si>
  <si>
    <t>palillos</t>
  </si>
  <si>
    <t>Base metálica para unidad hasta 24,000 btuh</t>
  </si>
  <si>
    <t>Base metálica para unidad de 36,000 btuh hasta 60,000 btuh</t>
  </si>
  <si>
    <t>Base para unidad más de 60,000 btuh</t>
  </si>
  <si>
    <t>Base metálica para unidad extractor</t>
  </si>
  <si>
    <t>Drenaje corto para empate de equipo</t>
  </si>
  <si>
    <t>Drenaje largo para empate de equipo</t>
  </si>
  <si>
    <t>4.1.2.21</t>
  </si>
  <si>
    <t>4.1.2.22</t>
  </si>
  <si>
    <t>4.1.2.23</t>
  </si>
  <si>
    <t>4.1.2.24</t>
  </si>
  <si>
    <t>4.1.2.25</t>
  </si>
  <si>
    <t>4.1.2.26</t>
  </si>
  <si>
    <t>4.1.2.27</t>
  </si>
  <si>
    <t>4.1.2.28</t>
  </si>
  <si>
    <t>4.1.2.29</t>
  </si>
  <si>
    <t>4.1.2.30</t>
  </si>
  <si>
    <t>4.1.2.31</t>
  </si>
  <si>
    <t>4.1.2.32</t>
  </si>
  <si>
    <t>4.1.2.33</t>
  </si>
  <si>
    <t>4.1.2.34</t>
  </si>
  <si>
    <t>4.1.2.35</t>
  </si>
  <si>
    <t>4.1.2.36</t>
  </si>
  <si>
    <t>4.1.2.37</t>
  </si>
  <si>
    <t>4.1.2.38</t>
  </si>
  <si>
    <t>Soportería para ductos incluye: angulos, cadena y varilla roscada.</t>
  </si>
  <si>
    <t>Mano de obra por instalación unidad de hasta 24,000 btuh</t>
  </si>
  <si>
    <t>Mano de obra por instalación unidad más de 90,000 btuh</t>
  </si>
  <si>
    <t>4.1.3.4</t>
  </si>
  <si>
    <t xml:space="preserve">Split Consola Decorativa de 12,000 btuh </t>
  </si>
  <si>
    <t xml:space="preserve">Split ducto de 180,000 btuh </t>
  </si>
  <si>
    <t xml:space="preserve">Central paquete de 120,000 btuh </t>
  </si>
  <si>
    <t xml:space="preserve">Split Piso techo de 60,000 btuh  </t>
  </si>
  <si>
    <t xml:space="preserve">Split piso techo de 48,000 btuh  </t>
  </si>
  <si>
    <t>Split piso techo de 36,000 btuh</t>
  </si>
  <si>
    <t>Cielo raso: Armstrong</t>
  </si>
  <si>
    <t>Planchas Armstrong</t>
  </si>
  <si>
    <t>Puertas metálicas 2u(0.90m x 2. 00m). Código Pd3</t>
  </si>
  <si>
    <t>Puertas metálicas 2u(0.60m x 2. 00m). Código Pd4</t>
  </si>
  <si>
    <t>2.1.9</t>
  </si>
  <si>
    <t>2.1.10</t>
  </si>
  <si>
    <t>Puertas de aluminio y vidrio templado  0,90 x 2,20  Codigo Pd1</t>
  </si>
  <si>
    <t>2.1.11</t>
  </si>
  <si>
    <t>Puertas metálicas (0.90m x 2. 00m). Código P1</t>
  </si>
  <si>
    <t>Puertas de aluminio y vidrio 0,80 x 2,00  Codigo P2</t>
  </si>
  <si>
    <t>Puertas de aluminio y acrílico opaco 0,65 x 1,80  Codigo P3</t>
  </si>
  <si>
    <t>OBRAS DE ACABADOS</t>
  </si>
  <si>
    <t>1.2.3</t>
  </si>
  <si>
    <t>Guardiania</t>
  </si>
  <si>
    <t>MOVIMIENTOS DE TIERRA</t>
  </si>
  <si>
    <t>M4</t>
  </si>
  <si>
    <t>DVR</t>
  </si>
  <si>
    <t>MES 1</t>
  </si>
  <si>
    <t>MES 2</t>
  </si>
  <si>
    <t>MES 3</t>
  </si>
  <si>
    <t>MES 4</t>
  </si>
  <si>
    <t>MES 5</t>
  </si>
  <si>
    <t>Retroexcavadora</t>
  </si>
  <si>
    <t>Martillo de aire  (inc. Compresor)</t>
  </si>
  <si>
    <t>PLANCHA</t>
  </si>
  <si>
    <t>ANGULO</t>
  </si>
  <si>
    <t>TOTAL KG</t>
  </si>
  <si>
    <t>Pasamano de mampostería (MP) en rampas para minusválidos. (inc. Enlucido)</t>
  </si>
  <si>
    <t>Cajas de registro (hormigon y malla elect.) AA.SS.- AA.LL. inc. Enlucido</t>
  </si>
  <si>
    <t>INSTALACIONES SANITARIAS</t>
  </si>
  <si>
    <t>INODOROS</t>
  </si>
  <si>
    <t>URINARIOS</t>
  </si>
  <si>
    <t>LAVAMANOS EMPOTRAR</t>
  </si>
  <si>
    <t>LAVAMANOS PEDESTAL</t>
  </si>
  <si>
    <t>LAVADERO 1 POZO</t>
  </si>
  <si>
    <t>3.2.11</t>
  </si>
  <si>
    <t>Muros hormigon armado a= 1.20m</t>
  </si>
  <si>
    <t>Tapa de hormgon (inc. Marco metalico)</t>
  </si>
  <si>
    <t>Pantalla deflectora</t>
  </si>
  <si>
    <t>Accesorios de PVC</t>
  </si>
  <si>
    <t xml:space="preserve">Inodoros de tanque </t>
  </si>
  <si>
    <t>Urinarios</t>
  </si>
  <si>
    <t>ACOMETIDA EN MEDIA TENSION TRIFASICA SUBTERRANEA</t>
  </si>
  <si>
    <t>HERRAMIENTAS MENORES</t>
  </si>
  <si>
    <t>MAESTRO ELECTRICISTA</t>
  </si>
  <si>
    <t>TUBERIA RIGIDA 4"</t>
  </si>
  <si>
    <t>CODO RIGIDO 4"</t>
  </si>
  <si>
    <t>REVERSIBLE 4"</t>
  </si>
  <si>
    <t>CAJA DE CEMENTO 80X80X80 cm</t>
  </si>
  <si>
    <t>TUBO 110 mm PVC</t>
  </si>
  <si>
    <t>CABLE 15 KV. # 2 COBRE</t>
  </si>
  <si>
    <t>CABLE DESNUDO # 6 COBRE</t>
  </si>
  <si>
    <t>PUNTAS EXTERIORES 15KV</t>
  </si>
  <si>
    <t>CINTA CAUCHO</t>
  </si>
  <si>
    <t>CINTA PLASTICA</t>
  </si>
  <si>
    <t>CAJA INTERRUPTOR 15 KV.100 A.</t>
  </si>
  <si>
    <t>PARARRAYOS 10 KV</t>
  </si>
  <si>
    <t>CONECTOR INSERT</t>
  </si>
  <si>
    <t>CONECTOR CODO</t>
  </si>
  <si>
    <t>saco</t>
  </si>
  <si>
    <t>ESTACION DE TRANSFORMACION PADMOUNTED 500KVA - 3F</t>
  </si>
  <si>
    <t>TRANSFORMADOR TRIFASICO DE</t>
  </si>
  <si>
    <t>500KVA TIPO PADMOUNTED</t>
  </si>
  <si>
    <t>CAJA BASE Y ACCESORIOS</t>
  </si>
  <si>
    <t>CAMION</t>
  </si>
  <si>
    <t>ACOMETIDA EN BAJA TENSION</t>
  </si>
  <si>
    <t>CABLE # 500 MCM</t>
  </si>
  <si>
    <t>TUBERIA PVC 110 mm</t>
  </si>
  <si>
    <t>TERMINALES 500 MCM Y PERNOS</t>
  </si>
  <si>
    <t>CODO PVC 110 mm</t>
  </si>
  <si>
    <t>CABLE # 4/0 AWG</t>
  </si>
  <si>
    <t>CABLE # 1/0 AWG DESNUDO</t>
  </si>
  <si>
    <t>TABLERO DE DISTRIBUCION GENERAL (TDG)</t>
  </si>
  <si>
    <t>GABINETE METALICO 200x180x60 cm                              CON LOS SIGUIENTES ELEMENTOS:</t>
  </si>
  <si>
    <t>BREAKER 3P-2000A - REGULABLE</t>
  </si>
  <si>
    <t>IMPERMEABILIZANTE DE LADRILLOS</t>
  </si>
  <si>
    <t>CEMENTO ASFALTICO</t>
  </si>
  <si>
    <t>Pared mamposteria bloque e= 19cm</t>
  </si>
  <si>
    <t>Dinteles y Viguetas h. armado   9x20cm</t>
  </si>
  <si>
    <t>Dinteles y Viguetas h. armado   19x20cm</t>
  </si>
  <si>
    <t>Dinteles y Viguetas h. armado   14x20cm</t>
  </si>
  <si>
    <t>Dinteles y Viguetas h. armado   6,5x20cm</t>
  </si>
  <si>
    <t>Pilaretes h. armado   19x20cm</t>
  </si>
  <si>
    <t>Pilaretes h. armado   14x20cm</t>
  </si>
  <si>
    <t>Pilaretes h. armado   6,5x20cm</t>
  </si>
  <si>
    <t>Pilaretes h. armado   9x20cm</t>
  </si>
  <si>
    <t>Cubierta Eternit</t>
  </si>
  <si>
    <t xml:space="preserve">PLANCHA ETERNIT </t>
  </si>
  <si>
    <t>Estructuras metalicas: de cubierta</t>
  </si>
  <si>
    <t>PUERTA MADERA DURA 90x200</t>
  </si>
  <si>
    <t>PUERTA MADERA DURA 80x200</t>
  </si>
  <si>
    <t>PUERTA MADERA DURA  70x200</t>
  </si>
  <si>
    <t>PUERTA MADERA DURA 100x200</t>
  </si>
  <si>
    <t xml:space="preserve">PUERTA  TAMBORADA 90x200 </t>
  </si>
  <si>
    <t>PUERTA  TAMBORADA 80x200</t>
  </si>
  <si>
    <t>PUERTA  TAMBORADA 70x200</t>
  </si>
  <si>
    <t>PUERTA  TAMBORADA 60x200</t>
  </si>
  <si>
    <t>PUERTA LAUREL 80x200</t>
  </si>
  <si>
    <t>PUERTA MADERA DURA  60x200</t>
  </si>
  <si>
    <t>BATIENTE MADERA DURA</t>
  </si>
  <si>
    <t>JAMBA MADERA DURA</t>
  </si>
  <si>
    <t>CARPINTERIA: MADERA</t>
  </si>
  <si>
    <t>BARRAS DE COBRE 2500A - 3F</t>
  </si>
  <si>
    <t>juego</t>
  </si>
  <si>
    <t>BREAKER 3P-1000A - REGULABLE</t>
  </si>
  <si>
    <t>BREAKER 3P-150A</t>
  </si>
  <si>
    <t>BREAKER 3P-125A</t>
  </si>
  <si>
    <t>BREAKER 3P-100A</t>
  </si>
  <si>
    <t>BREAKER 3P-70A</t>
  </si>
  <si>
    <t>BREAKER 3P-60A</t>
  </si>
  <si>
    <t>BREAKER 3P-40A</t>
  </si>
  <si>
    <t>VOLTIMETRO, AMPERIMENTO, SELECTORES</t>
  </si>
  <si>
    <t>TRANSFORMADORES DE CORRIENTE</t>
  </si>
  <si>
    <t>BARRA AISLADA NEUTRO 400A, BARRA PARA</t>
  </si>
  <si>
    <t>TIERRA 500A</t>
  </si>
  <si>
    <t>CABLEADO Y VARIOS</t>
  </si>
  <si>
    <t>BREAKERS 2P-40A</t>
  </si>
  <si>
    <t>BASE DE HORMIGON</t>
  </si>
  <si>
    <t>TABLERO SISTEMA DE CLIMATIZACION CONDENSADORES (TAA-UC)</t>
  </si>
  <si>
    <t>BARRA DE COBRE 1000A-3F</t>
  </si>
  <si>
    <t>BARRA DE COBRE NEUTRO 400A</t>
  </si>
  <si>
    <t>BARRA DE COBRE TIERRA 400A</t>
  </si>
  <si>
    <t>TERMINALES</t>
  </si>
  <si>
    <t>GABINETE METALICO 200x120x60 cm</t>
  </si>
  <si>
    <t>CON LOS SIGUIENTES ELEMENTOS:</t>
  </si>
  <si>
    <t>BREAKERS 125A-3P</t>
  </si>
  <si>
    <t>BREAKERS 80A-3P</t>
  </si>
  <si>
    <t>BREAKERS 60A-3P</t>
  </si>
  <si>
    <t>BREAKERS 50A-3P</t>
  </si>
  <si>
    <t>BREAKERS 40A-3P</t>
  </si>
  <si>
    <t>BREAKERS 20A-3P</t>
  </si>
  <si>
    <t>BREAKERS 30A-3P</t>
  </si>
  <si>
    <t>PLACAS DE IDENTIFICADION</t>
  </si>
  <si>
    <t>BASE DE MANPOSTERIA</t>
  </si>
  <si>
    <t>TABLERO SISTEMA DE CLIMATIZACION EVAPORADORES</t>
  </si>
  <si>
    <t>GABINETE METALICO 194x110x40 cm</t>
  </si>
  <si>
    <t>BARRAS DE COBRE 3F-300A</t>
  </si>
  <si>
    <t>BARRAS DE COBRE 220A</t>
  </si>
  <si>
    <t>BREAKERS 2P-15A</t>
  </si>
  <si>
    <t>BREAKERS 2P-20A</t>
  </si>
  <si>
    <t>PLACAS DE IDENTIFICACION</t>
  </si>
  <si>
    <t>PANEL DE BREAKER: PBA, PBT, P1, P2</t>
  </si>
  <si>
    <t>PANEL DISYUNTORES TRIFASICO</t>
  </si>
  <si>
    <t>BREAKERS 20A-1P</t>
  </si>
  <si>
    <t>BREAKERS 20A-2P</t>
  </si>
  <si>
    <t>PANEL DE BREAKER: PBR, PCR, P1R, P2R</t>
  </si>
  <si>
    <t>PANEL DE BREAKER PAE</t>
  </si>
  <si>
    <t>PANEL DISYUNTORES 24 ESPACIOS TRIFASICO</t>
  </si>
  <si>
    <t>BREAKER 30A-2P</t>
  </si>
  <si>
    <t>TABLERO DE CONTROL ALUMBRADO</t>
  </si>
  <si>
    <t>GABINTE METALICO 40x40x20 cm</t>
  </si>
  <si>
    <t>CONTACTORES DE 2P</t>
  </si>
  <si>
    <t>DISYUNTORES DE PROYECCION</t>
  </si>
  <si>
    <t>LUCES PILOTO</t>
  </si>
  <si>
    <t>INTERRUPTOR</t>
  </si>
  <si>
    <t>BARRERAS EXTRAIBLES</t>
  </si>
  <si>
    <t>SWITCH SELECTOR</t>
  </si>
  <si>
    <t>CAJAS PARA ENCENDIDO ALUMBRADO</t>
  </si>
  <si>
    <t>CAJA METALICA CON PUERTA</t>
  </si>
  <si>
    <t>CONTACTOR</t>
  </si>
  <si>
    <t>FOTOCELULA CON BASE</t>
  </si>
  <si>
    <t>12 ( a )</t>
  </si>
  <si>
    <t>TABLERO DE CONMUTACION 15KVA</t>
  </si>
  <si>
    <t>GABINETE METALICO 50x40x20 cm</t>
  </si>
  <si>
    <t>CONMUTADOR DE 3 POLOS - 63A</t>
  </si>
  <si>
    <t>LUZ PILOTO (VERDE-ROJA)</t>
  </si>
  <si>
    <t>BARRERAS 80A  4AWG</t>
  </si>
  <si>
    <t>BARRAS AISLADAS 100A</t>
  </si>
  <si>
    <t>12 ( b )</t>
  </si>
  <si>
    <t>TABLERO DE CONMUTACION 10KVA</t>
  </si>
  <si>
    <t>LUZ PILOTO(VERDE-ROJA) LEB</t>
  </si>
  <si>
    <t>BARRERAS 80A</t>
  </si>
  <si>
    <t>BARRA AISLADA 100A</t>
  </si>
  <si>
    <t>12 ( c )</t>
  </si>
  <si>
    <t>TABLERO DE CONMUTACION 5KVA</t>
  </si>
  <si>
    <t>CONMUTADOR DE 3 POLOS - 25A</t>
  </si>
  <si>
    <t>BARRERAS 50A #8AWG</t>
  </si>
  <si>
    <t>TABLERO DE CONMUTACION 50KVA</t>
  </si>
  <si>
    <t>GABINETE METALICO 80x60x25 cm</t>
  </si>
  <si>
    <t>BREAKERS 160A-3P</t>
  </si>
  <si>
    <t>ENCLAVAMIENTO PARA 3 BREAKERS</t>
  </si>
  <si>
    <t>LUZ PILOTO (VERDE-ROJO) LEB</t>
  </si>
  <si>
    <t>BARRAS DE COBRE 3P-220A COR</t>
  </si>
  <si>
    <t>BARRA AISLADA 220A</t>
  </si>
  <si>
    <t>14 ( a )</t>
  </si>
  <si>
    <t>UPS - REGULADORES 60KVA - 3F</t>
  </si>
  <si>
    <t>TRUE ON LINE DOBLE CONVERSION</t>
  </si>
  <si>
    <t>CONTROL POR MICROPROCESADOR</t>
  </si>
  <si>
    <t>60 KVA TRIFASICO</t>
  </si>
  <si>
    <t>AUTONOMIA 10 mts - FULL CARGA</t>
  </si>
  <si>
    <t>TRANSFERENCIA INSTANTANEA</t>
  </si>
  <si>
    <t>BATERIAS SELLADAS, LIBRE MANTENIMIENTO</t>
  </si>
  <si>
    <t>VOLTAJE ENTRADA 3x220/127 voltios - 3F+N</t>
  </si>
  <si>
    <t>VOLTAJE SALIDA 3x220/127 voltios + -3% ONDA SENO PURA CONSTANTE</t>
  </si>
  <si>
    <t>DISTORISION ARMONICA &lt;3% THD</t>
  </si>
  <si>
    <t>PROTECCIONES: FILTRO DE RUIDOS, SUBRECARGA Y CORTOCIRCUITO TRANSFORMADOR DE AISLAMIENTO</t>
  </si>
  <si>
    <t>14 ( b )</t>
  </si>
  <si>
    <t>UPS - REGULADORES 20KVA - 3F</t>
  </si>
  <si>
    <t>20 KVA TRIFASICO</t>
  </si>
  <si>
    <t>14 ( c )</t>
  </si>
  <si>
    <t>UPS - REGULADORES 10KVA MONOFASICO</t>
  </si>
  <si>
    <t>10 KVA MONOFASICO</t>
  </si>
  <si>
    <t>VOLTAJE ENTRADA 208-240 voltios</t>
  </si>
  <si>
    <t>VOLTAJE SALIDA 208-240 voltios ONDA SENO PURA CONSTANTE</t>
  </si>
  <si>
    <r>
      <t xml:space="preserve">FACTOR DE POTENCIA </t>
    </r>
    <r>
      <rPr>
        <sz val="10"/>
        <rFont val="Calibri"/>
        <family val="2"/>
      </rPr>
      <t>≥</t>
    </r>
    <r>
      <rPr>
        <sz val="10"/>
        <rFont val="Arial"/>
        <family val="2"/>
      </rPr>
      <t xml:space="preserve"> 0,99 CON CONECTOR</t>
    </r>
  </si>
  <si>
    <t>14 ( d )</t>
  </si>
  <si>
    <t>UPS - REGULADORES 6KVA MONOFASICO</t>
  </si>
  <si>
    <t>6 KVA MONOFASICO</t>
  </si>
  <si>
    <t>AUTONOMIA 8 minutos FULL CARGA</t>
  </si>
  <si>
    <t>FACTOR DE POTENCIA</t>
  </si>
  <si>
    <t>DISTORISION ARMONICA 2% THD</t>
  </si>
  <si>
    <t>INCORPORA TRANSFORMADOR DE AISLAMIENTO</t>
  </si>
  <si>
    <t>ACOMETIDA A TABLERO TAA-UC</t>
  </si>
  <si>
    <t>TUBERIA EMT 3"</t>
  </si>
  <si>
    <t>UNION EMT 3"</t>
  </si>
  <si>
    <t>CODO EMT 3"</t>
  </si>
  <si>
    <t>CABLE # 2/0 AWG</t>
  </si>
  <si>
    <t>MATERIALES PEQUEÑOS</t>
  </si>
  <si>
    <t>lote</t>
  </si>
  <si>
    <t>ACOMETIDA A TABLERO TAA-UE</t>
  </si>
  <si>
    <t>TUBERIA EMT 1/2"</t>
  </si>
  <si>
    <t>UNION EMT 1/2"</t>
  </si>
  <si>
    <t>CODO EMT 1/2"</t>
  </si>
  <si>
    <t>CABLE # 2 AWG</t>
  </si>
  <si>
    <t>CABLE # 6 AWG</t>
  </si>
  <si>
    <t>17 ( a )</t>
  </si>
  <si>
    <t>ACOMETIDA A PANEL DE BREAKERS PBA</t>
  </si>
  <si>
    <t>CABLE # 4 AWG</t>
  </si>
  <si>
    <t>17 ( b )</t>
  </si>
  <si>
    <t>ACOMETIDA A PANEL DE BREAKERS PBT</t>
  </si>
  <si>
    <t>TUBERIA EMT 1 1/4"</t>
  </si>
  <si>
    <t>UNION EMT 1 1/4"</t>
  </si>
  <si>
    <t>CODO EMT 1 1/4"</t>
  </si>
  <si>
    <t>CABLE # 8 AWG</t>
  </si>
  <si>
    <t>17 ( c )</t>
  </si>
  <si>
    <t>ACOMETIDA A PANEL DE BREAKERS P1</t>
  </si>
  <si>
    <t>TUBERIA EMT 2"</t>
  </si>
  <si>
    <t>CABLE # 1/0 AWG</t>
  </si>
  <si>
    <t>17 ( d )</t>
  </si>
  <si>
    <t>ACOMETIDA A PANEL DE BREAKERS P2</t>
  </si>
  <si>
    <t>17 ( e )</t>
  </si>
  <si>
    <t>ACOMETIDA A PANEL DE BREAKERS PAE</t>
  </si>
  <si>
    <t>17 ( f )</t>
  </si>
  <si>
    <t>ACOMETIDA A PANEL DE BREAKERS T-PC (SOLO TUBERIA)</t>
  </si>
  <si>
    <t>TUBERIA PVC 40 mm</t>
  </si>
  <si>
    <t>CODO PVC 40 mm</t>
  </si>
  <si>
    <t>17 ( g )</t>
  </si>
  <si>
    <t>ACOMETIDA A PANEL DE BREAKERS PBR</t>
  </si>
  <si>
    <t>17 ( h )</t>
  </si>
  <si>
    <t>ACOMETIDA A PANEL DE BREAKERS P1R</t>
  </si>
  <si>
    <t>TUBERIA EMT 1"</t>
  </si>
  <si>
    <t>UNION EMT 1"</t>
  </si>
  <si>
    <t>17 ( i )</t>
  </si>
  <si>
    <t>ACOMETIDA A PANEL DE BREAKERS P2R</t>
  </si>
  <si>
    <t>CABLE # 10 AWG</t>
  </si>
  <si>
    <t>17 ( j )</t>
  </si>
  <si>
    <t>ACOMETIDA A PANEL DE BREAKERS PCR</t>
  </si>
  <si>
    <t>CODO EMT 2"</t>
  </si>
  <si>
    <t>18 ( a )</t>
  </si>
  <si>
    <t>ALIMENTACION A CONDENSADOR DE 180.000 BTU</t>
  </si>
  <si>
    <t>CANALETA METALICA</t>
  </si>
  <si>
    <t>FUNDA SELLADA 1 1/2"</t>
  </si>
  <si>
    <t>CABLE # 2</t>
  </si>
  <si>
    <t>CABLE # 8</t>
  </si>
  <si>
    <t>18 ( b )</t>
  </si>
  <si>
    <t>ALIMENTACION A CONDENSADOR DE 60.000 BTU</t>
  </si>
  <si>
    <t>FUNDA SELLADA 1"</t>
  </si>
  <si>
    <t>CONECTORES</t>
  </si>
  <si>
    <t>CABLE # 6</t>
  </si>
  <si>
    <t>CABLE # 12</t>
  </si>
  <si>
    <t>18 ( c )</t>
  </si>
  <si>
    <t>ALIMENTACION A CONDENSADOR DE 48.000 BTU</t>
  </si>
  <si>
    <t>FUNDA SELLADA 3/4"</t>
  </si>
  <si>
    <t>CONECTORES 3/4</t>
  </si>
  <si>
    <t>18 ( d )</t>
  </si>
  <si>
    <t>ALIMENTACION A CONDENSADOR DE 36.000 BTU</t>
  </si>
  <si>
    <t>CONECTOR</t>
  </si>
  <si>
    <t>CABLE # 10</t>
  </si>
  <si>
    <t>18 ( e )</t>
  </si>
  <si>
    <t>ALIMENTACION A CONDENSADOR DE 12.000 BTU</t>
  </si>
  <si>
    <t>FUNDA SELLADA 1/2"</t>
  </si>
  <si>
    <t>CONECTORES 1/2"</t>
  </si>
  <si>
    <t>CABLE # 14</t>
  </si>
  <si>
    <t>ALIMENTACION A UNIDADES PAQUETE 120.000 BTU</t>
  </si>
  <si>
    <t>FUNDA SELLADA 1 1/4"</t>
  </si>
  <si>
    <t>CONECTOR F5 1 1/4"</t>
  </si>
  <si>
    <t>ALIMENTACION A EXTRACTORES 3F</t>
  </si>
  <si>
    <t>ALIMENTACION ELECTRICA PARA ASCENSOR</t>
  </si>
  <si>
    <t>22 ( a )</t>
  </si>
  <si>
    <t>ALIMENTACION EVAPORADORES 180.000 BTU</t>
  </si>
  <si>
    <t>CONECTOR EMT 1/2"</t>
  </si>
  <si>
    <t>22 ( b )</t>
  </si>
  <si>
    <t>UNIDADES EVAPORADORAS CHICAS</t>
  </si>
  <si>
    <t>23 ( a )</t>
  </si>
  <si>
    <t>SALIDA DE CIRCUITOS - ALUMBRADO</t>
  </si>
  <si>
    <t>CONECTOR 1/2"</t>
  </si>
  <si>
    <t>CAJA OCTAGONAL C/T</t>
  </si>
  <si>
    <t>ALAMBRE # 12</t>
  </si>
  <si>
    <t>CABLE SUCRE 2x16 AWG</t>
  </si>
  <si>
    <t>CONECTOR CABLE</t>
  </si>
  <si>
    <t>23 ( b )</t>
  </si>
  <si>
    <t>SALIDA DE CIRCUITOS - TOMACORRIENTES SERVICIO NORMAL</t>
  </si>
  <si>
    <t>CAJA HECTAGONAL</t>
  </si>
  <si>
    <t>ALAMBRE # 14</t>
  </si>
  <si>
    <t>TOMACORRIENTE DOBLE POLARIZADO</t>
  </si>
  <si>
    <t>23 ( c )</t>
  </si>
  <si>
    <t>SALIDA DE CIRCUITOS - TOMACORRIENTES REGULADOS</t>
  </si>
  <si>
    <t>ALAMBRE # 12 AWG</t>
  </si>
  <si>
    <t>ALAMBRE # 14 AWG</t>
  </si>
  <si>
    <t xml:space="preserve">TOMACORRIENTE DOBLE POLARIZADO </t>
  </si>
  <si>
    <t>CON TIERRA AISLADA</t>
  </si>
  <si>
    <t>24 ( a )</t>
  </si>
  <si>
    <t>LUMINARIA 3 x 32 W</t>
  </si>
  <si>
    <t>LUMINARIA FLUORENCENTE</t>
  </si>
  <si>
    <t>3x32W ELECTRONICA PARA TUMBADO</t>
  </si>
  <si>
    <t>24 ( b )</t>
  </si>
  <si>
    <t>LUMINARIA 4 x 17 W</t>
  </si>
  <si>
    <t>LUMINARIA FLUORENCENTE CON 4 TUBOS DE 17W</t>
  </si>
  <si>
    <t>EQUIPO ELECTRONICO PARA MONTAR EL TUMBADO</t>
  </si>
  <si>
    <t>24 ( c )</t>
  </si>
  <si>
    <t>LUMINARIA 3 x 17 W</t>
  </si>
  <si>
    <t>LUMINARIA DE 3 TUBOS FLUORECENTES DE 17W</t>
  </si>
  <si>
    <t>EQUIPO ELECTRONICO PARA MONTAR SOBREPUESTO</t>
  </si>
  <si>
    <t>24 ( d )</t>
  </si>
  <si>
    <t>LUMINARIA 2 x 26 W</t>
  </si>
  <si>
    <t>LUMINARIA TIPO OJO DE BUEY DE 2 LAMPARAS</t>
  </si>
  <si>
    <t>DE 26W PARA EMPOTRAR</t>
  </si>
  <si>
    <t>24 ( e )</t>
  </si>
  <si>
    <t>LUMINARIA 2 x 42 W</t>
  </si>
  <si>
    <t>DE 42W PARA EMPOTRAR</t>
  </si>
  <si>
    <t>24 ( f )</t>
  </si>
  <si>
    <t>LUMINARIA 2 x 60 W</t>
  </si>
  <si>
    <t>LUMINARIA BIDIRECCIONAL CON 2 LAMPARAS</t>
  </si>
  <si>
    <t>INCANDECENTES 60W PARA MONTAR EN PARED</t>
  </si>
  <si>
    <t>24 ( g )</t>
  </si>
  <si>
    <t>LUMINARIA 150 W - MH</t>
  </si>
  <si>
    <t>LUMINARIA TIPO OJO DE BUEY PARA EMPOTRAR</t>
  </si>
  <si>
    <t>EN TUMBADO, CON LAMPARA DE 150W METAL HALIDE</t>
  </si>
  <si>
    <t>Y TRANSFORMADOR</t>
  </si>
  <si>
    <t>24 ( h )</t>
  </si>
  <si>
    <t>LUMINARIA 70 W - MH</t>
  </si>
  <si>
    <t>EN TUMBADO, CON LAMPARA DE 70W METAL HALIDE</t>
  </si>
  <si>
    <t>24 ( i )</t>
  </si>
  <si>
    <t>LUMINARIA 150 W WALLPACK SUBIO</t>
  </si>
  <si>
    <t>LUMINARIA PARA MONTAR EN PAREDTIPO</t>
  </si>
  <si>
    <t>WALLPACK CON LAMPARA DE SODIO 150W</t>
  </si>
  <si>
    <t>24 ( j )</t>
  </si>
  <si>
    <t>LUMINARIA 250 W PARA POSTE CON BRAZO</t>
  </si>
  <si>
    <t>ESCALERA EXTENSION</t>
  </si>
  <si>
    <t>LUMINARIA PARA USO EXTERIOR, PARA MONTAJE</t>
  </si>
  <si>
    <t>CON BRAZO A POSTE CON LAMPARA DE 250W</t>
  </si>
  <si>
    <t>SODIO FOTOCELULA INCORPORADA</t>
  </si>
  <si>
    <t>24 ( k )</t>
  </si>
  <si>
    <t>LUMINARIA - REFLECTOR 250 W - MH</t>
  </si>
  <si>
    <t>REFLECTOR ASIMETRICO USO EXTERIOR CON</t>
  </si>
  <si>
    <t>LAMPARA DE 250W METAL HALIDE</t>
  </si>
  <si>
    <r>
      <t xml:space="preserve">24 ( </t>
    </r>
    <r>
      <rPr>
        <sz val="10"/>
        <rFont val="Arial"/>
        <family val="2"/>
      </rPr>
      <t>L</t>
    </r>
    <r>
      <rPr>
        <sz val="11"/>
        <rFont val="Arial"/>
        <family val="2"/>
      </rPr>
      <t xml:space="preserve"> )</t>
    </r>
  </si>
  <si>
    <t>LUMINARIA - MINIPOSTE 60 W</t>
  </si>
  <si>
    <t>LUMINARIA TIPO MINIPOSTE DE JARDIN CON</t>
  </si>
  <si>
    <t>LAMPARA DE 60W</t>
  </si>
  <si>
    <t>BASE DE CEMENTO</t>
  </si>
  <si>
    <t>24 ( m )</t>
  </si>
  <si>
    <t>LUMINARIA - EMPOTRABLE DE PISO 70 - MH</t>
  </si>
  <si>
    <t>LUMINARIA PARA EMPOTRAR EN PISO REDONDA CON</t>
  </si>
  <si>
    <t>LAMPARA DE 70W - MH</t>
  </si>
  <si>
    <t>24 ( n )</t>
  </si>
  <si>
    <t>LUMINARIA - GUIA EMPOTRABLE 15 W</t>
  </si>
  <si>
    <t>LUMINARIA PARA EMPOTRAR EN BORDILLO</t>
  </si>
  <si>
    <t>TIPO GUIA DE 15W CON REJILLA DE PROTECCION</t>
  </si>
  <si>
    <t>12 voltios</t>
  </si>
  <si>
    <t>POSTE METALICO 12m EN BASE DE CONCRETO</t>
  </si>
  <si>
    <t>CARRO GRUA</t>
  </si>
  <si>
    <t>POSTE TUBULAR METALICO PARA MONTAR EN BASE</t>
  </si>
  <si>
    <t>DE CEMENTO CON PERNOS</t>
  </si>
  <si>
    <t>26 ( a )</t>
  </si>
  <si>
    <t>RED ALUMBRADO PARQUEADEROS</t>
  </si>
  <si>
    <t>TUBERIA PVC 1"</t>
  </si>
  <si>
    <t>TUBERIA PVC 3/4"</t>
  </si>
  <si>
    <t>26 ( b )</t>
  </si>
  <si>
    <t>RED ALUMBRADO JARDINES</t>
  </si>
  <si>
    <t>TUBERIA PVC 1/2"</t>
  </si>
  <si>
    <t>Lavamanos de empotrar</t>
  </si>
  <si>
    <t>Lavamanos de pedestal</t>
  </si>
  <si>
    <t>Lavaplatos de  1 pozo</t>
  </si>
  <si>
    <t xml:space="preserve">LAVAPLATO  1 P/ 1E </t>
  </si>
  <si>
    <t>1.6.3</t>
  </si>
  <si>
    <t>1.6.4</t>
  </si>
  <si>
    <t>Muros de h. ciclopeo en estructuras</t>
  </si>
  <si>
    <t>PINTURA DE CAUCHO</t>
  </si>
  <si>
    <t>Tubería de PVC de 1"</t>
  </si>
  <si>
    <t>Codo de PVC Desagüe de 90 ° x  1"</t>
  </si>
  <si>
    <t>AYUDANTE</t>
  </si>
  <si>
    <t>Mamparas de aluminio y vidrio (oficina) MD2</t>
  </si>
  <si>
    <t>Mamparas de aluminio y  acrílico opaco en baños MD3</t>
  </si>
  <si>
    <t>Meson de h. armado en Recepcion de documentos (inc. Enlucido)</t>
  </si>
  <si>
    <t>RUBRO:</t>
  </si>
  <si>
    <t xml:space="preserve">Cuadrada de boquetes: puertas y ventanas </t>
  </si>
  <si>
    <t>TABIQUES oficinas</t>
  </si>
  <si>
    <t xml:space="preserve">TABIQUES baños </t>
  </si>
  <si>
    <t>Cubiertas de policarbonato (inc. estructura de sustentación)</t>
  </si>
  <si>
    <t>2.1.6</t>
  </si>
  <si>
    <t>Tubería de PVC Desagüe de 250mm.</t>
  </si>
  <si>
    <t>Colector PVC des ø 250mm</t>
  </si>
  <si>
    <t>Tuberia PVC des ø 110mm</t>
  </si>
  <si>
    <t>Tubería de PVC Desagüe de 75mm.</t>
  </si>
  <si>
    <t>MES</t>
  </si>
  <si>
    <t>CONSUMO DE AGUA</t>
  </si>
  <si>
    <t>CONSUMO DE LUZ</t>
  </si>
  <si>
    <t>MANTENIMIENTO DE OBRA</t>
  </si>
  <si>
    <t>3.1.8</t>
  </si>
  <si>
    <t>Division de aluminio y vidrio</t>
  </si>
  <si>
    <t xml:space="preserve">Vidrio templado </t>
  </si>
  <si>
    <t>Division de aluminio y acrilico</t>
  </si>
  <si>
    <t>Estructura espacial de celosia de aluminio</t>
  </si>
  <si>
    <t>Sobre estructura de aluminio para cubierta de steel panel</t>
  </si>
  <si>
    <t>Mesones de hormigon armado en baños (inc. Enlucido)</t>
  </si>
  <si>
    <t>Meson de hormigon armado en cafeteria (inc. Enlucido)</t>
  </si>
  <si>
    <t>2.4.9</t>
  </si>
  <si>
    <t>2.1.7</t>
  </si>
  <si>
    <t xml:space="preserve">Pintura exterior elastomérica </t>
  </si>
  <si>
    <t>Puertas metálicas 2u(0.90m x 2. 10m). Código Pd2</t>
  </si>
  <si>
    <t>Manubrio de acero inoxidable</t>
  </si>
  <si>
    <t>Puertas de aluminio y acrílico opaco 1,00 x 1,80  Codigo P4</t>
  </si>
  <si>
    <t>Acrilico e= 6mm</t>
  </si>
  <si>
    <t>Escalera  f'c= 250 kg/cm2</t>
  </si>
  <si>
    <t>1.6.9</t>
  </si>
  <si>
    <t>1.6.10</t>
  </si>
  <si>
    <t>1.6.11</t>
  </si>
  <si>
    <t>Andamios metálicos</t>
  </si>
  <si>
    <t>Consumibles</t>
  </si>
  <si>
    <t>Encofrado metálico</t>
  </si>
  <si>
    <t>Hormg. Premezclado bombeable f'c=280 Kg/cm2</t>
  </si>
  <si>
    <t>Alambre recocido #18</t>
  </si>
  <si>
    <t>Vigas de cimentacion</t>
  </si>
  <si>
    <t>Losa de cubierta de steel panel incluye estructura metálica</t>
  </si>
  <si>
    <t>ESTRUCTURA METALICA</t>
  </si>
  <si>
    <t>PLANCHA NOVALOSA</t>
  </si>
  <si>
    <t xml:space="preserve">Contrapiso hormigon armado   e= 10cm </t>
  </si>
  <si>
    <t>EMPASTE EXTERIOR</t>
  </si>
  <si>
    <t>Zapata y Vigas de cimentacion</t>
  </si>
  <si>
    <t>Riostras de cimentacion</t>
  </si>
  <si>
    <t xml:space="preserve">Columnas planta baja </t>
  </si>
  <si>
    <t>Columnas primer alto</t>
  </si>
  <si>
    <t>Columnas segundo alto</t>
  </si>
  <si>
    <t xml:space="preserve">Vigas planta baja </t>
  </si>
  <si>
    <t>Vigas primer alto</t>
  </si>
  <si>
    <t xml:space="preserve">Vigas de cubierta </t>
  </si>
  <si>
    <t>Losas primer alto</t>
  </si>
  <si>
    <t>Losas segundo alto</t>
  </si>
  <si>
    <t xml:space="preserve">Losas de cubierta </t>
  </si>
  <si>
    <t>Zapatas de cimentacion</t>
  </si>
  <si>
    <t>1.6.12</t>
  </si>
  <si>
    <t>1.6.13</t>
  </si>
  <si>
    <t>1.6.14</t>
  </si>
  <si>
    <t>Escaleras  de hormigon</t>
  </si>
  <si>
    <t>2.1.8</t>
  </si>
  <si>
    <t>Rejas de seguridad</t>
  </si>
  <si>
    <t>1.4.2</t>
  </si>
  <si>
    <t>(Inc. Perfileria y accesorios)</t>
  </si>
  <si>
    <t>3.1.2</t>
  </si>
  <si>
    <t>3.2.5</t>
  </si>
  <si>
    <t>Rejilla d= 50mm</t>
  </si>
  <si>
    <t>Abrazadera</t>
  </si>
  <si>
    <t>PLANCHA DE GRANITO</t>
  </si>
  <si>
    <t>1.9.20</t>
  </si>
  <si>
    <t>Enlucido de pisos</t>
  </si>
  <si>
    <t>1.9.11</t>
  </si>
  <si>
    <t>1.9.12</t>
  </si>
  <si>
    <t>1.9.16</t>
  </si>
  <si>
    <t>COMPACTADOR PESADO (RODILLO MANUAL)</t>
  </si>
  <si>
    <t>Enlucido sobre losas de cubierta con malla electro soldada.</t>
  </si>
  <si>
    <t>Filos de columnas y paredes: interiores y exteriores</t>
  </si>
  <si>
    <t xml:space="preserve"> </t>
  </si>
  <si>
    <t>2.4.5</t>
  </si>
  <si>
    <t>Pozo Septico</t>
  </si>
  <si>
    <t>3.2.10</t>
  </si>
  <si>
    <t>4.5</t>
  </si>
  <si>
    <t>ASCENSOR</t>
  </si>
  <si>
    <t>2.4.8</t>
  </si>
  <si>
    <t>2.4.6</t>
  </si>
  <si>
    <t>2.4.7</t>
  </si>
  <si>
    <t>Tubería de PVC Desagüe de 200mm.</t>
  </si>
  <si>
    <t>Muro de tina de baño (inc. Enlucdo)</t>
  </si>
  <si>
    <t>Sellos de juntas constructivas de piso</t>
  </si>
  <si>
    <t>2.2.3</t>
  </si>
  <si>
    <t>2.2.4</t>
  </si>
  <si>
    <t>2.2.5</t>
  </si>
  <si>
    <t>REVESTIMIENTOS Y ACABADOS</t>
  </si>
  <si>
    <t>Nivelación en corredores, camineras, rampas y escalinatas.</t>
  </si>
  <si>
    <t>2.5.4</t>
  </si>
  <si>
    <t>Bordillos con cuneta</t>
  </si>
  <si>
    <t>2.5.5</t>
  </si>
  <si>
    <t>2.5.6</t>
  </si>
  <si>
    <t>2.5.7</t>
  </si>
  <si>
    <t>2.5.8</t>
  </si>
  <si>
    <t>3.2.1</t>
  </si>
  <si>
    <t>3.2.2</t>
  </si>
  <si>
    <t>3.2.3</t>
  </si>
  <si>
    <t>3.2.4</t>
  </si>
  <si>
    <t>3.2.6</t>
  </si>
  <si>
    <t>3.2.7</t>
  </si>
  <si>
    <t>3.3.1</t>
  </si>
  <si>
    <t>3.3.2</t>
  </si>
  <si>
    <t>3.3.3</t>
  </si>
  <si>
    <t>3.1.1</t>
  </si>
  <si>
    <t>3.1.3</t>
  </si>
  <si>
    <t>3.1.4</t>
  </si>
  <si>
    <t>Soldadura de plata al 5%</t>
  </si>
  <si>
    <t>libra</t>
  </si>
  <si>
    <t>Drenaje equipos pequeños</t>
  </si>
  <si>
    <t>Mano de obra por  instalaciòn de unidad Split desde 36.000 btuh hasta 60.000 btuh</t>
  </si>
  <si>
    <t>Mano de Obra por Instalación de unidad extractor</t>
  </si>
  <si>
    <t>3.1.7</t>
  </si>
  <si>
    <t>Acero de refuerzo</t>
  </si>
  <si>
    <t>PORCENTAJE ACUMULADO</t>
  </si>
  <si>
    <t>PORCENTAJE PARCIAL</t>
  </si>
  <si>
    <t>COSTO DE LA OBRA</t>
  </si>
  <si>
    <t>TOTAL COSTOS DIRECTOS + INDIRECTOS</t>
  </si>
  <si>
    <t xml:space="preserve">COSTOS DIRECTOS  </t>
  </si>
  <si>
    <t>PIEZAS SANITARIAS</t>
  </si>
  <si>
    <t>SISTEMA HIDRÁULICO SANITARIO</t>
  </si>
  <si>
    <t>4.0</t>
  </si>
  <si>
    <t>3.0</t>
  </si>
  <si>
    <t>2.5</t>
  </si>
  <si>
    <t>2.4</t>
  </si>
  <si>
    <t>2.3</t>
  </si>
  <si>
    <t>2.2</t>
  </si>
  <si>
    <t>2.1</t>
  </si>
  <si>
    <t>2.0</t>
  </si>
  <si>
    <t>1.9</t>
  </si>
  <si>
    <t xml:space="preserve">ALBAÑILERIA </t>
  </si>
  <si>
    <t>1.8</t>
  </si>
  <si>
    <t>CONTRAPISOS</t>
  </si>
  <si>
    <t>1.7</t>
  </si>
  <si>
    <t>1.6</t>
  </si>
  <si>
    <t>1.5</t>
  </si>
  <si>
    <t>1.4</t>
  </si>
  <si>
    <t>1.3</t>
  </si>
  <si>
    <t>1.2</t>
  </si>
  <si>
    <t>INSTALACIONES PROVISIONALES</t>
  </si>
  <si>
    <t>1.1</t>
  </si>
  <si>
    <t>1.0</t>
  </si>
  <si>
    <t>RUBROS</t>
  </si>
  <si>
    <t>ESCUELA SUPERIOR POLITECNICA DEL LITORAL</t>
  </si>
  <si>
    <t>VARIOS</t>
  </si>
  <si>
    <t>U</t>
  </si>
  <si>
    <t>FOCO</t>
  </si>
  <si>
    <t>PUNTOS DE TOMACORRIENTE 120V</t>
  </si>
  <si>
    <t>PUNTOS DE ILUMINACION 120V</t>
  </si>
  <si>
    <t>BREAKER 40 AMP. 2P</t>
  </si>
  <si>
    <t>UNION   EMT 1"</t>
  </si>
  <si>
    <t>TUBO   EMT 1"</t>
  </si>
  <si>
    <t>CONECTOR  EMT  1"</t>
  </si>
  <si>
    <t>CODO   EMT 1"</t>
  </si>
  <si>
    <t>VARILLA:Cu-TIERRA 6"</t>
  </si>
  <si>
    <t>UNION EMT 3/4</t>
  </si>
  <si>
    <t>UNION EMT 2"</t>
  </si>
  <si>
    <t>UNION  EMT 1/2</t>
  </si>
  <si>
    <t>TUBO  EMT 3/4</t>
  </si>
  <si>
    <t>TUBO  EMT 2"</t>
  </si>
  <si>
    <t>TUBO   EMT 1/2</t>
  </si>
  <si>
    <t>TORNILLO TRIPA PATO</t>
  </si>
  <si>
    <t>TOMACORRIENTE 220V</t>
  </si>
  <si>
    <t>TOMACORRIENTE 110V</t>
  </si>
  <si>
    <t>TOMA  PARA CABLE TV</t>
  </si>
  <si>
    <t>TOMA  TELEFONO</t>
  </si>
  <si>
    <t>TIMBRE</t>
  </si>
  <si>
    <t>TEE  GALV. 1/2</t>
  </si>
  <si>
    <t>TAPA CUADRADA 5"</t>
  </si>
  <si>
    <t>CAJA PARA 1 MEDIDOR</t>
  </si>
  <si>
    <t xml:space="preserve">MEDIDOR   </t>
  </si>
  <si>
    <t>SOCKET MONOFAS. 100A</t>
  </si>
  <si>
    <t>REVERSIBLE EMT  2</t>
  </si>
  <si>
    <t>ML</t>
  </si>
  <si>
    <t>PLATINA COBRE 3/4 X 1/8</t>
  </si>
  <si>
    <t>INTERRUPTOR TICINO</t>
  </si>
  <si>
    <t>CONECTOR  3/4</t>
  </si>
  <si>
    <t>CONECTOR   1/2</t>
  </si>
  <si>
    <t>CODO  EMT 3/4</t>
  </si>
  <si>
    <t>CODO  EMT 2"</t>
  </si>
  <si>
    <t>CODO   EMT 1/2</t>
  </si>
  <si>
    <t>CINTA AISLANTE</t>
  </si>
  <si>
    <t>CAJA 4" PROFUNDA</t>
  </si>
  <si>
    <t>CAJA RECTANGULAR</t>
  </si>
  <si>
    <t>CAJA OCTOGONAL</t>
  </si>
  <si>
    <t>CAJA BREAKER:16/32</t>
  </si>
  <si>
    <t>CAJA BREAKER:12/24</t>
  </si>
  <si>
    <t>CAJA BREAKER: 8/16</t>
  </si>
  <si>
    <t>CAJA BREAKER: 4/8</t>
  </si>
  <si>
    <t xml:space="preserve">m </t>
  </si>
  <si>
    <t>CABLE TELEVISOR</t>
  </si>
  <si>
    <t>CABLE TELEFONO #2</t>
  </si>
  <si>
    <t>CABLE    # 6</t>
  </si>
  <si>
    <t>CABLE    # 4</t>
  </si>
  <si>
    <t>CABLE    # 10</t>
  </si>
  <si>
    <t>CABLE    #  8</t>
  </si>
  <si>
    <t>BREAKER 20 AMP. 1P</t>
  </si>
  <si>
    <t>BREAKER GENERAL 70A 3P</t>
  </si>
  <si>
    <t>BOQUILLA BAQUELITA</t>
  </si>
  <si>
    <t>ALAMBRE CU TWG Nº 12</t>
  </si>
  <si>
    <t>AISLADORES</t>
  </si>
  <si>
    <t>MATERIAL ELECTRICO</t>
  </si>
  <si>
    <t>mes</t>
  </si>
  <si>
    <t>ALQUILER SERVICIO HIGIENICO Y MANTENIMIENTO</t>
  </si>
  <si>
    <t>TANQUE PLASTICO 1 m3</t>
  </si>
  <si>
    <t>URINARIO EDESA  BLANCO</t>
  </si>
  <si>
    <t>UÑETA  LAVABO</t>
  </si>
  <si>
    <t>TUBO ABASTO</t>
  </si>
  <si>
    <t>TINA  HIDROMASAJES</t>
  </si>
  <si>
    <t xml:space="preserve">TANQUE ELEVADO  1000 LT </t>
  </si>
  <si>
    <t>SIFON/DESAGUE  1 1/4</t>
  </si>
  <si>
    <t>SIFON/DESAGUE  1 1/2</t>
  </si>
  <si>
    <t>MEZCLADORA TINA</t>
  </si>
  <si>
    <t>MEZCLADORA BIDET</t>
  </si>
  <si>
    <t>MEZCLADORA  8"</t>
  </si>
  <si>
    <t>MEZCLADORA  4"</t>
  </si>
  <si>
    <t>LLAVE COCINA PICO MOVIL</t>
  </si>
  <si>
    <t>LLAVE PICO BRONCE</t>
  </si>
  <si>
    <t xml:space="preserve">LLAVE  CROMADA LAVABO </t>
  </si>
  <si>
    <t>LLAVE DUCHA  CROMADA</t>
  </si>
  <si>
    <t>LLAVE ANGULAR  PASO 1/2</t>
  </si>
  <si>
    <t>LAVARROPA DE GRANITO GRANDE</t>
  </si>
  <si>
    <t>LAVAPLATO  2 POZOS</t>
  </si>
  <si>
    <t>LAVAMANO COLOR</t>
  </si>
  <si>
    <t>LAVAMANO BLANCO</t>
  </si>
  <si>
    <t>INODORO COLOR</t>
  </si>
  <si>
    <t>INODORO BLANCO</t>
  </si>
  <si>
    <t>FLOTADOR 1/2"</t>
  </si>
  <si>
    <t>DUCHA TELEFONO FUTURA</t>
  </si>
  <si>
    <t>DUCHA STANDAR 1/2</t>
  </si>
  <si>
    <t>DUCHA DUCHAMATIC</t>
  </si>
  <si>
    <t>TANQUE PRESION DE 80 GL FV</t>
  </si>
  <si>
    <t>BOMBA 1/2 HP</t>
  </si>
  <si>
    <t>BIDET COLOR</t>
  </si>
  <si>
    <t>BIDET BLANCO</t>
  </si>
  <si>
    <t>ACCESORIO DE LUJO</t>
  </si>
  <si>
    <t>ACCESORIO COLOR</t>
  </si>
  <si>
    <t>ACCESORIO BLANCO</t>
  </si>
  <si>
    <t>TUBO   PVC 75mm x 3m</t>
  </si>
  <si>
    <t>TUBO   PVC 200mm x 3m</t>
  </si>
  <si>
    <t>PAR</t>
  </si>
  <si>
    <t>PARES DE TORNILO PARA INODORO</t>
  </si>
  <si>
    <t>ANILLO DE CERA</t>
  </si>
  <si>
    <t>TUBO</t>
  </si>
  <si>
    <t>SILICON 11 ONZ.</t>
  </si>
  <si>
    <t>REJILLA DE PISO 4"</t>
  </si>
  <si>
    <t>PERMATEX 11 ONZ.</t>
  </si>
  <si>
    <t>REDUCTOR  PVC 4" x 2</t>
  </si>
  <si>
    <t>YEE    PVC 4" x 2</t>
  </si>
  <si>
    <t>LLAVE DE PASO 1/2"</t>
  </si>
  <si>
    <t>TUBO HS 10"</t>
  </si>
  <si>
    <t>TUBO HS 4"</t>
  </si>
  <si>
    <t>TUBO   PVC 160mm x 3m</t>
  </si>
  <si>
    <t>TUBO   PVC 110mm x 3m</t>
  </si>
  <si>
    <t>TUBO   PVC 50mm x 3m</t>
  </si>
  <si>
    <t>TEE    PVC 4"</t>
  </si>
  <si>
    <t>SIFON  PVC 4"</t>
  </si>
  <si>
    <t>LT</t>
  </si>
  <si>
    <t>POLIPEGA</t>
  </si>
  <si>
    <t>MEDIDOR DE AGUA</t>
  </si>
  <si>
    <t>2.2.6</t>
  </si>
  <si>
    <t>2.2.7</t>
  </si>
  <si>
    <t>2.2.8</t>
  </si>
  <si>
    <t>2.2.9</t>
  </si>
  <si>
    <t>2.2.10</t>
  </si>
  <si>
    <t>Granito importado</t>
  </si>
  <si>
    <t>PORCELANATO ANTIDESLIZANTE</t>
  </si>
  <si>
    <t>LLAVE PASO/BRONCE</t>
  </si>
  <si>
    <t>CODO   PVC 90 x 4</t>
  </si>
  <si>
    <t>CODO   PVC 90 x 2</t>
  </si>
  <si>
    <t>ROLLO</t>
  </si>
  <si>
    <t>CINTA TEFLON</t>
  </si>
  <si>
    <t>ABRAZADERA 4" PVC</t>
  </si>
  <si>
    <t>1.4.1.1</t>
  </si>
  <si>
    <t>Corte de terraza (terreno rocoso)</t>
  </si>
  <si>
    <t>Relleno y compactacion en terraza (material de sitio)</t>
  </si>
  <si>
    <t>1.4.1.3</t>
  </si>
  <si>
    <t>1.4.1,2</t>
  </si>
  <si>
    <t>MATERIAL AGUAS SERVIDAS</t>
  </si>
  <si>
    <t>CODO PVC 3/4"</t>
  </si>
  <si>
    <t>CODO PVC 1/2"</t>
  </si>
  <si>
    <t>CODO PVC 2"</t>
  </si>
  <si>
    <t>CODO PVC 75mm</t>
  </si>
  <si>
    <t>TUBO   PVC    75mm</t>
  </si>
  <si>
    <t>TUBO   PVC    2" ROSCABLE</t>
  </si>
  <si>
    <t>TUBO   PVC    1 1/2" ROSCABLE</t>
  </si>
  <si>
    <t>TUBO   PVC    1 1/4" ROSCABLE</t>
  </si>
  <si>
    <t>UNION  GALV.  3/4</t>
  </si>
  <si>
    <t>UNION  GALV.  1/2</t>
  </si>
  <si>
    <t>UNION  GALV.  1</t>
  </si>
  <si>
    <t>TUBO   PVC    3/4 ROSCABLE</t>
  </si>
  <si>
    <t>TUBO   PVC    1/2 ROSCABLE</t>
  </si>
  <si>
    <t>TUBO   PVC    1 ROSCABLE</t>
  </si>
  <si>
    <t>TUBO   GALV  REF 1/2</t>
  </si>
  <si>
    <t>TEE    GALV.  3/4</t>
  </si>
  <si>
    <t>TEE    GALV.  1/2</t>
  </si>
  <si>
    <t>CODO   GALV.  3/4</t>
  </si>
  <si>
    <t>CODO   GALV.  1/2</t>
  </si>
  <si>
    <t>CODO   GALV.  1</t>
  </si>
  <si>
    <t>MATERIAL AGUA POTABLE</t>
  </si>
  <si>
    <t>GL</t>
  </si>
  <si>
    <t>PINTURA EPOXICA</t>
  </si>
  <si>
    <t>KG</t>
  </si>
  <si>
    <t>SELLADOR DE PISOS</t>
  </si>
  <si>
    <t>REJILLA METALICA PARA TAPA DE  60x60</t>
  </si>
  <si>
    <t>TUBO DE ACERO INOXIDABLE D= 1"</t>
  </si>
  <si>
    <t>PUERTA METALICA</t>
  </si>
  <si>
    <t>INC. BATIENTES,BISAGRAS,CERRADURAS</t>
  </si>
  <si>
    <t>Pasamanos metalico tipo PM1</t>
  </si>
  <si>
    <t>Pasamanos metalico tipo PM2</t>
  </si>
  <si>
    <t>Tubo de acero inoxidable d= 2"</t>
  </si>
  <si>
    <t>Tubo de acero inoxidable d= 1"</t>
  </si>
  <si>
    <t>Platina de hierro e= 8m x 10cm</t>
  </si>
  <si>
    <t>Placa para anclaje e= 12mm</t>
  </si>
  <si>
    <t>Pasamanos metalico tipo PM3</t>
  </si>
  <si>
    <t>BLOQUES DE VIDRIO</t>
  </si>
  <si>
    <t>M2</t>
  </si>
  <si>
    <t>CORTINA METALICA</t>
  </si>
  <si>
    <t>PERFILERIA DE TUMBADO L= 0,66</t>
  </si>
  <si>
    <t>PERFILERIA DE TUMBADO L= 1,22</t>
  </si>
  <si>
    <t>MARCO Y CONTRAMARCO METALICO PARA TAPA 68X83</t>
  </si>
  <si>
    <t>2.4.10</t>
  </si>
  <si>
    <t>Alfombra</t>
  </si>
  <si>
    <t>Codo PP roscable 1 1/2" X 90°</t>
  </si>
  <si>
    <t>Tee de PP roscable ø 1 1/2”</t>
  </si>
  <si>
    <t>Reductor  de PP roscable ø 1 1/2” × 1”</t>
  </si>
  <si>
    <t>MARCO Y CONTRAMARCO METALICO PARA TAPA 90X90</t>
  </si>
  <si>
    <t>MARCO Y CONTRAMARCO METALICO PARA TAPA 60X60</t>
  </si>
  <si>
    <t>SIKADUR 31</t>
  </si>
  <si>
    <t xml:space="preserve">Cinta plastica para seguridad </t>
  </si>
  <si>
    <t>Equipo de seguridad</t>
  </si>
  <si>
    <t>Sikafill</t>
  </si>
  <si>
    <t>Chova</t>
  </si>
  <si>
    <t>Tornillos</t>
  </si>
  <si>
    <t>Tapajuntas de aluminio a= 0,095m</t>
  </si>
  <si>
    <t>rollo</t>
  </si>
  <si>
    <t>Cinta para enmascarar (1")</t>
  </si>
  <si>
    <t>Rudón (Back rod) de 1-1/2"</t>
  </si>
  <si>
    <t>cartucho</t>
  </si>
  <si>
    <t>Sellante elastomerico</t>
  </si>
  <si>
    <t>GROUTEX (INC. ADITIVO)</t>
  </si>
  <si>
    <t>TAPA DE HIERRO DUCTIL 80x80</t>
  </si>
  <si>
    <t>TAPA DE HIERRO DUCTIL 60x60</t>
  </si>
  <si>
    <t>MALLA ELEC 5,5mm c/15cm</t>
  </si>
  <si>
    <t>MALLA METALICA PARA ENLUCIDO</t>
  </si>
  <si>
    <t>BONDEX PREMIUM</t>
  </si>
  <si>
    <t>M3</t>
  </si>
  <si>
    <t>ALIVIANAMIENTO PARA LOSA (POLIUREANO)</t>
  </si>
  <si>
    <t>GLOBAL</t>
  </si>
  <si>
    <t>PRUEBAS Y ENSAYOS DE COMPACTACION</t>
  </si>
  <si>
    <t>HORM. PREMZC. 420 KG/CM2</t>
  </si>
  <si>
    <t>HORM. PREMZC. 280 KG/CM2</t>
  </si>
  <si>
    <t xml:space="preserve">HORM. PREMZC. 250 KG/CM2 </t>
  </si>
  <si>
    <t>HORM. PREMZC. 210 KG/CM2</t>
  </si>
  <si>
    <t>HORM. PREMZC. 180 KG/CM2</t>
  </si>
  <si>
    <t>HORM. PREMZC. 140 KG/CM2</t>
  </si>
  <si>
    <t>SIKA EMPASTE BLANCO (EXTERIORES)</t>
  </si>
  <si>
    <t>SIKA TOP 107SEAL</t>
  </si>
  <si>
    <t>PLASTOCRETE DM</t>
  </si>
  <si>
    <t>SIKA TOP 144</t>
  </si>
  <si>
    <t>PEGAMENTO H40-FLEX</t>
  </si>
  <si>
    <t>MALLA ELEC 6mm c/10cm</t>
  </si>
  <si>
    <t>ml</t>
  </si>
  <si>
    <t>TUBO GALVANIZADO D= 2"</t>
  </si>
  <si>
    <t>EDIFICIO DE ADMISIONES Y AULAS DEL PREPOLTECNICO</t>
  </si>
  <si>
    <t>DETALLE:</t>
  </si>
  <si>
    <t>CONDUCTO ACOMETIDA 2xC 90mm SUBTERRANEO</t>
  </si>
  <si>
    <t>CANTIDAD      A</t>
  </si>
  <si>
    <t>COSTO      D=C*R</t>
  </si>
  <si>
    <t>SUBTOTAL E</t>
  </si>
  <si>
    <t>CANTIDAD       A</t>
  </si>
  <si>
    <t>SUPERVISOR DE REDES</t>
  </si>
  <si>
    <t>TECNICO CABLEADO</t>
  </si>
  <si>
    <t>TUBERIA PVC DE 90mm</t>
  </si>
  <si>
    <t>CODO PVC 90mm</t>
  </si>
  <si>
    <t>CAJA DE REGISTRO</t>
  </si>
  <si>
    <t>CAMIONETA</t>
  </si>
  <si>
    <t>hr</t>
  </si>
  <si>
    <t>SUBTOTAL T</t>
  </si>
  <si>
    <t>TOTAL COSTO DIRECTO (E+O+M+T)</t>
  </si>
  <si>
    <t>INDIRECTOS Y UTILIDADES  %</t>
  </si>
  <si>
    <t>OTROS INDIRECTOS  %</t>
  </si>
  <si>
    <t>DUSTO METALICO</t>
  </si>
  <si>
    <t>VARILLA 3/0"</t>
  </si>
  <si>
    <t>TACOS DE EXPANSION</t>
  </si>
  <si>
    <t>TUERCAS 3/8"</t>
  </si>
  <si>
    <t>CHANEL METALICO</t>
  </si>
  <si>
    <t>SALIDA DE VOZ Y DATOS</t>
  </si>
  <si>
    <t>TESTEADURA CLT 6</t>
  </si>
  <si>
    <t>TUBERIA CONDUCTO EMT</t>
  </si>
  <si>
    <t>UNION EMT</t>
  </si>
  <si>
    <t>CONECTOR EMT</t>
  </si>
  <si>
    <t>CAJA METALICA</t>
  </si>
  <si>
    <t>CABLE UTP 4 PARES, CATEGORIA 6</t>
  </si>
  <si>
    <t>AMARRA CABLES</t>
  </si>
  <si>
    <t>FACEPLATE</t>
  </si>
  <si>
    <t>JACKS CAT 6</t>
  </si>
  <si>
    <t>RACK</t>
  </si>
  <si>
    <t>RACK DE GABINETE</t>
  </si>
  <si>
    <t>PATCH PANEL</t>
  </si>
  <si>
    <t>PATCH PANEL MODULAR DE 24 PUERTOS</t>
  </si>
  <si>
    <t>CATEGORIA 6</t>
  </si>
  <si>
    <t>SWITCH</t>
  </si>
  <si>
    <t>SWITCH DE 24 PUERTOS 10/100</t>
  </si>
  <si>
    <t>MULTITOMA</t>
  </si>
  <si>
    <t>MULTITOMA ELECTRICA DE 120 voltios</t>
  </si>
  <si>
    <t>ORGANIZADOR HORIZONTAL</t>
  </si>
  <si>
    <t>ORGANIZADOR HORIZONTAL 2 UR</t>
  </si>
  <si>
    <t>ORGANIZADOR VERTICAL</t>
  </si>
  <si>
    <t>BANDEJA DOBLE</t>
  </si>
  <si>
    <t>BANDEJA DOBLE PARA SERVIDOR</t>
  </si>
  <si>
    <t>BANDEJA SENCILLA</t>
  </si>
  <si>
    <t>BANDEJA SENCILLA PARA MONITOR</t>
  </si>
  <si>
    <t>BANDEJA TECLADO</t>
  </si>
  <si>
    <t>BANDEJA SENCILLA PARA TECLADO Y MOUSE</t>
  </si>
  <si>
    <t>JACK PLANO</t>
  </si>
  <si>
    <t>JACK PLANO CAT 6</t>
  </si>
  <si>
    <t>PATCH CORD</t>
  </si>
  <si>
    <t>PATCH CORD CATEGORIA 6 DE 5 PIES</t>
  </si>
  <si>
    <t>PROYECTOR CHICO</t>
  </si>
  <si>
    <t>PROYECTOR CHICO PARA SALA DE CLASES, MINIMO</t>
  </si>
  <si>
    <t>1500 LUMENS</t>
  </si>
  <si>
    <t>ACCESORIOS DE MONTAJE</t>
  </si>
  <si>
    <t xml:space="preserve">PROYECTOR GRANDE </t>
  </si>
  <si>
    <t>ANDAMIO (2 TRAMOS)</t>
  </si>
  <si>
    <t>PROYECTOR PARA AUDITORIO 350 LUMENS MINIMO</t>
  </si>
  <si>
    <t>CON SALIDA VGA, RGB, AUDIO INCORPORADO</t>
  </si>
  <si>
    <t>CONTROL DE ASISTENCIA</t>
  </si>
  <si>
    <t xml:space="preserve">EQUIPO DE CONTROL DE ASISTENCIA CON </t>
  </si>
  <si>
    <t>SOFTWARE PARA PROGRAMACION.</t>
  </si>
  <si>
    <t>FUENTE DE PODER 5A.</t>
  </si>
  <si>
    <t>SALIDA SISTEMA DE DETECCION DE INCENDIO</t>
  </si>
  <si>
    <t>CAJA OGTOGONAL C/T</t>
  </si>
  <si>
    <t>CABLE BLINDADO NPLR 2x16</t>
  </si>
  <si>
    <t>DETECTOR DE HUMO</t>
  </si>
  <si>
    <t>DETECTOR DE HUMO DIRECCIONABLE</t>
  </si>
  <si>
    <t xml:space="preserve">ANALOGICO, BAJO PERFIL, TIPO FOTOELECTRICO, </t>
  </si>
  <si>
    <t>RANGO DE OPERACIÓN: 0°C + 49°C</t>
  </si>
  <si>
    <t>SENSIBILIDAD 1,5% ENCLAVAMIENTO DE ALARMA</t>
  </si>
  <si>
    <t>RESETEABLE POR INTERRUPTOR DE ENERGIA</t>
  </si>
  <si>
    <t>INCLUYE BASE DE MONTAJE</t>
  </si>
  <si>
    <t>DETECTOR TERMICO</t>
  </si>
  <si>
    <t>DISPOSITIVO SENSOR TERMICO Y DE RAPIDEZ DE</t>
  </si>
  <si>
    <t>INCREMENTO DE CALOR, BAJO PERFIL,</t>
  </si>
  <si>
    <t>TEMPERATURA MAXIMA 57°C</t>
  </si>
  <si>
    <t>RAPIDEZ DE INCREMENTO DE CALOR 83°C POR</t>
  </si>
  <si>
    <t>MINUTO.</t>
  </si>
  <si>
    <t>ENCLAVAMIENTO DE ALARMA RESETEABLE POR</t>
  </si>
  <si>
    <t>ALARMA MANUAL</t>
  </si>
  <si>
    <t>DISPOSITIVO DE AVISO MANUAL DE ALARMA</t>
  </si>
  <si>
    <t>DE INCENDIO FABRICACION METALICA LEYENDA</t>
  </si>
  <si>
    <t>EN ESPAÑOL RESETEABLE CON LLAVE</t>
  </si>
  <si>
    <t>LUZ ESTROBOSCOPICA</t>
  </si>
  <si>
    <t>LUZ DE NOTIFICACION VISUAL Y AUDIBLE DE ALARMA</t>
  </si>
  <si>
    <t>DE INCENDIO PARA INSTALAR EN PARED O TUMBADO</t>
  </si>
  <si>
    <t>RANGO STROBE: 30 A 60 CANDELAS</t>
  </si>
  <si>
    <t>RANGO AUDIBLE: 35 A 55 DBA</t>
  </si>
  <si>
    <t>TECLADO REMOTO</t>
  </si>
  <si>
    <t>TECLADO REMOTO, LUMINOSO, DISPLAY, BOTONES</t>
  </si>
  <si>
    <t>DE FUNCION RAPIDA, INDICADORES DE ZONAS</t>
  </si>
  <si>
    <t>PANEL CONTROL DE INCENDIO</t>
  </si>
  <si>
    <t>PANEL DE DETECCION INTELIGENTE DE INCENDIO</t>
  </si>
  <si>
    <t>Y NOTIFICACION. PREGRABABLE, MEMORIA</t>
  </si>
  <si>
    <t>NO VOLATIL, CAPACIDAD DE MONITOREAR</t>
  </si>
  <si>
    <t>APROXIMADAMENTE 100 PUNTOS DE DETECCION Y</t>
  </si>
  <si>
    <t>100 PUNTOS DE MONITOREO, CONTROL CON LAZO</t>
  </si>
  <si>
    <t>DISPLAY LCD DE 40 CARACTERES, VERIFICADOR DE</t>
  </si>
  <si>
    <t>ALARAMAS, ALMACENAMIENTO DE HISTORICOS</t>
  </si>
  <si>
    <t>PROGRAMADOS, AJUSTE AUTOMATICO DE</t>
  </si>
  <si>
    <t>DETECTORES, DETECTOR DE FALLAS A TIERRA.</t>
  </si>
  <si>
    <t>FUENTE DE PODER 5A</t>
  </si>
  <si>
    <t>MODULOS DE MONITOREO</t>
  </si>
  <si>
    <t>DISPOSITIVO DE DIRECCIONAMIENTO PARA</t>
  </si>
  <si>
    <t>ELEMENTOS NO DIRECCIONABLES</t>
  </si>
  <si>
    <t>RANGO DE CORRIENTE ALARMA: 20MA</t>
  </si>
  <si>
    <t>CORRIENTE MAXIMA DE SUPERVISION: 7MA</t>
  </si>
  <si>
    <t>MODULO DE AISLAMIENTO</t>
  </si>
  <si>
    <t>DISPOSITIVO DE AISLAMIENTO DE FALLA DE LAZOS</t>
  </si>
  <si>
    <t xml:space="preserve">DE COMUNICACIÓN DE DISPOSITIVOS </t>
  </si>
  <si>
    <t>DIRECCIONABLES PARA AISLAR FALLAS N GRUPOS</t>
  </si>
  <si>
    <t>DE 20 A 30 DETECTORES</t>
  </si>
  <si>
    <t>MODULOS DE CONTROL</t>
  </si>
  <si>
    <t>DISPOSITIVO DE DIRECCIONAMIENTO PARA ACTUAR</t>
  </si>
  <si>
    <t>SOBRE OTROS DISPOSITIVOS</t>
  </si>
  <si>
    <t>RANGO DE CORRIENTE: 5MA</t>
  </si>
  <si>
    <t>CORRIENTE DE SUPERVISION:</t>
  </si>
  <si>
    <t>ABIERTO 0 MICRO A</t>
  </si>
  <si>
    <t>NORMAL 100 MICRO A</t>
  </si>
  <si>
    <t>CORTO 200 MICRO A</t>
  </si>
  <si>
    <t>CONTACTO DE RELAY: 2a A 30 VCD RESISTIVO</t>
  </si>
  <si>
    <t>MODULOS DE COMUNICACIÓN</t>
  </si>
  <si>
    <t>LUZ DE EMERGENCIA</t>
  </si>
  <si>
    <t>EQUIPO DE LUZ DE EMERGENCIA</t>
  </si>
  <si>
    <t>COMPUESTO CON DOS ALARMAS</t>
  </si>
  <si>
    <t xml:space="preserve">AVISO DE SALIDA </t>
  </si>
  <si>
    <t>LETRERO LUMINOSO CON LEYENDA "SALIDA"</t>
  </si>
  <si>
    <t>DOBLE CARA</t>
  </si>
  <si>
    <t>BLANCO CON LETRAS ROJAS</t>
  </si>
  <si>
    <t>DIMENSIONES APROXIMADAS 9"x12"x2"</t>
  </si>
  <si>
    <t>FABRICACION EN PLASTICO INYECTO-MOLDEADO</t>
  </si>
  <si>
    <t>BATERIA: NI-CAD, 3 HORAS DE DURACION</t>
  </si>
  <si>
    <t>SALIDA SISTEMA CIRCUITO CERRADO TV</t>
  </si>
  <si>
    <t>TUBERIA EMT 3/4"</t>
  </si>
  <si>
    <t>UNION EMT 3/4"</t>
  </si>
  <si>
    <t>CONECTOR EMT 3/4"</t>
  </si>
  <si>
    <t>CABLE RG59 MALLA DE COBRE</t>
  </si>
  <si>
    <t>CAMARA CON HOUSING</t>
  </si>
  <si>
    <t>CAMARA CON HOUSING PARA USO EXTERIOR, TIPO</t>
  </si>
  <si>
    <t>PROFESIONAL FORMATO 1/4" COLOR, LENTE 4mm.</t>
  </si>
  <si>
    <t>BRAZO PARA SOPORTE.</t>
  </si>
  <si>
    <t xml:space="preserve">Rejilla des 50mm </t>
  </si>
  <si>
    <t>Pared mamposteria bloque e= 14cm</t>
  </si>
  <si>
    <t>Pared mamposteria bloque e= 6,5cm</t>
  </si>
  <si>
    <t xml:space="preserve">Revestimiento de meson en Recepcion </t>
  </si>
  <si>
    <t>CAMARA INTERIOR</t>
  </si>
  <si>
    <t>CAMARA TIPO PROFESIONAL 1/4" COLOR</t>
  </si>
  <si>
    <t>LENTE 3.5mm.</t>
  </si>
  <si>
    <t>BRAZO DE SOPORTE.</t>
  </si>
  <si>
    <t>EQUIPO DVR, 16 CANALES CON PUERTO DE RED,</t>
  </si>
  <si>
    <t>COLOR, FORMATO DE MULTIPLES CAMARAS</t>
  </si>
  <si>
    <t>LOOPING PARA TODAS LAS ENTRADAS.</t>
  </si>
  <si>
    <t>MONITOR</t>
  </si>
  <si>
    <t>MONITOR COLOR PANTALLA PLANA 32"</t>
  </si>
  <si>
    <t>ENTRADA DE VIDEO REGULADOR INCORPORADO</t>
  </si>
  <si>
    <t>FUENTE DE PODER</t>
  </si>
  <si>
    <t xml:space="preserve">FUENTE DE PODER ESPECIAL PARA CCTV, </t>
  </si>
  <si>
    <t>16 SALIDAS CON PROTECCION INDEPENDIENTE</t>
  </si>
  <si>
    <t>SALIDA SISTEMA CONTROL DE ACCESO</t>
  </si>
  <si>
    <t>CABLE MULTIFILAR CON PANTALLA DE TIERRA</t>
  </si>
  <si>
    <t>4 PARES</t>
  </si>
  <si>
    <t>LECTOR DE PROXIMIDAD</t>
  </si>
  <si>
    <t>LECTORES DE PROXIMIDAD ALCANCE MEDIO 10cm,</t>
  </si>
  <si>
    <t>PARA INSTALACION SOBREPUESTA, CONFIRMACION</t>
  </si>
  <si>
    <t>AUDIBLE, LED PARA CONFIRMAR LECTURA</t>
  </si>
  <si>
    <t>TECLADO NUMERICO</t>
  </si>
  <si>
    <t>CERRADURA ELECTROMAGNETICA</t>
  </si>
  <si>
    <t>CERRADURA ELECTROMAGNETICA PARA INSTALAR</t>
  </si>
  <si>
    <t xml:space="preserve">EN PUERTA CAPACIDAD: 600 LIBRAS DE AGARRE, </t>
  </si>
  <si>
    <t>SUPRESOR DE PICO DE VOLTAJE INCORPORADO</t>
  </si>
  <si>
    <t>TIPO FAIL-SAFE.</t>
  </si>
  <si>
    <t>ACOPLES DE CERRADURA.</t>
  </si>
  <si>
    <t>PANEL DE CONTROL DE ACCESO</t>
  </si>
  <si>
    <t>PANEL DE CONTROL DE ACCESOS</t>
  </si>
  <si>
    <t>TEMPORIZADOR</t>
  </si>
  <si>
    <t>FUENTE DE PODER 3A CON BATERIA Y</t>
  </si>
  <si>
    <t>TRANSFORMADOR 12V - 7A</t>
  </si>
  <si>
    <t>TARJETAS</t>
  </si>
  <si>
    <t>TARJETAS DE PROXIMIDAD "TRICK CARD"</t>
  </si>
  <si>
    <t>DE 2mm DE GROSOR COLOR BLANCO</t>
  </si>
  <si>
    <t>SWITCH PULSADOR TIPO BOTON</t>
  </si>
  <si>
    <t>SALIDA SISTEMA ROBO E INTRUSION</t>
  </si>
  <si>
    <t>TUBERIA EMT</t>
  </si>
  <si>
    <t>CABLE CAT5 - 4 PARES</t>
  </si>
  <si>
    <t>DETECTOR DE MOVIMIENTO</t>
  </si>
  <si>
    <t>DETECTOR DE MOVIMIENTO, PARA INTERIORES, TIPO</t>
  </si>
  <si>
    <t>PIR, ALCANCE ANCHO, COBERTURA, 6m x 140</t>
  </si>
  <si>
    <t xml:space="preserve">BRACKET PIVOTEAJE DE MONTAJE, PARA </t>
  </si>
  <si>
    <t>INSTALACION EN PARE Y/0 TUMBADO</t>
  </si>
  <si>
    <t>SENSOR DE OPERACIÓN</t>
  </si>
  <si>
    <t>CONTACTO MAGNETICO</t>
  </si>
  <si>
    <t>CONTACTO MAGNETICO PARA PUERTAS, TIPO</t>
  </si>
  <si>
    <t xml:space="preserve">TUBULAR, PARA INSTALACION EMPOTRABLE EN </t>
  </si>
  <si>
    <t>DINTEL Y PUERTA GAP 1/2" CONECTADO A</t>
  </si>
  <si>
    <t>DISPOSITIVO DETECTOR DE OPERACIÓN</t>
  </si>
  <si>
    <t>BOTON DE PANICO</t>
  </si>
  <si>
    <t>DISPOSITIVO DE ALARMA DE PANICO MANUAL,</t>
  </si>
  <si>
    <r>
      <t xml:space="preserve">CONTACTO NORMALMENTE ABIERTO </t>
    </r>
    <r>
      <rPr>
        <u/>
        <sz val="10"/>
        <rFont val="Arial"/>
        <family val="2"/>
      </rPr>
      <t>NO</t>
    </r>
    <r>
      <rPr>
        <sz val="10"/>
        <rFont val="Arial"/>
        <family val="2"/>
      </rPr>
      <t xml:space="preserve"> Y/0</t>
    </r>
  </si>
  <si>
    <r>
      <t xml:space="preserve">CERRADO </t>
    </r>
    <r>
      <rPr>
        <u/>
        <sz val="10"/>
        <rFont val="Arial"/>
        <family val="2"/>
      </rPr>
      <t>NC</t>
    </r>
    <r>
      <rPr>
        <sz val="10"/>
        <rFont val="Arial"/>
        <family val="2"/>
      </rPr>
      <t xml:space="preserve"> COMPATIBLE CON PANEL DE ALARMAS</t>
    </r>
  </si>
  <si>
    <t>SWITCH DE ENCLAVAMIENTO, RESETEABLE</t>
  </si>
  <si>
    <t>CON LLAVE, INSTALACION SOBREPUESTA</t>
  </si>
  <si>
    <t>PANEL DE ALARMAS</t>
  </si>
  <si>
    <t>GABINETE METALICO CON CERRADURA Y LLAVE,</t>
  </si>
  <si>
    <t>PARA PANEL DE ALARMAS, CAPACIDAD BASICA 16</t>
  </si>
  <si>
    <t>ZONAS, PARA CRECER HASTA 256 ZONAS.</t>
  </si>
  <si>
    <t>MEMORIA NO VOLATIL, CON RELE AUXILIAR DE</t>
  </si>
  <si>
    <t>SALIDA, CARGADOR PARA BATERIA DE RESPALDO</t>
  </si>
  <si>
    <t>7AH, 12V BUS DE COMUNICACIÓN 4 HILOS</t>
  </si>
  <si>
    <t>PARA MANEJAR MAS DE DOS TECLADOS</t>
  </si>
  <si>
    <t>TECLADO ALFANUMERICO</t>
  </si>
  <si>
    <t>TECLADO ALFANUMERICO LUMINOSO, DISPLAY,</t>
  </si>
  <si>
    <t>BOTONES DE FUNCION RAPIDA,</t>
  </si>
  <si>
    <t>INDICAD.ORES DE ZONA</t>
  </si>
  <si>
    <t xml:space="preserve">SIRENA </t>
  </si>
  <si>
    <t>CAJA METALICA PARA INTEMPERIE, CON SIRENA</t>
  </si>
  <si>
    <t>DE ALARMA 140 DB</t>
  </si>
  <si>
    <t>PEGAMENTO ASFALTICO</t>
  </si>
  <si>
    <t>EMPASTE INTERIOR</t>
  </si>
  <si>
    <t>SELLADOR DE SUPERFICIES</t>
  </si>
  <si>
    <t>SELLADOR DE FISURAS</t>
  </si>
  <si>
    <t>ADITEC CORRIDO EMPASTE BLANCO (INTERIORES)</t>
  </si>
  <si>
    <t>SOLDADURA aga 60/11</t>
  </si>
  <si>
    <t>SIKA 1</t>
  </si>
  <si>
    <t>PRODUCTOS VARIOS</t>
  </si>
  <si>
    <t>ESMALTE FANAPISA</t>
  </si>
  <si>
    <t>PINTURA ACABADO METALICO</t>
  </si>
  <si>
    <t>PINTURA ANTICORROSIVA</t>
  </si>
  <si>
    <t>BLANCOLA</t>
  </si>
  <si>
    <t>LB</t>
  </si>
  <si>
    <t>COLA GRANULADA</t>
  </si>
  <si>
    <t>PLG</t>
  </si>
  <si>
    <t>LIJA</t>
  </si>
  <si>
    <t>TIZA</t>
  </si>
  <si>
    <t>DESOXIDANTE</t>
  </si>
  <si>
    <t>DILUYENTE</t>
  </si>
  <si>
    <t>SELLADOR DE MADERA</t>
  </si>
  <si>
    <t>LACA</t>
  </si>
  <si>
    <t>Ventana aluminio / vidrio</t>
  </si>
  <si>
    <t>Mamparas  aluminio y vidrio en fachadas</t>
  </si>
  <si>
    <t>Adoquin de hormigon e= 8cm</t>
  </si>
  <si>
    <t>Adoquin de hormigon e= 6cm</t>
  </si>
  <si>
    <t>Adoquin de hormigon e= 6cm (aceras y veredas)</t>
  </si>
  <si>
    <t>MOTONIVELADORA</t>
  </si>
  <si>
    <t>RODILLO VIBRATORIO</t>
  </si>
  <si>
    <t>TANQUERO</t>
  </si>
  <si>
    <t>Base Clase 1, incluye transporte</t>
  </si>
  <si>
    <t>Peon CATI</t>
  </si>
  <si>
    <t>Ayudante CATII</t>
  </si>
  <si>
    <t>Chofer licencia "E"</t>
  </si>
  <si>
    <t>Operador retroexcavadora OEP1</t>
  </si>
  <si>
    <t>Base clase 1</t>
  </si>
  <si>
    <t>LATEX PINTUCO</t>
  </si>
  <si>
    <t>ESMALTE ACABADO METALICO</t>
  </si>
  <si>
    <t>CUBIERTA GLIDEN</t>
  </si>
  <si>
    <t>PINTURA ELASTOMERICA</t>
  </si>
  <si>
    <t>PINTURA PARA ACABADO METALICO</t>
  </si>
  <si>
    <t>PINTURA PARA PROTECCION METALICA</t>
  </si>
  <si>
    <t>PINTURAS</t>
  </si>
  <si>
    <t>PLANCHA METALICA GALVALUME e= 0,50MM</t>
  </si>
  <si>
    <t>Policarbonato e= 8mm (inc. Accesorios y perfileria)</t>
  </si>
  <si>
    <t>Caña rolliza philostachis tratada</t>
  </si>
  <si>
    <t>Caña rolliza guadua angustifolia tratada</t>
  </si>
  <si>
    <t>PLANCHA ARMSTRONG 0,6 x 0.6</t>
  </si>
  <si>
    <t>CANALON METALICO 20X20</t>
  </si>
  <si>
    <t>CANALON DE PVC</t>
  </si>
  <si>
    <t>FLASHING METALICA GALVALUME e= 0,50MM L=0,6m</t>
  </si>
  <si>
    <t>FLASHING METALICA GALVALUME e= 0,40MM L=0,6m</t>
  </si>
  <si>
    <t>PLANCHA METALICA GALVANIZADA e= 0,70MM</t>
  </si>
  <si>
    <t>FIBROCEL PREPINTADO</t>
  </si>
  <si>
    <t>CUMBRERA METALICA GALVALUME e= 0,50MM</t>
  </si>
  <si>
    <t>PLANCHA DE ZINC 8' REFORZADA</t>
  </si>
  <si>
    <t>PLANCHA DE YESO 0,6 x 0.6</t>
  </si>
  <si>
    <t>ACCESORIO DE FIJACION</t>
  </si>
  <si>
    <t>TEJA CURVA NATURAL 7/10</t>
  </si>
  <si>
    <t>PERFIL ALUMINIO 1x1/2 (6)</t>
  </si>
  <si>
    <t>GANCHO J5</t>
  </si>
  <si>
    <t>CUMBRERO ETERNIT</t>
  </si>
  <si>
    <t>CLAVO DE CINC</t>
  </si>
  <si>
    <t>PLYCEM 14 mm</t>
  </si>
  <si>
    <t>PLANCHA METALICA GALVALUME e= 0,40MM</t>
  </si>
  <si>
    <t>ARMSTRONG 5/8</t>
  </si>
  <si>
    <t>MATERIAL PARA CUBIERTA Y TUMBADO</t>
  </si>
  <si>
    <t>PLYWOOD CASETA 9MM</t>
  </si>
  <si>
    <t>ARGOLLAS</t>
  </si>
  <si>
    <t>CANDADO</t>
  </si>
  <si>
    <t>TIRA CHANUL 1"x3"x4</t>
  </si>
  <si>
    <t>CUARTON CHANUL 2 1/2x2x4</t>
  </si>
  <si>
    <t>CUARTON CHANUL 2x3x4</t>
  </si>
  <si>
    <t>PLYWOOD ENCOFRADO 15 MM</t>
  </si>
  <si>
    <t>TIRA</t>
  </si>
  <si>
    <t>CUARTON</t>
  </si>
  <si>
    <t>TABLA</t>
  </si>
  <si>
    <t>CLAVO 2 1/2"</t>
  </si>
  <si>
    <t>CAÑA PICADA</t>
  </si>
  <si>
    <t>CAÑA</t>
  </si>
  <si>
    <t>PIOLA</t>
  </si>
  <si>
    <t>SOGA</t>
  </si>
  <si>
    <t>ALAMBRE #18 RECOCIDO</t>
  </si>
  <si>
    <t>ALAMBRE GALVANIZADO</t>
  </si>
  <si>
    <t>MATERIAL PARA ENCOFRADO</t>
  </si>
  <si>
    <t>CIERRAPUERTAS</t>
  </si>
  <si>
    <t>LAQUEADO UNA PUERTA</t>
  </si>
  <si>
    <t>BISAGRAS DE ACERO</t>
  </si>
  <si>
    <t>CLAVOS</t>
  </si>
  <si>
    <t>BISAGRAS DE VAIVEN</t>
  </si>
  <si>
    <t>TORNILLO</t>
  </si>
  <si>
    <t>PASAMANO GUAYACAN</t>
  </si>
  <si>
    <t>RASTRERA LAUREL</t>
  </si>
  <si>
    <t>BISAGRA CROMADA</t>
  </si>
  <si>
    <t>BISAGRA STANLEY BRONCE RET. 3,5</t>
  </si>
  <si>
    <t>BISAGRAS SAT 3x3 AMER</t>
  </si>
  <si>
    <t>CERRADURA SCHLAGE PRINCIPAL</t>
  </si>
  <si>
    <t>CERRADURA ENGRAPE</t>
  </si>
  <si>
    <t>JUEGO</t>
  </si>
  <si>
    <t>JAMBA</t>
  </si>
  <si>
    <t>BATIENTE</t>
  </si>
  <si>
    <t>MADERAS/PUERTAS/ACCESORIOS</t>
  </si>
  <si>
    <t>LADRILLO CORRIENTE 7x15x35</t>
  </si>
  <si>
    <t>LADRILLO CHICO</t>
  </si>
  <si>
    <t>10x20x20 ORNAMENTAL Nº1</t>
  </si>
  <si>
    <t>20x20x40 RAYADO</t>
  </si>
  <si>
    <t>15x20x40 RAYADO</t>
  </si>
  <si>
    <t>10x20x40 RAYADO</t>
  </si>
  <si>
    <t>10x20x40 LISO</t>
  </si>
  <si>
    <t xml:space="preserve"> 7x20x40 RAYADO</t>
  </si>
  <si>
    <t xml:space="preserve"> 7x20x40 LISO</t>
  </si>
  <si>
    <t>6.5x20x40 ECONOMICO RAYADO</t>
  </si>
  <si>
    <t>BLOQUES DE ARCILLA</t>
  </si>
  <si>
    <t>2.1.5</t>
  </si>
  <si>
    <t>BLOQUE DE CONCRETO PARA LOSA 14x19x39 BLL10</t>
  </si>
  <si>
    <t>Medidor</t>
  </si>
  <si>
    <t>Bajante PVC des ø 160mm</t>
  </si>
  <si>
    <t>Revestimiento con aluminio compuesto</t>
  </si>
  <si>
    <t>ABRAZADERA 6" PVC</t>
  </si>
  <si>
    <t>Puntos sumideros de 160mm</t>
  </si>
  <si>
    <t>Codo de PVC Desagüe de 90 ° x  160 mm</t>
  </si>
  <si>
    <t>Rejillas aluminio CC 200 x 160mm</t>
  </si>
  <si>
    <t>Silicon transparente</t>
  </si>
  <si>
    <t>tubo</t>
  </si>
  <si>
    <t xml:space="preserve">Bajante PVC des ø 110mm </t>
  </si>
  <si>
    <t>Colector   PVC des ø 200mm AA.SS.</t>
  </si>
  <si>
    <t>BLOQUE DE CONCRETO PARA LOSA 25x19x39 BLL25</t>
  </si>
  <si>
    <t>BLOQUE DE CONCRETO PARA LOSA 19x19x39 BLL19</t>
  </si>
  <si>
    <t>BLOQUE DE CONCRETO PARA LOSA 14x19x39 BLL14</t>
  </si>
  <si>
    <t>BLOQUE DE CONCRETO 10x30x30 ORNAMENTAL</t>
  </si>
  <si>
    <t>BLOQUE DE CONCRETO 19x19x39 PL19</t>
  </si>
  <si>
    <t>BLOQUE DE CONCRETO 14x19x39 PL14</t>
  </si>
  <si>
    <t>BLOQUE DE CONCRETO 9x19x39 P9</t>
  </si>
  <si>
    <t>4.1.1.1</t>
  </si>
  <si>
    <t>4.1.1.2</t>
  </si>
  <si>
    <t>4.1.1.3</t>
  </si>
  <si>
    <t>4.1.1.4</t>
  </si>
  <si>
    <t>4.1.2.1</t>
  </si>
  <si>
    <t>4.1.2.2</t>
  </si>
  <si>
    <t>4.1.2.3</t>
  </si>
  <si>
    <t>4.1.2.4</t>
  </si>
  <si>
    <t>4.1.2.5</t>
  </si>
  <si>
    <t>4.1.2.6</t>
  </si>
  <si>
    <t>4.1.2.7</t>
  </si>
  <si>
    <t>4.1.2.8</t>
  </si>
  <si>
    <t>4.1.2.9</t>
  </si>
  <si>
    <t>4.1.2.10</t>
  </si>
  <si>
    <t>4.1.2.11</t>
  </si>
  <si>
    <t>4.1.2.12</t>
  </si>
  <si>
    <t>4.1.2.13</t>
  </si>
  <si>
    <t>4.1.2.14</t>
  </si>
  <si>
    <t>4.1.2.15</t>
  </si>
  <si>
    <t>4.1.2.16</t>
  </si>
  <si>
    <t>4.1.2.17</t>
  </si>
  <si>
    <t>4.1.2.18</t>
  </si>
  <si>
    <t>4.1.2.19</t>
  </si>
  <si>
    <t>4.1.2.20</t>
  </si>
  <si>
    <t>4.1.3.1</t>
  </si>
  <si>
    <t>4.1.3.2</t>
  </si>
  <si>
    <t>4.1.3.3</t>
  </si>
  <si>
    <t>BLOQUE DE CONCRETO 9x19x39 PL9</t>
  </si>
  <si>
    <t>BLOQUE DE CONCRETO 6,5x19x39 P6</t>
  </si>
  <si>
    <t>BLOQUE DE CONCRETO 6,5x19x39 PL6</t>
  </si>
  <si>
    <t>BLOQUE DE CONCRETO 6x19x39 DPP</t>
  </si>
  <si>
    <t>BLOQUES DE CONCRETO</t>
  </si>
  <si>
    <t>ADITIVO GROUTEX</t>
  </si>
  <si>
    <t>PORCELANA</t>
  </si>
  <si>
    <t>SACO</t>
  </si>
  <si>
    <t>POLVO DE FRAGUAR</t>
  </si>
  <si>
    <t>VINYL 30x30 polyflex 16 MM</t>
  </si>
  <si>
    <t>ARCILLA 30x30 N</t>
  </si>
  <si>
    <t>ARCILLA 20x20 N</t>
  </si>
  <si>
    <t>ARCILLA 10x20 N</t>
  </si>
  <si>
    <t>BALDOSA ANTID. 30x30 BLANCA</t>
  </si>
  <si>
    <t>BALDOSA GM 50x50 BLANCA 3-4</t>
  </si>
  <si>
    <t>BALDOSA GP 50x50 BLANCA 3-4</t>
  </si>
  <si>
    <t>BALDOSA GP 50x50 GRIS 3-4</t>
  </si>
  <si>
    <t>BALDOSA GM 30x30 BLANCA 3-4</t>
  </si>
  <si>
    <t>BALDOSA GP 30x30 BLANCA 3-4</t>
  </si>
  <si>
    <t>BALDOSA GP 30x30 GRIS 3-4</t>
  </si>
  <si>
    <t>RESINA Y AGLOMERANTES</t>
  </si>
  <si>
    <t>MARMETON 40 x 40</t>
  </si>
  <si>
    <t>BALDOSAS/REVESTIMIENTO PISOS</t>
  </si>
  <si>
    <t>PORCELANA COLOR</t>
  </si>
  <si>
    <t>PORCELANA BLANCA</t>
  </si>
  <si>
    <t>PLAQUETA  10x30 N</t>
  </si>
  <si>
    <t>PLAQUETA   7x25 N</t>
  </si>
  <si>
    <t>PLAQUETA   6x20 N</t>
  </si>
  <si>
    <t>CERAMICOS PARED</t>
  </si>
  <si>
    <t>AZULEJO COLOR  11x11</t>
  </si>
  <si>
    <t>AZULEJO BLANCO 11x11</t>
  </si>
  <si>
    <t>AZULEJOS/REVESTIMIENTOS PAREDES</t>
  </si>
  <si>
    <t>SUB BASE</t>
  </si>
  <si>
    <t>PIEDRA BASE</t>
  </si>
  <si>
    <t>AGUA</t>
  </si>
  <si>
    <t>ARENA</t>
  </si>
  <si>
    <t>PIEDRA 3-4</t>
  </si>
  <si>
    <t>CASCAJO MEDIO</t>
  </si>
  <si>
    <t>AGREGADOS</t>
  </si>
  <si>
    <t>YESO</t>
  </si>
  <si>
    <t>CAL</t>
  </si>
  <si>
    <t>CEMENTO BLANCO</t>
  </si>
  <si>
    <t>CEMENTO</t>
  </si>
  <si>
    <t>AGLOMERANTES</t>
  </si>
  <si>
    <t>%</t>
  </si>
  <si>
    <t>Enlucido exterior</t>
  </si>
  <si>
    <t>Plintos de cimentacion</t>
  </si>
  <si>
    <t>Vigas de cubierta ( 15 x 30)</t>
  </si>
  <si>
    <t>Losa Hormigon armado e= 20cm</t>
  </si>
  <si>
    <t>Hormigon armado en Losa e= 20cm</t>
  </si>
  <si>
    <t>Escalera</t>
  </si>
  <si>
    <t>Cajas de registro (mamposteria.) (inc. Enlucido-tapa hormigon)</t>
  </si>
  <si>
    <t>ANGULO 50x50x3</t>
  </si>
  <si>
    <t>Cuadrada de boquetes</t>
  </si>
  <si>
    <t>FINANCIAMIENTO</t>
  </si>
  <si>
    <t>ADOQUIN A/V. 10x16x21</t>
  </si>
  <si>
    <t>IMPREVISTOS</t>
  </si>
  <si>
    <t>ADOQUIN A/H 6x16x21</t>
  </si>
  <si>
    <t>ADMINISTRACION</t>
  </si>
  <si>
    <t>ADOQUIN HORM/VEHI. 9x19x19</t>
  </si>
  <si>
    <t>DIRECCION TECNICA</t>
  </si>
  <si>
    <t>ADOQUIN GRIS NATURAL(30X30X6)</t>
  </si>
  <si>
    <t>I.V.A.</t>
  </si>
  <si>
    <t>ADOQUINES</t>
  </si>
  <si>
    <t>COSTO</t>
  </si>
  <si>
    <t>UNIDAD</t>
  </si>
  <si>
    <t>DESCRIPCION</t>
  </si>
  <si>
    <t>CODIGO</t>
  </si>
  <si>
    <t>P. CORREDIZA</t>
  </si>
  <si>
    <t>COSTOS INDIRECTOS EN PRESUPUESTO</t>
  </si>
  <si>
    <t>V. CORREDIZA</t>
  </si>
  <si>
    <t>V. CELOSIA</t>
  </si>
  <si>
    <t>V. FIJA</t>
  </si>
  <si>
    <t>ALUMINIO Y VIDRIO</t>
  </si>
  <si>
    <t>TUBO 1" x 1.5mm= 1.12kg</t>
  </si>
  <si>
    <t>PLANCHA 122x244x3mm</t>
  </si>
  <si>
    <t>OTROS INDIRECTOS</t>
  </si>
  <si>
    <t>PERFILERIA METALICA</t>
  </si>
  <si>
    <t>INDIRECTOS Y UTILIDADES</t>
  </si>
  <si>
    <t>VARILLA 1/2"</t>
  </si>
  <si>
    <t>HIERRO</t>
  </si>
  <si>
    <t>GUAYAQUIL, JULIO - 07 -2007</t>
  </si>
  <si>
    <t>COSTOS INDIRECTOS EN ANALISIS</t>
  </si>
  <si>
    <t>Cerámica en pisos</t>
  </si>
  <si>
    <t>BONDEX PLUS</t>
  </si>
  <si>
    <t>CERAMICA PISO</t>
  </si>
  <si>
    <t>PORCELANATO 50 x 50</t>
  </si>
  <si>
    <t>Pintura exterior: elastomérica</t>
  </si>
  <si>
    <t xml:space="preserve">Revestimiento de meson en cafeteria </t>
  </si>
  <si>
    <t>Pavimento exterior  de hormigón simple e= 20cm</t>
  </si>
  <si>
    <t>ESTRUCTURAS DE HORMIGON SIMPLE</t>
  </si>
  <si>
    <t>ESTRUCTURAS METALICAS Y CUBIERTAS</t>
  </si>
  <si>
    <t>Conexión a tuberia de  agua existente</t>
  </si>
  <si>
    <t>Llave de control 1/2 R/W</t>
  </si>
  <si>
    <t>Llave de control 1/2</t>
  </si>
  <si>
    <t>Llave de control 3/4 R/W</t>
  </si>
  <si>
    <t>PLANCHA 122x244x2</t>
  </si>
  <si>
    <t>ESCALONES</t>
  </si>
  <si>
    <t>Escalones de hormigon simple</t>
  </si>
  <si>
    <t>Chofer profesional licencia tipo D (Estr.Op. C1)</t>
  </si>
  <si>
    <t>ACERO EN VARILLAS</t>
  </si>
  <si>
    <t>HORA</t>
  </si>
  <si>
    <t>Grua</t>
  </si>
  <si>
    <t xml:space="preserve">COMPRESOR </t>
  </si>
  <si>
    <t>CORTADORA ELECTRICA</t>
  </si>
  <si>
    <t>Puntos de 3/4" APF</t>
  </si>
  <si>
    <t>Impermeabilizacion de losas</t>
  </si>
  <si>
    <t>Dinteles y Viguetas h. armado de ventanas</t>
  </si>
  <si>
    <t>Cubierta Steel Panel e= 0,45mm</t>
  </si>
  <si>
    <t xml:space="preserve">Replanteo de la terraza </t>
  </si>
  <si>
    <t xml:space="preserve">Replanteo y trazado de la edificación </t>
  </si>
  <si>
    <t xml:space="preserve">Replantillo </t>
  </si>
  <si>
    <t>Canalon metalico</t>
  </si>
  <si>
    <t>viguetas 10x20</t>
  </si>
  <si>
    <t>Porcelanato en pisos</t>
  </si>
  <si>
    <t>Revestimiento de escalera</t>
  </si>
  <si>
    <t>U/MES</t>
  </si>
  <si>
    <t xml:space="preserve">ANDAMIOS </t>
  </si>
  <si>
    <t>Bajante drenaje AA.CC. PVC des d= 2"</t>
  </si>
  <si>
    <t>Puntos de drenaje AA/CC PVC pegable d=1"</t>
  </si>
  <si>
    <t>EQUIPO PARA ELEVAR ESTRUCTURA</t>
  </si>
  <si>
    <t>COMPRESOR Y PISTOLA</t>
  </si>
  <si>
    <t>CORTADORA DE HIERRO</t>
  </si>
  <si>
    <t>TRANSPORTE DE EQUIPO</t>
  </si>
  <si>
    <t>TRANSPORTE DE MATERIAL</t>
  </si>
  <si>
    <t>HERRAMIENTA MENOR</t>
  </si>
  <si>
    <t>ANDAMIOS METALICOS</t>
  </si>
  <si>
    <t>RODILLO LISO 10 TN</t>
  </si>
  <si>
    <t xml:space="preserve">MOTONIVELADORA </t>
  </si>
  <si>
    <t>SOLDADORA</t>
  </si>
  <si>
    <t>WINCHE</t>
  </si>
  <si>
    <t>VOLQUETA 8M3</t>
  </si>
  <si>
    <t>VIBRADOR</t>
  </si>
  <si>
    <t>TEODOLITO</t>
  </si>
  <si>
    <t>PULIDA BALDOSA MARMOL</t>
  </si>
  <si>
    <t>PULIDA BALDOSA PIEDRA</t>
  </si>
  <si>
    <t>COMPACTADOR MEDIANO</t>
  </si>
  <si>
    <t>CONCRETERA</t>
  </si>
  <si>
    <t>RETROEXCAVADORA</t>
  </si>
  <si>
    <t>BOMBA  DE AGUA 4"</t>
  </si>
  <si>
    <t>EQUIPO DE CONSTRUCCION</t>
  </si>
  <si>
    <t>MAESTRO</t>
  </si>
  <si>
    <t>EBANISTA</t>
  </si>
  <si>
    <t>INSTALADOR</t>
  </si>
  <si>
    <t>PINTOR</t>
  </si>
  <si>
    <t>ELECTRICISTA</t>
  </si>
  <si>
    <t>GAFITERO</t>
  </si>
  <si>
    <t xml:space="preserve">ING. ESPECIALIZADO </t>
  </si>
  <si>
    <t>OP.EQUIPO LIVIANO</t>
  </si>
  <si>
    <t>OP.EQUIPO PESADO</t>
  </si>
  <si>
    <t>AYUDANTE ESPECIALISTA</t>
  </si>
  <si>
    <t>CADENERO</t>
  </si>
  <si>
    <t>GUARDIA</t>
  </si>
  <si>
    <t>TOPOGRAFO</t>
  </si>
  <si>
    <t>MAESTRO  SOLDADOR</t>
  </si>
  <si>
    <t>FIERRERO</t>
  </si>
  <si>
    <t>CARPINTERO</t>
  </si>
  <si>
    <t>ALBAÑIL</t>
  </si>
  <si>
    <t>PEON</t>
  </si>
  <si>
    <t>JORNAL EN ANALISIS</t>
  </si>
  <si>
    <t>MANO DE OBRA</t>
  </si>
  <si>
    <t>SUBTOTAL</t>
  </si>
  <si>
    <t>COSTO DIRECTO DE OBRA:</t>
  </si>
  <si>
    <t>u</t>
  </si>
  <si>
    <t>global</t>
  </si>
  <si>
    <t>Tuberia de cobre de 1/4"  USA</t>
  </si>
  <si>
    <t>kg</t>
  </si>
  <si>
    <t>Llaves de manguera</t>
  </si>
  <si>
    <t>Duchas</t>
  </si>
  <si>
    <t>Puntos sumideros de 110mm</t>
  </si>
  <si>
    <t>Bajante PVC des ø 110mm</t>
  </si>
  <si>
    <t>Puntos de 50mm</t>
  </si>
  <si>
    <t>Puntos de 110mm</t>
  </si>
  <si>
    <t>SISTEMA DE AGUA POTABLE</t>
  </si>
  <si>
    <t>3.2</t>
  </si>
  <si>
    <t>3.1</t>
  </si>
  <si>
    <t>SISTEMA INSTALACIONES ELECTRICAS</t>
  </si>
  <si>
    <t>m2</t>
  </si>
  <si>
    <t>m3</t>
  </si>
  <si>
    <t>Bordillos de hormigon simple</t>
  </si>
  <si>
    <t>2.5.3</t>
  </si>
  <si>
    <t>2.5.2</t>
  </si>
  <si>
    <t>2.5.1</t>
  </si>
  <si>
    <t>2.4.4</t>
  </si>
  <si>
    <t>2.4.3</t>
  </si>
  <si>
    <t>2.4.2</t>
  </si>
  <si>
    <t>2.4.1</t>
  </si>
  <si>
    <t>2.3.1</t>
  </si>
  <si>
    <t>2.2.2</t>
  </si>
  <si>
    <t>2.2.1</t>
  </si>
  <si>
    <t>Cerámica en paredes</t>
  </si>
  <si>
    <t>2.1.3</t>
  </si>
  <si>
    <t>2.1.2</t>
  </si>
  <si>
    <t>2.1.1</t>
  </si>
  <si>
    <t>1.9.19</t>
  </si>
  <si>
    <t>1.9.18</t>
  </si>
  <si>
    <t>1.9.17</t>
  </si>
  <si>
    <t>Goteros</t>
  </si>
  <si>
    <t>1.9.15</t>
  </si>
  <si>
    <t>1.9.14</t>
  </si>
  <si>
    <t>1.9.13</t>
  </si>
  <si>
    <t>1.9.10</t>
  </si>
  <si>
    <t>1.9.9</t>
  </si>
  <si>
    <t>1.9.8</t>
  </si>
  <si>
    <t>Enlucido de columnas</t>
  </si>
  <si>
    <t>1.9.6</t>
  </si>
  <si>
    <t>Enlucido interior</t>
  </si>
  <si>
    <t>1.9.7</t>
  </si>
  <si>
    <t>1.9.5</t>
  </si>
  <si>
    <t>1.9.4</t>
  </si>
  <si>
    <t>1.9.3</t>
  </si>
  <si>
    <t>1.9.2</t>
  </si>
  <si>
    <t>Pared mamposteria bloque e= 9cm</t>
  </si>
  <si>
    <t>1.9.1</t>
  </si>
  <si>
    <t>ALBAÑILERIAS</t>
  </si>
  <si>
    <t>1.6.8</t>
  </si>
  <si>
    <t>1.6.7</t>
  </si>
  <si>
    <t>1.6.6</t>
  </si>
  <si>
    <t>1.6.5</t>
  </si>
  <si>
    <t>1.6.2</t>
  </si>
  <si>
    <t>1.6.1</t>
  </si>
  <si>
    <t>1.5.2</t>
  </si>
  <si>
    <t>1.5.1</t>
  </si>
  <si>
    <t>Global</t>
  </si>
  <si>
    <t>Pruebas y ensayos de compactacion de terrenos / proctor modificado</t>
  </si>
  <si>
    <t>Relleno compactado con material sitio</t>
  </si>
  <si>
    <t>Relleno compactado con material importado</t>
  </si>
  <si>
    <t>1.3.1</t>
  </si>
  <si>
    <t>Desalojo de limpieza</t>
  </si>
  <si>
    <t>1.2.2</t>
  </si>
  <si>
    <t>Limpieza general de la obra</t>
  </si>
  <si>
    <t>1.2.1</t>
  </si>
  <si>
    <t>Servicio higienico para obreros</t>
  </si>
  <si>
    <t>1.1.4</t>
  </si>
  <si>
    <t xml:space="preserve">Instalación AAPP provisional </t>
  </si>
  <si>
    <t>1.1.3</t>
  </si>
  <si>
    <t xml:space="preserve">Instalación eléctrica provisional </t>
  </si>
  <si>
    <t>1.1.2</t>
  </si>
  <si>
    <t>Caseta de oficina, bodega y guardiania</t>
  </si>
  <si>
    <t>1.1.1</t>
  </si>
  <si>
    <t>TOTAL</t>
  </si>
  <si>
    <t>CANTIDAD</t>
  </si>
  <si>
    <t>DETALLE</t>
  </si>
  <si>
    <t>RUBRO</t>
  </si>
  <si>
    <t>Noviembre</t>
  </si>
  <si>
    <t>Abril</t>
  </si>
  <si>
    <t>Mayo</t>
  </si>
  <si>
    <t>Junio</t>
  </si>
  <si>
    <t>Julio</t>
  </si>
  <si>
    <t xml:space="preserve">CRONOGRAMA VALORADO   </t>
  </si>
  <si>
    <t>ESCALERA Y CORREDORES</t>
  </si>
  <si>
    <t>PLANTA ALTA 2</t>
  </si>
  <si>
    <t>PLANTA ALTA 1</t>
  </si>
  <si>
    <t>PLANTA BAJA</t>
  </si>
  <si>
    <t>PASAMANOS</t>
  </si>
  <si>
    <t>MESONES DE BAÑO</t>
  </si>
  <si>
    <t>MUROS DE TINA</t>
  </si>
  <si>
    <t>TERRAZA</t>
  </si>
  <si>
    <t>FILOS DE PAREDES</t>
  </si>
  <si>
    <t>FILOS DE COLUMNAS</t>
  </si>
  <si>
    <t>FILOS</t>
  </si>
  <si>
    <t>GOTEROS</t>
  </si>
  <si>
    <t>ENLUCIDO DE COLUMNAS REDONDAS</t>
  </si>
  <si>
    <t>ENLUCIDO DE COLUMNAS</t>
  </si>
  <si>
    <t>RASTRERAS</t>
  </si>
  <si>
    <t>TABIQUERIA</t>
  </si>
  <si>
    <t>Ventanas altas E= 20</t>
  </si>
  <si>
    <t>CUADRADA VENTANAS E= 20</t>
  </si>
  <si>
    <t xml:space="preserve">TOTAL </t>
  </si>
  <si>
    <t>CUADRADA DE BOQUETES</t>
  </si>
  <si>
    <t>TOTAL VANOS PUERTAS</t>
  </si>
  <si>
    <t>PUERTAS</t>
  </si>
  <si>
    <t>TUMBADO INTERIOR</t>
  </si>
  <si>
    <t>ESCALERA</t>
  </si>
  <si>
    <t>PISOS INTERIOR</t>
  </si>
  <si>
    <t>LOSA DE CUBIERTA ESCALERA</t>
  </si>
  <si>
    <t>FILOS DE PARED</t>
  </si>
  <si>
    <t>IMPERMEABILIZACION CUBIERTAS</t>
  </si>
  <si>
    <t>LOSA DE CUBIERTA</t>
  </si>
  <si>
    <t>ENLUCIDO SOBRE LOSA CUBIERTAS</t>
  </si>
  <si>
    <t>CORREDOR Y ESCALERA</t>
  </si>
  <si>
    <t>ENLUCIDO TUMBADO BAJO LOSA</t>
  </si>
  <si>
    <t>REDONDAS</t>
  </si>
  <si>
    <t>RECTANGULARES</t>
  </si>
  <si>
    <t>TOTAL VANOS e= 20 cm</t>
  </si>
  <si>
    <t>TOTAL VANOS e= 10 cm</t>
  </si>
  <si>
    <t>VENTANAS EXTERIOR</t>
  </si>
  <si>
    <t>PARED E= 10cm INTERIOR</t>
  </si>
  <si>
    <t>ENLUCIDO INTERIOR</t>
  </si>
  <si>
    <t>ENLUCIDO EXTERIOR</t>
  </si>
  <si>
    <t>TOTAL PILARETES</t>
  </si>
  <si>
    <t xml:space="preserve">TOTAL VIGUETAS </t>
  </si>
  <si>
    <t>TOTAL VIGUETAS Y PILARETES</t>
  </si>
  <si>
    <t>PILARETES 10 X 20 PAREDES</t>
  </si>
  <si>
    <t>PILARETES 10 X 20 PUERTAS</t>
  </si>
  <si>
    <t>VIGUETAS 10 X 20 PAREDES</t>
  </si>
  <si>
    <t>VIGUETAS Y PILARETES 10x20</t>
  </si>
  <si>
    <t>PARED E= 10cm</t>
  </si>
  <si>
    <t>PAREDES</t>
  </si>
  <si>
    <t>CONTRAPISO</t>
  </si>
  <si>
    <t>REPLANTILLO EN PLINTOS</t>
  </si>
  <si>
    <t>REPLANTILLO</t>
  </si>
  <si>
    <t>RIOSTRAS ESCALERA</t>
  </si>
  <si>
    <t>PLINTOS ESCALERA</t>
  </si>
  <si>
    <t>RIOSTRAS</t>
  </si>
  <si>
    <t>PLINTOS</t>
  </si>
  <si>
    <t>EXCAVACION MANUAL</t>
  </si>
  <si>
    <t>VALOR OFERTADO</t>
  </si>
  <si>
    <t>3.1.5</t>
  </si>
  <si>
    <t>3.3.4</t>
  </si>
  <si>
    <t>3.3.5</t>
  </si>
  <si>
    <t>3.3.6</t>
  </si>
  <si>
    <t>3.3.7</t>
  </si>
  <si>
    <t>3.3.8</t>
  </si>
  <si>
    <t>3.3.9</t>
  </si>
  <si>
    <t>3.3.10</t>
  </si>
  <si>
    <t>3.4.1</t>
  </si>
  <si>
    <t>3.4.2</t>
  </si>
  <si>
    <t>3.4.3</t>
  </si>
  <si>
    <t>3.4.4</t>
  </si>
  <si>
    <t>3.4.5</t>
  </si>
  <si>
    <t>3.4.6</t>
  </si>
  <si>
    <t>3.4.7</t>
  </si>
  <si>
    <t>3.4.8</t>
  </si>
  <si>
    <t>3.4.9</t>
  </si>
  <si>
    <t>3.4.10</t>
  </si>
  <si>
    <t>Mortero adhesivo y empore</t>
  </si>
  <si>
    <t>COSTO TOTAL DEL RUBRO</t>
  </si>
  <si>
    <t>OTROS INDIRECTOS          %</t>
  </si>
  <si>
    <t>INDIRECTOS Y UTILIDADES   %</t>
  </si>
  <si>
    <t>TOTAL COSTO DIRECTO (M+N+O+P)</t>
  </si>
  <si>
    <t>SUBTOTAL P</t>
  </si>
  <si>
    <t>COSTO      C=A*B</t>
  </si>
  <si>
    <t>TARIFA           B</t>
  </si>
  <si>
    <t>2.1.4</t>
  </si>
  <si>
    <t>Pernos de expansion</t>
  </si>
  <si>
    <t>CANTIDAD     A</t>
  </si>
  <si>
    <t>TRANSPORTE</t>
  </si>
  <si>
    <t>SUBTOTAL O</t>
  </si>
  <si>
    <t/>
  </si>
  <si>
    <t>UNITARIO          B</t>
  </si>
  <si>
    <t>MATERIALES</t>
  </si>
  <si>
    <t>SUBTOTAL N</t>
  </si>
  <si>
    <t>COSTO D=C*R</t>
  </si>
  <si>
    <t>RENDIMIENTO</t>
  </si>
  <si>
    <t>COSTO HORA  C= A*B</t>
  </si>
  <si>
    <t>JORNAL/HR      B</t>
  </si>
  <si>
    <t>CANTIDAD A</t>
  </si>
  <si>
    <t>DESCRIPCION (CATEG)</t>
  </si>
  <si>
    <t>SUBTOTAL M</t>
  </si>
  <si>
    <t>COSTO HORA    C= A*B</t>
  </si>
  <si>
    <t>TARIFA             B</t>
  </si>
  <si>
    <t>EQUIPOS</t>
  </si>
  <si>
    <t>UNIDAD:</t>
  </si>
  <si>
    <t>ANALISIS DE PRECIOS UNITARIOS</t>
  </si>
  <si>
    <t>de</t>
  </si>
  <si>
    <t>HOJA</t>
  </si>
  <si>
    <t xml:space="preserve">OBRA: </t>
  </si>
  <si>
    <t xml:space="preserve">NOMBRE DEL PROPONENTE: </t>
  </si>
  <si>
    <t>ESPOL</t>
  </si>
  <si>
    <t>1.3.2</t>
  </si>
  <si>
    <t>1.4.5</t>
  </si>
  <si>
    <t>1.4.4</t>
  </si>
  <si>
    <t>1.4.3</t>
  </si>
  <si>
    <t>1.7.1</t>
  </si>
  <si>
    <t>m</t>
  </si>
  <si>
    <t>80 MICRONES</t>
  </si>
  <si>
    <t>120 MICRONES</t>
  </si>
  <si>
    <t>Policarbonato e= 8mm (inc. Perfileria y accesorios)</t>
  </si>
  <si>
    <t>Pintura Interior</t>
  </si>
  <si>
    <t>Junquillo</t>
  </si>
  <si>
    <t>Vinyles</t>
  </si>
  <si>
    <t>Bisagras</t>
  </si>
  <si>
    <t>Cerradura</t>
  </si>
  <si>
    <t>Cierrapuertas</t>
  </si>
  <si>
    <t>Perfileria de aluminio en hojas</t>
  </si>
  <si>
    <t>Perfileria de aluminio en batientes</t>
  </si>
  <si>
    <t>Acopio de material sobrante en terraza</t>
  </si>
  <si>
    <t xml:space="preserve">Excavación para cimientos </t>
  </si>
  <si>
    <t>Regulador de presion 2"; Valvula check 2"</t>
  </si>
  <si>
    <t>Reductor 2" x 1 1/2"</t>
  </si>
  <si>
    <t>Tuberia D= 2" y accesorios, Valvula de control 2";</t>
  </si>
  <si>
    <t>Vidrio arenado e= 6mm</t>
  </si>
  <si>
    <t>Losa de closet  (inc. Enlucido)</t>
  </si>
  <si>
    <t xml:space="preserve">GRANITO PIEDRA LAVADA </t>
  </si>
  <si>
    <t>Granito de piedra lavada</t>
  </si>
  <si>
    <t>ACIDO</t>
  </si>
  <si>
    <t>PLANCHA METALICA NOVALOSA e= 0,65MM</t>
  </si>
  <si>
    <t>SECRETARIA NACIONAL DEL AGUA</t>
  </si>
  <si>
    <t>PARQUE RECREACIONAL Y COMERCIAL ZARUMILLA</t>
  </si>
  <si>
    <t>CANTON HUAQUILLAS - PROVINCIA DEL ORO</t>
  </si>
  <si>
    <t>REPLANTEO</t>
  </si>
  <si>
    <t>CONTRAPISO INTERIOR</t>
  </si>
  <si>
    <t>PATIOS POSTERIORES</t>
  </si>
  <si>
    <t>TERRAZA EXTERIOR</t>
  </si>
  <si>
    <t>PAVIMENTO EN INGRESO Y PARQUEOS</t>
  </si>
  <si>
    <t>PARED E= 20cm EXTERIOR</t>
  </si>
  <si>
    <t>viguetas 20x20</t>
  </si>
  <si>
    <t>PLANTA ALTA</t>
  </si>
  <si>
    <t>DUCHAS</t>
  </si>
  <si>
    <t>BAÑOS</t>
  </si>
  <si>
    <t>COCINA</t>
  </si>
  <si>
    <t>SERVICIO</t>
  </si>
  <si>
    <t>BODEGA</t>
  </si>
  <si>
    <t>SALA DE ESTAR</t>
  </si>
  <si>
    <t>DORMITORIOS</t>
  </si>
  <si>
    <t>madera 0,60</t>
  </si>
  <si>
    <t>madera 0,70</t>
  </si>
  <si>
    <t>madera 0,80</t>
  </si>
  <si>
    <t>madera 0,90</t>
  </si>
  <si>
    <t>madera 1,00</t>
  </si>
  <si>
    <t>metalica 0,90 x 2,00</t>
  </si>
  <si>
    <t>madera 1,00 x 2,20</t>
  </si>
  <si>
    <t>metalica 0,80 x 2,00</t>
  </si>
  <si>
    <t>metalica 0,80 x 1,20</t>
  </si>
  <si>
    <t>PLANTA BAJA baños</t>
  </si>
  <si>
    <t>PLANTA BAJA cocina</t>
  </si>
  <si>
    <t>PLANTA ALTA baños</t>
  </si>
  <si>
    <t>CERAMICA EN paredes</t>
  </si>
  <si>
    <t>CUBIERTAS METALICAS</t>
  </si>
  <si>
    <t>CERRAMIENTO</t>
  </si>
  <si>
    <t>LATERAL</t>
  </si>
  <si>
    <t>FRONTAL</t>
  </si>
  <si>
    <t>PLANTA BAJA EXTERIOR</t>
  </si>
  <si>
    <t>PLANTA BAJA INTERIOR</t>
  </si>
  <si>
    <t>PLANTA ALTA EXTERIOR</t>
  </si>
  <si>
    <t>PLANTA ALTA INTERIOR</t>
  </si>
  <si>
    <t>CUBIERTA</t>
  </si>
  <si>
    <t>CUADRADA PUERTAS</t>
  </si>
  <si>
    <t>COCINA A= 0,6</t>
  </si>
  <si>
    <t>COCINA A= 0,8</t>
  </si>
  <si>
    <t xml:space="preserve">MESONES DE cocina </t>
  </si>
  <si>
    <t>PARED E= 20cm</t>
  </si>
  <si>
    <t>Viguetas y pilaretes  h. armado   19x20cm</t>
  </si>
  <si>
    <t>Viguetas y pilaretes  h. armado    9x20cm</t>
  </si>
  <si>
    <t>VIGUETAS 20 X 20 PAREDES</t>
  </si>
  <si>
    <t>VIGUETAS 20 X 20 VENTANAS</t>
  </si>
  <si>
    <t>Redes de PVC presión roscable 3/4 fria</t>
  </si>
  <si>
    <t>Lavaplatos</t>
  </si>
  <si>
    <t>Lavarropas</t>
  </si>
  <si>
    <t>Puntos de agua fria</t>
  </si>
  <si>
    <t>3.3</t>
  </si>
  <si>
    <t>Cajas de paso (mamposteria.) Electrica</t>
  </si>
  <si>
    <t>MT.</t>
  </si>
  <si>
    <t>AYUDANTE ELECTRICISTA</t>
  </si>
  <si>
    <t>MT</t>
  </si>
  <si>
    <t>CABLE COBRE THHN # 6 AWG</t>
  </si>
  <si>
    <t>CABLE COBRE THHN # 8 AWG</t>
  </si>
  <si>
    <t>SOPORTE CHANEL 1,5 MM X 40 X 20 X 1200 MM</t>
  </si>
  <si>
    <t>CABLE COBRE THHN # 2 AWG</t>
  </si>
  <si>
    <t>CABLE COBRE THHN # 4 AWG</t>
  </si>
  <si>
    <t>TUBERIA EMT 0 2</t>
  </si>
  <si>
    <t>UNION EMT 2</t>
  </si>
  <si>
    <t>CONECTOR EMT 0 2"</t>
  </si>
  <si>
    <t xml:space="preserve"> CODO EMT 0 2 </t>
  </si>
  <si>
    <t>ABRASADERA RIEL 0 2"</t>
  </si>
  <si>
    <t xml:space="preserve">ALIMENTADORA MONOFASICA (F-2#2+N#4+T#6) Ø2 1/2" </t>
  </si>
  <si>
    <t xml:space="preserve">ALIMENTADORA MONOFASICA (F-2#6+N#8+T#8) Ø2 " </t>
  </si>
  <si>
    <t>TUBERIA EMT 0 21/2</t>
  </si>
  <si>
    <t>UNION EMT 21/2</t>
  </si>
  <si>
    <t>CONECTOR EMT 0 21/2"</t>
  </si>
  <si>
    <t xml:space="preserve"> CODO EMT 0 21/2 </t>
  </si>
  <si>
    <t>ABRASADERA RIEL 0 21/2"</t>
  </si>
  <si>
    <t>4.10</t>
  </si>
  <si>
    <t>Iluminacion 120 V. (no se inc. Luminarias)</t>
  </si>
  <si>
    <t>Tomacorriente servicios generales 120 V.</t>
  </si>
  <si>
    <t>Tomacorriente 220 V.</t>
  </si>
  <si>
    <t>Ventanas aluminio y vidrio</t>
  </si>
  <si>
    <t>Cerramiento (inc. Mamposteria y estructura)</t>
  </si>
  <si>
    <t>CERRAMIENTO LATERAL SIN ENLUCIR</t>
  </si>
  <si>
    <t>ENCOFRADO</t>
  </si>
  <si>
    <t>H=</t>
  </si>
  <si>
    <t>L=</t>
  </si>
  <si>
    <t xml:space="preserve">CEMENTO HORMIGON </t>
  </si>
  <si>
    <t>ARENA HORMIGON</t>
  </si>
  <si>
    <t>PIEDRA HORMIGON</t>
  </si>
  <si>
    <t>AGUA HORMIGON</t>
  </si>
  <si>
    <t>PLINTO</t>
  </si>
  <si>
    <t>CLAVO</t>
  </si>
  <si>
    <t>RIOSTRA</t>
  </si>
  <si>
    <t>ALAMBRE</t>
  </si>
  <si>
    <t>PILAR</t>
  </si>
  <si>
    <t>VIGUETA</t>
  </si>
  <si>
    <t>CEMENTO PAREDES</t>
  </si>
  <si>
    <t>ARENA PAREDES</t>
  </si>
  <si>
    <t>AGUA PAREDES</t>
  </si>
  <si>
    <t>BLOQUE</t>
  </si>
  <si>
    <t xml:space="preserve">Puertas metálicas (1.40m x 2. 30m). </t>
  </si>
  <si>
    <t>TUBO 1 1/2 x 1 1/2</t>
  </si>
  <si>
    <t>ANGULO 1 1/2 x 1 1/2</t>
  </si>
  <si>
    <t>Revestimiento de escalones</t>
  </si>
  <si>
    <t>losas</t>
  </si>
  <si>
    <t>vigas</t>
  </si>
  <si>
    <t>cimientos</t>
  </si>
  <si>
    <t>zapatas</t>
  </si>
  <si>
    <t>riostras</t>
  </si>
  <si>
    <t>Columnas losa a cubierta</t>
  </si>
  <si>
    <t>Cisterna</t>
  </si>
  <si>
    <t>Hormigon armado en Losa e= 25cm</t>
  </si>
  <si>
    <t>Losa e= 10 cm</t>
  </si>
  <si>
    <t>CARPINTERIA: ALUMINIO - VIDRIO</t>
  </si>
  <si>
    <t>Filos de columnas y paredes</t>
  </si>
  <si>
    <t>Enlucido de escalera (rampa y escalones)</t>
  </si>
  <si>
    <t>Enlucido cisterna</t>
  </si>
  <si>
    <t>Pintura Interior:  caucho (paredes)</t>
  </si>
  <si>
    <t>Pintura Interior:  caucho (tumbado)</t>
  </si>
  <si>
    <t>1.9.21</t>
  </si>
  <si>
    <t>Puertas metálicas (0.80m x 2. 00m). Código P1</t>
  </si>
  <si>
    <t>Puertas metálicas (0.80m x 1,20m). Código P1</t>
  </si>
  <si>
    <t>CARPINTERIA: ALUMINIO / VIDRIO</t>
  </si>
  <si>
    <t>ciclopeo</t>
  </si>
  <si>
    <t>columnas</t>
  </si>
  <si>
    <t>cimientos a losa</t>
  </si>
  <si>
    <t>losa a cubierta</t>
  </si>
  <si>
    <t>losa</t>
  </si>
  <si>
    <t>losa de cubierta</t>
  </si>
  <si>
    <t>PARED E= 10cm EXTERIOR</t>
  </si>
  <si>
    <t>PARED E= 20cm InTERIOR</t>
  </si>
  <si>
    <t>CUBIERTA PORCHE</t>
  </si>
  <si>
    <t>CUBIERTA PARQUEO</t>
  </si>
  <si>
    <t>F FRONTAL</t>
  </si>
  <si>
    <t>F POSTERIOR</t>
  </si>
  <si>
    <t>F LATERAL D</t>
  </si>
  <si>
    <t>F LATERAL I</t>
  </si>
  <si>
    <t>Puertas aluminio y vidrio</t>
  </si>
  <si>
    <t>LAVANDERIA</t>
  </si>
  <si>
    <t>Cerámica en pisos de baños, servicio, bodega, lavanderia</t>
  </si>
  <si>
    <t>madera 1,00 x 2,00</t>
  </si>
  <si>
    <t>Muro Ciclopeo</t>
  </si>
  <si>
    <t>Molduras en cubiertas</t>
  </si>
  <si>
    <t>Tina de baño</t>
  </si>
  <si>
    <t>cisterna</t>
  </si>
  <si>
    <t>Tapa metalica de cisterna</t>
  </si>
  <si>
    <t xml:space="preserve">Punto de Tv </t>
  </si>
  <si>
    <t>Punto de telefono</t>
  </si>
  <si>
    <t>SISTEMA DE AGUAS LLUVIAS</t>
  </si>
  <si>
    <t>Cajas de registro (h. simple) AA.SS.</t>
  </si>
  <si>
    <t>Cajas de registro (h. simple) AA.LL.</t>
  </si>
  <si>
    <t>h= 0,80m</t>
  </si>
  <si>
    <t>h= 0,40m</t>
  </si>
  <si>
    <t>Rejilla sumidero 110mm</t>
  </si>
  <si>
    <t>Tejas sobre cubierta</t>
  </si>
  <si>
    <t>3.4</t>
  </si>
  <si>
    <t>3.4.11</t>
  </si>
  <si>
    <t>viajes</t>
  </si>
  <si>
    <t>PLANCHA METALICA</t>
  </si>
  <si>
    <t xml:space="preserve">PROPONE: </t>
  </si>
  <si>
    <t>ALEJO MADINYA</t>
  </si>
  <si>
    <t>FORM. #</t>
  </si>
  <si>
    <t>SUPERINTENDENCIA DE COMPAÑÍAS DE MACHALA</t>
  </si>
  <si>
    <t>. 3.080</t>
  </si>
  <si>
    <t>PUNTO DE ALUMBRADO 120 V</t>
  </si>
  <si>
    <t>TUBERIA EMT 0 1/2</t>
  </si>
  <si>
    <t>ALAMBRE COBRE THHN # 12 AWG</t>
  </si>
  <si>
    <t>CAJA OCTOGONAL CON TAPA</t>
  </si>
  <si>
    <t xml:space="preserve">CAJA RECTANGULAR </t>
  </si>
  <si>
    <t>INTERRUPTOR SIMPLE</t>
  </si>
  <si>
    <t>CONECTORES EMT 0 1/2</t>
  </si>
  <si>
    <t>UNIONES EMT 01/2</t>
  </si>
  <si>
    <t>GRAPAS EMT 0 1/2</t>
  </si>
  <si>
    <t>TACOS FISHER F6</t>
  </si>
  <si>
    <t>TORNILLOS TRIPA PATO 8X1"</t>
  </si>
  <si>
    <t>CINTA AISLANTE 20 YARDAS</t>
  </si>
  <si>
    <t>CABLE CONCENTRICO 2 X16</t>
  </si>
  <si>
    <t>CONECTOR PARA CABLE 0 1/2"</t>
  </si>
  <si>
    <t>PUNTO DE TOMACORRIENTE GENERAL 120 V.-15A</t>
  </si>
  <si>
    <t>ALAMBRE THHN # 12 AWG</t>
  </si>
  <si>
    <t>ALAMBRE THHN # 14 AWG</t>
  </si>
  <si>
    <t>TOMACORRIENTE POLARIZADO DOBLE 120 V-15A</t>
  </si>
  <si>
    <t>PUNTO DE TOMACORRIENTE REGULADOS 120 V.-15A.</t>
  </si>
  <si>
    <t>PUNTO DE AUDIO Y VIDEO (TUBERIA)</t>
  </si>
  <si>
    <t>TUBERIA EMT 0 1"</t>
  </si>
  <si>
    <t>UNIONES EMT 0 1"</t>
  </si>
  <si>
    <t>CONECTORES EMT 0 1"</t>
  </si>
  <si>
    <t>GRAPAS EMT 0 1"</t>
  </si>
  <si>
    <t>CAJA 20 X 20 CM</t>
  </si>
  <si>
    <t>PUNTO DE SECADOR DE MANO 120 V</t>
  </si>
  <si>
    <t>TUBERIA EMT 0 3/4</t>
  </si>
  <si>
    <t>ALAMBRE THHN # 10</t>
  </si>
  <si>
    <t>ALAMBRE THHN # 12</t>
  </si>
  <si>
    <t>CAJA METALICA 4X4 CON BISEL</t>
  </si>
  <si>
    <t>CONECTORES EMT 0 3/4</t>
  </si>
  <si>
    <t>UNIONES EMT 0 3/4</t>
  </si>
  <si>
    <t>GRAPAS EMT 0 3/4</t>
  </si>
  <si>
    <t>PUNTO DE TERMOSTATO</t>
  </si>
  <si>
    <t>CABLE THHN # 16 AWG</t>
  </si>
  <si>
    <t>FUNDA SELLADA 0 1/2"</t>
  </si>
  <si>
    <t>CONECTOR SELLADO 0 1/2"</t>
  </si>
  <si>
    <t>UNION EMT 0 1/2"</t>
  </si>
  <si>
    <t>CONECTOR EMT 0 1/2"</t>
  </si>
  <si>
    <t>UNION RIGIDA 0 1/2"</t>
  </si>
  <si>
    <t>GRAPAS EMT 0 1/2"</t>
  </si>
  <si>
    <t>PUNTO DE TOMACORRIENTE 220 V-15A</t>
  </si>
  <si>
    <t>TOMACORRIENTE 220 V-15A</t>
  </si>
  <si>
    <t>PUNTO DE TOMACORRIENTE DE PISO POLARIZADO 120 V</t>
  </si>
  <si>
    <t>CABLE THHN # 12 AWG</t>
  </si>
  <si>
    <t>TOMACORRIENTE PISO POLARIZADO 110 V</t>
  </si>
  <si>
    <t>PUNTO DE LUZ  220 V</t>
  </si>
  <si>
    <t>CABLE CONCENTRICO 3 X16</t>
  </si>
  <si>
    <t>PUNTO PARA EXTRACTOR 120V</t>
  </si>
  <si>
    <t>. 3.090</t>
  </si>
  <si>
    <t>PUNTO PARA SENSOR DE MOVIMIENTO</t>
  </si>
  <si>
    <t>CABLE CONCENTRICO 3X12</t>
  </si>
  <si>
    <t>SENSOR DE MOVIMIENTO DE PARED</t>
  </si>
  <si>
    <t>PUNTO PARA LAMPARA EMERGENCIA Y/0 SALIDA EMERGENCIA</t>
  </si>
  <si>
    <t>CABLE CONCENTRICO 3X16</t>
  </si>
  <si>
    <t>PUNTO DE LUZ LETRERO 120V</t>
  </si>
  <si>
    <t>CABLE CONCENTRICO 2 X12</t>
  </si>
  <si>
    <t>PUNTO PARA MOTOR PUERTA ENROLLABLE</t>
  </si>
  <si>
    <t>PUNTO PULSADOR MOTOR PUERTA ENROLLABLE</t>
  </si>
  <si>
    <t xml:space="preserve">TOMACORRIENTE </t>
  </si>
  <si>
    <t>PUNTO DE TELEFONO</t>
  </si>
  <si>
    <t>TOMACORRIENTE TELEFONICO</t>
  </si>
  <si>
    <t>TOMACORRIENTE TV</t>
  </si>
  <si>
    <t>|</t>
  </si>
  <si>
    <t>Cubierta de teja</t>
  </si>
  <si>
    <t>http://www.insucons.com</t>
  </si>
  <si>
    <t>http://www.ecuador.generadordeprecios.info</t>
  </si>
  <si>
    <t>mt09mor010b</t>
  </si>
  <si>
    <t>m³</t>
  </si>
  <si>
    <t>Mortero de cemento CEM II/B-P 32,5 N tipo M-2,5, confeccionado en obra con 200 kg/m³ de cemento y una proporción en volumen 1/8.</t>
  </si>
  <si>
    <t>Ud</t>
  </si>
  <si>
    <t>mt13tac100</t>
  </si>
  <si>
    <t>Pigmento para mortero.</t>
  </si>
  <si>
    <t>mo018</t>
  </si>
  <si>
    <t>h</t>
  </si>
  <si>
    <t>Albañil.</t>
  </si>
  <si>
    <t>mo104</t>
  </si>
  <si>
    <t>Peón de albañil.</t>
  </si>
  <si>
    <t>Descompuesto</t>
  </si>
  <si>
    <t>Descomposición</t>
  </si>
  <si>
    <t>Rend.</t>
  </si>
  <si>
    <t>p.s.</t>
  </si>
  <si>
    <t>Precio partida</t>
  </si>
  <si>
    <t>mt13tac010a</t>
  </si>
  <si>
    <t>Teja cerámica curva, 40x19x16 cm, color rojo.</t>
  </si>
  <si>
    <t>mt13tac011a</t>
  </si>
  <si>
    <t>Pieza cerámica de caballete, curva, color rojo.</t>
  </si>
  <si>
    <t>mt13tac013a</t>
  </si>
  <si>
    <t>Teja cerámica de ventilación, curva, color rojo.</t>
  </si>
  <si>
    <t>Medios auxiliares</t>
  </si>
  <si>
    <t>Costes indirectos</t>
  </si>
  <si>
    <t>Coste de mantenimiento decenal: $ 9,25 en los primeros 10 años.</t>
  </si>
  <si>
    <t>Total:</t>
  </si>
  <si>
    <t xml:space="preserve">Zapata y viga de cimentacion, Riostras </t>
  </si>
  <si>
    <t>Hormigon armado en Losa e= 25cm,Macizos y Vigas de losa, Escalera</t>
  </si>
  <si>
    <t>Mamposterias y Viguetas</t>
  </si>
  <si>
    <t>Enlucidos</t>
  </si>
  <si>
    <t>Mesones, muros de tina, Cajas</t>
  </si>
  <si>
    <t>Impermeabilizaciones</t>
  </si>
  <si>
    <t>Revestimiento de mesones y escalera</t>
  </si>
  <si>
    <t xml:space="preserve">Ceramicas y porcelanatos en pisos </t>
  </si>
  <si>
    <t>Pintura interior y exterior</t>
  </si>
  <si>
    <t>MES 6</t>
  </si>
  <si>
    <t xml:space="preserve">FLUJO PARCIAL </t>
  </si>
  <si>
    <t xml:space="preserve">FLUJO ACUMULADO </t>
  </si>
  <si>
    <t>vigas parqueo</t>
  </si>
  <si>
    <t>zapatas parqueo</t>
  </si>
  <si>
    <t>OBRAS ADICIONALES</t>
  </si>
  <si>
    <t>plintos</t>
  </si>
  <si>
    <t>plintos parqueos</t>
  </si>
  <si>
    <t>riostras parqueo</t>
  </si>
  <si>
    <t>Riostras</t>
  </si>
  <si>
    <t>REPLANTILLO EN PARQUEOS</t>
  </si>
  <si>
    <t>cimientos a losa PARQUEO</t>
  </si>
  <si>
    <t>vigas cubierta posterior</t>
  </si>
  <si>
    <t>Vigas losa entrepiso</t>
  </si>
  <si>
    <t>vigas losa cubierta</t>
  </si>
  <si>
    <t>vigas cubierta princiapl</t>
  </si>
  <si>
    <t>Hormigon armado en Losa e= 21cm</t>
  </si>
  <si>
    <t>POLIESTIRENO EXPANDIDO</t>
  </si>
  <si>
    <t>H. PREMEZCLADO 280</t>
  </si>
  <si>
    <t>viga 125x50x15x2</t>
  </si>
  <si>
    <t>pericos 100x100x2</t>
  </si>
  <si>
    <t>correa  150x50x2</t>
  </si>
  <si>
    <t>garaje</t>
  </si>
  <si>
    <t>vigas losa entre piso 25,x40</t>
  </si>
  <si>
    <t>vigas losa entre piso 20x40</t>
  </si>
  <si>
    <t>vigas losa entre piso 20x35</t>
  </si>
  <si>
    <t>M/O</t>
  </si>
  <si>
    <t>COSTO INDIRECTO DE OBRA:</t>
  </si>
  <si>
    <t>Columnas planta baja (20x35)</t>
  </si>
  <si>
    <t>Columnas planta alta (20x30)</t>
  </si>
  <si>
    <t>Columnas planta alta (20x25)</t>
  </si>
  <si>
    <t>Vigas de losa (20 x 40)</t>
  </si>
  <si>
    <t>GARAJE</t>
  </si>
  <si>
    <t>Redes de PVC presión roscable 3/4 caliente</t>
  </si>
  <si>
    <t>Puntos de agua caliente</t>
  </si>
  <si>
    <t>Inodoros de tanque principales</t>
  </si>
  <si>
    <t>Inodoros de tanque servicio</t>
  </si>
  <si>
    <t>Duchas principales</t>
  </si>
  <si>
    <t>Ducha servicio</t>
  </si>
  <si>
    <t>Bomba de agua y tanque de presion</t>
  </si>
  <si>
    <t>Calentador</t>
  </si>
  <si>
    <t>Sumidero (h. simple) AA.LL.</t>
  </si>
  <si>
    <t>BODEGA/BOMBA</t>
  </si>
  <si>
    <t>INGRESOS</t>
  </si>
  <si>
    <t>3.4.12</t>
  </si>
  <si>
    <t>3.4.13</t>
  </si>
  <si>
    <t>enlucido columnas</t>
  </si>
  <si>
    <t>Columnas cimiento a losa vivienda</t>
  </si>
  <si>
    <t>Columnas cimiento a losa garaje</t>
  </si>
  <si>
    <t>Vigas losa de garaje</t>
  </si>
  <si>
    <t>Replantillo e= 10cm</t>
  </si>
  <si>
    <t>Excavacion</t>
  </si>
  <si>
    <t>Zapatas y vigas: en cimientos</t>
  </si>
  <si>
    <t>Enlucido Cerramiento ( lateral 1 lado)</t>
  </si>
  <si>
    <t>Puertas metálicas (0.90m x 2. 00m).</t>
  </si>
  <si>
    <t>4.11</t>
  </si>
  <si>
    <t>Columnas: cimiento a losa;  losa a cubierta, Garaje</t>
  </si>
  <si>
    <t>Vigas de  cubierta; Hormigon armado en Losa garaje</t>
  </si>
  <si>
    <t>MES 7</t>
  </si>
  <si>
    <t>MES 8</t>
  </si>
  <si>
    <t>Pasamanos</t>
  </si>
  <si>
    <t>CUADRADA VENTANAS EXTERIOR</t>
  </si>
  <si>
    <t>Molduras en ventanas</t>
  </si>
  <si>
    <t>1.9.23</t>
  </si>
  <si>
    <t>Impermeabilizacion en losa de cubiertas y cisterna</t>
  </si>
  <si>
    <t>Acometida Baja tension</t>
  </si>
  <si>
    <t>Paneles de Breakers: PD-PB</t>
  </si>
  <si>
    <t>Paneles de Breakers: PD-PA</t>
  </si>
  <si>
    <t>Paneles de Breakers: RESERVA</t>
  </si>
  <si>
    <t>Acometida a paneles  PD-PB</t>
  </si>
  <si>
    <t>Acometida a paneles  PD-PA</t>
  </si>
  <si>
    <t>Acometida a paneles  RESERVA</t>
  </si>
  <si>
    <t>4.12</t>
  </si>
  <si>
    <t>4.13</t>
  </si>
  <si>
    <t>4.14</t>
  </si>
  <si>
    <t>4.15</t>
  </si>
  <si>
    <t>Ojos de buey</t>
  </si>
  <si>
    <t>COSTOS INDIRECTOS</t>
  </si>
  <si>
    <t>Anaqueles de cocina bajo meson</t>
  </si>
  <si>
    <t>Anaqueles de cocina sobre meson</t>
  </si>
  <si>
    <t>Rastreras de porcelanato; sala-comedor-estar-dormitorios</t>
  </si>
  <si>
    <t>Juego Accesorios de baños principales</t>
  </si>
  <si>
    <t>Juego Accesorios de baño servicio</t>
  </si>
  <si>
    <t>3.4.14</t>
  </si>
  <si>
    <t>Tablero de proteccion</t>
  </si>
  <si>
    <t>Closets</t>
  </si>
  <si>
    <t>Enlucido Cerramiento (frontal 2 lados)</t>
  </si>
  <si>
    <t>Pintura cerramiento: ( lateral 1 lado+frontal 2 lados)</t>
  </si>
  <si>
    <t>Pavimento en ingreso y parqueos (con malla elect.)</t>
  </si>
  <si>
    <t>Pavimento en patios y area posterior (h. simple)</t>
  </si>
  <si>
    <t>OBRA GRIS</t>
  </si>
  <si>
    <t>1.1.01</t>
  </si>
  <si>
    <t>1.1.02</t>
  </si>
  <si>
    <t>1.1.03</t>
  </si>
  <si>
    <t>1.2.01</t>
  </si>
  <si>
    <t>1.2.02</t>
  </si>
  <si>
    <t>1.3.01</t>
  </si>
  <si>
    <t>1.3.02</t>
  </si>
  <si>
    <t>1.4.01</t>
  </si>
  <si>
    <t>1.4.02</t>
  </si>
  <si>
    <t>1.5.01</t>
  </si>
  <si>
    <t>1.5.02</t>
  </si>
  <si>
    <t>1.6.01</t>
  </si>
  <si>
    <t>1.6.02</t>
  </si>
  <si>
    <t>1.6.03</t>
  </si>
  <si>
    <t>1.6.04</t>
  </si>
  <si>
    <t>1.6.05</t>
  </si>
  <si>
    <t>1.6.06</t>
  </si>
  <si>
    <t>1.6.07</t>
  </si>
  <si>
    <t>1.6.08</t>
  </si>
  <si>
    <t>1.6.09</t>
  </si>
  <si>
    <t>1.7.01</t>
  </si>
  <si>
    <t>1.7.02</t>
  </si>
  <si>
    <t>1.7.03</t>
  </si>
  <si>
    <t>1.8.01</t>
  </si>
  <si>
    <t>1.9.01</t>
  </si>
  <si>
    <t>1.9.02</t>
  </si>
  <si>
    <t>1.9.03</t>
  </si>
  <si>
    <t>1.9.04</t>
  </si>
  <si>
    <t>1.9.05</t>
  </si>
  <si>
    <t>1.9.06</t>
  </si>
  <si>
    <t>1.9.07</t>
  </si>
  <si>
    <t>1.9.08</t>
  </si>
  <si>
    <t>1.9.09</t>
  </si>
  <si>
    <t>2.1.01</t>
  </si>
  <si>
    <t>2.1.02</t>
  </si>
  <si>
    <t>2.1.03</t>
  </si>
  <si>
    <t>2.1.04</t>
  </si>
  <si>
    <t>2.1.05</t>
  </si>
  <si>
    <t>2.1.06</t>
  </si>
  <si>
    <t>2.1.07</t>
  </si>
  <si>
    <t>2.1.08</t>
  </si>
  <si>
    <t>2.1.09</t>
  </si>
  <si>
    <t>2.2.01</t>
  </si>
  <si>
    <t>2.3.01</t>
  </si>
  <si>
    <t>2.3.02</t>
  </si>
  <si>
    <t>2.3.03</t>
  </si>
  <si>
    <t>2.4.01</t>
  </si>
  <si>
    <t>2.4.02</t>
  </si>
  <si>
    <t>2.4.03</t>
  </si>
  <si>
    <t>2.4.04</t>
  </si>
  <si>
    <t>2.4.05</t>
  </si>
  <si>
    <t>2.4.06</t>
  </si>
  <si>
    <t>2.4.07</t>
  </si>
  <si>
    <t>2.4.08</t>
  </si>
  <si>
    <t>2.5.01</t>
  </si>
  <si>
    <t>2.5.02</t>
  </si>
  <si>
    <t>2.5.03</t>
  </si>
  <si>
    <t>2.5.04</t>
  </si>
  <si>
    <t>2.5.05</t>
  </si>
  <si>
    <t>2.5.06</t>
  </si>
  <si>
    <t>2.5.07</t>
  </si>
  <si>
    <t>2.5.08</t>
  </si>
  <si>
    <t>2.5.09</t>
  </si>
  <si>
    <t>2.5.10</t>
  </si>
  <si>
    <t>3.1.01</t>
  </si>
  <si>
    <t>3.1.02</t>
  </si>
  <si>
    <t>3.1.03</t>
  </si>
  <si>
    <t>3.1.04</t>
  </si>
  <si>
    <t>3.1.05</t>
  </si>
  <si>
    <t>3.1.06</t>
  </si>
  <si>
    <t>3.2.01</t>
  </si>
  <si>
    <t>3.2.02</t>
  </si>
  <si>
    <t>3.2.03</t>
  </si>
  <si>
    <t>3.2.04</t>
  </si>
  <si>
    <t>3.2.05</t>
  </si>
  <si>
    <t>3.2.06</t>
  </si>
  <si>
    <t>3.4.01</t>
  </si>
  <si>
    <t>3.4.02</t>
  </si>
  <si>
    <t>3.4.03</t>
  </si>
  <si>
    <t>3.4.04</t>
  </si>
  <si>
    <t>3.4.05</t>
  </si>
  <si>
    <t>3.4.06</t>
  </si>
  <si>
    <t>3.4.07</t>
  </si>
  <si>
    <t>3.4.08</t>
  </si>
  <si>
    <t>3.4.09</t>
  </si>
  <si>
    <t>4.01</t>
  </si>
  <si>
    <t>4.02</t>
  </si>
  <si>
    <t>4.03</t>
  </si>
  <si>
    <t>4.04</t>
  </si>
  <si>
    <t>4.05</t>
  </si>
  <si>
    <t>4.06</t>
  </si>
  <si>
    <t>4.07</t>
  </si>
  <si>
    <t>4.08</t>
  </si>
  <si>
    <t>4.09</t>
  </si>
  <si>
    <t>AU</t>
  </si>
  <si>
    <t>Puertas madera (0.80m x 2,00m). Cocina</t>
  </si>
  <si>
    <t>OBRAS EXTERIORES</t>
  </si>
  <si>
    <t>Meson de h. armado en cocina</t>
  </si>
  <si>
    <t>Muro de tina de baño (inc. EnlucIdo)</t>
  </si>
  <si>
    <t>Puertas madera (0.80m x 2. 00m) Cocina</t>
  </si>
  <si>
    <t>Puertas madera (1,60m x 2. 50m) Principal</t>
  </si>
  <si>
    <t>Puertas madera (0.80m x 2. 00m)</t>
  </si>
  <si>
    <t>Puertas madera (0.70m x 2. 00m)</t>
  </si>
  <si>
    <t>Puertas madera (0.60m x 2. 00m)</t>
  </si>
  <si>
    <t>1.1.04</t>
  </si>
  <si>
    <t>Cerramiento de Obra</t>
  </si>
  <si>
    <t>FECHA: DD/MM/AA</t>
  </si>
  <si>
    <t>AREA DE CONSTRUCCIÓN: m²</t>
  </si>
  <si>
    <t>FORMATO PARA PRESUPUESTO</t>
  </si>
  <si>
    <t>PROYECTO DE CONSTRUCCIÓN DE:</t>
  </si>
  <si>
    <t>NÚMERO DE TRÁMITE:</t>
  </si>
  <si>
    <t>….</t>
  </si>
  <si>
    <t>Agosto</t>
  </si>
  <si>
    <t>Septiembre</t>
  </si>
  <si>
    <t>Octubre</t>
  </si>
  <si>
    <t>COSTO UNITARIO (incluido iva)</t>
  </si>
  <si>
    <t>CRONOGRAMA DE AVANCE DE OBRA (%)</t>
  </si>
  <si>
    <t>PRESUPUESTO</t>
  </si>
  <si>
    <t>TIEMPO EN SEMANAS</t>
  </si>
  <si>
    <t>SUMA</t>
  </si>
  <si>
    <t>ÍTEM</t>
  </si>
  <si>
    <t>DESCRIPCIÓN</t>
  </si>
  <si>
    <t>PRECIO  TOTAL</t>
  </si>
  <si>
    <t>VALOR DEL PRESUPUESTO</t>
  </si>
  <si>
    <t>CRONOGRAMA VALORADO DE OBRA</t>
  </si>
  <si>
    <t>TRABAJOS DE CAMPO Y MOVIMIENTOS DE TIERRA</t>
  </si>
  <si>
    <t>HORMIGONES / ESTRUCTURA</t>
  </si>
  <si>
    <t>MAMPOSTERIAS</t>
  </si>
  <si>
    <t>ENLUCIDOS</t>
  </si>
  <si>
    <t>PISOS</t>
  </si>
  <si>
    <t>CARPINTERIA METAL/MADERA</t>
  </si>
  <si>
    <t>RECUBRIMIENTOS</t>
  </si>
  <si>
    <t>INSTALACIONES HIDROSANITARIAS</t>
  </si>
  <si>
    <t>INSTALACIONES ELECTRICAS</t>
  </si>
  <si>
    <t>ADICIONALES / OBRAS EXTERIORES</t>
  </si>
  <si>
    <t>IMPREVISTOS 3%</t>
  </si>
  <si>
    <t>INVERSION SEMANAL ($)</t>
  </si>
  <si>
    <t>PORCENTAJE SEMANAL (%)</t>
  </si>
  <si>
    <t>INVERSION MENSUAL  ($)</t>
  </si>
  <si>
    <t>PORCENTAJE MENSUAL  (%)</t>
  </si>
  <si>
    <t>FLUJO DE CAJA DE OBRA</t>
  </si>
  <si>
    <t>FLUJO PARCIAL SEMANAL ($)</t>
  </si>
  <si>
    <t>FLUJO ACUMULADO ($)</t>
  </si>
  <si>
    <t>AVANCE PARCIAL (%)</t>
  </si>
  <si>
    <t>AVANCE ACUMULADO (%)</t>
  </si>
  <si>
    <t>Instalación eléctrica provisional</t>
  </si>
  <si>
    <t>Instalación AAPP provisional</t>
  </si>
  <si>
    <t>PREPARACION DEL TERRENO</t>
  </si>
  <si>
    <t>ESTRUCTURAS DE HORMIGON ARMADO</t>
  </si>
  <si>
    <t>Losa entrepiso e= 25cm</t>
  </si>
  <si>
    <t>Vigas de  cubierta</t>
  </si>
  <si>
    <t>Losa garaje e= 25cm</t>
  </si>
  <si>
    <t>Contrapiso interior hormigon simple   e= 10cm</t>
  </si>
  <si>
    <t>Enlucido sobre losas de cubierta</t>
  </si>
  <si>
    <t>Meson de h. armado en baños</t>
  </si>
  <si>
    <t>REVESTIMIENTOS</t>
  </si>
  <si>
    <t>Revestimiento de meson en baños</t>
  </si>
  <si>
    <t>Valvulas de control</t>
  </si>
  <si>
    <t>SISTEMA DE AGUAS SERVIDAS</t>
  </si>
  <si>
    <t>Rejilla des 50mm</t>
  </si>
  <si>
    <t>Punto de Tv</t>
  </si>
  <si>
    <t>YA ESTA EN SQL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</si>
</sst>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 &quot;$&quot;* #,##0.00_ ;_ &quot;$&quot;* \-#,##0.00_ ;_ &quot;$&quot;* &quot;-&quot;??_ ;_ @_ "/>
    <numFmt numFmtId="164" formatCode="#,##0\ &quot;€&quot;;\-#,##0\ &quot;€&quot;"/>
    <numFmt numFmtId="165" formatCode="_-* #,##0.00\ _€_-;\-* #,##0.00\ _€_-;_-* &quot;-&quot;??\ _€_-;_-@_-"/>
    <numFmt numFmtId="166" formatCode=";;;"/>
    <numFmt numFmtId="167" formatCode="_ [$€-2]\ * #,##0.00_ ;_ [$€-2]\ * \-#,##0.00_ ;_ [$€-2]\ * &quot;-&quot;??_ "/>
    <numFmt numFmtId="168" formatCode="&quot;$&quot;\ #,##0;&quot;$&quot;\ \-#,##0"/>
    <numFmt numFmtId="169" formatCode="#,##0.0000"/>
    <numFmt numFmtId="170" formatCode="0000"/>
    <numFmt numFmtId="171" formatCode="0.00_ ;[Red]\-0.00\ "/>
    <numFmt numFmtId="172" formatCode="0.000"/>
    <numFmt numFmtId="173" formatCode="#,##0.000"/>
    <numFmt numFmtId="174" formatCode="0.0000"/>
  </numFmts>
  <fonts count="35" x14ac:knownFonts="1">
    <font>
      <sz val="10"/>
      <color theme="1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sz val="11"/>
      <name val="Arial"/>
      <family val="2"/>
    </font>
    <font>
      <sz val="12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0"/>
      <name val="Book Antiqua"/>
      <family val="1"/>
    </font>
    <font>
      <sz val="10"/>
      <name val="Courier"/>
      <family val="3"/>
    </font>
    <font>
      <sz val="11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  <font>
      <sz val="10"/>
      <name val="Times New Roman"/>
      <family val="1"/>
    </font>
    <font>
      <b/>
      <sz val="10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8"/>
      <name val="Arial"/>
      <family val="2"/>
    </font>
    <font>
      <u/>
      <sz val="10"/>
      <name val="Arial"/>
      <family val="2"/>
    </font>
    <font>
      <sz val="10"/>
      <name val="Calibri"/>
      <family val="2"/>
    </font>
    <font>
      <u/>
      <sz val="8"/>
      <color theme="10"/>
      <name val="Arial"/>
      <family val="2"/>
    </font>
    <font>
      <u/>
      <sz val="12"/>
      <color theme="10"/>
      <name val="Arial"/>
      <family val="2"/>
    </font>
    <font>
      <sz val="7"/>
      <color theme="1"/>
      <name val="Arial"/>
      <family val="2"/>
    </font>
    <font>
      <sz val="1"/>
      <color theme="1"/>
      <name val="Arial"/>
      <family val="2"/>
    </font>
    <font>
      <sz val="10"/>
      <color theme="1"/>
      <name val="Arial"/>
      <family val="2"/>
    </font>
    <font>
      <b/>
      <sz val="10"/>
      <name val="Aptos"/>
      <family val="2"/>
    </font>
    <font>
      <sz val="10"/>
      <name val="Aptos"/>
      <family val="2"/>
    </font>
    <font>
      <sz val="8"/>
      <name val="Aptos"/>
      <family val="2"/>
    </font>
    <font>
      <b/>
      <sz val="8"/>
      <name val="Aptos"/>
      <family val="2"/>
    </font>
    <font>
      <sz val="8"/>
      <color theme="5"/>
      <name val="Aptos"/>
      <family val="2"/>
    </font>
  </fonts>
  <fills count="1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81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22">
    <xf numFmtId="0" fontId="0" fillId="0" borderId="0"/>
    <xf numFmtId="4" fontId="1" fillId="0" borderId="0" applyFont="0" applyFill="0" applyBorder="0" applyAlignment="0" applyProtection="0"/>
    <xf numFmtId="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1" fillId="0" borderId="0" applyNumberFormat="0" applyFont="0" applyFill="0" applyAlignment="0" applyProtection="0"/>
    <xf numFmtId="0" fontId="3" fillId="0" borderId="0" applyNumberFormat="0" applyFont="0" applyFill="0" applyAlignment="0" applyProtection="0"/>
    <xf numFmtId="167" fontId="12" fillId="0" borderId="0" applyFont="0" applyFill="0" applyBorder="0" applyAlignment="0" applyProtection="0"/>
    <xf numFmtId="14" fontId="1" fillId="0" borderId="0" applyFont="0" applyFill="0" applyBorder="0" applyAlignment="0" applyProtection="0"/>
    <xf numFmtId="2" fontId="1" fillId="0" borderId="0" applyFont="0" applyFill="0" applyBorder="0" applyAlignment="0" applyProtection="0"/>
    <xf numFmtId="2" fontId="1" fillId="0" borderId="0" applyFont="0" applyFill="0" applyBorder="0" applyAlignment="0" applyProtection="0"/>
    <xf numFmtId="0" fontId="22" fillId="0" borderId="0" applyNumberFormat="0" applyFont="0" applyFill="0" applyAlignment="0" applyProtection="0"/>
    <xf numFmtId="0" fontId="6" fillId="0" borderId="0" applyNumberFormat="0" applyFont="0" applyFill="0" applyAlignment="0" applyProtection="0"/>
    <xf numFmtId="0" fontId="25" fillId="0" borderId="0" applyNumberFormat="0" applyFill="0" applyBorder="0" applyAlignment="0" applyProtection="0">
      <alignment vertical="top"/>
      <protection locked="0"/>
    </xf>
    <xf numFmtId="168" fontId="1" fillId="0" borderId="0" applyFont="0" applyFill="0" applyBorder="0" applyAlignment="0" applyProtection="0"/>
    <xf numFmtId="0" fontId="13" fillId="0" borderId="0"/>
    <xf numFmtId="0" fontId="1" fillId="0" borderId="0"/>
    <xf numFmtId="0" fontId="1" fillId="0" borderId="0"/>
    <xf numFmtId="0" fontId="1" fillId="0" borderId="0"/>
    <xf numFmtId="39" fontId="13" fillId="0" borderId="0"/>
    <xf numFmtId="3" fontId="1" fillId="0" borderId="0" applyFont="0" applyFill="0" applyBorder="0" applyAlignment="0" applyProtection="0"/>
    <xf numFmtId="44" fontId="29" fillId="0" borderId="0" applyFont="0" applyFill="0" applyBorder="0" applyAlignment="0" applyProtection="0"/>
    <xf numFmtId="9" fontId="29" fillId="0" borderId="0" applyFont="0" applyFill="0" applyBorder="0" applyAlignment="0" applyProtection="0"/>
  </cellStyleXfs>
  <cellXfs count="751">
    <xf numFmtId="0" fontId="0" fillId="0" borderId="0" xfId="0"/>
    <xf numFmtId="0" fontId="1" fillId="0" borderId="0" xfId="15"/>
    <xf numFmtId="4" fontId="1" fillId="0" borderId="0" xfId="15" applyNumberFormat="1"/>
    <xf numFmtId="4" fontId="8" fillId="0" borderId="0" xfId="15" applyNumberFormat="1" applyFont="1"/>
    <xf numFmtId="0" fontId="19" fillId="0" borderId="0" xfId="15" applyFont="1"/>
    <xf numFmtId="4" fontId="19" fillId="0" borderId="0" xfId="15" applyNumberFormat="1" applyFont="1"/>
    <xf numFmtId="0" fontId="20" fillId="0" borderId="0" xfId="15" applyFont="1"/>
    <xf numFmtId="171" fontId="1" fillId="0" borderId="0" xfId="15" applyNumberFormat="1"/>
    <xf numFmtId="171" fontId="1" fillId="3" borderId="0" xfId="15" applyNumberFormat="1" applyFill="1"/>
    <xf numFmtId="171" fontId="19" fillId="0" borderId="0" xfId="15" applyNumberFormat="1" applyFont="1" applyAlignment="1">
      <alignment horizontal="center"/>
    </xf>
    <xf numFmtId="171" fontId="1" fillId="0" borderId="0" xfId="15" applyNumberFormat="1" applyAlignment="1">
      <alignment horizontal="center"/>
    </xf>
    <xf numFmtId="171" fontId="6" fillId="0" borderId="0" xfId="15" applyNumberFormat="1" applyFont="1"/>
    <xf numFmtId="171" fontId="1" fillId="0" borderId="29" xfId="15" applyNumberFormat="1" applyBorder="1"/>
    <xf numFmtId="171" fontId="19" fillId="0" borderId="1" xfId="15" applyNumberFormat="1" applyFont="1" applyBorder="1"/>
    <xf numFmtId="171" fontId="10" fillId="0" borderId="2" xfId="15" applyNumberFormat="1" applyFont="1" applyBorder="1"/>
    <xf numFmtId="171" fontId="19" fillId="4" borderId="0" xfId="15" applyNumberFormat="1" applyFont="1" applyFill="1" applyAlignment="1">
      <alignment horizontal="center"/>
    </xf>
    <xf numFmtId="171" fontId="1" fillId="4" borderId="0" xfId="15" applyNumberFormat="1" applyFill="1"/>
    <xf numFmtId="171" fontId="6" fillId="4" borderId="0" xfId="15" applyNumberFormat="1" applyFont="1" applyFill="1"/>
    <xf numFmtId="171" fontId="1" fillId="4" borderId="0" xfId="15" applyNumberFormat="1" applyFill="1" applyAlignment="1">
      <alignment horizontal="center"/>
    </xf>
    <xf numFmtId="171" fontId="19" fillId="0" borderId="0" xfId="15" applyNumberFormat="1" applyFont="1"/>
    <xf numFmtId="171" fontId="19" fillId="4" borderId="0" xfId="15" applyNumberFormat="1" applyFont="1" applyFill="1"/>
    <xf numFmtId="171" fontId="18" fillId="4" borderId="0" xfId="15" applyNumberFormat="1" applyFont="1" applyFill="1"/>
    <xf numFmtId="171" fontId="10" fillId="0" borderId="0" xfId="15" applyNumberFormat="1" applyFont="1"/>
    <xf numFmtId="171" fontId="18" fillId="0" borderId="0" xfId="15" applyNumberFormat="1" applyFont="1"/>
    <xf numFmtId="171" fontId="9" fillId="4" borderId="0" xfId="15" applyNumberFormat="1" applyFont="1" applyFill="1"/>
    <xf numFmtId="4" fontId="18" fillId="0" borderId="0" xfId="15" applyNumberFormat="1" applyFont="1"/>
    <xf numFmtId="0" fontId="14" fillId="0" borderId="30" xfId="15" applyFont="1" applyBorder="1"/>
    <xf numFmtId="171" fontId="6" fillId="5" borderId="0" xfId="15" applyNumberFormat="1" applyFont="1" applyFill="1"/>
    <xf numFmtId="171" fontId="1" fillId="5" borderId="0" xfId="15" applyNumberFormat="1" applyFill="1"/>
    <xf numFmtId="171" fontId="1" fillId="5" borderId="0" xfId="15" applyNumberFormat="1" applyFill="1" applyAlignment="1">
      <alignment horizontal="center"/>
    </xf>
    <xf numFmtId="171" fontId="19" fillId="5" borderId="0" xfId="15" applyNumberFormat="1" applyFont="1" applyFill="1"/>
    <xf numFmtId="171" fontId="19" fillId="5" borderId="0" xfId="15" applyNumberFormat="1" applyFont="1" applyFill="1" applyAlignment="1">
      <alignment horizontal="center"/>
    </xf>
    <xf numFmtId="171" fontId="9" fillId="5" borderId="0" xfId="15" applyNumberFormat="1" applyFont="1" applyFill="1"/>
    <xf numFmtId="171" fontId="18" fillId="5" borderId="0" xfId="15" applyNumberFormat="1" applyFont="1" applyFill="1"/>
    <xf numFmtId="4" fontId="5" fillId="0" borderId="0" xfId="15" applyNumberFormat="1" applyFont="1"/>
    <xf numFmtId="0" fontId="5" fillId="0" borderId="0" xfId="15" applyFont="1"/>
    <xf numFmtId="0" fontId="8" fillId="0" borderId="0" xfId="17" applyFont="1" applyAlignment="1">
      <alignment horizontal="left"/>
    </xf>
    <xf numFmtId="0" fontId="1" fillId="0" borderId="30" xfId="15" applyBorder="1"/>
    <xf numFmtId="4" fontId="1" fillId="0" borderId="30" xfId="15" applyNumberFormat="1" applyBorder="1"/>
    <xf numFmtId="4" fontId="1" fillId="0" borderId="0" xfId="15" applyNumberFormat="1" applyAlignment="1">
      <alignment horizontal="center"/>
    </xf>
    <xf numFmtId="170" fontId="1" fillId="0" borderId="0" xfId="15" applyNumberFormat="1" applyAlignment="1">
      <alignment horizontal="right"/>
    </xf>
    <xf numFmtId="0" fontId="1" fillId="0" borderId="0" xfId="15" applyAlignment="1">
      <alignment horizontal="right"/>
    </xf>
    <xf numFmtId="3" fontId="1" fillId="0" borderId="0" xfId="15" applyNumberFormat="1" applyAlignment="1">
      <alignment horizontal="center"/>
    </xf>
    <xf numFmtId="4" fontId="1" fillId="0" borderId="2" xfId="15" applyNumberFormat="1" applyBorder="1"/>
    <xf numFmtId="4" fontId="1" fillId="0" borderId="1" xfId="15" applyNumberFormat="1" applyBorder="1"/>
    <xf numFmtId="4" fontId="1" fillId="0" borderId="29" xfId="15" applyNumberFormat="1" applyBorder="1"/>
    <xf numFmtId="4" fontId="1" fillId="0" borderId="31" xfId="15" applyNumberFormat="1" applyBorder="1" applyAlignment="1">
      <alignment vertical="top"/>
    </xf>
    <xf numFmtId="4" fontId="1" fillId="0" borderId="32" xfId="15" applyNumberFormat="1" applyBorder="1"/>
    <xf numFmtId="4" fontId="1" fillId="0" borderId="14" xfId="15" applyNumberFormat="1" applyBorder="1" applyAlignment="1">
      <alignment horizontal="center" vertical="justify"/>
    </xf>
    <xf numFmtId="172" fontId="1" fillId="0" borderId="14" xfId="15" applyNumberFormat="1" applyBorder="1" applyAlignment="1">
      <alignment horizontal="center" vertical="justify"/>
    </xf>
    <xf numFmtId="4" fontId="1" fillId="0" borderId="13" xfId="15" applyNumberFormat="1" applyBorder="1" applyAlignment="1">
      <alignment horizontal="center" vertical="justify"/>
    </xf>
    <xf numFmtId="4" fontId="1" fillId="0" borderId="33" xfId="15" applyNumberFormat="1" applyBorder="1"/>
    <xf numFmtId="4" fontId="1" fillId="0" borderId="34" xfId="15" applyNumberFormat="1" applyBorder="1"/>
    <xf numFmtId="4" fontId="8" fillId="0" borderId="35" xfId="15" applyNumberFormat="1" applyFont="1" applyBorder="1"/>
    <xf numFmtId="4" fontId="8" fillId="0" borderId="36" xfId="15" applyNumberFormat="1" applyFont="1" applyBorder="1"/>
    <xf numFmtId="4" fontId="8" fillId="0" borderId="37" xfId="15" applyNumberFormat="1" applyFont="1" applyBorder="1"/>
    <xf numFmtId="4" fontId="8" fillId="0" borderId="38" xfId="15" applyNumberFormat="1" applyFont="1" applyBorder="1"/>
    <xf numFmtId="4" fontId="1" fillId="0" borderId="39" xfId="15" applyNumberFormat="1" applyBorder="1"/>
    <xf numFmtId="4" fontId="1" fillId="0" borderId="40" xfId="15" applyNumberFormat="1" applyBorder="1"/>
    <xf numFmtId="4" fontId="8" fillId="0" borderId="16" xfId="15" applyNumberFormat="1" applyFont="1" applyBorder="1"/>
    <xf numFmtId="4" fontId="8" fillId="0" borderId="41" xfId="15" applyNumberFormat="1" applyFont="1" applyBorder="1"/>
    <xf numFmtId="4" fontId="8" fillId="0" borderId="40" xfId="15" applyNumberFormat="1" applyFont="1" applyBorder="1"/>
    <xf numFmtId="172" fontId="8" fillId="0" borderId="40" xfId="15" applyNumberFormat="1" applyFont="1" applyBorder="1"/>
    <xf numFmtId="172" fontId="8" fillId="0" borderId="0" xfId="15" applyNumberFormat="1" applyFont="1"/>
    <xf numFmtId="4" fontId="1" fillId="0" borderId="42" xfId="15" applyNumberFormat="1" applyBorder="1" applyAlignment="1">
      <alignment vertical="top"/>
    </xf>
    <xf numFmtId="4" fontId="1" fillId="0" borderId="43" xfId="15" applyNumberFormat="1" applyBorder="1"/>
    <xf numFmtId="4" fontId="1" fillId="0" borderId="10" xfId="15" applyNumberFormat="1" applyBorder="1" applyAlignment="1">
      <alignment horizontal="center" vertical="justify"/>
    </xf>
    <xf numFmtId="172" fontId="1" fillId="0" borderId="10" xfId="15" applyNumberFormat="1" applyBorder="1" applyAlignment="1">
      <alignment horizontal="center" vertical="justify"/>
    </xf>
    <xf numFmtId="4" fontId="1" fillId="0" borderId="9" xfId="15" applyNumberFormat="1" applyBorder="1" applyAlignment="1">
      <alignment horizontal="center" vertical="justify"/>
    </xf>
    <xf numFmtId="3" fontId="1" fillId="0" borderId="30" xfId="16" applyNumberFormat="1" applyBorder="1" applyAlignment="1">
      <alignment horizontal="left"/>
    </xf>
    <xf numFmtId="4" fontId="8" fillId="0" borderId="37" xfId="15" applyNumberFormat="1" applyFont="1" applyBorder="1" applyAlignment="1">
      <alignment horizontal="right"/>
    </xf>
    <xf numFmtId="3" fontId="1" fillId="0" borderId="30" xfId="16" quotePrefix="1" applyNumberFormat="1" applyBorder="1" applyAlignment="1">
      <alignment horizontal="left"/>
    </xf>
    <xf numFmtId="3" fontId="1" fillId="0" borderId="30" xfId="16" applyNumberFormat="1" applyBorder="1"/>
    <xf numFmtId="4" fontId="1" fillId="0" borderId="42" xfId="15" applyNumberFormat="1" applyBorder="1"/>
    <xf numFmtId="4" fontId="8" fillId="0" borderId="43" xfId="15" applyNumberFormat="1" applyFont="1" applyBorder="1"/>
    <xf numFmtId="4" fontId="8" fillId="0" borderId="9" xfId="15" applyNumberFormat="1" applyFont="1" applyBorder="1"/>
    <xf numFmtId="0" fontId="1" fillId="0" borderId="12" xfId="15" applyBorder="1"/>
    <xf numFmtId="0" fontId="8" fillId="0" borderId="0" xfId="15" applyFont="1"/>
    <xf numFmtId="4" fontId="8" fillId="0" borderId="37" xfId="15" applyNumberFormat="1" applyFont="1" applyBorder="1" applyAlignment="1">
      <alignment horizontal="center"/>
    </xf>
    <xf numFmtId="174" fontId="1" fillId="0" borderId="0" xfId="15" applyNumberFormat="1"/>
    <xf numFmtId="169" fontId="8" fillId="0" borderId="37" xfId="15" applyNumberFormat="1" applyFont="1" applyBorder="1"/>
    <xf numFmtId="4" fontId="8" fillId="0" borderId="0" xfId="15" applyNumberFormat="1" applyFont="1" applyAlignment="1">
      <alignment horizontal="center"/>
    </xf>
    <xf numFmtId="0" fontId="8" fillId="0" borderId="44" xfId="15" applyFont="1" applyBorder="1"/>
    <xf numFmtId="2" fontId="8" fillId="0" borderId="0" xfId="15" applyNumberFormat="1" applyFont="1" applyAlignment="1">
      <alignment horizontal="right"/>
    </xf>
    <xf numFmtId="0" fontId="8" fillId="0" borderId="45" xfId="15" applyFont="1" applyBorder="1"/>
    <xf numFmtId="0" fontId="8" fillId="0" borderId="17" xfId="15" applyFont="1" applyBorder="1"/>
    <xf numFmtId="4" fontId="8" fillId="0" borderId="16" xfId="15" applyNumberFormat="1" applyFont="1" applyBorder="1" applyAlignment="1">
      <alignment horizontal="center"/>
    </xf>
    <xf numFmtId="4" fontId="1" fillId="0" borderId="46" xfId="15" applyNumberFormat="1" applyBorder="1"/>
    <xf numFmtId="4" fontId="1" fillId="0" borderId="4" xfId="15" applyNumberFormat="1" applyBorder="1"/>
    <xf numFmtId="4" fontId="8" fillId="0" borderId="4" xfId="15" applyNumberFormat="1" applyFont="1" applyBorder="1"/>
    <xf numFmtId="4" fontId="8" fillId="0" borderId="47" xfId="15" applyNumberFormat="1" applyFont="1" applyBorder="1"/>
    <xf numFmtId="4" fontId="5" fillId="0" borderId="31" xfId="15" applyNumberFormat="1" applyFont="1" applyBorder="1"/>
    <xf numFmtId="4" fontId="3" fillId="0" borderId="13" xfId="15" applyNumberFormat="1" applyFont="1" applyBorder="1"/>
    <xf numFmtId="4" fontId="5" fillId="0" borderId="42" xfId="15" applyNumberFormat="1" applyFont="1" applyBorder="1"/>
    <xf numFmtId="10" fontId="8" fillId="0" borderId="43" xfId="15" applyNumberFormat="1" applyFont="1" applyBorder="1"/>
    <xf numFmtId="4" fontId="5" fillId="0" borderId="9" xfId="15" applyNumberFormat="1" applyFont="1" applyBorder="1"/>
    <xf numFmtId="4" fontId="3" fillId="0" borderId="9" xfId="15" applyNumberFormat="1" applyFont="1" applyBorder="1"/>
    <xf numFmtId="4" fontId="5" fillId="0" borderId="46" xfId="15" applyNumberFormat="1" applyFont="1" applyBorder="1"/>
    <xf numFmtId="4" fontId="3" fillId="0" borderId="47" xfId="15" applyNumberFormat="1" applyFont="1" applyBorder="1"/>
    <xf numFmtId="0" fontId="8" fillId="0" borderId="30" xfId="15" applyFont="1" applyBorder="1"/>
    <xf numFmtId="0" fontId="8" fillId="0" borderId="30" xfId="17" applyFont="1" applyBorder="1" applyAlignment="1">
      <alignment horizontal="left"/>
    </xf>
    <xf numFmtId="170" fontId="8" fillId="0" borderId="0" xfId="17" applyNumberFormat="1" applyFont="1" applyAlignment="1">
      <alignment horizontal="left"/>
    </xf>
    <xf numFmtId="4" fontId="8" fillId="0" borderId="30" xfId="15" applyNumberFormat="1" applyFont="1" applyBorder="1"/>
    <xf numFmtId="1" fontId="21" fillId="0" borderId="0" xfId="15" applyNumberFormat="1" applyFont="1"/>
    <xf numFmtId="170" fontId="21" fillId="0" borderId="0" xfId="15" applyNumberFormat="1" applyFont="1"/>
    <xf numFmtId="172" fontId="8" fillId="0" borderId="35" xfId="15" applyNumberFormat="1" applyFont="1" applyBorder="1"/>
    <xf numFmtId="172" fontId="8" fillId="0" borderId="37" xfId="15" applyNumberFormat="1" applyFont="1" applyBorder="1"/>
    <xf numFmtId="172" fontId="8" fillId="0" borderId="16" xfId="15" applyNumberFormat="1" applyFont="1" applyBorder="1"/>
    <xf numFmtId="4" fontId="8" fillId="0" borderId="52" xfId="16" applyNumberFormat="1" applyFont="1" applyBorder="1"/>
    <xf numFmtId="0" fontId="15" fillId="0" borderId="30" xfId="15" applyFont="1" applyBorder="1"/>
    <xf numFmtId="1" fontId="8" fillId="0" borderId="0" xfId="15" applyNumberFormat="1" applyFont="1"/>
    <xf numFmtId="49" fontId="8" fillId="0" borderId="0" xfId="17" applyNumberFormat="1" applyFont="1" applyAlignment="1">
      <alignment horizontal="left"/>
    </xf>
    <xf numFmtId="173" fontId="8" fillId="0" borderId="37" xfId="15" applyNumberFormat="1" applyFont="1" applyBorder="1"/>
    <xf numFmtId="174" fontId="8" fillId="0" borderId="37" xfId="15" applyNumberFormat="1" applyFont="1" applyBorder="1"/>
    <xf numFmtId="2" fontId="8" fillId="0" borderId="37" xfId="15" applyNumberFormat="1" applyFont="1" applyBorder="1"/>
    <xf numFmtId="14" fontId="8" fillId="0" borderId="0" xfId="17" applyNumberFormat="1" applyFont="1" applyAlignment="1">
      <alignment horizontal="left"/>
    </xf>
    <xf numFmtId="4" fontId="1" fillId="0" borderId="30" xfId="0" applyNumberFormat="1" applyFont="1" applyBorder="1"/>
    <xf numFmtId="4" fontId="14" fillId="0" borderId="0" xfId="15" applyNumberFormat="1" applyFont="1" applyAlignment="1">
      <alignment vertical="center"/>
    </xf>
    <xf numFmtId="4" fontId="14" fillId="0" borderId="53" xfId="15" applyNumberFormat="1" applyFont="1" applyBorder="1" applyAlignment="1">
      <alignment horizontal="centerContinuous" vertical="center"/>
    </xf>
    <xf numFmtId="4" fontId="14" fillId="0" borderId="43" xfId="15" applyNumberFormat="1" applyFont="1" applyBorder="1" applyAlignment="1">
      <alignment horizontal="centerContinuous" vertical="center"/>
    </xf>
    <xf numFmtId="4" fontId="14" fillId="0" borderId="12" xfId="15" applyNumberFormat="1" applyFont="1" applyBorder="1" applyAlignment="1">
      <alignment horizontal="centerContinuous" vertical="center"/>
    </xf>
    <xf numFmtId="4" fontId="16" fillId="0" borderId="53" xfId="15" applyNumberFormat="1" applyFont="1" applyBorder="1"/>
    <xf numFmtId="4" fontId="16" fillId="0" borderId="43" xfId="15" applyNumberFormat="1" applyFont="1" applyBorder="1"/>
    <xf numFmtId="4" fontId="16" fillId="0" borderId="12" xfId="15" applyNumberFormat="1" applyFont="1" applyBorder="1"/>
    <xf numFmtId="4" fontId="14" fillId="0" borderId="0" xfId="15" applyNumberFormat="1" applyFont="1"/>
    <xf numFmtId="4" fontId="14" fillId="0" borderId="0" xfId="15" applyNumberFormat="1" applyFont="1" applyAlignment="1">
      <alignment horizontal="left" vertical="center"/>
    </xf>
    <xf numFmtId="4" fontId="14" fillId="0" borderId="0" xfId="15" applyNumberFormat="1" applyFont="1" applyAlignment="1">
      <alignment horizontal="center" vertical="center"/>
    </xf>
    <xf numFmtId="4" fontId="14" fillId="0" borderId="0" xfId="15" applyNumberFormat="1" applyFont="1" applyAlignment="1">
      <alignment horizontal="right" vertical="center"/>
    </xf>
    <xf numFmtId="4" fontId="14" fillId="0" borderId="10" xfId="15" applyNumberFormat="1" applyFont="1" applyBorder="1" applyAlignment="1">
      <alignment vertical="center"/>
    </xf>
    <xf numFmtId="4" fontId="14" fillId="0" borderId="10" xfId="15" applyNumberFormat="1" applyFont="1" applyBorder="1" applyAlignment="1">
      <alignment horizontal="centerContinuous" vertical="center"/>
    </xf>
    <xf numFmtId="4" fontId="14" fillId="0" borderId="0" xfId="15" quotePrefix="1" applyNumberFormat="1" applyFont="1" applyAlignment="1">
      <alignment horizontal="left" vertical="center"/>
    </xf>
    <xf numFmtId="4" fontId="14" fillId="0" borderId="0" xfId="15" applyNumberFormat="1" applyFont="1" applyAlignment="1">
      <alignment horizontal="right"/>
    </xf>
    <xf numFmtId="4" fontId="1" fillId="0" borderId="0" xfId="15" applyNumberFormat="1" applyAlignment="1">
      <alignment vertical="center"/>
    </xf>
    <xf numFmtId="4" fontId="17" fillId="0" borderId="0" xfId="15" applyNumberFormat="1" applyFont="1"/>
    <xf numFmtId="4" fontId="14" fillId="0" borderId="0" xfId="15" applyNumberFormat="1" applyFont="1" applyAlignment="1">
      <alignment horizontal="center"/>
    </xf>
    <xf numFmtId="4" fontId="14" fillId="0" borderId="0" xfId="15" quotePrefix="1" applyNumberFormat="1" applyFont="1" applyAlignment="1">
      <alignment horizontal="center" vertical="center"/>
    </xf>
    <xf numFmtId="4" fontId="13" fillId="0" borderId="0" xfId="18" applyNumberFormat="1" applyAlignment="1">
      <alignment vertical="center"/>
    </xf>
    <xf numFmtId="4" fontId="15" fillId="0" borderId="0" xfId="15" applyNumberFormat="1" applyFont="1"/>
    <xf numFmtId="4" fontId="14" fillId="0" borderId="0" xfId="18" applyNumberFormat="1" applyFont="1" applyAlignment="1">
      <alignment vertical="center"/>
    </xf>
    <xf numFmtId="4" fontId="14" fillId="0" borderId="0" xfId="15" quotePrefix="1" applyNumberFormat="1" applyFont="1" applyAlignment="1">
      <alignment horizontal="left"/>
    </xf>
    <xf numFmtId="4" fontId="14" fillId="0" borderId="0" xfId="15" applyNumberFormat="1" applyFont="1" applyAlignment="1">
      <alignment horizontal="left"/>
    </xf>
    <xf numFmtId="2" fontId="1" fillId="0" borderId="0" xfId="15" applyNumberFormat="1"/>
    <xf numFmtId="2" fontId="14" fillId="0" borderId="0" xfId="15" applyNumberFormat="1" applyFont="1" applyAlignment="1">
      <alignment vertical="center"/>
    </xf>
    <xf numFmtId="2" fontId="14" fillId="0" borderId="0" xfId="15" quotePrefix="1" applyNumberFormat="1" applyFont="1" applyAlignment="1">
      <alignment horizontal="left" vertical="center"/>
    </xf>
    <xf numFmtId="2" fontId="14" fillId="0" borderId="0" xfId="15" applyNumberFormat="1" applyFont="1" applyAlignment="1">
      <alignment horizontal="center" vertical="center"/>
    </xf>
    <xf numFmtId="2" fontId="14" fillId="0" borderId="0" xfId="15" applyNumberFormat="1" applyFont="1" applyAlignment="1">
      <alignment horizontal="right"/>
    </xf>
    <xf numFmtId="2" fontId="14" fillId="0" borderId="0" xfId="15" applyNumberFormat="1" applyFont="1" applyAlignment="1">
      <alignment horizontal="left" vertical="center"/>
    </xf>
    <xf numFmtId="2" fontId="14" fillId="0" borderId="0" xfId="15" applyNumberFormat="1" applyFont="1"/>
    <xf numFmtId="2" fontId="1" fillId="0" borderId="0" xfId="15" applyNumberFormat="1" applyAlignment="1">
      <alignment vertical="center"/>
    </xf>
    <xf numFmtId="4" fontId="1" fillId="0" borderId="0" xfId="15" applyNumberFormat="1" applyAlignment="1">
      <alignment horizontal="right"/>
    </xf>
    <xf numFmtId="4" fontId="14" fillId="0" borderId="12" xfId="15" applyNumberFormat="1" applyFont="1" applyBorder="1" applyAlignment="1">
      <alignment horizontal="centerContinuous"/>
    </xf>
    <xf numFmtId="4" fontId="1" fillId="0" borderId="10" xfId="15" applyNumberFormat="1" applyBorder="1"/>
    <xf numFmtId="4" fontId="16" fillId="0" borderId="0" xfId="15" applyNumberFormat="1" applyFont="1"/>
    <xf numFmtId="4" fontId="1" fillId="0" borderId="0" xfId="15" applyNumberFormat="1" applyAlignment="1">
      <alignment horizontal="right" vertical="center"/>
    </xf>
    <xf numFmtId="171" fontId="1" fillId="6" borderId="0" xfId="15" applyNumberFormat="1" applyFill="1"/>
    <xf numFmtId="171" fontId="3" fillId="4" borderId="0" xfId="15" applyNumberFormat="1" applyFont="1" applyFill="1"/>
    <xf numFmtId="172" fontId="8" fillId="0" borderId="37" xfId="0" applyNumberFormat="1" applyFont="1" applyBorder="1"/>
    <xf numFmtId="4" fontId="20" fillId="0" borderId="0" xfId="15" applyNumberFormat="1" applyFont="1"/>
    <xf numFmtId="0" fontId="19" fillId="0" borderId="0" xfId="15" applyFont="1" applyAlignment="1">
      <alignment horizontal="right"/>
    </xf>
    <xf numFmtId="3" fontId="19" fillId="0" borderId="0" xfId="15" applyNumberFormat="1" applyFont="1" applyAlignment="1">
      <alignment horizontal="center"/>
    </xf>
    <xf numFmtId="4" fontId="19" fillId="0" borderId="0" xfId="15" applyNumberFormat="1" applyFont="1" applyAlignment="1">
      <alignment horizontal="center"/>
    </xf>
    <xf numFmtId="4" fontId="19" fillId="0" borderId="30" xfId="15" applyNumberFormat="1" applyFont="1" applyBorder="1"/>
    <xf numFmtId="4" fontId="20" fillId="0" borderId="37" xfId="15" applyNumberFormat="1" applyFont="1" applyBorder="1" applyAlignment="1">
      <alignment horizontal="center"/>
    </xf>
    <xf numFmtId="4" fontId="20" fillId="0" borderId="37" xfId="15" applyNumberFormat="1" applyFont="1" applyBorder="1"/>
    <xf numFmtId="4" fontId="20" fillId="0" borderId="38" xfId="15" applyNumberFormat="1" applyFont="1" applyBorder="1"/>
    <xf numFmtId="4" fontId="19" fillId="0" borderId="42" xfId="15" applyNumberFormat="1" applyFont="1" applyBorder="1"/>
    <xf numFmtId="4" fontId="19" fillId="0" borderId="43" xfId="15" applyNumberFormat="1" applyFont="1" applyBorder="1"/>
    <xf numFmtId="4" fontId="20" fillId="0" borderId="43" xfId="15" applyNumberFormat="1" applyFont="1" applyBorder="1"/>
    <xf numFmtId="4" fontId="20" fillId="0" borderId="9" xfId="15" applyNumberFormat="1" applyFont="1" applyBorder="1"/>
    <xf numFmtId="4" fontId="19" fillId="0" borderId="42" xfId="15" applyNumberFormat="1" applyFont="1" applyBorder="1" applyAlignment="1">
      <alignment vertical="top"/>
    </xf>
    <xf numFmtId="0" fontId="19" fillId="0" borderId="12" xfId="15" applyFont="1" applyBorder="1"/>
    <xf numFmtId="4" fontId="19" fillId="0" borderId="10" xfId="15" applyNumberFormat="1" applyFont="1" applyBorder="1" applyAlignment="1">
      <alignment horizontal="center" vertical="justify"/>
    </xf>
    <xf numFmtId="4" fontId="19" fillId="0" borderId="9" xfId="15" applyNumberFormat="1" applyFont="1" applyBorder="1" applyAlignment="1">
      <alignment horizontal="center" vertical="justify"/>
    </xf>
    <xf numFmtId="4" fontId="19" fillId="0" borderId="33" xfId="15" applyNumberFormat="1" applyFont="1" applyBorder="1"/>
    <xf numFmtId="4" fontId="19" fillId="0" borderId="34" xfId="15" applyNumberFormat="1" applyFont="1" applyBorder="1"/>
    <xf numFmtId="0" fontId="20" fillId="0" borderId="44" xfId="15" applyFont="1" applyBorder="1"/>
    <xf numFmtId="2" fontId="20" fillId="0" borderId="0" xfId="15" applyNumberFormat="1" applyFont="1" applyAlignment="1">
      <alignment horizontal="right"/>
    </xf>
    <xf numFmtId="4" fontId="19" fillId="0" borderId="32" xfId="15" applyNumberFormat="1" applyFont="1" applyBorder="1"/>
    <xf numFmtId="10" fontId="20" fillId="0" borderId="43" xfId="15" applyNumberFormat="1" applyFont="1" applyBorder="1"/>
    <xf numFmtId="4" fontId="19" fillId="0" borderId="4" xfId="15" applyNumberFormat="1" applyFont="1" applyBorder="1"/>
    <xf numFmtId="166" fontId="1" fillId="0" borderId="0" xfId="0" applyNumberFormat="1" applyFont="1"/>
    <xf numFmtId="4" fontId="8" fillId="0" borderId="0" xfId="0" applyNumberFormat="1" applyFont="1"/>
    <xf numFmtId="4" fontId="8" fillId="0" borderId="37" xfId="0" applyNumberFormat="1" applyFont="1" applyBorder="1"/>
    <xf numFmtId="4" fontId="8" fillId="0" borderId="38" xfId="0" applyNumberFormat="1" applyFont="1" applyBorder="1"/>
    <xf numFmtId="4" fontId="1" fillId="0" borderId="0" xfId="0" applyNumberFormat="1" applyFont="1"/>
    <xf numFmtId="0" fontId="1" fillId="0" borderId="0" xfId="0" applyFont="1"/>
    <xf numFmtId="4" fontId="3" fillId="0" borderId="0" xfId="15" applyNumberFormat="1" applyFont="1" applyAlignment="1">
      <alignment vertical="center"/>
    </xf>
    <xf numFmtId="0" fontId="8" fillId="0" borderId="0" xfId="15" applyFont="1" applyAlignment="1">
      <alignment vertical="center"/>
    </xf>
    <xf numFmtId="0" fontId="1" fillId="0" borderId="0" xfId="15" applyAlignment="1">
      <alignment vertical="center"/>
    </xf>
    <xf numFmtId="4" fontId="8" fillId="0" borderId="0" xfId="15" applyNumberFormat="1" applyFont="1" applyAlignment="1">
      <alignment vertical="center"/>
    </xf>
    <xf numFmtId="0" fontId="1" fillId="0" borderId="0" xfId="15" applyAlignment="1">
      <alignment horizontal="right" vertical="center"/>
    </xf>
    <xf numFmtId="3" fontId="1" fillId="0" borderId="0" xfId="15" applyNumberFormat="1" applyAlignment="1">
      <alignment horizontal="center" vertical="center"/>
    </xf>
    <xf numFmtId="4" fontId="21" fillId="0" borderId="0" xfId="15" applyNumberFormat="1" applyFont="1" applyAlignment="1">
      <alignment vertical="center"/>
    </xf>
    <xf numFmtId="4" fontId="18" fillId="0" borderId="0" xfId="15" applyNumberFormat="1" applyFont="1" applyAlignment="1">
      <alignment vertical="center"/>
    </xf>
    <xf numFmtId="0" fontId="8" fillId="0" borderId="0" xfId="17" applyFont="1" applyAlignment="1">
      <alignment horizontal="left" vertical="center"/>
    </xf>
    <xf numFmtId="4" fontId="18" fillId="0" borderId="0" xfId="15" applyNumberFormat="1" applyFont="1" applyAlignment="1">
      <alignment horizontal="right" vertical="center"/>
    </xf>
    <xf numFmtId="0" fontId="18" fillId="0" borderId="0" xfId="15" applyFont="1" applyAlignment="1">
      <alignment vertical="center"/>
    </xf>
    <xf numFmtId="4" fontId="18" fillId="0" borderId="31" xfId="15" applyNumberFormat="1" applyFont="1" applyBorder="1" applyAlignment="1">
      <alignment vertical="center"/>
    </xf>
    <xf numFmtId="4" fontId="1" fillId="0" borderId="32" xfId="15" applyNumberFormat="1" applyBorder="1" applyAlignment="1">
      <alignment vertical="center"/>
    </xf>
    <xf numFmtId="0" fontId="1" fillId="0" borderId="32" xfId="15" applyBorder="1" applyAlignment="1">
      <alignment vertical="center"/>
    </xf>
    <xf numFmtId="4" fontId="1" fillId="0" borderId="56" xfId="15" applyNumberFormat="1" applyBorder="1" applyAlignment="1">
      <alignment vertical="center"/>
    </xf>
    <xf numFmtId="172" fontId="18" fillId="0" borderId="14" xfId="15" applyNumberFormat="1" applyFont="1" applyBorder="1" applyAlignment="1">
      <alignment horizontal="center" vertical="center" wrapText="1"/>
    </xf>
    <xf numFmtId="4" fontId="18" fillId="0" borderId="39" xfId="15" applyNumberFormat="1" applyFont="1" applyBorder="1" applyAlignment="1">
      <alignment vertical="center"/>
    </xf>
    <xf numFmtId="4" fontId="18" fillId="0" borderId="40" xfId="15" applyNumberFormat="1" applyFont="1" applyBorder="1" applyAlignment="1">
      <alignment vertical="center"/>
    </xf>
    <xf numFmtId="0" fontId="18" fillId="0" borderId="16" xfId="15" applyFont="1" applyBorder="1" applyAlignment="1">
      <alignment horizontal="center" vertical="center" wrapText="1"/>
    </xf>
    <xf numFmtId="4" fontId="18" fillId="0" borderId="16" xfId="15" applyNumberFormat="1" applyFont="1" applyBorder="1" applyAlignment="1">
      <alignment horizontal="center" vertical="center" wrapText="1"/>
    </xf>
    <xf numFmtId="172" fontId="18" fillId="0" borderId="16" xfId="15" applyNumberFormat="1" applyFont="1" applyBorder="1" applyAlignment="1">
      <alignment horizontal="center" vertical="center" wrapText="1"/>
    </xf>
    <xf numFmtId="4" fontId="18" fillId="0" borderId="41" xfId="15" applyNumberFormat="1" applyFont="1" applyBorder="1" applyAlignment="1">
      <alignment horizontal="center" vertical="center" wrapText="1"/>
    </xf>
    <xf numFmtId="4" fontId="1" fillId="0" borderId="33" xfId="15" applyNumberFormat="1" applyBorder="1" applyAlignment="1">
      <alignment vertical="center"/>
    </xf>
    <xf numFmtId="4" fontId="1" fillId="0" borderId="34" xfId="15" applyNumberFormat="1" applyBorder="1" applyAlignment="1">
      <alignment vertical="center"/>
    </xf>
    <xf numFmtId="0" fontId="1" fillId="0" borderId="35" xfId="15" applyBorder="1" applyAlignment="1">
      <alignment horizontal="center" vertical="center"/>
    </xf>
    <xf numFmtId="4" fontId="1" fillId="0" borderId="35" xfId="15" applyNumberFormat="1" applyBorder="1" applyAlignment="1">
      <alignment vertical="center"/>
    </xf>
    <xf numFmtId="172" fontId="1" fillId="0" borderId="35" xfId="15" applyNumberFormat="1" applyBorder="1" applyAlignment="1">
      <alignment vertical="center"/>
    </xf>
    <xf numFmtId="4" fontId="1" fillId="0" borderId="36" xfId="15" applyNumberFormat="1" applyBorder="1" applyAlignment="1">
      <alignment vertical="center"/>
    </xf>
    <xf numFmtId="4" fontId="1" fillId="0" borderId="30" xfId="15" applyNumberFormat="1" applyBorder="1" applyAlignment="1">
      <alignment vertical="center"/>
    </xf>
    <xf numFmtId="0" fontId="1" fillId="0" borderId="37" xfId="15" applyBorder="1" applyAlignment="1">
      <alignment horizontal="center" vertical="center"/>
    </xf>
    <xf numFmtId="4" fontId="1" fillId="0" borderId="37" xfId="15" applyNumberFormat="1" applyBorder="1" applyAlignment="1">
      <alignment vertical="center"/>
    </xf>
    <xf numFmtId="172" fontId="1" fillId="0" borderId="37" xfId="15" applyNumberFormat="1" applyBorder="1" applyAlignment="1">
      <alignment vertical="center"/>
    </xf>
    <xf numFmtId="4" fontId="1" fillId="0" borderId="38" xfId="15" applyNumberFormat="1" applyBorder="1" applyAlignment="1">
      <alignment vertical="center"/>
    </xf>
    <xf numFmtId="4" fontId="1" fillId="0" borderId="39" xfId="15" applyNumberFormat="1" applyBorder="1" applyAlignment="1">
      <alignment vertical="center"/>
    </xf>
    <xf numFmtId="4" fontId="1" fillId="0" borderId="40" xfId="15" applyNumberFormat="1" applyBorder="1" applyAlignment="1">
      <alignment vertical="center"/>
    </xf>
    <xf numFmtId="0" fontId="1" fillId="0" borderId="16" xfId="15" applyBorder="1" applyAlignment="1">
      <alignment horizontal="center" vertical="center"/>
    </xf>
    <xf numFmtId="4" fontId="1" fillId="0" borderId="16" xfId="15" applyNumberFormat="1" applyBorder="1" applyAlignment="1">
      <alignment vertical="center"/>
    </xf>
    <xf numFmtId="172" fontId="1" fillId="0" borderId="16" xfId="15" applyNumberFormat="1" applyBorder="1" applyAlignment="1">
      <alignment vertical="center"/>
    </xf>
    <xf numFmtId="4" fontId="1" fillId="0" borderId="41" xfId="15" applyNumberFormat="1" applyBorder="1" applyAlignment="1">
      <alignment vertical="center"/>
    </xf>
    <xf numFmtId="0" fontId="1" fillId="0" borderId="40" xfId="15" applyBorder="1" applyAlignment="1">
      <alignment vertical="center"/>
    </xf>
    <xf numFmtId="172" fontId="1" fillId="0" borderId="40" xfId="15" applyNumberFormat="1" applyBorder="1" applyAlignment="1">
      <alignment vertical="center"/>
    </xf>
    <xf numFmtId="4" fontId="18" fillId="0" borderId="30" xfId="15" applyNumberFormat="1" applyFont="1" applyBorder="1" applyAlignment="1">
      <alignment vertical="center"/>
    </xf>
    <xf numFmtId="172" fontId="1" fillId="0" borderId="0" xfId="15" applyNumberFormat="1" applyAlignment="1">
      <alignment vertical="center"/>
    </xf>
    <xf numFmtId="4" fontId="18" fillId="0" borderId="42" xfId="15" applyNumberFormat="1" applyFont="1" applyBorder="1" applyAlignment="1">
      <alignment vertical="center"/>
    </xf>
    <xf numFmtId="4" fontId="18" fillId="0" borderId="43" xfId="15" applyNumberFormat="1" applyFont="1" applyBorder="1" applyAlignment="1">
      <alignment vertical="center"/>
    </xf>
    <xf numFmtId="0" fontId="18" fillId="0" borderId="10" xfId="15" applyFont="1" applyBorder="1" applyAlignment="1">
      <alignment horizontal="center" vertical="center" wrapText="1"/>
    </xf>
    <xf numFmtId="4" fontId="18" fillId="0" borderId="10" xfId="15" applyNumberFormat="1" applyFont="1" applyBorder="1" applyAlignment="1">
      <alignment horizontal="center" vertical="center" wrapText="1"/>
    </xf>
    <xf numFmtId="172" fontId="18" fillId="0" borderId="10" xfId="15" applyNumberFormat="1" applyFont="1" applyBorder="1" applyAlignment="1">
      <alignment horizontal="center" vertical="center" wrapText="1"/>
    </xf>
    <xf numFmtId="4" fontId="18" fillId="0" borderId="9" xfId="15" applyNumberFormat="1" applyFont="1" applyBorder="1" applyAlignment="1">
      <alignment horizontal="center" vertical="center" wrapText="1"/>
    </xf>
    <xf numFmtId="3" fontId="1" fillId="0" borderId="30" xfId="16" applyNumberFormat="1" applyBorder="1" applyAlignment="1">
      <alignment horizontal="left" vertical="center"/>
    </xf>
    <xf numFmtId="0" fontId="1" fillId="0" borderId="52" xfId="16" applyBorder="1" applyAlignment="1">
      <alignment horizontal="center" vertical="center"/>
    </xf>
    <xf numFmtId="4" fontId="1" fillId="0" borderId="37" xfId="15" applyNumberFormat="1" applyBorder="1" applyAlignment="1">
      <alignment horizontal="right" vertical="center"/>
    </xf>
    <xf numFmtId="4" fontId="1" fillId="0" borderId="42" xfId="15" applyNumberFormat="1" applyBorder="1" applyAlignment="1">
      <alignment vertical="center"/>
    </xf>
    <xf numFmtId="4" fontId="1" fillId="0" borderId="43" xfId="15" applyNumberFormat="1" applyBorder="1" applyAlignment="1">
      <alignment vertical="center"/>
    </xf>
    <xf numFmtId="0" fontId="1" fillId="0" borderId="43" xfId="15" applyBorder="1" applyAlignment="1">
      <alignment vertical="center"/>
    </xf>
    <xf numFmtId="4" fontId="1" fillId="0" borderId="9" xfId="15" applyNumberFormat="1" applyBorder="1" applyAlignment="1">
      <alignment vertical="center"/>
    </xf>
    <xf numFmtId="4" fontId="18" fillId="0" borderId="43" xfId="15" applyNumberFormat="1" applyFont="1" applyBorder="1" applyAlignment="1">
      <alignment vertical="center" wrapText="1"/>
    </xf>
    <xf numFmtId="0" fontId="18" fillId="0" borderId="12" xfId="15" applyFont="1" applyBorder="1" applyAlignment="1">
      <alignment vertical="center" wrapText="1"/>
    </xf>
    <xf numFmtId="0" fontId="1" fillId="0" borderId="30" xfId="15" applyBorder="1" applyAlignment="1">
      <alignment vertical="center"/>
    </xf>
    <xf numFmtId="0" fontId="1" fillId="0" borderId="0" xfId="15" applyAlignment="1">
      <alignment horizontal="center" vertical="center"/>
    </xf>
    <xf numFmtId="0" fontId="1" fillId="0" borderId="44" xfId="15" applyBorder="1" applyAlignment="1">
      <alignment vertical="center"/>
    </xf>
    <xf numFmtId="2" fontId="1" fillId="0" borderId="0" xfId="15" applyNumberFormat="1" applyAlignment="1">
      <alignment horizontal="right" vertical="center"/>
    </xf>
    <xf numFmtId="0" fontId="1" fillId="0" borderId="45" xfId="15" applyBorder="1" applyAlignment="1">
      <alignment vertical="center"/>
    </xf>
    <xf numFmtId="0" fontId="1" fillId="0" borderId="17" xfId="15" applyBorder="1" applyAlignment="1">
      <alignment vertical="center"/>
    </xf>
    <xf numFmtId="4" fontId="1" fillId="0" borderId="46" xfId="15" applyNumberFormat="1" applyBorder="1" applyAlignment="1">
      <alignment vertical="center"/>
    </xf>
    <xf numFmtId="4" fontId="1" fillId="0" borderId="4" xfId="15" applyNumberFormat="1" applyBorder="1" applyAlignment="1">
      <alignment vertical="center"/>
    </xf>
    <xf numFmtId="0" fontId="1" fillId="0" borderId="4" xfId="15" applyBorder="1" applyAlignment="1">
      <alignment vertical="center"/>
    </xf>
    <xf numFmtId="4" fontId="1" fillId="0" borderId="47" xfId="15" applyNumberFormat="1" applyBorder="1" applyAlignment="1">
      <alignment vertical="center"/>
    </xf>
    <xf numFmtId="0" fontId="1" fillId="0" borderId="31" xfId="15" applyBorder="1" applyAlignment="1">
      <alignment vertical="center"/>
    </xf>
    <xf numFmtId="4" fontId="18" fillId="0" borderId="32" xfId="15" applyNumberFormat="1" applyFont="1" applyBorder="1" applyAlignment="1">
      <alignment horizontal="right" vertical="center"/>
    </xf>
    <xf numFmtId="4" fontId="18" fillId="0" borderId="13" xfId="15" applyNumberFormat="1" applyFont="1" applyBorder="1" applyAlignment="1">
      <alignment vertical="center"/>
    </xf>
    <xf numFmtId="0" fontId="1" fillId="0" borderId="42" xfId="15" applyBorder="1" applyAlignment="1">
      <alignment vertical="center"/>
    </xf>
    <xf numFmtId="10" fontId="18" fillId="0" borderId="43" xfId="15" applyNumberFormat="1" applyFont="1" applyBorder="1" applyAlignment="1">
      <alignment horizontal="right" vertical="center"/>
    </xf>
    <xf numFmtId="4" fontId="18" fillId="0" borderId="43" xfId="15" applyNumberFormat="1" applyFont="1" applyBorder="1" applyAlignment="1">
      <alignment horizontal="right" vertical="center"/>
    </xf>
    <xf numFmtId="4" fontId="18" fillId="0" borderId="9" xfId="15" applyNumberFormat="1" applyFont="1" applyBorder="1" applyAlignment="1">
      <alignment vertical="center"/>
    </xf>
    <xf numFmtId="0" fontId="1" fillId="0" borderId="46" xfId="15" applyBorder="1" applyAlignment="1">
      <alignment vertical="center"/>
    </xf>
    <xf numFmtId="4" fontId="18" fillId="0" borderId="4" xfId="15" applyNumberFormat="1" applyFont="1" applyBorder="1" applyAlignment="1">
      <alignment horizontal="right" vertical="center"/>
    </xf>
    <xf numFmtId="4" fontId="18" fillId="0" borderId="47" xfId="15" applyNumberFormat="1" applyFont="1" applyBorder="1" applyAlignment="1">
      <alignment vertical="center"/>
    </xf>
    <xf numFmtId="4" fontId="18" fillId="0" borderId="2" xfId="15" applyNumberFormat="1" applyFont="1" applyBorder="1" applyAlignment="1">
      <alignment vertical="center"/>
    </xf>
    <xf numFmtId="4" fontId="1" fillId="0" borderId="1" xfId="15" applyNumberFormat="1" applyBorder="1" applyAlignment="1">
      <alignment vertical="center"/>
    </xf>
    <xf numFmtId="0" fontId="1" fillId="0" borderId="1" xfId="15" applyBorder="1" applyAlignment="1">
      <alignment vertical="center"/>
    </xf>
    <xf numFmtId="4" fontId="1" fillId="0" borderId="29" xfId="15" applyNumberFormat="1" applyBorder="1" applyAlignment="1">
      <alignment vertical="center"/>
    </xf>
    <xf numFmtId="4" fontId="18" fillId="0" borderId="32" xfId="15" applyNumberFormat="1" applyFont="1" applyBorder="1" applyAlignment="1">
      <alignment vertical="center"/>
    </xf>
    <xf numFmtId="0" fontId="18" fillId="0" borderId="14" xfId="15" applyFont="1" applyBorder="1" applyAlignment="1">
      <alignment horizontal="center" vertical="center" wrapText="1"/>
    </xf>
    <xf numFmtId="4" fontId="18" fillId="0" borderId="14" xfId="15" applyNumberFormat="1" applyFont="1" applyBorder="1" applyAlignment="1">
      <alignment horizontal="center" vertical="center" wrapText="1"/>
    </xf>
    <xf numFmtId="4" fontId="18" fillId="0" borderId="13" xfId="15" applyNumberFormat="1" applyFont="1" applyBorder="1" applyAlignment="1">
      <alignment horizontal="center" vertical="center" wrapText="1"/>
    </xf>
    <xf numFmtId="0" fontId="1" fillId="0" borderId="37" xfId="15" applyBorder="1" applyAlignment="1">
      <alignment vertical="center"/>
    </xf>
    <xf numFmtId="0" fontId="1" fillId="0" borderId="43" xfId="15" applyBorder="1" applyAlignment="1">
      <alignment horizontal="center" vertical="center"/>
    </xf>
    <xf numFmtId="0" fontId="1" fillId="0" borderId="4" xfId="15" applyBorder="1" applyAlignment="1">
      <alignment horizontal="center" vertical="center"/>
    </xf>
    <xf numFmtId="18" fontId="8" fillId="0" borderId="0" xfId="17" applyNumberFormat="1" applyFont="1" applyAlignment="1">
      <alignment horizontal="left" vertical="center"/>
    </xf>
    <xf numFmtId="4" fontId="1" fillId="0" borderId="0" xfId="15" applyNumberFormat="1" applyAlignment="1">
      <alignment horizontal="left" vertical="center" wrapText="1"/>
    </xf>
    <xf numFmtId="4" fontId="1" fillId="0" borderId="30" xfId="15" applyNumberFormat="1" applyBorder="1" applyAlignment="1">
      <alignment horizontal="left" vertical="center"/>
    </xf>
    <xf numFmtId="173" fontId="1" fillId="0" borderId="0" xfId="15" applyNumberFormat="1"/>
    <xf numFmtId="174" fontId="19" fillId="0" borderId="0" xfId="15" applyNumberFormat="1" applyFont="1"/>
    <xf numFmtId="0" fontId="8" fillId="3" borderId="0" xfId="17" applyFont="1" applyFill="1" applyAlignment="1">
      <alignment horizontal="left" vertical="center"/>
    </xf>
    <xf numFmtId="4" fontId="1" fillId="0" borderId="53" xfId="15" applyNumberFormat="1" applyBorder="1"/>
    <xf numFmtId="172" fontId="8" fillId="0" borderId="43" xfId="15" applyNumberFormat="1" applyFont="1" applyBorder="1"/>
    <xf numFmtId="4" fontId="8" fillId="0" borderId="10" xfId="15" applyNumberFormat="1" applyFont="1" applyBorder="1"/>
    <xf numFmtId="171" fontId="10" fillId="7" borderId="2" xfId="15" applyNumberFormat="1" applyFont="1" applyFill="1" applyBorder="1"/>
    <xf numFmtId="171" fontId="19" fillId="7" borderId="1" xfId="15" applyNumberFormat="1" applyFont="1" applyFill="1" applyBorder="1"/>
    <xf numFmtId="171" fontId="1" fillId="7" borderId="29" xfId="15" applyNumberFormat="1" applyFill="1" applyBorder="1"/>
    <xf numFmtId="171" fontId="10" fillId="7" borderId="0" xfId="15" applyNumberFormat="1" applyFont="1" applyFill="1"/>
    <xf numFmtId="171" fontId="1" fillId="7" borderId="0" xfId="15" applyNumberFormat="1" applyFill="1"/>
    <xf numFmtId="171" fontId="1" fillId="7" borderId="29" xfId="15" applyNumberFormat="1" applyFill="1" applyBorder="1" applyAlignment="1">
      <alignment horizontal="right"/>
    </xf>
    <xf numFmtId="171" fontId="19" fillId="4" borderId="0" xfId="15" applyNumberFormat="1" applyFont="1" applyFill="1" applyAlignment="1">
      <alignment horizontal="right"/>
    </xf>
    <xf numFmtId="171" fontId="1" fillId="0" borderId="0" xfId="15" applyNumberFormat="1" applyAlignment="1">
      <alignment horizontal="right"/>
    </xf>
    <xf numFmtId="165" fontId="1" fillId="0" borderId="0" xfId="15" applyNumberFormat="1"/>
    <xf numFmtId="0" fontId="0" fillId="0" borderId="0" xfId="0" applyAlignment="1">
      <alignment horizontal="center"/>
    </xf>
    <xf numFmtId="165" fontId="1" fillId="0" borderId="0" xfId="0" applyNumberFormat="1" applyFont="1"/>
    <xf numFmtId="165" fontId="18" fillId="0" borderId="2" xfId="15" applyNumberFormat="1" applyFont="1" applyBorder="1"/>
    <xf numFmtId="165" fontId="1" fillId="0" borderId="1" xfId="15" applyNumberFormat="1" applyBorder="1"/>
    <xf numFmtId="165" fontId="1" fillId="0" borderId="14" xfId="15" applyNumberFormat="1" applyBorder="1" applyAlignment="1">
      <alignment horizontal="center" vertical="justify"/>
    </xf>
    <xf numFmtId="165" fontId="1" fillId="0" borderId="33" xfId="15" applyNumberFormat="1" applyBorder="1"/>
    <xf numFmtId="165" fontId="1" fillId="0" borderId="34" xfId="15" applyNumberFormat="1" applyBorder="1"/>
    <xf numFmtId="165" fontId="1" fillId="0" borderId="35" xfId="15" applyNumberFormat="1" applyBorder="1"/>
    <xf numFmtId="165" fontId="1" fillId="0" borderId="36" xfId="15" applyNumberFormat="1" applyBorder="1"/>
    <xf numFmtId="165" fontId="1" fillId="0" borderId="30" xfId="15" applyNumberFormat="1" applyBorder="1"/>
    <xf numFmtId="165" fontId="1" fillId="0" borderId="37" xfId="15" applyNumberFormat="1" applyBorder="1"/>
    <xf numFmtId="172" fontId="1" fillId="0" borderId="37" xfId="15" applyNumberFormat="1" applyBorder="1"/>
    <xf numFmtId="165" fontId="1" fillId="0" borderId="39" xfId="15" applyNumberFormat="1" applyBorder="1"/>
    <xf numFmtId="165" fontId="1" fillId="0" borderId="40" xfId="15" applyNumberFormat="1" applyBorder="1"/>
    <xf numFmtId="165" fontId="1" fillId="0" borderId="16" xfId="15" applyNumberFormat="1" applyBorder="1"/>
    <xf numFmtId="172" fontId="1" fillId="0" borderId="16" xfId="15" applyNumberFormat="1" applyBorder="1"/>
    <xf numFmtId="165" fontId="1" fillId="0" borderId="10" xfId="15" applyNumberFormat="1" applyBorder="1" applyAlignment="1">
      <alignment horizontal="center" vertical="justify"/>
    </xf>
    <xf numFmtId="165" fontId="1" fillId="0" borderId="30" xfId="0" applyNumberFormat="1" applyFont="1" applyBorder="1"/>
    <xf numFmtId="165" fontId="1" fillId="0" borderId="52" xfId="16" applyNumberFormat="1" applyBorder="1"/>
    <xf numFmtId="165" fontId="1" fillId="0" borderId="37" xfId="15" applyNumberFormat="1" applyBorder="1" applyAlignment="1">
      <alignment horizontal="right"/>
    </xf>
    <xf numFmtId="165" fontId="1" fillId="0" borderId="30" xfId="16" quotePrefix="1" applyNumberFormat="1" applyBorder="1" applyAlignment="1">
      <alignment horizontal="left"/>
    </xf>
    <xf numFmtId="165" fontId="1" fillId="0" borderId="30" xfId="16" applyNumberFormat="1" applyBorder="1"/>
    <xf numFmtId="165" fontId="1" fillId="0" borderId="0" xfId="15" applyNumberFormat="1" applyAlignment="1">
      <alignment horizontal="center"/>
    </xf>
    <xf numFmtId="165" fontId="1" fillId="0" borderId="37" xfId="15" applyNumberFormat="1" applyBorder="1" applyAlignment="1">
      <alignment horizontal="center"/>
    </xf>
    <xf numFmtId="165" fontId="1" fillId="0" borderId="45" xfId="15" applyNumberFormat="1" applyBorder="1"/>
    <xf numFmtId="165" fontId="1" fillId="0" borderId="17" xfId="15" applyNumberFormat="1" applyBorder="1"/>
    <xf numFmtId="165" fontId="1" fillId="0" borderId="16" xfId="15" applyNumberFormat="1" applyBorder="1" applyAlignment="1">
      <alignment horizontal="center"/>
    </xf>
    <xf numFmtId="165" fontId="1" fillId="0" borderId="31" xfId="15" applyNumberFormat="1" applyBorder="1"/>
    <xf numFmtId="165" fontId="1" fillId="0" borderId="32" xfId="15" applyNumberFormat="1" applyBorder="1"/>
    <xf numFmtId="165" fontId="18" fillId="0" borderId="57" xfId="15" applyNumberFormat="1" applyFont="1" applyBorder="1"/>
    <xf numFmtId="165" fontId="1" fillId="0" borderId="23" xfId="15" applyNumberFormat="1" applyBorder="1"/>
    <xf numFmtId="165" fontId="1" fillId="0" borderId="43" xfId="0" applyNumberFormat="1" applyFont="1" applyBorder="1" applyAlignment="1">
      <alignment horizontal="center" vertical="center"/>
    </xf>
    <xf numFmtId="165" fontId="1" fillId="0" borderId="12" xfId="0" applyNumberFormat="1" applyFont="1" applyBorder="1" applyAlignment="1">
      <alignment horizontal="center" vertical="center"/>
    </xf>
    <xf numFmtId="165" fontId="1" fillId="0" borderId="12" xfId="15" applyNumberFormat="1" applyBorder="1" applyAlignment="1">
      <alignment horizontal="center" vertical="justify"/>
    </xf>
    <xf numFmtId="165" fontId="1" fillId="0" borderId="52" xfId="0" applyNumberFormat="1" applyFont="1" applyBorder="1"/>
    <xf numFmtId="165" fontId="1" fillId="0" borderId="58" xfId="0" applyNumberFormat="1" applyFont="1" applyBorder="1"/>
    <xf numFmtId="165" fontId="1" fillId="0" borderId="40" xfId="15" applyNumberFormat="1" applyBorder="1" applyAlignment="1">
      <alignment horizontal="center"/>
    </xf>
    <xf numFmtId="165" fontId="1" fillId="0" borderId="53" xfId="15" applyNumberFormat="1" applyBorder="1" applyAlignment="1">
      <alignment horizontal="left" vertical="center"/>
    </xf>
    <xf numFmtId="4" fontId="18" fillId="0" borderId="13" xfId="15" applyNumberFormat="1" applyFont="1" applyBorder="1" applyAlignment="1">
      <alignment horizontal="right"/>
    </xf>
    <xf numFmtId="4" fontId="1" fillId="0" borderId="38" xfId="15" applyNumberFormat="1" applyBorder="1"/>
    <xf numFmtId="4" fontId="1" fillId="0" borderId="41" xfId="15" applyNumberFormat="1" applyBorder="1"/>
    <xf numFmtId="4" fontId="1" fillId="0" borderId="9" xfId="15" applyNumberFormat="1" applyBorder="1"/>
    <xf numFmtId="4" fontId="1" fillId="0" borderId="22" xfId="15" applyNumberFormat="1" applyBorder="1"/>
    <xf numFmtId="4" fontId="1" fillId="0" borderId="37" xfId="15" applyNumberFormat="1" applyBorder="1"/>
    <xf numFmtId="4" fontId="1" fillId="0" borderId="16" xfId="15" applyNumberFormat="1" applyBorder="1"/>
    <xf numFmtId="4" fontId="1" fillId="0" borderId="47" xfId="15" applyNumberFormat="1" applyBorder="1"/>
    <xf numFmtId="4" fontId="0" fillId="0" borderId="0" xfId="0" applyNumberFormat="1"/>
    <xf numFmtId="0" fontId="14" fillId="0" borderId="0" xfId="0" quotePrefix="1" applyFont="1" applyAlignment="1">
      <alignment horizontal="left"/>
    </xf>
    <xf numFmtId="0" fontId="14" fillId="0" borderId="0" xfId="0" applyFont="1"/>
    <xf numFmtId="4" fontId="14" fillId="0" borderId="0" xfId="0" applyNumberFormat="1" applyFont="1"/>
    <xf numFmtId="4" fontId="14" fillId="0" borderId="0" xfId="0" applyNumberFormat="1" applyFont="1" applyAlignment="1">
      <alignment horizontal="right"/>
    </xf>
    <xf numFmtId="0" fontId="14" fillId="0" borderId="40" xfId="0" applyFont="1" applyBorder="1"/>
    <xf numFmtId="4" fontId="8" fillId="0" borderId="35" xfId="15" applyNumberFormat="1" applyFont="1" applyBorder="1" applyAlignment="1">
      <alignment horizontal="right"/>
    </xf>
    <xf numFmtId="0" fontId="1" fillId="0" borderId="37" xfId="15" applyBorder="1"/>
    <xf numFmtId="0" fontId="1" fillId="0" borderId="16" xfId="15" applyBorder="1"/>
    <xf numFmtId="0" fontId="14" fillId="0" borderId="37" xfId="0" applyFont="1" applyBorder="1"/>
    <xf numFmtId="0" fontId="14" fillId="0" borderId="16" xfId="0" applyFont="1" applyBorder="1"/>
    <xf numFmtId="4" fontId="1" fillId="0" borderId="44" xfId="15" applyNumberFormat="1" applyBorder="1"/>
    <xf numFmtId="4" fontId="1" fillId="0" borderId="45" xfId="15" applyNumberFormat="1" applyBorder="1"/>
    <xf numFmtId="0" fontId="14" fillId="0" borderId="45" xfId="0" applyFont="1" applyBorder="1"/>
    <xf numFmtId="0" fontId="14" fillId="0" borderId="17" xfId="0" applyFont="1" applyBorder="1"/>
    <xf numFmtId="4" fontId="14" fillId="0" borderId="37" xfId="0" applyNumberFormat="1" applyFont="1" applyBorder="1"/>
    <xf numFmtId="4" fontId="14" fillId="0" borderId="16" xfId="0" applyNumberFormat="1" applyFont="1" applyBorder="1"/>
    <xf numFmtId="4" fontId="8" fillId="0" borderId="35" xfId="16" applyNumberFormat="1" applyFont="1" applyBorder="1"/>
    <xf numFmtId="4" fontId="8" fillId="0" borderId="37" xfId="16" applyNumberFormat="1" applyFont="1" applyBorder="1"/>
    <xf numFmtId="4" fontId="14" fillId="0" borderId="35" xfId="0" applyNumberFormat="1" applyFont="1" applyBorder="1"/>
    <xf numFmtId="4" fontId="8" fillId="0" borderId="35" xfId="0" applyNumberFormat="1" applyFont="1" applyBorder="1"/>
    <xf numFmtId="4" fontId="8" fillId="0" borderId="37" xfId="0" applyNumberFormat="1" applyFont="1" applyBorder="1" applyAlignment="1">
      <alignment horizontal="centerContinuous"/>
    </xf>
    <xf numFmtId="4" fontId="8" fillId="0" borderId="16" xfId="0" applyNumberFormat="1" applyFont="1" applyBorder="1"/>
    <xf numFmtId="0" fontId="0" fillId="0" borderId="34" xfId="0" applyBorder="1"/>
    <xf numFmtId="0" fontId="1" fillId="0" borderId="44" xfId="15" applyBorder="1"/>
    <xf numFmtId="0" fontId="1" fillId="0" borderId="45" xfId="15" applyBorder="1"/>
    <xf numFmtId="0" fontId="1" fillId="0" borderId="17" xfId="15" applyBorder="1"/>
    <xf numFmtId="0" fontId="14" fillId="0" borderId="35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0" fontId="14" fillId="0" borderId="16" xfId="0" applyFont="1" applyBorder="1" applyAlignment="1">
      <alignment horizontal="center"/>
    </xf>
    <xf numFmtId="4" fontId="14" fillId="0" borderId="35" xfId="0" applyNumberFormat="1" applyFont="1" applyBorder="1" applyAlignment="1">
      <alignment horizontal="right"/>
    </xf>
    <xf numFmtId="4" fontId="14" fillId="0" borderId="37" xfId="0" applyNumberFormat="1" applyFont="1" applyBorder="1" applyAlignment="1">
      <alignment horizontal="right"/>
    </xf>
    <xf numFmtId="4" fontId="14" fillId="0" borderId="16" xfId="0" applyNumberFormat="1" applyFont="1" applyBorder="1" applyAlignment="1">
      <alignment horizontal="right"/>
    </xf>
    <xf numFmtId="173" fontId="14" fillId="0" borderId="37" xfId="0" applyNumberFormat="1" applyFont="1" applyBorder="1"/>
    <xf numFmtId="0" fontId="14" fillId="0" borderId="30" xfId="0" applyFont="1" applyBorder="1"/>
    <xf numFmtId="4" fontId="14" fillId="0" borderId="38" xfId="0" applyNumberFormat="1" applyFont="1" applyBorder="1"/>
    <xf numFmtId="0" fontId="14" fillId="0" borderId="39" xfId="0" applyFont="1" applyBorder="1"/>
    <xf numFmtId="4" fontId="14" fillId="0" borderId="41" xfId="0" applyNumberFormat="1" applyFont="1" applyBorder="1"/>
    <xf numFmtId="3" fontId="1" fillId="0" borderId="33" xfId="16" applyNumberFormat="1" applyBorder="1" applyAlignment="1">
      <alignment horizontal="left"/>
    </xf>
    <xf numFmtId="0" fontId="14" fillId="0" borderId="33" xfId="0" quotePrefix="1" applyFont="1" applyBorder="1" applyAlignment="1">
      <alignment horizontal="left"/>
    </xf>
    <xf numFmtId="4" fontId="14" fillId="0" borderId="36" xfId="0" applyNumberFormat="1" applyFont="1" applyBorder="1"/>
    <xf numFmtId="0" fontId="14" fillId="0" borderId="30" xfId="0" quotePrefix="1" applyFont="1" applyBorder="1" applyAlignment="1">
      <alignment horizontal="left"/>
    </xf>
    <xf numFmtId="173" fontId="14" fillId="0" borderId="38" xfId="0" applyNumberFormat="1" applyFont="1" applyBorder="1"/>
    <xf numFmtId="165" fontId="1" fillId="0" borderId="0" xfId="15" applyNumberFormat="1" applyAlignment="1">
      <alignment horizontal="right"/>
    </xf>
    <xf numFmtId="165" fontId="1" fillId="0" borderId="0" xfId="17" applyNumberFormat="1" applyAlignment="1">
      <alignment horizontal="left"/>
    </xf>
    <xf numFmtId="165" fontId="1" fillId="0" borderId="29" xfId="15" applyNumberFormat="1" applyBorder="1"/>
    <xf numFmtId="165" fontId="1" fillId="0" borderId="13" xfId="15" applyNumberFormat="1" applyBorder="1" applyAlignment="1">
      <alignment horizontal="center" vertical="justify"/>
    </xf>
    <xf numFmtId="165" fontId="1" fillId="0" borderId="38" xfId="15" applyNumberFormat="1" applyBorder="1"/>
    <xf numFmtId="165" fontId="1" fillId="0" borderId="41" xfId="15" applyNumberFormat="1" applyBorder="1"/>
    <xf numFmtId="165" fontId="1" fillId="0" borderId="9" xfId="15" applyNumberFormat="1" applyBorder="1" applyAlignment="1">
      <alignment horizontal="center" vertical="justify"/>
    </xf>
    <xf numFmtId="165" fontId="1" fillId="0" borderId="9" xfId="15" applyNumberFormat="1" applyBorder="1"/>
    <xf numFmtId="165" fontId="1" fillId="0" borderId="58" xfId="15" applyNumberFormat="1" applyBorder="1" applyAlignment="1">
      <alignment horizontal="center" vertical="center"/>
    </xf>
    <xf numFmtId="165" fontId="1" fillId="0" borderId="40" xfId="0" applyNumberFormat="1" applyFont="1" applyBorder="1" applyAlignment="1">
      <alignment horizontal="center" vertical="center"/>
    </xf>
    <xf numFmtId="165" fontId="1" fillId="0" borderId="17" xfId="0" applyNumberFormat="1" applyFont="1" applyBorder="1" applyAlignment="1">
      <alignment horizontal="center" vertical="center"/>
    </xf>
    <xf numFmtId="165" fontId="1" fillId="0" borderId="17" xfId="15" applyNumberFormat="1" applyBorder="1" applyAlignment="1">
      <alignment horizontal="center" vertical="justify"/>
    </xf>
    <xf numFmtId="165" fontId="1" fillId="0" borderId="16" xfId="15" applyNumberFormat="1" applyBorder="1" applyAlignment="1">
      <alignment horizontal="center" vertical="justify"/>
    </xf>
    <xf numFmtId="165" fontId="1" fillId="0" borderId="41" xfId="15" applyNumberFormat="1" applyBorder="1" applyAlignment="1">
      <alignment horizontal="center" vertical="justify"/>
    </xf>
    <xf numFmtId="165" fontId="1" fillId="0" borderId="44" xfId="15" applyNumberFormat="1" applyBorder="1"/>
    <xf numFmtId="165" fontId="1" fillId="0" borderId="47" xfId="15" applyNumberFormat="1" applyBorder="1"/>
    <xf numFmtId="0" fontId="26" fillId="0" borderId="0" xfId="12" applyFont="1" applyAlignment="1" applyProtection="1"/>
    <xf numFmtId="0" fontId="27" fillId="0" borderId="62" xfId="0" applyFont="1" applyBorder="1" applyAlignment="1">
      <alignment horizontal="center" vertical="top"/>
    </xf>
    <xf numFmtId="0" fontId="27" fillId="0" borderId="63" xfId="0" applyFont="1" applyBorder="1" applyAlignment="1">
      <alignment horizontal="center" vertical="top"/>
    </xf>
    <xf numFmtId="0" fontId="27" fillId="0" borderId="64" xfId="0" applyFont="1" applyBorder="1" applyAlignment="1">
      <alignment horizontal="left" vertical="top"/>
    </xf>
    <xf numFmtId="0" fontId="27" fillId="0" borderId="65" xfId="0" applyFont="1" applyBorder="1" applyAlignment="1">
      <alignment horizontal="center" vertical="top"/>
    </xf>
    <xf numFmtId="0" fontId="27" fillId="0" borderId="65" xfId="0" applyFont="1" applyBorder="1" applyAlignment="1">
      <alignment horizontal="left" vertical="top" wrapText="1"/>
    </xf>
    <xf numFmtId="0" fontId="27" fillId="0" borderId="65" xfId="0" applyFont="1" applyBorder="1" applyAlignment="1">
      <alignment horizontal="right" vertical="top"/>
    </xf>
    <xf numFmtId="0" fontId="27" fillId="0" borderId="66" xfId="0" applyFont="1" applyBorder="1" applyAlignment="1">
      <alignment horizontal="center" vertical="top"/>
    </xf>
    <xf numFmtId="0" fontId="27" fillId="0" borderId="66" xfId="0" applyFont="1" applyBorder="1" applyAlignment="1">
      <alignment horizontal="left" vertical="top" wrapText="1"/>
    </xf>
    <xf numFmtId="0" fontId="27" fillId="0" borderId="66" xfId="0" applyFont="1" applyBorder="1" applyAlignment="1">
      <alignment horizontal="right" vertical="top"/>
    </xf>
    <xf numFmtId="0" fontId="27" fillId="0" borderId="67" xfId="0" applyFont="1" applyBorder="1" applyAlignment="1">
      <alignment horizontal="left" vertical="top"/>
    </xf>
    <xf numFmtId="0" fontId="28" fillId="0" borderId="66" xfId="0" applyFont="1" applyBorder="1" applyAlignment="1">
      <alignment wrapText="1"/>
    </xf>
    <xf numFmtId="0" fontId="27" fillId="0" borderId="68" xfId="0" applyFont="1" applyBorder="1" applyAlignment="1">
      <alignment horizontal="left" vertical="top"/>
    </xf>
    <xf numFmtId="171" fontId="1" fillId="9" borderId="0" xfId="15" applyNumberFormat="1" applyFill="1"/>
    <xf numFmtId="0" fontId="31" fillId="0" borderId="0" xfId="15" applyFont="1" applyAlignment="1">
      <alignment vertical="center"/>
    </xf>
    <xf numFmtId="4" fontId="31" fillId="0" borderId="0" xfId="15" applyNumberFormat="1" applyFont="1" applyAlignment="1">
      <alignment vertical="center"/>
    </xf>
    <xf numFmtId="0" fontId="31" fillId="0" borderId="0" xfId="15" applyFont="1" applyAlignment="1">
      <alignment horizontal="center" vertical="center"/>
    </xf>
    <xf numFmtId="4" fontId="31" fillId="0" borderId="0" xfId="15" applyNumberFormat="1" applyFont="1" applyAlignment="1">
      <alignment horizontal="right" vertical="center"/>
    </xf>
    <xf numFmtId="4" fontId="30" fillId="0" borderId="0" xfId="15" applyNumberFormat="1" applyFont="1" applyAlignment="1">
      <alignment horizontal="center" vertical="center"/>
    </xf>
    <xf numFmtId="4" fontId="30" fillId="0" borderId="0" xfId="15" applyNumberFormat="1" applyFont="1" applyAlignment="1">
      <alignment horizontal="right" vertical="center"/>
    </xf>
    <xf numFmtId="4" fontId="31" fillId="0" borderId="0" xfId="15" applyNumberFormat="1" applyFont="1" applyAlignment="1">
      <alignment horizontal="center" vertical="center"/>
    </xf>
    <xf numFmtId="0" fontId="30" fillId="0" borderId="0" xfId="15" applyFont="1" applyAlignment="1">
      <alignment horizontal="center" vertical="center"/>
    </xf>
    <xf numFmtId="0" fontId="30" fillId="10" borderId="2" xfId="15" applyFont="1" applyFill="1" applyBorder="1" applyAlignment="1">
      <alignment horizontal="center" vertical="center"/>
    </xf>
    <xf numFmtId="0" fontId="30" fillId="10" borderId="1" xfId="15" applyFont="1" applyFill="1" applyBorder="1" applyAlignment="1">
      <alignment horizontal="left" vertical="center"/>
    </xf>
    <xf numFmtId="0" fontId="30" fillId="10" borderId="1" xfId="15" applyFont="1" applyFill="1" applyBorder="1" applyAlignment="1">
      <alignment horizontal="center" vertical="center"/>
    </xf>
    <xf numFmtId="4" fontId="30" fillId="10" borderId="1" xfId="15" applyNumberFormat="1" applyFont="1" applyFill="1" applyBorder="1" applyAlignment="1">
      <alignment horizontal="right" vertical="center"/>
    </xf>
    <xf numFmtId="4" fontId="30" fillId="10" borderId="1" xfId="15" applyNumberFormat="1" applyFont="1" applyFill="1" applyBorder="1" applyAlignment="1">
      <alignment horizontal="center" vertical="center"/>
    </xf>
    <xf numFmtId="10" fontId="30" fillId="10" borderId="29" xfId="15" applyNumberFormat="1" applyFont="1" applyFill="1" applyBorder="1" applyAlignment="1">
      <alignment vertical="center"/>
    </xf>
    <xf numFmtId="0" fontId="30" fillId="0" borderId="0" xfId="15" applyFont="1" applyAlignment="1">
      <alignment horizontal="left" vertical="center"/>
    </xf>
    <xf numFmtId="0" fontId="30" fillId="0" borderId="0" xfId="15" applyFont="1" applyAlignment="1">
      <alignment vertical="center"/>
    </xf>
    <xf numFmtId="10" fontId="30" fillId="0" borderId="0" xfId="15" applyNumberFormat="1" applyFont="1" applyAlignment="1">
      <alignment vertical="center"/>
    </xf>
    <xf numFmtId="0" fontId="31" fillId="0" borderId="0" xfId="15" applyFont="1" applyAlignment="1">
      <alignment vertical="center" wrapText="1"/>
    </xf>
    <xf numFmtId="0" fontId="31" fillId="0" borderId="0" xfId="15" applyFont="1" applyAlignment="1">
      <alignment horizontal="left" vertical="center"/>
    </xf>
    <xf numFmtId="166" fontId="31" fillId="0" borderId="0" xfId="15" applyNumberFormat="1" applyFont="1" applyAlignment="1">
      <alignment horizontal="right" vertical="center"/>
    </xf>
    <xf numFmtId="0" fontId="30" fillId="0" borderId="10" xfId="15" applyFont="1" applyBorder="1" applyAlignment="1">
      <alignment horizontal="left" vertical="center"/>
    </xf>
    <xf numFmtId="0" fontId="31" fillId="0" borderId="10" xfId="15" applyFont="1" applyBorder="1" applyAlignment="1">
      <alignment vertical="center"/>
    </xf>
    <xf numFmtId="0" fontId="31" fillId="0" borderId="10" xfId="15" applyFont="1" applyBorder="1" applyAlignment="1">
      <alignment horizontal="right" vertical="center"/>
    </xf>
    <xf numFmtId="4" fontId="30" fillId="0" borderId="10" xfId="15" applyNumberFormat="1" applyFont="1" applyBorder="1" applyAlignment="1">
      <alignment vertical="center"/>
    </xf>
    <xf numFmtId="166" fontId="30" fillId="0" borderId="0" xfId="15" applyNumberFormat="1" applyFont="1" applyAlignment="1">
      <alignment horizontal="center" vertical="center"/>
    </xf>
    <xf numFmtId="10" fontId="30" fillId="0" borderId="10" xfId="15" applyNumberFormat="1" applyFont="1" applyBorder="1" applyAlignment="1">
      <alignment horizontal="center" vertical="center"/>
    </xf>
    <xf numFmtId="4" fontId="31" fillId="0" borderId="10" xfId="15" applyNumberFormat="1" applyFont="1" applyBorder="1" applyAlignment="1">
      <alignment vertical="center"/>
    </xf>
    <xf numFmtId="0" fontId="30" fillId="0" borderId="10" xfId="15" applyFont="1" applyBorder="1" applyAlignment="1">
      <alignment vertical="center"/>
    </xf>
    <xf numFmtId="44" fontId="31" fillId="0" borderId="0" xfId="20" applyFont="1" applyAlignment="1">
      <alignment horizontal="center" vertical="center"/>
    </xf>
    <xf numFmtId="44" fontId="30" fillId="10" borderId="24" xfId="20" applyFont="1" applyFill="1" applyBorder="1" applyAlignment="1">
      <alignment horizontal="right" vertical="center"/>
    </xf>
    <xf numFmtId="44" fontId="31" fillId="0" borderId="24" xfId="20" applyFont="1" applyBorder="1" applyAlignment="1">
      <alignment horizontal="right" vertical="center"/>
    </xf>
    <xf numFmtId="44" fontId="30" fillId="0" borderId="0" xfId="20" applyFont="1" applyAlignment="1">
      <alignment horizontal="right" vertical="center"/>
    </xf>
    <xf numFmtId="44" fontId="31" fillId="0" borderId="0" xfId="20" applyFont="1" applyAlignment="1">
      <alignment vertical="center"/>
    </xf>
    <xf numFmtId="44" fontId="31" fillId="0" borderId="0" xfId="20" applyFont="1" applyAlignment="1">
      <alignment horizontal="right" vertical="center"/>
    </xf>
    <xf numFmtId="44" fontId="30" fillId="0" borderId="0" xfId="20" applyFont="1" applyAlignment="1">
      <alignment vertical="center"/>
    </xf>
    <xf numFmtId="44" fontId="30" fillId="0" borderId="10" xfId="20" applyFont="1" applyBorder="1" applyAlignment="1">
      <alignment vertical="center"/>
    </xf>
    <xf numFmtId="0" fontId="30" fillId="0" borderId="57" xfId="20" applyNumberFormat="1" applyFont="1" applyBorder="1" applyAlignment="1">
      <alignment horizontal="center" vertical="center"/>
    </xf>
    <xf numFmtId="0" fontId="31" fillId="0" borderId="23" xfId="20" applyNumberFormat="1" applyFont="1" applyBorder="1" applyAlignment="1">
      <alignment horizontal="center" vertical="center"/>
    </xf>
    <xf numFmtId="44" fontId="31" fillId="0" borderId="22" xfId="20" applyFont="1" applyBorder="1" applyAlignment="1">
      <alignment horizontal="center" vertical="center"/>
    </xf>
    <xf numFmtId="44" fontId="31" fillId="0" borderId="46" xfId="20" applyFont="1" applyBorder="1" applyAlignment="1">
      <alignment horizontal="center" vertical="center"/>
    </xf>
    <xf numFmtId="44" fontId="31" fillId="0" borderId="4" xfId="20" applyFont="1" applyBorder="1" applyAlignment="1">
      <alignment horizontal="center" vertical="center"/>
    </xf>
    <xf numFmtId="44" fontId="31" fillId="0" borderId="21" xfId="20" applyFont="1" applyBorder="1" applyAlignment="1">
      <alignment horizontal="center" vertical="center"/>
    </xf>
    <xf numFmtId="2" fontId="32" fillId="0" borderId="0" xfId="15" applyNumberFormat="1" applyFont="1"/>
    <xf numFmtId="2" fontId="32" fillId="0" borderId="0" xfId="15" applyNumberFormat="1" applyFont="1" applyAlignment="1">
      <alignment horizontal="center"/>
    </xf>
    <xf numFmtId="1" fontId="32" fillId="0" borderId="0" xfId="15" applyNumberFormat="1" applyFont="1" applyAlignment="1">
      <alignment horizontal="center"/>
    </xf>
    <xf numFmtId="2" fontId="33" fillId="0" borderId="50" xfId="15" applyNumberFormat="1" applyFont="1" applyBorder="1" applyAlignment="1">
      <alignment horizontal="center" vertical="center"/>
    </xf>
    <xf numFmtId="2" fontId="32" fillId="0" borderId="50" xfId="15" applyNumberFormat="1" applyFont="1" applyBorder="1" applyAlignment="1">
      <alignment horizontal="center"/>
    </xf>
    <xf numFmtId="1" fontId="32" fillId="0" borderId="22" xfId="15" applyNumberFormat="1" applyFont="1" applyBorder="1" applyAlignment="1">
      <alignment horizontal="center"/>
    </xf>
    <xf numFmtId="2" fontId="33" fillId="0" borderId="51" xfId="15" applyNumberFormat="1" applyFont="1" applyBorder="1" applyAlignment="1">
      <alignment horizontal="center" vertical="center"/>
    </xf>
    <xf numFmtId="2" fontId="32" fillId="0" borderId="51" xfId="15" applyNumberFormat="1" applyFont="1" applyBorder="1" applyAlignment="1">
      <alignment horizontal="center"/>
    </xf>
    <xf numFmtId="1" fontId="32" fillId="0" borderId="21" xfId="15" applyNumberFormat="1" applyFont="1" applyBorder="1" applyAlignment="1">
      <alignment horizontal="center"/>
    </xf>
    <xf numFmtId="1" fontId="32" fillId="0" borderId="20" xfId="15" applyNumberFormat="1" applyFont="1" applyBorder="1" applyAlignment="1">
      <alignment horizontal="center"/>
    </xf>
    <xf numFmtId="1" fontId="32" fillId="0" borderId="18" xfId="15" applyNumberFormat="1" applyFont="1" applyBorder="1" applyAlignment="1">
      <alignment horizontal="center"/>
    </xf>
    <xf numFmtId="1" fontId="32" fillId="0" borderId="5" xfId="15" applyNumberFormat="1" applyFont="1" applyBorder="1" applyAlignment="1">
      <alignment horizontal="center"/>
    </xf>
    <xf numFmtId="1" fontId="32" fillId="0" borderId="19" xfId="15" applyNumberFormat="1" applyFont="1" applyBorder="1" applyAlignment="1">
      <alignment horizontal="center"/>
    </xf>
    <xf numFmtId="166" fontId="32" fillId="2" borderId="11" xfId="15" applyNumberFormat="1" applyFont="1" applyFill="1" applyBorder="1"/>
    <xf numFmtId="166" fontId="32" fillId="0" borderId="10" xfId="15" applyNumberFormat="1" applyFont="1" applyBorder="1"/>
    <xf numFmtId="166" fontId="32" fillId="0" borderId="9" xfId="15" applyNumberFormat="1" applyFont="1" applyBorder="1"/>
    <xf numFmtId="166" fontId="32" fillId="0" borderId="11" xfId="15" applyNumberFormat="1" applyFont="1" applyBorder="1"/>
    <xf numFmtId="166" fontId="32" fillId="0" borderId="12" xfId="15" applyNumberFormat="1" applyFont="1" applyBorder="1"/>
    <xf numFmtId="166" fontId="32" fillId="2" borderId="10" xfId="15" applyNumberFormat="1" applyFont="1" applyFill="1" applyBorder="1"/>
    <xf numFmtId="166" fontId="32" fillId="2" borderId="9" xfId="15" applyNumberFormat="1" applyFont="1" applyFill="1" applyBorder="1"/>
    <xf numFmtId="166" fontId="32" fillId="2" borderId="12" xfId="15" applyNumberFormat="1" applyFont="1" applyFill="1" applyBorder="1"/>
    <xf numFmtId="166" fontId="34" fillId="2" borderId="10" xfId="15" applyNumberFormat="1" applyFont="1" applyFill="1" applyBorder="1"/>
    <xf numFmtId="166" fontId="32" fillId="8" borderId="11" xfId="15" applyNumberFormat="1" applyFont="1" applyFill="1" applyBorder="1"/>
    <xf numFmtId="166" fontId="32" fillId="8" borderId="10" xfId="15" applyNumberFormat="1" applyFont="1" applyFill="1" applyBorder="1"/>
    <xf numFmtId="2" fontId="32" fillId="0" borderId="10" xfId="15" applyNumberFormat="1" applyFont="1" applyBorder="1"/>
    <xf numFmtId="166" fontId="32" fillId="8" borderId="9" xfId="15" applyNumberFormat="1" applyFont="1" applyFill="1" applyBorder="1"/>
    <xf numFmtId="166" fontId="32" fillId="8" borderId="12" xfId="15" applyNumberFormat="1" applyFont="1" applyFill="1" applyBorder="1"/>
    <xf numFmtId="2" fontId="32" fillId="0" borderId="11" xfId="15" applyNumberFormat="1" applyFont="1" applyBorder="1"/>
    <xf numFmtId="166" fontId="32" fillId="0" borderId="7" xfId="15" applyNumberFormat="1" applyFont="1" applyBorder="1"/>
    <xf numFmtId="166" fontId="32" fillId="0" borderId="6" xfId="15" applyNumberFormat="1" applyFont="1" applyBorder="1"/>
    <xf numFmtId="166" fontId="32" fillId="0" borderId="5" xfId="15" applyNumberFormat="1" applyFont="1" applyBorder="1" applyProtection="1">
      <protection locked="0"/>
    </xf>
    <xf numFmtId="166" fontId="32" fillId="0" borderId="7" xfId="15" applyNumberFormat="1" applyFont="1" applyBorder="1" applyProtection="1">
      <protection locked="0"/>
    </xf>
    <xf numFmtId="166" fontId="32" fillId="0" borderId="6" xfId="15" applyNumberFormat="1" applyFont="1" applyBorder="1" applyProtection="1">
      <protection locked="0"/>
    </xf>
    <xf numFmtId="166" fontId="32" fillId="0" borderId="8" xfId="15" applyNumberFormat="1" applyFont="1" applyBorder="1"/>
    <xf numFmtId="166" fontId="32" fillId="0" borderId="5" xfId="15" applyNumberFormat="1" applyFont="1" applyBorder="1"/>
    <xf numFmtId="4" fontId="33" fillId="0" borderId="0" xfId="15" applyNumberFormat="1" applyFont="1" applyAlignment="1">
      <alignment horizontal="center"/>
    </xf>
    <xf numFmtId="4" fontId="33" fillId="0" borderId="0" xfId="15" applyNumberFormat="1" applyFont="1"/>
    <xf numFmtId="4" fontId="32" fillId="0" borderId="0" xfId="15" applyNumberFormat="1" applyFont="1" applyAlignment="1">
      <alignment horizontal="center"/>
    </xf>
    <xf numFmtId="4" fontId="33" fillId="0" borderId="4" xfId="15" applyNumberFormat="1" applyFont="1" applyBorder="1"/>
    <xf numFmtId="4" fontId="32" fillId="0" borderId="4" xfId="15" applyNumberFormat="1" applyFont="1" applyBorder="1" applyAlignment="1">
      <alignment horizontal="center"/>
    </xf>
    <xf numFmtId="4" fontId="33" fillId="0" borderId="3" xfId="15" applyNumberFormat="1" applyFont="1" applyBorder="1" applyAlignment="1">
      <alignment horizontal="center"/>
    </xf>
    <xf numFmtId="4" fontId="32" fillId="0" borderId="24" xfId="15" applyNumberFormat="1" applyFont="1" applyBorder="1" applyAlignment="1">
      <alignment horizontal="center"/>
    </xf>
    <xf numFmtId="2" fontId="33" fillId="0" borderId="0" xfId="15" applyNumberFormat="1" applyFont="1" applyAlignment="1">
      <alignment horizontal="center"/>
    </xf>
    <xf numFmtId="2" fontId="32" fillId="0" borderId="24" xfId="15" applyNumberFormat="1" applyFont="1" applyBorder="1" applyAlignment="1">
      <alignment horizontal="center"/>
    </xf>
    <xf numFmtId="4" fontId="32" fillId="0" borderId="0" xfId="15" applyNumberFormat="1" applyFont="1"/>
    <xf numFmtId="2" fontId="33" fillId="0" borderId="0" xfId="15" applyNumberFormat="1" applyFont="1" applyAlignment="1">
      <alignment horizontal="left"/>
    </xf>
    <xf numFmtId="2" fontId="33" fillId="0" borderId="11" xfId="15" applyNumberFormat="1" applyFont="1" applyBorder="1" applyAlignment="1">
      <alignment horizontal="center"/>
    </xf>
    <xf numFmtId="0" fontId="33" fillId="0" borderId="12" xfId="15" applyFont="1" applyBorder="1"/>
    <xf numFmtId="4" fontId="32" fillId="0" borderId="9" xfId="15" applyNumberFormat="1" applyFont="1" applyBorder="1" applyAlignment="1">
      <alignment horizontal="right"/>
    </xf>
    <xf numFmtId="1" fontId="32" fillId="0" borderId="0" xfId="15" applyNumberFormat="1" applyFont="1" applyAlignment="1">
      <alignment horizontal="right"/>
    </xf>
    <xf numFmtId="4" fontId="32" fillId="0" borderId="12" xfId="15" applyNumberFormat="1" applyFont="1" applyBorder="1"/>
    <xf numFmtId="4" fontId="33" fillId="0" borderId="11" xfId="15" applyNumberFormat="1" applyFont="1" applyBorder="1" applyAlignment="1">
      <alignment horizontal="center"/>
    </xf>
    <xf numFmtId="4" fontId="33" fillId="0" borderId="12" xfId="15" applyNumberFormat="1" applyFont="1" applyBorder="1"/>
    <xf numFmtId="4" fontId="32" fillId="0" borderId="10" xfId="15" applyNumberFormat="1" applyFont="1" applyBorder="1"/>
    <xf numFmtId="4" fontId="33" fillId="0" borderId="12" xfId="15" applyNumberFormat="1" applyFont="1" applyBorder="1" applyAlignment="1">
      <alignment horizontal="left"/>
    </xf>
    <xf numFmtId="4" fontId="32" fillId="0" borderId="7" xfId="15" applyNumberFormat="1" applyFont="1" applyBorder="1" applyAlignment="1">
      <alignment horizontal="center"/>
    </xf>
    <xf numFmtId="4" fontId="33" fillId="0" borderId="8" xfId="15" applyNumberFormat="1" applyFont="1" applyBorder="1"/>
    <xf numFmtId="4" fontId="33" fillId="0" borderId="15" xfId="15" applyNumberFormat="1" applyFont="1" applyBorder="1" applyAlignment="1">
      <alignment horizontal="center"/>
    </xf>
    <xf numFmtId="4" fontId="33" fillId="0" borderId="55" xfId="15" applyNumberFormat="1" applyFont="1" applyBorder="1"/>
    <xf numFmtId="4" fontId="32" fillId="0" borderId="60" xfId="15" applyNumberFormat="1" applyFont="1" applyBorder="1" applyAlignment="1">
      <alignment horizontal="right"/>
    </xf>
    <xf numFmtId="10" fontId="33" fillId="0" borderId="11" xfId="15" applyNumberFormat="1" applyFont="1" applyBorder="1" applyAlignment="1">
      <alignment horizontal="center"/>
    </xf>
    <xf numFmtId="4" fontId="33" fillId="0" borderId="53" xfId="15" applyNumberFormat="1" applyFont="1" applyBorder="1"/>
    <xf numFmtId="4" fontId="32" fillId="0" borderId="48" xfId="15" applyNumberFormat="1" applyFont="1" applyBorder="1" applyAlignment="1">
      <alignment horizontal="right"/>
    </xf>
    <xf numFmtId="4" fontId="33" fillId="0" borderId="7" xfId="15" applyNumberFormat="1" applyFont="1" applyBorder="1" applyAlignment="1">
      <alignment horizontal="center"/>
    </xf>
    <xf numFmtId="4" fontId="33" fillId="0" borderId="18" xfId="15" applyNumberFormat="1" applyFont="1" applyBorder="1"/>
    <xf numFmtId="4" fontId="33" fillId="0" borderId="49" xfId="15" applyNumberFormat="1" applyFont="1" applyBorder="1" applyAlignment="1">
      <alignment horizontal="right"/>
    </xf>
    <xf numFmtId="1" fontId="33" fillId="0" borderId="0" xfId="15" applyNumberFormat="1" applyFont="1" applyAlignment="1">
      <alignment horizontal="right"/>
    </xf>
    <xf numFmtId="4" fontId="33" fillId="0" borderId="2" xfId="15" applyNumberFormat="1" applyFont="1" applyBorder="1"/>
    <xf numFmtId="4" fontId="33" fillId="0" borderId="24" xfId="15" applyNumberFormat="1" applyFont="1" applyBorder="1" applyAlignment="1">
      <alignment horizontal="right"/>
    </xf>
    <xf numFmtId="2" fontId="33" fillId="0" borderId="2" xfId="15" applyNumberFormat="1" applyFont="1" applyBorder="1"/>
    <xf numFmtId="2" fontId="33" fillId="0" borderId="0" xfId="15" applyNumberFormat="1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50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4" xfId="0" applyFont="1" applyBorder="1" applyAlignment="1">
      <alignment vertical="center"/>
    </xf>
    <xf numFmtId="4" fontId="4" fillId="0" borderId="55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53" xfId="0" applyFont="1" applyBorder="1" applyAlignment="1">
      <alignment horizontal="left" vertical="center"/>
    </xf>
    <xf numFmtId="4" fontId="4" fillId="0" borderId="24" xfId="0" applyNumberFormat="1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2" fillId="0" borderId="55" xfId="0" applyFont="1" applyBorder="1" applyAlignment="1">
      <alignment vertical="center"/>
    </xf>
    <xf numFmtId="4" fontId="4" fillId="0" borderId="60" xfId="0" applyNumberFormat="1" applyFont="1" applyBorder="1" applyAlignment="1">
      <alignment horizontal="center" vertical="center"/>
    </xf>
    <xf numFmtId="2" fontId="2" fillId="0" borderId="59" xfId="0" applyNumberFormat="1" applyFont="1" applyBorder="1" applyAlignment="1">
      <alignment horizontal="right" vertical="center"/>
    </xf>
    <xf numFmtId="2" fontId="2" fillId="0" borderId="14" xfId="0" applyNumberFormat="1" applyFont="1" applyBorder="1" applyAlignment="1">
      <alignment horizontal="right" vertical="center"/>
    </xf>
    <xf numFmtId="2" fontId="2" fillId="0" borderId="13" xfId="0" applyNumberFormat="1" applyFont="1" applyBorder="1" applyAlignment="1">
      <alignment horizontal="right" vertical="center"/>
    </xf>
    <xf numFmtId="2" fontId="2" fillId="0" borderId="55" xfId="0" applyNumberFormat="1" applyFont="1" applyBorder="1" applyAlignment="1">
      <alignment horizontal="right" vertical="center"/>
    </xf>
    <xf numFmtId="2" fontId="2" fillId="0" borderId="15" xfId="0" applyNumberFormat="1" applyFont="1" applyBorder="1" applyAlignment="1">
      <alignment horizontal="right" vertical="center"/>
    </xf>
    <xf numFmtId="2" fontId="2" fillId="0" borderId="31" xfId="0" applyNumberFormat="1" applyFont="1" applyBorder="1" applyAlignment="1">
      <alignment horizontal="right" vertical="center"/>
    </xf>
    <xf numFmtId="2" fontId="2" fillId="0" borderId="56" xfId="0" applyNumberFormat="1" applyFont="1" applyBorder="1" applyAlignment="1">
      <alignment horizontal="right" vertical="center"/>
    </xf>
    <xf numFmtId="0" fontId="2" fillId="0" borderId="53" xfId="0" applyFont="1" applyBorder="1" applyAlignment="1">
      <alignment vertical="center"/>
    </xf>
    <xf numFmtId="4" fontId="4" fillId="0" borderId="48" xfId="0" applyNumberFormat="1" applyFont="1" applyBorder="1" applyAlignment="1">
      <alignment horizontal="center" vertical="center"/>
    </xf>
    <xf numFmtId="2" fontId="2" fillId="0" borderId="12" xfId="0" applyNumberFormat="1" applyFont="1" applyBorder="1" applyAlignment="1">
      <alignment horizontal="right" vertical="center"/>
    </xf>
    <xf numFmtId="2" fontId="2" fillId="0" borderId="10" xfId="0" applyNumberFormat="1" applyFont="1" applyBorder="1" applyAlignment="1">
      <alignment horizontal="right" vertical="center"/>
    </xf>
    <xf numFmtId="2" fontId="2" fillId="0" borderId="9" xfId="0" applyNumberFormat="1" applyFont="1" applyBorder="1" applyAlignment="1">
      <alignment horizontal="right" vertical="center"/>
    </xf>
    <xf numFmtId="2" fontId="2" fillId="0" borderId="53" xfId="0" applyNumberFormat="1" applyFont="1" applyBorder="1" applyAlignment="1">
      <alignment horizontal="right" vertical="center"/>
    </xf>
    <xf numFmtId="2" fontId="2" fillId="0" borderId="11" xfId="0" applyNumberFormat="1" applyFont="1" applyBorder="1" applyAlignment="1">
      <alignment horizontal="right" vertical="center"/>
    </xf>
    <xf numFmtId="2" fontId="2" fillId="0" borderId="42" xfId="0" applyNumberFormat="1" applyFont="1" applyBorder="1" applyAlignment="1">
      <alignment horizontal="right" vertical="center"/>
    </xf>
    <xf numFmtId="2" fontId="2" fillId="0" borderId="75" xfId="0" applyNumberFormat="1" applyFont="1" applyBorder="1" applyAlignment="1">
      <alignment horizontal="right" vertical="center"/>
    </xf>
    <xf numFmtId="4" fontId="4" fillId="0" borderId="71" xfId="0" applyNumberFormat="1" applyFont="1" applyBorder="1" applyAlignment="1">
      <alignment horizontal="center" vertical="center"/>
    </xf>
    <xf numFmtId="2" fontId="2" fillId="0" borderId="8" xfId="0" applyNumberFormat="1" applyFont="1" applyBorder="1" applyAlignment="1">
      <alignment horizontal="right" vertical="center"/>
    </xf>
    <xf numFmtId="2" fontId="2" fillId="0" borderId="6" xfId="0" applyNumberFormat="1" applyFont="1" applyBorder="1" applyAlignment="1">
      <alignment horizontal="right" vertical="center"/>
    </xf>
    <xf numFmtId="2" fontId="2" fillId="0" borderId="5" xfId="0" applyNumberFormat="1" applyFont="1" applyBorder="1" applyAlignment="1">
      <alignment horizontal="right" vertical="center"/>
    </xf>
    <xf numFmtId="2" fontId="2" fillId="0" borderId="18" xfId="0" applyNumberFormat="1" applyFont="1" applyBorder="1" applyAlignment="1">
      <alignment horizontal="right" vertical="center"/>
    </xf>
    <xf numFmtId="2" fontId="2" fillId="0" borderId="7" xfId="0" applyNumberFormat="1" applyFont="1" applyBorder="1" applyAlignment="1">
      <alignment horizontal="right" vertical="center"/>
    </xf>
    <xf numFmtId="2" fontId="2" fillId="0" borderId="20" xfId="0" applyNumberFormat="1" applyFont="1" applyBorder="1" applyAlignment="1">
      <alignment horizontal="right" vertical="center"/>
    </xf>
    <xf numFmtId="2" fontId="2" fillId="0" borderId="76" xfId="0" applyNumberFormat="1" applyFont="1" applyBorder="1" applyAlignment="1">
      <alignment horizontal="right" vertical="center"/>
    </xf>
    <xf numFmtId="0" fontId="2" fillId="0" borderId="45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77" xfId="0" applyFont="1" applyBorder="1" applyAlignment="1">
      <alignment horizontal="center" vertical="center"/>
    </xf>
    <xf numFmtId="0" fontId="2" fillId="0" borderId="60" xfId="0" applyFont="1" applyBorder="1" applyAlignment="1">
      <alignment horizontal="center" vertical="center"/>
    </xf>
    <xf numFmtId="4" fontId="2" fillId="0" borderId="48" xfId="0" applyNumberFormat="1" applyFont="1" applyBorder="1" applyAlignment="1">
      <alignment horizontal="center" vertical="center"/>
    </xf>
    <xf numFmtId="4" fontId="2" fillId="0" borderId="24" xfId="0" applyNumberFormat="1" applyFont="1" applyBorder="1" applyAlignment="1">
      <alignment horizontal="center" vertical="center"/>
    </xf>
    <xf numFmtId="0" fontId="4" fillId="11" borderId="28" xfId="0" applyFont="1" applyFill="1" applyBorder="1" applyAlignment="1">
      <alignment horizontal="center" vertical="center"/>
    </xf>
    <xf numFmtId="0" fontId="4" fillId="11" borderId="27" xfId="0" applyFont="1" applyFill="1" applyBorder="1" applyAlignment="1">
      <alignment horizontal="center" vertical="center"/>
    </xf>
    <xf numFmtId="0" fontId="4" fillId="11" borderId="74" xfId="0" applyFont="1" applyFill="1" applyBorder="1" applyAlignment="1">
      <alignment horizontal="center" vertical="center"/>
    </xf>
    <xf numFmtId="0" fontId="4" fillId="11" borderId="50" xfId="0" applyFont="1" applyFill="1" applyBorder="1" applyAlignment="1">
      <alignment horizontal="center" vertical="center"/>
    </xf>
    <xf numFmtId="9" fontId="2" fillId="0" borderId="15" xfId="21" applyFont="1" applyFill="1" applyBorder="1" applyAlignment="1">
      <alignment horizontal="right" vertical="center"/>
    </xf>
    <xf numFmtId="9" fontId="2" fillId="0" borderId="14" xfId="21" applyFont="1" applyFill="1" applyBorder="1" applyAlignment="1">
      <alignment horizontal="right" vertical="center"/>
    </xf>
    <xf numFmtId="9" fontId="2" fillId="0" borderId="14" xfId="21" applyFont="1" applyFill="1" applyBorder="1" applyAlignment="1">
      <alignment vertical="center"/>
    </xf>
    <xf numFmtId="9" fontId="2" fillId="0" borderId="55" xfId="21" applyFont="1" applyFill="1" applyBorder="1" applyAlignment="1">
      <alignment horizontal="right" vertical="center"/>
    </xf>
    <xf numFmtId="9" fontId="2" fillId="0" borderId="13" xfId="21" applyFont="1" applyFill="1" applyBorder="1" applyAlignment="1">
      <alignment vertical="center"/>
    </xf>
    <xf numFmtId="9" fontId="2" fillId="0" borderId="59" xfId="21" applyFont="1" applyFill="1" applyBorder="1" applyAlignment="1">
      <alignment horizontal="right" vertical="center"/>
    </xf>
    <xf numFmtId="9" fontId="2" fillId="0" borderId="15" xfId="21" applyFont="1" applyFill="1" applyBorder="1" applyAlignment="1">
      <alignment vertical="center"/>
    </xf>
    <xf numFmtId="9" fontId="2" fillId="0" borderId="55" xfId="21" applyFont="1" applyFill="1" applyBorder="1" applyAlignment="1">
      <alignment vertical="center"/>
    </xf>
    <xf numFmtId="9" fontId="2" fillId="0" borderId="59" xfId="21" applyFont="1" applyFill="1" applyBorder="1" applyAlignment="1">
      <alignment vertical="center"/>
    </xf>
    <xf numFmtId="9" fontId="2" fillId="0" borderId="60" xfId="21" applyFont="1" applyFill="1" applyBorder="1" applyAlignment="1">
      <alignment vertical="center"/>
    </xf>
    <xf numFmtId="9" fontId="2" fillId="0" borderId="11" xfId="21" applyFont="1" applyFill="1" applyBorder="1" applyAlignment="1">
      <alignment vertical="center"/>
    </xf>
    <xf numFmtId="9" fontId="2" fillId="0" borderId="10" xfId="21" applyFont="1" applyFill="1" applyBorder="1" applyAlignment="1">
      <alignment vertical="center"/>
    </xf>
    <xf numFmtId="9" fontId="2" fillId="0" borderId="10" xfId="21" applyFont="1" applyFill="1" applyBorder="1" applyAlignment="1">
      <alignment horizontal="right" vertical="center"/>
    </xf>
    <xf numFmtId="9" fontId="2" fillId="0" borderId="53" xfId="21" applyFont="1" applyFill="1" applyBorder="1" applyAlignment="1">
      <alignment horizontal="right" vertical="center"/>
    </xf>
    <xf numFmtId="9" fontId="2" fillId="0" borderId="11" xfId="21" applyFont="1" applyFill="1" applyBorder="1" applyAlignment="1">
      <alignment horizontal="right" vertical="center"/>
    </xf>
    <xf numFmtId="9" fontId="2" fillId="0" borderId="9" xfId="21" applyFont="1" applyFill="1" applyBorder="1" applyAlignment="1">
      <alignment horizontal="right" vertical="center"/>
    </xf>
    <xf numFmtId="9" fontId="2" fillId="0" borderId="12" xfId="21" applyFont="1" applyFill="1" applyBorder="1" applyAlignment="1">
      <alignment vertical="center"/>
    </xf>
    <xf numFmtId="9" fontId="2" fillId="0" borderId="54" xfId="21" applyFont="1" applyFill="1" applyBorder="1" applyAlignment="1">
      <alignment vertical="center"/>
    </xf>
    <xf numFmtId="9" fontId="2" fillId="0" borderId="16" xfId="21" applyFont="1" applyFill="1" applyBorder="1" applyAlignment="1">
      <alignment vertical="center"/>
    </xf>
    <xf numFmtId="9" fontId="2" fillId="0" borderId="53" xfId="21" applyFont="1" applyFill="1" applyBorder="1" applyAlignment="1">
      <alignment vertical="center"/>
    </xf>
    <xf numFmtId="9" fontId="2" fillId="0" borderId="41" xfId="21" applyFont="1" applyFill="1" applyBorder="1" applyAlignment="1">
      <alignment vertical="center"/>
    </xf>
    <xf numFmtId="9" fontId="2" fillId="0" borderId="58" xfId="21" applyFont="1" applyFill="1" applyBorder="1" applyAlignment="1">
      <alignment vertical="center"/>
    </xf>
    <xf numFmtId="9" fontId="2" fillId="0" borderId="9" xfId="21" applyFont="1" applyFill="1" applyBorder="1" applyAlignment="1">
      <alignment vertical="center"/>
    </xf>
    <xf numFmtId="9" fontId="2" fillId="0" borderId="42" xfId="21" applyFont="1" applyFill="1" applyBorder="1" applyAlignment="1">
      <alignment vertical="center"/>
    </xf>
    <xf numFmtId="9" fontId="2" fillId="0" borderId="7" xfId="21" applyFont="1" applyFill="1" applyBorder="1" applyAlignment="1">
      <alignment vertical="center"/>
    </xf>
    <xf numFmtId="9" fontId="2" fillId="0" borderId="6" xfId="21" applyFont="1" applyFill="1" applyBorder="1" applyAlignment="1">
      <alignment vertical="center"/>
    </xf>
    <xf numFmtId="9" fontId="2" fillId="0" borderId="18" xfId="21" applyFont="1" applyFill="1" applyBorder="1" applyAlignment="1">
      <alignment vertical="center"/>
    </xf>
    <xf numFmtId="9" fontId="2" fillId="0" borderId="5" xfId="21" applyFont="1" applyFill="1" applyBorder="1" applyAlignment="1">
      <alignment vertical="center"/>
    </xf>
    <xf numFmtId="9" fontId="2" fillId="0" borderId="8" xfId="21" applyFont="1" applyFill="1" applyBorder="1" applyAlignment="1">
      <alignment vertical="center"/>
    </xf>
    <xf numFmtId="9" fontId="2" fillId="0" borderId="24" xfId="21" applyFont="1" applyFill="1" applyBorder="1" applyAlignment="1">
      <alignment vertical="center"/>
    </xf>
    <xf numFmtId="44" fontId="2" fillId="0" borderId="60" xfId="20" applyFont="1" applyFill="1" applyBorder="1" applyAlignment="1">
      <alignment vertical="center"/>
    </xf>
    <xf numFmtId="4" fontId="2" fillId="11" borderId="42" xfId="0" applyNumberFormat="1" applyFont="1" applyFill="1" applyBorder="1" applyAlignment="1">
      <alignment horizontal="center" vertical="center"/>
    </xf>
    <xf numFmtId="4" fontId="2" fillId="11" borderId="48" xfId="0" applyNumberFormat="1" applyFont="1" applyFill="1" applyBorder="1" applyAlignment="1">
      <alignment horizontal="center" vertical="center"/>
    </xf>
    <xf numFmtId="10" fontId="2" fillId="0" borderId="11" xfId="21" applyNumberFormat="1" applyFont="1" applyFill="1" applyBorder="1" applyAlignment="1">
      <alignment horizontal="center" vertical="center"/>
    </xf>
    <xf numFmtId="10" fontId="2" fillId="0" borderId="48" xfId="21" applyNumberFormat="1" applyFont="1" applyFill="1" applyBorder="1" applyAlignment="1">
      <alignment horizontal="center" vertical="center"/>
    </xf>
    <xf numFmtId="9" fontId="2" fillId="0" borderId="49" xfId="21" applyFont="1" applyFill="1" applyBorder="1" applyAlignment="1">
      <alignment horizontal="center" vertical="center"/>
    </xf>
    <xf numFmtId="9" fontId="2" fillId="11" borderId="48" xfId="21" applyFont="1" applyFill="1" applyBorder="1" applyAlignment="1">
      <alignment horizontal="center" vertical="center"/>
    </xf>
    <xf numFmtId="10" fontId="2" fillId="0" borderId="80" xfId="21" applyNumberFormat="1" applyFont="1" applyFill="1" applyBorder="1" applyAlignment="1">
      <alignment horizontal="center" vertical="center"/>
    </xf>
    <xf numFmtId="9" fontId="2" fillId="11" borderId="71" xfId="21" applyFont="1" applyFill="1" applyBorder="1" applyAlignment="1">
      <alignment horizontal="center" vertical="center"/>
    </xf>
    <xf numFmtId="2" fontId="14" fillId="12" borderId="53" xfId="15" applyNumberFormat="1" applyFont="1" applyFill="1" applyBorder="1" applyAlignment="1">
      <alignment horizontal="centerContinuous" vertical="center"/>
    </xf>
    <xf numFmtId="2" fontId="14" fillId="12" borderId="43" xfId="15" applyNumberFormat="1" applyFont="1" applyFill="1" applyBorder="1" applyAlignment="1">
      <alignment horizontal="centerContinuous" vertical="center"/>
    </xf>
    <xf numFmtId="2" fontId="14" fillId="12" borderId="12" xfId="15" applyNumberFormat="1" applyFont="1" applyFill="1" applyBorder="1" applyAlignment="1">
      <alignment horizontal="centerContinuous" vertical="center"/>
    </xf>
    <xf numFmtId="2" fontId="10" fillId="0" borderId="0" xfId="15" applyNumberFormat="1" applyFont="1"/>
    <xf numFmtId="4" fontId="1" fillId="13" borderId="0" xfId="15" applyNumberFormat="1" applyFill="1" applyAlignment="1">
      <alignment vertical="center"/>
    </xf>
    <xf numFmtId="4" fontId="14" fillId="13" borderId="53" xfId="15" applyNumberFormat="1" applyFont="1" applyFill="1" applyBorder="1" applyAlignment="1">
      <alignment horizontal="centerContinuous" vertical="center"/>
    </xf>
    <xf numFmtId="4" fontId="14" fillId="13" borderId="43" xfId="15" applyNumberFormat="1" applyFont="1" applyFill="1" applyBorder="1" applyAlignment="1">
      <alignment horizontal="centerContinuous" vertical="center"/>
    </xf>
    <xf numFmtId="4" fontId="14" fillId="13" borderId="12" xfId="15" applyNumberFormat="1" applyFont="1" applyFill="1" applyBorder="1" applyAlignment="1">
      <alignment horizontal="centerContinuous" vertical="center"/>
    </xf>
    <xf numFmtId="4" fontId="1" fillId="13" borderId="0" xfId="15" applyNumberFormat="1" applyFill="1"/>
    <xf numFmtId="4" fontId="14" fillId="13" borderId="0" xfId="15" applyNumberFormat="1" applyFont="1" applyFill="1" applyAlignment="1">
      <alignment vertical="center"/>
    </xf>
    <xf numFmtId="4" fontId="13" fillId="13" borderId="0" xfId="18" applyNumberFormat="1" applyFill="1" applyAlignment="1">
      <alignment vertical="center"/>
    </xf>
    <xf numFmtId="4" fontId="14" fillId="13" borderId="0" xfId="18" applyNumberFormat="1" applyFont="1" applyFill="1" applyAlignment="1">
      <alignment vertical="center"/>
    </xf>
    <xf numFmtId="4" fontId="14" fillId="13" borderId="0" xfId="15" applyNumberFormat="1" applyFont="1" applyFill="1"/>
    <xf numFmtId="4" fontId="15" fillId="13" borderId="0" xfId="15" applyNumberFormat="1" applyFont="1" applyFill="1"/>
    <xf numFmtId="4" fontId="14" fillId="13" borderId="0" xfId="15" applyNumberFormat="1" applyFont="1" applyFill="1" applyAlignment="1">
      <alignment horizontal="center" vertical="center"/>
    </xf>
    <xf numFmtId="4" fontId="14" fillId="13" borderId="0" xfId="15" quotePrefix="1" applyNumberFormat="1" applyFont="1" applyFill="1" applyAlignment="1">
      <alignment horizontal="left" vertical="center"/>
    </xf>
    <xf numFmtId="4" fontId="14" fillId="13" borderId="0" xfId="15" applyNumberFormat="1" applyFont="1" applyFill="1" applyAlignment="1">
      <alignment horizontal="right"/>
    </xf>
    <xf numFmtId="4" fontId="16" fillId="13" borderId="53" xfId="15" applyNumberFormat="1" applyFont="1" applyFill="1" applyBorder="1"/>
    <xf numFmtId="4" fontId="16" fillId="13" borderId="43" xfId="15" applyNumberFormat="1" applyFont="1" applyFill="1" applyBorder="1"/>
    <xf numFmtId="4" fontId="16" fillId="13" borderId="12" xfId="15" applyNumberFormat="1" applyFont="1" applyFill="1" applyBorder="1"/>
    <xf numFmtId="4" fontId="14" fillId="13" borderId="37" xfId="15" applyNumberFormat="1" applyFont="1" applyFill="1" applyBorder="1" applyAlignment="1">
      <alignment horizontal="left" vertical="center"/>
    </xf>
    <xf numFmtId="4" fontId="14" fillId="12" borderId="0" xfId="15" applyNumberFormat="1" applyFont="1" applyFill="1" applyAlignment="1">
      <alignment vertical="center"/>
    </xf>
    <xf numFmtId="4" fontId="14" fillId="12" borderId="53" xfId="15" quotePrefix="1" applyNumberFormat="1" applyFont="1" applyFill="1" applyBorder="1" applyAlignment="1">
      <alignment horizontal="centerContinuous" vertical="center"/>
    </xf>
    <xf numFmtId="4" fontId="14" fillId="12" borderId="43" xfId="15" applyNumberFormat="1" applyFont="1" applyFill="1" applyBorder="1" applyAlignment="1">
      <alignment horizontal="centerContinuous" vertical="center"/>
    </xf>
    <xf numFmtId="4" fontId="14" fillId="12" borderId="12" xfId="15" applyNumberFormat="1" applyFont="1" applyFill="1" applyBorder="1" applyAlignment="1">
      <alignment horizontal="centerContinuous" vertical="center"/>
    </xf>
    <xf numFmtId="4" fontId="1" fillId="12" borderId="0" xfId="15" applyNumberFormat="1" applyFill="1"/>
    <xf numFmtId="4" fontId="14" fillId="12" borderId="0" xfId="15" applyNumberFormat="1" applyFont="1" applyFill="1" applyAlignment="1">
      <alignment horizontal="right"/>
    </xf>
    <xf numFmtId="4" fontId="13" fillId="12" borderId="0" xfId="18" applyNumberFormat="1" applyFill="1" applyAlignment="1">
      <alignment vertical="center"/>
    </xf>
    <xf numFmtId="4" fontId="14" fillId="12" borderId="0" xfId="15" applyNumberFormat="1" applyFont="1" applyFill="1"/>
    <xf numFmtId="4" fontId="14" fillId="12" borderId="0" xfId="15" applyNumberFormat="1" applyFont="1" applyFill="1" applyAlignment="1">
      <alignment horizontal="right" vertical="center"/>
    </xf>
    <xf numFmtId="4" fontId="1" fillId="12" borderId="0" xfId="15" applyNumberFormat="1" applyFill="1" applyAlignment="1">
      <alignment vertical="center"/>
    </xf>
    <xf numFmtId="4" fontId="14" fillId="12" borderId="0" xfId="18" applyNumberFormat="1" applyFont="1" applyFill="1" applyAlignment="1">
      <alignment vertical="center"/>
    </xf>
    <xf numFmtId="4" fontId="14" fillId="12" borderId="53" xfId="15" applyNumberFormat="1" applyFont="1" applyFill="1" applyBorder="1" applyAlignment="1">
      <alignment horizontal="centerContinuous" vertical="center"/>
    </xf>
    <xf numFmtId="4" fontId="14" fillId="12" borderId="12" xfId="15" applyNumberFormat="1" applyFont="1" applyFill="1" applyBorder="1"/>
    <xf numFmtId="0" fontId="30" fillId="0" borderId="72" xfId="0" applyFont="1" applyBorder="1" applyAlignment="1">
      <alignment horizontal="left" vertical="center"/>
    </xf>
    <xf numFmtId="0" fontId="30" fillId="0" borderId="34" xfId="0" applyFont="1" applyBorder="1" applyAlignment="1">
      <alignment horizontal="left" vertical="center"/>
    </xf>
    <xf numFmtId="0" fontId="30" fillId="0" borderId="0" xfId="0" applyFont="1" applyAlignment="1">
      <alignment horizontal="center" vertical="center"/>
    </xf>
    <xf numFmtId="0" fontId="30" fillId="0" borderId="10" xfId="0" applyFont="1" applyBorder="1" applyAlignment="1">
      <alignment horizontal="center" vertical="center"/>
    </xf>
    <xf numFmtId="0" fontId="30" fillId="0" borderId="35" xfId="0" applyFont="1" applyBorder="1" applyAlignment="1">
      <alignment horizontal="center" vertical="center"/>
    </xf>
    <xf numFmtId="0" fontId="30" fillId="0" borderId="53" xfId="0" applyFont="1" applyBorder="1" applyAlignment="1">
      <alignment horizontal="left" vertical="center"/>
    </xf>
    <xf numFmtId="0" fontId="30" fillId="0" borderId="12" xfId="0" applyFont="1" applyBorder="1" applyAlignment="1">
      <alignment horizontal="left" vertical="center"/>
    </xf>
    <xf numFmtId="0" fontId="30" fillId="0" borderId="53" xfId="0" applyFont="1" applyBorder="1" applyAlignment="1">
      <alignment vertical="center"/>
    </xf>
    <xf numFmtId="0" fontId="30" fillId="0" borderId="12" xfId="0" applyFont="1" applyBorder="1" applyAlignment="1">
      <alignment vertical="center"/>
    </xf>
    <xf numFmtId="0" fontId="30" fillId="0" borderId="43" xfId="0" applyFont="1" applyBorder="1" applyAlignment="1">
      <alignment horizontal="left" vertical="center"/>
    </xf>
    <xf numFmtId="44" fontId="30" fillId="0" borderId="73" xfId="20" applyFont="1" applyBorder="1" applyAlignment="1">
      <alignment horizontal="center" vertical="center"/>
    </xf>
    <xf numFmtId="44" fontId="30" fillId="0" borderId="47" xfId="20" applyFont="1" applyBorder="1" applyAlignment="1">
      <alignment horizontal="center" vertical="center"/>
    </xf>
    <xf numFmtId="4" fontId="30" fillId="0" borderId="50" xfId="15" applyNumberFormat="1" applyFont="1" applyBorder="1" applyAlignment="1">
      <alignment horizontal="center" vertical="center"/>
    </xf>
    <xf numFmtId="4" fontId="30" fillId="0" borderId="51" xfId="15" applyNumberFormat="1" applyFont="1" applyBorder="1" applyAlignment="1">
      <alignment horizontal="center" vertical="center"/>
    </xf>
    <xf numFmtId="0" fontId="30" fillId="0" borderId="28" xfId="15" applyFont="1" applyBorder="1" applyAlignment="1">
      <alignment horizontal="center" vertical="center"/>
    </xf>
    <xf numFmtId="0" fontId="30" fillId="0" borderId="26" xfId="15" applyFont="1" applyBorder="1" applyAlignment="1">
      <alignment horizontal="center" vertical="center"/>
    </xf>
    <xf numFmtId="0" fontId="30" fillId="0" borderId="27" xfId="15" applyFont="1" applyBorder="1" applyAlignment="1">
      <alignment horizontal="center" vertical="center"/>
    </xf>
    <xf numFmtId="0" fontId="30" fillId="0" borderId="25" xfId="15" applyFont="1" applyBorder="1" applyAlignment="1">
      <alignment horizontal="center" vertical="center"/>
    </xf>
    <xf numFmtId="4" fontId="30" fillId="0" borderId="27" xfId="15" applyNumberFormat="1" applyFont="1" applyBorder="1" applyAlignment="1">
      <alignment horizontal="center" vertical="center"/>
    </xf>
    <xf numFmtId="4" fontId="30" fillId="0" borderId="25" xfId="15" applyNumberFormat="1" applyFont="1" applyBorder="1" applyAlignment="1">
      <alignment horizontal="center" vertical="center"/>
    </xf>
    <xf numFmtId="4" fontId="30" fillId="0" borderId="27" xfId="15" applyNumberFormat="1" applyFont="1" applyBorder="1" applyAlignment="1">
      <alignment horizontal="center" vertical="center" wrapText="1"/>
    </xf>
    <xf numFmtId="4" fontId="30" fillId="0" borderId="25" xfId="15" applyNumberFormat="1" applyFont="1" applyBorder="1" applyAlignment="1">
      <alignment horizontal="center" vertical="center" wrapText="1"/>
    </xf>
    <xf numFmtId="4" fontId="32" fillId="0" borderId="2" xfId="15" applyNumberFormat="1" applyFont="1" applyBorder="1" applyAlignment="1">
      <alignment horizontal="center"/>
    </xf>
    <xf numFmtId="4" fontId="32" fillId="0" borderId="1" xfId="15" applyNumberFormat="1" applyFont="1" applyBorder="1" applyAlignment="1">
      <alignment horizontal="center"/>
    </xf>
    <xf numFmtId="4" fontId="32" fillId="0" borderId="29" xfId="15" applyNumberFormat="1" applyFont="1" applyBorder="1" applyAlignment="1">
      <alignment horizontal="center"/>
    </xf>
    <xf numFmtId="10" fontId="32" fillId="0" borderId="2" xfId="15" applyNumberFormat="1" applyFont="1" applyBorder="1" applyAlignment="1">
      <alignment horizontal="center"/>
    </xf>
    <xf numFmtId="10" fontId="32" fillId="0" borderId="1" xfId="15" applyNumberFormat="1" applyFont="1" applyBorder="1" applyAlignment="1">
      <alignment horizontal="center"/>
    </xf>
    <xf numFmtId="10" fontId="32" fillId="0" borderId="29" xfId="15" applyNumberFormat="1" applyFont="1" applyBorder="1" applyAlignment="1">
      <alignment horizontal="center"/>
    </xf>
    <xf numFmtId="2" fontId="33" fillId="0" borderId="46" xfId="15" applyNumberFormat="1" applyFont="1" applyBorder="1" applyAlignment="1">
      <alignment horizontal="center"/>
    </xf>
    <xf numFmtId="2" fontId="33" fillId="0" borderId="4" xfId="15" applyNumberFormat="1" applyFont="1" applyBorder="1" applyAlignment="1">
      <alignment horizontal="center"/>
    </xf>
    <xf numFmtId="2" fontId="33" fillId="0" borderId="21" xfId="15" applyNumberFormat="1" applyFont="1" applyBorder="1" applyAlignment="1">
      <alignment horizontal="center"/>
    </xf>
    <xf numFmtId="1" fontId="33" fillId="0" borderId="31" xfId="15" applyNumberFormat="1" applyFont="1" applyBorder="1" applyAlignment="1">
      <alignment horizontal="center"/>
    </xf>
    <xf numFmtId="1" fontId="33" fillId="0" borderId="32" xfId="15" applyNumberFormat="1" applyFont="1" applyBorder="1" applyAlignment="1">
      <alignment horizontal="center"/>
    </xf>
    <xf numFmtId="1" fontId="33" fillId="0" borderId="56" xfId="15" applyNumberFormat="1" applyFont="1" applyBorder="1" applyAlignment="1">
      <alignment horizontal="center"/>
    </xf>
    <xf numFmtId="4" fontId="32" fillId="0" borderId="2" xfId="15" applyNumberFormat="1" applyFont="1" applyBorder="1" applyAlignment="1" applyProtection="1">
      <alignment horizontal="center"/>
      <protection locked="0"/>
    </xf>
    <xf numFmtId="4" fontId="32" fillId="0" borderId="1" xfId="15" applyNumberFormat="1" applyFont="1" applyBorder="1" applyAlignment="1" applyProtection="1">
      <alignment horizontal="center"/>
      <protection locked="0"/>
    </xf>
    <xf numFmtId="4" fontId="32" fillId="0" borderId="29" xfId="15" applyNumberFormat="1" applyFont="1" applyBorder="1" applyAlignment="1" applyProtection="1">
      <alignment horizontal="center"/>
      <protection locked="0"/>
    </xf>
    <xf numFmtId="4" fontId="32" fillId="0" borderId="61" xfId="15" applyNumberFormat="1" applyFont="1" applyBorder="1" applyAlignment="1" applyProtection="1">
      <alignment horizontal="center"/>
      <protection locked="0"/>
    </xf>
    <xf numFmtId="4" fontId="32" fillId="0" borderId="0" xfId="15" applyNumberFormat="1" applyFont="1" applyAlignment="1">
      <alignment horizontal="center"/>
    </xf>
    <xf numFmtId="4" fontId="32" fillId="0" borderId="4" xfId="15" applyNumberFormat="1" applyFont="1" applyBorder="1" applyAlignment="1">
      <alignment horizontal="center"/>
    </xf>
    <xf numFmtId="2" fontId="33" fillId="0" borderId="0" xfId="15" applyNumberFormat="1" applyFont="1" applyAlignment="1">
      <alignment horizontal="center"/>
    </xf>
    <xf numFmtId="1" fontId="33" fillId="0" borderId="2" xfId="15" applyNumberFormat="1" applyFont="1" applyBorder="1" applyAlignment="1">
      <alignment horizontal="center"/>
    </xf>
    <xf numFmtId="1" fontId="33" fillId="0" borderId="1" xfId="15" applyNumberFormat="1" applyFont="1" applyBorder="1" applyAlignment="1">
      <alignment horizontal="center"/>
    </xf>
    <xf numFmtId="1" fontId="33" fillId="0" borderId="29" xfId="15" applyNumberFormat="1" applyFont="1" applyBorder="1" applyAlignment="1">
      <alignment horizontal="center"/>
    </xf>
    <xf numFmtId="2" fontId="32" fillId="0" borderId="50" xfId="15" applyNumberFormat="1" applyFont="1" applyBorder="1" applyAlignment="1">
      <alignment horizontal="center" vertical="center"/>
    </xf>
    <xf numFmtId="2" fontId="32" fillId="0" borderId="51" xfId="15" applyNumberFormat="1" applyFont="1" applyBorder="1" applyAlignment="1">
      <alignment horizontal="center" vertical="center"/>
    </xf>
    <xf numFmtId="0" fontId="21" fillId="11" borderId="2" xfId="0" applyFont="1" applyFill="1" applyBorder="1" applyAlignment="1">
      <alignment horizontal="center" vertical="center"/>
    </xf>
    <xf numFmtId="0" fontId="21" fillId="11" borderId="1" xfId="0" applyFont="1" applyFill="1" applyBorder="1" applyAlignment="1">
      <alignment horizontal="center" vertical="center"/>
    </xf>
    <xf numFmtId="0" fontId="21" fillId="11" borderId="29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right" vertical="center"/>
    </xf>
    <xf numFmtId="0" fontId="4" fillId="0" borderId="32" xfId="0" applyFont="1" applyBorder="1" applyAlignment="1">
      <alignment horizontal="right" vertical="center"/>
    </xf>
    <xf numFmtId="0" fontId="4" fillId="0" borderId="78" xfId="0" applyFont="1" applyBorder="1" applyAlignment="1">
      <alignment horizontal="right" vertical="center"/>
    </xf>
    <xf numFmtId="0" fontId="4" fillId="0" borderId="42" xfId="0" applyFont="1" applyBorder="1" applyAlignment="1">
      <alignment horizontal="right" vertical="center"/>
    </xf>
    <xf numFmtId="0" fontId="4" fillId="0" borderId="43" xfId="0" applyFont="1" applyBorder="1" applyAlignment="1">
      <alignment horizontal="right" vertical="center"/>
    </xf>
    <xf numFmtId="0" fontId="4" fillId="0" borderId="75" xfId="0" applyFont="1" applyBorder="1" applyAlignment="1">
      <alignment horizontal="right" vertical="center"/>
    </xf>
    <xf numFmtId="4" fontId="2" fillId="0" borderId="42" xfId="0" applyNumberFormat="1" applyFont="1" applyBorder="1" applyAlignment="1">
      <alignment horizontal="center" vertical="center"/>
    </xf>
    <xf numFmtId="4" fontId="2" fillId="0" borderId="43" xfId="0" applyNumberFormat="1" applyFont="1" applyBorder="1" applyAlignment="1">
      <alignment horizontal="center" vertical="center"/>
    </xf>
    <xf numFmtId="4" fontId="2" fillId="0" borderId="75" xfId="0" applyNumberFormat="1" applyFont="1" applyBorder="1" applyAlignment="1">
      <alignment horizontal="center" vertical="center"/>
    </xf>
    <xf numFmtId="9" fontId="2" fillId="0" borderId="20" xfId="21" applyFont="1" applyFill="1" applyBorder="1" applyAlignment="1">
      <alignment horizontal="center" vertical="center"/>
    </xf>
    <xf numFmtId="9" fontId="2" fillId="0" borderId="19" xfId="21" applyFont="1" applyFill="1" applyBorder="1" applyAlignment="1">
      <alignment horizontal="center" vertical="center"/>
    </xf>
    <xf numFmtId="9" fontId="2" fillId="0" borderId="76" xfId="21" applyFont="1" applyFill="1" applyBorder="1" applyAlignment="1">
      <alignment horizontal="center" vertical="center"/>
    </xf>
    <xf numFmtId="0" fontId="4" fillId="0" borderId="20" xfId="0" applyFont="1" applyBorder="1" applyAlignment="1">
      <alignment horizontal="right" vertical="center"/>
    </xf>
    <xf numFmtId="0" fontId="4" fillId="0" borderId="19" xfId="0" applyFont="1" applyBorder="1" applyAlignment="1">
      <alignment horizontal="right" vertical="center"/>
    </xf>
    <xf numFmtId="0" fontId="4" fillId="0" borderId="76" xfId="0" applyFont="1" applyBorder="1" applyAlignment="1">
      <alignment horizontal="right" vertical="center"/>
    </xf>
    <xf numFmtId="4" fontId="2" fillId="0" borderId="2" xfId="0" applyNumberFormat="1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center" vertical="center"/>
    </xf>
    <xf numFmtId="4" fontId="2" fillId="0" borderId="29" xfId="0" applyNumberFormat="1" applyFont="1" applyBorder="1" applyAlignment="1">
      <alignment horizontal="center" vertical="center"/>
    </xf>
    <xf numFmtId="0" fontId="4" fillId="0" borderId="33" xfId="0" applyFont="1" applyBorder="1" applyAlignment="1">
      <alignment horizontal="right" vertical="center"/>
    </xf>
    <xf numFmtId="0" fontId="4" fillId="0" borderId="34" xfId="0" applyFont="1" applyBorder="1" applyAlignment="1">
      <alignment horizontal="right" vertical="center"/>
    </xf>
    <xf numFmtId="0" fontId="4" fillId="0" borderId="79" xfId="0" applyFont="1" applyBorder="1" applyAlignment="1">
      <alignment horizontal="right" vertical="center"/>
    </xf>
    <xf numFmtId="0" fontId="4" fillId="0" borderId="2" xfId="0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4" fillId="0" borderId="29" xfId="0" applyFont="1" applyBorder="1" applyAlignment="1">
      <alignment horizontal="right" vertical="center"/>
    </xf>
    <xf numFmtId="0" fontId="27" fillId="0" borderId="69" xfId="0" applyFont="1" applyBorder="1" applyAlignment="1">
      <alignment horizontal="left" vertical="top"/>
    </xf>
    <xf numFmtId="0" fontId="27" fillId="0" borderId="70" xfId="0" applyFont="1" applyBorder="1" applyAlignment="1">
      <alignment horizontal="left" vertical="top"/>
    </xf>
    <xf numFmtId="0" fontId="1" fillId="0" borderId="37" xfId="15" applyBorder="1" applyAlignment="1">
      <alignment horizontal="center" vertical="center"/>
    </xf>
    <xf numFmtId="0" fontId="1" fillId="0" borderId="35" xfId="15" applyBorder="1" applyAlignment="1">
      <alignment horizontal="center" vertical="center"/>
    </xf>
    <xf numFmtId="4" fontId="1" fillId="0" borderId="30" xfId="15" applyNumberFormat="1" applyBorder="1" applyAlignment="1">
      <alignment horizontal="left" vertical="center" wrapText="1"/>
    </xf>
    <xf numFmtId="4" fontId="1" fillId="0" borderId="0" xfId="15" applyNumberFormat="1" applyAlignment="1">
      <alignment horizontal="left" vertical="center" wrapText="1"/>
    </xf>
    <xf numFmtId="4" fontId="1" fillId="0" borderId="45" xfId="15" applyNumberFormat="1" applyBorder="1" applyAlignment="1">
      <alignment horizontal="left" vertical="center" wrapText="1"/>
    </xf>
    <xf numFmtId="0" fontId="1" fillId="0" borderId="33" xfId="15" applyBorder="1" applyAlignment="1">
      <alignment vertical="center" wrapText="1"/>
    </xf>
    <xf numFmtId="0" fontId="1" fillId="0" borderId="34" xfId="15" applyBorder="1" applyAlignment="1">
      <alignment vertical="center" wrapText="1"/>
    </xf>
    <xf numFmtId="0" fontId="1" fillId="0" borderId="44" xfId="15" applyBorder="1" applyAlignment="1">
      <alignment vertical="center" wrapText="1"/>
    </xf>
    <xf numFmtId="165" fontId="18" fillId="0" borderId="0" xfId="15" applyNumberFormat="1" applyFont="1" applyAlignment="1">
      <alignment horizontal="center" vertical="center"/>
    </xf>
    <xf numFmtId="165" fontId="18" fillId="0" borderId="0" xfId="0" applyNumberFormat="1" applyFont="1" applyAlignment="1">
      <alignment horizontal="center" vertical="center"/>
    </xf>
    <xf numFmtId="165" fontId="1" fillId="0" borderId="31" xfId="15" applyNumberFormat="1" applyBorder="1" applyAlignment="1">
      <alignment horizontal="center" vertical="center"/>
    </xf>
    <xf numFmtId="165" fontId="1" fillId="0" borderId="59" xfId="0" applyNumberFormat="1" applyFont="1" applyBorder="1" applyAlignment="1">
      <alignment horizontal="center" vertical="center"/>
    </xf>
    <xf numFmtId="165" fontId="1" fillId="0" borderId="20" xfId="15" applyNumberFormat="1" applyBorder="1" applyAlignment="1">
      <alignment horizontal="right" vertical="center"/>
    </xf>
    <xf numFmtId="165" fontId="1" fillId="0" borderId="19" xfId="0" applyNumberFormat="1" applyFont="1" applyBorder="1" applyAlignment="1">
      <alignment horizontal="right" vertical="center"/>
    </xf>
    <xf numFmtId="165" fontId="1" fillId="0" borderId="8" xfId="0" applyNumberFormat="1" applyFont="1" applyBorder="1" applyAlignment="1">
      <alignment horizontal="right" vertical="center"/>
    </xf>
    <xf numFmtId="165" fontId="1" fillId="0" borderId="53" xfId="15" applyNumberFormat="1" applyBorder="1" applyAlignment="1">
      <alignment horizontal="center" vertical="center"/>
    </xf>
    <xf numFmtId="165" fontId="1" fillId="0" borderId="43" xfId="0" applyNumberFormat="1" applyFont="1" applyBorder="1" applyAlignment="1">
      <alignment horizontal="center" vertical="center"/>
    </xf>
    <xf numFmtId="165" fontId="1" fillId="0" borderId="12" xfId="0" applyNumberFormat="1" applyFont="1" applyBorder="1" applyAlignment="1">
      <alignment horizontal="center" vertical="center"/>
    </xf>
    <xf numFmtId="165" fontId="1" fillId="0" borderId="58" xfId="15" applyNumberFormat="1" applyBorder="1" applyAlignment="1">
      <alignment horizontal="center" vertical="center"/>
    </xf>
    <xf numFmtId="165" fontId="1" fillId="0" borderId="40" xfId="0" applyNumberFormat="1" applyFont="1" applyBorder="1" applyAlignment="1">
      <alignment horizontal="center" vertical="center"/>
    </xf>
    <xf numFmtId="165" fontId="1" fillId="0" borderId="17" xfId="0" applyNumberFormat="1" applyFont="1" applyBorder="1" applyAlignment="1">
      <alignment horizontal="center" vertical="center"/>
    </xf>
  </cellXfs>
  <cellStyles count="22">
    <cellStyle name="Comma" xfId="1" xr:uid="{C08E1492-3626-4C3A-ABBE-A09A3399ECB4}"/>
    <cellStyle name="Comma0" xfId="2" xr:uid="{17524E9B-10C6-4D31-A089-3E0960BA3425}"/>
    <cellStyle name="Currency" xfId="20" xr:uid="{A82472C6-4526-4E6A-90F5-64945F87EDEE}"/>
    <cellStyle name="Currency0" xfId="3" xr:uid="{A250D0EA-B9A3-4A17-9C38-70B644BA39BE}"/>
    <cellStyle name="Encabezado 1" xfId="4" xr:uid="{B702FFBE-F00F-4023-948C-8711998604A1}"/>
    <cellStyle name="Encabezado 2" xfId="5" xr:uid="{A72A3046-AF4A-48AB-97F5-50ADE8391B50}"/>
    <cellStyle name="Euro" xfId="6" xr:uid="{E5DB3CAD-8E55-4402-8728-8A1BAB1D5B81}"/>
    <cellStyle name="Fecha" xfId="7" xr:uid="{F6874153-D6AF-49BE-9F27-CCBD02177800}"/>
    <cellStyle name="Fijo" xfId="8" xr:uid="{8B126ED8-6963-475A-BF9D-0381E348A7AD}"/>
    <cellStyle name="Fixed" xfId="9" xr:uid="{D8F67250-DE75-4DA3-9947-9321180C82E5}"/>
    <cellStyle name="Heading 1" xfId="10" xr:uid="{A1586C2F-E978-48A3-BFC1-7E50DDC16546}"/>
    <cellStyle name="Heading 2" xfId="11" xr:uid="{B1AC7F6F-09E3-4EB4-A326-D97F62DE46A5}"/>
    <cellStyle name="Hipervínculo" xfId="12" builtinId="8"/>
    <cellStyle name="Moneda0" xfId="13" xr:uid="{FC247955-6302-459C-B11F-555878D8CAE4}"/>
    <cellStyle name="No-definido" xfId="14" xr:uid="{799F0444-79AD-4CF7-9A7A-452DF6F831E5}"/>
    <cellStyle name="Normal" xfId="0" builtinId="0"/>
    <cellStyle name="Normal 2" xfId="15" xr:uid="{E475D49B-C286-4316-906A-4F600D9EADAD}"/>
    <cellStyle name="Normal_Análisis Unitarios Vías (equipo Japón)" xfId="16" xr:uid="{0077F1B4-78B5-4EAE-BA1E-7B12E27D9C1E}"/>
    <cellStyle name="Normal_APU ESTRUCTURA ADMINISTRATIVO 27-01-2005" xfId="17" xr:uid="{2CC868D4-7499-4C6F-B68C-9F10BCE5D9E3}"/>
    <cellStyle name="Normal_FOLLETO" xfId="18" xr:uid="{65371D74-0682-4789-A382-E50514ADC78F}"/>
    <cellStyle name="Percent" xfId="21" xr:uid="{1BD4CE90-C4FA-4863-A2F6-4F610833A97C}"/>
    <cellStyle name="Punto0" xfId="19" xr:uid="{0308CAFB-DE54-4879-8797-306A59C8D93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microsoft.com/office/2017/10/relationships/person" Target="persons/perso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ghidalg\Escritorio\Documents%20and%20Settings\INTELD845PESVL\Escritorio\PEPITO\CERECITA\PROYECTO_CERECIT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IFICACION-mo"/>
      <sheetName val="APU (PRELIMINARES)"/>
      <sheetName val="APU (OBRAS civ_infraest_ACERA) "/>
      <sheetName val="APU (SOBREPISO-MAMPOSTERIA) "/>
      <sheetName val="APU (PINTURA-PINT_TRAFICO) "/>
      <sheetName val="APU (SISTEMA_AGUA-VARIOS_PERS)"/>
      <sheetName val="CODIFI_CASTASTRAL"/>
      <sheetName val="CODIFICACIONES"/>
      <sheetName val="CODIGO_CAST "/>
      <sheetName val="Parroquia"/>
      <sheetName val="Isla"/>
      <sheetName val="presupuesto"/>
      <sheetName val="APU (JUEGO INFANTILES)"/>
      <sheetName val="APU (OBRAS CIVILES-HORM_ACERA) "/>
      <sheetName val="CODIGO_CAST"/>
      <sheetName val="Constratista_1"/>
      <sheetName val="Constratista_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://www.ecuador.generadordeprecios.info/" TargetMode="External"/><Relationship Id="rId1" Type="http://schemas.openxmlformats.org/officeDocument/2006/relationships/hyperlink" Target="http://www.insucons.com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86398-64AA-46D9-801C-287F4B465446}">
  <sheetPr codeName="Hoja1"/>
  <dimension ref="A1:M185"/>
  <sheetViews>
    <sheetView topLeftCell="A4" zoomScale="90" zoomScaleNormal="90" workbookViewId="0">
      <selection activeCell="B28" sqref="B28"/>
    </sheetView>
  </sheetViews>
  <sheetFormatPr baseColWidth="10" defaultColWidth="11.42578125" defaultRowHeight="13.5" x14ac:dyDescent="0.2"/>
  <cols>
    <col min="1" max="1" width="6.85546875" style="412" bestFit="1" customWidth="1"/>
    <col min="2" max="2" width="48" style="412" bestFit="1" customWidth="1"/>
    <col min="3" max="3" width="7.7109375" style="412" bestFit="1" customWidth="1"/>
    <col min="4" max="4" width="9.85546875" style="412" bestFit="1" customWidth="1"/>
    <col min="5" max="5" width="15.42578125" style="412" bestFit="1" customWidth="1"/>
    <col min="6" max="6" width="10" style="412" bestFit="1" customWidth="1"/>
    <col min="7" max="7" width="10.85546875" style="444" bestFit="1" customWidth="1"/>
    <col min="8" max="8" width="8" style="413" bestFit="1" customWidth="1"/>
    <col min="9" max="9" width="0.5703125" style="412" customWidth="1"/>
    <col min="10" max="10" width="10.85546875" style="444" bestFit="1" customWidth="1"/>
    <col min="11" max="11" width="9.85546875" style="444" bestFit="1" customWidth="1"/>
    <col min="12" max="12" width="10.85546875" style="444" bestFit="1" customWidth="1"/>
    <col min="13" max="15" width="11.42578125" style="412" customWidth="1"/>
    <col min="16" max="16384" width="11.42578125" style="412"/>
  </cols>
  <sheetData>
    <row r="1" spans="1:12" x14ac:dyDescent="0.2">
      <c r="A1" s="651" t="s">
        <v>2195</v>
      </c>
      <c r="B1" s="651"/>
      <c r="C1" s="651"/>
      <c r="D1" s="651"/>
      <c r="E1" s="651"/>
      <c r="F1" s="651"/>
      <c r="G1" s="651"/>
      <c r="H1" s="651"/>
    </row>
    <row r="2" spans="1:12" x14ac:dyDescent="0.2">
      <c r="A2" s="654" t="s">
        <v>2196</v>
      </c>
      <c r="B2" s="655"/>
      <c r="C2" s="652"/>
      <c r="D2" s="652"/>
      <c r="E2" s="652"/>
      <c r="F2" s="652"/>
      <c r="G2" s="652"/>
      <c r="H2" s="652"/>
    </row>
    <row r="3" spans="1:12" x14ac:dyDescent="0.2">
      <c r="A3" s="656" t="s">
        <v>2197</v>
      </c>
      <c r="B3" s="657"/>
      <c r="C3" s="652"/>
      <c r="D3" s="652"/>
      <c r="E3" s="652"/>
      <c r="F3" s="652"/>
      <c r="G3" s="652"/>
      <c r="H3" s="652"/>
      <c r="I3" s="414"/>
      <c r="J3" s="445"/>
    </row>
    <row r="4" spans="1:12" x14ac:dyDescent="0.2">
      <c r="A4" s="654" t="s">
        <v>2193</v>
      </c>
      <c r="B4" s="658"/>
      <c r="C4" s="652"/>
      <c r="D4" s="652"/>
      <c r="E4" s="652"/>
      <c r="F4" s="652"/>
      <c r="G4" s="652"/>
      <c r="H4" s="652"/>
      <c r="I4" s="414"/>
      <c r="J4" s="445"/>
    </row>
    <row r="5" spans="1:12" ht="14.25" thickBot="1" x14ac:dyDescent="0.25">
      <c r="A5" s="649" t="s">
        <v>2194</v>
      </c>
      <c r="B5" s="650"/>
      <c r="C5" s="653"/>
      <c r="D5" s="653"/>
      <c r="E5" s="653"/>
      <c r="F5" s="653"/>
      <c r="G5" s="653"/>
      <c r="H5" s="653"/>
      <c r="I5" s="414"/>
      <c r="J5" s="445"/>
    </row>
    <row r="6" spans="1:12" x14ac:dyDescent="0.2">
      <c r="A6" s="663" t="s">
        <v>1586</v>
      </c>
      <c r="B6" s="665" t="s">
        <v>1585</v>
      </c>
      <c r="C6" s="665" t="s">
        <v>1408</v>
      </c>
      <c r="D6" s="667" t="s">
        <v>1584</v>
      </c>
      <c r="E6" s="669" t="s">
        <v>2202</v>
      </c>
      <c r="F6" s="667" t="s">
        <v>1504</v>
      </c>
      <c r="G6" s="659" t="s">
        <v>1583</v>
      </c>
      <c r="H6" s="661" t="s">
        <v>1387</v>
      </c>
      <c r="I6" s="416"/>
      <c r="J6" s="448">
        <v>1</v>
      </c>
      <c r="K6" s="449">
        <v>1</v>
      </c>
      <c r="L6" s="450" t="s">
        <v>1583</v>
      </c>
    </row>
    <row r="7" spans="1:12" ht="14.25" thickBot="1" x14ac:dyDescent="0.25">
      <c r="A7" s="664"/>
      <c r="B7" s="666"/>
      <c r="C7" s="666"/>
      <c r="D7" s="668"/>
      <c r="E7" s="670"/>
      <c r="F7" s="668"/>
      <c r="G7" s="660"/>
      <c r="H7" s="662"/>
      <c r="I7" s="414"/>
      <c r="J7" s="451" t="s">
        <v>2181</v>
      </c>
      <c r="K7" s="452" t="s">
        <v>2022</v>
      </c>
      <c r="L7" s="453" t="s">
        <v>2022</v>
      </c>
    </row>
    <row r="8" spans="1:12" ht="14.25" thickBot="1" x14ac:dyDescent="0.25">
      <c r="A8" s="419"/>
      <c r="B8" s="419"/>
      <c r="C8" s="419"/>
      <c r="D8" s="416"/>
      <c r="E8" s="416"/>
      <c r="F8" s="416"/>
      <c r="G8" s="440"/>
      <c r="I8" s="414"/>
      <c r="J8" s="445"/>
      <c r="K8" s="440"/>
    </row>
    <row r="9" spans="1:12" ht="14.25" thickBot="1" x14ac:dyDescent="0.25">
      <c r="A9" s="420" t="s">
        <v>740</v>
      </c>
      <c r="B9" s="421" t="s">
        <v>2086</v>
      </c>
      <c r="C9" s="422"/>
      <c r="D9" s="423"/>
      <c r="E9" s="424"/>
      <c r="F9" s="424"/>
      <c r="G9" s="441">
        <f>SUM(F11:F78)</f>
        <v>81220.849999999991</v>
      </c>
      <c r="H9" s="425">
        <f>ROUND(G9/$F$182,4)</f>
        <v>0.51890000000000003</v>
      </c>
      <c r="I9" s="414"/>
      <c r="J9" s="445"/>
    </row>
    <row r="10" spans="1:12" ht="14.25" thickBot="1" x14ac:dyDescent="0.25">
      <c r="A10" s="419"/>
      <c r="B10" s="426"/>
      <c r="C10" s="419"/>
      <c r="D10" s="417"/>
      <c r="E10" s="416"/>
      <c r="F10" s="416"/>
      <c r="G10" s="440"/>
      <c r="I10" s="414"/>
      <c r="J10" s="445"/>
    </row>
    <row r="11" spans="1:12" ht="14.25" thickBot="1" x14ac:dyDescent="0.25">
      <c r="A11" s="419" t="s">
        <v>739</v>
      </c>
      <c r="B11" s="427" t="s">
        <v>738</v>
      </c>
      <c r="C11" s="414"/>
      <c r="D11" s="415"/>
      <c r="E11" s="415"/>
      <c r="F11" s="415"/>
      <c r="G11" s="442">
        <f>SUM(F11:F15)</f>
        <v>1405.35</v>
      </c>
      <c r="H11" s="428">
        <f>ROUND(G11/$F$182,4)</f>
        <v>8.9999999999999993E-3</v>
      </c>
      <c r="I11" s="414"/>
      <c r="J11" s="445"/>
    </row>
    <row r="12" spans="1:12" x14ac:dyDescent="0.2">
      <c r="A12" s="414" t="s">
        <v>2087</v>
      </c>
      <c r="B12" s="412" t="s">
        <v>1581</v>
      </c>
      <c r="C12" s="414" t="s">
        <v>1520</v>
      </c>
      <c r="D12" s="415">
        <v>16</v>
      </c>
      <c r="E12" s="415">
        <f>IF($A12=0,"",ROUND(J12*$J$6,2))</f>
        <v>42.5</v>
      </c>
      <c r="F12" s="415">
        <f>IF($A12=0,"",ROUND(D12*E12,2))</f>
        <v>680</v>
      </c>
      <c r="G12" s="440"/>
      <c r="I12" s="414"/>
      <c r="J12" s="445">
        <f>'1.1'!$H$56</f>
        <v>42.5</v>
      </c>
      <c r="K12" s="445">
        <f>'1.1'!$H$26</f>
        <v>7.58</v>
      </c>
      <c r="L12" s="444">
        <f>ROUND(K12*D12,2)</f>
        <v>121.28</v>
      </c>
    </row>
    <row r="13" spans="1:12" x14ac:dyDescent="0.2">
      <c r="A13" s="414" t="s">
        <v>2088</v>
      </c>
      <c r="B13" s="412" t="s">
        <v>2232</v>
      </c>
      <c r="C13" s="414" t="s">
        <v>1566</v>
      </c>
      <c r="D13" s="415">
        <v>1</v>
      </c>
      <c r="E13" s="415">
        <f>IF($A13=0,"",ROUND(J13*$J$6,2))</f>
        <v>440.6</v>
      </c>
      <c r="F13" s="415">
        <f>IF($A13=0,"",ROUND(D13*E13,2))</f>
        <v>440.6</v>
      </c>
      <c r="G13" s="440"/>
      <c r="I13" s="414"/>
      <c r="J13" s="445">
        <f>'1.1'!$H$112</f>
        <v>440.6</v>
      </c>
      <c r="K13" s="445">
        <f>'1.1'!$H$82</f>
        <v>80.78</v>
      </c>
      <c r="L13" s="444">
        <f t="shared" ref="L13:L76" si="0">ROUND(K13*D13,2)</f>
        <v>80.78</v>
      </c>
    </row>
    <row r="14" spans="1:12" x14ac:dyDescent="0.2">
      <c r="A14" s="414" t="s">
        <v>2089</v>
      </c>
      <c r="B14" s="412" t="s">
        <v>2233</v>
      </c>
      <c r="C14" s="414" t="s">
        <v>1566</v>
      </c>
      <c r="D14" s="415">
        <v>1</v>
      </c>
      <c r="E14" s="415">
        <f>IF($A14=0,"",ROUND(J14*$J$6,2))</f>
        <v>284.75</v>
      </c>
      <c r="F14" s="415">
        <f>IF($A14=0,"",ROUND(D14*E14,2))</f>
        <v>284.75</v>
      </c>
      <c r="G14" s="440"/>
      <c r="I14" s="414"/>
      <c r="J14" s="445">
        <f>'1.1'!$H$168</f>
        <v>284.75</v>
      </c>
      <c r="K14" s="445">
        <f>'1.1'!$H$138</f>
        <v>80.78</v>
      </c>
      <c r="L14" s="444">
        <f t="shared" si="0"/>
        <v>80.78</v>
      </c>
    </row>
    <row r="15" spans="1:12" ht="14.25" thickBot="1" x14ac:dyDescent="0.25">
      <c r="A15" s="414" t="s">
        <v>2191</v>
      </c>
      <c r="B15" s="412" t="s">
        <v>2192</v>
      </c>
      <c r="C15" s="414" t="s">
        <v>961</v>
      </c>
      <c r="D15" s="415"/>
      <c r="E15" s="415"/>
      <c r="F15" s="415"/>
      <c r="G15" s="440"/>
      <c r="I15" s="414"/>
      <c r="J15" s="445"/>
      <c r="K15" s="445"/>
    </row>
    <row r="16" spans="1:12" ht="14.25" thickBot="1" x14ac:dyDescent="0.25">
      <c r="A16" s="419" t="s">
        <v>737</v>
      </c>
      <c r="B16" s="427" t="s">
        <v>607</v>
      </c>
      <c r="C16" s="414"/>
      <c r="D16" s="415"/>
      <c r="E16" s="415"/>
      <c r="F16" s="415"/>
      <c r="G16" s="442">
        <f>SUM(F16:F19)</f>
        <v>2992.64</v>
      </c>
      <c r="H16" s="428">
        <f>ROUND(G16/$F$182,4)</f>
        <v>1.9099999999999999E-2</v>
      </c>
      <c r="I16" s="414"/>
      <c r="J16" s="445"/>
      <c r="K16" s="445"/>
    </row>
    <row r="17" spans="1:12" x14ac:dyDescent="0.2">
      <c r="A17" s="414" t="s">
        <v>2090</v>
      </c>
      <c r="B17" s="412" t="s">
        <v>1573</v>
      </c>
      <c r="C17" s="414" t="s">
        <v>47</v>
      </c>
      <c r="D17" s="415">
        <f>8*4</f>
        <v>32</v>
      </c>
      <c r="E17" s="415">
        <f>IF($A17=0,"",ROUND(J17*$J$6,2))</f>
        <v>51.73</v>
      </c>
      <c r="F17" s="415">
        <f>IF($A17=0,"",ROUND(D17*E17,2))</f>
        <v>1655.36</v>
      </c>
      <c r="G17" s="440"/>
      <c r="I17" s="414"/>
      <c r="J17" s="445">
        <f>'1.2'!$H$56</f>
        <v>51.73</v>
      </c>
      <c r="K17" s="445">
        <f>'1.2'!$H$26</f>
        <v>50.22</v>
      </c>
      <c r="L17" s="444">
        <f t="shared" si="0"/>
        <v>1607.04</v>
      </c>
    </row>
    <row r="18" spans="1:12" x14ac:dyDescent="0.2">
      <c r="A18" s="414" t="s">
        <v>2091</v>
      </c>
      <c r="B18" s="412" t="s">
        <v>1571</v>
      </c>
      <c r="C18" s="414" t="s">
        <v>1887</v>
      </c>
      <c r="D18" s="415">
        <f>8*4</f>
        <v>32</v>
      </c>
      <c r="E18" s="415">
        <f>IF($A18=0,"",ROUND(J18*$J$6,2))</f>
        <v>41.79</v>
      </c>
      <c r="F18" s="415">
        <f>IF($A18=0,"",ROUND(D18*E18,2))</f>
        <v>1337.28</v>
      </c>
      <c r="G18" s="440"/>
      <c r="I18" s="414"/>
      <c r="J18" s="445">
        <f>'1.2'!$H$112</f>
        <v>41.79</v>
      </c>
      <c r="K18" s="445">
        <f>'1.2'!$H$82</f>
        <v>13.39</v>
      </c>
      <c r="L18" s="444">
        <f t="shared" si="0"/>
        <v>428.48</v>
      </c>
    </row>
    <row r="19" spans="1:12" ht="14.25" thickBot="1" x14ac:dyDescent="0.25">
      <c r="A19" s="414"/>
      <c r="C19" s="414"/>
      <c r="D19" s="415"/>
      <c r="E19" s="415"/>
      <c r="F19" s="415"/>
      <c r="G19" s="440"/>
      <c r="I19" s="414"/>
      <c r="J19" s="445"/>
      <c r="K19" s="445"/>
    </row>
    <row r="20" spans="1:12" ht="14.25" thickBot="1" x14ac:dyDescent="0.25">
      <c r="A20" s="419" t="s">
        <v>736</v>
      </c>
      <c r="B20" s="427" t="s">
        <v>2234</v>
      </c>
      <c r="C20" s="414"/>
      <c r="D20" s="415"/>
      <c r="E20" s="415"/>
      <c r="F20" s="415"/>
      <c r="G20" s="442">
        <f>SUM(F20:F23)</f>
        <v>523.08000000000004</v>
      </c>
      <c r="H20" s="428">
        <f>ROUND(G20/$F$182,4)</f>
        <v>3.3E-3</v>
      </c>
      <c r="I20" s="414"/>
      <c r="J20" s="445"/>
      <c r="K20" s="445"/>
    </row>
    <row r="21" spans="1:12" x14ac:dyDescent="0.2">
      <c r="A21" s="414" t="s">
        <v>2092</v>
      </c>
      <c r="B21" s="412" t="s">
        <v>49</v>
      </c>
      <c r="C21" s="414" t="s">
        <v>1520</v>
      </c>
      <c r="D21" s="415">
        <v>523.09</v>
      </c>
      <c r="E21" s="415">
        <f>IF($A21=0,"",ROUND(J21*$J$6,2))</f>
        <v>0.56000000000000005</v>
      </c>
      <c r="F21" s="415">
        <f>IF($A21=0,"",ROUND(D21*E21,2))</f>
        <v>292.93</v>
      </c>
      <c r="G21" s="440"/>
      <c r="I21" s="414"/>
      <c r="J21" s="445">
        <f>'1.3'!$H$56</f>
        <v>0.56000000000000005</v>
      </c>
      <c r="K21" s="445">
        <f>'1.3'!$H$26</f>
        <v>0.54</v>
      </c>
      <c r="L21" s="444">
        <f t="shared" si="0"/>
        <v>282.47000000000003</v>
      </c>
    </row>
    <row r="22" spans="1:12" x14ac:dyDescent="0.2">
      <c r="A22" s="414" t="s">
        <v>2093</v>
      </c>
      <c r="B22" s="412" t="s">
        <v>51</v>
      </c>
      <c r="C22" s="414" t="s">
        <v>1520</v>
      </c>
      <c r="D22" s="415">
        <v>154.46</v>
      </c>
      <c r="E22" s="415">
        <f>IF($A22=0,"",ROUND(J22*$J$6,2))</f>
        <v>1.49</v>
      </c>
      <c r="F22" s="415">
        <f>IF($A22=0,"",ROUND(D22*E22,2))</f>
        <v>230.15</v>
      </c>
      <c r="G22" s="440"/>
      <c r="I22" s="414"/>
      <c r="J22" s="445">
        <f>'1.3'!$H$168</f>
        <v>1.49</v>
      </c>
      <c r="K22" s="445">
        <f>'1.3'!$H$138</f>
        <v>0.71</v>
      </c>
      <c r="L22" s="444">
        <f t="shared" si="0"/>
        <v>109.67</v>
      </c>
    </row>
    <row r="23" spans="1:12" ht="14.25" thickBot="1" x14ac:dyDescent="0.25">
      <c r="A23" s="414"/>
      <c r="C23" s="414"/>
      <c r="D23" s="415"/>
      <c r="E23" s="415"/>
      <c r="F23" s="415"/>
      <c r="G23" s="440"/>
      <c r="I23" s="414"/>
      <c r="J23" s="445"/>
      <c r="K23" s="445"/>
    </row>
    <row r="24" spans="1:12" ht="14.25" thickBot="1" x14ac:dyDescent="0.25">
      <c r="A24" s="419" t="s">
        <v>735</v>
      </c>
      <c r="B24" s="427" t="s">
        <v>213</v>
      </c>
      <c r="C24" s="414"/>
      <c r="D24" s="415"/>
      <c r="E24" s="415"/>
      <c r="F24" s="415"/>
      <c r="G24" s="442">
        <f>SUM(F24:F27)</f>
        <v>1991.29</v>
      </c>
      <c r="H24" s="428">
        <f>ROUND(G24/$F$182,4)</f>
        <v>1.2699999999999999E-2</v>
      </c>
      <c r="I24" s="414"/>
      <c r="J24" s="445"/>
      <c r="K24" s="445"/>
    </row>
    <row r="25" spans="1:12" x14ac:dyDescent="0.2">
      <c r="A25" s="414" t="s">
        <v>2094</v>
      </c>
      <c r="B25" s="412" t="s">
        <v>2047</v>
      </c>
      <c r="C25" s="414" t="s">
        <v>1521</v>
      </c>
      <c r="D25" s="415">
        <f>58.68*2.5</f>
        <v>146.69999999999999</v>
      </c>
      <c r="E25" s="415">
        <f>IF($A25=0,"",ROUND(J25*$J$6,2))</f>
        <v>4.04</v>
      </c>
      <c r="F25" s="415">
        <f>IF($A25=0,"",ROUND(D25*E25,2))</f>
        <v>592.66999999999996</v>
      </c>
      <c r="G25" s="440"/>
      <c r="I25" s="414"/>
      <c r="J25" s="445">
        <f>'1.4'!$H$280</f>
        <v>4.04</v>
      </c>
      <c r="K25" s="445">
        <f>'1.4'!$H$194</f>
        <v>4.6900000000000004</v>
      </c>
      <c r="L25" s="444">
        <f t="shared" si="0"/>
        <v>688.02</v>
      </c>
    </row>
    <row r="26" spans="1:12" x14ac:dyDescent="0.2">
      <c r="A26" s="414" t="s">
        <v>2095</v>
      </c>
      <c r="B26" s="412" t="s">
        <v>1569</v>
      </c>
      <c r="C26" s="414" t="s">
        <v>1521</v>
      </c>
      <c r="D26" s="415">
        <f>58.68*2.5*0.9-D33</f>
        <v>113.34</v>
      </c>
      <c r="E26" s="415">
        <f>IF($A26=0,"",ROUND(J26*$J$6,2))</f>
        <v>12.34</v>
      </c>
      <c r="F26" s="415">
        <f>IF($A26=0,"",ROUND(D26*E26,2))</f>
        <v>1398.62</v>
      </c>
      <c r="G26" s="440"/>
      <c r="I26" s="414"/>
      <c r="J26" s="445">
        <f>'1.4'!$H$224</f>
        <v>12.34</v>
      </c>
      <c r="K26" s="445">
        <f>'1.4'!$H$194</f>
        <v>4.6900000000000004</v>
      </c>
      <c r="L26" s="444">
        <f t="shared" si="0"/>
        <v>531.55999999999995</v>
      </c>
    </row>
    <row r="27" spans="1:12" ht="14.25" thickBot="1" x14ac:dyDescent="0.25">
      <c r="A27" s="414"/>
      <c r="C27" s="414"/>
      <c r="D27" s="415"/>
      <c r="E27" s="415"/>
      <c r="F27" s="415"/>
      <c r="G27" s="440"/>
      <c r="I27" s="414"/>
      <c r="J27" s="445"/>
      <c r="K27" s="445"/>
    </row>
    <row r="28" spans="1:12" ht="14.25" thickBot="1" x14ac:dyDescent="0.25">
      <c r="A28" s="419" t="s">
        <v>734</v>
      </c>
      <c r="B28" s="427" t="s">
        <v>1433</v>
      </c>
      <c r="C28" s="414"/>
      <c r="D28" s="415"/>
      <c r="E28" s="415"/>
      <c r="F28" s="415"/>
      <c r="G28" s="442">
        <f>SUM(F28:F31)</f>
        <v>999.96</v>
      </c>
      <c r="H28" s="428">
        <f>ROUND(G28/$F$182,4)</f>
        <v>6.4000000000000003E-3</v>
      </c>
      <c r="I28" s="414"/>
      <c r="J28" s="445"/>
      <c r="K28" s="445"/>
    </row>
    <row r="29" spans="1:12" x14ac:dyDescent="0.2">
      <c r="A29" s="414" t="s">
        <v>2096</v>
      </c>
      <c r="B29" s="412" t="s">
        <v>2046</v>
      </c>
      <c r="C29" s="414" t="s">
        <v>1521</v>
      </c>
      <c r="D29" s="415">
        <f>(58.68+5.76)*0.1</f>
        <v>6.444</v>
      </c>
      <c r="E29" s="415">
        <f>IF($A29=0,"",ROUND(J29*$J$6,2))</f>
        <v>113.61</v>
      </c>
      <c r="F29" s="415">
        <f>IF($A29=0,"",ROUND(D29*E29,2))</f>
        <v>732.1</v>
      </c>
      <c r="G29" s="440"/>
      <c r="I29" s="414"/>
      <c r="J29" s="445">
        <f>'1.5'!$H$56</f>
        <v>113.61</v>
      </c>
      <c r="K29" s="445">
        <f>'1.5'!$H$26</f>
        <v>41.74</v>
      </c>
      <c r="L29" s="444">
        <f t="shared" si="0"/>
        <v>268.97000000000003</v>
      </c>
    </row>
    <row r="30" spans="1:12" x14ac:dyDescent="0.2">
      <c r="A30" s="414" t="s">
        <v>2097</v>
      </c>
      <c r="B30" s="412" t="s">
        <v>1871</v>
      </c>
      <c r="C30" s="414" t="s">
        <v>1521</v>
      </c>
      <c r="D30" s="415">
        <f>(2.1+4.5)*0.25*0.3+1.4</f>
        <v>1.8949999999999998</v>
      </c>
      <c r="E30" s="415">
        <f>IF($A30=0,"",ROUND(J30*$J$6,2))</f>
        <v>141.35</v>
      </c>
      <c r="F30" s="415">
        <f>IF($A30=0,"",ROUND(D30*E30,2))</f>
        <v>267.86</v>
      </c>
      <c r="G30" s="440"/>
      <c r="I30" s="414"/>
      <c r="J30" s="445">
        <f>'1.5'!$H$112</f>
        <v>141.35</v>
      </c>
      <c r="K30" s="445">
        <f>'1.5'!$H$82</f>
        <v>53.92</v>
      </c>
      <c r="L30" s="444">
        <f t="shared" si="0"/>
        <v>102.18</v>
      </c>
    </row>
    <row r="31" spans="1:12" ht="14.25" thickBot="1" x14ac:dyDescent="0.25">
      <c r="A31" s="414"/>
      <c r="C31" s="414"/>
      <c r="D31" s="415"/>
      <c r="E31" s="415"/>
      <c r="F31" s="415"/>
      <c r="G31" s="440"/>
      <c r="I31" s="414"/>
      <c r="J31" s="445"/>
      <c r="K31" s="445"/>
    </row>
    <row r="32" spans="1:12" ht="14.25" thickBot="1" x14ac:dyDescent="0.25">
      <c r="A32" s="419" t="s">
        <v>733</v>
      </c>
      <c r="B32" s="427" t="s">
        <v>2235</v>
      </c>
      <c r="C32" s="414"/>
      <c r="D32" s="415"/>
      <c r="E32" s="415"/>
      <c r="F32" s="415"/>
      <c r="G32" s="442">
        <f>SUM(F32:F45)</f>
        <v>31688.780000000002</v>
      </c>
      <c r="H32" s="428">
        <f>ROUND(G32/$F$182,4)</f>
        <v>0.20250000000000001</v>
      </c>
      <c r="I32" s="414"/>
      <c r="J32" s="445"/>
      <c r="K32" s="445"/>
    </row>
    <row r="33" spans="1:12" x14ac:dyDescent="0.2">
      <c r="A33" s="414" t="s">
        <v>2098</v>
      </c>
      <c r="B33" s="412" t="s">
        <v>2048</v>
      </c>
      <c r="C33" s="414" t="s">
        <v>1521</v>
      </c>
      <c r="D33" s="415">
        <f>15.94+2.75</f>
        <v>18.689999999999998</v>
      </c>
      <c r="E33" s="415">
        <f t="shared" ref="E33:E44" si="1">IF($A33=0,"",ROUND(J33*$J$6,2))</f>
        <v>375.27</v>
      </c>
      <c r="F33" s="415">
        <f t="shared" ref="F33:F44" si="2">IF($A33=0,"",ROUND(D33*E33,2))</f>
        <v>7013.8</v>
      </c>
      <c r="G33" s="440"/>
      <c r="I33" s="414"/>
      <c r="J33" s="445">
        <f>'1.6b'!$H$112</f>
        <v>375.27</v>
      </c>
      <c r="K33" s="445">
        <f>'1.6b'!$H$82</f>
        <v>98.98</v>
      </c>
      <c r="L33" s="444">
        <f t="shared" si="0"/>
        <v>1849.94</v>
      </c>
    </row>
    <row r="34" spans="1:12" x14ac:dyDescent="0.2">
      <c r="A34" s="414" t="s">
        <v>2099</v>
      </c>
      <c r="B34" s="412" t="s">
        <v>2005</v>
      </c>
      <c r="C34" s="414" t="s">
        <v>1521</v>
      </c>
      <c r="D34" s="415">
        <f>0.4+1.12</f>
        <v>1.52</v>
      </c>
      <c r="E34" s="415">
        <f t="shared" si="1"/>
        <v>410.9</v>
      </c>
      <c r="F34" s="415">
        <f t="shared" si="2"/>
        <v>624.57000000000005</v>
      </c>
      <c r="G34" s="440"/>
      <c r="I34" s="414"/>
      <c r="J34" s="445">
        <f>'1.6b'!$H$224</f>
        <v>410.9</v>
      </c>
      <c r="K34" s="445">
        <f>'1.6b'!$H$194</f>
        <v>119.93</v>
      </c>
      <c r="L34" s="444">
        <f t="shared" si="0"/>
        <v>182.29</v>
      </c>
    </row>
    <row r="35" spans="1:12" x14ac:dyDescent="0.2">
      <c r="A35" s="414" t="s">
        <v>2100</v>
      </c>
      <c r="B35" s="412" t="s">
        <v>2043</v>
      </c>
      <c r="C35" s="414" t="s">
        <v>1521</v>
      </c>
      <c r="D35" s="415">
        <v>5.45</v>
      </c>
      <c r="E35" s="415">
        <f t="shared" si="1"/>
        <v>537.64</v>
      </c>
      <c r="F35" s="415">
        <f t="shared" si="2"/>
        <v>2930.14</v>
      </c>
      <c r="G35" s="440"/>
      <c r="I35" s="414"/>
      <c r="J35" s="445">
        <f>'1.6b'!$H$280</f>
        <v>537.64</v>
      </c>
      <c r="K35" s="444">
        <f>'1.6b'!$H$250</f>
        <v>197.3</v>
      </c>
      <c r="L35" s="444">
        <f t="shared" si="0"/>
        <v>1075.29</v>
      </c>
    </row>
    <row r="36" spans="1:12" x14ac:dyDescent="0.2">
      <c r="A36" s="414" t="s">
        <v>2101</v>
      </c>
      <c r="B36" s="412" t="s">
        <v>1839</v>
      </c>
      <c r="C36" s="414" t="s">
        <v>1521</v>
      </c>
      <c r="D36" s="415">
        <v>3.22</v>
      </c>
      <c r="E36" s="415">
        <f t="shared" si="1"/>
        <v>531.85</v>
      </c>
      <c r="F36" s="415">
        <f t="shared" si="2"/>
        <v>1712.56</v>
      </c>
      <c r="G36" s="440"/>
      <c r="I36" s="414"/>
      <c r="J36" s="445">
        <f>'1.6b'!$H$336</f>
        <v>531.85</v>
      </c>
      <c r="K36" s="444">
        <f>'1.6b'!$H$306</f>
        <v>184.1</v>
      </c>
      <c r="L36" s="444">
        <f t="shared" si="0"/>
        <v>592.79999999999995</v>
      </c>
    </row>
    <row r="37" spans="1:12" x14ac:dyDescent="0.2">
      <c r="A37" s="414" t="s">
        <v>2102</v>
      </c>
      <c r="B37" s="412" t="s">
        <v>2044</v>
      </c>
      <c r="C37" s="414" t="s">
        <v>1521</v>
      </c>
      <c r="D37" s="415">
        <v>0.89</v>
      </c>
      <c r="E37" s="415">
        <f t="shared" si="1"/>
        <v>537.64</v>
      </c>
      <c r="F37" s="415">
        <f t="shared" si="2"/>
        <v>478.5</v>
      </c>
      <c r="G37" s="440"/>
      <c r="I37" s="414"/>
      <c r="J37" s="445">
        <f>'1.6b'!$H$280</f>
        <v>537.64</v>
      </c>
      <c r="K37" s="444">
        <f>'1.6b'!$H$250</f>
        <v>197.3</v>
      </c>
      <c r="L37" s="444">
        <f t="shared" si="0"/>
        <v>175.6</v>
      </c>
    </row>
    <row r="38" spans="1:12" x14ac:dyDescent="0.2">
      <c r="A38" s="414" t="s">
        <v>2103</v>
      </c>
      <c r="B38" s="412" t="s">
        <v>2009</v>
      </c>
      <c r="C38" s="414" t="s">
        <v>1521</v>
      </c>
      <c r="D38" s="415">
        <v>9.84</v>
      </c>
      <c r="E38" s="415">
        <f t="shared" si="1"/>
        <v>442.28</v>
      </c>
      <c r="F38" s="415">
        <f t="shared" si="2"/>
        <v>4352.04</v>
      </c>
      <c r="G38" s="440"/>
      <c r="I38" s="414"/>
      <c r="J38" s="445">
        <f>'1.6b'!$H$448</f>
        <v>442.28</v>
      </c>
      <c r="K38" s="444">
        <f>'1.6b'!$H$418</f>
        <v>128.30000000000001</v>
      </c>
      <c r="L38" s="444">
        <f t="shared" si="0"/>
        <v>1262.47</v>
      </c>
    </row>
    <row r="39" spans="1:12" x14ac:dyDescent="0.2">
      <c r="A39" s="414" t="s">
        <v>2104</v>
      </c>
      <c r="B39" s="412" t="s">
        <v>2236</v>
      </c>
      <c r="C39" s="414" t="s">
        <v>1520</v>
      </c>
      <c r="D39" s="415">
        <v>130.1</v>
      </c>
      <c r="E39" s="415">
        <f t="shared" si="1"/>
        <v>43.69</v>
      </c>
      <c r="F39" s="415">
        <f t="shared" si="2"/>
        <v>5684.07</v>
      </c>
      <c r="G39" s="440"/>
      <c r="H39" s="413">
        <f>'1.6b'!$H$1064*130.22</f>
        <v>5689.3117999999995</v>
      </c>
      <c r="I39" s="414"/>
      <c r="J39" s="445">
        <f>'1.6b'!$H$1064</f>
        <v>43.69</v>
      </c>
      <c r="K39" s="444">
        <f>'1.6b'!$H$586</f>
        <v>161.18</v>
      </c>
      <c r="L39" s="444">
        <f t="shared" si="0"/>
        <v>20969.52</v>
      </c>
    </row>
    <row r="40" spans="1:12" x14ac:dyDescent="0.2">
      <c r="A40" s="414" t="s">
        <v>2105</v>
      </c>
      <c r="B40" s="412" t="s">
        <v>653</v>
      </c>
      <c r="C40" s="414" t="s">
        <v>1521</v>
      </c>
      <c r="D40" s="415">
        <v>1.6</v>
      </c>
      <c r="E40" s="415">
        <f t="shared" si="1"/>
        <v>428.47</v>
      </c>
      <c r="F40" s="415">
        <f t="shared" si="2"/>
        <v>685.55</v>
      </c>
      <c r="G40" s="440"/>
      <c r="I40" s="414"/>
      <c r="J40" s="445">
        <f>'1.6b'!$H$784</f>
        <v>428.47</v>
      </c>
      <c r="K40" s="444">
        <f>'1.6b'!$H$754</f>
        <v>135.66</v>
      </c>
      <c r="L40" s="444">
        <f t="shared" si="0"/>
        <v>217.06</v>
      </c>
    </row>
    <row r="41" spans="1:12" x14ac:dyDescent="0.2">
      <c r="A41" s="414" t="s">
        <v>2106</v>
      </c>
      <c r="B41" s="412" t="s">
        <v>2237</v>
      </c>
      <c r="C41" s="414" t="s">
        <v>1521</v>
      </c>
      <c r="D41" s="415">
        <v>5.75</v>
      </c>
      <c r="E41" s="415">
        <f t="shared" si="1"/>
        <v>534.58000000000004</v>
      </c>
      <c r="F41" s="415">
        <f t="shared" si="2"/>
        <v>3073.84</v>
      </c>
      <c r="G41" s="440"/>
      <c r="I41" s="414"/>
      <c r="J41" s="445">
        <f>'1.6b'!$H$504</f>
        <v>534.58000000000004</v>
      </c>
      <c r="K41" s="444">
        <f>'1.6b'!$H$474</f>
        <v>155.41</v>
      </c>
      <c r="L41" s="444">
        <f t="shared" si="0"/>
        <v>893.61</v>
      </c>
    </row>
    <row r="42" spans="1:12" x14ac:dyDescent="0.2">
      <c r="A42" s="414" t="s">
        <v>625</v>
      </c>
      <c r="B42" s="412" t="s">
        <v>2045</v>
      </c>
      <c r="C42" s="414" t="s">
        <v>1521</v>
      </c>
      <c r="D42" s="415">
        <v>1.9</v>
      </c>
      <c r="E42" s="415">
        <f t="shared" si="1"/>
        <v>442.28</v>
      </c>
      <c r="F42" s="415">
        <f t="shared" si="2"/>
        <v>840.33</v>
      </c>
      <c r="G42" s="440"/>
      <c r="I42" s="414"/>
      <c r="J42" s="445">
        <f>'1.6b'!$H$448</f>
        <v>442.28</v>
      </c>
      <c r="K42" s="444">
        <f>'1.6b'!$H$418</f>
        <v>128.30000000000001</v>
      </c>
      <c r="L42" s="444">
        <f t="shared" si="0"/>
        <v>243.77</v>
      </c>
    </row>
    <row r="43" spans="1:12" x14ac:dyDescent="0.2">
      <c r="A43" s="414" t="s">
        <v>626</v>
      </c>
      <c r="B43" s="412" t="s">
        <v>2238</v>
      </c>
      <c r="C43" s="414" t="s">
        <v>1520</v>
      </c>
      <c r="D43" s="415">
        <v>24.91</v>
      </c>
      <c r="E43" s="415">
        <f t="shared" si="1"/>
        <v>43.69</v>
      </c>
      <c r="F43" s="415">
        <f t="shared" si="2"/>
        <v>1088.32</v>
      </c>
      <c r="G43" s="440"/>
      <c r="I43" s="414"/>
      <c r="J43" s="445">
        <f>'1.6b'!$H$1064</f>
        <v>43.69</v>
      </c>
      <c r="K43" s="444">
        <f>'1.6b'!$H$586</f>
        <v>161.18</v>
      </c>
      <c r="L43" s="444">
        <f t="shared" si="0"/>
        <v>4014.99</v>
      </c>
    </row>
    <row r="44" spans="1:12" x14ac:dyDescent="0.2">
      <c r="A44" s="414" t="s">
        <v>650</v>
      </c>
      <c r="B44" s="412" t="s">
        <v>1840</v>
      </c>
      <c r="C44" s="414" t="s">
        <v>1521</v>
      </c>
      <c r="D44" s="415">
        <v>6.26</v>
      </c>
      <c r="E44" s="415">
        <f t="shared" si="1"/>
        <v>511.99</v>
      </c>
      <c r="F44" s="415">
        <f t="shared" si="2"/>
        <v>3205.06</v>
      </c>
      <c r="G44" s="440"/>
      <c r="I44" s="414"/>
      <c r="J44" s="445">
        <f>'1.6b'!$H$952</f>
        <v>511.99</v>
      </c>
      <c r="K44" s="444">
        <f>'1.6b'!$H$922</f>
        <v>155.44</v>
      </c>
      <c r="L44" s="444">
        <f t="shared" si="0"/>
        <v>973.05</v>
      </c>
    </row>
    <row r="45" spans="1:12" ht="14.25" thickBot="1" x14ac:dyDescent="0.25">
      <c r="A45" s="414"/>
      <c r="C45" s="414"/>
      <c r="D45" s="415"/>
      <c r="E45" s="415"/>
      <c r="F45" s="415"/>
      <c r="G45" s="440"/>
      <c r="I45" s="414"/>
      <c r="J45" s="445"/>
    </row>
    <row r="46" spans="1:12" ht="14.25" thickBot="1" x14ac:dyDescent="0.25">
      <c r="A46" s="419" t="s">
        <v>732</v>
      </c>
      <c r="B46" s="427" t="s">
        <v>1434</v>
      </c>
      <c r="C46" s="414"/>
      <c r="D46" s="415"/>
      <c r="E46" s="415"/>
      <c r="F46" s="415"/>
      <c r="G46" s="442">
        <f>SUM(F46:F50)</f>
        <v>9632.67</v>
      </c>
      <c r="H46" s="428">
        <f>ROUND(G46/$F$182,4)</f>
        <v>6.1499999999999999E-2</v>
      </c>
      <c r="I46" s="414"/>
      <c r="J46" s="445"/>
    </row>
    <row r="47" spans="1:12" x14ac:dyDescent="0.2">
      <c r="A47" s="414" t="s">
        <v>2107</v>
      </c>
      <c r="B47" s="412" t="s">
        <v>287</v>
      </c>
      <c r="C47" s="414" t="s">
        <v>1509</v>
      </c>
      <c r="D47" s="415">
        <f>(155*1.05+7.8)*8</f>
        <v>1364.4</v>
      </c>
      <c r="E47" s="415">
        <f>IF($A47=0,"",ROUND(J47*$J$6,2))</f>
        <v>2.69</v>
      </c>
      <c r="F47" s="415">
        <f>IF($A47=0,"",ROUND(D47*E47,2))</f>
        <v>3670.24</v>
      </c>
      <c r="G47" s="440"/>
      <c r="I47" s="414"/>
      <c r="J47" s="445">
        <f>'1.7'!$H$56</f>
        <v>2.69</v>
      </c>
      <c r="K47" s="444">
        <f>'1.7'!$H$26</f>
        <v>0.71</v>
      </c>
      <c r="L47" s="444">
        <f t="shared" si="0"/>
        <v>968.72</v>
      </c>
    </row>
    <row r="48" spans="1:12" x14ac:dyDescent="0.2">
      <c r="A48" s="414" t="s">
        <v>2108</v>
      </c>
      <c r="B48" s="412" t="s">
        <v>285</v>
      </c>
      <c r="C48" s="414" t="s">
        <v>1520</v>
      </c>
      <c r="D48" s="415">
        <f>155*1.05+7.8</f>
        <v>170.55</v>
      </c>
      <c r="E48" s="415">
        <f>IF($A48=0,"",ROUND(J48*$J$6,2))</f>
        <v>13.5</v>
      </c>
      <c r="F48" s="415">
        <f>IF($A48=0,"",ROUND(D48*E48,2))</f>
        <v>2302.4299999999998</v>
      </c>
      <c r="G48" s="440"/>
      <c r="I48" s="414"/>
      <c r="J48" s="445">
        <f>'1.7'!$H$112</f>
        <v>13.5</v>
      </c>
      <c r="K48" s="444">
        <f>'1.7'!$H$138</f>
        <v>2.81</v>
      </c>
      <c r="L48" s="444">
        <f t="shared" si="0"/>
        <v>479.25</v>
      </c>
    </row>
    <row r="49" spans="1:12" x14ac:dyDescent="0.2">
      <c r="A49" s="414" t="s">
        <v>2109</v>
      </c>
      <c r="B49" s="412" t="s">
        <v>1884</v>
      </c>
      <c r="C49" s="414" t="s">
        <v>1520</v>
      </c>
      <c r="D49" s="415">
        <f>155*1.05+7.8</f>
        <v>170.55</v>
      </c>
      <c r="E49" s="415">
        <f>IF($A49=0,"",ROUND(J49*$J$6,2))</f>
        <v>21.46</v>
      </c>
      <c r="F49" s="415">
        <f>IF($A49=0,"",ROUND(D49*E49,2))</f>
        <v>3660</v>
      </c>
      <c r="G49" s="440"/>
      <c r="I49" s="414"/>
      <c r="J49" s="445">
        <f>'1.7'!$H$280</f>
        <v>21.46</v>
      </c>
      <c r="K49" s="444">
        <f>'1.7'!$H$250</f>
        <v>6.45</v>
      </c>
      <c r="L49" s="444">
        <f t="shared" si="0"/>
        <v>1100.05</v>
      </c>
    </row>
    <row r="50" spans="1:12" ht="14.25" thickBot="1" x14ac:dyDescent="0.25">
      <c r="A50" s="418"/>
      <c r="C50" s="414"/>
      <c r="D50" s="415"/>
      <c r="E50" s="415"/>
      <c r="F50" s="415"/>
      <c r="G50" s="440"/>
      <c r="I50" s="414"/>
      <c r="J50" s="445"/>
    </row>
    <row r="51" spans="1:12" ht="14.25" thickBot="1" x14ac:dyDescent="0.25">
      <c r="A51" s="419" t="s">
        <v>730</v>
      </c>
      <c r="B51" s="427" t="s">
        <v>731</v>
      </c>
      <c r="C51" s="414"/>
      <c r="D51" s="415"/>
      <c r="E51" s="415"/>
      <c r="F51" s="415"/>
      <c r="G51" s="442">
        <f>SUM(F51:F53)</f>
        <v>1403.06</v>
      </c>
      <c r="H51" s="428">
        <f>ROUND(G51/$F$182,4)</f>
        <v>8.9999999999999993E-3</v>
      </c>
      <c r="I51" s="414"/>
      <c r="J51" s="445"/>
    </row>
    <row r="52" spans="1:12" x14ac:dyDescent="0.2">
      <c r="A52" s="414" t="s">
        <v>2110</v>
      </c>
      <c r="B52" s="412" t="s">
        <v>2239</v>
      </c>
      <c r="C52" s="414" t="s">
        <v>1520</v>
      </c>
      <c r="D52" s="415">
        <v>146</v>
      </c>
      <c r="E52" s="415">
        <f>IF($A52=0,"",ROUND(J52*$J$6,2))</f>
        <v>9.61</v>
      </c>
      <c r="F52" s="415">
        <f>IF($A52=0,"",ROUND(D52*E52,2))</f>
        <v>1403.06</v>
      </c>
      <c r="G52" s="440"/>
      <c r="I52" s="414"/>
      <c r="J52" s="445">
        <f>'1.8'!$H$56</f>
        <v>9.61</v>
      </c>
      <c r="K52" s="444">
        <f>'1.8'!$H$26</f>
        <v>2.2200000000000002</v>
      </c>
      <c r="L52" s="444">
        <f t="shared" si="0"/>
        <v>324.12</v>
      </c>
    </row>
    <row r="53" spans="1:12" ht="14.25" thickBot="1" x14ac:dyDescent="0.25">
      <c r="A53" s="414"/>
      <c r="C53" s="414"/>
      <c r="D53" s="415"/>
      <c r="E53" s="415"/>
      <c r="F53" s="415"/>
      <c r="G53" s="440"/>
      <c r="I53" s="414"/>
      <c r="J53" s="445"/>
    </row>
    <row r="54" spans="1:12" ht="14.25" thickBot="1" x14ac:dyDescent="0.25">
      <c r="A54" s="419" t="s">
        <v>728</v>
      </c>
      <c r="B54" s="427" t="s">
        <v>1557</v>
      </c>
      <c r="C54" s="414"/>
      <c r="D54" s="415"/>
      <c r="E54" s="415"/>
      <c r="F54" s="415"/>
      <c r="G54" s="442">
        <f>SUM(F54:F78)</f>
        <v>30584.02</v>
      </c>
      <c r="H54" s="428">
        <f>ROUND(G54/$F$182,4)</f>
        <v>0.19539999999999999</v>
      </c>
      <c r="I54" s="414"/>
      <c r="J54" s="445"/>
    </row>
    <row r="55" spans="1:12" x14ac:dyDescent="0.2">
      <c r="A55" s="414" t="s">
        <v>2111</v>
      </c>
      <c r="B55" s="412" t="s">
        <v>276</v>
      </c>
      <c r="C55" s="414" t="s">
        <v>1520</v>
      </c>
      <c r="D55" s="415">
        <v>174.56</v>
      </c>
      <c r="E55" s="415">
        <f t="shared" ref="E55:E77" si="3">IF($A55=0,"",ROUND(J55*$J$6,2))</f>
        <v>14.59</v>
      </c>
      <c r="F55" s="415">
        <f t="shared" ref="F55:F77" si="4">IF($A55=0,"",ROUND(D55*E55,2))</f>
        <v>2546.83</v>
      </c>
      <c r="G55" s="440"/>
      <c r="I55" s="414"/>
      <c r="J55" s="445">
        <f>'1.9'!$H$56</f>
        <v>14.59</v>
      </c>
      <c r="K55" s="444">
        <f>'1.9'!$H$26</f>
        <v>5.0599999999999996</v>
      </c>
      <c r="L55" s="444">
        <f t="shared" si="0"/>
        <v>883.27</v>
      </c>
    </row>
    <row r="56" spans="1:12" x14ac:dyDescent="0.2">
      <c r="A56" s="414" t="s">
        <v>2112</v>
      </c>
      <c r="B56" s="412" t="s">
        <v>1555</v>
      </c>
      <c r="C56" s="414" t="s">
        <v>1520</v>
      </c>
      <c r="D56" s="415">
        <v>389.33</v>
      </c>
      <c r="E56" s="415">
        <f t="shared" si="3"/>
        <v>10.88</v>
      </c>
      <c r="F56" s="415">
        <f t="shared" si="4"/>
        <v>4235.91</v>
      </c>
      <c r="G56" s="440"/>
      <c r="I56" s="414"/>
      <c r="J56" s="445">
        <f>'1.9'!$H$168</f>
        <v>10.88</v>
      </c>
      <c r="K56" s="444">
        <f>'1.9'!$H$138</f>
        <v>4.0599999999999996</v>
      </c>
      <c r="L56" s="444">
        <f t="shared" si="0"/>
        <v>1580.68</v>
      </c>
    </row>
    <row r="57" spans="1:12" x14ac:dyDescent="0.2">
      <c r="A57" s="414" t="s">
        <v>2113</v>
      </c>
      <c r="B57" s="412" t="s">
        <v>1776</v>
      </c>
      <c r="C57" s="414" t="s">
        <v>961</v>
      </c>
      <c r="D57" s="415">
        <f>66.02*2</f>
        <v>132.04</v>
      </c>
      <c r="E57" s="415">
        <f t="shared" si="3"/>
        <v>18.22</v>
      </c>
      <c r="F57" s="415">
        <f t="shared" si="4"/>
        <v>2405.77</v>
      </c>
      <c r="G57" s="440"/>
      <c r="I57" s="414"/>
      <c r="J57" s="445">
        <f>'1.9'!$H$280</f>
        <v>18.22</v>
      </c>
      <c r="K57" s="444">
        <f>'1.9'!$H$250</f>
        <v>6.89</v>
      </c>
      <c r="L57" s="444">
        <f t="shared" si="0"/>
        <v>909.76</v>
      </c>
    </row>
    <row r="58" spans="1:12" x14ac:dyDescent="0.2">
      <c r="A58" s="414" t="s">
        <v>2114</v>
      </c>
      <c r="B58" s="412" t="s">
        <v>1777</v>
      </c>
      <c r="C58" s="414" t="s">
        <v>961</v>
      </c>
      <c r="D58" s="415">
        <f>139.93*2</f>
        <v>279.86</v>
      </c>
      <c r="E58" s="415">
        <f t="shared" si="3"/>
        <v>10.54</v>
      </c>
      <c r="F58" s="415">
        <f t="shared" si="4"/>
        <v>2949.72</v>
      </c>
      <c r="G58" s="440"/>
      <c r="I58" s="414"/>
      <c r="J58" s="445">
        <f>'1.9'!$H$392</f>
        <v>10.54</v>
      </c>
      <c r="K58" s="444">
        <f>'1.9'!$H$362</f>
        <v>4.6100000000000003</v>
      </c>
      <c r="L58" s="444">
        <f t="shared" si="0"/>
        <v>1290.1500000000001</v>
      </c>
    </row>
    <row r="59" spans="1:12" x14ac:dyDescent="0.2">
      <c r="A59" s="414" t="s">
        <v>2115</v>
      </c>
      <c r="B59" s="412" t="s">
        <v>1549</v>
      </c>
      <c r="C59" s="414" t="s">
        <v>1520</v>
      </c>
      <c r="D59" s="415">
        <v>854.18</v>
      </c>
      <c r="E59" s="415">
        <f t="shared" si="3"/>
        <v>5.6</v>
      </c>
      <c r="F59" s="415">
        <f t="shared" si="4"/>
        <v>4783.41</v>
      </c>
      <c r="G59" s="440"/>
      <c r="I59" s="414"/>
      <c r="J59" s="445">
        <f>'1.9'!$H$784</f>
        <v>5.6</v>
      </c>
      <c r="K59" s="444">
        <f>'1.9'!$H$754</f>
        <v>4.0599999999999996</v>
      </c>
      <c r="L59" s="444">
        <f t="shared" si="0"/>
        <v>3467.97</v>
      </c>
    </row>
    <row r="60" spans="1:12" x14ac:dyDescent="0.2">
      <c r="A60" s="414" t="s">
        <v>2116</v>
      </c>
      <c r="B60" s="429" t="s">
        <v>1388</v>
      </c>
      <c r="C60" s="414" t="s">
        <v>1520</v>
      </c>
      <c r="D60" s="415">
        <v>340.18</v>
      </c>
      <c r="E60" s="415">
        <f t="shared" si="3"/>
        <v>6.71</v>
      </c>
      <c r="F60" s="415">
        <f t="shared" si="4"/>
        <v>2282.61</v>
      </c>
      <c r="G60" s="440"/>
      <c r="I60" s="414"/>
      <c r="J60" s="445">
        <f>'1.9'!$H$840</f>
        <v>6.71</v>
      </c>
      <c r="K60" s="444">
        <f>'1.9'!$H$810</f>
        <v>4.45</v>
      </c>
      <c r="L60" s="444">
        <f t="shared" si="0"/>
        <v>1513.8</v>
      </c>
    </row>
    <row r="61" spans="1:12" x14ac:dyDescent="0.2">
      <c r="A61" s="414" t="s">
        <v>2117</v>
      </c>
      <c r="B61" s="412" t="s">
        <v>1547</v>
      </c>
      <c r="C61" s="414" t="s">
        <v>1520</v>
      </c>
      <c r="D61" s="415">
        <v>115.47</v>
      </c>
      <c r="E61" s="415">
        <f t="shared" si="3"/>
        <v>6.63</v>
      </c>
      <c r="F61" s="415">
        <f t="shared" si="4"/>
        <v>765.57</v>
      </c>
      <c r="G61" s="440"/>
      <c r="I61" s="414"/>
      <c r="J61" s="445">
        <f>'1.9'!$H$896</f>
        <v>6.63</v>
      </c>
      <c r="K61" s="444">
        <f>'1.9'!$H$866</f>
        <v>5.0599999999999996</v>
      </c>
      <c r="L61" s="444">
        <f t="shared" si="0"/>
        <v>584.28</v>
      </c>
    </row>
    <row r="62" spans="1:12" x14ac:dyDescent="0.2">
      <c r="A62" s="414" t="s">
        <v>2118</v>
      </c>
      <c r="B62" s="412" t="s">
        <v>54</v>
      </c>
      <c r="C62" s="414" t="s">
        <v>1520</v>
      </c>
      <c r="D62" s="415">
        <f>24.3+1+11+29.65</f>
        <v>65.949999999999989</v>
      </c>
      <c r="E62" s="415">
        <f t="shared" si="3"/>
        <v>6.93</v>
      </c>
      <c r="F62" s="415">
        <f t="shared" si="4"/>
        <v>457.03</v>
      </c>
      <c r="G62" s="440"/>
      <c r="I62" s="414"/>
      <c r="J62" s="445">
        <f>'1.9'!$H$952</f>
        <v>6.93</v>
      </c>
      <c r="K62" s="444">
        <f>'1.9'!$H$922</f>
        <v>4.45</v>
      </c>
      <c r="L62" s="444">
        <f t="shared" si="0"/>
        <v>293.48</v>
      </c>
    </row>
    <row r="63" spans="1:12" x14ac:dyDescent="0.2">
      <c r="A63" s="414" t="s">
        <v>2119</v>
      </c>
      <c r="B63" s="429" t="s">
        <v>2240</v>
      </c>
      <c r="C63" s="414" t="s">
        <v>1520</v>
      </c>
      <c r="D63" s="415">
        <f>24.3+1+11+29.65</f>
        <v>65.949999999999989</v>
      </c>
      <c r="E63" s="415">
        <f t="shared" si="3"/>
        <v>6.93</v>
      </c>
      <c r="F63" s="415">
        <f t="shared" si="4"/>
        <v>457.03</v>
      </c>
      <c r="G63" s="440"/>
      <c r="I63" s="414"/>
      <c r="J63" s="445">
        <f>'1.9'!$H$952</f>
        <v>6.93</v>
      </c>
      <c r="K63" s="444">
        <f>'1.9'!$H$922</f>
        <v>4.45</v>
      </c>
      <c r="L63" s="444">
        <f t="shared" si="0"/>
        <v>293.48</v>
      </c>
    </row>
    <row r="64" spans="1:12" x14ac:dyDescent="0.2">
      <c r="A64" s="414" t="s">
        <v>1544</v>
      </c>
      <c r="B64" s="412" t="s">
        <v>1845</v>
      </c>
      <c r="C64" s="414" t="s">
        <v>1520</v>
      </c>
      <c r="D64" s="415">
        <f>9.77*2</f>
        <v>19.54</v>
      </c>
      <c r="E64" s="415">
        <f t="shared" si="3"/>
        <v>7.43</v>
      </c>
      <c r="F64" s="415">
        <f t="shared" si="4"/>
        <v>145.18</v>
      </c>
      <c r="G64" s="440"/>
      <c r="I64" s="414"/>
      <c r="J64" s="445">
        <f>'1.9'!$H$1120</f>
        <v>7.43</v>
      </c>
      <c r="K64" s="444">
        <f>'1.9'!$H$1090</f>
        <v>5.47</v>
      </c>
      <c r="L64" s="444">
        <f t="shared" si="0"/>
        <v>106.88</v>
      </c>
    </row>
    <row r="65" spans="1:12" x14ac:dyDescent="0.2">
      <c r="A65" s="414" t="s">
        <v>665</v>
      </c>
      <c r="B65" s="412" t="s">
        <v>1844</v>
      </c>
      <c r="C65" s="414" t="s">
        <v>961</v>
      </c>
      <c r="D65" s="415">
        <f>+D66*2</f>
        <v>367.2</v>
      </c>
      <c r="E65" s="415">
        <f t="shared" si="3"/>
        <v>1.86</v>
      </c>
      <c r="F65" s="415">
        <f t="shared" si="4"/>
        <v>682.99</v>
      </c>
      <c r="G65" s="440"/>
      <c r="I65" s="414"/>
      <c r="J65" s="445">
        <f>'1.9'!$H$1232</f>
        <v>1.86</v>
      </c>
      <c r="K65" s="444">
        <f>'1.9'!$H$1202</f>
        <v>1.31</v>
      </c>
      <c r="L65" s="444">
        <f t="shared" si="0"/>
        <v>481.03</v>
      </c>
    </row>
    <row r="66" spans="1:12" x14ac:dyDescent="0.2">
      <c r="A66" s="414" t="s">
        <v>666</v>
      </c>
      <c r="B66" s="412" t="s">
        <v>1396</v>
      </c>
      <c r="C66" s="414" t="s">
        <v>961</v>
      </c>
      <c r="D66" s="415">
        <v>183.6</v>
      </c>
      <c r="E66" s="415">
        <f t="shared" si="3"/>
        <v>3.94</v>
      </c>
      <c r="F66" s="415">
        <f t="shared" si="4"/>
        <v>723.38</v>
      </c>
      <c r="G66" s="440"/>
      <c r="I66" s="414"/>
      <c r="J66" s="445">
        <f>'1.9'!$H$1288</f>
        <v>3.94</v>
      </c>
      <c r="K66" s="444">
        <f>'1.9'!$H$1258</f>
        <v>2.83</v>
      </c>
      <c r="L66" s="444">
        <f t="shared" si="0"/>
        <v>519.59</v>
      </c>
    </row>
    <row r="67" spans="1:12" x14ac:dyDescent="0.2">
      <c r="A67" s="414" t="s">
        <v>1543</v>
      </c>
      <c r="B67" s="412" t="s">
        <v>1872</v>
      </c>
      <c r="C67" s="414" t="s">
        <v>961</v>
      </c>
      <c r="D67" s="415">
        <f>58.6+3.83+4.59</f>
        <v>67.02</v>
      </c>
      <c r="E67" s="415">
        <f t="shared" si="3"/>
        <v>31.74</v>
      </c>
      <c r="F67" s="415">
        <f t="shared" si="4"/>
        <v>2127.21</v>
      </c>
      <c r="G67" s="440"/>
      <c r="I67" s="414"/>
      <c r="J67" s="445">
        <f>'1.9'!$H$1344</f>
        <v>31.74</v>
      </c>
      <c r="K67" s="444">
        <f>'1.9'!$H$1314</f>
        <v>12.96</v>
      </c>
      <c r="L67" s="444">
        <f t="shared" si="0"/>
        <v>868.58</v>
      </c>
    </row>
    <row r="68" spans="1:12" x14ac:dyDescent="0.2">
      <c r="A68" s="414" t="s">
        <v>1542</v>
      </c>
      <c r="B68" s="412" t="s">
        <v>2058</v>
      </c>
      <c r="C68" s="414" t="s">
        <v>961</v>
      </c>
      <c r="D68" s="415">
        <f>(2.5*2+2+7+1.6+6.5*2+2.1*4+3.4+3.5)+(3.6+2.4+3.85+3.1+2.3*2+2.1*2+3.5*2+2.1*2+0.7+1.6)+(2.3+3.1+1.4+1.35+6.45+0.5+0.5+0.8+0.8)+(0.8+1.6+0.6+1+0.7)</f>
        <v>101.05000000000001</v>
      </c>
      <c r="E68" s="415">
        <f t="shared" si="3"/>
        <v>14.93</v>
      </c>
      <c r="F68" s="415">
        <f t="shared" si="4"/>
        <v>1508.68</v>
      </c>
      <c r="G68" s="440"/>
      <c r="I68" s="414"/>
      <c r="J68" s="445">
        <f>'1.9'!$H$1400</f>
        <v>14.93</v>
      </c>
      <c r="K68" s="444">
        <f>'1.9'!$H$1314</f>
        <v>12.96</v>
      </c>
      <c r="L68" s="444">
        <f t="shared" si="0"/>
        <v>1309.6099999999999</v>
      </c>
    </row>
    <row r="69" spans="1:12" x14ac:dyDescent="0.2">
      <c r="A69" s="414" t="s">
        <v>1541</v>
      </c>
      <c r="B69" s="412" t="s">
        <v>2184</v>
      </c>
      <c r="C69" s="414" t="s">
        <v>961</v>
      </c>
      <c r="D69" s="415">
        <f>2.85+1.75+3.15</f>
        <v>7.75</v>
      </c>
      <c r="E69" s="415">
        <f t="shared" si="3"/>
        <v>96.15</v>
      </c>
      <c r="F69" s="415">
        <f t="shared" si="4"/>
        <v>745.16</v>
      </c>
      <c r="G69" s="440"/>
      <c r="I69" s="414"/>
      <c r="J69" s="445">
        <f>'1.9'!$H$1568</f>
        <v>96.15</v>
      </c>
      <c r="K69" s="444">
        <f>'1.9'!$H$1538</f>
        <v>60.7</v>
      </c>
      <c r="L69" s="444">
        <f t="shared" si="0"/>
        <v>470.43</v>
      </c>
    </row>
    <row r="70" spans="1:12" x14ac:dyDescent="0.2">
      <c r="A70" s="414" t="s">
        <v>667</v>
      </c>
      <c r="B70" s="412" t="s">
        <v>2241</v>
      </c>
      <c r="C70" s="414" t="s">
        <v>961</v>
      </c>
      <c r="D70" s="415">
        <f>1+0.9+0.9+2.25</f>
        <v>5.05</v>
      </c>
      <c r="E70" s="415">
        <f t="shared" si="3"/>
        <v>61.17</v>
      </c>
      <c r="F70" s="415">
        <f t="shared" si="4"/>
        <v>308.91000000000003</v>
      </c>
      <c r="G70" s="440"/>
      <c r="I70" s="414"/>
      <c r="J70" s="445">
        <f>'1.9'!$H$1512</f>
        <v>61.17</v>
      </c>
      <c r="K70" s="444">
        <f>'1.9'!$H$1482</f>
        <v>35.409999999999997</v>
      </c>
      <c r="L70" s="444">
        <f t="shared" si="0"/>
        <v>178.82</v>
      </c>
    </row>
    <row r="71" spans="1:12" x14ac:dyDescent="0.2">
      <c r="A71" s="414" t="s">
        <v>1539</v>
      </c>
      <c r="B71" s="412" t="s">
        <v>2185</v>
      </c>
      <c r="C71" s="414" t="s">
        <v>961</v>
      </c>
      <c r="D71" s="415">
        <f>1.4*3</f>
        <v>4.1999999999999993</v>
      </c>
      <c r="E71" s="415">
        <f t="shared" si="3"/>
        <v>49.66</v>
      </c>
      <c r="F71" s="415">
        <f t="shared" si="4"/>
        <v>208.57</v>
      </c>
      <c r="G71" s="440"/>
      <c r="I71" s="414"/>
      <c r="J71" s="445">
        <f>'1.9'!$H$1736</f>
        <v>49.66</v>
      </c>
      <c r="K71" s="444">
        <f>'1.9'!$H$1650</f>
        <v>8.09</v>
      </c>
      <c r="L71" s="444">
        <f t="shared" si="0"/>
        <v>33.979999999999997</v>
      </c>
    </row>
    <row r="72" spans="1:12" x14ac:dyDescent="0.2">
      <c r="A72" s="414" t="s">
        <v>1538</v>
      </c>
      <c r="B72" s="412" t="s">
        <v>1879</v>
      </c>
      <c r="C72" s="414" t="s">
        <v>1506</v>
      </c>
      <c r="D72" s="415">
        <v>7</v>
      </c>
      <c r="E72" s="415">
        <f t="shared" si="3"/>
        <v>199.7</v>
      </c>
      <c r="F72" s="415">
        <f t="shared" si="4"/>
        <v>1397.9</v>
      </c>
      <c r="G72" s="440"/>
      <c r="I72" s="414"/>
      <c r="J72" s="445">
        <f>'1.9'!$H$1792</f>
        <v>199.7</v>
      </c>
      <c r="K72" s="444">
        <f>'1.9'!$H$1762</f>
        <v>109.78</v>
      </c>
      <c r="L72" s="444">
        <f t="shared" si="0"/>
        <v>768.46</v>
      </c>
    </row>
    <row r="73" spans="1:12" x14ac:dyDescent="0.2">
      <c r="A73" s="414" t="s">
        <v>1537</v>
      </c>
      <c r="B73" s="412" t="s">
        <v>1880</v>
      </c>
      <c r="C73" s="414" t="s">
        <v>1506</v>
      </c>
      <c r="D73" s="415">
        <v>2</v>
      </c>
      <c r="E73" s="415">
        <f t="shared" si="3"/>
        <v>138.63</v>
      </c>
      <c r="F73" s="415">
        <f t="shared" si="4"/>
        <v>277.26</v>
      </c>
      <c r="G73" s="440"/>
      <c r="I73" s="414"/>
      <c r="J73" s="445">
        <f>'1.9'!$H$1848</f>
        <v>138.63</v>
      </c>
      <c r="K73" s="444">
        <f>'1.9'!$H$1818</f>
        <v>89.06</v>
      </c>
      <c r="L73" s="444">
        <f t="shared" si="0"/>
        <v>178.12</v>
      </c>
    </row>
    <row r="74" spans="1:12" x14ac:dyDescent="0.2">
      <c r="A74" s="414" t="s">
        <v>663</v>
      </c>
      <c r="B74" s="412" t="s">
        <v>2037</v>
      </c>
      <c r="C74" s="414" t="s">
        <v>1506</v>
      </c>
      <c r="D74" s="415">
        <v>1</v>
      </c>
      <c r="E74" s="415">
        <f t="shared" si="3"/>
        <v>180.63</v>
      </c>
      <c r="F74" s="415">
        <f t="shared" si="4"/>
        <v>180.63</v>
      </c>
      <c r="G74" s="440"/>
      <c r="I74" s="414"/>
      <c r="J74" s="445">
        <f>'1.9'!$H$1848+42</f>
        <v>180.63</v>
      </c>
      <c r="K74" s="444">
        <f>'1.9'!$H$1818</f>
        <v>89.06</v>
      </c>
      <c r="L74" s="444">
        <f t="shared" si="0"/>
        <v>89.06</v>
      </c>
    </row>
    <row r="75" spans="1:12" x14ac:dyDescent="0.2">
      <c r="A75" s="414" t="s">
        <v>1849</v>
      </c>
      <c r="B75" s="412" t="s">
        <v>1785</v>
      </c>
      <c r="C75" s="414" t="s">
        <v>1506</v>
      </c>
      <c r="D75" s="415">
        <v>2</v>
      </c>
      <c r="E75" s="415">
        <f t="shared" si="3"/>
        <v>69.27</v>
      </c>
      <c r="F75" s="415">
        <f t="shared" si="4"/>
        <v>138.54</v>
      </c>
      <c r="G75" s="440"/>
      <c r="I75" s="414"/>
      <c r="J75" s="445">
        <f>('1.9'!$H$2128)/2</f>
        <v>69.27</v>
      </c>
      <c r="K75" s="444">
        <f>K73/2</f>
        <v>44.53</v>
      </c>
      <c r="L75" s="444">
        <f t="shared" si="0"/>
        <v>89.06</v>
      </c>
    </row>
    <row r="76" spans="1:12" x14ac:dyDescent="0.2">
      <c r="A76" s="414" t="s">
        <v>122</v>
      </c>
      <c r="B76" s="429" t="s">
        <v>1846</v>
      </c>
      <c r="C76" s="414" t="s">
        <v>1520</v>
      </c>
      <c r="D76" s="415">
        <v>24</v>
      </c>
      <c r="E76" s="415">
        <f t="shared" si="3"/>
        <v>6.71</v>
      </c>
      <c r="F76" s="415">
        <f t="shared" si="4"/>
        <v>161.04</v>
      </c>
      <c r="G76" s="440"/>
      <c r="I76" s="414"/>
      <c r="J76" s="445">
        <f>'1.9'!$H$840</f>
        <v>6.71</v>
      </c>
      <c r="K76" s="444">
        <f>'1.9'!$H$810</f>
        <v>4.45</v>
      </c>
      <c r="L76" s="444">
        <f t="shared" si="0"/>
        <v>106.8</v>
      </c>
    </row>
    <row r="77" spans="1:12" x14ac:dyDescent="0.2">
      <c r="A77" s="414" t="s">
        <v>2059</v>
      </c>
      <c r="B77" s="412" t="s">
        <v>2060</v>
      </c>
      <c r="C77" s="414" t="s">
        <v>1520</v>
      </c>
      <c r="D77" s="415">
        <f>24.3+1+11+29.65+24</f>
        <v>89.949999999999989</v>
      </c>
      <c r="E77" s="415">
        <f t="shared" si="3"/>
        <v>12.17</v>
      </c>
      <c r="F77" s="415">
        <f t="shared" si="4"/>
        <v>1094.69</v>
      </c>
      <c r="G77" s="440"/>
      <c r="I77" s="414"/>
      <c r="J77" s="445">
        <f>'1.9'!$H$1904</f>
        <v>12.17</v>
      </c>
      <c r="K77" s="444">
        <f>'1.9'!$H$1874</f>
        <v>3.04</v>
      </c>
      <c r="L77" s="444">
        <f t="shared" ref="L77:L140" si="5">ROUND(K77*D77,2)</f>
        <v>273.45</v>
      </c>
    </row>
    <row r="78" spans="1:12" x14ac:dyDescent="0.2">
      <c r="A78" s="414"/>
      <c r="C78" s="414"/>
      <c r="D78" s="415"/>
      <c r="E78" s="415"/>
      <c r="F78" s="415"/>
      <c r="G78" s="440"/>
      <c r="I78" s="414"/>
      <c r="J78" s="445"/>
    </row>
    <row r="79" spans="1:12" ht="14.25" thickBot="1" x14ac:dyDescent="0.25">
      <c r="A79" s="414"/>
      <c r="C79" s="414"/>
      <c r="D79" s="415"/>
      <c r="E79" s="415"/>
      <c r="F79" s="415"/>
      <c r="G79" s="440"/>
      <c r="I79" s="414"/>
      <c r="J79" s="445"/>
    </row>
    <row r="80" spans="1:12" ht="14.25" thickBot="1" x14ac:dyDescent="0.25">
      <c r="A80" s="420" t="s">
        <v>727</v>
      </c>
      <c r="B80" s="421" t="s">
        <v>210</v>
      </c>
      <c r="C80" s="422"/>
      <c r="D80" s="423"/>
      <c r="E80" s="424"/>
      <c r="F80" s="424"/>
      <c r="G80" s="441">
        <f>SUM(F82:F123)</f>
        <v>53908.76</v>
      </c>
      <c r="H80" s="425">
        <f>ROUND(G80/$F$182,4)</f>
        <v>0.34439999999999998</v>
      </c>
      <c r="I80" s="414"/>
      <c r="J80" s="445"/>
    </row>
    <row r="81" spans="1:12" ht="14.25" thickBot="1" x14ac:dyDescent="0.25">
      <c r="A81" s="419"/>
      <c r="B81" s="426"/>
      <c r="C81" s="419"/>
      <c r="D81" s="417"/>
      <c r="E81" s="416"/>
      <c r="F81" s="416"/>
      <c r="G81" s="440"/>
      <c r="I81" s="414"/>
      <c r="J81" s="445"/>
    </row>
    <row r="82" spans="1:12" ht="14.25" thickBot="1" x14ac:dyDescent="0.25">
      <c r="A82" s="419" t="s">
        <v>726</v>
      </c>
      <c r="B82" s="427" t="s">
        <v>2242</v>
      </c>
      <c r="C82" s="414"/>
      <c r="D82" s="415"/>
      <c r="E82" s="415"/>
      <c r="F82" s="415"/>
      <c r="G82" s="442">
        <f>SUM(F82:F93)</f>
        <v>19496.41</v>
      </c>
      <c r="H82" s="428">
        <f>ROUND(G82/$F$182,4)</f>
        <v>0.1246</v>
      </c>
      <c r="I82" s="414"/>
      <c r="J82" s="445"/>
    </row>
    <row r="83" spans="1:12" x14ac:dyDescent="0.2">
      <c r="A83" s="414" t="s">
        <v>2120</v>
      </c>
      <c r="B83" s="412" t="s">
        <v>1847</v>
      </c>
      <c r="C83" s="414" t="s">
        <v>1520</v>
      </c>
      <c r="D83" s="415">
        <f>D59-D86</f>
        <v>675.68</v>
      </c>
      <c r="E83" s="415">
        <f t="shared" ref="E83:E91" si="6">IF($A83=0,"",ROUND(J83*$J$6,2))</f>
        <v>5.7</v>
      </c>
      <c r="F83" s="415">
        <f t="shared" ref="F83:F91" si="7">IF($A83=0,"",ROUND(D83*E83,2))</f>
        <v>3851.38</v>
      </c>
      <c r="G83" s="440"/>
      <c r="H83" s="412"/>
      <c r="I83" s="414"/>
      <c r="J83" s="445">
        <f>'2.1'!$H$56</f>
        <v>5.7</v>
      </c>
      <c r="K83" s="444">
        <f>'2.1'!$H$26</f>
        <v>1.97</v>
      </c>
      <c r="L83" s="444">
        <f t="shared" si="5"/>
        <v>1331.09</v>
      </c>
    </row>
    <row r="84" spans="1:12" x14ac:dyDescent="0.2">
      <c r="A84" s="414" t="s">
        <v>2121</v>
      </c>
      <c r="B84" s="412" t="s">
        <v>1848</v>
      </c>
      <c r="C84" s="414" t="s">
        <v>1520</v>
      </c>
      <c r="D84" s="415">
        <f>D62</f>
        <v>65.949999999999989</v>
      </c>
      <c r="E84" s="415">
        <f t="shared" si="6"/>
        <v>5.7</v>
      </c>
      <c r="F84" s="415">
        <f t="shared" si="7"/>
        <v>375.92</v>
      </c>
      <c r="G84" s="440"/>
      <c r="H84" s="412"/>
      <c r="I84" s="414"/>
      <c r="J84" s="445">
        <f>'2.1'!$H$56</f>
        <v>5.7</v>
      </c>
      <c r="K84" s="444">
        <f>'2.1'!$H$26</f>
        <v>1.97</v>
      </c>
      <c r="L84" s="444">
        <f t="shared" si="5"/>
        <v>129.91999999999999</v>
      </c>
    </row>
    <row r="85" spans="1:12" x14ac:dyDescent="0.2">
      <c r="A85" s="414" t="s">
        <v>2122</v>
      </c>
      <c r="B85" s="429" t="s">
        <v>1430</v>
      </c>
      <c r="C85" s="414" t="s">
        <v>1520</v>
      </c>
      <c r="D85" s="415">
        <f>D60</f>
        <v>340.18</v>
      </c>
      <c r="E85" s="415">
        <f t="shared" si="6"/>
        <v>5.73</v>
      </c>
      <c r="F85" s="415">
        <f t="shared" si="7"/>
        <v>1949.23</v>
      </c>
      <c r="G85" s="440"/>
      <c r="H85" s="412"/>
      <c r="I85" s="414"/>
      <c r="J85" s="445">
        <f>'2.1'!$H$112</f>
        <v>5.73</v>
      </c>
      <c r="K85" s="444">
        <f>'2.1'!$H$82</f>
        <v>2.25</v>
      </c>
      <c r="L85" s="444">
        <f t="shared" si="5"/>
        <v>765.41</v>
      </c>
    </row>
    <row r="86" spans="1:12" x14ac:dyDescent="0.2">
      <c r="A86" s="414" t="s">
        <v>2123</v>
      </c>
      <c r="B86" s="412" t="s">
        <v>1533</v>
      </c>
      <c r="C86" s="414" t="s">
        <v>1520</v>
      </c>
      <c r="D86" s="415">
        <v>178.5</v>
      </c>
      <c r="E86" s="415">
        <f t="shared" si="6"/>
        <v>19.989999999999998</v>
      </c>
      <c r="F86" s="415">
        <f t="shared" si="7"/>
        <v>3568.22</v>
      </c>
      <c r="G86" s="440"/>
      <c r="H86" s="412"/>
      <c r="I86" s="414"/>
      <c r="J86" s="445">
        <f>'2.1'!$H$168</f>
        <v>19.989999999999998</v>
      </c>
      <c r="K86" s="444">
        <f>'2.1'!$H$138</f>
        <v>5.0599999999999996</v>
      </c>
      <c r="L86" s="444">
        <f t="shared" si="5"/>
        <v>903.21</v>
      </c>
    </row>
    <row r="87" spans="1:12" x14ac:dyDescent="0.2">
      <c r="A87" s="414" t="s">
        <v>2124</v>
      </c>
      <c r="B87" s="412" t="s">
        <v>74</v>
      </c>
      <c r="C87" s="414" t="s">
        <v>961</v>
      </c>
      <c r="D87" s="415">
        <f>2.85+1.75+3.15</f>
        <v>7.75</v>
      </c>
      <c r="E87" s="415">
        <f t="shared" si="6"/>
        <v>87.71</v>
      </c>
      <c r="F87" s="415">
        <f t="shared" si="7"/>
        <v>679.75</v>
      </c>
      <c r="G87" s="440"/>
      <c r="H87" s="412"/>
      <c r="I87" s="414"/>
      <c r="J87" s="445">
        <f>'2.1'!$H$336</f>
        <v>87.71</v>
      </c>
      <c r="K87" s="444">
        <f>'2.1'!$H$306</f>
        <v>33.659999999999997</v>
      </c>
      <c r="L87" s="444">
        <f t="shared" si="5"/>
        <v>260.87</v>
      </c>
    </row>
    <row r="88" spans="1:12" x14ac:dyDescent="0.2">
      <c r="A88" s="414" t="s">
        <v>2125</v>
      </c>
      <c r="B88" s="412" t="s">
        <v>2243</v>
      </c>
      <c r="C88" s="414" t="s">
        <v>961</v>
      </c>
      <c r="D88" s="415">
        <f>1+0.9+0.9+2.25</f>
        <v>5.05</v>
      </c>
      <c r="E88" s="415">
        <f t="shared" si="6"/>
        <v>87.71</v>
      </c>
      <c r="F88" s="415">
        <f t="shared" si="7"/>
        <v>442.94</v>
      </c>
      <c r="G88" s="440"/>
      <c r="H88" s="412"/>
      <c r="I88" s="414"/>
      <c r="J88" s="445">
        <f>'2.1'!$H$336</f>
        <v>87.71</v>
      </c>
      <c r="K88" s="444">
        <f>'2.1'!$H$306</f>
        <v>33.659999999999997</v>
      </c>
      <c r="L88" s="444">
        <f t="shared" si="5"/>
        <v>169.98</v>
      </c>
    </row>
    <row r="89" spans="1:12" x14ac:dyDescent="0.2">
      <c r="A89" s="414" t="s">
        <v>2126</v>
      </c>
      <c r="B89" s="412" t="s">
        <v>1457</v>
      </c>
      <c r="C89" s="414" t="s">
        <v>1520</v>
      </c>
      <c r="D89" s="415">
        <f>127.03+92.71</f>
        <v>219.74</v>
      </c>
      <c r="E89" s="415">
        <f t="shared" si="6"/>
        <v>28.54</v>
      </c>
      <c r="F89" s="415">
        <f t="shared" si="7"/>
        <v>6271.38</v>
      </c>
      <c r="G89" s="440" t="s">
        <v>671</v>
      </c>
      <c r="H89" s="412"/>
      <c r="I89" s="414"/>
      <c r="J89" s="445">
        <f>'2.1'!$H$392</f>
        <v>28.54</v>
      </c>
      <c r="K89" s="444">
        <f>'2.1'!$H$362</f>
        <v>5.56</v>
      </c>
      <c r="L89" s="444">
        <f t="shared" si="5"/>
        <v>1221.75</v>
      </c>
    </row>
    <row r="90" spans="1:12" x14ac:dyDescent="0.2">
      <c r="A90" s="414" t="s">
        <v>2127</v>
      </c>
      <c r="B90" s="412" t="s">
        <v>1869</v>
      </c>
      <c r="C90" s="414" t="s">
        <v>1520</v>
      </c>
      <c r="D90" s="415">
        <f>18.34+22.52</f>
        <v>40.86</v>
      </c>
      <c r="E90" s="415">
        <f t="shared" si="6"/>
        <v>21.08</v>
      </c>
      <c r="F90" s="415">
        <f t="shared" si="7"/>
        <v>861.33</v>
      </c>
      <c r="G90" s="440"/>
      <c r="H90" s="412"/>
      <c r="I90" s="414"/>
      <c r="J90" s="445">
        <f>'2.1'!$H$448</f>
        <v>21.08</v>
      </c>
      <c r="K90" s="444">
        <f>'2.1'!$H$418</f>
        <v>5.0599999999999996</v>
      </c>
      <c r="L90" s="444">
        <f t="shared" si="5"/>
        <v>206.75</v>
      </c>
    </row>
    <row r="91" spans="1:12" x14ac:dyDescent="0.2">
      <c r="A91" s="414" t="s">
        <v>2128</v>
      </c>
      <c r="B91" s="412" t="s">
        <v>1458</v>
      </c>
      <c r="C91" s="414" t="s">
        <v>1520</v>
      </c>
      <c r="D91" s="415">
        <v>9.77</v>
      </c>
      <c r="E91" s="415">
        <f t="shared" si="6"/>
        <v>39.56</v>
      </c>
      <c r="F91" s="415">
        <f t="shared" si="7"/>
        <v>386.5</v>
      </c>
      <c r="G91" s="440"/>
      <c r="H91" s="412"/>
      <c r="I91" s="414"/>
      <c r="J91" s="445">
        <f>'2.1'!$H$504</f>
        <v>39.56</v>
      </c>
      <c r="K91" s="444">
        <f>'2.1'!$H$474</f>
        <v>8.08</v>
      </c>
      <c r="L91" s="444">
        <f t="shared" si="5"/>
        <v>78.94</v>
      </c>
    </row>
    <row r="92" spans="1:12" x14ac:dyDescent="0.2">
      <c r="A92" s="414" t="s">
        <v>204</v>
      </c>
      <c r="B92" s="412" t="s">
        <v>2076</v>
      </c>
      <c r="C92" s="414" t="s">
        <v>961</v>
      </c>
      <c r="D92" s="415">
        <f>(51.7-1.6-0.8-0.7-0.8)+(15.8)+(17.48-0.8*4)+(17.6-0.8-0.7)+(14.2-0.8-1)+(12.48-0.8-0.7)+(15.4-0.8-0.7-0.7)</f>
        <v>130.56000000000003</v>
      </c>
      <c r="E92" s="415">
        <f>IF($A92=0,"",ROUND(J92*$J$6,2))</f>
        <v>8.5</v>
      </c>
      <c r="F92" s="415">
        <f>IF($A92=0,"",ROUND(D92*E92,2))</f>
        <v>1109.76</v>
      </c>
      <c r="G92" s="440"/>
      <c r="H92" s="412"/>
      <c r="I92" s="414"/>
      <c r="J92" s="445">
        <v>8.5</v>
      </c>
      <c r="K92" s="444">
        <f>'2.1'!$H$474</f>
        <v>8.08</v>
      </c>
      <c r="L92" s="444">
        <f t="shared" si="5"/>
        <v>1054.92</v>
      </c>
    </row>
    <row r="93" spans="1:12" ht="14.25" thickBot="1" x14ac:dyDescent="0.25">
      <c r="A93" s="414"/>
      <c r="C93" s="414"/>
      <c r="D93" s="415"/>
      <c r="E93" s="415"/>
      <c r="F93" s="415"/>
      <c r="G93" s="440"/>
      <c r="I93" s="414"/>
      <c r="J93" s="445"/>
    </row>
    <row r="94" spans="1:12" ht="14.25" thickBot="1" x14ac:dyDescent="0.25">
      <c r="A94" s="419" t="s">
        <v>725</v>
      </c>
      <c r="B94" s="427" t="s">
        <v>29</v>
      </c>
      <c r="C94" s="414"/>
      <c r="D94" s="415"/>
      <c r="E94" s="415"/>
      <c r="F94" s="415"/>
      <c r="G94" s="442">
        <f>SUM(F94:F96)</f>
        <v>5930.35</v>
      </c>
      <c r="H94" s="428">
        <f>ROUND(G94/$F$182,4)</f>
        <v>3.7900000000000003E-2</v>
      </c>
      <c r="I94" s="414"/>
      <c r="J94" s="445"/>
    </row>
    <row r="95" spans="1:12" x14ac:dyDescent="0.2">
      <c r="A95" s="414" t="s">
        <v>2129</v>
      </c>
      <c r="B95" s="429" t="s">
        <v>73</v>
      </c>
      <c r="C95" s="414" t="s">
        <v>1520</v>
      </c>
      <c r="D95" s="415">
        <f>148.4-6.17+133.6</f>
        <v>275.83000000000004</v>
      </c>
      <c r="E95" s="415">
        <f>IF($A95=0,"",ROUND(J95*$J$6,2))</f>
        <v>21.5</v>
      </c>
      <c r="F95" s="415">
        <f>IF($A95=0,"",ROUND(D95*E95,2))</f>
        <v>5930.35</v>
      </c>
      <c r="G95" s="440"/>
      <c r="I95" s="414"/>
      <c r="J95" s="445">
        <v>21.5</v>
      </c>
      <c r="K95" s="444">
        <v>3.38</v>
      </c>
      <c r="L95" s="444">
        <f t="shared" si="5"/>
        <v>932.31</v>
      </c>
    </row>
    <row r="96" spans="1:12" ht="14.25" thickBot="1" x14ac:dyDescent="0.25">
      <c r="A96" s="414"/>
      <c r="C96" s="414"/>
      <c r="D96" s="415"/>
      <c r="E96" s="415"/>
      <c r="F96" s="415"/>
      <c r="G96" s="440"/>
      <c r="I96" s="414"/>
      <c r="J96" s="445"/>
    </row>
    <row r="97" spans="1:12" ht="14.25" thickBot="1" x14ac:dyDescent="0.25">
      <c r="A97" s="419" t="s">
        <v>724</v>
      </c>
      <c r="B97" s="427" t="s">
        <v>1843</v>
      </c>
      <c r="C97" s="414"/>
      <c r="D97" s="415"/>
      <c r="E97" s="415"/>
      <c r="F97" s="415"/>
      <c r="G97" s="442">
        <f>SUM(F97:F101)</f>
        <v>8369.2099999999991</v>
      </c>
      <c r="H97" s="428">
        <f>ROUND(G97/$F$182,4)</f>
        <v>5.3499999999999999E-2</v>
      </c>
      <c r="I97" s="414"/>
      <c r="J97" s="445"/>
    </row>
    <row r="98" spans="1:12" x14ac:dyDescent="0.2">
      <c r="A98" s="414" t="s">
        <v>2130</v>
      </c>
      <c r="B98" s="412" t="s">
        <v>1810</v>
      </c>
      <c r="C98" s="414" t="s">
        <v>1520</v>
      </c>
      <c r="D98" s="415">
        <v>70.89</v>
      </c>
      <c r="E98" s="415">
        <f>IF($A98=0,"",ROUND(J98*$J$6,2))</f>
        <v>70.89</v>
      </c>
      <c r="F98" s="415">
        <f>IF($A98=0,"",ROUND(D98*E98,2))</f>
        <v>5025.3900000000003</v>
      </c>
      <c r="G98" s="440"/>
      <c r="H98" s="415"/>
      <c r="I98" s="414"/>
      <c r="J98" s="445">
        <f>'2.3'!$H$56</f>
        <v>70.89</v>
      </c>
      <c r="L98" s="444">
        <f t="shared" si="5"/>
        <v>0</v>
      </c>
    </row>
    <row r="99" spans="1:12" x14ac:dyDescent="0.2">
      <c r="A99" s="414" t="s">
        <v>2131</v>
      </c>
      <c r="B99" s="412" t="s">
        <v>1867</v>
      </c>
      <c r="C99" s="414" t="s">
        <v>1520</v>
      </c>
      <c r="D99" s="415">
        <v>15.29</v>
      </c>
      <c r="E99" s="415">
        <f>IF($A99=0,"",ROUND(J99*$J$6,2))</f>
        <v>130.4</v>
      </c>
      <c r="F99" s="415">
        <f>IF($A99=0,"",ROUND(D99*E99,2))</f>
        <v>1993.82</v>
      </c>
      <c r="G99" s="440"/>
      <c r="H99" s="415"/>
      <c r="I99" s="414"/>
      <c r="J99" s="445">
        <v>130.4</v>
      </c>
      <c r="L99" s="444">
        <f t="shared" si="5"/>
        <v>0</v>
      </c>
    </row>
    <row r="100" spans="1:12" x14ac:dyDescent="0.2">
      <c r="A100" s="414" t="s">
        <v>2132</v>
      </c>
      <c r="B100" s="412" t="s">
        <v>2056</v>
      </c>
      <c r="C100" s="414" t="s">
        <v>961</v>
      </c>
      <c r="D100" s="415">
        <f>2.6+4.9</f>
        <v>7.5</v>
      </c>
      <c r="E100" s="415">
        <f>IF($A100=0,"",ROUND(J100*$J$6,2))</f>
        <v>180</v>
      </c>
      <c r="F100" s="415">
        <f>IF($A100=0,"",ROUND(D100*E100,2))</f>
        <v>1350</v>
      </c>
      <c r="G100" s="440"/>
      <c r="H100" s="415"/>
      <c r="I100" s="414"/>
      <c r="J100" s="445">
        <v>180</v>
      </c>
      <c r="L100" s="444">
        <f t="shared" si="5"/>
        <v>0</v>
      </c>
    </row>
    <row r="101" spans="1:12" ht="14.25" thickBot="1" x14ac:dyDescent="0.25">
      <c r="A101" s="414"/>
      <c r="C101" s="414"/>
      <c r="D101" s="415"/>
      <c r="E101" s="415"/>
      <c r="F101" s="415"/>
      <c r="G101" s="440"/>
      <c r="I101" s="414"/>
      <c r="J101" s="445"/>
    </row>
    <row r="102" spans="1:12" ht="14.25" thickBot="1" x14ac:dyDescent="0.25">
      <c r="A102" s="419" t="s">
        <v>723</v>
      </c>
      <c r="B102" s="427" t="s">
        <v>300</v>
      </c>
      <c r="C102" s="414"/>
      <c r="D102" s="415"/>
      <c r="E102" s="415"/>
      <c r="F102" s="415"/>
      <c r="G102" s="442">
        <f>SUM(F102:F111)</f>
        <v>9203.31</v>
      </c>
      <c r="H102" s="428">
        <f>ROUND(G102/$F$182,4)</f>
        <v>5.8799999999999998E-2</v>
      </c>
      <c r="I102" s="414"/>
      <c r="J102" s="445"/>
    </row>
    <row r="103" spans="1:12" x14ac:dyDescent="0.2">
      <c r="A103" s="414" t="s">
        <v>2133</v>
      </c>
      <c r="B103" s="412" t="s">
        <v>2187</v>
      </c>
      <c r="C103" s="414" t="s">
        <v>1506</v>
      </c>
      <c r="D103" s="415">
        <v>1</v>
      </c>
      <c r="E103" s="415">
        <f t="shared" ref="E103:E110" si="8">IF($A103=0,"",ROUND(J103*$J$6,2))</f>
        <v>663.2</v>
      </c>
      <c r="F103" s="415">
        <f t="shared" ref="F103:F110" si="9">IF($A103=0,"",ROUND(D103*E103,2))</f>
        <v>663.2</v>
      </c>
      <c r="G103" s="440"/>
      <c r="H103" s="412"/>
      <c r="I103" s="414"/>
      <c r="J103" s="445">
        <f>'2.5'!$H$56*2+100</f>
        <v>663.2</v>
      </c>
      <c r="K103" s="444">
        <v>48</v>
      </c>
      <c r="L103" s="444">
        <f t="shared" si="5"/>
        <v>48</v>
      </c>
    </row>
    <row r="104" spans="1:12" x14ac:dyDescent="0.2">
      <c r="A104" s="414" t="s">
        <v>2134</v>
      </c>
      <c r="B104" s="412" t="s">
        <v>2186</v>
      </c>
      <c r="C104" s="414" t="s">
        <v>1506</v>
      </c>
      <c r="D104" s="415">
        <v>1</v>
      </c>
      <c r="E104" s="415">
        <f t="shared" si="8"/>
        <v>305.95</v>
      </c>
      <c r="F104" s="415">
        <f t="shared" si="9"/>
        <v>305.95</v>
      </c>
      <c r="G104" s="440"/>
      <c r="H104" s="412"/>
      <c r="I104" s="414"/>
      <c r="J104" s="445">
        <f>'2.5'!$H$280</f>
        <v>305.95</v>
      </c>
      <c r="K104" s="444">
        <f>'2.5'!$H$82</f>
        <v>50.58</v>
      </c>
      <c r="L104" s="444">
        <f t="shared" si="5"/>
        <v>50.58</v>
      </c>
    </row>
    <row r="105" spans="1:12" x14ac:dyDescent="0.2">
      <c r="A105" s="414" t="s">
        <v>2135</v>
      </c>
      <c r="B105" s="412" t="s">
        <v>2188</v>
      </c>
      <c r="C105" s="414" t="s">
        <v>1506</v>
      </c>
      <c r="D105" s="415">
        <f>3+4</f>
        <v>7</v>
      </c>
      <c r="E105" s="415">
        <f t="shared" si="8"/>
        <v>266.39999999999998</v>
      </c>
      <c r="F105" s="415">
        <f t="shared" si="9"/>
        <v>1864.8</v>
      </c>
      <c r="G105" s="440"/>
      <c r="H105" s="412"/>
      <c r="I105" s="414"/>
      <c r="J105" s="445">
        <f>'2.5'!$H$112</f>
        <v>266.39999999999998</v>
      </c>
      <c r="K105" s="444">
        <f>'2.5'!$H$82</f>
        <v>50.58</v>
      </c>
      <c r="L105" s="444">
        <f t="shared" si="5"/>
        <v>354.06</v>
      </c>
    </row>
    <row r="106" spans="1:12" x14ac:dyDescent="0.2">
      <c r="A106" s="414" t="s">
        <v>2136</v>
      </c>
      <c r="B106" s="412" t="s">
        <v>2189</v>
      </c>
      <c r="C106" s="414" t="s">
        <v>1506</v>
      </c>
      <c r="D106" s="415">
        <f>3+5</f>
        <v>8</v>
      </c>
      <c r="E106" s="415">
        <f t="shared" si="8"/>
        <v>258.47000000000003</v>
      </c>
      <c r="F106" s="415">
        <f t="shared" si="9"/>
        <v>2067.7600000000002</v>
      </c>
      <c r="G106" s="440"/>
      <c r="H106" s="412"/>
      <c r="I106" s="414"/>
      <c r="J106" s="445">
        <f>'2.5'!$H$168</f>
        <v>258.47000000000003</v>
      </c>
      <c r="K106" s="444">
        <f>'2.5'!$H$82</f>
        <v>50.58</v>
      </c>
      <c r="L106" s="444">
        <f t="shared" si="5"/>
        <v>404.64</v>
      </c>
    </row>
    <row r="107" spans="1:12" x14ac:dyDescent="0.2">
      <c r="A107" s="414" t="s">
        <v>2137</v>
      </c>
      <c r="B107" s="412" t="s">
        <v>2190</v>
      </c>
      <c r="C107" s="414" t="s">
        <v>1506</v>
      </c>
      <c r="D107" s="415">
        <v>1</v>
      </c>
      <c r="E107" s="415">
        <f t="shared" si="8"/>
        <v>253.32</v>
      </c>
      <c r="F107" s="415">
        <f t="shared" si="9"/>
        <v>253.32</v>
      </c>
      <c r="G107" s="440"/>
      <c r="H107" s="412"/>
      <c r="I107" s="414"/>
      <c r="J107" s="445">
        <f>'2.5'!$H$224</f>
        <v>253.32</v>
      </c>
      <c r="K107" s="444">
        <f>'2.5'!$H$82</f>
        <v>50.58</v>
      </c>
      <c r="L107" s="444">
        <f t="shared" si="5"/>
        <v>50.58</v>
      </c>
    </row>
    <row r="108" spans="1:12" x14ac:dyDescent="0.2">
      <c r="A108" s="414" t="s">
        <v>2138</v>
      </c>
      <c r="B108" s="412" t="s">
        <v>2081</v>
      </c>
      <c r="C108" s="414" t="s">
        <v>1566</v>
      </c>
      <c r="D108" s="415">
        <v>1</v>
      </c>
      <c r="E108" s="415">
        <f t="shared" si="8"/>
        <v>1490.3</v>
      </c>
      <c r="F108" s="415">
        <f t="shared" si="9"/>
        <v>1490.3</v>
      </c>
      <c r="G108" s="440"/>
      <c r="H108" s="412"/>
      <c r="I108" s="414"/>
      <c r="J108" s="445">
        <v>1490.3</v>
      </c>
      <c r="K108" s="444">
        <f>'2.5'!$H$82</f>
        <v>50.58</v>
      </c>
      <c r="L108" s="444">
        <f t="shared" si="5"/>
        <v>50.58</v>
      </c>
    </row>
    <row r="109" spans="1:12" x14ac:dyDescent="0.2">
      <c r="A109" s="414" t="s">
        <v>2139</v>
      </c>
      <c r="B109" s="412" t="s">
        <v>2074</v>
      </c>
      <c r="C109" s="414" t="s">
        <v>961</v>
      </c>
      <c r="D109" s="415">
        <f>1.15+1.15+1.17+1.16+0.63</f>
        <v>5.26</v>
      </c>
      <c r="E109" s="415">
        <f t="shared" si="8"/>
        <v>229.4</v>
      </c>
      <c r="F109" s="415">
        <f t="shared" si="9"/>
        <v>1206.6400000000001</v>
      </c>
      <c r="G109" s="440"/>
      <c r="H109" s="412"/>
      <c r="I109" s="414"/>
      <c r="J109" s="445">
        <v>229.4</v>
      </c>
      <c r="K109" s="444">
        <f>'2.5'!$H$82</f>
        <v>50.58</v>
      </c>
      <c r="L109" s="444">
        <f t="shared" si="5"/>
        <v>266.05</v>
      </c>
    </row>
    <row r="110" spans="1:12" x14ac:dyDescent="0.2">
      <c r="A110" s="414" t="s">
        <v>2140</v>
      </c>
      <c r="B110" s="412" t="s">
        <v>2075</v>
      </c>
      <c r="C110" s="414" t="s">
        <v>961</v>
      </c>
      <c r="D110" s="415">
        <f>3.5+3.17</f>
        <v>6.67</v>
      </c>
      <c r="E110" s="415">
        <f t="shared" si="8"/>
        <v>202.6</v>
      </c>
      <c r="F110" s="415">
        <f t="shared" si="9"/>
        <v>1351.34</v>
      </c>
      <c r="G110" s="440"/>
      <c r="H110" s="412"/>
      <c r="I110" s="414"/>
      <c r="J110" s="445">
        <v>202.6</v>
      </c>
      <c r="K110" s="444">
        <f>'2.5'!$H$82</f>
        <v>50.58</v>
      </c>
      <c r="L110" s="444">
        <f t="shared" si="5"/>
        <v>337.37</v>
      </c>
    </row>
    <row r="111" spans="1:12" ht="14.25" thickBot="1" x14ac:dyDescent="0.25">
      <c r="A111" s="414"/>
      <c r="C111" s="414"/>
      <c r="D111" s="415"/>
      <c r="E111" s="415"/>
      <c r="F111" s="415"/>
      <c r="G111" s="440"/>
      <c r="I111" s="414"/>
      <c r="J111" s="445"/>
    </row>
    <row r="112" spans="1:12" ht="14.25" thickBot="1" x14ac:dyDescent="0.25">
      <c r="A112" s="419" t="s">
        <v>722</v>
      </c>
      <c r="B112" s="427" t="s">
        <v>2001</v>
      </c>
      <c r="C112" s="414"/>
      <c r="D112" s="415"/>
      <c r="E112" s="415"/>
      <c r="F112" s="415"/>
      <c r="G112" s="442">
        <f>SUM(F112:F123)</f>
        <v>10909.479999999998</v>
      </c>
      <c r="H112" s="428">
        <f>ROUND(G112/$F$182,4)</f>
        <v>6.9699999999999998E-2</v>
      </c>
      <c r="I112" s="414"/>
      <c r="J112" s="445"/>
    </row>
    <row r="113" spans="1:12" x14ac:dyDescent="0.2">
      <c r="A113" s="414" t="s">
        <v>2141</v>
      </c>
      <c r="B113" s="412" t="s">
        <v>1811</v>
      </c>
      <c r="C113" s="414" t="s">
        <v>1520</v>
      </c>
      <c r="D113" s="415">
        <f>((1.8+2.66+9.03+3.88)+(20.09+25.78))*2.4</f>
        <v>151.77600000000001</v>
      </c>
      <c r="E113" s="415">
        <f t="shared" ref="E113:E122" si="10">IF($A113=0,"",ROUND(J113*$J$6,2))</f>
        <v>30.61</v>
      </c>
      <c r="F113" s="415">
        <f t="shared" ref="F113:F122" si="11">IF($A113=0,"",ROUND(D113*E113,2))</f>
        <v>4645.8599999999997</v>
      </c>
      <c r="G113" s="440"/>
      <c r="I113" s="414"/>
      <c r="J113" s="445">
        <v>30.61</v>
      </c>
      <c r="K113" s="444">
        <f>'1.9'!H2069/2.6</f>
        <v>0</v>
      </c>
      <c r="L113" s="444">
        <f t="shared" si="5"/>
        <v>0</v>
      </c>
    </row>
    <row r="114" spans="1:12" x14ac:dyDescent="0.2">
      <c r="A114" s="414" t="s">
        <v>2142</v>
      </c>
      <c r="B114" s="412" t="s">
        <v>2049</v>
      </c>
      <c r="C114" s="414" t="s">
        <v>1520</v>
      </c>
      <c r="D114" s="415">
        <f>((20.09+25.78))*2.4</f>
        <v>110.08800000000001</v>
      </c>
      <c r="E114" s="415">
        <f t="shared" si="10"/>
        <v>6.71</v>
      </c>
      <c r="F114" s="415">
        <f t="shared" si="11"/>
        <v>738.69</v>
      </c>
      <c r="G114" s="440"/>
      <c r="I114" s="414"/>
      <c r="J114" s="445">
        <f>'1.9'!$H$840</f>
        <v>6.71</v>
      </c>
      <c r="K114" s="444">
        <f>'1.9'!$H$810</f>
        <v>4.45</v>
      </c>
      <c r="L114" s="444">
        <f t="shared" si="5"/>
        <v>489.89</v>
      </c>
    </row>
    <row r="115" spans="1:12" x14ac:dyDescent="0.2">
      <c r="A115" s="414" t="s">
        <v>2143</v>
      </c>
      <c r="B115" s="412" t="s">
        <v>2082</v>
      </c>
      <c r="C115" s="414" t="s">
        <v>1520</v>
      </c>
      <c r="D115" s="415">
        <f>((1.8+2.66+9.03+3.88)*2)*2.4</f>
        <v>83.375999999999991</v>
      </c>
      <c r="E115" s="415">
        <f>IF($A115=0,"",ROUND(J115*$J$6,2))</f>
        <v>6.71</v>
      </c>
      <c r="F115" s="415">
        <f>IF($A115=0,"",ROUND(D115*E115,2))</f>
        <v>559.45000000000005</v>
      </c>
      <c r="G115" s="440"/>
      <c r="I115" s="414"/>
      <c r="J115" s="445">
        <f>'1.9'!$H$840</f>
        <v>6.71</v>
      </c>
      <c r="K115" s="444">
        <f>'1.9'!$H$810</f>
        <v>4.45</v>
      </c>
      <c r="L115" s="444">
        <f t="shared" si="5"/>
        <v>371.02</v>
      </c>
    </row>
    <row r="116" spans="1:12" x14ac:dyDescent="0.2">
      <c r="A116" s="414" t="s">
        <v>2144</v>
      </c>
      <c r="B116" s="429" t="s">
        <v>2083</v>
      </c>
      <c r="C116" s="414" t="s">
        <v>1520</v>
      </c>
      <c r="D116" s="415">
        <f>((1.8+2.66+9.03+3.88)*2+(20.09+25.78))*2.4</f>
        <v>193.464</v>
      </c>
      <c r="E116" s="415">
        <f t="shared" si="10"/>
        <v>5.73</v>
      </c>
      <c r="F116" s="415">
        <f t="shared" si="11"/>
        <v>1108.55</v>
      </c>
      <c r="G116" s="440"/>
      <c r="I116" s="414"/>
      <c r="J116" s="445">
        <f>'2.1'!$H$112</f>
        <v>5.73</v>
      </c>
      <c r="K116" s="444">
        <f>'2.1'!$H$82</f>
        <v>2.25</v>
      </c>
      <c r="L116" s="444">
        <f t="shared" si="5"/>
        <v>435.29</v>
      </c>
    </row>
    <row r="117" spans="1:12" x14ac:dyDescent="0.2">
      <c r="A117" s="414" t="s">
        <v>2145</v>
      </c>
      <c r="B117" s="412" t="s">
        <v>2084</v>
      </c>
      <c r="C117" s="414" t="s">
        <v>1520</v>
      </c>
      <c r="D117" s="415">
        <v>88.95</v>
      </c>
      <c r="E117" s="415">
        <f t="shared" si="10"/>
        <v>14.11</v>
      </c>
      <c r="F117" s="415">
        <f t="shared" si="11"/>
        <v>1255.08</v>
      </c>
      <c r="G117" s="440"/>
      <c r="I117" s="414"/>
      <c r="J117" s="445">
        <f>'1.8'!$H$112</f>
        <v>14.11</v>
      </c>
      <c r="K117" s="444">
        <f>'1.8'!$H$82</f>
        <v>3.01</v>
      </c>
      <c r="L117" s="444">
        <f t="shared" si="5"/>
        <v>267.74</v>
      </c>
    </row>
    <row r="118" spans="1:12" x14ac:dyDescent="0.2">
      <c r="A118" s="414" t="s">
        <v>2146</v>
      </c>
      <c r="B118" s="412" t="s">
        <v>2085</v>
      </c>
      <c r="C118" s="414" t="s">
        <v>1520</v>
      </c>
      <c r="D118" s="415">
        <v>194.1</v>
      </c>
      <c r="E118" s="415">
        <f t="shared" si="10"/>
        <v>9.61</v>
      </c>
      <c r="F118" s="415">
        <f t="shared" si="11"/>
        <v>1865.3</v>
      </c>
      <c r="G118" s="440"/>
      <c r="I118" s="414"/>
      <c r="J118" s="445">
        <f>'1.8'!$H$56</f>
        <v>9.61</v>
      </c>
      <c r="K118" s="444">
        <f>'1.8'!$H$26</f>
        <v>2.2200000000000002</v>
      </c>
      <c r="L118" s="444">
        <f t="shared" si="5"/>
        <v>430.9</v>
      </c>
    </row>
    <row r="119" spans="1:12" x14ac:dyDescent="0.2">
      <c r="A119" s="414" t="s">
        <v>2147</v>
      </c>
      <c r="B119" s="412" t="s">
        <v>1441</v>
      </c>
      <c r="C119" s="414" t="s">
        <v>961</v>
      </c>
      <c r="D119" s="415">
        <f>4.65+4.05</f>
        <v>8.6999999999999993</v>
      </c>
      <c r="E119" s="415">
        <f t="shared" si="10"/>
        <v>15.52</v>
      </c>
      <c r="F119" s="415">
        <f t="shared" si="11"/>
        <v>135.02000000000001</v>
      </c>
      <c r="G119" s="440"/>
      <c r="I119" s="414"/>
      <c r="J119" s="445">
        <f>'1.9'!$H$1960</f>
        <v>15.52</v>
      </c>
      <c r="K119" s="444">
        <f>'1.9'!$H$1930</f>
        <v>5.71</v>
      </c>
      <c r="L119" s="444">
        <f t="shared" si="5"/>
        <v>49.68</v>
      </c>
    </row>
    <row r="120" spans="1:12" x14ac:dyDescent="0.2">
      <c r="A120" s="414" t="s">
        <v>2148</v>
      </c>
      <c r="B120" s="412" t="s">
        <v>1833</v>
      </c>
      <c r="C120" s="414" t="s">
        <v>961</v>
      </c>
      <c r="D120" s="415">
        <f>4.65+4.05</f>
        <v>8.6999999999999993</v>
      </c>
      <c r="E120" s="415">
        <f t="shared" si="10"/>
        <v>28.54</v>
      </c>
      <c r="F120" s="415">
        <f t="shared" si="11"/>
        <v>248.3</v>
      </c>
      <c r="G120" s="440" t="s">
        <v>671</v>
      </c>
      <c r="I120" s="414"/>
      <c r="J120" s="445">
        <f>'2.1'!$H$392</f>
        <v>28.54</v>
      </c>
      <c r="L120" s="444">
        <f t="shared" si="5"/>
        <v>0</v>
      </c>
    </row>
    <row r="121" spans="1:12" x14ac:dyDescent="0.2">
      <c r="A121" s="414" t="s">
        <v>2149</v>
      </c>
      <c r="B121" s="412" t="s">
        <v>2050</v>
      </c>
      <c r="C121" s="414" t="s">
        <v>744</v>
      </c>
      <c r="D121" s="415">
        <v>1</v>
      </c>
      <c r="E121" s="415">
        <f t="shared" si="10"/>
        <v>291.89</v>
      </c>
      <c r="F121" s="415">
        <f t="shared" si="11"/>
        <v>291.89</v>
      </c>
      <c r="G121" s="440"/>
      <c r="H121" s="412"/>
      <c r="I121" s="414"/>
      <c r="J121" s="445">
        <f>'2.4'!$H$224</f>
        <v>291.89</v>
      </c>
      <c r="K121" s="444">
        <f>'2.4'!$H$194</f>
        <v>123.58</v>
      </c>
      <c r="L121" s="444">
        <f t="shared" si="5"/>
        <v>123.58</v>
      </c>
    </row>
    <row r="122" spans="1:12" x14ac:dyDescent="0.2">
      <c r="A122" s="414" t="s">
        <v>2150</v>
      </c>
      <c r="B122" s="412" t="s">
        <v>1875</v>
      </c>
      <c r="C122" s="414" t="s">
        <v>744</v>
      </c>
      <c r="D122" s="415">
        <v>1</v>
      </c>
      <c r="E122" s="415">
        <f t="shared" si="10"/>
        <v>61.34</v>
      </c>
      <c r="F122" s="415">
        <f t="shared" si="11"/>
        <v>61.34</v>
      </c>
      <c r="G122" s="440"/>
      <c r="H122" s="412"/>
      <c r="I122" s="414"/>
      <c r="J122" s="445">
        <f>'1.7'!$H$224</f>
        <v>61.34</v>
      </c>
      <c r="K122" s="444">
        <f>'1.7'!$H$194</f>
        <v>29.05</v>
      </c>
      <c r="L122" s="444">
        <f t="shared" si="5"/>
        <v>29.05</v>
      </c>
    </row>
    <row r="123" spans="1:12" ht="14.25" thickBot="1" x14ac:dyDescent="0.25">
      <c r="A123" s="414"/>
      <c r="C123" s="414"/>
      <c r="D123" s="415"/>
      <c r="E123" s="415"/>
      <c r="F123" s="415"/>
      <c r="G123" s="440"/>
      <c r="H123" s="412"/>
      <c r="I123" s="414"/>
      <c r="J123" s="445"/>
    </row>
    <row r="124" spans="1:12" ht="14.25" thickBot="1" x14ac:dyDescent="0.25">
      <c r="A124" s="420" t="s">
        <v>721</v>
      </c>
      <c r="B124" s="421" t="s">
        <v>719</v>
      </c>
      <c r="C124" s="422"/>
      <c r="D124" s="423"/>
      <c r="E124" s="424"/>
      <c r="F124" s="424"/>
      <c r="G124" s="441">
        <f>SUM(F124:F161)</f>
        <v>9768.3599999999988</v>
      </c>
      <c r="H124" s="425">
        <f>ROUND(G124/$F$182,4)</f>
        <v>6.2399999999999997E-2</v>
      </c>
      <c r="I124" s="414"/>
      <c r="J124" s="445"/>
    </row>
    <row r="125" spans="1:12" ht="14.25" thickBot="1" x14ac:dyDescent="0.25">
      <c r="A125" s="419"/>
      <c r="B125" s="426"/>
      <c r="C125" s="419"/>
      <c r="D125" s="417"/>
      <c r="E125" s="416"/>
      <c r="F125" s="416"/>
      <c r="G125" s="440"/>
      <c r="I125" s="414"/>
      <c r="J125" s="445"/>
    </row>
    <row r="126" spans="1:12" ht="14.25" thickBot="1" x14ac:dyDescent="0.25">
      <c r="A126" s="419" t="s">
        <v>1518</v>
      </c>
      <c r="B126" s="427" t="s">
        <v>1516</v>
      </c>
      <c r="C126" s="414"/>
      <c r="D126" s="415"/>
      <c r="E126" s="415"/>
      <c r="F126" s="415"/>
      <c r="G126" s="442">
        <f>SUM(F126:F133)</f>
        <v>2553</v>
      </c>
      <c r="H126" s="428">
        <f>ROUND(G126/$F$182,4)</f>
        <v>1.6299999999999999E-2</v>
      </c>
      <c r="I126" s="414"/>
      <c r="J126" s="445"/>
    </row>
    <row r="127" spans="1:12" x14ac:dyDescent="0.2">
      <c r="A127" s="414" t="s">
        <v>2151</v>
      </c>
      <c r="B127" s="412" t="s">
        <v>1780</v>
      </c>
      <c r="C127" s="414" t="s">
        <v>961</v>
      </c>
      <c r="D127" s="415">
        <f>60+9+12.65+0.95+2.78+6.45+2*3</f>
        <v>97.830000000000013</v>
      </c>
      <c r="E127" s="415">
        <f t="shared" ref="E127:E132" si="12">IF($A127=0,"",ROUND(J127*$J$6,2))</f>
        <v>5.15</v>
      </c>
      <c r="F127" s="415">
        <f t="shared" ref="F127:F132" si="13">IF($A127=0,"",ROUND(D127*E127,2))</f>
        <v>503.82</v>
      </c>
      <c r="G127" s="440"/>
      <c r="I127" s="414"/>
      <c r="J127" s="445">
        <v>5.15</v>
      </c>
      <c r="K127" s="444">
        <f>'3.1'!H$82</f>
        <v>4.7699999999999996</v>
      </c>
      <c r="L127" s="444">
        <f t="shared" si="5"/>
        <v>466.65</v>
      </c>
    </row>
    <row r="128" spans="1:12" x14ac:dyDescent="0.2">
      <c r="A128" s="414" t="s">
        <v>2152</v>
      </c>
      <c r="B128" s="412" t="s">
        <v>2029</v>
      </c>
      <c r="C128" s="414" t="s">
        <v>961</v>
      </c>
      <c r="D128" s="415">
        <f>60.8+8.9+1.9+2*3</f>
        <v>77.600000000000009</v>
      </c>
      <c r="E128" s="415">
        <f t="shared" si="12"/>
        <v>6.12</v>
      </c>
      <c r="F128" s="415">
        <f t="shared" si="13"/>
        <v>474.91</v>
      </c>
      <c r="G128" s="440"/>
      <c r="I128" s="414"/>
      <c r="J128" s="445">
        <v>6.12</v>
      </c>
      <c r="K128" s="444">
        <f>'3.1'!H$82</f>
        <v>4.7699999999999996</v>
      </c>
      <c r="L128" s="444">
        <f t="shared" si="5"/>
        <v>370.15</v>
      </c>
    </row>
    <row r="129" spans="1:12" x14ac:dyDescent="0.2">
      <c r="A129" s="414" t="s">
        <v>2153</v>
      </c>
      <c r="B129" s="412" t="s">
        <v>1783</v>
      </c>
      <c r="C129" s="414" t="s">
        <v>744</v>
      </c>
      <c r="D129" s="415">
        <f>9+13</f>
        <v>22</v>
      </c>
      <c r="E129" s="415">
        <f t="shared" si="12"/>
        <v>26.39</v>
      </c>
      <c r="F129" s="415">
        <f t="shared" si="13"/>
        <v>580.58000000000004</v>
      </c>
      <c r="G129" s="440"/>
      <c r="I129" s="414"/>
      <c r="J129" s="445">
        <f>'3.1'!$H$280</f>
        <v>26.39</v>
      </c>
      <c r="K129" s="444">
        <f>'3.1'!$H$250</f>
        <v>15.14</v>
      </c>
      <c r="L129" s="444">
        <f t="shared" si="5"/>
        <v>333.08</v>
      </c>
    </row>
    <row r="130" spans="1:12" x14ac:dyDescent="0.2">
      <c r="A130" s="414" t="s">
        <v>2154</v>
      </c>
      <c r="B130" s="412" t="s">
        <v>2030</v>
      </c>
      <c r="C130" s="414" t="s">
        <v>744</v>
      </c>
      <c r="D130" s="415">
        <f>1+4</f>
        <v>5</v>
      </c>
      <c r="E130" s="415">
        <f t="shared" si="12"/>
        <v>30.16</v>
      </c>
      <c r="F130" s="415">
        <f t="shared" si="13"/>
        <v>150.80000000000001</v>
      </c>
      <c r="G130" s="440"/>
      <c r="I130" s="414"/>
      <c r="J130" s="445">
        <v>30.16</v>
      </c>
      <c r="K130" s="444">
        <f>'3.1'!$H$250</f>
        <v>15.14</v>
      </c>
      <c r="L130" s="444">
        <f t="shared" si="5"/>
        <v>75.7</v>
      </c>
    </row>
    <row r="131" spans="1:12" x14ac:dyDescent="0.2">
      <c r="A131" s="414" t="s">
        <v>2155</v>
      </c>
      <c r="B131" s="412" t="s">
        <v>1298</v>
      </c>
      <c r="C131" s="414" t="s">
        <v>744</v>
      </c>
      <c r="D131" s="415">
        <v>1</v>
      </c>
      <c r="E131" s="415">
        <f t="shared" si="12"/>
        <v>123.57</v>
      </c>
      <c r="F131" s="415">
        <f t="shared" si="13"/>
        <v>123.57</v>
      </c>
      <c r="G131" s="440"/>
      <c r="I131" s="414"/>
      <c r="J131" s="445">
        <f>'3.1'!$H$448</f>
        <v>123.57</v>
      </c>
      <c r="K131" s="444">
        <f>'3.1'!$H$418</f>
        <v>44.88</v>
      </c>
      <c r="L131" s="444">
        <f t="shared" si="5"/>
        <v>44.88</v>
      </c>
    </row>
    <row r="132" spans="1:12" x14ac:dyDescent="0.2">
      <c r="A132" s="414" t="s">
        <v>2156</v>
      </c>
      <c r="B132" s="412" t="s">
        <v>2244</v>
      </c>
      <c r="C132" s="414" t="s">
        <v>744</v>
      </c>
      <c r="D132" s="415">
        <f>11+17</f>
        <v>28</v>
      </c>
      <c r="E132" s="415">
        <f t="shared" si="12"/>
        <v>25.69</v>
      </c>
      <c r="F132" s="415">
        <f t="shared" si="13"/>
        <v>719.32</v>
      </c>
      <c r="G132" s="440"/>
      <c r="I132" s="414"/>
      <c r="J132" s="445">
        <f>'3.1'!$H$560</f>
        <v>25.69</v>
      </c>
      <c r="K132" s="444">
        <f>'3.1'!$H$530</f>
        <v>5.61</v>
      </c>
      <c r="L132" s="444">
        <f t="shared" si="5"/>
        <v>157.08000000000001</v>
      </c>
    </row>
    <row r="133" spans="1:12" ht="14.25" thickBot="1" x14ac:dyDescent="0.25">
      <c r="A133" s="419"/>
      <c r="C133" s="414"/>
      <c r="D133" s="415"/>
      <c r="E133" s="415"/>
      <c r="F133" s="415"/>
      <c r="G133" s="440"/>
      <c r="I133" s="414"/>
      <c r="J133" s="445"/>
    </row>
    <row r="134" spans="1:12" ht="14.25" thickBot="1" x14ac:dyDescent="0.25">
      <c r="A134" s="419" t="s">
        <v>1517</v>
      </c>
      <c r="B134" s="427" t="s">
        <v>2245</v>
      </c>
      <c r="C134" s="414"/>
      <c r="D134" s="415"/>
      <c r="E134" s="415"/>
      <c r="F134" s="415"/>
      <c r="G134" s="442">
        <f>SUM(F134:F141)</f>
        <v>1471.26</v>
      </c>
      <c r="H134" s="428">
        <f>ROUND(G134/$F$182,4)</f>
        <v>9.4000000000000004E-3</v>
      </c>
      <c r="I134" s="414"/>
      <c r="J134" s="445"/>
    </row>
    <row r="135" spans="1:12" x14ac:dyDescent="0.2">
      <c r="A135" s="414" t="s">
        <v>2157</v>
      </c>
      <c r="B135" s="412" t="s">
        <v>602</v>
      </c>
      <c r="C135" s="414" t="s">
        <v>961</v>
      </c>
      <c r="D135" s="415">
        <f>6.61+4.94+2.43+7.93+8.44+4.4+2.74+2.19+2.01+2.02+1.72+2.09</f>
        <v>47.519999999999996</v>
      </c>
      <c r="E135" s="415">
        <f t="shared" ref="E135:E140" si="14">IF($A135=0,"",ROUND(J135*$J$6,2))</f>
        <v>12.78</v>
      </c>
      <c r="F135" s="415">
        <f t="shared" ref="F135:F140" si="15">IF($A135=0,"",ROUND(D135*E135,2))</f>
        <v>607.30999999999995</v>
      </c>
      <c r="G135" s="440"/>
      <c r="I135" s="415"/>
      <c r="J135" s="445">
        <f>'3.2'!$H$224</f>
        <v>12.78</v>
      </c>
      <c r="K135" s="444">
        <f>'3.2'!$H$194</f>
        <v>6.73</v>
      </c>
      <c r="L135" s="444">
        <f t="shared" si="5"/>
        <v>319.81</v>
      </c>
    </row>
    <row r="136" spans="1:12" x14ac:dyDescent="0.2">
      <c r="A136" s="414" t="s">
        <v>2158</v>
      </c>
      <c r="B136" s="412" t="s">
        <v>63</v>
      </c>
      <c r="C136" s="414" t="s">
        <v>961</v>
      </c>
      <c r="D136" s="415">
        <f>0.9+1.16+1.15+1.9+2.01+0.68+1.04+2.31+2.09+3.07+0.95+1.62+1.75+1.05+0.87</f>
        <v>22.55</v>
      </c>
      <c r="E136" s="415">
        <f t="shared" si="14"/>
        <v>7.09</v>
      </c>
      <c r="F136" s="415">
        <f t="shared" si="15"/>
        <v>159.88</v>
      </c>
      <c r="G136" s="440"/>
      <c r="I136" s="414"/>
      <c r="J136" s="445">
        <f>'3.2'!$H$336</f>
        <v>7.09</v>
      </c>
      <c r="K136" s="444">
        <f>'3.2'!$H$306</f>
        <v>4.49</v>
      </c>
      <c r="L136" s="444">
        <f t="shared" si="5"/>
        <v>101.25</v>
      </c>
    </row>
    <row r="137" spans="1:12" x14ac:dyDescent="0.2">
      <c r="A137" s="414" t="s">
        <v>2159</v>
      </c>
      <c r="B137" s="412" t="s">
        <v>1513</v>
      </c>
      <c r="C137" s="414" t="s">
        <v>961</v>
      </c>
      <c r="D137" s="415">
        <f>3*3</f>
        <v>9</v>
      </c>
      <c r="E137" s="415">
        <f t="shared" si="14"/>
        <v>13.95</v>
      </c>
      <c r="F137" s="415">
        <f t="shared" si="15"/>
        <v>125.55</v>
      </c>
      <c r="G137" s="440"/>
      <c r="I137" s="414"/>
      <c r="J137" s="445">
        <v>13.95</v>
      </c>
      <c r="K137" s="444">
        <f>'3.2'!$H$362</f>
        <v>6.73</v>
      </c>
      <c r="L137" s="444">
        <f t="shared" si="5"/>
        <v>60.57</v>
      </c>
    </row>
    <row r="138" spans="1:12" x14ac:dyDescent="0.2">
      <c r="A138" s="414" t="s">
        <v>2160</v>
      </c>
      <c r="B138" s="412" t="s">
        <v>1515</v>
      </c>
      <c r="C138" s="414" t="s">
        <v>744</v>
      </c>
      <c r="D138" s="415">
        <v>6</v>
      </c>
      <c r="E138" s="415">
        <f t="shared" si="14"/>
        <v>32.270000000000003</v>
      </c>
      <c r="F138" s="415">
        <f t="shared" si="15"/>
        <v>193.62</v>
      </c>
      <c r="G138" s="440"/>
      <c r="I138" s="414"/>
      <c r="J138" s="445">
        <v>32.270000000000003</v>
      </c>
      <c r="K138" s="444">
        <f>'3.2'!$H$418</f>
        <v>15.43</v>
      </c>
      <c r="L138" s="444">
        <f t="shared" si="5"/>
        <v>92.58</v>
      </c>
    </row>
    <row r="139" spans="1:12" x14ac:dyDescent="0.2">
      <c r="A139" s="414" t="s">
        <v>2161</v>
      </c>
      <c r="B139" s="412" t="s">
        <v>1514</v>
      </c>
      <c r="C139" s="414" t="s">
        <v>744</v>
      </c>
      <c r="D139" s="415">
        <f>6+9</f>
        <v>15</v>
      </c>
      <c r="E139" s="415">
        <f t="shared" si="14"/>
        <v>22.53</v>
      </c>
      <c r="F139" s="415">
        <f t="shared" si="15"/>
        <v>337.95</v>
      </c>
      <c r="G139" s="440"/>
      <c r="I139" s="414"/>
      <c r="J139" s="445">
        <v>22.53</v>
      </c>
      <c r="K139" s="444">
        <f>'3.2'!$H$474</f>
        <v>15.43</v>
      </c>
      <c r="L139" s="444">
        <f t="shared" si="5"/>
        <v>231.45</v>
      </c>
    </row>
    <row r="140" spans="1:12" x14ac:dyDescent="0.2">
      <c r="A140" s="414" t="s">
        <v>2162</v>
      </c>
      <c r="B140" s="412" t="s">
        <v>2246</v>
      </c>
      <c r="C140" s="414" t="s">
        <v>744</v>
      </c>
      <c r="D140" s="415">
        <v>5</v>
      </c>
      <c r="E140" s="415">
        <f t="shared" si="14"/>
        <v>9.39</v>
      </c>
      <c r="F140" s="415">
        <f t="shared" si="15"/>
        <v>46.95</v>
      </c>
      <c r="G140" s="440"/>
      <c r="I140" s="414"/>
      <c r="J140" s="445">
        <f>'3.2'!$H$560</f>
        <v>9.39</v>
      </c>
      <c r="K140" s="444">
        <f>'3.2'!$H$530</f>
        <v>5.61</v>
      </c>
      <c r="L140" s="444">
        <f t="shared" si="5"/>
        <v>28.05</v>
      </c>
    </row>
    <row r="141" spans="1:12" ht="14.25" thickBot="1" x14ac:dyDescent="0.25">
      <c r="A141" s="414"/>
      <c r="C141" s="414"/>
      <c r="D141" s="415"/>
      <c r="E141" s="415"/>
      <c r="F141" s="415"/>
      <c r="G141" s="440"/>
      <c r="I141" s="414"/>
      <c r="J141" s="445"/>
    </row>
    <row r="142" spans="1:12" ht="14.25" thickBot="1" x14ac:dyDescent="0.25">
      <c r="A142" s="419" t="s">
        <v>1784</v>
      </c>
      <c r="B142" s="427" t="s">
        <v>1878</v>
      </c>
      <c r="C142" s="414"/>
      <c r="D142" s="415"/>
      <c r="E142" s="415"/>
      <c r="F142" s="415"/>
      <c r="G142" s="442">
        <f>SUM(F142:F145)</f>
        <v>737.02</v>
      </c>
      <c r="H142" s="428">
        <f>ROUND(G142/$F$182,4)</f>
        <v>4.7000000000000002E-3</v>
      </c>
      <c r="I142" s="414"/>
      <c r="J142" s="445"/>
    </row>
    <row r="143" spans="1:12" x14ac:dyDescent="0.2">
      <c r="A143" s="414" t="s">
        <v>2157</v>
      </c>
      <c r="B143" s="412" t="s">
        <v>602</v>
      </c>
      <c r="C143" s="414" t="s">
        <v>961</v>
      </c>
      <c r="D143" s="415">
        <f>14.5+33.6</f>
        <v>48.1</v>
      </c>
      <c r="E143" s="415">
        <f>IF($A143=0,"",ROUND(J143*$J$6,2))</f>
        <v>12.78</v>
      </c>
      <c r="F143" s="415">
        <f>IF($A143=0,"",ROUND(D143*E143,2))</f>
        <v>614.72</v>
      </c>
      <c r="G143" s="440"/>
      <c r="I143" s="415"/>
      <c r="J143" s="445">
        <f>'3.2'!$H$224</f>
        <v>12.78</v>
      </c>
      <c r="K143" s="444">
        <f>'3.2'!$H$194</f>
        <v>6.73</v>
      </c>
      <c r="L143" s="444">
        <f t="shared" ref="L143:L178" si="16">ROUND(K143*D143,2)</f>
        <v>323.70999999999998</v>
      </c>
    </row>
    <row r="144" spans="1:12" x14ac:dyDescent="0.2">
      <c r="A144" s="414" t="s">
        <v>2158</v>
      </c>
      <c r="B144" s="412" t="s">
        <v>1883</v>
      </c>
      <c r="C144" s="414" t="s">
        <v>744</v>
      </c>
      <c r="D144" s="415">
        <v>2</v>
      </c>
      <c r="E144" s="415">
        <f>IF($A144=0,"",ROUND(J144*$J$6,2))</f>
        <v>61.15</v>
      </c>
      <c r="F144" s="415">
        <f>IF($A144=0,"",ROUND(D144*E144,2))</f>
        <v>122.3</v>
      </c>
      <c r="G144" s="440"/>
      <c r="I144" s="414"/>
      <c r="J144" s="445">
        <f>'3.3'!$H$392+'3.3'!$H$560</f>
        <v>61.150000000000006</v>
      </c>
      <c r="K144" s="444">
        <f>'3.3'!$H$362+'3.3'!$H$530</f>
        <v>23.85</v>
      </c>
      <c r="L144" s="444">
        <f t="shared" si="16"/>
        <v>47.7</v>
      </c>
    </row>
    <row r="145" spans="1:12" ht="14.25" thickBot="1" x14ac:dyDescent="0.25">
      <c r="A145" s="414"/>
      <c r="C145" s="414"/>
      <c r="D145" s="415"/>
      <c r="E145" s="415"/>
      <c r="F145" s="415"/>
      <c r="G145" s="440"/>
      <c r="I145" s="414"/>
      <c r="J145" s="445"/>
    </row>
    <row r="146" spans="1:12" ht="14.25" thickBot="1" x14ac:dyDescent="0.25">
      <c r="A146" s="419" t="s">
        <v>1885</v>
      </c>
      <c r="B146" s="427" t="s">
        <v>718</v>
      </c>
      <c r="C146" s="414"/>
      <c r="D146" s="415"/>
      <c r="E146" s="415"/>
      <c r="F146" s="415"/>
      <c r="G146" s="442">
        <f>SUM(F146:F161)</f>
        <v>5007.08</v>
      </c>
      <c r="H146" s="428">
        <f>ROUND(G146/$F$182,4)</f>
        <v>3.2000000000000001E-2</v>
      </c>
      <c r="I146" s="414"/>
      <c r="J146" s="445"/>
    </row>
    <row r="147" spans="1:12" x14ac:dyDescent="0.2">
      <c r="A147" s="414" t="s">
        <v>2163</v>
      </c>
      <c r="B147" s="412" t="s">
        <v>2031</v>
      </c>
      <c r="C147" s="414" t="s">
        <v>744</v>
      </c>
      <c r="D147" s="415">
        <v>5</v>
      </c>
      <c r="E147" s="415">
        <f t="shared" ref="E147:E160" si="17">IF($A147=0,"",ROUND(J147*$J$6,2))</f>
        <v>181.41</v>
      </c>
      <c r="F147" s="415">
        <f t="shared" ref="F147:F160" si="18">IF($A147=0,"",ROUND(D147*E147,2))</f>
        <v>907.05</v>
      </c>
      <c r="G147" s="440"/>
      <c r="I147" s="414"/>
      <c r="J147" s="445">
        <v>181.41</v>
      </c>
      <c r="K147" s="444">
        <f>'3.4'!$H$26</f>
        <v>15.43</v>
      </c>
      <c r="L147" s="444">
        <f t="shared" si="16"/>
        <v>77.150000000000006</v>
      </c>
    </row>
    <row r="148" spans="1:12" x14ac:dyDescent="0.2">
      <c r="A148" s="414" t="s">
        <v>2164</v>
      </c>
      <c r="B148" s="412" t="s">
        <v>2032</v>
      </c>
      <c r="C148" s="414" t="s">
        <v>744</v>
      </c>
      <c r="D148" s="415">
        <v>1</v>
      </c>
      <c r="E148" s="415">
        <f t="shared" si="17"/>
        <v>102.37</v>
      </c>
      <c r="F148" s="415">
        <f t="shared" si="18"/>
        <v>102.37</v>
      </c>
      <c r="G148" s="440"/>
      <c r="I148" s="414"/>
      <c r="J148" s="445">
        <v>102.37</v>
      </c>
      <c r="K148" s="444">
        <f>'3.4'!$H$26</f>
        <v>15.43</v>
      </c>
      <c r="L148" s="444">
        <f t="shared" si="16"/>
        <v>15.43</v>
      </c>
    </row>
    <row r="149" spans="1:12" x14ac:dyDescent="0.2">
      <c r="A149" s="414" t="s">
        <v>2165</v>
      </c>
      <c r="B149" s="412" t="s">
        <v>580</v>
      </c>
      <c r="C149" s="414" t="s">
        <v>744</v>
      </c>
      <c r="D149" s="415">
        <v>6</v>
      </c>
      <c r="E149" s="415">
        <f t="shared" si="17"/>
        <v>226.74</v>
      </c>
      <c r="F149" s="415">
        <f t="shared" si="18"/>
        <v>1360.44</v>
      </c>
      <c r="G149" s="440"/>
      <c r="I149" s="414"/>
      <c r="J149" s="445">
        <v>226.74</v>
      </c>
      <c r="K149" s="444">
        <f>'3.4'!$H$26</f>
        <v>15.43</v>
      </c>
      <c r="L149" s="444">
        <f t="shared" si="16"/>
        <v>92.58</v>
      </c>
    </row>
    <row r="150" spans="1:12" x14ac:dyDescent="0.2">
      <c r="A150" s="414" t="s">
        <v>2166</v>
      </c>
      <c r="B150" s="412" t="s">
        <v>581</v>
      </c>
      <c r="C150" s="414" t="s">
        <v>744</v>
      </c>
      <c r="D150" s="415">
        <v>1</v>
      </c>
      <c r="E150" s="415">
        <f t="shared" si="17"/>
        <v>85.01</v>
      </c>
      <c r="F150" s="415">
        <f t="shared" si="18"/>
        <v>85.01</v>
      </c>
      <c r="G150" s="440"/>
      <c r="I150" s="414"/>
      <c r="J150" s="445">
        <v>85.01</v>
      </c>
      <c r="K150" s="444">
        <f>'3.4'!$H$26</f>
        <v>15.43</v>
      </c>
      <c r="L150" s="444">
        <f t="shared" si="16"/>
        <v>15.43</v>
      </c>
    </row>
    <row r="151" spans="1:12" x14ac:dyDescent="0.2">
      <c r="A151" s="414" t="s">
        <v>2167</v>
      </c>
      <c r="B151" s="412" t="s">
        <v>1781</v>
      </c>
      <c r="C151" s="414" t="s">
        <v>744</v>
      </c>
      <c r="D151" s="415">
        <v>1</v>
      </c>
      <c r="E151" s="415">
        <f t="shared" si="17"/>
        <v>163.44</v>
      </c>
      <c r="F151" s="415">
        <f t="shared" si="18"/>
        <v>163.44</v>
      </c>
      <c r="G151" s="440"/>
      <c r="I151" s="414"/>
      <c r="J151" s="445">
        <f>'3.4'!$H$280</f>
        <v>163.44</v>
      </c>
      <c r="K151" s="444">
        <f>'3.4'!$H$250</f>
        <v>19.64</v>
      </c>
      <c r="L151" s="444">
        <f t="shared" si="16"/>
        <v>19.64</v>
      </c>
    </row>
    <row r="152" spans="1:12" x14ac:dyDescent="0.2">
      <c r="A152" s="414" t="s">
        <v>2168</v>
      </c>
      <c r="B152" s="412" t="s">
        <v>2033</v>
      </c>
      <c r="C152" s="414" t="s">
        <v>744</v>
      </c>
      <c r="D152" s="415">
        <v>4</v>
      </c>
      <c r="E152" s="415">
        <f t="shared" si="17"/>
        <v>118.66</v>
      </c>
      <c r="F152" s="415">
        <f t="shared" si="18"/>
        <v>474.64</v>
      </c>
      <c r="G152" s="440"/>
      <c r="I152" s="414"/>
      <c r="J152" s="445">
        <v>118.66</v>
      </c>
      <c r="K152" s="444">
        <f>'3.4'!$H$306</f>
        <v>15.43</v>
      </c>
      <c r="L152" s="444">
        <f t="shared" si="16"/>
        <v>61.72</v>
      </c>
    </row>
    <row r="153" spans="1:12" x14ac:dyDescent="0.2">
      <c r="A153" s="414" t="s">
        <v>2169</v>
      </c>
      <c r="B153" s="412" t="s">
        <v>2034</v>
      </c>
      <c r="C153" s="414" t="s">
        <v>744</v>
      </c>
      <c r="D153" s="415">
        <v>1</v>
      </c>
      <c r="E153" s="415">
        <f t="shared" si="17"/>
        <v>77.25</v>
      </c>
      <c r="F153" s="415">
        <f t="shared" si="18"/>
        <v>77.25</v>
      </c>
      <c r="G153" s="440"/>
      <c r="I153" s="414"/>
      <c r="J153" s="445">
        <v>77.25</v>
      </c>
      <c r="K153" s="444">
        <f>'3.4'!$H$306</f>
        <v>15.43</v>
      </c>
      <c r="L153" s="444">
        <f t="shared" si="16"/>
        <v>15.43</v>
      </c>
    </row>
    <row r="154" spans="1:12" x14ac:dyDescent="0.2">
      <c r="A154" s="414" t="s">
        <v>2170</v>
      </c>
      <c r="B154" s="412" t="s">
        <v>1782</v>
      </c>
      <c r="C154" s="414" t="s">
        <v>744</v>
      </c>
      <c r="D154" s="415">
        <v>1</v>
      </c>
      <c r="E154" s="415">
        <f t="shared" si="17"/>
        <v>162</v>
      </c>
      <c r="F154" s="415">
        <f t="shared" si="18"/>
        <v>162</v>
      </c>
      <c r="G154" s="440"/>
      <c r="I154" s="414"/>
      <c r="J154" s="445">
        <v>162</v>
      </c>
      <c r="K154" s="444">
        <f>19.6+4+10</f>
        <v>33.6</v>
      </c>
      <c r="L154" s="444">
        <f t="shared" si="16"/>
        <v>33.6</v>
      </c>
    </row>
    <row r="155" spans="1:12" x14ac:dyDescent="0.2">
      <c r="A155" s="414" t="s">
        <v>2171</v>
      </c>
      <c r="B155" s="412" t="s">
        <v>1510</v>
      </c>
      <c r="C155" s="414" t="s">
        <v>744</v>
      </c>
      <c r="D155" s="415">
        <v>2</v>
      </c>
      <c r="E155" s="415">
        <f t="shared" si="17"/>
        <v>17.34</v>
      </c>
      <c r="F155" s="415">
        <f t="shared" si="18"/>
        <v>34.68</v>
      </c>
      <c r="G155" s="440"/>
      <c r="I155" s="414"/>
      <c r="J155" s="445">
        <f>'3.4'!$H$392</f>
        <v>17.34</v>
      </c>
      <c r="K155" s="444">
        <f>'3.4'!$H$362</f>
        <v>8.42</v>
      </c>
      <c r="L155" s="444">
        <f t="shared" si="16"/>
        <v>16.84</v>
      </c>
    </row>
    <row r="156" spans="1:12" x14ac:dyDescent="0.2">
      <c r="A156" s="414" t="s">
        <v>1668</v>
      </c>
      <c r="B156" s="412" t="s">
        <v>2035</v>
      </c>
      <c r="C156" s="414" t="s">
        <v>744</v>
      </c>
      <c r="D156" s="415">
        <v>1</v>
      </c>
      <c r="E156" s="415">
        <f t="shared" si="17"/>
        <v>141.9</v>
      </c>
      <c r="F156" s="415">
        <f t="shared" si="18"/>
        <v>141.9</v>
      </c>
      <c r="G156" s="440"/>
      <c r="I156" s="414"/>
      <c r="J156" s="445">
        <v>141.9</v>
      </c>
      <c r="K156" s="444">
        <v>50</v>
      </c>
      <c r="L156" s="444">
        <f t="shared" si="16"/>
        <v>50</v>
      </c>
    </row>
    <row r="157" spans="1:12" x14ac:dyDescent="0.2">
      <c r="A157" s="414" t="s">
        <v>1886</v>
      </c>
      <c r="B157" s="412" t="s">
        <v>2036</v>
      </c>
      <c r="C157" s="414" t="s">
        <v>744</v>
      </c>
      <c r="D157" s="415">
        <v>1</v>
      </c>
      <c r="E157" s="415">
        <f t="shared" si="17"/>
        <v>122.8</v>
      </c>
      <c r="F157" s="415">
        <f t="shared" si="18"/>
        <v>122.8</v>
      </c>
      <c r="G157" s="440"/>
      <c r="I157" s="414"/>
      <c r="J157" s="445">
        <v>122.8</v>
      </c>
      <c r="K157" s="444">
        <v>50</v>
      </c>
      <c r="L157" s="444">
        <f t="shared" si="16"/>
        <v>50</v>
      </c>
    </row>
    <row r="158" spans="1:12" x14ac:dyDescent="0.2">
      <c r="A158" s="414" t="s">
        <v>2040</v>
      </c>
      <c r="B158" s="412" t="s">
        <v>2077</v>
      </c>
      <c r="C158" s="414" t="s">
        <v>744</v>
      </c>
      <c r="D158" s="415">
        <v>5</v>
      </c>
      <c r="E158" s="415">
        <f t="shared" si="17"/>
        <v>72.7</v>
      </c>
      <c r="F158" s="415">
        <f t="shared" si="18"/>
        <v>363.5</v>
      </c>
      <c r="G158" s="440"/>
      <c r="I158" s="414"/>
      <c r="J158" s="445">
        <f>'3.4'!$H$560</f>
        <v>72.7</v>
      </c>
      <c r="K158" s="444">
        <v>12.4</v>
      </c>
      <c r="L158" s="444">
        <f t="shared" si="16"/>
        <v>62</v>
      </c>
    </row>
    <row r="159" spans="1:12" x14ac:dyDescent="0.2">
      <c r="A159" s="414" t="s">
        <v>2041</v>
      </c>
      <c r="B159" s="412" t="s">
        <v>2078</v>
      </c>
      <c r="C159" s="414" t="s">
        <v>744</v>
      </c>
      <c r="D159" s="415">
        <v>1</v>
      </c>
      <c r="E159" s="415">
        <f>IF($A159=0,"",ROUND(J159*$J$6,2))</f>
        <v>32</v>
      </c>
      <c r="F159" s="415">
        <f>IF($A159=0,"",ROUND(D159*E159,2))</f>
        <v>32</v>
      </c>
      <c r="G159" s="440"/>
      <c r="I159" s="414"/>
      <c r="J159" s="445">
        <v>32</v>
      </c>
      <c r="K159" s="444">
        <v>12.4</v>
      </c>
      <c r="L159" s="444">
        <f t="shared" si="16"/>
        <v>12.4</v>
      </c>
    </row>
    <row r="160" spans="1:12" x14ac:dyDescent="0.2">
      <c r="A160" s="414" t="s">
        <v>2079</v>
      </c>
      <c r="B160" s="412" t="s">
        <v>1873</v>
      </c>
      <c r="C160" s="414" t="s">
        <v>744</v>
      </c>
      <c r="D160" s="415">
        <v>1</v>
      </c>
      <c r="E160" s="415">
        <f t="shared" si="17"/>
        <v>980</v>
      </c>
      <c r="F160" s="415">
        <f t="shared" si="18"/>
        <v>980</v>
      </c>
      <c r="G160" s="440"/>
      <c r="I160" s="414"/>
      <c r="J160" s="445">
        <f>870+110</f>
        <v>980</v>
      </c>
      <c r="K160" s="444">
        <v>80</v>
      </c>
      <c r="L160" s="444">
        <f t="shared" si="16"/>
        <v>80</v>
      </c>
    </row>
    <row r="161" spans="1:12" ht="14.25" thickBot="1" x14ac:dyDescent="0.25">
      <c r="A161" s="414"/>
      <c r="C161" s="414"/>
      <c r="D161" s="415"/>
      <c r="E161" s="415"/>
      <c r="F161" s="415"/>
      <c r="G161" s="440"/>
      <c r="I161" s="414"/>
      <c r="J161" s="445"/>
    </row>
    <row r="162" spans="1:12" ht="14.25" thickBot="1" x14ac:dyDescent="0.25">
      <c r="A162" s="420" t="s">
        <v>720</v>
      </c>
      <c r="B162" s="421" t="s">
        <v>1519</v>
      </c>
      <c r="C162" s="422"/>
      <c r="D162" s="423"/>
      <c r="E162" s="424"/>
      <c r="F162" s="424"/>
      <c r="G162" s="441">
        <f>SUM(F162:F180)</f>
        <v>11623.77</v>
      </c>
      <c r="H162" s="425">
        <f>ROUND(G162/$F$182,4)</f>
        <v>7.4300000000000005E-2</v>
      </c>
      <c r="I162" s="414"/>
      <c r="J162" s="445"/>
    </row>
    <row r="163" spans="1:12" x14ac:dyDescent="0.2">
      <c r="A163" s="419"/>
      <c r="B163" s="426"/>
      <c r="C163" s="419"/>
      <c r="D163" s="417"/>
      <c r="E163" s="416"/>
      <c r="F163" s="416"/>
      <c r="G163" s="443"/>
      <c r="H163" s="428"/>
      <c r="I163" s="414"/>
      <c r="J163" s="445"/>
    </row>
    <row r="164" spans="1:12" x14ac:dyDescent="0.2">
      <c r="A164" s="414" t="s">
        <v>2172</v>
      </c>
      <c r="B164" s="430" t="s">
        <v>1298</v>
      </c>
      <c r="C164" s="414" t="s">
        <v>744</v>
      </c>
      <c r="D164" s="415">
        <v>1</v>
      </c>
      <c r="E164" s="415">
        <f t="shared" ref="E164:E178" si="19">IF($A164=0,"",ROUND(J164*$J$6,2))</f>
        <v>347.39</v>
      </c>
      <c r="F164" s="415">
        <f t="shared" ref="F164:F178" si="20">IF($A164=0,"",ROUND(D164*E164,2))</f>
        <v>347.39</v>
      </c>
      <c r="G164" s="440"/>
      <c r="H164" s="430"/>
      <c r="I164" s="414"/>
      <c r="J164" s="445">
        <v>347.39</v>
      </c>
      <c r="K164" s="444">
        <f>ELECT!$H$19</f>
        <v>107.71</v>
      </c>
      <c r="L164" s="444">
        <f t="shared" si="16"/>
        <v>107.71</v>
      </c>
    </row>
    <row r="165" spans="1:12" x14ac:dyDescent="0.2">
      <c r="A165" s="414" t="s">
        <v>2173</v>
      </c>
      <c r="B165" s="430" t="s">
        <v>2061</v>
      </c>
      <c r="C165" s="414" t="s">
        <v>1708</v>
      </c>
      <c r="D165" s="415">
        <f>6+2+2</f>
        <v>10</v>
      </c>
      <c r="E165" s="415">
        <f t="shared" si="19"/>
        <v>59.68</v>
      </c>
      <c r="F165" s="415">
        <f t="shared" si="20"/>
        <v>596.79999999999995</v>
      </c>
      <c r="G165" s="440"/>
      <c r="H165" s="412"/>
      <c r="I165" s="414"/>
      <c r="J165" s="445">
        <v>59.68</v>
      </c>
      <c r="K165" s="444">
        <f>ELECT!$H$62</f>
        <v>3.8964375000000002</v>
      </c>
      <c r="L165" s="444">
        <f t="shared" si="16"/>
        <v>38.96</v>
      </c>
    </row>
    <row r="166" spans="1:12" x14ac:dyDescent="0.2">
      <c r="A166" s="414" t="s">
        <v>2174</v>
      </c>
      <c r="B166" s="430" t="s">
        <v>2065</v>
      </c>
      <c r="C166" s="414" t="s">
        <v>1708</v>
      </c>
      <c r="D166" s="415">
        <v>12</v>
      </c>
      <c r="E166" s="415">
        <f t="shared" si="19"/>
        <v>39.9</v>
      </c>
      <c r="F166" s="415">
        <f t="shared" si="20"/>
        <v>478.8</v>
      </c>
      <c r="G166" s="440"/>
      <c r="H166" s="412"/>
      <c r="I166" s="414"/>
      <c r="J166" s="445">
        <v>39.9</v>
      </c>
      <c r="K166" s="444">
        <f>ELECT!$H$116</f>
        <v>2.5976249999999999</v>
      </c>
      <c r="L166" s="444">
        <f t="shared" si="16"/>
        <v>31.17</v>
      </c>
    </row>
    <row r="167" spans="1:12" x14ac:dyDescent="0.2">
      <c r="A167" s="414" t="s">
        <v>2175</v>
      </c>
      <c r="B167" s="430" t="s">
        <v>2066</v>
      </c>
      <c r="C167" s="414" t="s">
        <v>1708</v>
      </c>
      <c r="D167" s="415">
        <v>16</v>
      </c>
      <c r="E167" s="415">
        <f t="shared" si="19"/>
        <v>19.79</v>
      </c>
      <c r="F167" s="415">
        <f t="shared" si="20"/>
        <v>316.64</v>
      </c>
      <c r="G167" s="440"/>
      <c r="H167" s="412"/>
      <c r="I167" s="414"/>
      <c r="J167" s="445">
        <v>19.79</v>
      </c>
      <c r="K167" s="444">
        <f>ELECT!$H$116</f>
        <v>2.5976249999999999</v>
      </c>
      <c r="L167" s="444">
        <f t="shared" si="16"/>
        <v>41.56</v>
      </c>
    </row>
    <row r="168" spans="1:12" x14ac:dyDescent="0.2">
      <c r="A168" s="414" t="s">
        <v>2176</v>
      </c>
      <c r="B168" s="430" t="s">
        <v>2067</v>
      </c>
      <c r="C168" s="414" t="s">
        <v>1708</v>
      </c>
      <c r="D168" s="415">
        <v>12</v>
      </c>
      <c r="E168" s="415">
        <f t="shared" si="19"/>
        <v>19.79</v>
      </c>
      <c r="F168" s="415">
        <f t="shared" si="20"/>
        <v>237.48</v>
      </c>
      <c r="G168" s="440"/>
      <c r="H168" s="412"/>
      <c r="I168" s="414"/>
      <c r="J168" s="445">
        <v>19.79</v>
      </c>
      <c r="K168" s="444">
        <f>ELECT!$H$116</f>
        <v>2.5976249999999999</v>
      </c>
      <c r="L168" s="444">
        <f t="shared" si="16"/>
        <v>31.17</v>
      </c>
    </row>
    <row r="169" spans="1:12" x14ac:dyDescent="0.2">
      <c r="A169" s="414" t="s">
        <v>2177</v>
      </c>
      <c r="B169" s="430" t="s">
        <v>2080</v>
      </c>
      <c r="C169" s="414" t="s">
        <v>744</v>
      </c>
      <c r="D169" s="415">
        <v>1</v>
      </c>
      <c r="E169" s="415">
        <f t="shared" si="19"/>
        <v>769</v>
      </c>
      <c r="F169" s="415">
        <f t="shared" si="20"/>
        <v>769</v>
      </c>
      <c r="G169" s="440"/>
      <c r="H169" s="412"/>
      <c r="I169" s="414"/>
      <c r="J169" s="445">
        <v>769</v>
      </c>
      <c r="K169" s="444">
        <f>ELECT!$H$169</f>
        <v>113.2</v>
      </c>
      <c r="L169" s="444">
        <f t="shared" si="16"/>
        <v>113.2</v>
      </c>
    </row>
    <row r="170" spans="1:12" x14ac:dyDescent="0.2">
      <c r="A170" s="414" t="s">
        <v>2178</v>
      </c>
      <c r="B170" s="430" t="s">
        <v>2062</v>
      </c>
      <c r="C170" s="414" t="s">
        <v>744</v>
      </c>
      <c r="D170" s="415">
        <v>1</v>
      </c>
      <c r="E170" s="415">
        <f t="shared" si="19"/>
        <v>293.25</v>
      </c>
      <c r="F170" s="415">
        <f t="shared" si="20"/>
        <v>293.25</v>
      </c>
      <c r="G170" s="440"/>
      <c r="H170" s="412"/>
      <c r="I170" s="414"/>
      <c r="J170" s="445">
        <f>ELECT!$H$189</f>
        <v>293.25</v>
      </c>
      <c r="K170" s="444">
        <f>ELECT!$H$169</f>
        <v>113.2</v>
      </c>
      <c r="L170" s="444">
        <f t="shared" si="16"/>
        <v>113.2</v>
      </c>
    </row>
    <row r="171" spans="1:12" x14ac:dyDescent="0.2">
      <c r="A171" s="414" t="s">
        <v>2179</v>
      </c>
      <c r="B171" s="430" t="s">
        <v>2063</v>
      </c>
      <c r="C171" s="414" t="s">
        <v>744</v>
      </c>
      <c r="D171" s="415">
        <v>1</v>
      </c>
      <c r="E171" s="415">
        <f t="shared" si="19"/>
        <v>293.25</v>
      </c>
      <c r="F171" s="415">
        <f t="shared" si="20"/>
        <v>293.25</v>
      </c>
      <c r="G171" s="440"/>
      <c r="H171" s="412"/>
      <c r="I171" s="414"/>
      <c r="J171" s="445">
        <f>ELECT!$H$189</f>
        <v>293.25</v>
      </c>
      <c r="K171" s="444">
        <f>ELECT!$H$169</f>
        <v>113.2</v>
      </c>
      <c r="L171" s="444">
        <f t="shared" si="16"/>
        <v>113.2</v>
      </c>
    </row>
    <row r="172" spans="1:12" x14ac:dyDescent="0.2">
      <c r="A172" s="414" t="s">
        <v>2180</v>
      </c>
      <c r="B172" s="430" t="s">
        <v>2064</v>
      </c>
      <c r="C172" s="414" t="s">
        <v>744</v>
      </c>
      <c r="D172" s="415">
        <v>1</v>
      </c>
      <c r="E172" s="415">
        <f t="shared" si="19"/>
        <v>342.88</v>
      </c>
      <c r="F172" s="415">
        <f t="shared" si="20"/>
        <v>342.88</v>
      </c>
      <c r="G172" s="440"/>
      <c r="H172" s="412"/>
      <c r="I172" s="414"/>
      <c r="J172" s="445">
        <f>ELECT!$H$229</f>
        <v>342.88</v>
      </c>
      <c r="K172" s="444">
        <f>ELECT!$H$211</f>
        <v>103.56</v>
      </c>
      <c r="L172" s="444">
        <f t="shared" si="16"/>
        <v>103.56</v>
      </c>
    </row>
    <row r="173" spans="1:12" x14ac:dyDescent="0.2">
      <c r="A173" s="414" t="s">
        <v>1806</v>
      </c>
      <c r="B173" s="430" t="s">
        <v>1807</v>
      </c>
      <c r="C173" s="414" t="s">
        <v>744</v>
      </c>
      <c r="D173" s="415">
        <f>15+11+12+10+20</f>
        <v>68</v>
      </c>
      <c r="E173" s="415">
        <f t="shared" si="19"/>
        <v>35.31</v>
      </c>
      <c r="F173" s="415">
        <f t="shared" si="20"/>
        <v>2401.08</v>
      </c>
      <c r="G173" s="440"/>
      <c r="H173" s="431"/>
      <c r="I173" s="414"/>
      <c r="J173" s="445">
        <f>ELECT!$H$291</f>
        <v>35.31</v>
      </c>
      <c r="K173" s="444">
        <f>ELECT!$H$256</f>
        <v>17.32</v>
      </c>
      <c r="L173" s="444">
        <f t="shared" si="16"/>
        <v>1177.76</v>
      </c>
    </row>
    <row r="174" spans="1:12" x14ac:dyDescent="0.2">
      <c r="A174" s="414" t="s">
        <v>2051</v>
      </c>
      <c r="B174" s="430" t="s">
        <v>1808</v>
      </c>
      <c r="C174" s="414" t="s">
        <v>744</v>
      </c>
      <c r="D174" s="415">
        <f>26+33</f>
        <v>59</v>
      </c>
      <c r="E174" s="415">
        <f t="shared" si="19"/>
        <v>43.39</v>
      </c>
      <c r="F174" s="415">
        <f t="shared" si="20"/>
        <v>2560.0100000000002</v>
      </c>
      <c r="G174" s="440"/>
      <c r="H174" s="431"/>
      <c r="I174" s="414"/>
      <c r="J174" s="445">
        <f>ELECT!$H$355</f>
        <v>43.39</v>
      </c>
      <c r="K174" s="444">
        <f>ELECT!$H$320</f>
        <v>17.32</v>
      </c>
      <c r="L174" s="444">
        <f t="shared" si="16"/>
        <v>1021.88</v>
      </c>
    </row>
    <row r="175" spans="1:12" x14ac:dyDescent="0.2">
      <c r="A175" s="414" t="s">
        <v>2068</v>
      </c>
      <c r="B175" s="430" t="s">
        <v>1809</v>
      </c>
      <c r="C175" s="414" t="s">
        <v>744</v>
      </c>
      <c r="D175" s="415">
        <f>4+4</f>
        <v>8</v>
      </c>
      <c r="E175" s="415">
        <f t="shared" si="19"/>
        <v>58.03</v>
      </c>
      <c r="F175" s="415">
        <f t="shared" si="20"/>
        <v>464.24</v>
      </c>
      <c r="G175" s="440"/>
      <c r="H175" s="431"/>
      <c r="I175" s="414"/>
      <c r="J175" s="445">
        <f>ELECT!$H$417</f>
        <v>58.03</v>
      </c>
      <c r="K175" s="444">
        <f>ELECT!$H$382</f>
        <v>25.980000000000004</v>
      </c>
      <c r="L175" s="444">
        <f t="shared" si="16"/>
        <v>207.84</v>
      </c>
    </row>
    <row r="176" spans="1:12" x14ac:dyDescent="0.2">
      <c r="A176" s="414" t="s">
        <v>2069</v>
      </c>
      <c r="B176" s="430" t="s">
        <v>2247</v>
      </c>
      <c r="C176" s="414" t="s">
        <v>744</v>
      </c>
      <c r="D176" s="415">
        <v>7</v>
      </c>
      <c r="E176" s="415">
        <f t="shared" si="19"/>
        <v>77.61</v>
      </c>
      <c r="F176" s="415">
        <f t="shared" si="20"/>
        <v>543.27</v>
      </c>
      <c r="G176" s="440"/>
      <c r="H176" s="431"/>
      <c r="I176" s="414"/>
      <c r="J176" s="445">
        <f>ELECT!$H$479</f>
        <v>77.61</v>
      </c>
      <c r="K176" s="444">
        <f>ELECT!$H$444</f>
        <v>34.64</v>
      </c>
      <c r="L176" s="444">
        <f t="shared" si="16"/>
        <v>242.48</v>
      </c>
    </row>
    <row r="177" spans="1:13" x14ac:dyDescent="0.2">
      <c r="A177" s="414" t="s">
        <v>2070</v>
      </c>
      <c r="B177" s="430" t="s">
        <v>1877</v>
      </c>
      <c r="C177" s="414" t="s">
        <v>744</v>
      </c>
      <c r="D177" s="415">
        <v>6</v>
      </c>
      <c r="E177" s="415">
        <f t="shared" si="19"/>
        <v>77.099999999999994</v>
      </c>
      <c r="F177" s="415">
        <f t="shared" si="20"/>
        <v>462.6</v>
      </c>
      <c r="G177" s="440"/>
      <c r="H177" s="431"/>
      <c r="I177" s="414"/>
      <c r="J177" s="445">
        <f>ELECT!$H$540</f>
        <v>77.099999999999994</v>
      </c>
      <c r="K177" s="444">
        <f>ELECT!$H$505</f>
        <v>34.64</v>
      </c>
      <c r="L177" s="444">
        <f t="shared" si="16"/>
        <v>207.84</v>
      </c>
    </row>
    <row r="178" spans="1:13" x14ac:dyDescent="0.2">
      <c r="A178" s="414" t="s">
        <v>2071</v>
      </c>
      <c r="B178" s="430" t="s">
        <v>2072</v>
      </c>
      <c r="C178" s="414" t="s">
        <v>744</v>
      </c>
      <c r="D178" s="415">
        <f>15+11+12+10+20</f>
        <v>68</v>
      </c>
      <c r="E178" s="415">
        <f t="shared" si="19"/>
        <v>22.31</v>
      </c>
      <c r="F178" s="415">
        <f t="shared" si="20"/>
        <v>1517.08</v>
      </c>
      <c r="G178" s="440"/>
      <c r="H178" s="431"/>
      <c r="I178" s="414"/>
      <c r="J178" s="445">
        <v>22.31</v>
      </c>
      <c r="K178" s="444">
        <f>ELECT!$H$256</f>
        <v>17.32</v>
      </c>
      <c r="L178" s="444">
        <f t="shared" si="16"/>
        <v>1177.76</v>
      </c>
    </row>
    <row r="179" spans="1:13" x14ac:dyDescent="0.2">
      <c r="A179" s="414"/>
      <c r="B179" s="430"/>
      <c r="C179" s="414"/>
      <c r="D179" s="415"/>
      <c r="E179" s="415"/>
      <c r="F179" s="415"/>
      <c r="G179" s="440"/>
      <c r="H179" s="430"/>
      <c r="I179" s="414"/>
      <c r="J179" s="445"/>
    </row>
    <row r="180" spans="1:13" x14ac:dyDescent="0.2">
      <c r="A180" s="419"/>
      <c r="B180" s="426"/>
      <c r="C180" s="419"/>
      <c r="D180" s="417"/>
      <c r="E180" s="416"/>
      <c r="F180" s="416"/>
      <c r="G180" s="440"/>
      <c r="I180" s="414"/>
      <c r="J180" s="445"/>
    </row>
    <row r="181" spans="1:13" x14ac:dyDescent="0.2">
      <c r="A181" s="419"/>
      <c r="B181" s="426"/>
      <c r="C181" s="419"/>
      <c r="D181" s="417"/>
      <c r="E181" s="416"/>
      <c r="F181" s="416"/>
      <c r="G181" s="440"/>
      <c r="I181" s="414"/>
      <c r="J181" s="445"/>
    </row>
    <row r="182" spans="1:13" x14ac:dyDescent="0.2">
      <c r="A182" s="419"/>
      <c r="B182" s="432" t="s">
        <v>1505</v>
      </c>
      <c r="C182" s="433"/>
      <c r="D182" s="434"/>
      <c r="E182" s="433"/>
      <c r="F182" s="435">
        <f>SUM(F7:F181)</f>
        <v>156521.73999999993</v>
      </c>
      <c r="G182" s="440"/>
      <c r="H182" s="412"/>
      <c r="I182" s="414"/>
      <c r="J182" s="447">
        <f>SUM(J7:J181)</f>
        <v>17208.060000000001</v>
      </c>
      <c r="K182" s="447">
        <f>SUM(K7:K181)</f>
        <v>4626.6893124999951</v>
      </c>
      <c r="L182" s="447">
        <f>SUM(L7:L181)</f>
        <v>74712.829999999973</v>
      </c>
      <c r="M182" s="413"/>
    </row>
    <row r="183" spans="1:13" x14ac:dyDescent="0.2">
      <c r="A183" s="436"/>
      <c r="B183" s="432" t="s">
        <v>2023</v>
      </c>
      <c r="C183" s="433"/>
      <c r="D183" s="434"/>
      <c r="E183" s="437">
        <v>0.2</v>
      </c>
      <c r="F183" s="438">
        <f>ROUND(F182*E183,2)</f>
        <v>31304.35</v>
      </c>
      <c r="G183" s="440"/>
      <c r="H183" s="412"/>
      <c r="I183" s="414"/>
    </row>
    <row r="184" spans="1:13" x14ac:dyDescent="0.2">
      <c r="A184" s="436"/>
      <c r="B184" s="439" t="s">
        <v>716</v>
      </c>
      <c r="C184" s="433"/>
      <c r="D184" s="434"/>
      <c r="E184" s="439"/>
      <c r="F184" s="435">
        <f>ROUND(SUM(F182:F183),2)</f>
        <v>187826.09</v>
      </c>
      <c r="G184" s="440"/>
      <c r="I184" s="414"/>
      <c r="J184" s="446"/>
    </row>
    <row r="185" spans="1:13" x14ac:dyDescent="0.2">
      <c r="B185" s="427"/>
      <c r="H185" s="412"/>
    </row>
  </sheetData>
  <mergeCells count="17">
    <mergeCell ref="G6:G7"/>
    <mergeCell ref="H6:H7"/>
    <mergeCell ref="A6:A7"/>
    <mergeCell ref="B6:B7"/>
    <mergeCell ref="C6:C7"/>
    <mergeCell ref="D6:D7"/>
    <mergeCell ref="E6:E7"/>
    <mergeCell ref="F6:F7"/>
    <mergeCell ref="A5:B5"/>
    <mergeCell ref="A1:H1"/>
    <mergeCell ref="C2:H2"/>
    <mergeCell ref="C3:H3"/>
    <mergeCell ref="C4:H4"/>
    <mergeCell ref="C5:H5"/>
    <mergeCell ref="A2:B2"/>
    <mergeCell ref="A3:B3"/>
    <mergeCell ref="A4:B4"/>
  </mergeCells>
  <phoneticPr fontId="2" type="noConversion"/>
  <pageMargins left="0.59055118110236227" right="0.38" top="0.78740157480314965" bottom="0.78740157480314965" header="0.31496062992125984" footer="0.31496062992125984"/>
  <pageSetup paperSize="9" scale="60" fitToHeight="5" orientation="portrait" r:id="rId1"/>
  <rowBreaks count="1" manualBreakCount="1">
    <brk id="79" max="7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47201-E4B7-44DE-B88D-84A29B703F6F}">
  <sheetPr codeName="Hoja2"/>
  <dimension ref="B1:BA113"/>
  <sheetViews>
    <sheetView zoomScale="94" zoomScaleNormal="94" workbookViewId="0">
      <selection activeCell="F8" sqref="F8"/>
    </sheetView>
  </sheetViews>
  <sheetFormatPr baseColWidth="10" defaultColWidth="11.140625" defaultRowHeight="11.25" x14ac:dyDescent="0.2"/>
  <cols>
    <col min="1" max="1" width="2.140625" style="454" customWidth="1"/>
    <col min="2" max="2" width="5.7109375" style="455" bestFit="1" customWidth="1"/>
    <col min="3" max="3" width="45.140625" style="454" bestFit="1" customWidth="1"/>
    <col min="4" max="4" width="12" style="455" customWidth="1"/>
    <col min="5" max="5" width="7" style="456" bestFit="1" customWidth="1"/>
    <col min="6" max="40" width="7" style="454" bestFit="1" customWidth="1"/>
    <col min="41" max="41" width="7" style="498" bestFit="1" customWidth="1"/>
    <col min="42" max="53" width="7" style="454" bestFit="1" customWidth="1"/>
    <col min="54" max="16384" width="11.140625" style="454"/>
  </cols>
  <sheetData>
    <row r="1" spans="2:41" x14ac:dyDescent="0.2">
      <c r="B1" s="689" t="str">
        <f>PRESUPUESTO!A1</f>
        <v>FORMATO PARA PRESUPUESTO</v>
      </c>
      <c r="C1" s="689"/>
      <c r="D1" s="689"/>
    </row>
    <row r="2" spans="2:41" x14ac:dyDescent="0.2">
      <c r="B2" s="689">
        <f>PRESUPUESTO!B3</f>
        <v>0</v>
      </c>
      <c r="C2" s="689"/>
      <c r="D2" s="689"/>
      <c r="F2" s="454" t="s">
        <v>2198</v>
      </c>
      <c r="G2" s="454" t="s">
        <v>2198</v>
      </c>
      <c r="H2" s="454" t="s">
        <v>2198</v>
      </c>
      <c r="I2" s="454" t="s">
        <v>2198</v>
      </c>
      <c r="J2" s="454" t="s">
        <v>2198</v>
      </c>
      <c r="K2" s="454" t="s">
        <v>2198</v>
      </c>
      <c r="L2" s="454" t="s">
        <v>2198</v>
      </c>
      <c r="M2" s="454" t="s">
        <v>2198</v>
      </c>
      <c r="N2" s="454" t="s">
        <v>2198</v>
      </c>
      <c r="O2" s="454" t="s">
        <v>2198</v>
      </c>
      <c r="P2" s="454" t="s">
        <v>2198</v>
      </c>
      <c r="Q2" s="454" t="s">
        <v>2198</v>
      </c>
      <c r="R2" s="454" t="s">
        <v>2198</v>
      </c>
      <c r="S2" s="454" t="s">
        <v>2198</v>
      </c>
      <c r="T2" s="454" t="s">
        <v>2198</v>
      </c>
      <c r="U2" s="454" t="s">
        <v>2198</v>
      </c>
      <c r="V2" s="454" t="s">
        <v>2198</v>
      </c>
      <c r="W2" s="454" t="s">
        <v>2198</v>
      </c>
      <c r="X2" s="454" t="s">
        <v>2198</v>
      </c>
      <c r="Y2" s="454" t="s">
        <v>2198</v>
      </c>
      <c r="Z2" s="454" t="s">
        <v>2198</v>
      </c>
      <c r="AA2" s="454" t="s">
        <v>2198</v>
      </c>
      <c r="AB2" s="454" t="s">
        <v>2198</v>
      </c>
      <c r="AC2" s="454" t="s">
        <v>2198</v>
      </c>
      <c r="AD2" s="454" t="s">
        <v>2198</v>
      </c>
      <c r="AE2" s="454" t="s">
        <v>2198</v>
      </c>
      <c r="AF2" s="454" t="s">
        <v>2198</v>
      </c>
      <c r="AG2" s="454" t="s">
        <v>2198</v>
      </c>
      <c r="AH2" s="454" t="s">
        <v>2198</v>
      </c>
      <c r="AI2" s="454" t="s">
        <v>2198</v>
      </c>
      <c r="AJ2" s="454" t="s">
        <v>2198</v>
      </c>
      <c r="AK2" s="454" t="s">
        <v>2198</v>
      </c>
    </row>
    <row r="3" spans="2:41" ht="12" thickBot="1" x14ac:dyDescent="0.25">
      <c r="B3" s="689" t="s">
        <v>1592</v>
      </c>
      <c r="C3" s="689"/>
      <c r="D3" s="689"/>
    </row>
    <row r="4" spans="2:41" ht="12.95" customHeight="1" thickBot="1" x14ac:dyDescent="0.25">
      <c r="B4" s="499"/>
      <c r="C4" s="455"/>
      <c r="F4" s="690">
        <v>2024</v>
      </c>
      <c r="G4" s="691"/>
      <c r="H4" s="691"/>
      <c r="I4" s="691"/>
      <c r="J4" s="691"/>
      <c r="K4" s="691"/>
      <c r="L4" s="691"/>
      <c r="M4" s="691"/>
      <c r="N4" s="691"/>
      <c r="O4" s="691"/>
      <c r="P4" s="691"/>
      <c r="Q4" s="691"/>
      <c r="R4" s="691"/>
      <c r="S4" s="691"/>
      <c r="T4" s="691"/>
      <c r="U4" s="691"/>
      <c r="V4" s="691"/>
      <c r="W4" s="691"/>
      <c r="X4" s="691"/>
      <c r="Y4" s="691"/>
      <c r="Z4" s="691"/>
      <c r="AA4" s="691"/>
      <c r="AB4" s="691"/>
      <c r="AC4" s="691"/>
      <c r="AD4" s="691"/>
      <c r="AE4" s="691"/>
      <c r="AF4" s="691"/>
      <c r="AG4" s="691"/>
      <c r="AH4" s="691"/>
      <c r="AI4" s="691"/>
      <c r="AJ4" s="691"/>
      <c r="AK4" s="692"/>
    </row>
    <row r="5" spans="2:41" ht="12" thickBot="1" x14ac:dyDescent="0.25">
      <c r="C5" s="455"/>
      <c r="F5" s="677" t="s">
        <v>1588</v>
      </c>
      <c r="G5" s="678"/>
      <c r="H5" s="678"/>
      <c r="I5" s="679"/>
      <c r="J5" s="677" t="s">
        <v>1589</v>
      </c>
      <c r="K5" s="678"/>
      <c r="L5" s="678"/>
      <c r="M5" s="679"/>
      <c r="N5" s="677" t="s">
        <v>1590</v>
      </c>
      <c r="O5" s="678"/>
      <c r="P5" s="678"/>
      <c r="Q5" s="679"/>
      <c r="R5" s="677" t="s">
        <v>1591</v>
      </c>
      <c r="S5" s="678"/>
      <c r="T5" s="678"/>
      <c r="U5" s="679"/>
      <c r="V5" s="677" t="s">
        <v>2199</v>
      </c>
      <c r="W5" s="678"/>
      <c r="X5" s="678"/>
      <c r="Y5" s="679"/>
      <c r="Z5" s="677" t="s">
        <v>2200</v>
      </c>
      <c r="AA5" s="678"/>
      <c r="AB5" s="678"/>
      <c r="AC5" s="679"/>
      <c r="AD5" s="677" t="s">
        <v>2201</v>
      </c>
      <c r="AE5" s="678"/>
      <c r="AF5" s="678"/>
      <c r="AG5" s="679"/>
      <c r="AH5" s="677" t="s">
        <v>1587</v>
      </c>
      <c r="AI5" s="678"/>
      <c r="AJ5" s="678"/>
      <c r="AK5" s="679"/>
    </row>
    <row r="6" spans="2:41" ht="12.6" customHeight="1" x14ac:dyDescent="0.2">
      <c r="B6" s="457"/>
      <c r="C6" s="693" t="s">
        <v>741</v>
      </c>
      <c r="D6" s="458"/>
      <c r="E6" s="459"/>
      <c r="F6" s="680" t="s">
        <v>216</v>
      </c>
      <c r="G6" s="681"/>
      <c r="H6" s="681"/>
      <c r="I6" s="682"/>
      <c r="J6" s="680" t="s">
        <v>217</v>
      </c>
      <c r="K6" s="681"/>
      <c r="L6" s="681"/>
      <c r="M6" s="682"/>
      <c r="N6" s="680" t="s">
        <v>218</v>
      </c>
      <c r="O6" s="681"/>
      <c r="P6" s="681"/>
      <c r="Q6" s="682"/>
      <c r="R6" s="680" t="s">
        <v>219</v>
      </c>
      <c r="S6" s="681"/>
      <c r="T6" s="681"/>
      <c r="U6" s="682"/>
      <c r="V6" s="680" t="s">
        <v>220</v>
      </c>
      <c r="W6" s="681"/>
      <c r="X6" s="681"/>
      <c r="Y6" s="682"/>
      <c r="Z6" s="680" t="s">
        <v>1996</v>
      </c>
      <c r="AA6" s="681"/>
      <c r="AB6" s="681"/>
      <c r="AC6" s="682"/>
      <c r="AD6" s="680" t="s">
        <v>2054</v>
      </c>
      <c r="AE6" s="681"/>
      <c r="AF6" s="681"/>
      <c r="AG6" s="682"/>
      <c r="AH6" s="680" t="s">
        <v>2055</v>
      </c>
      <c r="AI6" s="681"/>
      <c r="AJ6" s="681"/>
      <c r="AK6" s="682"/>
    </row>
    <row r="7" spans="2:41" ht="12" thickBot="1" x14ac:dyDescent="0.25">
      <c r="B7" s="460"/>
      <c r="C7" s="694"/>
      <c r="D7" s="461"/>
      <c r="E7" s="462"/>
      <c r="F7" s="463">
        <v>1</v>
      </c>
      <c r="G7" s="464">
        <v>2</v>
      </c>
      <c r="H7" s="464">
        <v>3</v>
      </c>
      <c r="I7" s="465">
        <v>4</v>
      </c>
      <c r="J7" s="466">
        <v>1</v>
      </c>
      <c r="K7" s="464">
        <v>2</v>
      </c>
      <c r="L7" s="464">
        <v>3</v>
      </c>
      <c r="M7" s="465">
        <v>4</v>
      </c>
      <c r="N7" s="466">
        <v>1</v>
      </c>
      <c r="O7" s="464">
        <v>2</v>
      </c>
      <c r="P7" s="464">
        <v>3</v>
      </c>
      <c r="Q7" s="465">
        <v>4</v>
      </c>
      <c r="R7" s="466">
        <v>1</v>
      </c>
      <c r="S7" s="464">
        <v>2</v>
      </c>
      <c r="T7" s="464">
        <v>3</v>
      </c>
      <c r="U7" s="465">
        <v>4</v>
      </c>
      <c r="V7" s="466">
        <v>1</v>
      </c>
      <c r="W7" s="464">
        <v>2</v>
      </c>
      <c r="X7" s="464">
        <v>3</v>
      </c>
      <c r="Y7" s="465">
        <v>4</v>
      </c>
      <c r="Z7" s="466">
        <v>1</v>
      </c>
      <c r="AA7" s="464">
        <v>2</v>
      </c>
      <c r="AB7" s="464">
        <v>3</v>
      </c>
      <c r="AC7" s="465">
        <v>4</v>
      </c>
      <c r="AD7" s="466">
        <v>1</v>
      </c>
      <c r="AE7" s="464">
        <v>2</v>
      </c>
      <c r="AF7" s="464">
        <v>3</v>
      </c>
      <c r="AG7" s="465">
        <v>4</v>
      </c>
      <c r="AH7" s="466">
        <v>1</v>
      </c>
      <c r="AI7" s="464">
        <v>2</v>
      </c>
      <c r="AJ7" s="464">
        <v>3</v>
      </c>
      <c r="AK7" s="465">
        <v>4</v>
      </c>
    </row>
    <row r="8" spans="2:41" x14ac:dyDescent="0.2">
      <c r="B8" s="500" t="s">
        <v>739</v>
      </c>
      <c r="C8" s="501" t="s">
        <v>738</v>
      </c>
      <c r="D8" s="502">
        <f>VLOOKUP(C8,PRESUPUESTO!$B$10:$G$180,6,FALSE)</f>
        <v>1405.35</v>
      </c>
      <c r="E8" s="503">
        <v>1</v>
      </c>
      <c r="F8" s="467">
        <f>ROUND($D8/$E8,2)</f>
        <v>1405.35</v>
      </c>
      <c r="G8" s="468"/>
      <c r="H8" s="468"/>
      <c r="I8" s="469"/>
      <c r="J8" s="470"/>
      <c r="K8" s="468"/>
      <c r="L8" s="468"/>
      <c r="M8" s="469"/>
      <c r="N8" s="471"/>
      <c r="O8" s="468"/>
      <c r="P8" s="468"/>
      <c r="Q8" s="469"/>
      <c r="R8" s="471"/>
      <c r="S8" s="468"/>
      <c r="T8" s="468"/>
      <c r="U8" s="469"/>
      <c r="V8" s="470"/>
      <c r="W8" s="468"/>
      <c r="X8" s="468"/>
      <c r="Y8" s="469"/>
      <c r="Z8" s="470"/>
      <c r="AA8" s="468"/>
      <c r="AB8" s="468"/>
      <c r="AC8" s="469"/>
      <c r="AD8" s="470"/>
      <c r="AE8" s="468"/>
      <c r="AF8" s="468"/>
      <c r="AG8" s="469"/>
      <c r="AH8" s="470"/>
      <c r="AI8" s="468"/>
      <c r="AJ8" s="468"/>
      <c r="AK8" s="469"/>
      <c r="AM8" s="454">
        <f>SUM(F8:AL8)</f>
        <v>1405.35</v>
      </c>
      <c r="AO8" s="454">
        <f>+D8-AM8</f>
        <v>0</v>
      </c>
    </row>
    <row r="9" spans="2:41" x14ac:dyDescent="0.2">
      <c r="B9" s="505" t="s">
        <v>737</v>
      </c>
      <c r="C9" s="506" t="s">
        <v>607</v>
      </c>
      <c r="D9" s="502">
        <f>VLOOKUP(C9,PRESUPUESTO!$B$10:$G$180,6,FALSE)</f>
        <v>2992.64</v>
      </c>
      <c r="E9" s="503">
        <v>32</v>
      </c>
      <c r="F9" s="467">
        <f t="shared" ref="F9:AK9" si="0">ROUND($D9/$E9,2)</f>
        <v>93.52</v>
      </c>
      <c r="G9" s="472">
        <f t="shared" si="0"/>
        <v>93.52</v>
      </c>
      <c r="H9" s="472">
        <f t="shared" si="0"/>
        <v>93.52</v>
      </c>
      <c r="I9" s="473">
        <f t="shared" si="0"/>
        <v>93.52</v>
      </c>
      <c r="J9" s="467">
        <f t="shared" si="0"/>
        <v>93.52</v>
      </c>
      <c r="K9" s="472">
        <f t="shared" si="0"/>
        <v>93.52</v>
      </c>
      <c r="L9" s="472">
        <f t="shared" si="0"/>
        <v>93.52</v>
      </c>
      <c r="M9" s="473">
        <f t="shared" si="0"/>
        <v>93.52</v>
      </c>
      <c r="N9" s="474">
        <f t="shared" si="0"/>
        <v>93.52</v>
      </c>
      <c r="O9" s="472">
        <f t="shared" si="0"/>
        <v>93.52</v>
      </c>
      <c r="P9" s="472">
        <f t="shared" si="0"/>
        <v>93.52</v>
      </c>
      <c r="Q9" s="473">
        <f t="shared" si="0"/>
        <v>93.52</v>
      </c>
      <c r="R9" s="474">
        <f t="shared" si="0"/>
        <v>93.52</v>
      </c>
      <c r="S9" s="472">
        <f t="shared" si="0"/>
        <v>93.52</v>
      </c>
      <c r="T9" s="472">
        <f t="shared" si="0"/>
        <v>93.52</v>
      </c>
      <c r="U9" s="473">
        <f t="shared" si="0"/>
        <v>93.52</v>
      </c>
      <c r="V9" s="467">
        <f t="shared" si="0"/>
        <v>93.52</v>
      </c>
      <c r="W9" s="472">
        <f t="shared" si="0"/>
        <v>93.52</v>
      </c>
      <c r="X9" s="472">
        <f t="shared" si="0"/>
        <v>93.52</v>
      </c>
      <c r="Y9" s="473">
        <f t="shared" si="0"/>
        <v>93.52</v>
      </c>
      <c r="Z9" s="467">
        <f t="shared" si="0"/>
        <v>93.52</v>
      </c>
      <c r="AA9" s="472">
        <f t="shared" si="0"/>
        <v>93.52</v>
      </c>
      <c r="AB9" s="472">
        <f t="shared" si="0"/>
        <v>93.52</v>
      </c>
      <c r="AC9" s="473">
        <f t="shared" si="0"/>
        <v>93.52</v>
      </c>
      <c r="AD9" s="467">
        <f t="shared" si="0"/>
        <v>93.52</v>
      </c>
      <c r="AE9" s="472">
        <f t="shared" si="0"/>
        <v>93.52</v>
      </c>
      <c r="AF9" s="472">
        <f t="shared" si="0"/>
        <v>93.52</v>
      </c>
      <c r="AG9" s="473">
        <f t="shared" si="0"/>
        <v>93.52</v>
      </c>
      <c r="AH9" s="467">
        <f t="shared" si="0"/>
        <v>93.52</v>
      </c>
      <c r="AI9" s="472">
        <f t="shared" si="0"/>
        <v>93.52</v>
      </c>
      <c r="AJ9" s="472">
        <f t="shared" si="0"/>
        <v>93.52</v>
      </c>
      <c r="AK9" s="473">
        <f t="shared" si="0"/>
        <v>93.52</v>
      </c>
      <c r="AM9" s="454">
        <f>SUM(F9:AL9)</f>
        <v>2992.64</v>
      </c>
      <c r="AO9" s="454">
        <f t="shared" ref="AO9:AO39" si="1">+D9-AM9</f>
        <v>0</v>
      </c>
    </row>
    <row r="10" spans="2:41" x14ac:dyDescent="0.2">
      <c r="B10" s="505" t="s">
        <v>736</v>
      </c>
      <c r="C10" s="506" t="s">
        <v>2234</v>
      </c>
      <c r="D10" s="502">
        <f>VLOOKUP(C10,PRESUPUESTO!$B$10:$G$180,6,FALSE)</f>
        <v>523.08000000000004</v>
      </c>
      <c r="E10" s="503">
        <v>1</v>
      </c>
      <c r="F10" s="467">
        <f>ROUND($D10/$E10,2)</f>
        <v>523.08000000000004</v>
      </c>
      <c r="G10" s="468"/>
      <c r="H10" s="468"/>
      <c r="I10" s="469"/>
      <c r="J10" s="470"/>
      <c r="K10" s="468"/>
      <c r="L10" s="468"/>
      <c r="M10" s="469"/>
      <c r="N10" s="471"/>
      <c r="O10" s="468"/>
      <c r="P10" s="468"/>
      <c r="Q10" s="469"/>
      <c r="R10" s="471"/>
      <c r="S10" s="468"/>
      <c r="T10" s="468"/>
      <c r="U10" s="469"/>
      <c r="V10" s="470"/>
      <c r="W10" s="468"/>
      <c r="X10" s="468"/>
      <c r="Y10" s="469"/>
      <c r="Z10" s="470"/>
      <c r="AA10" s="468"/>
      <c r="AB10" s="468"/>
      <c r="AC10" s="469"/>
      <c r="AD10" s="470"/>
      <c r="AE10" s="468"/>
      <c r="AF10" s="468"/>
      <c r="AG10" s="469"/>
      <c r="AH10" s="470"/>
      <c r="AI10" s="468"/>
      <c r="AJ10" s="468"/>
      <c r="AK10" s="469"/>
      <c r="AM10" s="454">
        <f>SUM(F10:AL10)</f>
        <v>523.08000000000004</v>
      </c>
      <c r="AO10" s="454">
        <f t="shared" si="1"/>
        <v>0</v>
      </c>
    </row>
    <row r="11" spans="2:41" x14ac:dyDescent="0.2">
      <c r="B11" s="505" t="s">
        <v>735</v>
      </c>
      <c r="C11" s="506" t="s">
        <v>213</v>
      </c>
      <c r="D11" s="502">
        <f>VLOOKUP(C11,PRESUPUESTO!$B$10:$G$180,6,FALSE)</f>
        <v>1991.29</v>
      </c>
      <c r="E11" s="503">
        <v>2</v>
      </c>
      <c r="F11" s="467">
        <f>ROUND($D11/$E11,2)</f>
        <v>995.65</v>
      </c>
      <c r="G11" s="475">
        <f>ROUND($D11/$E11,2)</f>
        <v>995.65</v>
      </c>
      <c r="H11" s="468"/>
      <c r="I11" s="469"/>
      <c r="J11" s="470"/>
      <c r="K11" s="468"/>
      <c r="L11" s="468"/>
      <c r="M11" s="469"/>
      <c r="N11" s="471"/>
      <c r="O11" s="468"/>
      <c r="P11" s="468"/>
      <c r="Q11" s="469"/>
      <c r="R11" s="471"/>
      <c r="S11" s="468"/>
      <c r="T11" s="468"/>
      <c r="U11" s="469"/>
      <c r="V11" s="470"/>
      <c r="W11" s="468"/>
      <c r="X11" s="468"/>
      <c r="Y11" s="469"/>
      <c r="Z11" s="470"/>
      <c r="AA11" s="468"/>
      <c r="AB11" s="468"/>
      <c r="AC11" s="469"/>
      <c r="AD11" s="470"/>
      <c r="AE11" s="468"/>
      <c r="AF11" s="468"/>
      <c r="AG11" s="469"/>
      <c r="AH11" s="470"/>
      <c r="AI11" s="468"/>
      <c r="AJ11" s="468"/>
      <c r="AK11" s="469"/>
      <c r="AM11" s="454">
        <f>SUM(F11:AL11)</f>
        <v>1991.3</v>
      </c>
      <c r="AO11" s="454">
        <f t="shared" si="1"/>
        <v>-9.9999999999909051E-3</v>
      </c>
    </row>
    <row r="12" spans="2:41" x14ac:dyDescent="0.2">
      <c r="B12" s="505"/>
      <c r="C12" s="504" t="s">
        <v>53</v>
      </c>
      <c r="D12" s="502"/>
      <c r="E12" s="503"/>
      <c r="F12" s="476"/>
      <c r="G12" s="468"/>
      <c r="H12" s="468"/>
      <c r="I12" s="469"/>
      <c r="J12" s="470"/>
      <c r="K12" s="468"/>
      <c r="L12" s="468"/>
      <c r="M12" s="469"/>
      <c r="N12" s="471"/>
      <c r="O12" s="468"/>
      <c r="P12" s="468"/>
      <c r="Q12" s="469"/>
      <c r="R12" s="471"/>
      <c r="S12" s="468"/>
      <c r="T12" s="468"/>
      <c r="U12" s="469"/>
      <c r="V12" s="470"/>
      <c r="W12" s="468"/>
      <c r="X12" s="468"/>
      <c r="Y12" s="469"/>
      <c r="Z12" s="470"/>
      <c r="AA12" s="468"/>
      <c r="AB12" s="468"/>
      <c r="AC12" s="469"/>
      <c r="AD12" s="470"/>
      <c r="AE12" s="468"/>
      <c r="AF12" s="468"/>
      <c r="AG12" s="469"/>
      <c r="AH12" s="470"/>
      <c r="AI12" s="468"/>
      <c r="AJ12" s="468"/>
      <c r="AK12" s="469"/>
      <c r="AM12" s="454">
        <f t="shared" ref="AM12:AM23" si="2">SUM(F12:AL12)</f>
        <v>0</v>
      </c>
      <c r="AO12" s="454">
        <f t="shared" si="1"/>
        <v>0</v>
      </c>
    </row>
    <row r="13" spans="2:41" x14ac:dyDescent="0.2">
      <c r="B13" s="505"/>
      <c r="C13" s="504" t="s">
        <v>1569</v>
      </c>
      <c r="D13" s="502"/>
      <c r="E13" s="503"/>
      <c r="F13" s="476"/>
      <c r="G13" s="477"/>
      <c r="H13" s="468"/>
      <c r="I13" s="469"/>
      <c r="J13" s="470"/>
      <c r="K13" s="468"/>
      <c r="L13" s="468"/>
      <c r="M13" s="469"/>
      <c r="N13" s="471"/>
      <c r="O13" s="468"/>
      <c r="P13" s="468"/>
      <c r="Q13" s="469"/>
      <c r="R13" s="471"/>
      <c r="S13" s="468"/>
      <c r="T13" s="468"/>
      <c r="U13" s="469"/>
      <c r="V13" s="470"/>
      <c r="W13" s="468"/>
      <c r="X13" s="468"/>
      <c r="Y13" s="469"/>
      <c r="Z13" s="470"/>
      <c r="AA13" s="468"/>
      <c r="AB13" s="468"/>
      <c r="AC13" s="469"/>
      <c r="AD13" s="470"/>
      <c r="AE13" s="468"/>
      <c r="AF13" s="468"/>
      <c r="AG13" s="469"/>
      <c r="AH13" s="470"/>
      <c r="AI13" s="468"/>
      <c r="AJ13" s="468"/>
      <c r="AK13" s="469"/>
      <c r="AM13" s="454">
        <f t="shared" si="2"/>
        <v>0</v>
      </c>
      <c r="AO13" s="454">
        <f t="shared" si="1"/>
        <v>0</v>
      </c>
    </row>
    <row r="14" spans="2:41" x14ac:dyDescent="0.2">
      <c r="B14" s="505"/>
      <c r="C14" s="504" t="s">
        <v>79</v>
      </c>
      <c r="D14" s="502"/>
      <c r="E14" s="503"/>
      <c r="F14" s="470"/>
      <c r="G14" s="477"/>
      <c r="H14" s="468"/>
      <c r="I14" s="469"/>
      <c r="J14" s="470"/>
      <c r="K14" s="468"/>
      <c r="L14" s="468"/>
      <c r="M14" s="469"/>
      <c r="N14" s="471"/>
      <c r="O14" s="468"/>
      <c r="P14" s="468"/>
      <c r="Q14" s="469"/>
      <c r="R14" s="471"/>
      <c r="S14" s="468"/>
      <c r="T14" s="468"/>
      <c r="U14" s="469"/>
      <c r="V14" s="470"/>
      <c r="W14" s="468"/>
      <c r="X14" s="468"/>
      <c r="Y14" s="469"/>
      <c r="Z14" s="470"/>
      <c r="AA14" s="468"/>
      <c r="AB14" s="468"/>
      <c r="AC14" s="469"/>
      <c r="AD14" s="470"/>
      <c r="AE14" s="468"/>
      <c r="AF14" s="468"/>
      <c r="AG14" s="469"/>
      <c r="AH14" s="470"/>
      <c r="AI14" s="468"/>
      <c r="AJ14" s="468"/>
      <c r="AK14" s="469"/>
      <c r="AM14" s="454">
        <f t="shared" si="2"/>
        <v>0</v>
      </c>
      <c r="AO14" s="454">
        <f t="shared" si="1"/>
        <v>0</v>
      </c>
    </row>
    <row r="15" spans="2:41" x14ac:dyDescent="0.2">
      <c r="B15" s="505" t="s">
        <v>734</v>
      </c>
      <c r="C15" s="506" t="s">
        <v>1433</v>
      </c>
      <c r="D15" s="502">
        <f>VLOOKUP(C15,PRESUPUESTO!$B$10:$G$180,6,FALSE)</f>
        <v>999.96</v>
      </c>
      <c r="E15" s="503">
        <v>4</v>
      </c>
      <c r="F15" s="470"/>
      <c r="G15" s="472">
        <f>ROUND($D15/$E15,2)</f>
        <v>249.99</v>
      </c>
      <c r="H15" s="472">
        <f>ROUND($D15/$E15,2)</f>
        <v>249.99</v>
      </c>
      <c r="I15" s="473">
        <f>ROUND($D15/$E15,2)</f>
        <v>249.99</v>
      </c>
      <c r="J15" s="467">
        <f>ROUND($D15/$E15,2)</f>
        <v>249.99</v>
      </c>
      <c r="K15" s="478"/>
      <c r="L15" s="468"/>
      <c r="M15" s="469"/>
      <c r="N15" s="471"/>
      <c r="O15" s="468"/>
      <c r="P15" s="468"/>
      <c r="Q15" s="469"/>
      <c r="R15" s="471"/>
      <c r="S15" s="468"/>
      <c r="T15" s="468"/>
      <c r="U15" s="469"/>
      <c r="V15" s="470"/>
      <c r="W15" s="468"/>
      <c r="X15" s="468"/>
      <c r="Y15" s="469"/>
      <c r="Z15" s="470"/>
      <c r="AA15" s="468"/>
      <c r="AB15" s="468"/>
      <c r="AC15" s="469"/>
      <c r="AD15" s="470"/>
      <c r="AE15" s="468"/>
      <c r="AF15" s="468"/>
      <c r="AG15" s="469"/>
      <c r="AH15" s="470"/>
      <c r="AI15" s="468"/>
      <c r="AJ15" s="468"/>
      <c r="AK15" s="469"/>
      <c r="AM15" s="454">
        <f t="shared" si="2"/>
        <v>999.96</v>
      </c>
      <c r="AO15" s="454">
        <f t="shared" si="1"/>
        <v>0</v>
      </c>
    </row>
    <row r="16" spans="2:41" x14ac:dyDescent="0.2">
      <c r="B16" s="505"/>
      <c r="C16" s="504" t="s">
        <v>1454</v>
      </c>
      <c r="D16" s="502"/>
      <c r="E16" s="503"/>
      <c r="F16" s="470"/>
      <c r="G16" s="477"/>
      <c r="H16" s="477"/>
      <c r="I16" s="469"/>
      <c r="J16" s="470"/>
      <c r="K16" s="478"/>
      <c r="L16" s="468"/>
      <c r="M16" s="469"/>
      <c r="N16" s="471"/>
      <c r="O16" s="468"/>
      <c r="P16" s="468"/>
      <c r="Q16" s="469"/>
      <c r="R16" s="471"/>
      <c r="S16" s="468"/>
      <c r="T16" s="468"/>
      <c r="U16" s="469"/>
      <c r="V16" s="470"/>
      <c r="W16" s="468"/>
      <c r="X16" s="468"/>
      <c r="Y16" s="469"/>
      <c r="Z16" s="470"/>
      <c r="AA16" s="468"/>
      <c r="AB16" s="468"/>
      <c r="AC16" s="469"/>
      <c r="AD16" s="470"/>
      <c r="AE16" s="468"/>
      <c r="AF16" s="468"/>
      <c r="AG16" s="469"/>
      <c r="AH16" s="470"/>
      <c r="AI16" s="468"/>
      <c r="AJ16" s="468"/>
      <c r="AK16" s="469"/>
      <c r="AM16" s="454">
        <f t="shared" si="2"/>
        <v>0</v>
      </c>
      <c r="AO16" s="454">
        <f t="shared" si="1"/>
        <v>0</v>
      </c>
    </row>
    <row r="17" spans="2:41" x14ac:dyDescent="0.2">
      <c r="B17" s="505"/>
      <c r="C17" s="504" t="s">
        <v>1871</v>
      </c>
      <c r="D17" s="502"/>
      <c r="E17" s="503"/>
      <c r="F17" s="470"/>
      <c r="G17" s="468"/>
      <c r="H17" s="468"/>
      <c r="I17" s="479"/>
      <c r="J17" s="476"/>
      <c r="K17" s="478"/>
      <c r="L17" s="468"/>
      <c r="M17" s="469"/>
      <c r="N17" s="471"/>
      <c r="O17" s="468"/>
      <c r="P17" s="468"/>
      <c r="Q17" s="469"/>
      <c r="R17" s="471"/>
      <c r="S17" s="468"/>
      <c r="T17" s="468"/>
      <c r="U17" s="469"/>
      <c r="V17" s="470"/>
      <c r="W17" s="468"/>
      <c r="X17" s="468"/>
      <c r="Y17" s="469"/>
      <c r="Z17" s="470"/>
      <c r="AA17" s="468"/>
      <c r="AB17" s="468"/>
      <c r="AC17" s="469"/>
      <c r="AD17" s="470"/>
      <c r="AE17" s="468"/>
      <c r="AF17" s="468"/>
      <c r="AG17" s="469"/>
      <c r="AH17" s="470"/>
      <c r="AI17" s="468"/>
      <c r="AJ17" s="468"/>
      <c r="AK17" s="469"/>
      <c r="AM17" s="454">
        <f t="shared" si="2"/>
        <v>0</v>
      </c>
      <c r="AO17" s="454">
        <f t="shared" si="1"/>
        <v>0</v>
      </c>
    </row>
    <row r="18" spans="2:41" x14ac:dyDescent="0.2">
      <c r="B18" s="505" t="s">
        <v>733</v>
      </c>
      <c r="C18" s="506" t="s">
        <v>2235</v>
      </c>
      <c r="D18" s="502">
        <f>VLOOKUP(C18,PRESUPUESTO!$B$10:$G$180,6,FALSE)</f>
        <v>31688.780000000002</v>
      </c>
      <c r="E18" s="503">
        <v>12</v>
      </c>
      <c r="F18" s="470"/>
      <c r="G18" s="468"/>
      <c r="H18" s="468"/>
      <c r="I18" s="473">
        <f t="shared" ref="I18:T18" si="3">ROUND($D18/$E18,2)</f>
        <v>2640.73</v>
      </c>
      <c r="J18" s="467">
        <f t="shared" si="3"/>
        <v>2640.73</v>
      </c>
      <c r="K18" s="472">
        <f t="shared" si="3"/>
        <v>2640.73</v>
      </c>
      <c r="L18" s="472">
        <f t="shared" si="3"/>
        <v>2640.73</v>
      </c>
      <c r="M18" s="473">
        <f t="shared" si="3"/>
        <v>2640.73</v>
      </c>
      <c r="N18" s="474">
        <f t="shared" si="3"/>
        <v>2640.73</v>
      </c>
      <c r="O18" s="472">
        <f t="shared" si="3"/>
        <v>2640.73</v>
      </c>
      <c r="P18" s="472">
        <f t="shared" si="3"/>
        <v>2640.73</v>
      </c>
      <c r="Q18" s="472">
        <f t="shared" si="3"/>
        <v>2640.73</v>
      </c>
      <c r="R18" s="474">
        <f t="shared" si="3"/>
        <v>2640.73</v>
      </c>
      <c r="S18" s="472">
        <f t="shared" si="3"/>
        <v>2640.73</v>
      </c>
      <c r="T18" s="472">
        <f t="shared" si="3"/>
        <v>2640.73</v>
      </c>
      <c r="U18" s="469"/>
      <c r="V18" s="470"/>
      <c r="W18" s="468"/>
      <c r="X18" s="468"/>
      <c r="Y18" s="469"/>
      <c r="Z18" s="470"/>
      <c r="AA18" s="468"/>
      <c r="AB18" s="468"/>
      <c r="AC18" s="469"/>
      <c r="AD18" s="470"/>
      <c r="AE18" s="468"/>
      <c r="AF18" s="468"/>
      <c r="AG18" s="469"/>
      <c r="AH18" s="470"/>
      <c r="AI18" s="468"/>
      <c r="AJ18" s="468"/>
      <c r="AK18" s="469"/>
      <c r="AM18" s="454">
        <f t="shared" si="2"/>
        <v>31688.76</v>
      </c>
      <c r="AO18" s="454">
        <f t="shared" si="1"/>
        <v>2.0000000004074536E-2</v>
      </c>
    </row>
    <row r="19" spans="2:41" x14ac:dyDescent="0.2">
      <c r="B19" s="505"/>
      <c r="C19" s="504" t="s">
        <v>1987</v>
      </c>
      <c r="D19" s="502"/>
      <c r="E19" s="503"/>
      <c r="F19" s="470"/>
      <c r="G19" s="468"/>
      <c r="H19" s="468"/>
      <c r="I19" s="479"/>
      <c r="J19" s="476"/>
      <c r="K19" s="468"/>
      <c r="L19" s="468"/>
      <c r="M19" s="469"/>
      <c r="N19" s="471"/>
      <c r="O19" s="468"/>
      <c r="P19" s="468"/>
      <c r="Q19" s="469"/>
      <c r="R19" s="471"/>
      <c r="S19" s="468"/>
      <c r="T19" s="468"/>
      <c r="U19" s="469"/>
      <c r="V19" s="470"/>
      <c r="W19" s="468"/>
      <c r="X19" s="468"/>
      <c r="Y19" s="469"/>
      <c r="Z19" s="470"/>
      <c r="AA19" s="468"/>
      <c r="AB19" s="468"/>
      <c r="AC19" s="469"/>
      <c r="AD19" s="470"/>
      <c r="AE19" s="468"/>
      <c r="AF19" s="468"/>
      <c r="AG19" s="469"/>
      <c r="AH19" s="470"/>
      <c r="AI19" s="468"/>
      <c r="AJ19" s="468"/>
      <c r="AK19" s="469"/>
      <c r="AM19" s="454">
        <f t="shared" si="2"/>
        <v>0</v>
      </c>
      <c r="AO19" s="454">
        <f t="shared" si="1"/>
        <v>0</v>
      </c>
    </row>
    <row r="20" spans="2:41" x14ac:dyDescent="0.2">
      <c r="B20" s="505"/>
      <c r="C20" s="504" t="s">
        <v>2052</v>
      </c>
      <c r="D20" s="502"/>
      <c r="E20" s="503"/>
      <c r="F20" s="470"/>
      <c r="G20" s="468"/>
      <c r="H20" s="468"/>
      <c r="I20" s="469"/>
      <c r="J20" s="476"/>
      <c r="K20" s="477"/>
      <c r="L20" s="468"/>
      <c r="M20" s="479"/>
      <c r="N20" s="480"/>
      <c r="O20" s="468"/>
      <c r="P20" s="468"/>
      <c r="Q20" s="479"/>
      <c r="R20" s="480"/>
      <c r="S20" s="468"/>
      <c r="T20" s="468"/>
      <c r="U20" s="469"/>
      <c r="V20" s="470"/>
      <c r="W20" s="468"/>
      <c r="X20" s="468"/>
      <c r="Y20" s="469"/>
      <c r="Z20" s="470"/>
      <c r="AA20" s="468"/>
      <c r="AB20" s="468"/>
      <c r="AC20" s="469"/>
      <c r="AD20" s="470"/>
      <c r="AE20" s="468"/>
      <c r="AF20" s="468"/>
      <c r="AG20" s="469"/>
      <c r="AH20" s="470"/>
      <c r="AI20" s="468"/>
      <c r="AJ20" s="468"/>
      <c r="AK20" s="469"/>
      <c r="AM20" s="454">
        <f t="shared" si="2"/>
        <v>0</v>
      </c>
      <c r="AO20" s="454">
        <f t="shared" si="1"/>
        <v>0</v>
      </c>
    </row>
    <row r="21" spans="2:41" x14ac:dyDescent="0.2">
      <c r="B21" s="505"/>
      <c r="C21" s="504" t="s">
        <v>1988</v>
      </c>
      <c r="D21" s="502"/>
      <c r="E21" s="503"/>
      <c r="F21" s="470"/>
      <c r="G21" s="468"/>
      <c r="H21" s="468"/>
      <c r="I21" s="469"/>
      <c r="J21" s="470"/>
      <c r="K21" s="477"/>
      <c r="L21" s="477"/>
      <c r="M21" s="479"/>
      <c r="N21" s="471"/>
      <c r="O21" s="477"/>
      <c r="P21" s="477"/>
      <c r="Q21" s="479"/>
      <c r="R21" s="471"/>
      <c r="S21" s="468"/>
      <c r="T21" s="468"/>
      <c r="U21" s="469"/>
      <c r="V21" s="470"/>
      <c r="W21" s="468"/>
      <c r="X21" s="468"/>
      <c r="Y21" s="469"/>
      <c r="Z21" s="470"/>
      <c r="AA21" s="468"/>
      <c r="AB21" s="468"/>
      <c r="AC21" s="469"/>
      <c r="AD21" s="470"/>
      <c r="AE21" s="468"/>
      <c r="AF21" s="468"/>
      <c r="AG21" s="469"/>
      <c r="AH21" s="470"/>
      <c r="AI21" s="468"/>
      <c r="AJ21" s="468"/>
      <c r="AK21" s="469"/>
      <c r="AM21" s="454">
        <f t="shared" si="2"/>
        <v>0</v>
      </c>
      <c r="AO21" s="454">
        <f t="shared" si="1"/>
        <v>0</v>
      </c>
    </row>
    <row r="22" spans="2:41" x14ac:dyDescent="0.2">
      <c r="B22" s="505"/>
      <c r="C22" s="504" t="s">
        <v>1840</v>
      </c>
      <c r="D22" s="502"/>
      <c r="E22" s="503"/>
      <c r="F22" s="470"/>
      <c r="G22" s="468"/>
      <c r="H22" s="468"/>
      <c r="I22" s="469"/>
      <c r="J22" s="470"/>
      <c r="K22" s="468"/>
      <c r="L22" s="468"/>
      <c r="M22" s="469"/>
      <c r="N22" s="471"/>
      <c r="O22" s="468"/>
      <c r="P22" s="468"/>
      <c r="Q22" s="469"/>
      <c r="R22" s="477"/>
      <c r="S22" s="468"/>
      <c r="T22" s="468"/>
      <c r="U22" s="469"/>
      <c r="V22" s="470"/>
      <c r="W22" s="468"/>
      <c r="X22" s="468"/>
      <c r="Y22" s="469"/>
      <c r="Z22" s="470"/>
      <c r="AA22" s="468"/>
      <c r="AB22" s="468"/>
      <c r="AC22" s="469"/>
      <c r="AD22" s="470"/>
      <c r="AE22" s="468"/>
      <c r="AF22" s="468"/>
      <c r="AG22" s="469"/>
      <c r="AH22" s="470"/>
      <c r="AI22" s="468"/>
      <c r="AJ22" s="468"/>
      <c r="AK22" s="469"/>
      <c r="AM22" s="454">
        <f t="shared" si="2"/>
        <v>0</v>
      </c>
      <c r="AO22" s="454">
        <f t="shared" si="1"/>
        <v>0</v>
      </c>
    </row>
    <row r="23" spans="2:41" x14ac:dyDescent="0.2">
      <c r="B23" s="505"/>
      <c r="C23" s="504" t="s">
        <v>2053</v>
      </c>
      <c r="D23" s="502"/>
      <c r="E23" s="503"/>
      <c r="F23" s="470"/>
      <c r="G23" s="468"/>
      <c r="H23" s="468"/>
      <c r="I23" s="469"/>
      <c r="J23" s="470"/>
      <c r="K23" s="468"/>
      <c r="L23" s="468"/>
      <c r="M23" s="469"/>
      <c r="N23" s="471"/>
      <c r="O23" s="477"/>
      <c r="P23" s="477"/>
      <c r="Q23" s="479"/>
      <c r="R23" s="480"/>
      <c r="S23" s="477"/>
      <c r="T23" s="477"/>
      <c r="U23" s="469"/>
      <c r="V23" s="470"/>
      <c r="W23" s="468"/>
      <c r="X23" s="468"/>
      <c r="Y23" s="469"/>
      <c r="Z23" s="470"/>
      <c r="AA23" s="468"/>
      <c r="AB23" s="468"/>
      <c r="AC23" s="469"/>
      <c r="AD23" s="470"/>
      <c r="AE23" s="468"/>
      <c r="AF23" s="468"/>
      <c r="AG23" s="469"/>
      <c r="AH23" s="470"/>
      <c r="AI23" s="468"/>
      <c r="AJ23" s="468"/>
      <c r="AK23" s="469"/>
      <c r="AM23" s="454">
        <f t="shared" si="2"/>
        <v>0</v>
      </c>
      <c r="AO23" s="454">
        <f t="shared" si="1"/>
        <v>0</v>
      </c>
    </row>
    <row r="24" spans="2:41" x14ac:dyDescent="0.2">
      <c r="B24" s="505" t="s">
        <v>732</v>
      </c>
      <c r="C24" s="506" t="s">
        <v>1434</v>
      </c>
      <c r="D24" s="502">
        <f>VLOOKUP(C24,PRESUPUESTO!$B$10:$G$180,6,FALSE)</f>
        <v>9632.67</v>
      </c>
      <c r="E24" s="503">
        <v>10</v>
      </c>
      <c r="F24" s="470"/>
      <c r="G24" s="468"/>
      <c r="H24" s="468"/>
      <c r="I24" s="469"/>
      <c r="J24" s="470"/>
      <c r="K24" s="468"/>
      <c r="L24" s="468"/>
      <c r="M24" s="473">
        <f t="shared" ref="M24:V24" si="4">ROUND($D24/$E24,2)</f>
        <v>963.27</v>
      </c>
      <c r="N24" s="472">
        <f t="shared" si="4"/>
        <v>963.27</v>
      </c>
      <c r="O24" s="472">
        <f t="shared" si="4"/>
        <v>963.27</v>
      </c>
      <c r="P24" s="472">
        <f t="shared" si="4"/>
        <v>963.27</v>
      </c>
      <c r="Q24" s="472">
        <f t="shared" si="4"/>
        <v>963.27</v>
      </c>
      <c r="R24" s="472">
        <f t="shared" si="4"/>
        <v>963.27</v>
      </c>
      <c r="S24" s="472">
        <f t="shared" si="4"/>
        <v>963.27</v>
      </c>
      <c r="T24" s="472">
        <f t="shared" si="4"/>
        <v>963.27</v>
      </c>
      <c r="U24" s="472">
        <f t="shared" si="4"/>
        <v>963.27</v>
      </c>
      <c r="V24" s="472">
        <f t="shared" si="4"/>
        <v>963.27</v>
      </c>
      <c r="W24" s="468"/>
      <c r="X24" s="468"/>
      <c r="Y24" s="469"/>
      <c r="Z24" s="470"/>
      <c r="AA24" s="468"/>
      <c r="AB24" s="468"/>
      <c r="AC24" s="469"/>
      <c r="AD24" s="470"/>
      <c r="AE24" s="468"/>
      <c r="AF24" s="468"/>
      <c r="AG24" s="469"/>
      <c r="AH24" s="470"/>
      <c r="AI24" s="468"/>
      <c r="AJ24" s="468"/>
      <c r="AK24" s="469"/>
      <c r="AM24" s="454">
        <f>SUM(F24:AL24)</f>
        <v>9632.7000000000025</v>
      </c>
      <c r="AO24" s="454">
        <f t="shared" si="1"/>
        <v>-3.0000000002473826E-2</v>
      </c>
    </row>
    <row r="25" spans="2:41" x14ac:dyDescent="0.2">
      <c r="B25" s="505"/>
      <c r="C25" s="504" t="s">
        <v>287</v>
      </c>
      <c r="D25" s="502"/>
      <c r="E25" s="503"/>
      <c r="F25" s="470"/>
      <c r="G25" s="468"/>
      <c r="H25" s="468"/>
      <c r="I25" s="469"/>
      <c r="J25" s="470"/>
      <c r="K25" s="468"/>
      <c r="L25" s="468"/>
      <c r="M25" s="479"/>
      <c r="N25" s="480"/>
      <c r="O25" s="477"/>
      <c r="P25" s="477"/>
      <c r="Q25" s="479"/>
      <c r="R25" s="480"/>
      <c r="S25" s="468"/>
      <c r="T25" s="468"/>
      <c r="U25" s="469"/>
      <c r="V25" s="471"/>
      <c r="W25" s="468"/>
      <c r="X25" s="468"/>
      <c r="Y25" s="469"/>
      <c r="Z25" s="470"/>
      <c r="AA25" s="468"/>
      <c r="AB25" s="468"/>
      <c r="AC25" s="469"/>
      <c r="AD25" s="470"/>
      <c r="AE25" s="468"/>
      <c r="AF25" s="468"/>
      <c r="AG25" s="469"/>
      <c r="AH25" s="470"/>
      <c r="AI25" s="468"/>
      <c r="AJ25" s="468"/>
      <c r="AK25" s="469"/>
      <c r="AM25" s="454">
        <f t="shared" ref="AM25:AM27" si="5">SUM(F25:AL25)</f>
        <v>0</v>
      </c>
      <c r="AO25" s="454">
        <f t="shared" si="1"/>
        <v>0</v>
      </c>
    </row>
    <row r="26" spans="2:41" x14ac:dyDescent="0.2">
      <c r="B26" s="505"/>
      <c r="C26" s="504" t="s">
        <v>285</v>
      </c>
      <c r="D26" s="502"/>
      <c r="E26" s="503"/>
      <c r="F26" s="470"/>
      <c r="G26" s="468"/>
      <c r="H26" s="468"/>
      <c r="I26" s="469"/>
      <c r="J26" s="470"/>
      <c r="K26" s="468"/>
      <c r="L26" s="468"/>
      <c r="M26" s="469"/>
      <c r="N26" s="471"/>
      <c r="O26" s="468"/>
      <c r="P26" s="468"/>
      <c r="Q26" s="479"/>
      <c r="R26" s="480"/>
      <c r="S26" s="477"/>
      <c r="T26" s="477"/>
      <c r="U26" s="479"/>
      <c r="V26" s="471"/>
      <c r="W26" s="468"/>
      <c r="X26" s="468"/>
      <c r="Y26" s="469"/>
      <c r="Z26" s="470"/>
      <c r="AA26" s="468"/>
      <c r="AB26" s="468"/>
      <c r="AC26" s="469"/>
      <c r="AD26" s="470"/>
      <c r="AE26" s="468"/>
      <c r="AF26" s="468"/>
      <c r="AG26" s="469"/>
      <c r="AH26" s="470"/>
      <c r="AI26" s="468"/>
      <c r="AJ26" s="468"/>
      <c r="AK26" s="469"/>
      <c r="AM26" s="454">
        <f t="shared" si="5"/>
        <v>0</v>
      </c>
      <c r="AO26" s="454">
        <f t="shared" si="1"/>
        <v>0</v>
      </c>
    </row>
    <row r="27" spans="2:41" x14ac:dyDescent="0.2">
      <c r="B27" s="505"/>
      <c r="C27" s="504" t="s">
        <v>1884</v>
      </c>
      <c r="D27" s="502"/>
      <c r="E27" s="503"/>
      <c r="F27" s="470"/>
      <c r="G27" s="468"/>
      <c r="H27" s="468"/>
      <c r="I27" s="469"/>
      <c r="J27" s="470"/>
      <c r="K27" s="468"/>
      <c r="L27" s="468"/>
      <c r="M27" s="469"/>
      <c r="N27" s="471"/>
      <c r="O27" s="468"/>
      <c r="P27" s="468"/>
      <c r="Q27" s="469"/>
      <c r="R27" s="471"/>
      <c r="S27" s="477"/>
      <c r="T27" s="477"/>
      <c r="U27" s="479"/>
      <c r="V27" s="480"/>
      <c r="W27" s="468"/>
      <c r="X27" s="468"/>
      <c r="Y27" s="469"/>
      <c r="Z27" s="470"/>
      <c r="AA27" s="468"/>
      <c r="AB27" s="468"/>
      <c r="AC27" s="469"/>
      <c r="AD27" s="470"/>
      <c r="AE27" s="468"/>
      <c r="AF27" s="468"/>
      <c r="AG27" s="469"/>
      <c r="AH27" s="470"/>
      <c r="AI27" s="468"/>
      <c r="AJ27" s="468"/>
      <c r="AK27" s="469"/>
      <c r="AM27" s="454">
        <f t="shared" si="5"/>
        <v>0</v>
      </c>
      <c r="AO27" s="454">
        <f t="shared" si="1"/>
        <v>0</v>
      </c>
    </row>
    <row r="28" spans="2:41" x14ac:dyDescent="0.2">
      <c r="B28" s="505" t="s">
        <v>730</v>
      </c>
      <c r="C28" s="506" t="s">
        <v>731</v>
      </c>
      <c r="D28" s="502">
        <f>VLOOKUP(C28,PRESUPUESTO!$B$10:$G$180,6,FALSE)</f>
        <v>1403.06</v>
      </c>
      <c r="E28" s="503">
        <v>2</v>
      </c>
      <c r="F28" s="470"/>
      <c r="G28" s="468"/>
      <c r="H28" s="468"/>
      <c r="I28" s="469"/>
      <c r="J28" s="470"/>
      <c r="K28" s="472">
        <f>ROUND($D28/$E28,2)</f>
        <v>701.53</v>
      </c>
      <c r="L28" s="472">
        <f>ROUND($D28/$E28,2)</f>
        <v>701.53</v>
      </c>
      <c r="M28" s="469"/>
      <c r="N28" s="471"/>
      <c r="O28" s="468"/>
      <c r="P28" s="468"/>
      <c r="Q28" s="469"/>
      <c r="R28" s="471"/>
      <c r="S28" s="468"/>
      <c r="T28" s="468"/>
      <c r="U28" s="469"/>
      <c r="V28" s="468"/>
      <c r="W28" s="468"/>
      <c r="X28" s="468"/>
      <c r="Y28" s="469"/>
      <c r="Z28" s="470"/>
      <c r="AA28" s="468"/>
      <c r="AB28" s="468"/>
      <c r="AC28" s="469"/>
      <c r="AD28" s="470"/>
      <c r="AE28" s="468"/>
      <c r="AF28" s="468"/>
      <c r="AG28" s="469"/>
      <c r="AH28" s="470"/>
      <c r="AI28" s="468"/>
      <c r="AJ28" s="468"/>
      <c r="AK28" s="469"/>
      <c r="AM28" s="454">
        <f>SUM(F28:AL28)</f>
        <v>1403.06</v>
      </c>
      <c r="AO28" s="454">
        <f t="shared" si="1"/>
        <v>0</v>
      </c>
    </row>
    <row r="29" spans="2:41" x14ac:dyDescent="0.2">
      <c r="B29" s="505" t="s">
        <v>728</v>
      </c>
      <c r="C29" s="506" t="s">
        <v>729</v>
      </c>
      <c r="D29" s="502"/>
      <c r="E29" s="503">
        <v>12</v>
      </c>
      <c r="F29" s="470"/>
      <c r="G29" s="468"/>
      <c r="H29" s="468"/>
      <c r="I29" s="469"/>
      <c r="J29" s="470"/>
      <c r="K29" s="468"/>
      <c r="L29" s="468"/>
      <c r="M29" s="469"/>
      <c r="N29" s="467">
        <f t="shared" ref="N29:X29" si="6">ROUND($D29/$E29,2)</f>
        <v>0</v>
      </c>
      <c r="O29" s="472">
        <f t="shared" si="6"/>
        <v>0</v>
      </c>
      <c r="P29" s="472">
        <f t="shared" si="6"/>
        <v>0</v>
      </c>
      <c r="Q29" s="473">
        <f t="shared" si="6"/>
        <v>0</v>
      </c>
      <c r="R29" s="467">
        <f t="shared" si="6"/>
        <v>0</v>
      </c>
      <c r="S29" s="472">
        <f t="shared" si="6"/>
        <v>0</v>
      </c>
      <c r="T29" s="472">
        <f t="shared" si="6"/>
        <v>0</v>
      </c>
      <c r="U29" s="473">
        <f t="shared" si="6"/>
        <v>0</v>
      </c>
      <c r="V29" s="467">
        <f t="shared" si="6"/>
        <v>0</v>
      </c>
      <c r="W29" s="472">
        <f t="shared" si="6"/>
        <v>0</v>
      </c>
      <c r="X29" s="472">
        <f t="shared" si="6"/>
        <v>0</v>
      </c>
      <c r="Y29" s="473">
        <f>ROUND($D29/$E29,2)</f>
        <v>0</v>
      </c>
      <c r="Z29" s="470"/>
      <c r="AA29" s="468"/>
      <c r="AB29" s="468"/>
      <c r="AC29" s="469"/>
      <c r="AD29" s="470"/>
      <c r="AE29" s="468"/>
      <c r="AF29" s="468"/>
      <c r="AG29" s="469"/>
      <c r="AH29" s="470"/>
      <c r="AI29" s="468"/>
      <c r="AJ29" s="468"/>
      <c r="AK29" s="469"/>
      <c r="AM29" s="454">
        <f>SUM(F29:AL29)</f>
        <v>0</v>
      </c>
      <c r="AO29" s="454">
        <f t="shared" si="1"/>
        <v>0</v>
      </c>
    </row>
    <row r="30" spans="2:41" x14ac:dyDescent="0.2">
      <c r="B30" s="505"/>
      <c r="C30" s="504" t="s">
        <v>1989</v>
      </c>
      <c r="D30" s="502"/>
      <c r="E30" s="503"/>
      <c r="F30" s="470"/>
      <c r="G30" s="468"/>
      <c r="H30" s="468"/>
      <c r="I30" s="469"/>
      <c r="J30" s="470"/>
      <c r="K30" s="468"/>
      <c r="L30" s="468"/>
      <c r="M30" s="469"/>
      <c r="N30" s="480"/>
      <c r="O30" s="477"/>
      <c r="P30" s="477"/>
      <c r="Q30" s="479"/>
      <c r="R30" s="480"/>
      <c r="S30" s="477"/>
      <c r="T30" s="477"/>
      <c r="U30" s="479"/>
      <c r="V30" s="470"/>
      <c r="W30" s="468"/>
      <c r="X30" s="468"/>
      <c r="Y30" s="469"/>
      <c r="Z30" s="470"/>
      <c r="AA30" s="468"/>
      <c r="AB30" s="468"/>
      <c r="AC30" s="469"/>
      <c r="AD30" s="470"/>
      <c r="AE30" s="468"/>
      <c r="AF30" s="468"/>
      <c r="AG30" s="469"/>
      <c r="AH30" s="470"/>
      <c r="AI30" s="468"/>
      <c r="AJ30" s="468"/>
      <c r="AK30" s="469"/>
      <c r="AM30" s="454">
        <f t="shared" ref="AM30:AM33" si="7">SUM(F30:AL30)</f>
        <v>0</v>
      </c>
      <c r="AO30" s="454">
        <f t="shared" si="1"/>
        <v>0</v>
      </c>
    </row>
    <row r="31" spans="2:41" x14ac:dyDescent="0.2">
      <c r="B31" s="505"/>
      <c r="C31" s="504" t="s">
        <v>1990</v>
      </c>
      <c r="D31" s="502"/>
      <c r="E31" s="503"/>
      <c r="F31" s="470"/>
      <c r="G31" s="468"/>
      <c r="H31" s="468"/>
      <c r="I31" s="469"/>
      <c r="J31" s="470"/>
      <c r="K31" s="468"/>
      <c r="L31" s="468"/>
      <c r="M31" s="469"/>
      <c r="N31" s="471"/>
      <c r="O31" s="468"/>
      <c r="P31" s="477"/>
      <c r="Q31" s="479"/>
      <c r="R31" s="480"/>
      <c r="S31" s="477"/>
      <c r="T31" s="477"/>
      <c r="U31" s="479"/>
      <c r="V31" s="476"/>
      <c r="W31" s="477"/>
      <c r="X31" s="468"/>
      <c r="Y31" s="469"/>
      <c r="Z31" s="470"/>
      <c r="AA31" s="468"/>
      <c r="AB31" s="468"/>
      <c r="AC31" s="469"/>
      <c r="AD31" s="470"/>
      <c r="AE31" s="468"/>
      <c r="AF31" s="468"/>
      <c r="AG31" s="469"/>
      <c r="AH31" s="470"/>
      <c r="AI31" s="468"/>
      <c r="AJ31" s="468"/>
      <c r="AK31" s="469"/>
      <c r="AM31" s="454">
        <f t="shared" si="7"/>
        <v>0</v>
      </c>
      <c r="AO31" s="454">
        <f t="shared" si="1"/>
        <v>0</v>
      </c>
    </row>
    <row r="32" spans="2:41" x14ac:dyDescent="0.2">
      <c r="B32" s="505"/>
      <c r="C32" s="504" t="s">
        <v>1991</v>
      </c>
      <c r="D32" s="502"/>
      <c r="E32" s="503"/>
      <c r="F32" s="470"/>
      <c r="G32" s="468"/>
      <c r="H32" s="468"/>
      <c r="I32" s="469"/>
      <c r="J32" s="470"/>
      <c r="K32" s="468"/>
      <c r="L32" s="468"/>
      <c r="M32" s="469"/>
      <c r="N32" s="471"/>
      <c r="O32" s="468"/>
      <c r="P32" s="468"/>
      <c r="Q32" s="469"/>
      <c r="R32" s="471"/>
      <c r="S32" s="468"/>
      <c r="T32" s="468"/>
      <c r="U32" s="469"/>
      <c r="V32" s="476"/>
      <c r="W32" s="477"/>
      <c r="X32" s="477"/>
      <c r="Y32" s="469"/>
      <c r="Z32" s="470"/>
      <c r="AA32" s="468"/>
      <c r="AB32" s="468"/>
      <c r="AC32" s="469"/>
      <c r="AD32" s="470"/>
      <c r="AE32" s="468"/>
      <c r="AF32" s="468"/>
      <c r="AG32" s="469"/>
      <c r="AH32" s="470"/>
      <c r="AI32" s="468"/>
      <c r="AJ32" s="468"/>
      <c r="AK32" s="469"/>
      <c r="AM32" s="454">
        <f t="shared" si="7"/>
        <v>0</v>
      </c>
      <c r="AO32" s="454">
        <f t="shared" si="1"/>
        <v>0</v>
      </c>
    </row>
    <row r="33" spans="2:41" x14ac:dyDescent="0.2">
      <c r="B33" s="505"/>
      <c r="C33" s="504" t="s">
        <v>1992</v>
      </c>
      <c r="D33" s="502"/>
      <c r="E33" s="503"/>
      <c r="F33" s="470"/>
      <c r="G33" s="468"/>
      <c r="H33" s="468"/>
      <c r="I33" s="469"/>
      <c r="J33" s="470"/>
      <c r="K33" s="468"/>
      <c r="L33" s="468"/>
      <c r="M33" s="469"/>
      <c r="N33" s="471"/>
      <c r="O33" s="468"/>
      <c r="P33" s="468"/>
      <c r="Q33" s="469"/>
      <c r="R33" s="471"/>
      <c r="S33" s="468"/>
      <c r="T33" s="468"/>
      <c r="U33" s="469"/>
      <c r="V33" s="470"/>
      <c r="W33" s="468"/>
      <c r="X33" s="477"/>
      <c r="Y33" s="479"/>
      <c r="Z33" s="470"/>
      <c r="AA33" s="468"/>
      <c r="AB33" s="468"/>
      <c r="AC33" s="469"/>
      <c r="AD33" s="470"/>
      <c r="AE33" s="468"/>
      <c r="AF33" s="468"/>
      <c r="AG33" s="469"/>
      <c r="AH33" s="470"/>
      <c r="AI33" s="468"/>
      <c r="AJ33" s="468"/>
      <c r="AK33" s="469"/>
      <c r="AM33" s="454">
        <f t="shared" si="7"/>
        <v>0</v>
      </c>
      <c r="AO33" s="454">
        <f t="shared" si="1"/>
        <v>0</v>
      </c>
    </row>
    <row r="34" spans="2:41" x14ac:dyDescent="0.2">
      <c r="B34" s="500" t="s">
        <v>726</v>
      </c>
      <c r="C34" s="506" t="s">
        <v>686</v>
      </c>
      <c r="D34" s="502" t="e">
        <f>VLOOKUP(C34,PRESUPUESTO!$B$10:$G$180,6,FALSE)</f>
        <v>#N/A</v>
      </c>
      <c r="E34" s="503">
        <v>14</v>
      </c>
      <c r="F34" s="470"/>
      <c r="G34" s="468"/>
      <c r="H34" s="468"/>
      <c r="I34" s="469"/>
      <c r="J34" s="470"/>
      <c r="K34" s="468"/>
      <c r="L34" s="468"/>
      <c r="M34" s="469"/>
      <c r="N34" s="471"/>
      <c r="O34" s="468"/>
      <c r="P34" s="468"/>
      <c r="Q34" s="469"/>
      <c r="R34" s="471"/>
      <c r="S34" s="468"/>
      <c r="T34" s="468"/>
      <c r="U34" s="469"/>
      <c r="V34" s="467" t="e">
        <f t="shared" ref="V34:AI34" si="8">ROUND($D34/$E34,2)</f>
        <v>#N/A</v>
      </c>
      <c r="W34" s="472" t="e">
        <f t="shared" si="8"/>
        <v>#N/A</v>
      </c>
      <c r="X34" s="472" t="e">
        <f t="shared" si="8"/>
        <v>#N/A</v>
      </c>
      <c r="Y34" s="473" t="e">
        <f t="shared" si="8"/>
        <v>#N/A</v>
      </c>
      <c r="Z34" s="467" t="e">
        <f t="shared" si="8"/>
        <v>#N/A</v>
      </c>
      <c r="AA34" s="472" t="e">
        <f t="shared" si="8"/>
        <v>#N/A</v>
      </c>
      <c r="AB34" s="472" t="e">
        <f t="shared" si="8"/>
        <v>#N/A</v>
      </c>
      <c r="AC34" s="473" t="e">
        <f t="shared" si="8"/>
        <v>#N/A</v>
      </c>
      <c r="AD34" s="467" t="e">
        <f t="shared" si="8"/>
        <v>#N/A</v>
      </c>
      <c r="AE34" s="472" t="e">
        <f t="shared" si="8"/>
        <v>#N/A</v>
      </c>
      <c r="AF34" s="472" t="e">
        <f t="shared" si="8"/>
        <v>#N/A</v>
      </c>
      <c r="AG34" s="473" t="e">
        <f t="shared" si="8"/>
        <v>#N/A</v>
      </c>
      <c r="AH34" s="467" t="e">
        <f t="shared" si="8"/>
        <v>#N/A</v>
      </c>
      <c r="AI34" s="472" t="e">
        <f t="shared" si="8"/>
        <v>#N/A</v>
      </c>
      <c r="AJ34" s="468"/>
      <c r="AK34" s="469"/>
      <c r="AM34" s="454" t="e">
        <f>SUM(F34:AL34)</f>
        <v>#N/A</v>
      </c>
      <c r="AO34" s="454" t="e">
        <f t="shared" si="1"/>
        <v>#N/A</v>
      </c>
    </row>
    <row r="35" spans="2:41" x14ac:dyDescent="0.2">
      <c r="B35" s="500"/>
      <c r="C35" s="507" t="s">
        <v>1994</v>
      </c>
      <c r="D35" s="502"/>
      <c r="E35" s="503"/>
      <c r="F35" s="470"/>
      <c r="G35" s="468"/>
      <c r="H35" s="468"/>
      <c r="I35" s="469"/>
      <c r="J35" s="470"/>
      <c r="K35" s="468"/>
      <c r="L35" s="468"/>
      <c r="M35" s="469"/>
      <c r="N35" s="471"/>
      <c r="O35" s="468"/>
      <c r="P35" s="468"/>
      <c r="Q35" s="469"/>
      <c r="R35" s="471"/>
      <c r="S35" s="468"/>
      <c r="T35" s="468"/>
      <c r="U35" s="469"/>
      <c r="V35" s="476"/>
      <c r="W35" s="477"/>
      <c r="X35" s="477"/>
      <c r="Y35" s="479"/>
      <c r="Z35" s="476"/>
      <c r="AA35" s="477"/>
      <c r="AB35" s="477"/>
      <c r="AC35" s="469"/>
      <c r="AD35" s="470"/>
      <c r="AE35" s="468"/>
      <c r="AF35" s="468"/>
      <c r="AG35" s="469"/>
      <c r="AH35" s="470"/>
      <c r="AI35" s="468"/>
      <c r="AJ35" s="468"/>
      <c r="AK35" s="469"/>
      <c r="AM35" s="454">
        <f t="shared" ref="AM35:AM37" si="9">SUM(F35:AL35)</f>
        <v>0</v>
      </c>
      <c r="AO35" s="454">
        <f t="shared" si="1"/>
        <v>0</v>
      </c>
    </row>
    <row r="36" spans="2:41" x14ac:dyDescent="0.2">
      <c r="B36" s="500"/>
      <c r="C36" s="507" t="s">
        <v>1993</v>
      </c>
      <c r="D36" s="502"/>
      <c r="E36" s="503"/>
      <c r="F36" s="470"/>
      <c r="G36" s="468"/>
      <c r="H36" s="468"/>
      <c r="I36" s="469"/>
      <c r="J36" s="470"/>
      <c r="K36" s="468"/>
      <c r="L36" s="468"/>
      <c r="M36" s="469"/>
      <c r="N36" s="471"/>
      <c r="O36" s="468"/>
      <c r="P36" s="468"/>
      <c r="Q36" s="469"/>
      <c r="R36" s="471"/>
      <c r="S36" s="468"/>
      <c r="T36" s="468"/>
      <c r="U36" s="469"/>
      <c r="V36" s="470"/>
      <c r="W36" s="468"/>
      <c r="X36" s="468"/>
      <c r="Y36" s="479"/>
      <c r="Z36" s="476"/>
      <c r="AA36" s="477"/>
      <c r="AB36" s="468"/>
      <c r="AC36" s="479"/>
      <c r="AD36" s="476"/>
      <c r="AE36" s="477"/>
      <c r="AF36" s="468"/>
      <c r="AG36" s="469"/>
      <c r="AH36" s="470"/>
      <c r="AI36" s="468"/>
      <c r="AJ36" s="468"/>
      <c r="AK36" s="469"/>
      <c r="AM36" s="454">
        <f t="shared" si="9"/>
        <v>0</v>
      </c>
      <c r="AO36" s="454">
        <f t="shared" si="1"/>
        <v>0</v>
      </c>
    </row>
    <row r="37" spans="2:41" x14ac:dyDescent="0.2">
      <c r="B37" s="500"/>
      <c r="C37" s="507" t="s">
        <v>1995</v>
      </c>
      <c r="D37" s="502"/>
      <c r="E37" s="503"/>
      <c r="F37" s="470"/>
      <c r="G37" s="468"/>
      <c r="H37" s="468"/>
      <c r="I37" s="469"/>
      <c r="J37" s="470"/>
      <c r="K37" s="468"/>
      <c r="L37" s="468"/>
      <c r="M37" s="469"/>
      <c r="N37" s="471"/>
      <c r="O37" s="468"/>
      <c r="P37" s="468"/>
      <c r="Q37" s="469"/>
      <c r="R37" s="471"/>
      <c r="S37" s="468"/>
      <c r="T37" s="468"/>
      <c r="U37" s="469"/>
      <c r="V37" s="470"/>
      <c r="W37" s="468"/>
      <c r="X37" s="468"/>
      <c r="Y37" s="469"/>
      <c r="Z37" s="470"/>
      <c r="AA37" s="468"/>
      <c r="AB37" s="477"/>
      <c r="AC37" s="479"/>
      <c r="AD37" s="476"/>
      <c r="AE37" s="477"/>
      <c r="AF37" s="477"/>
      <c r="AG37" s="479"/>
      <c r="AH37" s="476"/>
      <c r="AI37" s="477"/>
      <c r="AJ37" s="468"/>
      <c r="AK37" s="469"/>
      <c r="AM37" s="454">
        <f t="shared" si="9"/>
        <v>0</v>
      </c>
      <c r="AO37" s="454">
        <f t="shared" si="1"/>
        <v>0</v>
      </c>
    </row>
    <row r="38" spans="2:41" x14ac:dyDescent="0.2">
      <c r="B38" s="500" t="s">
        <v>725</v>
      </c>
      <c r="C38" s="506" t="s">
        <v>29</v>
      </c>
      <c r="D38" s="502">
        <f>VLOOKUP(C38,PRESUPUESTO!$B$10:$G$180,6,FALSE)</f>
        <v>5930.35</v>
      </c>
      <c r="E38" s="503">
        <v>7</v>
      </c>
      <c r="F38" s="470"/>
      <c r="G38" s="468"/>
      <c r="H38" s="468"/>
      <c r="I38" s="469"/>
      <c r="J38" s="470"/>
      <c r="K38" s="468"/>
      <c r="L38" s="468"/>
      <c r="M38" s="469"/>
      <c r="N38" s="471"/>
      <c r="O38" s="468"/>
      <c r="P38" s="468"/>
      <c r="Q38" s="469"/>
      <c r="R38" s="471"/>
      <c r="S38" s="468"/>
      <c r="T38" s="468"/>
      <c r="U38" s="469"/>
      <c r="V38" s="470"/>
      <c r="W38" s="468"/>
      <c r="X38" s="468"/>
      <c r="Y38" s="469"/>
      <c r="Z38" s="470"/>
      <c r="AA38" s="472">
        <f t="shared" ref="AA38:AG38" si="10">ROUND($D38/$E38,2)</f>
        <v>847.19</v>
      </c>
      <c r="AB38" s="472">
        <f t="shared" si="10"/>
        <v>847.19</v>
      </c>
      <c r="AC38" s="473">
        <f t="shared" si="10"/>
        <v>847.19</v>
      </c>
      <c r="AD38" s="467">
        <f t="shared" si="10"/>
        <v>847.19</v>
      </c>
      <c r="AE38" s="472">
        <f t="shared" si="10"/>
        <v>847.19</v>
      </c>
      <c r="AF38" s="472">
        <f t="shared" si="10"/>
        <v>847.19</v>
      </c>
      <c r="AG38" s="473">
        <f t="shared" si="10"/>
        <v>847.19</v>
      </c>
      <c r="AH38" s="470"/>
      <c r="AI38" s="468"/>
      <c r="AJ38" s="468"/>
      <c r="AK38" s="469"/>
      <c r="AM38" s="454">
        <f t="shared" ref="AM38:AM45" si="11">SUM(F38:AL38)</f>
        <v>5930.3300000000017</v>
      </c>
      <c r="AO38" s="454">
        <f t="shared" si="1"/>
        <v>1.9999999998617568E-2</v>
      </c>
    </row>
    <row r="39" spans="2:41" x14ac:dyDescent="0.2">
      <c r="B39" s="500" t="s">
        <v>724</v>
      </c>
      <c r="C39" s="506" t="s">
        <v>1852</v>
      </c>
      <c r="D39" s="502" t="e">
        <f>VLOOKUP(C39,PRESUPUESTO!$B$10:$G$180,6,FALSE)</f>
        <v>#N/A</v>
      </c>
      <c r="E39" s="503">
        <v>7</v>
      </c>
      <c r="F39" s="470"/>
      <c r="G39" s="468"/>
      <c r="H39" s="468"/>
      <c r="I39" s="469"/>
      <c r="J39" s="470"/>
      <c r="K39" s="468"/>
      <c r="L39" s="468"/>
      <c r="M39" s="469"/>
      <c r="N39" s="471"/>
      <c r="O39" s="468"/>
      <c r="P39" s="468"/>
      <c r="Q39" s="469"/>
      <c r="R39" s="471"/>
      <c r="S39" s="468"/>
      <c r="T39" s="468"/>
      <c r="U39" s="469"/>
      <c r="V39" s="470"/>
      <c r="W39" s="468"/>
      <c r="X39" s="468"/>
      <c r="Y39" s="469"/>
      <c r="Z39" s="470"/>
      <c r="AA39" s="468"/>
      <c r="AB39" s="468"/>
      <c r="AC39" s="473" t="e">
        <f>ROUND($D39/$E39,2)</f>
        <v>#N/A</v>
      </c>
      <c r="AD39" s="467" t="e">
        <f t="shared" ref="AD39:AI39" si="12">ROUND($D39/$E39,2)</f>
        <v>#N/A</v>
      </c>
      <c r="AE39" s="472" t="e">
        <f t="shared" si="12"/>
        <v>#N/A</v>
      </c>
      <c r="AF39" s="472" t="e">
        <f t="shared" si="12"/>
        <v>#N/A</v>
      </c>
      <c r="AG39" s="473" t="e">
        <f t="shared" si="12"/>
        <v>#N/A</v>
      </c>
      <c r="AH39" s="467" t="e">
        <f t="shared" si="12"/>
        <v>#N/A</v>
      </c>
      <c r="AI39" s="472" t="e">
        <f t="shared" si="12"/>
        <v>#N/A</v>
      </c>
      <c r="AJ39" s="468"/>
      <c r="AK39" s="469"/>
      <c r="AM39" s="454" t="e">
        <f t="shared" si="11"/>
        <v>#N/A</v>
      </c>
      <c r="AO39" s="454" t="e">
        <f t="shared" si="1"/>
        <v>#N/A</v>
      </c>
    </row>
    <row r="40" spans="2:41" x14ac:dyDescent="0.2">
      <c r="B40" s="505" t="s">
        <v>723</v>
      </c>
      <c r="C40" s="506" t="s">
        <v>300</v>
      </c>
      <c r="D40" s="502">
        <f>VLOOKUP(C40,PRESUPUESTO!$B$10:$G$180,6,FALSE)</f>
        <v>9203.31</v>
      </c>
      <c r="E40" s="503">
        <v>6</v>
      </c>
      <c r="F40" s="470"/>
      <c r="G40" s="468"/>
      <c r="H40" s="468"/>
      <c r="I40" s="469"/>
      <c r="J40" s="470"/>
      <c r="K40" s="468"/>
      <c r="L40" s="468"/>
      <c r="M40" s="469"/>
      <c r="N40" s="471"/>
      <c r="O40" s="468"/>
      <c r="P40" s="468"/>
      <c r="Q40" s="469"/>
      <c r="R40" s="471"/>
      <c r="S40" s="468"/>
      <c r="T40" s="468"/>
      <c r="U40" s="469"/>
      <c r="V40" s="470"/>
      <c r="W40" s="468"/>
      <c r="X40" s="468"/>
      <c r="Y40" s="469"/>
      <c r="Z40" s="470"/>
      <c r="AA40" s="468"/>
      <c r="AB40" s="468"/>
      <c r="AC40" s="469"/>
      <c r="AD40" s="470"/>
      <c r="AE40" s="468"/>
      <c r="AF40" s="472">
        <f t="shared" ref="AF40:AK40" si="13">ROUND($D40/$E40,2)</f>
        <v>1533.89</v>
      </c>
      <c r="AG40" s="473">
        <f t="shared" si="13"/>
        <v>1533.89</v>
      </c>
      <c r="AH40" s="467">
        <f t="shared" si="13"/>
        <v>1533.89</v>
      </c>
      <c r="AI40" s="472">
        <f t="shared" si="13"/>
        <v>1533.89</v>
      </c>
      <c r="AJ40" s="472">
        <f t="shared" si="13"/>
        <v>1533.89</v>
      </c>
      <c r="AK40" s="473">
        <f t="shared" si="13"/>
        <v>1533.89</v>
      </c>
      <c r="AM40" s="454">
        <f t="shared" si="11"/>
        <v>9203.34</v>
      </c>
      <c r="AO40" s="454">
        <f t="shared" ref="AO40:AO45" si="14">+D40-AM40</f>
        <v>-3.0000000000654836E-2</v>
      </c>
    </row>
    <row r="41" spans="2:41" x14ac:dyDescent="0.2">
      <c r="B41" s="505" t="s">
        <v>722</v>
      </c>
      <c r="C41" s="506" t="s">
        <v>2183</v>
      </c>
      <c r="D41" s="502" t="e">
        <f>VLOOKUP(C41,PRESUPUESTO!$B$10:$G$180,6,FALSE)</f>
        <v>#N/A</v>
      </c>
      <c r="E41" s="503">
        <v>12</v>
      </c>
      <c r="F41" s="470"/>
      <c r="G41" s="468"/>
      <c r="H41" s="468"/>
      <c r="I41" s="469"/>
      <c r="J41" s="470"/>
      <c r="K41" s="468"/>
      <c r="L41" s="468"/>
      <c r="M41" s="469"/>
      <c r="N41" s="471"/>
      <c r="O41" s="468"/>
      <c r="P41" s="468"/>
      <c r="Q41" s="469"/>
      <c r="R41" s="471"/>
      <c r="S41" s="468"/>
      <c r="T41" s="468"/>
      <c r="U41" s="469"/>
      <c r="V41" s="470"/>
      <c r="W41" s="468"/>
      <c r="X41" s="468"/>
      <c r="Y41" s="469"/>
      <c r="Z41" s="467" t="e">
        <f>ROUND($D41/$E41,2)</f>
        <v>#N/A</v>
      </c>
      <c r="AA41" s="472" t="e">
        <f>ROUND($D41/$E41,2)</f>
        <v>#N/A</v>
      </c>
      <c r="AB41" s="472" t="e">
        <f>ROUND($D41/$E41,2)</f>
        <v>#N/A</v>
      </c>
      <c r="AC41" s="473" t="e">
        <f>ROUND($D41/$E41,2)</f>
        <v>#N/A</v>
      </c>
      <c r="AD41" s="467" t="e">
        <f t="shared" ref="AD41:AK41" si="15">ROUND($D41/$E41,2)</f>
        <v>#N/A</v>
      </c>
      <c r="AE41" s="472" t="e">
        <f t="shared" si="15"/>
        <v>#N/A</v>
      </c>
      <c r="AF41" s="472" t="e">
        <f t="shared" si="15"/>
        <v>#N/A</v>
      </c>
      <c r="AG41" s="473" t="e">
        <f t="shared" si="15"/>
        <v>#N/A</v>
      </c>
      <c r="AH41" s="467" t="e">
        <f t="shared" si="15"/>
        <v>#N/A</v>
      </c>
      <c r="AI41" s="472" t="e">
        <f t="shared" si="15"/>
        <v>#N/A</v>
      </c>
      <c r="AJ41" s="472" t="e">
        <f t="shared" si="15"/>
        <v>#N/A</v>
      </c>
      <c r="AK41" s="473" t="e">
        <f t="shared" si="15"/>
        <v>#N/A</v>
      </c>
      <c r="AM41" s="454" t="e">
        <f>SUM(F41:AL41)</f>
        <v>#N/A</v>
      </c>
      <c r="AO41" s="454" t="e">
        <f t="shared" si="14"/>
        <v>#N/A</v>
      </c>
    </row>
    <row r="42" spans="2:41" x14ac:dyDescent="0.2">
      <c r="B42" s="505" t="s">
        <v>721</v>
      </c>
      <c r="C42" s="508" t="s">
        <v>719</v>
      </c>
      <c r="D42" s="502">
        <f>VLOOKUP(C42,PRESUPUESTO!$B$10:$G$180,6,FALSE)</f>
        <v>9768.3599999999988</v>
      </c>
      <c r="E42" s="503">
        <v>26</v>
      </c>
      <c r="F42" s="470"/>
      <c r="G42" s="468"/>
      <c r="H42" s="468"/>
      <c r="I42" s="469"/>
      <c r="J42" s="474">
        <f t="shared" ref="J42:AC42" si="16">ROUND($D42/$E42,2)</f>
        <v>375.71</v>
      </c>
      <c r="K42" s="472">
        <f t="shared" si="16"/>
        <v>375.71</v>
      </c>
      <c r="L42" s="472">
        <f t="shared" si="16"/>
        <v>375.71</v>
      </c>
      <c r="M42" s="473">
        <f t="shared" si="16"/>
        <v>375.71</v>
      </c>
      <c r="N42" s="474">
        <f t="shared" si="16"/>
        <v>375.71</v>
      </c>
      <c r="O42" s="472">
        <f t="shared" si="16"/>
        <v>375.71</v>
      </c>
      <c r="P42" s="472">
        <f t="shared" si="16"/>
        <v>375.71</v>
      </c>
      <c r="Q42" s="473">
        <f t="shared" si="16"/>
        <v>375.71</v>
      </c>
      <c r="R42" s="474">
        <f t="shared" si="16"/>
        <v>375.71</v>
      </c>
      <c r="S42" s="472">
        <f t="shared" si="16"/>
        <v>375.71</v>
      </c>
      <c r="T42" s="472">
        <f t="shared" si="16"/>
        <v>375.71</v>
      </c>
      <c r="U42" s="473">
        <f t="shared" si="16"/>
        <v>375.71</v>
      </c>
      <c r="V42" s="467">
        <f t="shared" si="16"/>
        <v>375.71</v>
      </c>
      <c r="W42" s="472">
        <f t="shared" si="16"/>
        <v>375.71</v>
      </c>
      <c r="X42" s="472">
        <f t="shared" si="16"/>
        <v>375.71</v>
      </c>
      <c r="Y42" s="473">
        <f t="shared" si="16"/>
        <v>375.71</v>
      </c>
      <c r="Z42" s="467">
        <f t="shared" si="16"/>
        <v>375.71</v>
      </c>
      <c r="AA42" s="472">
        <f t="shared" si="16"/>
        <v>375.71</v>
      </c>
      <c r="AB42" s="472">
        <f t="shared" si="16"/>
        <v>375.71</v>
      </c>
      <c r="AC42" s="473">
        <f t="shared" si="16"/>
        <v>375.71</v>
      </c>
      <c r="AD42" s="467">
        <f t="shared" ref="AD42:AI42" si="17">ROUND($D42/$E42,2)</f>
        <v>375.71</v>
      </c>
      <c r="AE42" s="472">
        <f t="shared" si="17"/>
        <v>375.71</v>
      </c>
      <c r="AF42" s="472">
        <f t="shared" si="17"/>
        <v>375.71</v>
      </c>
      <c r="AG42" s="473">
        <f t="shared" si="17"/>
        <v>375.71</v>
      </c>
      <c r="AH42" s="467">
        <f t="shared" si="17"/>
        <v>375.71</v>
      </c>
      <c r="AI42" s="472">
        <f t="shared" si="17"/>
        <v>375.71</v>
      </c>
      <c r="AJ42" s="468"/>
      <c r="AK42" s="469"/>
      <c r="AM42" s="454">
        <f t="shared" si="11"/>
        <v>9768.4599999999955</v>
      </c>
      <c r="AO42" s="454">
        <f t="shared" si="14"/>
        <v>-9.9999999996725819E-2</v>
      </c>
    </row>
    <row r="43" spans="2:41" x14ac:dyDescent="0.2">
      <c r="B43" s="481"/>
      <c r="C43" s="506" t="s">
        <v>718</v>
      </c>
      <c r="D43" s="502">
        <f>VLOOKUP(C43,PRESUPUESTO!$B$10:$G$180,6,FALSE)</f>
        <v>5007.08</v>
      </c>
      <c r="E43" s="503">
        <v>4</v>
      </c>
      <c r="F43" s="470"/>
      <c r="G43" s="468"/>
      <c r="H43" s="468"/>
      <c r="I43" s="469"/>
      <c r="J43" s="470"/>
      <c r="K43" s="468"/>
      <c r="L43" s="468"/>
      <c r="M43" s="469"/>
      <c r="N43" s="471"/>
      <c r="O43" s="468"/>
      <c r="P43" s="468"/>
      <c r="Q43" s="469"/>
      <c r="R43" s="471"/>
      <c r="S43" s="468"/>
      <c r="T43" s="468"/>
      <c r="U43" s="469"/>
      <c r="V43" s="470"/>
      <c r="W43" s="468"/>
      <c r="X43" s="468"/>
      <c r="Y43" s="469"/>
      <c r="Z43" s="470"/>
      <c r="AA43" s="468"/>
      <c r="AB43" s="468"/>
      <c r="AC43" s="469"/>
      <c r="AD43" s="470"/>
      <c r="AE43" s="468"/>
      <c r="AF43" s="468"/>
      <c r="AG43" s="469"/>
      <c r="AH43" s="467">
        <f>ROUND($D43/$E43,2)</f>
        <v>1251.77</v>
      </c>
      <c r="AI43" s="472">
        <f>ROUND($D43/$E43,2)</f>
        <v>1251.77</v>
      </c>
      <c r="AJ43" s="472">
        <f>ROUND($D43/$E43,2)</f>
        <v>1251.77</v>
      </c>
      <c r="AK43" s="473">
        <f>ROUND($D43/$E43,2)</f>
        <v>1251.77</v>
      </c>
      <c r="AM43" s="454">
        <f t="shared" si="11"/>
        <v>5007.08</v>
      </c>
      <c r="AO43" s="454">
        <f t="shared" si="14"/>
        <v>0</v>
      </c>
    </row>
    <row r="44" spans="2:41" x14ac:dyDescent="0.2">
      <c r="B44" s="505" t="s">
        <v>720</v>
      </c>
      <c r="C44" s="508" t="s">
        <v>1519</v>
      </c>
      <c r="D44" s="502">
        <f>VLOOKUP(C44,PRESUPUESTO!$B$10:$G$180,6,FALSE)</f>
        <v>11623.77</v>
      </c>
      <c r="E44" s="503">
        <v>26</v>
      </c>
      <c r="F44" s="470"/>
      <c r="G44" s="468"/>
      <c r="H44" s="468"/>
      <c r="I44" s="469"/>
      <c r="J44" s="470"/>
      <c r="K44" s="468"/>
      <c r="L44" s="472">
        <f t="shared" ref="L44:AK44" si="18">ROUND($D44/$E44,2)</f>
        <v>447.07</v>
      </c>
      <c r="M44" s="473">
        <f t="shared" si="18"/>
        <v>447.07</v>
      </c>
      <c r="N44" s="474">
        <f t="shared" si="18"/>
        <v>447.07</v>
      </c>
      <c r="O44" s="472">
        <f t="shared" si="18"/>
        <v>447.07</v>
      </c>
      <c r="P44" s="472">
        <f t="shared" si="18"/>
        <v>447.07</v>
      </c>
      <c r="Q44" s="473">
        <f t="shared" si="18"/>
        <v>447.07</v>
      </c>
      <c r="R44" s="474">
        <f t="shared" si="18"/>
        <v>447.07</v>
      </c>
      <c r="S44" s="472">
        <f t="shared" si="18"/>
        <v>447.07</v>
      </c>
      <c r="T44" s="472">
        <f t="shared" si="18"/>
        <v>447.07</v>
      </c>
      <c r="U44" s="473">
        <f t="shared" si="18"/>
        <v>447.07</v>
      </c>
      <c r="V44" s="467">
        <f t="shared" si="18"/>
        <v>447.07</v>
      </c>
      <c r="W44" s="472">
        <f t="shared" si="18"/>
        <v>447.07</v>
      </c>
      <c r="X44" s="472">
        <f t="shared" si="18"/>
        <v>447.07</v>
      </c>
      <c r="Y44" s="473">
        <f t="shared" si="18"/>
        <v>447.07</v>
      </c>
      <c r="Z44" s="467">
        <f t="shared" si="18"/>
        <v>447.07</v>
      </c>
      <c r="AA44" s="472">
        <f t="shared" si="18"/>
        <v>447.07</v>
      </c>
      <c r="AB44" s="472">
        <f t="shared" si="18"/>
        <v>447.07</v>
      </c>
      <c r="AC44" s="473">
        <f t="shared" si="18"/>
        <v>447.07</v>
      </c>
      <c r="AD44" s="467">
        <f t="shared" si="18"/>
        <v>447.07</v>
      </c>
      <c r="AE44" s="472">
        <f t="shared" si="18"/>
        <v>447.07</v>
      </c>
      <c r="AF44" s="472">
        <f t="shared" si="18"/>
        <v>447.07</v>
      </c>
      <c r="AG44" s="473">
        <f t="shared" si="18"/>
        <v>447.07</v>
      </c>
      <c r="AH44" s="467">
        <f t="shared" si="18"/>
        <v>447.07</v>
      </c>
      <c r="AI44" s="472">
        <f t="shared" si="18"/>
        <v>447.07</v>
      </c>
      <c r="AJ44" s="472">
        <f t="shared" si="18"/>
        <v>447.07</v>
      </c>
      <c r="AK44" s="473">
        <f t="shared" si="18"/>
        <v>447.07</v>
      </c>
      <c r="AM44" s="454">
        <f t="shared" si="11"/>
        <v>11623.819999999996</v>
      </c>
      <c r="AO44" s="454">
        <f t="shared" si="14"/>
        <v>-4.9999999995634425E-2</v>
      </c>
    </row>
    <row r="45" spans="2:41" ht="12" thickBot="1" x14ac:dyDescent="0.25">
      <c r="B45" s="509"/>
      <c r="C45" s="510"/>
      <c r="D45" s="502" t="e">
        <f>VLOOKUP(C45,PRESUPUESTO!$B$10:$G$180,6,FALSE)</f>
        <v>#N/A</v>
      </c>
      <c r="E45" s="503"/>
      <c r="F45" s="482"/>
      <c r="G45" s="483"/>
      <c r="H45" s="483"/>
      <c r="I45" s="484"/>
      <c r="J45" s="485"/>
      <c r="K45" s="486"/>
      <c r="L45" s="486"/>
      <c r="M45" s="484"/>
      <c r="N45" s="487"/>
      <c r="O45" s="483"/>
      <c r="P45" s="483"/>
      <c r="Q45" s="488"/>
      <c r="R45" s="487"/>
      <c r="S45" s="483"/>
      <c r="T45" s="483"/>
      <c r="U45" s="488"/>
      <c r="V45" s="482"/>
      <c r="W45" s="483"/>
      <c r="X45" s="483"/>
      <c r="Y45" s="488"/>
      <c r="Z45" s="482"/>
      <c r="AA45" s="483"/>
      <c r="AB45" s="483"/>
      <c r="AC45" s="488"/>
      <c r="AD45" s="482"/>
      <c r="AE45" s="483"/>
      <c r="AF45" s="483"/>
      <c r="AG45" s="488"/>
      <c r="AH45" s="470"/>
      <c r="AI45" s="468"/>
      <c r="AJ45" s="468"/>
      <c r="AK45" s="469"/>
      <c r="AM45" s="454">
        <f t="shared" si="11"/>
        <v>0</v>
      </c>
      <c r="AO45" s="454" t="e">
        <f t="shared" si="14"/>
        <v>#N/A</v>
      </c>
    </row>
    <row r="46" spans="2:41" ht="12" thickBot="1" x14ac:dyDescent="0.25">
      <c r="B46" s="511"/>
      <c r="C46" s="512" t="s">
        <v>717</v>
      </c>
      <c r="D46" s="513" t="e">
        <f>SUM(D8:D45)</f>
        <v>#N/A</v>
      </c>
      <c r="E46" s="503"/>
      <c r="F46" s="671">
        <f>SUM(F8:I45)</f>
        <v>7684.5099999999984</v>
      </c>
      <c r="G46" s="672"/>
      <c r="H46" s="672"/>
      <c r="I46" s="673"/>
      <c r="J46" s="671">
        <f>SUM(J8:M45)</f>
        <v>15950.299999999997</v>
      </c>
      <c r="K46" s="672"/>
      <c r="L46" s="672"/>
      <c r="M46" s="673"/>
      <c r="N46" s="671">
        <f>SUM(N8:Q45)</f>
        <v>18081.199999999997</v>
      </c>
      <c r="O46" s="672"/>
      <c r="P46" s="672"/>
      <c r="Q46" s="673"/>
      <c r="R46" s="671">
        <f>SUM(R8:U45)</f>
        <v>15440.469999999998</v>
      </c>
      <c r="S46" s="672"/>
      <c r="T46" s="672"/>
      <c r="U46" s="673"/>
      <c r="V46" s="671" t="e">
        <f>SUM(V8:Y45)</f>
        <v>#N/A</v>
      </c>
      <c r="W46" s="672"/>
      <c r="X46" s="672"/>
      <c r="Y46" s="673"/>
      <c r="Z46" s="671" t="e">
        <f>SUM(Z8:AC45)</f>
        <v>#N/A</v>
      </c>
      <c r="AA46" s="672"/>
      <c r="AB46" s="672"/>
      <c r="AC46" s="673"/>
      <c r="AD46" s="671" t="e">
        <f>SUM(AD8:AG45)</f>
        <v>#N/A</v>
      </c>
      <c r="AE46" s="672"/>
      <c r="AF46" s="672"/>
      <c r="AG46" s="673"/>
      <c r="AH46" s="671" t="e">
        <f>SUM(AH8:AK45)</f>
        <v>#N/A</v>
      </c>
      <c r="AI46" s="672"/>
      <c r="AJ46" s="672"/>
      <c r="AK46" s="673"/>
      <c r="AM46" s="498"/>
    </row>
    <row r="47" spans="2:41" ht="12" thickBot="1" x14ac:dyDescent="0.25">
      <c r="B47" s="514">
        <f>PRESUPUESTO!$E$183</f>
        <v>0.2</v>
      </c>
      <c r="C47" s="515" t="s">
        <v>2073</v>
      </c>
      <c r="D47" s="516" t="e">
        <f>ROUND(D46*$B$47,2)</f>
        <v>#N/A</v>
      </c>
      <c r="E47" s="503"/>
      <c r="F47" s="671">
        <f t="shared" ref="F47:AK47" si="19">ROUND(F46*$B$47,2)</f>
        <v>1536.9</v>
      </c>
      <c r="G47" s="672">
        <f t="shared" si="19"/>
        <v>0</v>
      </c>
      <c r="H47" s="672">
        <f t="shared" si="19"/>
        <v>0</v>
      </c>
      <c r="I47" s="673">
        <f t="shared" si="19"/>
        <v>0</v>
      </c>
      <c r="J47" s="671">
        <f t="shared" si="19"/>
        <v>3190.06</v>
      </c>
      <c r="K47" s="672">
        <f t="shared" si="19"/>
        <v>0</v>
      </c>
      <c r="L47" s="672">
        <f t="shared" si="19"/>
        <v>0</v>
      </c>
      <c r="M47" s="673">
        <f t="shared" si="19"/>
        <v>0</v>
      </c>
      <c r="N47" s="671">
        <f t="shared" si="19"/>
        <v>3616.24</v>
      </c>
      <c r="O47" s="672">
        <f t="shared" si="19"/>
        <v>0</v>
      </c>
      <c r="P47" s="672">
        <f t="shared" si="19"/>
        <v>0</v>
      </c>
      <c r="Q47" s="673">
        <f t="shared" si="19"/>
        <v>0</v>
      </c>
      <c r="R47" s="671">
        <f t="shared" si="19"/>
        <v>3088.09</v>
      </c>
      <c r="S47" s="672">
        <f t="shared" si="19"/>
        <v>0</v>
      </c>
      <c r="T47" s="672">
        <f t="shared" si="19"/>
        <v>0</v>
      </c>
      <c r="U47" s="673">
        <f t="shared" si="19"/>
        <v>0</v>
      </c>
      <c r="V47" s="671" t="e">
        <f t="shared" si="19"/>
        <v>#N/A</v>
      </c>
      <c r="W47" s="672">
        <f t="shared" si="19"/>
        <v>0</v>
      </c>
      <c r="X47" s="672">
        <f t="shared" si="19"/>
        <v>0</v>
      </c>
      <c r="Y47" s="673">
        <f t="shared" si="19"/>
        <v>0</v>
      </c>
      <c r="Z47" s="671" t="e">
        <f t="shared" si="19"/>
        <v>#N/A</v>
      </c>
      <c r="AA47" s="672">
        <f t="shared" si="19"/>
        <v>0</v>
      </c>
      <c r="AB47" s="672">
        <f t="shared" si="19"/>
        <v>0</v>
      </c>
      <c r="AC47" s="673">
        <f t="shared" si="19"/>
        <v>0</v>
      </c>
      <c r="AD47" s="671" t="e">
        <f t="shared" si="19"/>
        <v>#N/A</v>
      </c>
      <c r="AE47" s="672">
        <f t="shared" si="19"/>
        <v>0</v>
      </c>
      <c r="AF47" s="672">
        <f t="shared" si="19"/>
        <v>0</v>
      </c>
      <c r="AG47" s="673">
        <f t="shared" si="19"/>
        <v>0</v>
      </c>
      <c r="AH47" s="671" t="e">
        <f t="shared" si="19"/>
        <v>#N/A</v>
      </c>
      <c r="AI47" s="672">
        <f t="shared" si="19"/>
        <v>0</v>
      </c>
      <c r="AJ47" s="672">
        <f t="shared" si="19"/>
        <v>0</v>
      </c>
      <c r="AK47" s="673">
        <f t="shared" si="19"/>
        <v>0</v>
      </c>
      <c r="AM47" s="498"/>
    </row>
    <row r="48" spans="2:41" ht="12" thickBot="1" x14ac:dyDescent="0.25">
      <c r="B48" s="505"/>
      <c r="C48" s="515" t="s">
        <v>716</v>
      </c>
      <c r="D48" s="516" t="e">
        <f>SUM(D46:D47)</f>
        <v>#N/A</v>
      </c>
      <c r="E48" s="503"/>
      <c r="F48" s="683">
        <f>SUM(F46:I47)</f>
        <v>9221.409999999998</v>
      </c>
      <c r="G48" s="684"/>
      <c r="H48" s="684"/>
      <c r="I48" s="685"/>
      <c r="J48" s="683">
        <f>SUM(J46:M47)</f>
        <v>19140.359999999997</v>
      </c>
      <c r="K48" s="684"/>
      <c r="L48" s="684"/>
      <c r="M48" s="685"/>
      <c r="N48" s="683">
        <f>SUM(N46:Q47)</f>
        <v>21697.439999999995</v>
      </c>
      <c r="O48" s="684"/>
      <c r="P48" s="684"/>
      <c r="Q48" s="685"/>
      <c r="R48" s="683">
        <f>SUM(R46:U47)</f>
        <v>18528.559999999998</v>
      </c>
      <c r="S48" s="684"/>
      <c r="T48" s="684"/>
      <c r="U48" s="685"/>
      <c r="V48" s="686" t="e">
        <f>SUM(V46:V47)</f>
        <v>#N/A</v>
      </c>
      <c r="W48" s="684"/>
      <c r="X48" s="684"/>
      <c r="Y48" s="685"/>
      <c r="Z48" s="686" t="e">
        <f>SUM(Z46:Z47)</f>
        <v>#N/A</v>
      </c>
      <c r="AA48" s="684"/>
      <c r="AB48" s="684"/>
      <c r="AC48" s="685"/>
      <c r="AD48" s="686" t="e">
        <f>SUM(AD46:AD47)</f>
        <v>#N/A</v>
      </c>
      <c r="AE48" s="684"/>
      <c r="AF48" s="684"/>
      <c r="AG48" s="685"/>
      <c r="AH48" s="683" t="e">
        <f>SUM(AH46:AH47)</f>
        <v>#N/A</v>
      </c>
      <c r="AI48" s="684"/>
      <c r="AJ48" s="684"/>
      <c r="AK48" s="685"/>
    </row>
    <row r="49" spans="2:53" ht="12" thickBot="1" x14ac:dyDescent="0.25">
      <c r="B49" s="505"/>
      <c r="C49" s="515"/>
      <c r="D49" s="516"/>
      <c r="E49" s="503"/>
      <c r="F49" s="683"/>
      <c r="G49" s="684"/>
      <c r="H49" s="684"/>
      <c r="I49" s="685"/>
      <c r="J49" s="683"/>
      <c r="K49" s="684"/>
      <c r="L49" s="684"/>
      <c r="M49" s="685"/>
      <c r="N49" s="683"/>
      <c r="O49" s="684"/>
      <c r="P49" s="684"/>
      <c r="Q49" s="685"/>
      <c r="R49" s="683"/>
      <c r="S49" s="684"/>
      <c r="T49" s="684"/>
      <c r="U49" s="685"/>
      <c r="V49" s="683"/>
      <c r="W49" s="684"/>
      <c r="X49" s="684"/>
      <c r="Y49" s="685"/>
      <c r="Z49" s="683"/>
      <c r="AA49" s="684"/>
      <c r="AB49" s="684"/>
      <c r="AC49" s="685"/>
      <c r="AD49" s="683"/>
      <c r="AE49" s="684"/>
      <c r="AF49" s="684"/>
      <c r="AG49" s="685"/>
      <c r="AH49" s="683"/>
      <c r="AI49" s="684"/>
      <c r="AJ49" s="684"/>
      <c r="AK49" s="685"/>
    </row>
    <row r="50" spans="2:53" ht="12" thickBot="1" x14ac:dyDescent="0.25">
      <c r="B50" s="517"/>
      <c r="C50" s="518" t="s">
        <v>715</v>
      </c>
      <c r="D50" s="519" t="e">
        <f>SUM(D48:D49)</f>
        <v>#N/A</v>
      </c>
      <c r="E50" s="520"/>
      <c r="F50" s="683">
        <f>SUM(F48:I49)</f>
        <v>9221.409999999998</v>
      </c>
      <c r="G50" s="684"/>
      <c r="H50" s="684"/>
      <c r="I50" s="685"/>
      <c r="J50" s="683">
        <f>SUM(J48:M49)</f>
        <v>19140.359999999997</v>
      </c>
      <c r="K50" s="684"/>
      <c r="L50" s="684"/>
      <c r="M50" s="685"/>
      <c r="N50" s="683">
        <f>SUM(N48:Q49)</f>
        <v>21697.439999999995</v>
      </c>
      <c r="O50" s="684"/>
      <c r="P50" s="684"/>
      <c r="Q50" s="685"/>
      <c r="R50" s="683">
        <f>SUM(R48:U49)</f>
        <v>18528.559999999998</v>
      </c>
      <c r="S50" s="684"/>
      <c r="T50" s="684"/>
      <c r="U50" s="685"/>
      <c r="V50" s="686" t="e">
        <f>SUM(V48:V49)</f>
        <v>#N/A</v>
      </c>
      <c r="W50" s="684"/>
      <c r="X50" s="684"/>
      <c r="Y50" s="685"/>
      <c r="Z50" s="686" t="e">
        <f>SUM(Z48:Z49)</f>
        <v>#N/A</v>
      </c>
      <c r="AA50" s="684"/>
      <c r="AB50" s="684"/>
      <c r="AC50" s="685"/>
      <c r="AD50" s="686" t="e">
        <f>SUM(AD48:AD49)</f>
        <v>#N/A</v>
      </c>
      <c r="AE50" s="684"/>
      <c r="AF50" s="684"/>
      <c r="AG50" s="685"/>
      <c r="AH50" s="683" t="e">
        <f>SUM(AH48:AH49)</f>
        <v>#N/A</v>
      </c>
      <c r="AI50" s="684"/>
      <c r="AJ50" s="684"/>
      <c r="AK50" s="685"/>
    </row>
    <row r="51" spans="2:53" x14ac:dyDescent="0.2">
      <c r="B51" s="489"/>
      <c r="C51" s="490"/>
      <c r="D51" s="491"/>
      <c r="F51" s="687"/>
      <c r="G51" s="687"/>
      <c r="H51" s="687"/>
      <c r="I51" s="687"/>
      <c r="J51" s="687"/>
      <c r="K51" s="687"/>
      <c r="L51" s="687"/>
      <c r="M51" s="687"/>
      <c r="N51" s="687"/>
      <c r="O51" s="687"/>
      <c r="P51" s="687"/>
      <c r="Q51" s="687"/>
      <c r="R51" s="687"/>
      <c r="S51" s="687"/>
      <c r="T51" s="687"/>
      <c r="U51" s="687"/>
      <c r="V51" s="687"/>
      <c r="W51" s="687"/>
      <c r="X51" s="687"/>
      <c r="Y51" s="687"/>
      <c r="Z51" s="687"/>
      <c r="AA51" s="687"/>
      <c r="AB51" s="687"/>
      <c r="AC51" s="687"/>
      <c r="AD51" s="687"/>
      <c r="AE51" s="687"/>
      <c r="AF51" s="687"/>
      <c r="AG51" s="687"/>
      <c r="AH51" s="687"/>
      <c r="AI51" s="687"/>
      <c r="AJ51" s="687"/>
      <c r="AK51" s="687"/>
      <c r="AL51" s="455"/>
    </row>
    <row r="52" spans="2:53" ht="12" thickBot="1" x14ac:dyDescent="0.25">
      <c r="B52" s="489"/>
      <c r="C52" s="492"/>
      <c r="D52" s="493"/>
      <c r="F52" s="688"/>
      <c r="G52" s="688"/>
      <c r="H52" s="688"/>
      <c r="I52" s="688"/>
      <c r="J52" s="687"/>
      <c r="K52" s="687"/>
      <c r="L52" s="687"/>
      <c r="M52" s="687"/>
      <c r="N52" s="688"/>
      <c r="O52" s="688"/>
      <c r="P52" s="688"/>
      <c r="Q52" s="688"/>
      <c r="R52" s="688"/>
      <c r="S52" s="688"/>
      <c r="T52" s="688"/>
      <c r="U52" s="688"/>
      <c r="V52" s="688"/>
      <c r="W52" s="688"/>
      <c r="X52" s="688"/>
      <c r="Y52" s="688"/>
      <c r="Z52" s="688"/>
      <c r="AA52" s="688"/>
      <c r="AB52" s="688"/>
      <c r="AC52" s="688"/>
      <c r="AD52" s="688"/>
      <c r="AE52" s="688"/>
      <c r="AF52" s="688"/>
      <c r="AG52" s="688"/>
      <c r="AH52" s="688"/>
      <c r="AI52" s="688"/>
      <c r="AJ52" s="688"/>
      <c r="AK52" s="688"/>
      <c r="AL52" s="455"/>
    </row>
    <row r="53" spans="2:53" ht="12" thickBot="1" x14ac:dyDescent="0.25">
      <c r="B53" s="494"/>
      <c r="C53" s="521" t="s">
        <v>1997</v>
      </c>
      <c r="D53" s="495"/>
      <c r="F53" s="671">
        <f>F50</f>
        <v>9221.409999999998</v>
      </c>
      <c r="G53" s="672"/>
      <c r="H53" s="672"/>
      <c r="I53" s="673"/>
      <c r="J53" s="671">
        <f>J50</f>
        <v>19140.359999999997</v>
      </c>
      <c r="K53" s="672"/>
      <c r="L53" s="672"/>
      <c r="M53" s="673"/>
      <c r="N53" s="671">
        <f>N50</f>
        <v>21697.439999999995</v>
      </c>
      <c r="O53" s="672"/>
      <c r="P53" s="672"/>
      <c r="Q53" s="673"/>
      <c r="R53" s="671">
        <f>R50</f>
        <v>18528.559999999998</v>
      </c>
      <c r="S53" s="672"/>
      <c r="T53" s="672"/>
      <c r="U53" s="673"/>
      <c r="V53" s="671" t="e">
        <f>V50</f>
        <v>#N/A</v>
      </c>
      <c r="W53" s="672"/>
      <c r="X53" s="672"/>
      <c r="Y53" s="673"/>
      <c r="Z53" s="671" t="e">
        <f>Z50</f>
        <v>#N/A</v>
      </c>
      <c r="AA53" s="672"/>
      <c r="AB53" s="672"/>
      <c r="AC53" s="673"/>
      <c r="AD53" s="671" t="e">
        <f>AD50</f>
        <v>#N/A</v>
      </c>
      <c r="AE53" s="672"/>
      <c r="AF53" s="672"/>
      <c r="AG53" s="673"/>
      <c r="AH53" s="671" t="e">
        <f>AH50</f>
        <v>#N/A</v>
      </c>
      <c r="AI53" s="672"/>
      <c r="AJ53" s="672"/>
      <c r="AK53" s="673"/>
      <c r="AL53" s="455"/>
    </row>
    <row r="54" spans="2:53" ht="12" thickBot="1" x14ac:dyDescent="0.25">
      <c r="B54" s="489"/>
      <c r="C54" s="521" t="s">
        <v>714</v>
      </c>
      <c r="D54" s="495"/>
      <c r="F54" s="674" t="e">
        <f>ROUND(F50*1/$D$50,4)</f>
        <v>#N/A</v>
      </c>
      <c r="G54" s="675"/>
      <c r="H54" s="675"/>
      <c r="I54" s="676"/>
      <c r="J54" s="674" t="e">
        <f>ROUND(J50*1/$D$50,4)</f>
        <v>#N/A</v>
      </c>
      <c r="K54" s="675"/>
      <c r="L54" s="675"/>
      <c r="M54" s="676"/>
      <c r="N54" s="674" t="e">
        <f>ROUND(N50*1/$D$50,4)</f>
        <v>#N/A</v>
      </c>
      <c r="O54" s="675"/>
      <c r="P54" s="675"/>
      <c r="Q54" s="676"/>
      <c r="R54" s="674" t="e">
        <f>ROUND(R50*1/$D$50,4)</f>
        <v>#N/A</v>
      </c>
      <c r="S54" s="675"/>
      <c r="T54" s="675"/>
      <c r="U54" s="676"/>
      <c r="V54" s="674" t="e">
        <f>ROUND(V50*1/$D$50,4)</f>
        <v>#N/A</v>
      </c>
      <c r="W54" s="675"/>
      <c r="X54" s="675"/>
      <c r="Y54" s="676"/>
      <c r="Z54" s="674" t="e">
        <f>ROUND(Z50*1/$D$50,4)</f>
        <v>#N/A</v>
      </c>
      <c r="AA54" s="675"/>
      <c r="AB54" s="675"/>
      <c r="AC54" s="676"/>
      <c r="AD54" s="674" t="e">
        <f>ROUND(AD50*1/$D$50,4)</f>
        <v>#N/A</v>
      </c>
      <c r="AE54" s="675"/>
      <c r="AF54" s="675"/>
      <c r="AG54" s="676"/>
      <c r="AH54" s="674" t="e">
        <f>ROUND(AH50*1/$D$50,4)-0.0001</f>
        <v>#N/A</v>
      </c>
      <c r="AI54" s="675"/>
      <c r="AJ54" s="675"/>
      <c r="AK54" s="676"/>
      <c r="AL54" s="455"/>
      <c r="AN54" s="498"/>
    </row>
    <row r="55" spans="2:53" ht="12" thickBot="1" x14ac:dyDescent="0.25">
      <c r="B55" s="494"/>
      <c r="C55" s="521" t="s">
        <v>1998</v>
      </c>
      <c r="D55" s="522" t="e">
        <f>D50</f>
        <v>#N/A</v>
      </c>
      <c r="F55" s="671">
        <f>F53</f>
        <v>9221.409999999998</v>
      </c>
      <c r="G55" s="672"/>
      <c r="H55" s="672"/>
      <c r="I55" s="673"/>
      <c r="J55" s="671">
        <f>J53+F55</f>
        <v>28361.769999999997</v>
      </c>
      <c r="K55" s="672"/>
      <c r="L55" s="672"/>
      <c r="M55" s="673"/>
      <c r="N55" s="671">
        <f>N53+J55</f>
        <v>50059.209999999992</v>
      </c>
      <c r="O55" s="672"/>
      <c r="P55" s="672"/>
      <c r="Q55" s="673"/>
      <c r="R55" s="671">
        <f>R53+N55</f>
        <v>68587.76999999999</v>
      </c>
      <c r="S55" s="672"/>
      <c r="T55" s="672"/>
      <c r="U55" s="673"/>
      <c r="V55" s="671" t="e">
        <f>V53+R55</f>
        <v>#N/A</v>
      </c>
      <c r="W55" s="672"/>
      <c r="X55" s="672"/>
      <c r="Y55" s="673"/>
      <c r="Z55" s="671" t="e">
        <f>Z53+V55</f>
        <v>#N/A</v>
      </c>
      <c r="AA55" s="672"/>
      <c r="AB55" s="672"/>
      <c r="AC55" s="673"/>
      <c r="AD55" s="671" t="e">
        <f>AD53+Z55</f>
        <v>#N/A</v>
      </c>
      <c r="AE55" s="672"/>
      <c r="AF55" s="672"/>
      <c r="AG55" s="673"/>
      <c r="AH55" s="671" t="e">
        <f>AH53+AD55</f>
        <v>#N/A</v>
      </c>
      <c r="AI55" s="672"/>
      <c r="AJ55" s="672"/>
      <c r="AK55" s="673"/>
      <c r="AL55" s="455"/>
    </row>
    <row r="56" spans="2:53" ht="12" thickBot="1" x14ac:dyDescent="0.25">
      <c r="B56" s="496"/>
      <c r="C56" s="523" t="s">
        <v>713</v>
      </c>
      <c r="D56" s="497"/>
      <c r="F56" s="674" t="e">
        <f>+F54</f>
        <v>#N/A</v>
      </c>
      <c r="G56" s="675"/>
      <c r="H56" s="675"/>
      <c r="I56" s="676"/>
      <c r="J56" s="674" t="e">
        <f>+F56+J54</f>
        <v>#N/A</v>
      </c>
      <c r="K56" s="675"/>
      <c r="L56" s="675"/>
      <c r="M56" s="676"/>
      <c r="N56" s="674" t="e">
        <f>+J56+N54</f>
        <v>#N/A</v>
      </c>
      <c r="O56" s="675"/>
      <c r="P56" s="675"/>
      <c r="Q56" s="676"/>
      <c r="R56" s="674" t="e">
        <f>+N56+R54</f>
        <v>#N/A</v>
      </c>
      <c r="S56" s="675"/>
      <c r="T56" s="675"/>
      <c r="U56" s="676"/>
      <c r="V56" s="674" t="e">
        <f>+R56+V54</f>
        <v>#N/A</v>
      </c>
      <c r="W56" s="675"/>
      <c r="X56" s="675"/>
      <c r="Y56" s="676"/>
      <c r="Z56" s="674" t="e">
        <f>+V56+Z54</f>
        <v>#N/A</v>
      </c>
      <c r="AA56" s="675"/>
      <c r="AB56" s="675"/>
      <c r="AC56" s="676"/>
      <c r="AD56" s="674" t="e">
        <f>+Z56+AD54</f>
        <v>#N/A</v>
      </c>
      <c r="AE56" s="675"/>
      <c r="AF56" s="675"/>
      <c r="AG56" s="676"/>
      <c r="AH56" s="674" t="e">
        <f>+AD56+AH54</f>
        <v>#N/A</v>
      </c>
      <c r="AI56" s="675"/>
      <c r="AJ56" s="675"/>
      <c r="AK56" s="676"/>
    </row>
    <row r="57" spans="2:53" x14ac:dyDescent="0.2">
      <c r="B57" s="496"/>
      <c r="D57" s="454"/>
    </row>
    <row r="58" spans="2:53" x14ac:dyDescent="0.2">
      <c r="B58" s="496"/>
      <c r="C58" s="455"/>
    </row>
    <row r="59" spans="2:53" x14ac:dyDescent="0.2">
      <c r="C59" s="524"/>
    </row>
    <row r="60" spans="2:53" ht="12" thickBot="1" x14ac:dyDescent="0.25">
      <c r="C60" s="524"/>
    </row>
    <row r="61" spans="2:53" ht="15.75" thickBot="1" x14ac:dyDescent="0.25">
      <c r="B61" s="695" t="s">
        <v>2203</v>
      </c>
      <c r="C61" s="696"/>
      <c r="D61" s="696"/>
      <c r="E61" s="696"/>
      <c r="F61" s="696"/>
      <c r="G61" s="696"/>
      <c r="H61" s="696"/>
      <c r="I61" s="696"/>
      <c r="J61" s="696"/>
      <c r="K61" s="696"/>
      <c r="L61" s="696"/>
      <c r="M61" s="696"/>
      <c r="N61" s="696"/>
      <c r="O61" s="696"/>
      <c r="P61" s="696"/>
      <c r="Q61" s="696"/>
      <c r="R61" s="696"/>
      <c r="S61" s="696"/>
      <c r="T61" s="696"/>
      <c r="U61" s="696"/>
      <c r="V61" s="696"/>
      <c r="W61" s="696"/>
      <c r="X61" s="696"/>
      <c r="Y61" s="696"/>
      <c r="Z61" s="696"/>
      <c r="AA61" s="696"/>
      <c r="AB61" s="696"/>
      <c r="AC61" s="696"/>
      <c r="AD61" s="696"/>
      <c r="AE61" s="696"/>
      <c r="AF61" s="696"/>
      <c r="AG61" s="696"/>
      <c r="AH61" s="696"/>
      <c r="AI61" s="696"/>
      <c r="AJ61" s="696"/>
      <c r="AK61" s="696"/>
      <c r="AL61" s="696"/>
      <c r="AM61" s="696"/>
      <c r="AN61" s="696"/>
      <c r="AO61" s="696"/>
      <c r="AP61" s="696"/>
      <c r="AQ61" s="696"/>
      <c r="AR61" s="696"/>
      <c r="AS61" s="696"/>
      <c r="AT61" s="696"/>
      <c r="AU61" s="696"/>
      <c r="AV61" s="696"/>
      <c r="AW61" s="696"/>
      <c r="AX61" s="696"/>
      <c r="AY61" s="696"/>
      <c r="AZ61" s="696"/>
      <c r="BA61" s="697"/>
    </row>
    <row r="62" spans="2:53" ht="12" thickBot="1" x14ac:dyDescent="0.25">
      <c r="B62" s="525"/>
      <c r="C62" s="526"/>
      <c r="D62" s="525"/>
      <c r="E62" s="525"/>
      <c r="F62" s="525"/>
      <c r="G62" s="525"/>
      <c r="H62" s="525"/>
      <c r="I62" s="525"/>
      <c r="J62" s="525"/>
      <c r="K62" s="525"/>
      <c r="L62" s="525"/>
      <c r="M62" s="525"/>
      <c r="N62" s="525"/>
      <c r="O62" s="525"/>
      <c r="P62" s="525"/>
      <c r="Q62" s="525"/>
      <c r="R62" s="525"/>
      <c r="S62" s="525"/>
      <c r="T62" s="525"/>
      <c r="U62" s="525"/>
      <c r="V62" s="525"/>
      <c r="W62" s="525"/>
      <c r="X62" s="525"/>
      <c r="Y62" s="525"/>
      <c r="Z62" s="525"/>
      <c r="AA62" s="525"/>
      <c r="AB62" s="525"/>
      <c r="AC62" s="525"/>
      <c r="AD62" s="527"/>
      <c r="AE62" s="525"/>
      <c r="AF62" s="525"/>
      <c r="AG62" s="525"/>
      <c r="AH62" s="525"/>
      <c r="AI62" s="525"/>
      <c r="AJ62" s="525"/>
      <c r="AK62" s="525"/>
      <c r="AL62" s="525"/>
      <c r="AM62" s="525"/>
      <c r="AN62" s="525"/>
      <c r="AO62" s="525"/>
      <c r="AP62" s="525"/>
      <c r="AQ62" s="525"/>
      <c r="AR62" s="525"/>
      <c r="AS62" s="525"/>
      <c r="AT62" s="525"/>
      <c r="AU62" s="525"/>
      <c r="AV62" s="525"/>
      <c r="AW62" s="525"/>
      <c r="AX62" s="525"/>
      <c r="AY62" s="525"/>
      <c r="AZ62" s="525"/>
      <c r="BA62" s="525"/>
    </row>
    <row r="63" spans="2:53" ht="12" thickBot="1" x14ac:dyDescent="0.25">
      <c r="B63" s="698" t="s">
        <v>2204</v>
      </c>
      <c r="C63" s="699"/>
      <c r="D63" s="700"/>
      <c r="E63" s="701" t="s">
        <v>2205</v>
      </c>
      <c r="F63" s="702"/>
      <c r="G63" s="702"/>
      <c r="H63" s="702"/>
      <c r="I63" s="702"/>
      <c r="J63" s="702"/>
      <c r="K63" s="702"/>
      <c r="L63" s="702"/>
      <c r="M63" s="702"/>
      <c r="N63" s="702"/>
      <c r="O63" s="702"/>
      <c r="P63" s="702"/>
      <c r="Q63" s="702"/>
      <c r="R63" s="702"/>
      <c r="S63" s="702"/>
      <c r="T63" s="702"/>
      <c r="U63" s="702"/>
      <c r="V63" s="702"/>
      <c r="W63" s="702"/>
      <c r="X63" s="702"/>
      <c r="Y63" s="702"/>
      <c r="Z63" s="702"/>
      <c r="AA63" s="702"/>
      <c r="AB63" s="703"/>
      <c r="AC63" s="701" t="s">
        <v>2205</v>
      </c>
      <c r="AD63" s="702"/>
      <c r="AE63" s="702"/>
      <c r="AF63" s="702"/>
      <c r="AG63" s="702"/>
      <c r="AH63" s="702"/>
      <c r="AI63" s="702"/>
      <c r="AJ63" s="702"/>
      <c r="AK63" s="702"/>
      <c r="AL63" s="702"/>
      <c r="AM63" s="702"/>
      <c r="AN63" s="702"/>
      <c r="AO63" s="702"/>
      <c r="AP63" s="702"/>
      <c r="AQ63" s="702"/>
      <c r="AR63" s="702"/>
      <c r="AS63" s="702"/>
      <c r="AT63" s="702"/>
      <c r="AU63" s="702"/>
      <c r="AV63" s="702"/>
      <c r="AW63" s="702"/>
      <c r="AX63" s="702"/>
      <c r="AY63" s="702"/>
      <c r="AZ63" s="702"/>
      <c r="BA63" s="528" t="s">
        <v>2206</v>
      </c>
    </row>
    <row r="64" spans="2:53" ht="12" thickBot="1" x14ac:dyDescent="0.25">
      <c r="B64" s="529" t="s">
        <v>2207</v>
      </c>
      <c r="C64" s="530" t="s">
        <v>2208</v>
      </c>
      <c r="D64" s="531" t="s">
        <v>2209</v>
      </c>
      <c r="E64" s="572">
        <v>1</v>
      </c>
      <c r="F64" s="573">
        <v>2</v>
      </c>
      <c r="G64" s="572">
        <v>3</v>
      </c>
      <c r="H64" s="573">
        <v>4</v>
      </c>
      <c r="I64" s="572">
        <v>5</v>
      </c>
      <c r="J64" s="573">
        <v>6</v>
      </c>
      <c r="K64" s="572">
        <v>7</v>
      </c>
      <c r="L64" s="573">
        <v>8</v>
      </c>
      <c r="M64" s="572">
        <v>9</v>
      </c>
      <c r="N64" s="573">
        <v>10</v>
      </c>
      <c r="O64" s="572">
        <v>11</v>
      </c>
      <c r="P64" s="573">
        <v>12</v>
      </c>
      <c r="Q64" s="572">
        <v>13</v>
      </c>
      <c r="R64" s="573">
        <v>14</v>
      </c>
      <c r="S64" s="572">
        <v>15</v>
      </c>
      <c r="T64" s="573">
        <v>16</v>
      </c>
      <c r="U64" s="572">
        <v>17</v>
      </c>
      <c r="V64" s="573">
        <v>18</v>
      </c>
      <c r="W64" s="572">
        <v>19</v>
      </c>
      <c r="X64" s="573">
        <v>20</v>
      </c>
      <c r="Y64" s="572">
        <v>21</v>
      </c>
      <c r="Z64" s="573">
        <v>22</v>
      </c>
      <c r="AA64" s="572">
        <v>23</v>
      </c>
      <c r="AB64" s="573">
        <v>24</v>
      </c>
      <c r="AC64" s="572">
        <v>25</v>
      </c>
      <c r="AD64" s="573">
        <v>26</v>
      </c>
      <c r="AE64" s="572">
        <v>27</v>
      </c>
      <c r="AF64" s="573">
        <v>28</v>
      </c>
      <c r="AG64" s="572">
        <v>29</v>
      </c>
      <c r="AH64" s="573">
        <v>30</v>
      </c>
      <c r="AI64" s="572">
        <v>31</v>
      </c>
      <c r="AJ64" s="573">
        <v>32</v>
      </c>
      <c r="AK64" s="572">
        <v>33</v>
      </c>
      <c r="AL64" s="573">
        <v>34</v>
      </c>
      <c r="AM64" s="572">
        <v>35</v>
      </c>
      <c r="AN64" s="573">
        <v>36</v>
      </c>
      <c r="AO64" s="572">
        <v>37</v>
      </c>
      <c r="AP64" s="573">
        <v>38</v>
      </c>
      <c r="AQ64" s="572">
        <v>39</v>
      </c>
      <c r="AR64" s="573">
        <v>40</v>
      </c>
      <c r="AS64" s="572">
        <v>41</v>
      </c>
      <c r="AT64" s="573">
        <v>42</v>
      </c>
      <c r="AU64" s="572">
        <v>43</v>
      </c>
      <c r="AV64" s="573">
        <v>44</v>
      </c>
      <c r="AW64" s="572">
        <v>45</v>
      </c>
      <c r="AX64" s="573">
        <v>46</v>
      </c>
      <c r="AY64" s="572">
        <v>47</v>
      </c>
      <c r="AZ64" s="574">
        <v>48</v>
      </c>
      <c r="BA64" s="575"/>
    </row>
    <row r="65" spans="2:53" ht="12" thickBot="1" x14ac:dyDescent="0.25">
      <c r="B65" s="532">
        <v>1</v>
      </c>
      <c r="C65" s="533" t="str">
        <f>+PRESUPUESTO!B9</f>
        <v>OBRA GRIS</v>
      </c>
      <c r="D65" s="534">
        <f>+PRESUPUESTO!G9</f>
        <v>81220.849999999991</v>
      </c>
      <c r="E65" s="576">
        <v>0.2</v>
      </c>
      <c r="F65" s="577">
        <v>0.2</v>
      </c>
      <c r="G65" s="578"/>
      <c r="H65" s="579">
        <v>0.2</v>
      </c>
      <c r="I65" s="576"/>
      <c r="J65" s="577">
        <v>0.2</v>
      </c>
      <c r="K65" s="578"/>
      <c r="L65" s="580"/>
      <c r="M65" s="581">
        <v>0.2</v>
      </c>
      <c r="N65" s="578"/>
      <c r="O65" s="578"/>
      <c r="P65" s="580"/>
      <c r="Q65" s="582"/>
      <c r="R65" s="578"/>
      <c r="S65" s="578"/>
      <c r="T65" s="580"/>
      <c r="U65" s="582"/>
      <c r="V65" s="578"/>
      <c r="W65" s="578"/>
      <c r="X65" s="580"/>
      <c r="Y65" s="582"/>
      <c r="Z65" s="578"/>
      <c r="AA65" s="578"/>
      <c r="AB65" s="580"/>
      <c r="AC65" s="576"/>
      <c r="AD65" s="577"/>
      <c r="AE65" s="578"/>
      <c r="AF65" s="583"/>
      <c r="AG65" s="576"/>
      <c r="AH65" s="577"/>
      <c r="AI65" s="578"/>
      <c r="AJ65" s="580"/>
      <c r="AK65" s="584"/>
      <c r="AL65" s="578"/>
      <c r="AM65" s="578"/>
      <c r="AN65" s="580"/>
      <c r="AO65" s="582"/>
      <c r="AP65" s="578"/>
      <c r="AQ65" s="578"/>
      <c r="AR65" s="580"/>
      <c r="AS65" s="582"/>
      <c r="AT65" s="578"/>
      <c r="AU65" s="578"/>
      <c r="AV65" s="580"/>
      <c r="AW65" s="582"/>
      <c r="AX65" s="578"/>
      <c r="AY65" s="578"/>
      <c r="AZ65" s="583"/>
      <c r="BA65" s="585">
        <f>SUM(E65:AZ65)</f>
        <v>1</v>
      </c>
    </row>
    <row r="66" spans="2:53" ht="12" thickBot="1" x14ac:dyDescent="0.25">
      <c r="B66" s="535">
        <v>2</v>
      </c>
      <c r="C66" s="533">
        <f>+PRESUPUESTO!B10</f>
        <v>0</v>
      </c>
      <c r="D66" s="534">
        <f>+PRESUPUESTO!G10</f>
        <v>0</v>
      </c>
      <c r="E66" s="586"/>
      <c r="F66" s="587"/>
      <c r="G66" s="588">
        <v>0.06</v>
      </c>
      <c r="H66" s="589">
        <v>0.02</v>
      </c>
      <c r="I66" s="590">
        <v>0.06</v>
      </c>
      <c r="J66" s="587">
        <v>0.02</v>
      </c>
      <c r="K66" s="588">
        <v>0.06</v>
      </c>
      <c r="L66" s="591">
        <v>0.11</v>
      </c>
      <c r="M66" s="592"/>
      <c r="N66" s="587"/>
      <c r="O66" s="587"/>
      <c r="P66" s="588">
        <v>0.13</v>
      </c>
      <c r="Q66" s="593"/>
      <c r="R66" s="594"/>
      <c r="S66" s="594"/>
      <c r="T66" s="588">
        <v>0.13</v>
      </c>
      <c r="U66" s="586"/>
      <c r="V66" s="587"/>
      <c r="W66" s="587"/>
      <c r="X66" s="588">
        <v>0.13</v>
      </c>
      <c r="Y66" s="593"/>
      <c r="Z66" s="594"/>
      <c r="AA66" s="594"/>
      <c r="AB66" s="588">
        <v>0.13</v>
      </c>
      <c r="AC66" s="586"/>
      <c r="AD66" s="587"/>
      <c r="AE66" s="588"/>
      <c r="AF66" s="589">
        <v>0.13</v>
      </c>
      <c r="AG66" s="586"/>
      <c r="AH66" s="587"/>
      <c r="AI66" s="588"/>
      <c r="AJ66" s="591"/>
      <c r="AK66" s="592"/>
      <c r="AL66" s="587"/>
      <c r="AM66" s="587"/>
      <c r="AN66" s="595"/>
      <c r="AO66" s="593"/>
      <c r="AP66" s="594"/>
      <c r="AQ66" s="594"/>
      <c r="AR66" s="596"/>
      <c r="AS66" s="586"/>
      <c r="AT66" s="587"/>
      <c r="AU66" s="587"/>
      <c r="AV66" s="588">
        <v>0.02</v>
      </c>
      <c r="AW66" s="593"/>
      <c r="AX66" s="594"/>
      <c r="AY66" s="594"/>
      <c r="AZ66" s="597"/>
      <c r="BA66" s="585">
        <f t="shared" ref="BA66:BA78" si="20">SUM(E66:AZ66)</f>
        <v>1</v>
      </c>
    </row>
    <row r="67" spans="2:53" ht="12" thickBot="1" x14ac:dyDescent="0.25">
      <c r="B67" s="535">
        <v>3</v>
      </c>
      <c r="C67" s="533" t="str">
        <f>+PRESUPUESTO!B11</f>
        <v>INSTALACIONES PROVISIONALES</v>
      </c>
      <c r="D67" s="534">
        <f>+PRESUPUESTO!G11</f>
        <v>1405.35</v>
      </c>
      <c r="E67" s="586"/>
      <c r="F67" s="587"/>
      <c r="G67" s="587"/>
      <c r="H67" s="595"/>
      <c r="I67" s="586"/>
      <c r="J67" s="587"/>
      <c r="K67" s="587"/>
      <c r="L67" s="598"/>
      <c r="M67" s="592"/>
      <c r="N67" s="587"/>
      <c r="O67" s="587"/>
      <c r="P67" s="595"/>
      <c r="Q67" s="586">
        <v>0.2</v>
      </c>
      <c r="R67" s="587"/>
      <c r="S67" s="587"/>
      <c r="T67" s="595"/>
      <c r="U67" s="586">
        <v>0.2</v>
      </c>
      <c r="V67" s="587"/>
      <c r="W67" s="587"/>
      <c r="X67" s="598"/>
      <c r="Y67" s="586">
        <v>0.2</v>
      </c>
      <c r="Z67" s="587"/>
      <c r="AA67" s="587"/>
      <c r="AB67" s="595"/>
      <c r="AC67" s="586">
        <v>0.2</v>
      </c>
      <c r="AD67" s="587"/>
      <c r="AE67" s="587"/>
      <c r="AF67" s="595"/>
      <c r="AG67" s="586">
        <v>0.1</v>
      </c>
      <c r="AH67" s="587"/>
      <c r="AI67" s="587"/>
      <c r="AJ67" s="598"/>
      <c r="AK67" s="592">
        <v>0.1</v>
      </c>
      <c r="AL67" s="587"/>
      <c r="AM67" s="587"/>
      <c r="AN67" s="595"/>
      <c r="AO67" s="586"/>
      <c r="AP67" s="587"/>
      <c r="AQ67" s="587"/>
      <c r="AR67" s="598"/>
      <c r="AS67" s="586"/>
      <c r="AT67" s="587"/>
      <c r="AU67" s="587"/>
      <c r="AV67" s="595"/>
      <c r="AW67" s="586"/>
      <c r="AX67" s="587"/>
      <c r="AY67" s="587"/>
      <c r="AZ67" s="595"/>
      <c r="BA67" s="585">
        <f t="shared" si="20"/>
        <v>1</v>
      </c>
    </row>
    <row r="68" spans="2:53" ht="12" thickBot="1" x14ac:dyDescent="0.25">
      <c r="B68" s="535">
        <v>4</v>
      </c>
      <c r="C68" s="533" t="str">
        <f>+PRESUPUESTO!B12</f>
        <v>Caseta de oficina, bodega y guardiania</v>
      </c>
      <c r="D68" s="534">
        <f>+PRESUPUESTO!G12</f>
        <v>0</v>
      </c>
      <c r="E68" s="586"/>
      <c r="F68" s="587"/>
      <c r="G68" s="587"/>
      <c r="H68" s="595"/>
      <c r="I68" s="586"/>
      <c r="J68" s="587"/>
      <c r="K68" s="587"/>
      <c r="L68" s="598"/>
      <c r="M68" s="592"/>
      <c r="N68" s="587"/>
      <c r="O68" s="587"/>
      <c r="P68" s="595"/>
      <c r="Q68" s="586"/>
      <c r="R68" s="587"/>
      <c r="S68" s="587"/>
      <c r="T68" s="595"/>
      <c r="U68" s="586"/>
      <c r="V68" s="587"/>
      <c r="W68" s="587"/>
      <c r="X68" s="598"/>
      <c r="Y68" s="586"/>
      <c r="Z68" s="587"/>
      <c r="AA68" s="587"/>
      <c r="AB68" s="595"/>
      <c r="AC68" s="586"/>
      <c r="AD68" s="587"/>
      <c r="AE68" s="587">
        <v>0.15</v>
      </c>
      <c r="AF68" s="595">
        <v>0.15</v>
      </c>
      <c r="AG68" s="586">
        <v>0.15</v>
      </c>
      <c r="AH68" s="587">
        <v>0.15</v>
      </c>
      <c r="AI68" s="587">
        <v>0.15</v>
      </c>
      <c r="AJ68" s="598">
        <v>0.1</v>
      </c>
      <c r="AK68" s="592"/>
      <c r="AL68" s="587">
        <v>0.1</v>
      </c>
      <c r="AM68" s="587"/>
      <c r="AN68" s="595">
        <v>0.05</v>
      </c>
      <c r="AO68" s="586"/>
      <c r="AP68" s="587"/>
      <c r="AQ68" s="587"/>
      <c r="AR68" s="598"/>
      <c r="AS68" s="586"/>
      <c r="AT68" s="587"/>
      <c r="AU68" s="587"/>
      <c r="AV68" s="595"/>
      <c r="AW68" s="586"/>
      <c r="AX68" s="587"/>
      <c r="AY68" s="587"/>
      <c r="AZ68" s="595"/>
      <c r="BA68" s="585">
        <f t="shared" si="20"/>
        <v>1</v>
      </c>
    </row>
    <row r="69" spans="2:53" ht="12" thickBot="1" x14ac:dyDescent="0.25">
      <c r="B69" s="535">
        <v>5</v>
      </c>
      <c r="C69" s="533" t="str">
        <f>+PRESUPUESTO!B13</f>
        <v>Instalación eléctrica provisional</v>
      </c>
      <c r="D69" s="534">
        <f>+PRESUPUESTO!G13</f>
        <v>0</v>
      </c>
      <c r="E69" s="586">
        <v>0.2</v>
      </c>
      <c r="F69" s="587"/>
      <c r="G69" s="587"/>
      <c r="H69" s="595"/>
      <c r="I69" s="590"/>
      <c r="J69" s="587"/>
      <c r="K69" s="587"/>
      <c r="L69" s="598"/>
      <c r="M69" s="592"/>
      <c r="N69" s="587"/>
      <c r="O69" s="587"/>
      <c r="P69" s="595"/>
      <c r="Q69" s="586"/>
      <c r="R69" s="587"/>
      <c r="S69" s="587"/>
      <c r="T69" s="598"/>
      <c r="U69" s="586"/>
      <c r="V69" s="587"/>
      <c r="W69" s="587"/>
      <c r="X69" s="595"/>
      <c r="Y69" s="586"/>
      <c r="Z69" s="587"/>
      <c r="AA69" s="587"/>
      <c r="AB69" s="598"/>
      <c r="AC69" s="586"/>
      <c r="AD69" s="587"/>
      <c r="AE69" s="587"/>
      <c r="AF69" s="595"/>
      <c r="AG69" s="586"/>
      <c r="AH69" s="587"/>
      <c r="AI69" s="587">
        <v>0.15</v>
      </c>
      <c r="AJ69" s="598"/>
      <c r="AK69" s="592">
        <v>0.15</v>
      </c>
      <c r="AL69" s="587"/>
      <c r="AM69" s="587">
        <v>0.15</v>
      </c>
      <c r="AN69" s="595"/>
      <c r="AO69" s="586">
        <v>0.15</v>
      </c>
      <c r="AP69" s="587"/>
      <c r="AQ69" s="587">
        <v>0.1</v>
      </c>
      <c r="AR69" s="598"/>
      <c r="AS69" s="586">
        <v>0.1</v>
      </c>
      <c r="AT69" s="587"/>
      <c r="AU69" s="587"/>
      <c r="AV69" s="595"/>
      <c r="AW69" s="586"/>
      <c r="AX69" s="587"/>
      <c r="AY69" s="587"/>
      <c r="AZ69" s="595"/>
      <c r="BA69" s="585">
        <f t="shared" si="20"/>
        <v>1</v>
      </c>
    </row>
    <row r="70" spans="2:53" ht="12" thickBot="1" x14ac:dyDescent="0.25">
      <c r="B70" s="535">
        <v>6</v>
      </c>
      <c r="C70" s="533" t="str">
        <f>+PRESUPUESTO!B14</f>
        <v>Instalación AAPP provisional</v>
      </c>
      <c r="D70" s="534">
        <f>+PRESUPUESTO!G14</f>
        <v>0</v>
      </c>
      <c r="E70" s="586"/>
      <c r="F70" s="587"/>
      <c r="G70" s="587"/>
      <c r="H70" s="595"/>
      <c r="I70" s="586"/>
      <c r="J70" s="587"/>
      <c r="K70" s="587"/>
      <c r="L70" s="598"/>
      <c r="M70" s="592"/>
      <c r="N70" s="587"/>
      <c r="O70" s="587"/>
      <c r="P70" s="595"/>
      <c r="Q70" s="586"/>
      <c r="R70" s="587"/>
      <c r="S70" s="587"/>
      <c r="T70" s="598"/>
      <c r="U70" s="586"/>
      <c r="V70" s="587"/>
      <c r="W70" s="587"/>
      <c r="X70" s="595"/>
      <c r="Y70" s="586"/>
      <c r="Z70" s="587"/>
      <c r="AA70" s="587"/>
      <c r="AB70" s="598"/>
      <c r="AC70" s="586"/>
      <c r="AD70" s="587"/>
      <c r="AE70" s="587"/>
      <c r="AF70" s="595"/>
      <c r="AG70" s="586"/>
      <c r="AH70" s="587"/>
      <c r="AI70" s="587"/>
      <c r="AJ70" s="598">
        <v>0.05</v>
      </c>
      <c r="AK70" s="592"/>
      <c r="AL70" s="587"/>
      <c r="AM70" s="587"/>
      <c r="AN70" s="595"/>
      <c r="AO70" s="586"/>
      <c r="AP70" s="587"/>
      <c r="AQ70" s="587"/>
      <c r="AR70" s="598">
        <v>0.2</v>
      </c>
      <c r="AS70" s="586"/>
      <c r="AT70" s="587">
        <v>0.2</v>
      </c>
      <c r="AU70" s="587">
        <v>0.2</v>
      </c>
      <c r="AV70" s="595"/>
      <c r="AW70" s="586">
        <v>0.2</v>
      </c>
      <c r="AX70" s="587">
        <v>0.15</v>
      </c>
      <c r="AY70" s="587"/>
      <c r="AZ70" s="595"/>
      <c r="BA70" s="585">
        <f t="shared" si="20"/>
        <v>1</v>
      </c>
    </row>
    <row r="71" spans="2:53" ht="12" thickBot="1" x14ac:dyDescent="0.25">
      <c r="B71" s="535">
        <v>7</v>
      </c>
      <c r="C71" s="533" t="str">
        <f>+PRESUPUESTO!B15</f>
        <v>Cerramiento de Obra</v>
      </c>
      <c r="D71" s="534">
        <f>+PRESUPUESTO!G15</f>
        <v>0</v>
      </c>
      <c r="E71" s="586">
        <v>0.2</v>
      </c>
      <c r="F71" s="587"/>
      <c r="G71" s="587"/>
      <c r="H71" s="595"/>
      <c r="I71" s="586"/>
      <c r="J71" s="587"/>
      <c r="K71" s="587"/>
      <c r="L71" s="598"/>
      <c r="M71" s="592"/>
      <c r="N71" s="587"/>
      <c r="O71" s="587"/>
      <c r="P71" s="595"/>
      <c r="Q71" s="586"/>
      <c r="R71" s="587"/>
      <c r="S71" s="587"/>
      <c r="T71" s="598"/>
      <c r="U71" s="586"/>
      <c r="V71" s="587"/>
      <c r="W71" s="587"/>
      <c r="X71" s="595"/>
      <c r="Y71" s="586"/>
      <c r="Z71" s="587"/>
      <c r="AA71" s="587"/>
      <c r="AB71" s="598"/>
      <c r="AC71" s="586"/>
      <c r="AD71" s="587"/>
      <c r="AE71" s="587"/>
      <c r="AF71" s="595"/>
      <c r="AG71" s="586"/>
      <c r="AH71" s="587">
        <v>0.12</v>
      </c>
      <c r="AI71" s="587"/>
      <c r="AJ71" s="598">
        <v>0.12</v>
      </c>
      <c r="AK71" s="592"/>
      <c r="AL71" s="587">
        <v>0.12</v>
      </c>
      <c r="AM71" s="587"/>
      <c r="AN71" s="587">
        <v>0.12</v>
      </c>
      <c r="AO71" s="586"/>
      <c r="AP71" s="587">
        <v>0.12</v>
      </c>
      <c r="AQ71" s="587"/>
      <c r="AR71" s="587">
        <v>0.12</v>
      </c>
      <c r="AS71" s="586"/>
      <c r="AT71" s="587"/>
      <c r="AU71" s="587"/>
      <c r="AV71" s="595">
        <v>0.06</v>
      </c>
      <c r="AW71" s="586"/>
      <c r="AX71" s="587">
        <v>0.02</v>
      </c>
      <c r="AY71" s="587"/>
      <c r="AZ71" s="595"/>
      <c r="BA71" s="585">
        <f t="shared" si="20"/>
        <v>1</v>
      </c>
    </row>
    <row r="72" spans="2:53" ht="12" thickBot="1" x14ac:dyDescent="0.25">
      <c r="B72" s="535">
        <v>8</v>
      </c>
      <c r="C72" s="533" t="str">
        <f>+PRESUPUESTO!B16</f>
        <v>MANTENIMIENTO DE OBRA</v>
      </c>
      <c r="D72" s="534">
        <f>+PRESUPUESTO!G16</f>
        <v>2992.64</v>
      </c>
      <c r="E72" s="586"/>
      <c r="F72" s="587"/>
      <c r="G72" s="587"/>
      <c r="H72" s="595"/>
      <c r="I72" s="586"/>
      <c r="J72" s="587"/>
      <c r="K72" s="587"/>
      <c r="L72" s="598"/>
      <c r="M72" s="592"/>
      <c r="N72" s="587"/>
      <c r="O72" s="587"/>
      <c r="P72" s="595"/>
      <c r="Q72" s="586"/>
      <c r="R72" s="587">
        <v>0.2</v>
      </c>
      <c r="S72" s="587">
        <v>0.2</v>
      </c>
      <c r="T72" s="598"/>
      <c r="U72" s="586"/>
      <c r="V72" s="587"/>
      <c r="W72" s="587"/>
      <c r="X72" s="595"/>
      <c r="Y72" s="586"/>
      <c r="Z72" s="587"/>
      <c r="AA72" s="587"/>
      <c r="AB72" s="598"/>
      <c r="AC72" s="586"/>
      <c r="AD72" s="587"/>
      <c r="AE72" s="587">
        <v>0.1</v>
      </c>
      <c r="AF72" s="595"/>
      <c r="AG72" s="586">
        <v>0.3</v>
      </c>
      <c r="AH72" s="587"/>
      <c r="AI72" s="587"/>
      <c r="AJ72" s="598"/>
      <c r="AK72" s="592">
        <v>0.1</v>
      </c>
      <c r="AL72" s="587"/>
      <c r="AM72" s="587"/>
      <c r="AN72" s="595"/>
      <c r="AO72" s="586">
        <v>0.1</v>
      </c>
      <c r="AP72" s="587"/>
      <c r="AQ72" s="587"/>
      <c r="AR72" s="598"/>
      <c r="AS72" s="586"/>
      <c r="AT72" s="587"/>
      <c r="AU72" s="587"/>
      <c r="AV72" s="595"/>
      <c r="AW72" s="586"/>
      <c r="AX72" s="587"/>
      <c r="AY72" s="587"/>
      <c r="AZ72" s="595"/>
      <c r="BA72" s="585">
        <f t="shared" si="20"/>
        <v>1</v>
      </c>
    </row>
    <row r="73" spans="2:53" ht="12" thickBot="1" x14ac:dyDescent="0.25">
      <c r="B73" s="535">
        <v>9</v>
      </c>
      <c r="C73" s="533" t="str">
        <f>+PRESUPUESTO!B17</f>
        <v>Limpieza general de la obra</v>
      </c>
      <c r="D73" s="534">
        <f>+PRESUPUESTO!G17</f>
        <v>0</v>
      </c>
      <c r="E73" s="586"/>
      <c r="F73" s="587"/>
      <c r="G73" s="587">
        <v>0.16</v>
      </c>
      <c r="H73" s="595"/>
      <c r="I73" s="586"/>
      <c r="J73" s="587"/>
      <c r="K73" s="587"/>
      <c r="L73" s="598"/>
      <c r="M73" s="592"/>
      <c r="N73" s="587"/>
      <c r="O73" s="587"/>
      <c r="P73" s="595"/>
      <c r="Q73" s="586"/>
      <c r="R73" s="587"/>
      <c r="S73" s="587"/>
      <c r="T73" s="598"/>
      <c r="U73" s="586"/>
      <c r="V73" s="587"/>
      <c r="W73" s="587"/>
      <c r="X73" s="595"/>
      <c r="Y73" s="586"/>
      <c r="Z73" s="587"/>
      <c r="AA73" s="587"/>
      <c r="AB73" s="598"/>
      <c r="AC73" s="586"/>
      <c r="AD73" s="587"/>
      <c r="AE73" s="587"/>
      <c r="AF73" s="595"/>
      <c r="AG73" s="586"/>
      <c r="AH73" s="587"/>
      <c r="AI73" s="587"/>
      <c r="AJ73" s="598"/>
      <c r="AK73" s="592"/>
      <c r="AL73" s="587"/>
      <c r="AM73" s="587"/>
      <c r="AN73" s="595"/>
      <c r="AO73" s="586">
        <v>0.12</v>
      </c>
      <c r="AP73" s="587">
        <v>0.12</v>
      </c>
      <c r="AQ73" s="587">
        <v>0.12</v>
      </c>
      <c r="AR73" s="598">
        <v>0.12</v>
      </c>
      <c r="AS73" s="586">
        <v>0.12</v>
      </c>
      <c r="AT73" s="587">
        <v>0.12</v>
      </c>
      <c r="AU73" s="587">
        <v>0.12</v>
      </c>
      <c r="AV73" s="595"/>
      <c r="AW73" s="586"/>
      <c r="AX73" s="587"/>
      <c r="AY73" s="587"/>
      <c r="AZ73" s="595"/>
      <c r="BA73" s="585">
        <f t="shared" si="20"/>
        <v>1</v>
      </c>
    </row>
    <row r="74" spans="2:53" ht="12" thickBot="1" x14ac:dyDescent="0.25">
      <c r="B74" s="535">
        <v>10</v>
      </c>
      <c r="C74" s="533" t="str">
        <f>+PRESUPUESTO!B18</f>
        <v>Desalojo de limpieza</v>
      </c>
      <c r="D74" s="534">
        <f>+PRESUPUESTO!G18</f>
        <v>0</v>
      </c>
      <c r="E74" s="586"/>
      <c r="F74" s="587"/>
      <c r="G74" s="587"/>
      <c r="H74" s="595"/>
      <c r="I74" s="586"/>
      <c r="J74" s="587"/>
      <c r="K74" s="587"/>
      <c r="L74" s="598"/>
      <c r="M74" s="592"/>
      <c r="N74" s="587"/>
      <c r="O74" s="587"/>
      <c r="P74" s="595"/>
      <c r="Q74" s="586"/>
      <c r="R74" s="587"/>
      <c r="S74" s="587"/>
      <c r="T74" s="598"/>
      <c r="U74" s="586"/>
      <c r="V74" s="587"/>
      <c r="W74" s="587"/>
      <c r="X74" s="595"/>
      <c r="Y74" s="586"/>
      <c r="Z74" s="587"/>
      <c r="AA74" s="587"/>
      <c r="AB74" s="598"/>
      <c r="AC74" s="586"/>
      <c r="AD74" s="587"/>
      <c r="AE74" s="587"/>
      <c r="AF74" s="595"/>
      <c r="AG74" s="586"/>
      <c r="AH74" s="587"/>
      <c r="AI74" s="587"/>
      <c r="AJ74" s="598"/>
      <c r="AK74" s="592"/>
      <c r="AL74" s="587"/>
      <c r="AM74" s="587"/>
      <c r="AN74" s="595"/>
      <c r="AO74" s="586"/>
      <c r="AP74" s="587"/>
      <c r="AQ74" s="587"/>
      <c r="AR74" s="598"/>
      <c r="AS74" s="586">
        <v>0.04</v>
      </c>
      <c r="AT74" s="587">
        <v>0.03</v>
      </c>
      <c r="AU74" s="587">
        <v>0.02</v>
      </c>
      <c r="AV74" s="595">
        <v>0.18</v>
      </c>
      <c r="AW74" s="586">
        <v>0.18</v>
      </c>
      <c r="AX74" s="587">
        <v>0.3</v>
      </c>
      <c r="AY74" s="587">
        <v>0.25</v>
      </c>
      <c r="AZ74" s="595"/>
      <c r="BA74" s="585">
        <f t="shared" si="20"/>
        <v>1</v>
      </c>
    </row>
    <row r="75" spans="2:53" ht="12" thickBot="1" x14ac:dyDescent="0.25">
      <c r="B75" s="535">
        <v>11</v>
      </c>
      <c r="C75" s="533">
        <f>+PRESUPUESTO!B19</f>
        <v>0</v>
      </c>
      <c r="D75" s="534">
        <f>+PRESUPUESTO!G19</f>
        <v>0</v>
      </c>
      <c r="E75" s="586"/>
      <c r="F75" s="587"/>
      <c r="G75" s="587">
        <v>0.15</v>
      </c>
      <c r="H75" s="595"/>
      <c r="I75" s="586"/>
      <c r="J75" s="587"/>
      <c r="K75" s="587"/>
      <c r="L75" s="598"/>
      <c r="M75" s="592"/>
      <c r="N75" s="587"/>
      <c r="O75" s="587"/>
      <c r="P75" s="595"/>
      <c r="Q75" s="586"/>
      <c r="R75" s="587"/>
      <c r="S75" s="587"/>
      <c r="T75" s="598"/>
      <c r="U75" s="586"/>
      <c r="V75" s="587"/>
      <c r="W75" s="587"/>
      <c r="X75" s="595"/>
      <c r="Y75" s="586"/>
      <c r="Z75" s="587"/>
      <c r="AA75" s="587"/>
      <c r="AB75" s="598"/>
      <c r="AC75" s="586"/>
      <c r="AD75" s="587"/>
      <c r="AE75" s="587"/>
      <c r="AF75" s="595"/>
      <c r="AG75" s="586"/>
      <c r="AH75" s="587"/>
      <c r="AI75" s="587"/>
      <c r="AJ75" s="598"/>
      <c r="AK75" s="592"/>
      <c r="AL75" s="587"/>
      <c r="AM75" s="587"/>
      <c r="AN75" s="595"/>
      <c r="AO75" s="586">
        <v>0.2</v>
      </c>
      <c r="AP75" s="587">
        <v>0.2</v>
      </c>
      <c r="AQ75" s="587">
        <v>0.2</v>
      </c>
      <c r="AR75" s="598"/>
      <c r="AS75" s="586"/>
      <c r="AT75" s="587"/>
      <c r="AU75" s="587"/>
      <c r="AV75" s="595"/>
      <c r="AW75" s="586">
        <v>0.2</v>
      </c>
      <c r="AX75" s="587">
        <v>0.05</v>
      </c>
      <c r="AY75" s="587"/>
      <c r="AZ75" s="595"/>
      <c r="BA75" s="585">
        <f t="shared" si="20"/>
        <v>1</v>
      </c>
    </row>
    <row r="76" spans="2:53" ht="12" thickBot="1" x14ac:dyDescent="0.25">
      <c r="B76" s="535">
        <v>12</v>
      </c>
      <c r="C76" s="533" t="str">
        <f>+PRESUPUESTO!B20</f>
        <v>PREPARACION DEL TERRENO</v>
      </c>
      <c r="D76" s="534">
        <f>+PRESUPUESTO!G20</f>
        <v>523.08000000000004</v>
      </c>
      <c r="E76" s="586"/>
      <c r="F76" s="587"/>
      <c r="G76" s="587">
        <v>0.15</v>
      </c>
      <c r="H76" s="595"/>
      <c r="I76" s="586">
        <v>0.09</v>
      </c>
      <c r="J76" s="587"/>
      <c r="K76" s="587">
        <v>0.09</v>
      </c>
      <c r="L76" s="598">
        <v>0.18</v>
      </c>
      <c r="M76" s="592"/>
      <c r="N76" s="587"/>
      <c r="O76" s="587"/>
      <c r="P76" s="595">
        <v>0.09</v>
      </c>
      <c r="Q76" s="586"/>
      <c r="R76" s="587"/>
      <c r="S76" s="587"/>
      <c r="T76" s="598">
        <v>0.09</v>
      </c>
      <c r="U76" s="586"/>
      <c r="V76" s="587"/>
      <c r="W76" s="587"/>
      <c r="X76" s="595">
        <v>0.09</v>
      </c>
      <c r="Y76" s="586"/>
      <c r="Z76" s="587"/>
      <c r="AA76" s="587"/>
      <c r="AB76" s="598">
        <v>0.06</v>
      </c>
      <c r="AC76" s="586"/>
      <c r="AD76" s="587">
        <v>0.04</v>
      </c>
      <c r="AE76" s="587">
        <v>0.04</v>
      </c>
      <c r="AF76" s="595">
        <v>0.04</v>
      </c>
      <c r="AG76" s="586">
        <v>0.04</v>
      </c>
      <c r="AH76" s="587"/>
      <c r="AI76" s="587"/>
      <c r="AJ76" s="598"/>
      <c r="AK76" s="592"/>
      <c r="AL76" s="587"/>
      <c r="AM76" s="587"/>
      <c r="AN76" s="595"/>
      <c r="AO76" s="586"/>
      <c r="AP76" s="587"/>
      <c r="AQ76" s="587"/>
      <c r="AR76" s="598"/>
      <c r="AS76" s="586"/>
      <c r="AT76" s="587"/>
      <c r="AU76" s="587"/>
      <c r="AV76" s="595"/>
      <c r="AW76" s="586"/>
      <c r="AX76" s="587"/>
      <c r="AY76" s="587"/>
      <c r="AZ76" s="595"/>
      <c r="BA76" s="585">
        <f t="shared" si="20"/>
        <v>1</v>
      </c>
    </row>
    <row r="77" spans="2:53" ht="12" thickBot="1" x14ac:dyDescent="0.25">
      <c r="B77" s="535">
        <v>13</v>
      </c>
      <c r="C77" s="533" t="str">
        <f>+PRESUPUESTO!B21</f>
        <v>Limpieza del terreno</v>
      </c>
      <c r="D77" s="534">
        <f>+PRESUPUESTO!G21</f>
        <v>0</v>
      </c>
      <c r="E77" s="599"/>
      <c r="F77" s="587">
        <v>0.35</v>
      </c>
      <c r="G77" s="587"/>
      <c r="H77" s="595"/>
      <c r="I77" s="586"/>
      <c r="J77" s="587">
        <v>0.2</v>
      </c>
      <c r="K77" s="587"/>
      <c r="L77" s="598"/>
      <c r="M77" s="592"/>
      <c r="N77" s="587">
        <v>0.1</v>
      </c>
      <c r="O77" s="587"/>
      <c r="P77" s="595"/>
      <c r="Q77" s="586"/>
      <c r="R77" s="587">
        <v>0.05</v>
      </c>
      <c r="S77" s="587"/>
      <c r="T77" s="598"/>
      <c r="U77" s="586"/>
      <c r="V77" s="587">
        <v>0.1</v>
      </c>
      <c r="W77" s="587"/>
      <c r="X77" s="595"/>
      <c r="Y77" s="586"/>
      <c r="Z77" s="587">
        <v>0.1</v>
      </c>
      <c r="AA77" s="587"/>
      <c r="AB77" s="598"/>
      <c r="AC77" s="586"/>
      <c r="AD77" s="587"/>
      <c r="AE77" s="587"/>
      <c r="AF77" s="595"/>
      <c r="AG77" s="586"/>
      <c r="AH77" s="587"/>
      <c r="AI77" s="587"/>
      <c r="AJ77" s="598"/>
      <c r="AK77" s="592"/>
      <c r="AL77" s="587">
        <v>0.05</v>
      </c>
      <c r="AM77" s="587"/>
      <c r="AN77" s="595">
        <v>0.05</v>
      </c>
      <c r="AO77" s="586"/>
      <c r="AP77" s="587"/>
      <c r="AQ77" s="587"/>
      <c r="AR77" s="598"/>
      <c r="AS77" s="586"/>
      <c r="AT77" s="587"/>
      <c r="AU77" s="587"/>
      <c r="AV77" s="595"/>
      <c r="AW77" s="586"/>
      <c r="AX77" s="587"/>
      <c r="AY77" s="587"/>
      <c r="AZ77" s="595"/>
      <c r="BA77" s="585">
        <f t="shared" si="20"/>
        <v>1</v>
      </c>
    </row>
    <row r="78" spans="2:53" ht="12" thickBot="1" x14ac:dyDescent="0.25">
      <c r="B78" s="535">
        <v>14</v>
      </c>
      <c r="C78" s="533" t="str">
        <f>+PRESUPUESTO!B22</f>
        <v>Replanteo y trazado de cimientos</v>
      </c>
      <c r="D78" s="534">
        <f>+PRESUPUESTO!G22</f>
        <v>0</v>
      </c>
      <c r="E78" s="600"/>
      <c r="F78" s="601"/>
      <c r="G78" s="601"/>
      <c r="H78" s="602">
        <v>0.3</v>
      </c>
      <c r="I78" s="600"/>
      <c r="J78" s="601">
        <v>0.3</v>
      </c>
      <c r="K78" s="601"/>
      <c r="L78" s="603">
        <v>0.3</v>
      </c>
      <c r="M78" s="604"/>
      <c r="N78" s="601"/>
      <c r="O78" s="601"/>
      <c r="P78" s="602"/>
      <c r="Q78" s="600"/>
      <c r="R78" s="601"/>
      <c r="S78" s="601"/>
      <c r="T78" s="603"/>
      <c r="U78" s="600"/>
      <c r="V78" s="601"/>
      <c r="W78" s="601"/>
      <c r="X78" s="602"/>
      <c r="Y78" s="600"/>
      <c r="Z78" s="601"/>
      <c r="AA78" s="601"/>
      <c r="AB78" s="603"/>
      <c r="AC78" s="600"/>
      <c r="AD78" s="601"/>
      <c r="AE78" s="601"/>
      <c r="AF78" s="602"/>
      <c r="AG78" s="600"/>
      <c r="AH78" s="601"/>
      <c r="AI78" s="601"/>
      <c r="AJ78" s="603"/>
      <c r="AK78" s="604"/>
      <c r="AL78" s="601"/>
      <c r="AM78" s="601"/>
      <c r="AN78" s="602"/>
      <c r="AO78" s="600"/>
      <c r="AP78" s="601"/>
      <c r="AQ78" s="601"/>
      <c r="AR78" s="603"/>
      <c r="AS78" s="600"/>
      <c r="AT78" s="601"/>
      <c r="AU78" s="601"/>
      <c r="AV78" s="602"/>
      <c r="AW78" s="600"/>
      <c r="AX78" s="601"/>
      <c r="AY78" s="601"/>
      <c r="AZ78" s="602">
        <v>0.1</v>
      </c>
      <c r="BA78" s="605">
        <f t="shared" si="20"/>
        <v>0.99999999999999989</v>
      </c>
    </row>
    <row r="79" spans="2:53" ht="12" thickBot="1" x14ac:dyDescent="0.25">
      <c r="B79" s="698" t="s">
        <v>2210</v>
      </c>
      <c r="C79" s="700"/>
      <c r="D79" s="537">
        <f>+SUM(D65:D78)</f>
        <v>86141.92</v>
      </c>
      <c r="E79" s="527"/>
      <c r="F79" s="527"/>
      <c r="G79" s="527"/>
      <c r="H79" s="527"/>
      <c r="I79" s="527"/>
      <c r="J79" s="527"/>
      <c r="K79" s="527"/>
      <c r="L79" s="527"/>
      <c r="M79" s="527"/>
      <c r="N79" s="527"/>
      <c r="O79" s="527"/>
      <c r="P79" s="527"/>
      <c r="Q79" s="527"/>
      <c r="R79" s="527"/>
      <c r="S79" s="527"/>
      <c r="T79" s="527"/>
      <c r="U79" s="527"/>
      <c r="V79" s="527"/>
      <c r="W79" s="527"/>
      <c r="X79" s="527"/>
      <c r="Y79" s="527"/>
      <c r="Z79" s="527"/>
      <c r="AA79" s="527"/>
      <c r="AB79" s="527"/>
      <c r="AC79" s="527"/>
      <c r="AD79" s="527"/>
      <c r="AE79" s="527"/>
      <c r="AF79" s="527"/>
      <c r="AG79" s="527"/>
      <c r="AH79" s="527"/>
      <c r="AI79" s="527"/>
      <c r="AJ79" s="527"/>
      <c r="AK79" s="527"/>
      <c r="AL79" s="527"/>
      <c r="AM79" s="527"/>
      <c r="AN79" s="527"/>
      <c r="AO79" s="527"/>
      <c r="AP79" s="527"/>
      <c r="AQ79" s="527"/>
      <c r="AR79" s="527"/>
      <c r="AS79" s="527"/>
      <c r="AT79" s="527"/>
      <c r="AU79" s="527"/>
      <c r="AV79" s="527"/>
      <c r="AW79" s="527"/>
      <c r="AX79" s="527"/>
      <c r="AY79" s="527"/>
      <c r="AZ79" s="527"/>
      <c r="BA79" s="527"/>
    </row>
    <row r="80" spans="2:53" ht="12" thickBot="1" x14ac:dyDescent="0.25">
      <c r="B80" s="525"/>
      <c r="C80" s="525"/>
      <c r="D80" s="525"/>
      <c r="E80" s="525"/>
      <c r="F80" s="525"/>
      <c r="G80" s="525"/>
      <c r="H80" s="525"/>
      <c r="I80" s="525"/>
      <c r="J80" s="525"/>
      <c r="K80" s="525"/>
      <c r="L80" s="525"/>
      <c r="M80" s="525"/>
      <c r="N80" s="525"/>
      <c r="O80" s="525"/>
      <c r="P80" s="525"/>
      <c r="Q80" s="525"/>
      <c r="R80" s="525"/>
      <c r="S80" s="525"/>
      <c r="T80" s="525"/>
      <c r="U80" s="525"/>
      <c r="V80" s="525"/>
      <c r="W80" s="525"/>
      <c r="X80" s="525"/>
      <c r="Y80" s="525"/>
      <c r="Z80" s="525"/>
      <c r="AA80" s="525"/>
      <c r="AB80" s="525"/>
      <c r="AC80" s="525"/>
      <c r="AD80" s="527"/>
      <c r="AE80" s="525"/>
      <c r="AF80" s="525"/>
      <c r="AG80" s="525"/>
      <c r="AH80" s="525"/>
      <c r="AI80" s="525"/>
      <c r="AJ80" s="525"/>
      <c r="AK80" s="525"/>
      <c r="AL80" s="525"/>
      <c r="AM80" s="525"/>
      <c r="AN80" s="525"/>
      <c r="AO80" s="525"/>
      <c r="AP80" s="525"/>
      <c r="AQ80" s="525"/>
      <c r="AR80" s="525"/>
      <c r="AS80" s="525"/>
      <c r="AT80" s="525"/>
      <c r="AU80" s="525"/>
      <c r="AV80" s="525"/>
      <c r="AW80" s="525"/>
      <c r="AX80" s="525"/>
      <c r="AY80" s="525"/>
      <c r="AZ80" s="525"/>
      <c r="BA80" s="525"/>
    </row>
    <row r="81" spans="2:53" ht="15.75" thickBot="1" x14ac:dyDescent="0.25">
      <c r="B81" s="695" t="s">
        <v>2211</v>
      </c>
      <c r="C81" s="696"/>
      <c r="D81" s="696"/>
      <c r="E81" s="696"/>
      <c r="F81" s="696"/>
      <c r="G81" s="696"/>
      <c r="H81" s="696"/>
      <c r="I81" s="696"/>
      <c r="J81" s="696"/>
      <c r="K81" s="696"/>
      <c r="L81" s="696"/>
      <c r="M81" s="696"/>
      <c r="N81" s="696"/>
      <c r="O81" s="696"/>
      <c r="P81" s="696"/>
      <c r="Q81" s="696"/>
      <c r="R81" s="696"/>
      <c r="S81" s="696"/>
      <c r="T81" s="696"/>
      <c r="U81" s="696"/>
      <c r="V81" s="696"/>
      <c r="W81" s="696"/>
      <c r="X81" s="696"/>
      <c r="Y81" s="696"/>
      <c r="Z81" s="696"/>
      <c r="AA81" s="696"/>
      <c r="AB81" s="696"/>
      <c r="AC81" s="696"/>
      <c r="AD81" s="696"/>
      <c r="AE81" s="696"/>
      <c r="AF81" s="696"/>
      <c r="AG81" s="696"/>
      <c r="AH81" s="696"/>
      <c r="AI81" s="696"/>
      <c r="AJ81" s="696"/>
      <c r="AK81" s="696"/>
      <c r="AL81" s="696"/>
      <c r="AM81" s="696"/>
      <c r="AN81" s="696"/>
      <c r="AO81" s="696"/>
      <c r="AP81" s="696"/>
      <c r="AQ81" s="696"/>
      <c r="AR81" s="696"/>
      <c r="AS81" s="696"/>
      <c r="AT81" s="696"/>
      <c r="AU81" s="696"/>
      <c r="AV81" s="696"/>
      <c r="AW81" s="696"/>
      <c r="AX81" s="696"/>
      <c r="AY81" s="696"/>
      <c r="AZ81" s="696"/>
      <c r="BA81" s="697"/>
    </row>
    <row r="82" spans="2:53" ht="12" thickBot="1" x14ac:dyDescent="0.25">
      <c r="B82" s="525"/>
      <c r="C82" s="526"/>
      <c r="D82" s="525"/>
      <c r="E82" s="525"/>
      <c r="F82" s="525"/>
      <c r="G82" s="525"/>
      <c r="H82" s="525"/>
      <c r="I82" s="525"/>
      <c r="J82" s="525"/>
      <c r="K82" s="525"/>
      <c r="L82" s="525"/>
      <c r="M82" s="525"/>
      <c r="N82" s="525"/>
      <c r="O82" s="525"/>
      <c r="P82" s="525"/>
      <c r="Q82" s="525"/>
      <c r="R82" s="525"/>
      <c r="S82" s="525"/>
      <c r="T82" s="525"/>
      <c r="U82" s="525"/>
      <c r="V82" s="525"/>
      <c r="W82" s="525"/>
      <c r="X82" s="525"/>
      <c r="Y82" s="525"/>
      <c r="Z82" s="525"/>
      <c r="AA82" s="525"/>
      <c r="AB82" s="525"/>
      <c r="AC82" s="525"/>
      <c r="AD82" s="527"/>
      <c r="AE82" s="525"/>
      <c r="AF82" s="525"/>
      <c r="AG82" s="525"/>
      <c r="AH82" s="525"/>
      <c r="AI82" s="525"/>
      <c r="AJ82" s="525"/>
      <c r="AK82" s="525"/>
      <c r="AL82" s="525"/>
      <c r="AM82" s="525"/>
      <c r="AN82" s="525"/>
      <c r="AO82" s="525"/>
      <c r="AP82" s="525"/>
      <c r="AQ82" s="525"/>
      <c r="AR82" s="525"/>
      <c r="AS82" s="525"/>
      <c r="AT82" s="525"/>
      <c r="AU82" s="525"/>
      <c r="AV82" s="525"/>
      <c r="AW82" s="525"/>
      <c r="AX82" s="525"/>
      <c r="AY82" s="525"/>
      <c r="AZ82" s="525"/>
      <c r="BA82" s="525"/>
    </row>
    <row r="83" spans="2:53" ht="12" thickBot="1" x14ac:dyDescent="0.25">
      <c r="B83" s="698" t="s">
        <v>2204</v>
      </c>
      <c r="C83" s="699"/>
      <c r="D83" s="700"/>
      <c r="E83" s="701" t="s">
        <v>2205</v>
      </c>
      <c r="F83" s="702"/>
      <c r="G83" s="702"/>
      <c r="H83" s="702"/>
      <c r="I83" s="702"/>
      <c r="J83" s="702"/>
      <c r="K83" s="702"/>
      <c r="L83" s="702"/>
      <c r="M83" s="702"/>
      <c r="N83" s="702"/>
      <c r="O83" s="702"/>
      <c r="P83" s="702"/>
      <c r="Q83" s="702"/>
      <c r="R83" s="702"/>
      <c r="S83" s="702"/>
      <c r="T83" s="702"/>
      <c r="U83" s="702"/>
      <c r="V83" s="702"/>
      <c r="W83" s="702"/>
      <c r="X83" s="702"/>
      <c r="Y83" s="702"/>
      <c r="Z83" s="702"/>
      <c r="AA83" s="702"/>
      <c r="AB83" s="703"/>
      <c r="AC83" s="701" t="s">
        <v>2205</v>
      </c>
      <c r="AD83" s="702"/>
      <c r="AE83" s="702"/>
      <c r="AF83" s="702"/>
      <c r="AG83" s="702"/>
      <c r="AH83" s="702"/>
      <c r="AI83" s="702"/>
      <c r="AJ83" s="702"/>
      <c r="AK83" s="702"/>
      <c r="AL83" s="702"/>
      <c r="AM83" s="702"/>
      <c r="AN83" s="702"/>
      <c r="AO83" s="702"/>
      <c r="AP83" s="702"/>
      <c r="AQ83" s="702"/>
      <c r="AR83" s="702"/>
      <c r="AS83" s="702"/>
      <c r="AT83" s="702"/>
      <c r="AU83" s="702"/>
      <c r="AV83" s="702"/>
      <c r="AW83" s="702"/>
      <c r="AX83" s="702"/>
      <c r="AY83" s="702"/>
      <c r="AZ83" s="703"/>
      <c r="BA83" s="528" t="s">
        <v>2206</v>
      </c>
    </row>
    <row r="84" spans="2:53" ht="12" thickBot="1" x14ac:dyDescent="0.25">
      <c r="B84" s="529" t="s">
        <v>2207</v>
      </c>
      <c r="C84" s="530" t="s">
        <v>2208</v>
      </c>
      <c r="D84" s="538" t="s">
        <v>2209</v>
      </c>
      <c r="E84" s="572">
        <v>1</v>
      </c>
      <c r="F84" s="573">
        <v>2</v>
      </c>
      <c r="G84" s="572">
        <v>3</v>
      </c>
      <c r="H84" s="573">
        <v>4</v>
      </c>
      <c r="I84" s="572">
        <v>5</v>
      </c>
      <c r="J84" s="573">
        <v>6</v>
      </c>
      <c r="K84" s="572">
        <v>7</v>
      </c>
      <c r="L84" s="573">
        <v>8</v>
      </c>
      <c r="M84" s="572">
        <v>9</v>
      </c>
      <c r="N84" s="573">
        <v>10</v>
      </c>
      <c r="O84" s="572">
        <v>11</v>
      </c>
      <c r="P84" s="573">
        <v>12</v>
      </c>
      <c r="Q84" s="572">
        <v>13</v>
      </c>
      <c r="R84" s="573">
        <v>14</v>
      </c>
      <c r="S84" s="572">
        <v>15</v>
      </c>
      <c r="T84" s="573">
        <v>16</v>
      </c>
      <c r="U84" s="572">
        <v>17</v>
      </c>
      <c r="V84" s="573">
        <v>18</v>
      </c>
      <c r="W84" s="572">
        <v>19</v>
      </c>
      <c r="X84" s="573">
        <v>20</v>
      </c>
      <c r="Y84" s="572">
        <v>21</v>
      </c>
      <c r="Z84" s="573">
        <v>22</v>
      </c>
      <c r="AA84" s="572">
        <v>23</v>
      </c>
      <c r="AB84" s="573">
        <v>24</v>
      </c>
      <c r="AC84" s="572">
        <v>25</v>
      </c>
      <c r="AD84" s="573">
        <v>26</v>
      </c>
      <c r="AE84" s="572">
        <v>27</v>
      </c>
      <c r="AF84" s="573">
        <v>28</v>
      </c>
      <c r="AG84" s="572">
        <v>29</v>
      </c>
      <c r="AH84" s="573">
        <v>30</v>
      </c>
      <c r="AI84" s="572">
        <v>31</v>
      </c>
      <c r="AJ84" s="573">
        <v>32</v>
      </c>
      <c r="AK84" s="572">
        <v>33</v>
      </c>
      <c r="AL84" s="573">
        <v>34</v>
      </c>
      <c r="AM84" s="572">
        <v>35</v>
      </c>
      <c r="AN84" s="573">
        <v>36</v>
      </c>
      <c r="AO84" s="572">
        <v>37</v>
      </c>
      <c r="AP84" s="573">
        <v>38</v>
      </c>
      <c r="AQ84" s="572">
        <v>39</v>
      </c>
      <c r="AR84" s="573">
        <v>40</v>
      </c>
      <c r="AS84" s="572">
        <v>41</v>
      </c>
      <c r="AT84" s="573">
        <v>42</v>
      </c>
      <c r="AU84" s="572">
        <v>43</v>
      </c>
      <c r="AV84" s="573">
        <v>44</v>
      </c>
      <c r="AW84" s="572">
        <v>45</v>
      </c>
      <c r="AX84" s="573">
        <v>46</v>
      </c>
      <c r="AY84" s="572">
        <v>47</v>
      </c>
      <c r="AZ84" s="573">
        <v>48</v>
      </c>
      <c r="BA84" s="575"/>
    </row>
    <row r="85" spans="2:53" ht="12" thickBot="1" x14ac:dyDescent="0.25">
      <c r="B85" s="532">
        <v>1</v>
      </c>
      <c r="C85" s="539" t="s">
        <v>2212</v>
      </c>
      <c r="D85" s="540">
        <f>D65</f>
        <v>81220.849999999991</v>
      </c>
      <c r="E85" s="541">
        <f t="shared" ref="E85:AZ85" si="21">E65*$C$5</f>
        <v>0</v>
      </c>
      <c r="F85" s="542">
        <f t="shared" si="21"/>
        <v>0</v>
      </c>
      <c r="G85" s="542">
        <f t="shared" si="21"/>
        <v>0</v>
      </c>
      <c r="H85" s="543">
        <f t="shared" si="21"/>
        <v>0</v>
      </c>
      <c r="I85" s="541">
        <f t="shared" si="21"/>
        <v>0</v>
      </c>
      <c r="J85" s="542">
        <f t="shared" si="21"/>
        <v>0</v>
      </c>
      <c r="K85" s="542">
        <f t="shared" si="21"/>
        <v>0</v>
      </c>
      <c r="L85" s="544">
        <f t="shared" si="21"/>
        <v>0</v>
      </c>
      <c r="M85" s="545">
        <f t="shared" si="21"/>
        <v>0</v>
      </c>
      <c r="N85" s="542">
        <f t="shared" si="21"/>
        <v>0</v>
      </c>
      <c r="O85" s="542">
        <f t="shared" si="21"/>
        <v>0</v>
      </c>
      <c r="P85" s="543">
        <f t="shared" si="21"/>
        <v>0</v>
      </c>
      <c r="Q85" s="541">
        <f t="shared" si="21"/>
        <v>0</v>
      </c>
      <c r="R85" s="542">
        <f t="shared" si="21"/>
        <v>0</v>
      </c>
      <c r="S85" s="542">
        <f t="shared" si="21"/>
        <v>0</v>
      </c>
      <c r="T85" s="544">
        <f t="shared" si="21"/>
        <v>0</v>
      </c>
      <c r="U85" s="545">
        <f t="shared" si="21"/>
        <v>0</v>
      </c>
      <c r="V85" s="542">
        <f t="shared" si="21"/>
        <v>0</v>
      </c>
      <c r="W85" s="542">
        <f t="shared" si="21"/>
        <v>0</v>
      </c>
      <c r="X85" s="543">
        <f t="shared" si="21"/>
        <v>0</v>
      </c>
      <c r="Y85" s="541">
        <f t="shared" si="21"/>
        <v>0</v>
      </c>
      <c r="Z85" s="542">
        <f t="shared" si="21"/>
        <v>0</v>
      </c>
      <c r="AA85" s="542">
        <f t="shared" si="21"/>
        <v>0</v>
      </c>
      <c r="AB85" s="544">
        <f t="shared" si="21"/>
        <v>0</v>
      </c>
      <c r="AC85" s="545">
        <f t="shared" si="21"/>
        <v>0</v>
      </c>
      <c r="AD85" s="542">
        <f t="shared" si="21"/>
        <v>0</v>
      </c>
      <c r="AE85" s="542">
        <f t="shared" si="21"/>
        <v>0</v>
      </c>
      <c r="AF85" s="543">
        <f t="shared" si="21"/>
        <v>0</v>
      </c>
      <c r="AG85" s="546">
        <f t="shared" si="21"/>
        <v>0</v>
      </c>
      <c r="AH85" s="542">
        <f t="shared" si="21"/>
        <v>0</v>
      </c>
      <c r="AI85" s="542">
        <f t="shared" si="21"/>
        <v>0</v>
      </c>
      <c r="AJ85" s="547">
        <f t="shared" si="21"/>
        <v>0</v>
      </c>
      <c r="AK85" s="541">
        <f t="shared" si="21"/>
        <v>0</v>
      </c>
      <c r="AL85" s="542">
        <f t="shared" si="21"/>
        <v>0</v>
      </c>
      <c r="AM85" s="542">
        <f t="shared" si="21"/>
        <v>0</v>
      </c>
      <c r="AN85" s="544">
        <f t="shared" si="21"/>
        <v>0</v>
      </c>
      <c r="AO85" s="545">
        <f t="shared" si="21"/>
        <v>0</v>
      </c>
      <c r="AP85" s="542">
        <f t="shared" si="21"/>
        <v>0</v>
      </c>
      <c r="AQ85" s="542">
        <f t="shared" si="21"/>
        <v>0</v>
      </c>
      <c r="AR85" s="543">
        <f t="shared" si="21"/>
        <v>0</v>
      </c>
      <c r="AS85" s="541">
        <f t="shared" si="21"/>
        <v>0</v>
      </c>
      <c r="AT85" s="542">
        <f t="shared" si="21"/>
        <v>0</v>
      </c>
      <c r="AU85" s="542">
        <f t="shared" si="21"/>
        <v>0</v>
      </c>
      <c r="AV85" s="544">
        <f t="shared" si="21"/>
        <v>0</v>
      </c>
      <c r="AW85" s="545">
        <f t="shared" si="21"/>
        <v>0</v>
      </c>
      <c r="AX85" s="542">
        <f t="shared" si="21"/>
        <v>0</v>
      </c>
      <c r="AY85" s="542">
        <f t="shared" si="21"/>
        <v>0</v>
      </c>
      <c r="AZ85" s="543">
        <f t="shared" si="21"/>
        <v>0</v>
      </c>
      <c r="BA85" s="606">
        <f>SUM(E85:AZ85)</f>
        <v>0</v>
      </c>
    </row>
    <row r="86" spans="2:53" ht="12" thickBot="1" x14ac:dyDescent="0.25">
      <c r="B86" s="535">
        <v>2</v>
      </c>
      <c r="C86" s="548" t="s">
        <v>2213</v>
      </c>
      <c r="D86" s="549">
        <f t="shared" ref="D86:D99" si="22">D66</f>
        <v>0</v>
      </c>
      <c r="E86" s="550" t="e">
        <f t="shared" ref="E86:AZ86" si="23">E66*$C$6</f>
        <v>#VALUE!</v>
      </c>
      <c r="F86" s="551" t="e">
        <f t="shared" si="23"/>
        <v>#VALUE!</v>
      </c>
      <c r="G86" s="551" t="e">
        <f t="shared" si="23"/>
        <v>#VALUE!</v>
      </c>
      <c r="H86" s="552" t="e">
        <f t="shared" si="23"/>
        <v>#VALUE!</v>
      </c>
      <c r="I86" s="550" t="e">
        <f t="shared" si="23"/>
        <v>#VALUE!</v>
      </c>
      <c r="J86" s="551" t="e">
        <f t="shared" si="23"/>
        <v>#VALUE!</v>
      </c>
      <c r="K86" s="551" t="e">
        <f t="shared" si="23"/>
        <v>#VALUE!</v>
      </c>
      <c r="L86" s="553" t="e">
        <f t="shared" si="23"/>
        <v>#VALUE!</v>
      </c>
      <c r="M86" s="554" t="e">
        <f t="shared" si="23"/>
        <v>#VALUE!</v>
      </c>
      <c r="N86" s="551" t="e">
        <f t="shared" si="23"/>
        <v>#VALUE!</v>
      </c>
      <c r="O86" s="551" t="e">
        <f t="shared" si="23"/>
        <v>#VALUE!</v>
      </c>
      <c r="P86" s="552" t="e">
        <f t="shared" si="23"/>
        <v>#VALUE!</v>
      </c>
      <c r="Q86" s="550" t="e">
        <f t="shared" si="23"/>
        <v>#VALUE!</v>
      </c>
      <c r="R86" s="551" t="e">
        <f t="shared" si="23"/>
        <v>#VALUE!</v>
      </c>
      <c r="S86" s="551" t="e">
        <f t="shared" si="23"/>
        <v>#VALUE!</v>
      </c>
      <c r="T86" s="553" t="e">
        <f t="shared" si="23"/>
        <v>#VALUE!</v>
      </c>
      <c r="U86" s="554" t="e">
        <f t="shared" si="23"/>
        <v>#VALUE!</v>
      </c>
      <c r="V86" s="551" t="e">
        <f t="shared" si="23"/>
        <v>#VALUE!</v>
      </c>
      <c r="W86" s="551" t="e">
        <f t="shared" si="23"/>
        <v>#VALUE!</v>
      </c>
      <c r="X86" s="552" t="e">
        <f t="shared" si="23"/>
        <v>#VALUE!</v>
      </c>
      <c r="Y86" s="550" t="e">
        <f t="shared" si="23"/>
        <v>#VALUE!</v>
      </c>
      <c r="Z86" s="551" t="e">
        <f t="shared" si="23"/>
        <v>#VALUE!</v>
      </c>
      <c r="AA86" s="551" t="e">
        <f t="shared" si="23"/>
        <v>#VALUE!</v>
      </c>
      <c r="AB86" s="553" t="e">
        <f t="shared" si="23"/>
        <v>#VALUE!</v>
      </c>
      <c r="AC86" s="554" t="e">
        <f t="shared" si="23"/>
        <v>#VALUE!</v>
      </c>
      <c r="AD86" s="551" t="e">
        <f t="shared" si="23"/>
        <v>#VALUE!</v>
      </c>
      <c r="AE86" s="551" t="e">
        <f t="shared" si="23"/>
        <v>#VALUE!</v>
      </c>
      <c r="AF86" s="552" t="e">
        <f t="shared" si="23"/>
        <v>#VALUE!</v>
      </c>
      <c r="AG86" s="555" t="e">
        <f t="shared" si="23"/>
        <v>#VALUE!</v>
      </c>
      <c r="AH86" s="551" t="e">
        <f t="shared" si="23"/>
        <v>#VALUE!</v>
      </c>
      <c r="AI86" s="551" t="e">
        <f t="shared" si="23"/>
        <v>#VALUE!</v>
      </c>
      <c r="AJ86" s="556" t="e">
        <f t="shared" si="23"/>
        <v>#VALUE!</v>
      </c>
      <c r="AK86" s="550" t="e">
        <f t="shared" si="23"/>
        <v>#VALUE!</v>
      </c>
      <c r="AL86" s="551" t="e">
        <f t="shared" si="23"/>
        <v>#VALUE!</v>
      </c>
      <c r="AM86" s="551" t="e">
        <f t="shared" si="23"/>
        <v>#VALUE!</v>
      </c>
      <c r="AN86" s="553" t="e">
        <f t="shared" si="23"/>
        <v>#VALUE!</v>
      </c>
      <c r="AO86" s="554" t="e">
        <f t="shared" si="23"/>
        <v>#VALUE!</v>
      </c>
      <c r="AP86" s="551" t="e">
        <f t="shared" si="23"/>
        <v>#VALUE!</v>
      </c>
      <c r="AQ86" s="551" t="e">
        <f t="shared" si="23"/>
        <v>#VALUE!</v>
      </c>
      <c r="AR86" s="552" t="e">
        <f t="shared" si="23"/>
        <v>#VALUE!</v>
      </c>
      <c r="AS86" s="550" t="e">
        <f t="shared" si="23"/>
        <v>#VALUE!</v>
      </c>
      <c r="AT86" s="551" t="e">
        <f t="shared" si="23"/>
        <v>#VALUE!</v>
      </c>
      <c r="AU86" s="551" t="e">
        <f t="shared" si="23"/>
        <v>#VALUE!</v>
      </c>
      <c r="AV86" s="553" t="e">
        <f t="shared" si="23"/>
        <v>#VALUE!</v>
      </c>
      <c r="AW86" s="554" t="e">
        <f t="shared" si="23"/>
        <v>#VALUE!</v>
      </c>
      <c r="AX86" s="551" t="e">
        <f t="shared" si="23"/>
        <v>#VALUE!</v>
      </c>
      <c r="AY86" s="551" t="e">
        <f t="shared" si="23"/>
        <v>#VALUE!</v>
      </c>
      <c r="AZ86" s="552" t="e">
        <f t="shared" si="23"/>
        <v>#VALUE!</v>
      </c>
      <c r="BA86" s="606" t="e">
        <f>SUM(E86:AZ86)</f>
        <v>#VALUE!</v>
      </c>
    </row>
    <row r="87" spans="2:53" ht="12" thickBot="1" x14ac:dyDescent="0.25">
      <c r="B87" s="535">
        <v>3</v>
      </c>
      <c r="C87" s="548" t="s">
        <v>2214</v>
      </c>
      <c r="D87" s="549">
        <f t="shared" si="22"/>
        <v>1405.35</v>
      </c>
      <c r="E87" s="550">
        <f t="shared" ref="E87:AZ87" si="24">E67*$C$7</f>
        <v>0</v>
      </c>
      <c r="F87" s="551">
        <f t="shared" si="24"/>
        <v>0</v>
      </c>
      <c r="G87" s="551">
        <f t="shared" si="24"/>
        <v>0</v>
      </c>
      <c r="H87" s="552">
        <f t="shared" si="24"/>
        <v>0</v>
      </c>
      <c r="I87" s="550">
        <f t="shared" si="24"/>
        <v>0</v>
      </c>
      <c r="J87" s="551">
        <f t="shared" si="24"/>
        <v>0</v>
      </c>
      <c r="K87" s="551">
        <f t="shared" si="24"/>
        <v>0</v>
      </c>
      <c r="L87" s="553">
        <f t="shared" si="24"/>
        <v>0</v>
      </c>
      <c r="M87" s="554">
        <f t="shared" si="24"/>
        <v>0</v>
      </c>
      <c r="N87" s="551">
        <f t="shared" si="24"/>
        <v>0</v>
      </c>
      <c r="O87" s="551">
        <f t="shared" si="24"/>
        <v>0</v>
      </c>
      <c r="P87" s="552">
        <f t="shared" si="24"/>
        <v>0</v>
      </c>
      <c r="Q87" s="550">
        <f t="shared" si="24"/>
        <v>0</v>
      </c>
      <c r="R87" s="551">
        <f t="shared" si="24"/>
        <v>0</v>
      </c>
      <c r="S87" s="551">
        <f t="shared" si="24"/>
        <v>0</v>
      </c>
      <c r="T87" s="553">
        <f t="shared" si="24"/>
        <v>0</v>
      </c>
      <c r="U87" s="554">
        <f t="shared" si="24"/>
        <v>0</v>
      </c>
      <c r="V87" s="551">
        <f t="shared" si="24"/>
        <v>0</v>
      </c>
      <c r="W87" s="551">
        <f t="shared" si="24"/>
        <v>0</v>
      </c>
      <c r="X87" s="552">
        <f t="shared" si="24"/>
        <v>0</v>
      </c>
      <c r="Y87" s="550">
        <f t="shared" si="24"/>
        <v>0</v>
      </c>
      <c r="Z87" s="551">
        <f t="shared" si="24"/>
        <v>0</v>
      </c>
      <c r="AA87" s="551">
        <f t="shared" si="24"/>
        <v>0</v>
      </c>
      <c r="AB87" s="553">
        <f t="shared" si="24"/>
        <v>0</v>
      </c>
      <c r="AC87" s="554">
        <f t="shared" si="24"/>
        <v>0</v>
      </c>
      <c r="AD87" s="551">
        <f t="shared" si="24"/>
        <v>0</v>
      </c>
      <c r="AE87" s="551">
        <f t="shared" si="24"/>
        <v>0</v>
      </c>
      <c r="AF87" s="552">
        <f t="shared" si="24"/>
        <v>0</v>
      </c>
      <c r="AG87" s="555">
        <f t="shared" si="24"/>
        <v>0</v>
      </c>
      <c r="AH87" s="551">
        <f t="shared" si="24"/>
        <v>0</v>
      </c>
      <c r="AI87" s="551">
        <f t="shared" si="24"/>
        <v>0</v>
      </c>
      <c r="AJ87" s="556">
        <f t="shared" si="24"/>
        <v>0</v>
      </c>
      <c r="AK87" s="550">
        <f t="shared" si="24"/>
        <v>0</v>
      </c>
      <c r="AL87" s="551">
        <f t="shared" si="24"/>
        <v>0</v>
      </c>
      <c r="AM87" s="551">
        <f t="shared" si="24"/>
        <v>0</v>
      </c>
      <c r="AN87" s="553">
        <f t="shared" si="24"/>
        <v>0</v>
      </c>
      <c r="AO87" s="554">
        <f t="shared" si="24"/>
        <v>0</v>
      </c>
      <c r="AP87" s="551">
        <f t="shared" si="24"/>
        <v>0</v>
      </c>
      <c r="AQ87" s="551">
        <f t="shared" si="24"/>
        <v>0</v>
      </c>
      <c r="AR87" s="552">
        <f t="shared" si="24"/>
        <v>0</v>
      </c>
      <c r="AS87" s="550">
        <f t="shared" si="24"/>
        <v>0</v>
      </c>
      <c r="AT87" s="551">
        <f t="shared" si="24"/>
        <v>0</v>
      </c>
      <c r="AU87" s="551">
        <f t="shared" si="24"/>
        <v>0</v>
      </c>
      <c r="AV87" s="553">
        <f t="shared" si="24"/>
        <v>0</v>
      </c>
      <c r="AW87" s="554">
        <f t="shared" si="24"/>
        <v>0</v>
      </c>
      <c r="AX87" s="551">
        <f t="shared" si="24"/>
        <v>0</v>
      </c>
      <c r="AY87" s="551">
        <f t="shared" si="24"/>
        <v>0</v>
      </c>
      <c r="AZ87" s="552">
        <f t="shared" si="24"/>
        <v>0</v>
      </c>
      <c r="BA87" s="606">
        <f>SUM(E87:AZ87)</f>
        <v>0</v>
      </c>
    </row>
    <row r="88" spans="2:53" ht="12" thickBot="1" x14ac:dyDescent="0.25">
      <c r="B88" s="535">
        <v>4</v>
      </c>
      <c r="C88" s="548" t="s">
        <v>2215</v>
      </c>
      <c r="D88" s="549">
        <f t="shared" si="22"/>
        <v>0</v>
      </c>
      <c r="E88" s="550" t="e">
        <f t="shared" ref="E88:AZ88" si="25">E68*$C$8</f>
        <v>#VALUE!</v>
      </c>
      <c r="F88" s="551" t="e">
        <f t="shared" si="25"/>
        <v>#VALUE!</v>
      </c>
      <c r="G88" s="551" t="e">
        <f t="shared" si="25"/>
        <v>#VALUE!</v>
      </c>
      <c r="H88" s="552" t="e">
        <f t="shared" si="25"/>
        <v>#VALUE!</v>
      </c>
      <c r="I88" s="550" t="e">
        <f t="shared" si="25"/>
        <v>#VALUE!</v>
      </c>
      <c r="J88" s="551" t="e">
        <f t="shared" si="25"/>
        <v>#VALUE!</v>
      </c>
      <c r="K88" s="551" t="e">
        <f t="shared" si="25"/>
        <v>#VALUE!</v>
      </c>
      <c r="L88" s="553" t="e">
        <f t="shared" si="25"/>
        <v>#VALUE!</v>
      </c>
      <c r="M88" s="554" t="e">
        <f t="shared" si="25"/>
        <v>#VALUE!</v>
      </c>
      <c r="N88" s="551" t="e">
        <f t="shared" si="25"/>
        <v>#VALUE!</v>
      </c>
      <c r="O88" s="551" t="e">
        <f t="shared" si="25"/>
        <v>#VALUE!</v>
      </c>
      <c r="P88" s="552" t="e">
        <f t="shared" si="25"/>
        <v>#VALUE!</v>
      </c>
      <c r="Q88" s="550" t="e">
        <f t="shared" si="25"/>
        <v>#VALUE!</v>
      </c>
      <c r="R88" s="551" t="e">
        <f t="shared" si="25"/>
        <v>#VALUE!</v>
      </c>
      <c r="S88" s="551" t="e">
        <f t="shared" si="25"/>
        <v>#VALUE!</v>
      </c>
      <c r="T88" s="553" t="e">
        <f t="shared" si="25"/>
        <v>#VALUE!</v>
      </c>
      <c r="U88" s="554" t="e">
        <f t="shared" si="25"/>
        <v>#VALUE!</v>
      </c>
      <c r="V88" s="551" t="e">
        <f t="shared" si="25"/>
        <v>#VALUE!</v>
      </c>
      <c r="W88" s="551" t="e">
        <f t="shared" si="25"/>
        <v>#VALUE!</v>
      </c>
      <c r="X88" s="552" t="e">
        <f t="shared" si="25"/>
        <v>#VALUE!</v>
      </c>
      <c r="Y88" s="550" t="e">
        <f t="shared" si="25"/>
        <v>#VALUE!</v>
      </c>
      <c r="Z88" s="551" t="e">
        <f t="shared" si="25"/>
        <v>#VALUE!</v>
      </c>
      <c r="AA88" s="551" t="e">
        <f t="shared" si="25"/>
        <v>#VALUE!</v>
      </c>
      <c r="AB88" s="553" t="e">
        <f t="shared" si="25"/>
        <v>#VALUE!</v>
      </c>
      <c r="AC88" s="554" t="e">
        <f t="shared" si="25"/>
        <v>#VALUE!</v>
      </c>
      <c r="AD88" s="551" t="e">
        <f t="shared" si="25"/>
        <v>#VALUE!</v>
      </c>
      <c r="AE88" s="551" t="e">
        <f t="shared" si="25"/>
        <v>#VALUE!</v>
      </c>
      <c r="AF88" s="552" t="e">
        <f t="shared" si="25"/>
        <v>#VALUE!</v>
      </c>
      <c r="AG88" s="555" t="e">
        <f t="shared" si="25"/>
        <v>#VALUE!</v>
      </c>
      <c r="AH88" s="551" t="e">
        <f t="shared" si="25"/>
        <v>#VALUE!</v>
      </c>
      <c r="AI88" s="551" t="e">
        <f t="shared" si="25"/>
        <v>#VALUE!</v>
      </c>
      <c r="AJ88" s="556" t="e">
        <f t="shared" si="25"/>
        <v>#VALUE!</v>
      </c>
      <c r="AK88" s="550" t="e">
        <f t="shared" si="25"/>
        <v>#VALUE!</v>
      </c>
      <c r="AL88" s="551" t="e">
        <f t="shared" si="25"/>
        <v>#VALUE!</v>
      </c>
      <c r="AM88" s="551" t="e">
        <f t="shared" si="25"/>
        <v>#VALUE!</v>
      </c>
      <c r="AN88" s="553" t="e">
        <f t="shared" si="25"/>
        <v>#VALUE!</v>
      </c>
      <c r="AO88" s="554" t="e">
        <f t="shared" si="25"/>
        <v>#VALUE!</v>
      </c>
      <c r="AP88" s="551" t="e">
        <f t="shared" si="25"/>
        <v>#VALUE!</v>
      </c>
      <c r="AQ88" s="551" t="e">
        <f t="shared" si="25"/>
        <v>#VALUE!</v>
      </c>
      <c r="AR88" s="552" t="e">
        <f t="shared" si="25"/>
        <v>#VALUE!</v>
      </c>
      <c r="AS88" s="550" t="e">
        <f t="shared" si="25"/>
        <v>#VALUE!</v>
      </c>
      <c r="AT88" s="551" t="e">
        <f t="shared" si="25"/>
        <v>#VALUE!</v>
      </c>
      <c r="AU88" s="551" t="e">
        <f t="shared" si="25"/>
        <v>#VALUE!</v>
      </c>
      <c r="AV88" s="553" t="e">
        <f t="shared" si="25"/>
        <v>#VALUE!</v>
      </c>
      <c r="AW88" s="554" t="e">
        <f t="shared" si="25"/>
        <v>#VALUE!</v>
      </c>
      <c r="AX88" s="551" t="e">
        <f t="shared" si="25"/>
        <v>#VALUE!</v>
      </c>
      <c r="AY88" s="551" t="e">
        <f t="shared" si="25"/>
        <v>#VALUE!</v>
      </c>
      <c r="AZ88" s="552" t="e">
        <f t="shared" si="25"/>
        <v>#VALUE!</v>
      </c>
      <c r="BA88" s="606" t="e">
        <f t="shared" ref="BA88:BA98" si="26">SUM(E88:AZ88)</f>
        <v>#VALUE!</v>
      </c>
    </row>
    <row r="89" spans="2:53" ht="12" thickBot="1" x14ac:dyDescent="0.25">
      <c r="B89" s="535">
        <v>5</v>
      </c>
      <c r="C89" s="548" t="s">
        <v>2216</v>
      </c>
      <c r="D89" s="549">
        <f t="shared" si="22"/>
        <v>0</v>
      </c>
      <c r="E89" s="550" t="e">
        <f t="shared" ref="E89:AZ89" si="27">E69*$C$9</f>
        <v>#VALUE!</v>
      </c>
      <c r="F89" s="551" t="e">
        <f t="shared" si="27"/>
        <v>#VALUE!</v>
      </c>
      <c r="G89" s="551" t="e">
        <f t="shared" si="27"/>
        <v>#VALUE!</v>
      </c>
      <c r="H89" s="552" t="e">
        <f t="shared" si="27"/>
        <v>#VALUE!</v>
      </c>
      <c r="I89" s="550" t="e">
        <f t="shared" si="27"/>
        <v>#VALUE!</v>
      </c>
      <c r="J89" s="551" t="e">
        <f t="shared" si="27"/>
        <v>#VALUE!</v>
      </c>
      <c r="K89" s="551" t="e">
        <f t="shared" si="27"/>
        <v>#VALUE!</v>
      </c>
      <c r="L89" s="553" t="e">
        <f t="shared" si="27"/>
        <v>#VALUE!</v>
      </c>
      <c r="M89" s="554" t="e">
        <f t="shared" si="27"/>
        <v>#VALUE!</v>
      </c>
      <c r="N89" s="551" t="e">
        <f t="shared" si="27"/>
        <v>#VALUE!</v>
      </c>
      <c r="O89" s="551" t="e">
        <f t="shared" si="27"/>
        <v>#VALUE!</v>
      </c>
      <c r="P89" s="552" t="e">
        <f t="shared" si="27"/>
        <v>#VALUE!</v>
      </c>
      <c r="Q89" s="550" t="e">
        <f t="shared" si="27"/>
        <v>#VALUE!</v>
      </c>
      <c r="R89" s="551" t="e">
        <f t="shared" si="27"/>
        <v>#VALUE!</v>
      </c>
      <c r="S89" s="551" t="e">
        <f t="shared" si="27"/>
        <v>#VALUE!</v>
      </c>
      <c r="T89" s="553" t="e">
        <f t="shared" si="27"/>
        <v>#VALUE!</v>
      </c>
      <c r="U89" s="554" t="e">
        <f t="shared" si="27"/>
        <v>#VALUE!</v>
      </c>
      <c r="V89" s="551" t="e">
        <f t="shared" si="27"/>
        <v>#VALUE!</v>
      </c>
      <c r="W89" s="551" t="e">
        <f t="shared" si="27"/>
        <v>#VALUE!</v>
      </c>
      <c r="X89" s="552" t="e">
        <f t="shared" si="27"/>
        <v>#VALUE!</v>
      </c>
      <c r="Y89" s="550" t="e">
        <f t="shared" si="27"/>
        <v>#VALUE!</v>
      </c>
      <c r="Z89" s="551" t="e">
        <f t="shared" si="27"/>
        <v>#VALUE!</v>
      </c>
      <c r="AA89" s="551" t="e">
        <f t="shared" si="27"/>
        <v>#VALUE!</v>
      </c>
      <c r="AB89" s="553" t="e">
        <f t="shared" si="27"/>
        <v>#VALUE!</v>
      </c>
      <c r="AC89" s="554" t="e">
        <f t="shared" si="27"/>
        <v>#VALUE!</v>
      </c>
      <c r="AD89" s="551" t="e">
        <f t="shared" si="27"/>
        <v>#VALUE!</v>
      </c>
      <c r="AE89" s="551" t="e">
        <f t="shared" si="27"/>
        <v>#VALUE!</v>
      </c>
      <c r="AF89" s="552" t="e">
        <f t="shared" si="27"/>
        <v>#VALUE!</v>
      </c>
      <c r="AG89" s="555" t="e">
        <f t="shared" si="27"/>
        <v>#VALUE!</v>
      </c>
      <c r="AH89" s="551" t="e">
        <f t="shared" si="27"/>
        <v>#VALUE!</v>
      </c>
      <c r="AI89" s="551" t="e">
        <f t="shared" si="27"/>
        <v>#VALUE!</v>
      </c>
      <c r="AJ89" s="556" t="e">
        <f t="shared" si="27"/>
        <v>#VALUE!</v>
      </c>
      <c r="AK89" s="550" t="e">
        <f t="shared" si="27"/>
        <v>#VALUE!</v>
      </c>
      <c r="AL89" s="551" t="e">
        <f t="shared" si="27"/>
        <v>#VALUE!</v>
      </c>
      <c r="AM89" s="551" t="e">
        <f t="shared" si="27"/>
        <v>#VALUE!</v>
      </c>
      <c r="AN89" s="553" t="e">
        <f t="shared" si="27"/>
        <v>#VALUE!</v>
      </c>
      <c r="AO89" s="554" t="e">
        <f t="shared" si="27"/>
        <v>#VALUE!</v>
      </c>
      <c r="AP89" s="551" t="e">
        <f t="shared" si="27"/>
        <v>#VALUE!</v>
      </c>
      <c r="AQ89" s="551" t="e">
        <f t="shared" si="27"/>
        <v>#VALUE!</v>
      </c>
      <c r="AR89" s="552" t="e">
        <f t="shared" si="27"/>
        <v>#VALUE!</v>
      </c>
      <c r="AS89" s="550" t="e">
        <f t="shared" si="27"/>
        <v>#VALUE!</v>
      </c>
      <c r="AT89" s="551" t="e">
        <f t="shared" si="27"/>
        <v>#VALUE!</v>
      </c>
      <c r="AU89" s="551" t="e">
        <f t="shared" si="27"/>
        <v>#VALUE!</v>
      </c>
      <c r="AV89" s="553" t="e">
        <f t="shared" si="27"/>
        <v>#VALUE!</v>
      </c>
      <c r="AW89" s="554" t="e">
        <f t="shared" si="27"/>
        <v>#VALUE!</v>
      </c>
      <c r="AX89" s="551" t="e">
        <f t="shared" si="27"/>
        <v>#VALUE!</v>
      </c>
      <c r="AY89" s="551" t="e">
        <f t="shared" si="27"/>
        <v>#VALUE!</v>
      </c>
      <c r="AZ89" s="552" t="e">
        <f t="shared" si="27"/>
        <v>#VALUE!</v>
      </c>
      <c r="BA89" s="606" t="e">
        <f t="shared" si="26"/>
        <v>#VALUE!</v>
      </c>
    </row>
    <row r="90" spans="2:53" ht="12" thickBot="1" x14ac:dyDescent="0.25">
      <c r="B90" s="535">
        <v>6</v>
      </c>
      <c r="C90" s="548" t="s">
        <v>2217</v>
      </c>
      <c r="D90" s="549">
        <f t="shared" si="22"/>
        <v>0</v>
      </c>
      <c r="E90" s="550" t="e">
        <f t="shared" ref="E90:AZ90" si="28">E70*$C$10</f>
        <v>#VALUE!</v>
      </c>
      <c r="F90" s="551" t="e">
        <f t="shared" si="28"/>
        <v>#VALUE!</v>
      </c>
      <c r="G90" s="551" t="e">
        <f t="shared" si="28"/>
        <v>#VALUE!</v>
      </c>
      <c r="H90" s="552" t="e">
        <f t="shared" si="28"/>
        <v>#VALUE!</v>
      </c>
      <c r="I90" s="550" t="e">
        <f t="shared" si="28"/>
        <v>#VALUE!</v>
      </c>
      <c r="J90" s="551" t="e">
        <f t="shared" si="28"/>
        <v>#VALUE!</v>
      </c>
      <c r="K90" s="551" t="e">
        <f t="shared" si="28"/>
        <v>#VALUE!</v>
      </c>
      <c r="L90" s="553" t="e">
        <f t="shared" si="28"/>
        <v>#VALUE!</v>
      </c>
      <c r="M90" s="554" t="e">
        <f t="shared" si="28"/>
        <v>#VALUE!</v>
      </c>
      <c r="N90" s="551" t="e">
        <f t="shared" si="28"/>
        <v>#VALUE!</v>
      </c>
      <c r="O90" s="551" t="e">
        <f t="shared" si="28"/>
        <v>#VALUE!</v>
      </c>
      <c r="P90" s="552" t="e">
        <f t="shared" si="28"/>
        <v>#VALUE!</v>
      </c>
      <c r="Q90" s="550" t="e">
        <f t="shared" si="28"/>
        <v>#VALUE!</v>
      </c>
      <c r="R90" s="551" t="e">
        <f t="shared" si="28"/>
        <v>#VALUE!</v>
      </c>
      <c r="S90" s="551" t="e">
        <f t="shared" si="28"/>
        <v>#VALUE!</v>
      </c>
      <c r="T90" s="553" t="e">
        <f t="shared" si="28"/>
        <v>#VALUE!</v>
      </c>
      <c r="U90" s="554" t="e">
        <f t="shared" si="28"/>
        <v>#VALUE!</v>
      </c>
      <c r="V90" s="551" t="e">
        <f t="shared" si="28"/>
        <v>#VALUE!</v>
      </c>
      <c r="W90" s="551" t="e">
        <f t="shared" si="28"/>
        <v>#VALUE!</v>
      </c>
      <c r="X90" s="552" t="e">
        <f t="shared" si="28"/>
        <v>#VALUE!</v>
      </c>
      <c r="Y90" s="550" t="e">
        <f t="shared" si="28"/>
        <v>#VALUE!</v>
      </c>
      <c r="Z90" s="551" t="e">
        <f t="shared" si="28"/>
        <v>#VALUE!</v>
      </c>
      <c r="AA90" s="551" t="e">
        <f t="shared" si="28"/>
        <v>#VALUE!</v>
      </c>
      <c r="AB90" s="553" t="e">
        <f t="shared" si="28"/>
        <v>#VALUE!</v>
      </c>
      <c r="AC90" s="554" t="e">
        <f t="shared" si="28"/>
        <v>#VALUE!</v>
      </c>
      <c r="AD90" s="551" t="e">
        <f t="shared" si="28"/>
        <v>#VALUE!</v>
      </c>
      <c r="AE90" s="551" t="e">
        <f t="shared" si="28"/>
        <v>#VALUE!</v>
      </c>
      <c r="AF90" s="552" t="e">
        <f t="shared" si="28"/>
        <v>#VALUE!</v>
      </c>
      <c r="AG90" s="555" t="e">
        <f t="shared" si="28"/>
        <v>#VALUE!</v>
      </c>
      <c r="AH90" s="551" t="e">
        <f t="shared" si="28"/>
        <v>#VALUE!</v>
      </c>
      <c r="AI90" s="551" t="e">
        <f t="shared" si="28"/>
        <v>#VALUE!</v>
      </c>
      <c r="AJ90" s="556" t="e">
        <f t="shared" si="28"/>
        <v>#VALUE!</v>
      </c>
      <c r="AK90" s="550" t="e">
        <f t="shared" si="28"/>
        <v>#VALUE!</v>
      </c>
      <c r="AL90" s="551" t="e">
        <f t="shared" si="28"/>
        <v>#VALUE!</v>
      </c>
      <c r="AM90" s="551" t="e">
        <f t="shared" si="28"/>
        <v>#VALUE!</v>
      </c>
      <c r="AN90" s="553" t="e">
        <f t="shared" si="28"/>
        <v>#VALUE!</v>
      </c>
      <c r="AO90" s="554" t="e">
        <f t="shared" si="28"/>
        <v>#VALUE!</v>
      </c>
      <c r="AP90" s="551" t="e">
        <f t="shared" si="28"/>
        <v>#VALUE!</v>
      </c>
      <c r="AQ90" s="551" t="e">
        <f t="shared" si="28"/>
        <v>#VALUE!</v>
      </c>
      <c r="AR90" s="552" t="e">
        <f t="shared" si="28"/>
        <v>#VALUE!</v>
      </c>
      <c r="AS90" s="550" t="e">
        <f t="shared" si="28"/>
        <v>#VALUE!</v>
      </c>
      <c r="AT90" s="551" t="e">
        <f t="shared" si="28"/>
        <v>#VALUE!</v>
      </c>
      <c r="AU90" s="551" t="e">
        <f t="shared" si="28"/>
        <v>#VALUE!</v>
      </c>
      <c r="AV90" s="553" t="e">
        <f t="shared" si="28"/>
        <v>#VALUE!</v>
      </c>
      <c r="AW90" s="554" t="e">
        <f t="shared" si="28"/>
        <v>#VALUE!</v>
      </c>
      <c r="AX90" s="551" t="e">
        <f t="shared" si="28"/>
        <v>#VALUE!</v>
      </c>
      <c r="AY90" s="551" t="e">
        <f t="shared" si="28"/>
        <v>#VALUE!</v>
      </c>
      <c r="AZ90" s="552" t="e">
        <f t="shared" si="28"/>
        <v>#VALUE!</v>
      </c>
      <c r="BA90" s="606" t="e">
        <f t="shared" si="26"/>
        <v>#VALUE!</v>
      </c>
    </row>
    <row r="91" spans="2:53" ht="12" thickBot="1" x14ac:dyDescent="0.25">
      <c r="B91" s="535">
        <v>7</v>
      </c>
      <c r="C91" s="548" t="s">
        <v>2218</v>
      </c>
      <c r="D91" s="549">
        <f t="shared" si="22"/>
        <v>0</v>
      </c>
      <c r="E91" s="550" t="e">
        <f t="shared" ref="E91:AZ91" si="29">E71*$C$11</f>
        <v>#VALUE!</v>
      </c>
      <c r="F91" s="551" t="e">
        <f t="shared" si="29"/>
        <v>#VALUE!</v>
      </c>
      <c r="G91" s="551" t="e">
        <f t="shared" si="29"/>
        <v>#VALUE!</v>
      </c>
      <c r="H91" s="552" t="e">
        <f t="shared" si="29"/>
        <v>#VALUE!</v>
      </c>
      <c r="I91" s="550" t="e">
        <f t="shared" si="29"/>
        <v>#VALUE!</v>
      </c>
      <c r="J91" s="551" t="e">
        <f t="shared" si="29"/>
        <v>#VALUE!</v>
      </c>
      <c r="K91" s="551" t="e">
        <f t="shared" si="29"/>
        <v>#VALUE!</v>
      </c>
      <c r="L91" s="553" t="e">
        <f t="shared" si="29"/>
        <v>#VALUE!</v>
      </c>
      <c r="M91" s="554" t="e">
        <f t="shared" si="29"/>
        <v>#VALUE!</v>
      </c>
      <c r="N91" s="551" t="e">
        <f t="shared" si="29"/>
        <v>#VALUE!</v>
      </c>
      <c r="O91" s="551" t="e">
        <f t="shared" si="29"/>
        <v>#VALUE!</v>
      </c>
      <c r="P91" s="552" t="e">
        <f t="shared" si="29"/>
        <v>#VALUE!</v>
      </c>
      <c r="Q91" s="550" t="e">
        <f t="shared" si="29"/>
        <v>#VALUE!</v>
      </c>
      <c r="R91" s="551" t="e">
        <f t="shared" si="29"/>
        <v>#VALUE!</v>
      </c>
      <c r="S91" s="551" t="e">
        <f t="shared" si="29"/>
        <v>#VALUE!</v>
      </c>
      <c r="T91" s="553" t="e">
        <f t="shared" si="29"/>
        <v>#VALUE!</v>
      </c>
      <c r="U91" s="554" t="e">
        <f t="shared" si="29"/>
        <v>#VALUE!</v>
      </c>
      <c r="V91" s="551" t="e">
        <f t="shared" si="29"/>
        <v>#VALUE!</v>
      </c>
      <c r="W91" s="551" t="e">
        <f t="shared" si="29"/>
        <v>#VALUE!</v>
      </c>
      <c r="X91" s="552" t="e">
        <f t="shared" si="29"/>
        <v>#VALUE!</v>
      </c>
      <c r="Y91" s="550" t="e">
        <f t="shared" si="29"/>
        <v>#VALUE!</v>
      </c>
      <c r="Z91" s="551" t="e">
        <f t="shared" si="29"/>
        <v>#VALUE!</v>
      </c>
      <c r="AA91" s="551" t="e">
        <f t="shared" si="29"/>
        <v>#VALUE!</v>
      </c>
      <c r="AB91" s="553" t="e">
        <f t="shared" si="29"/>
        <v>#VALUE!</v>
      </c>
      <c r="AC91" s="554" t="e">
        <f t="shared" si="29"/>
        <v>#VALUE!</v>
      </c>
      <c r="AD91" s="551" t="e">
        <f t="shared" si="29"/>
        <v>#VALUE!</v>
      </c>
      <c r="AE91" s="551" t="e">
        <f t="shared" si="29"/>
        <v>#VALUE!</v>
      </c>
      <c r="AF91" s="552" t="e">
        <f t="shared" si="29"/>
        <v>#VALUE!</v>
      </c>
      <c r="AG91" s="555" t="e">
        <f t="shared" si="29"/>
        <v>#VALUE!</v>
      </c>
      <c r="AH91" s="551" t="e">
        <f t="shared" si="29"/>
        <v>#VALUE!</v>
      </c>
      <c r="AI91" s="551" t="e">
        <f t="shared" si="29"/>
        <v>#VALUE!</v>
      </c>
      <c r="AJ91" s="556" t="e">
        <f t="shared" si="29"/>
        <v>#VALUE!</v>
      </c>
      <c r="AK91" s="550" t="e">
        <f t="shared" si="29"/>
        <v>#VALUE!</v>
      </c>
      <c r="AL91" s="551" t="e">
        <f t="shared" si="29"/>
        <v>#VALUE!</v>
      </c>
      <c r="AM91" s="551" t="e">
        <f t="shared" si="29"/>
        <v>#VALUE!</v>
      </c>
      <c r="AN91" s="553" t="e">
        <f t="shared" si="29"/>
        <v>#VALUE!</v>
      </c>
      <c r="AO91" s="554" t="e">
        <f t="shared" si="29"/>
        <v>#VALUE!</v>
      </c>
      <c r="AP91" s="551" t="e">
        <f t="shared" si="29"/>
        <v>#VALUE!</v>
      </c>
      <c r="AQ91" s="551" t="e">
        <f t="shared" si="29"/>
        <v>#VALUE!</v>
      </c>
      <c r="AR91" s="552" t="e">
        <f t="shared" si="29"/>
        <v>#VALUE!</v>
      </c>
      <c r="AS91" s="550" t="e">
        <f t="shared" si="29"/>
        <v>#VALUE!</v>
      </c>
      <c r="AT91" s="551" t="e">
        <f t="shared" si="29"/>
        <v>#VALUE!</v>
      </c>
      <c r="AU91" s="551" t="e">
        <f t="shared" si="29"/>
        <v>#VALUE!</v>
      </c>
      <c r="AV91" s="553" t="e">
        <f t="shared" si="29"/>
        <v>#VALUE!</v>
      </c>
      <c r="AW91" s="554" t="e">
        <f t="shared" si="29"/>
        <v>#VALUE!</v>
      </c>
      <c r="AX91" s="551" t="e">
        <f t="shared" si="29"/>
        <v>#VALUE!</v>
      </c>
      <c r="AY91" s="551" t="e">
        <f t="shared" si="29"/>
        <v>#VALUE!</v>
      </c>
      <c r="AZ91" s="552" t="e">
        <f t="shared" si="29"/>
        <v>#VALUE!</v>
      </c>
      <c r="BA91" s="606" t="e">
        <f t="shared" si="26"/>
        <v>#VALUE!</v>
      </c>
    </row>
    <row r="92" spans="2:53" ht="12" thickBot="1" x14ac:dyDescent="0.25">
      <c r="B92" s="535">
        <v>8</v>
      </c>
      <c r="C92" s="548" t="s">
        <v>1770</v>
      </c>
      <c r="D92" s="549">
        <f t="shared" si="22"/>
        <v>2992.64</v>
      </c>
      <c r="E92" s="550" t="e">
        <f t="shared" ref="E92:AZ92" si="30">E72*$C$12</f>
        <v>#VALUE!</v>
      </c>
      <c r="F92" s="551" t="e">
        <f t="shared" si="30"/>
        <v>#VALUE!</v>
      </c>
      <c r="G92" s="551" t="e">
        <f t="shared" si="30"/>
        <v>#VALUE!</v>
      </c>
      <c r="H92" s="552" t="e">
        <f t="shared" si="30"/>
        <v>#VALUE!</v>
      </c>
      <c r="I92" s="550" t="e">
        <f t="shared" si="30"/>
        <v>#VALUE!</v>
      </c>
      <c r="J92" s="551" t="e">
        <f t="shared" si="30"/>
        <v>#VALUE!</v>
      </c>
      <c r="K92" s="551" t="e">
        <f t="shared" si="30"/>
        <v>#VALUE!</v>
      </c>
      <c r="L92" s="553" t="e">
        <f t="shared" si="30"/>
        <v>#VALUE!</v>
      </c>
      <c r="M92" s="554" t="e">
        <f t="shared" si="30"/>
        <v>#VALUE!</v>
      </c>
      <c r="N92" s="551" t="e">
        <f t="shared" si="30"/>
        <v>#VALUE!</v>
      </c>
      <c r="O92" s="551" t="e">
        <f t="shared" si="30"/>
        <v>#VALUE!</v>
      </c>
      <c r="P92" s="552" t="e">
        <f t="shared" si="30"/>
        <v>#VALUE!</v>
      </c>
      <c r="Q92" s="550" t="e">
        <f t="shared" si="30"/>
        <v>#VALUE!</v>
      </c>
      <c r="R92" s="551" t="e">
        <f t="shared" si="30"/>
        <v>#VALUE!</v>
      </c>
      <c r="S92" s="551" t="e">
        <f t="shared" si="30"/>
        <v>#VALUE!</v>
      </c>
      <c r="T92" s="553" t="e">
        <f t="shared" si="30"/>
        <v>#VALUE!</v>
      </c>
      <c r="U92" s="554" t="e">
        <f t="shared" si="30"/>
        <v>#VALUE!</v>
      </c>
      <c r="V92" s="551" t="e">
        <f t="shared" si="30"/>
        <v>#VALUE!</v>
      </c>
      <c r="W92" s="551" t="e">
        <f t="shared" si="30"/>
        <v>#VALUE!</v>
      </c>
      <c r="X92" s="552" t="e">
        <f t="shared" si="30"/>
        <v>#VALUE!</v>
      </c>
      <c r="Y92" s="550" t="e">
        <f t="shared" si="30"/>
        <v>#VALUE!</v>
      </c>
      <c r="Z92" s="551" t="e">
        <f t="shared" si="30"/>
        <v>#VALUE!</v>
      </c>
      <c r="AA92" s="551" t="e">
        <f t="shared" si="30"/>
        <v>#VALUE!</v>
      </c>
      <c r="AB92" s="553" t="e">
        <f t="shared" si="30"/>
        <v>#VALUE!</v>
      </c>
      <c r="AC92" s="554" t="e">
        <f t="shared" si="30"/>
        <v>#VALUE!</v>
      </c>
      <c r="AD92" s="551" t="e">
        <f t="shared" si="30"/>
        <v>#VALUE!</v>
      </c>
      <c r="AE92" s="551" t="e">
        <f t="shared" si="30"/>
        <v>#VALUE!</v>
      </c>
      <c r="AF92" s="552" t="e">
        <f t="shared" si="30"/>
        <v>#VALUE!</v>
      </c>
      <c r="AG92" s="555" t="e">
        <f t="shared" si="30"/>
        <v>#VALUE!</v>
      </c>
      <c r="AH92" s="551" t="e">
        <f t="shared" si="30"/>
        <v>#VALUE!</v>
      </c>
      <c r="AI92" s="551" t="e">
        <f t="shared" si="30"/>
        <v>#VALUE!</v>
      </c>
      <c r="AJ92" s="556" t="e">
        <f t="shared" si="30"/>
        <v>#VALUE!</v>
      </c>
      <c r="AK92" s="550" t="e">
        <f t="shared" si="30"/>
        <v>#VALUE!</v>
      </c>
      <c r="AL92" s="551" t="e">
        <f t="shared" si="30"/>
        <v>#VALUE!</v>
      </c>
      <c r="AM92" s="551" t="e">
        <f t="shared" si="30"/>
        <v>#VALUE!</v>
      </c>
      <c r="AN92" s="553" t="e">
        <f t="shared" si="30"/>
        <v>#VALUE!</v>
      </c>
      <c r="AO92" s="554" t="e">
        <f t="shared" si="30"/>
        <v>#VALUE!</v>
      </c>
      <c r="AP92" s="551" t="e">
        <f t="shared" si="30"/>
        <v>#VALUE!</v>
      </c>
      <c r="AQ92" s="551" t="e">
        <f t="shared" si="30"/>
        <v>#VALUE!</v>
      </c>
      <c r="AR92" s="552" t="e">
        <f t="shared" si="30"/>
        <v>#VALUE!</v>
      </c>
      <c r="AS92" s="550" t="e">
        <f t="shared" si="30"/>
        <v>#VALUE!</v>
      </c>
      <c r="AT92" s="551" t="e">
        <f t="shared" si="30"/>
        <v>#VALUE!</v>
      </c>
      <c r="AU92" s="551" t="e">
        <f t="shared" si="30"/>
        <v>#VALUE!</v>
      </c>
      <c r="AV92" s="553" t="e">
        <f t="shared" si="30"/>
        <v>#VALUE!</v>
      </c>
      <c r="AW92" s="554" t="e">
        <f t="shared" si="30"/>
        <v>#VALUE!</v>
      </c>
      <c r="AX92" s="551" t="e">
        <f t="shared" si="30"/>
        <v>#VALUE!</v>
      </c>
      <c r="AY92" s="551" t="e">
        <f t="shared" si="30"/>
        <v>#VALUE!</v>
      </c>
      <c r="AZ92" s="552" t="e">
        <f t="shared" si="30"/>
        <v>#VALUE!</v>
      </c>
      <c r="BA92" s="606" t="e">
        <f t="shared" si="26"/>
        <v>#VALUE!</v>
      </c>
    </row>
    <row r="93" spans="2:53" ht="12" thickBot="1" x14ac:dyDescent="0.25">
      <c r="B93" s="535">
        <v>9</v>
      </c>
      <c r="C93" s="548" t="s">
        <v>228</v>
      </c>
      <c r="D93" s="549">
        <f t="shared" si="22"/>
        <v>0</v>
      </c>
      <c r="E93" s="550" t="e">
        <f t="shared" ref="E93:AZ93" si="31">E73*$C$13</f>
        <v>#VALUE!</v>
      </c>
      <c r="F93" s="551" t="e">
        <f t="shared" si="31"/>
        <v>#VALUE!</v>
      </c>
      <c r="G93" s="551" t="e">
        <f t="shared" si="31"/>
        <v>#VALUE!</v>
      </c>
      <c r="H93" s="552" t="e">
        <f t="shared" si="31"/>
        <v>#VALUE!</v>
      </c>
      <c r="I93" s="550" t="e">
        <f t="shared" si="31"/>
        <v>#VALUE!</v>
      </c>
      <c r="J93" s="551" t="e">
        <f t="shared" si="31"/>
        <v>#VALUE!</v>
      </c>
      <c r="K93" s="551" t="e">
        <f t="shared" si="31"/>
        <v>#VALUE!</v>
      </c>
      <c r="L93" s="553" t="e">
        <f t="shared" si="31"/>
        <v>#VALUE!</v>
      </c>
      <c r="M93" s="554" t="e">
        <f t="shared" si="31"/>
        <v>#VALUE!</v>
      </c>
      <c r="N93" s="551" t="e">
        <f t="shared" si="31"/>
        <v>#VALUE!</v>
      </c>
      <c r="O93" s="551" t="e">
        <f t="shared" si="31"/>
        <v>#VALUE!</v>
      </c>
      <c r="P93" s="552" t="e">
        <f t="shared" si="31"/>
        <v>#VALUE!</v>
      </c>
      <c r="Q93" s="550" t="e">
        <f t="shared" si="31"/>
        <v>#VALUE!</v>
      </c>
      <c r="R93" s="551" t="e">
        <f t="shared" si="31"/>
        <v>#VALUE!</v>
      </c>
      <c r="S93" s="551" t="e">
        <f t="shared" si="31"/>
        <v>#VALUE!</v>
      </c>
      <c r="T93" s="553" t="e">
        <f t="shared" si="31"/>
        <v>#VALUE!</v>
      </c>
      <c r="U93" s="554" t="e">
        <f t="shared" si="31"/>
        <v>#VALUE!</v>
      </c>
      <c r="V93" s="551" t="e">
        <f t="shared" si="31"/>
        <v>#VALUE!</v>
      </c>
      <c r="W93" s="551" t="e">
        <f t="shared" si="31"/>
        <v>#VALUE!</v>
      </c>
      <c r="X93" s="552" t="e">
        <f t="shared" si="31"/>
        <v>#VALUE!</v>
      </c>
      <c r="Y93" s="550" t="e">
        <f t="shared" si="31"/>
        <v>#VALUE!</v>
      </c>
      <c r="Z93" s="551" t="e">
        <f t="shared" si="31"/>
        <v>#VALUE!</v>
      </c>
      <c r="AA93" s="551" t="e">
        <f t="shared" si="31"/>
        <v>#VALUE!</v>
      </c>
      <c r="AB93" s="553" t="e">
        <f t="shared" si="31"/>
        <v>#VALUE!</v>
      </c>
      <c r="AC93" s="554" t="e">
        <f t="shared" si="31"/>
        <v>#VALUE!</v>
      </c>
      <c r="AD93" s="551" t="e">
        <f t="shared" si="31"/>
        <v>#VALUE!</v>
      </c>
      <c r="AE93" s="551" t="e">
        <f t="shared" si="31"/>
        <v>#VALUE!</v>
      </c>
      <c r="AF93" s="552" t="e">
        <f t="shared" si="31"/>
        <v>#VALUE!</v>
      </c>
      <c r="AG93" s="555" t="e">
        <f t="shared" si="31"/>
        <v>#VALUE!</v>
      </c>
      <c r="AH93" s="551" t="e">
        <f t="shared" si="31"/>
        <v>#VALUE!</v>
      </c>
      <c r="AI93" s="551" t="e">
        <f t="shared" si="31"/>
        <v>#VALUE!</v>
      </c>
      <c r="AJ93" s="556" t="e">
        <f t="shared" si="31"/>
        <v>#VALUE!</v>
      </c>
      <c r="AK93" s="550" t="e">
        <f t="shared" si="31"/>
        <v>#VALUE!</v>
      </c>
      <c r="AL93" s="551" t="e">
        <f t="shared" si="31"/>
        <v>#VALUE!</v>
      </c>
      <c r="AM93" s="551" t="e">
        <f t="shared" si="31"/>
        <v>#VALUE!</v>
      </c>
      <c r="AN93" s="553" t="e">
        <f t="shared" si="31"/>
        <v>#VALUE!</v>
      </c>
      <c r="AO93" s="554" t="e">
        <f t="shared" si="31"/>
        <v>#VALUE!</v>
      </c>
      <c r="AP93" s="551" t="e">
        <f t="shared" si="31"/>
        <v>#VALUE!</v>
      </c>
      <c r="AQ93" s="551" t="e">
        <f t="shared" si="31"/>
        <v>#VALUE!</v>
      </c>
      <c r="AR93" s="552" t="e">
        <f t="shared" si="31"/>
        <v>#VALUE!</v>
      </c>
      <c r="AS93" s="550" t="e">
        <f t="shared" si="31"/>
        <v>#VALUE!</v>
      </c>
      <c r="AT93" s="551" t="e">
        <f t="shared" si="31"/>
        <v>#VALUE!</v>
      </c>
      <c r="AU93" s="551" t="e">
        <f t="shared" si="31"/>
        <v>#VALUE!</v>
      </c>
      <c r="AV93" s="553" t="e">
        <f t="shared" si="31"/>
        <v>#VALUE!</v>
      </c>
      <c r="AW93" s="554" t="e">
        <f t="shared" si="31"/>
        <v>#VALUE!</v>
      </c>
      <c r="AX93" s="551" t="e">
        <f t="shared" si="31"/>
        <v>#VALUE!</v>
      </c>
      <c r="AY93" s="551" t="e">
        <f t="shared" si="31"/>
        <v>#VALUE!</v>
      </c>
      <c r="AZ93" s="552" t="e">
        <f t="shared" si="31"/>
        <v>#VALUE!</v>
      </c>
      <c r="BA93" s="606" t="e">
        <f t="shared" si="26"/>
        <v>#VALUE!</v>
      </c>
    </row>
    <row r="94" spans="2:53" ht="12" thickBot="1" x14ac:dyDescent="0.25">
      <c r="B94" s="535">
        <v>10</v>
      </c>
      <c r="C94" s="548" t="s">
        <v>718</v>
      </c>
      <c r="D94" s="549">
        <f t="shared" si="22"/>
        <v>0</v>
      </c>
      <c r="E94" s="550" t="e">
        <f t="shared" ref="E94:AZ94" si="32">E74*$C$14</f>
        <v>#VALUE!</v>
      </c>
      <c r="F94" s="551" t="e">
        <f t="shared" si="32"/>
        <v>#VALUE!</v>
      </c>
      <c r="G94" s="551" t="e">
        <f t="shared" si="32"/>
        <v>#VALUE!</v>
      </c>
      <c r="H94" s="552" t="e">
        <f t="shared" si="32"/>
        <v>#VALUE!</v>
      </c>
      <c r="I94" s="550" t="e">
        <f t="shared" si="32"/>
        <v>#VALUE!</v>
      </c>
      <c r="J94" s="551" t="e">
        <f t="shared" si="32"/>
        <v>#VALUE!</v>
      </c>
      <c r="K94" s="551" t="e">
        <f t="shared" si="32"/>
        <v>#VALUE!</v>
      </c>
      <c r="L94" s="553" t="e">
        <f t="shared" si="32"/>
        <v>#VALUE!</v>
      </c>
      <c r="M94" s="554" t="e">
        <f t="shared" si="32"/>
        <v>#VALUE!</v>
      </c>
      <c r="N94" s="551" t="e">
        <f t="shared" si="32"/>
        <v>#VALUE!</v>
      </c>
      <c r="O94" s="551" t="e">
        <f t="shared" si="32"/>
        <v>#VALUE!</v>
      </c>
      <c r="P94" s="552" t="e">
        <f t="shared" si="32"/>
        <v>#VALUE!</v>
      </c>
      <c r="Q94" s="550" t="e">
        <f t="shared" si="32"/>
        <v>#VALUE!</v>
      </c>
      <c r="R94" s="551" t="e">
        <f t="shared" si="32"/>
        <v>#VALUE!</v>
      </c>
      <c r="S94" s="551" t="e">
        <f t="shared" si="32"/>
        <v>#VALUE!</v>
      </c>
      <c r="T94" s="553" t="e">
        <f t="shared" si="32"/>
        <v>#VALUE!</v>
      </c>
      <c r="U94" s="554" t="e">
        <f t="shared" si="32"/>
        <v>#VALUE!</v>
      </c>
      <c r="V94" s="551" t="e">
        <f t="shared" si="32"/>
        <v>#VALUE!</v>
      </c>
      <c r="W94" s="551" t="e">
        <f t="shared" si="32"/>
        <v>#VALUE!</v>
      </c>
      <c r="X94" s="552" t="e">
        <f t="shared" si="32"/>
        <v>#VALUE!</v>
      </c>
      <c r="Y94" s="550" t="e">
        <f t="shared" si="32"/>
        <v>#VALUE!</v>
      </c>
      <c r="Z94" s="551" t="e">
        <f t="shared" si="32"/>
        <v>#VALUE!</v>
      </c>
      <c r="AA94" s="551" t="e">
        <f t="shared" si="32"/>
        <v>#VALUE!</v>
      </c>
      <c r="AB94" s="553" t="e">
        <f t="shared" si="32"/>
        <v>#VALUE!</v>
      </c>
      <c r="AC94" s="554" t="e">
        <f t="shared" si="32"/>
        <v>#VALUE!</v>
      </c>
      <c r="AD94" s="551" t="e">
        <f t="shared" si="32"/>
        <v>#VALUE!</v>
      </c>
      <c r="AE94" s="551" t="e">
        <f t="shared" si="32"/>
        <v>#VALUE!</v>
      </c>
      <c r="AF94" s="552" t="e">
        <f t="shared" si="32"/>
        <v>#VALUE!</v>
      </c>
      <c r="AG94" s="555" t="e">
        <f t="shared" si="32"/>
        <v>#VALUE!</v>
      </c>
      <c r="AH94" s="551" t="e">
        <f t="shared" si="32"/>
        <v>#VALUE!</v>
      </c>
      <c r="AI94" s="551" t="e">
        <f t="shared" si="32"/>
        <v>#VALUE!</v>
      </c>
      <c r="AJ94" s="556" t="e">
        <f t="shared" si="32"/>
        <v>#VALUE!</v>
      </c>
      <c r="AK94" s="550" t="e">
        <f t="shared" si="32"/>
        <v>#VALUE!</v>
      </c>
      <c r="AL94" s="551" t="e">
        <f t="shared" si="32"/>
        <v>#VALUE!</v>
      </c>
      <c r="AM94" s="551" t="e">
        <f t="shared" si="32"/>
        <v>#VALUE!</v>
      </c>
      <c r="AN94" s="553" t="e">
        <f t="shared" si="32"/>
        <v>#VALUE!</v>
      </c>
      <c r="AO94" s="554" t="e">
        <f t="shared" si="32"/>
        <v>#VALUE!</v>
      </c>
      <c r="AP94" s="551" t="e">
        <f t="shared" si="32"/>
        <v>#VALUE!</v>
      </c>
      <c r="AQ94" s="551" t="e">
        <f t="shared" si="32"/>
        <v>#VALUE!</v>
      </c>
      <c r="AR94" s="552" t="e">
        <f t="shared" si="32"/>
        <v>#VALUE!</v>
      </c>
      <c r="AS94" s="550" t="e">
        <f t="shared" si="32"/>
        <v>#VALUE!</v>
      </c>
      <c r="AT94" s="551" t="e">
        <f t="shared" si="32"/>
        <v>#VALUE!</v>
      </c>
      <c r="AU94" s="551" t="e">
        <f t="shared" si="32"/>
        <v>#VALUE!</v>
      </c>
      <c r="AV94" s="553" t="e">
        <f t="shared" si="32"/>
        <v>#VALUE!</v>
      </c>
      <c r="AW94" s="554" t="e">
        <f t="shared" si="32"/>
        <v>#VALUE!</v>
      </c>
      <c r="AX94" s="551" t="e">
        <f t="shared" si="32"/>
        <v>#VALUE!</v>
      </c>
      <c r="AY94" s="551" t="e">
        <f t="shared" si="32"/>
        <v>#VALUE!</v>
      </c>
      <c r="AZ94" s="552" t="e">
        <f t="shared" si="32"/>
        <v>#VALUE!</v>
      </c>
      <c r="BA94" s="606" t="e">
        <f t="shared" si="26"/>
        <v>#VALUE!</v>
      </c>
    </row>
    <row r="95" spans="2:53" ht="12" thickBot="1" x14ac:dyDescent="0.25">
      <c r="B95" s="535">
        <v>11</v>
      </c>
      <c r="C95" s="548" t="s">
        <v>2219</v>
      </c>
      <c r="D95" s="549">
        <f t="shared" si="22"/>
        <v>0</v>
      </c>
      <c r="E95" s="550" t="e">
        <f t="shared" ref="E95:AZ95" si="33">E75*$C$15</f>
        <v>#VALUE!</v>
      </c>
      <c r="F95" s="551" t="e">
        <f t="shared" si="33"/>
        <v>#VALUE!</v>
      </c>
      <c r="G95" s="551" t="e">
        <f t="shared" si="33"/>
        <v>#VALUE!</v>
      </c>
      <c r="H95" s="552" t="e">
        <f t="shared" si="33"/>
        <v>#VALUE!</v>
      </c>
      <c r="I95" s="550" t="e">
        <f t="shared" si="33"/>
        <v>#VALUE!</v>
      </c>
      <c r="J95" s="551" t="e">
        <f t="shared" si="33"/>
        <v>#VALUE!</v>
      </c>
      <c r="K95" s="551" t="e">
        <f t="shared" si="33"/>
        <v>#VALUE!</v>
      </c>
      <c r="L95" s="553" t="e">
        <f t="shared" si="33"/>
        <v>#VALUE!</v>
      </c>
      <c r="M95" s="554" t="e">
        <f t="shared" si="33"/>
        <v>#VALUE!</v>
      </c>
      <c r="N95" s="551" t="e">
        <f t="shared" si="33"/>
        <v>#VALUE!</v>
      </c>
      <c r="O95" s="551" t="e">
        <f t="shared" si="33"/>
        <v>#VALUE!</v>
      </c>
      <c r="P95" s="552" t="e">
        <f t="shared" si="33"/>
        <v>#VALUE!</v>
      </c>
      <c r="Q95" s="550" t="e">
        <f t="shared" si="33"/>
        <v>#VALUE!</v>
      </c>
      <c r="R95" s="551" t="e">
        <f t="shared" si="33"/>
        <v>#VALUE!</v>
      </c>
      <c r="S95" s="551" t="e">
        <f t="shared" si="33"/>
        <v>#VALUE!</v>
      </c>
      <c r="T95" s="553" t="e">
        <f t="shared" si="33"/>
        <v>#VALUE!</v>
      </c>
      <c r="U95" s="554" t="e">
        <f t="shared" si="33"/>
        <v>#VALUE!</v>
      </c>
      <c r="V95" s="551" t="e">
        <f t="shared" si="33"/>
        <v>#VALUE!</v>
      </c>
      <c r="W95" s="551" t="e">
        <f t="shared" si="33"/>
        <v>#VALUE!</v>
      </c>
      <c r="X95" s="552" t="e">
        <f t="shared" si="33"/>
        <v>#VALUE!</v>
      </c>
      <c r="Y95" s="550" t="e">
        <f t="shared" si="33"/>
        <v>#VALUE!</v>
      </c>
      <c r="Z95" s="551" t="e">
        <f t="shared" si="33"/>
        <v>#VALUE!</v>
      </c>
      <c r="AA95" s="551" t="e">
        <f t="shared" si="33"/>
        <v>#VALUE!</v>
      </c>
      <c r="AB95" s="553" t="e">
        <f t="shared" si="33"/>
        <v>#VALUE!</v>
      </c>
      <c r="AC95" s="554" t="e">
        <f t="shared" si="33"/>
        <v>#VALUE!</v>
      </c>
      <c r="AD95" s="551" t="e">
        <f t="shared" si="33"/>
        <v>#VALUE!</v>
      </c>
      <c r="AE95" s="551" t="e">
        <f t="shared" si="33"/>
        <v>#VALUE!</v>
      </c>
      <c r="AF95" s="552" t="e">
        <f t="shared" si="33"/>
        <v>#VALUE!</v>
      </c>
      <c r="AG95" s="555" t="e">
        <f t="shared" si="33"/>
        <v>#VALUE!</v>
      </c>
      <c r="AH95" s="551" t="e">
        <f t="shared" si="33"/>
        <v>#VALUE!</v>
      </c>
      <c r="AI95" s="551" t="e">
        <f t="shared" si="33"/>
        <v>#VALUE!</v>
      </c>
      <c r="AJ95" s="556" t="e">
        <f t="shared" si="33"/>
        <v>#VALUE!</v>
      </c>
      <c r="AK95" s="550" t="e">
        <f t="shared" si="33"/>
        <v>#VALUE!</v>
      </c>
      <c r="AL95" s="551" t="e">
        <f t="shared" si="33"/>
        <v>#VALUE!</v>
      </c>
      <c r="AM95" s="551" t="e">
        <f t="shared" si="33"/>
        <v>#VALUE!</v>
      </c>
      <c r="AN95" s="553" t="e">
        <f t="shared" si="33"/>
        <v>#VALUE!</v>
      </c>
      <c r="AO95" s="554" t="e">
        <f t="shared" si="33"/>
        <v>#VALUE!</v>
      </c>
      <c r="AP95" s="551" t="e">
        <f t="shared" si="33"/>
        <v>#VALUE!</v>
      </c>
      <c r="AQ95" s="551" t="e">
        <f t="shared" si="33"/>
        <v>#VALUE!</v>
      </c>
      <c r="AR95" s="552" t="e">
        <f t="shared" si="33"/>
        <v>#VALUE!</v>
      </c>
      <c r="AS95" s="550" t="e">
        <f t="shared" si="33"/>
        <v>#VALUE!</v>
      </c>
      <c r="AT95" s="551" t="e">
        <f t="shared" si="33"/>
        <v>#VALUE!</v>
      </c>
      <c r="AU95" s="551" t="e">
        <f t="shared" si="33"/>
        <v>#VALUE!</v>
      </c>
      <c r="AV95" s="553" t="e">
        <f t="shared" si="33"/>
        <v>#VALUE!</v>
      </c>
      <c r="AW95" s="554" t="e">
        <f t="shared" si="33"/>
        <v>#VALUE!</v>
      </c>
      <c r="AX95" s="551" t="e">
        <f t="shared" si="33"/>
        <v>#VALUE!</v>
      </c>
      <c r="AY95" s="551" t="e">
        <f t="shared" si="33"/>
        <v>#VALUE!</v>
      </c>
      <c r="AZ95" s="552" t="e">
        <f t="shared" si="33"/>
        <v>#VALUE!</v>
      </c>
      <c r="BA95" s="606" t="e">
        <f t="shared" si="26"/>
        <v>#VALUE!</v>
      </c>
    </row>
    <row r="96" spans="2:53" ht="12" thickBot="1" x14ac:dyDescent="0.25">
      <c r="B96" s="535">
        <v>12</v>
      </c>
      <c r="C96" s="548" t="s">
        <v>2220</v>
      </c>
      <c r="D96" s="549">
        <f t="shared" si="22"/>
        <v>523.08000000000004</v>
      </c>
      <c r="E96" s="550" t="e">
        <f t="shared" ref="E96:AZ96" si="34">E76*$C$16</f>
        <v>#VALUE!</v>
      </c>
      <c r="F96" s="551" t="e">
        <f t="shared" si="34"/>
        <v>#VALUE!</v>
      </c>
      <c r="G96" s="551" t="e">
        <f t="shared" si="34"/>
        <v>#VALUE!</v>
      </c>
      <c r="H96" s="552" t="e">
        <f t="shared" si="34"/>
        <v>#VALUE!</v>
      </c>
      <c r="I96" s="550" t="e">
        <f t="shared" si="34"/>
        <v>#VALUE!</v>
      </c>
      <c r="J96" s="551" t="e">
        <f t="shared" si="34"/>
        <v>#VALUE!</v>
      </c>
      <c r="K96" s="551" t="e">
        <f t="shared" si="34"/>
        <v>#VALUE!</v>
      </c>
      <c r="L96" s="553" t="e">
        <f t="shared" si="34"/>
        <v>#VALUE!</v>
      </c>
      <c r="M96" s="554" t="e">
        <f t="shared" si="34"/>
        <v>#VALUE!</v>
      </c>
      <c r="N96" s="551" t="e">
        <f t="shared" si="34"/>
        <v>#VALUE!</v>
      </c>
      <c r="O96" s="551" t="e">
        <f t="shared" si="34"/>
        <v>#VALUE!</v>
      </c>
      <c r="P96" s="552" t="e">
        <f t="shared" si="34"/>
        <v>#VALUE!</v>
      </c>
      <c r="Q96" s="550" t="e">
        <f t="shared" si="34"/>
        <v>#VALUE!</v>
      </c>
      <c r="R96" s="551" t="e">
        <f t="shared" si="34"/>
        <v>#VALUE!</v>
      </c>
      <c r="S96" s="551" t="e">
        <f t="shared" si="34"/>
        <v>#VALUE!</v>
      </c>
      <c r="T96" s="553" t="e">
        <f t="shared" si="34"/>
        <v>#VALUE!</v>
      </c>
      <c r="U96" s="554" t="e">
        <f t="shared" si="34"/>
        <v>#VALUE!</v>
      </c>
      <c r="V96" s="551" t="e">
        <f t="shared" si="34"/>
        <v>#VALUE!</v>
      </c>
      <c r="W96" s="551" t="e">
        <f t="shared" si="34"/>
        <v>#VALUE!</v>
      </c>
      <c r="X96" s="552" t="e">
        <f t="shared" si="34"/>
        <v>#VALUE!</v>
      </c>
      <c r="Y96" s="550" t="e">
        <f t="shared" si="34"/>
        <v>#VALUE!</v>
      </c>
      <c r="Z96" s="551" t="e">
        <f t="shared" si="34"/>
        <v>#VALUE!</v>
      </c>
      <c r="AA96" s="551" t="e">
        <f t="shared" si="34"/>
        <v>#VALUE!</v>
      </c>
      <c r="AB96" s="553" t="e">
        <f t="shared" si="34"/>
        <v>#VALUE!</v>
      </c>
      <c r="AC96" s="554" t="e">
        <f t="shared" si="34"/>
        <v>#VALUE!</v>
      </c>
      <c r="AD96" s="551" t="e">
        <f t="shared" si="34"/>
        <v>#VALUE!</v>
      </c>
      <c r="AE96" s="551" t="e">
        <f t="shared" si="34"/>
        <v>#VALUE!</v>
      </c>
      <c r="AF96" s="552" t="e">
        <f t="shared" si="34"/>
        <v>#VALUE!</v>
      </c>
      <c r="AG96" s="555" t="e">
        <f t="shared" si="34"/>
        <v>#VALUE!</v>
      </c>
      <c r="AH96" s="551" t="e">
        <f t="shared" si="34"/>
        <v>#VALUE!</v>
      </c>
      <c r="AI96" s="551" t="e">
        <f t="shared" si="34"/>
        <v>#VALUE!</v>
      </c>
      <c r="AJ96" s="556" t="e">
        <f t="shared" si="34"/>
        <v>#VALUE!</v>
      </c>
      <c r="AK96" s="550" t="e">
        <f t="shared" si="34"/>
        <v>#VALUE!</v>
      </c>
      <c r="AL96" s="551" t="e">
        <f t="shared" si="34"/>
        <v>#VALUE!</v>
      </c>
      <c r="AM96" s="551" t="e">
        <f t="shared" si="34"/>
        <v>#VALUE!</v>
      </c>
      <c r="AN96" s="553" t="e">
        <f t="shared" si="34"/>
        <v>#VALUE!</v>
      </c>
      <c r="AO96" s="554" t="e">
        <f t="shared" si="34"/>
        <v>#VALUE!</v>
      </c>
      <c r="AP96" s="551" t="e">
        <f t="shared" si="34"/>
        <v>#VALUE!</v>
      </c>
      <c r="AQ96" s="551" t="e">
        <f t="shared" si="34"/>
        <v>#VALUE!</v>
      </c>
      <c r="AR96" s="552" t="e">
        <f t="shared" si="34"/>
        <v>#VALUE!</v>
      </c>
      <c r="AS96" s="550" t="e">
        <f t="shared" si="34"/>
        <v>#VALUE!</v>
      </c>
      <c r="AT96" s="551" t="e">
        <f t="shared" si="34"/>
        <v>#VALUE!</v>
      </c>
      <c r="AU96" s="551" t="e">
        <f t="shared" si="34"/>
        <v>#VALUE!</v>
      </c>
      <c r="AV96" s="553" t="e">
        <f t="shared" si="34"/>
        <v>#VALUE!</v>
      </c>
      <c r="AW96" s="554" t="e">
        <f t="shared" si="34"/>
        <v>#VALUE!</v>
      </c>
      <c r="AX96" s="551" t="e">
        <f t="shared" si="34"/>
        <v>#VALUE!</v>
      </c>
      <c r="AY96" s="551" t="e">
        <f t="shared" si="34"/>
        <v>#VALUE!</v>
      </c>
      <c r="AZ96" s="552" t="e">
        <f t="shared" si="34"/>
        <v>#VALUE!</v>
      </c>
      <c r="BA96" s="606" t="e">
        <f t="shared" si="26"/>
        <v>#VALUE!</v>
      </c>
    </row>
    <row r="97" spans="2:53" ht="12" thickBot="1" x14ac:dyDescent="0.25">
      <c r="B97" s="535">
        <v>13</v>
      </c>
      <c r="C97" s="548" t="s">
        <v>2221</v>
      </c>
      <c r="D97" s="549">
        <f t="shared" si="22"/>
        <v>0</v>
      </c>
      <c r="E97" s="550" t="e">
        <f t="shared" ref="E97:AZ97" si="35">E77*$C$17</f>
        <v>#VALUE!</v>
      </c>
      <c r="F97" s="551" t="e">
        <f t="shared" si="35"/>
        <v>#VALUE!</v>
      </c>
      <c r="G97" s="551" t="e">
        <f t="shared" si="35"/>
        <v>#VALUE!</v>
      </c>
      <c r="H97" s="552" t="e">
        <f t="shared" si="35"/>
        <v>#VALUE!</v>
      </c>
      <c r="I97" s="550" t="e">
        <f t="shared" si="35"/>
        <v>#VALUE!</v>
      </c>
      <c r="J97" s="551" t="e">
        <f t="shared" si="35"/>
        <v>#VALUE!</v>
      </c>
      <c r="K97" s="551" t="e">
        <f t="shared" si="35"/>
        <v>#VALUE!</v>
      </c>
      <c r="L97" s="553" t="e">
        <f t="shared" si="35"/>
        <v>#VALUE!</v>
      </c>
      <c r="M97" s="554" t="e">
        <f t="shared" si="35"/>
        <v>#VALUE!</v>
      </c>
      <c r="N97" s="551" t="e">
        <f t="shared" si="35"/>
        <v>#VALUE!</v>
      </c>
      <c r="O97" s="551" t="e">
        <f t="shared" si="35"/>
        <v>#VALUE!</v>
      </c>
      <c r="P97" s="552" t="e">
        <f t="shared" si="35"/>
        <v>#VALUE!</v>
      </c>
      <c r="Q97" s="550" t="e">
        <f t="shared" si="35"/>
        <v>#VALUE!</v>
      </c>
      <c r="R97" s="551" t="e">
        <f t="shared" si="35"/>
        <v>#VALUE!</v>
      </c>
      <c r="S97" s="551" t="e">
        <f t="shared" si="35"/>
        <v>#VALUE!</v>
      </c>
      <c r="T97" s="553" t="e">
        <f t="shared" si="35"/>
        <v>#VALUE!</v>
      </c>
      <c r="U97" s="554" t="e">
        <f t="shared" si="35"/>
        <v>#VALUE!</v>
      </c>
      <c r="V97" s="551" t="e">
        <f t="shared" si="35"/>
        <v>#VALUE!</v>
      </c>
      <c r="W97" s="551" t="e">
        <f t="shared" si="35"/>
        <v>#VALUE!</v>
      </c>
      <c r="X97" s="552" t="e">
        <f t="shared" si="35"/>
        <v>#VALUE!</v>
      </c>
      <c r="Y97" s="550" t="e">
        <f t="shared" si="35"/>
        <v>#VALUE!</v>
      </c>
      <c r="Z97" s="551" t="e">
        <f t="shared" si="35"/>
        <v>#VALUE!</v>
      </c>
      <c r="AA97" s="551" t="e">
        <f t="shared" si="35"/>
        <v>#VALUE!</v>
      </c>
      <c r="AB97" s="553" t="e">
        <f t="shared" si="35"/>
        <v>#VALUE!</v>
      </c>
      <c r="AC97" s="554" t="e">
        <f t="shared" si="35"/>
        <v>#VALUE!</v>
      </c>
      <c r="AD97" s="551" t="e">
        <f t="shared" si="35"/>
        <v>#VALUE!</v>
      </c>
      <c r="AE97" s="551" t="e">
        <f t="shared" si="35"/>
        <v>#VALUE!</v>
      </c>
      <c r="AF97" s="552" t="e">
        <f t="shared" si="35"/>
        <v>#VALUE!</v>
      </c>
      <c r="AG97" s="555" t="e">
        <f t="shared" si="35"/>
        <v>#VALUE!</v>
      </c>
      <c r="AH97" s="551" t="e">
        <f t="shared" si="35"/>
        <v>#VALUE!</v>
      </c>
      <c r="AI97" s="551" t="e">
        <f t="shared" si="35"/>
        <v>#VALUE!</v>
      </c>
      <c r="AJ97" s="556" t="e">
        <f t="shared" si="35"/>
        <v>#VALUE!</v>
      </c>
      <c r="AK97" s="550" t="e">
        <f t="shared" si="35"/>
        <v>#VALUE!</v>
      </c>
      <c r="AL97" s="551" t="e">
        <f t="shared" si="35"/>
        <v>#VALUE!</v>
      </c>
      <c r="AM97" s="551" t="e">
        <f t="shared" si="35"/>
        <v>#VALUE!</v>
      </c>
      <c r="AN97" s="553" t="e">
        <f t="shared" si="35"/>
        <v>#VALUE!</v>
      </c>
      <c r="AO97" s="554" t="e">
        <f t="shared" si="35"/>
        <v>#VALUE!</v>
      </c>
      <c r="AP97" s="551" t="e">
        <f t="shared" si="35"/>
        <v>#VALUE!</v>
      </c>
      <c r="AQ97" s="551" t="e">
        <f t="shared" si="35"/>
        <v>#VALUE!</v>
      </c>
      <c r="AR97" s="552" t="e">
        <f t="shared" si="35"/>
        <v>#VALUE!</v>
      </c>
      <c r="AS97" s="550" t="e">
        <f t="shared" si="35"/>
        <v>#VALUE!</v>
      </c>
      <c r="AT97" s="551" t="e">
        <f t="shared" si="35"/>
        <v>#VALUE!</v>
      </c>
      <c r="AU97" s="551" t="e">
        <f t="shared" si="35"/>
        <v>#VALUE!</v>
      </c>
      <c r="AV97" s="553" t="e">
        <f t="shared" si="35"/>
        <v>#VALUE!</v>
      </c>
      <c r="AW97" s="554" t="e">
        <f t="shared" si="35"/>
        <v>#VALUE!</v>
      </c>
      <c r="AX97" s="551" t="e">
        <f t="shared" si="35"/>
        <v>#VALUE!</v>
      </c>
      <c r="AY97" s="551" t="e">
        <f t="shared" si="35"/>
        <v>#VALUE!</v>
      </c>
      <c r="AZ97" s="552" t="e">
        <f t="shared" si="35"/>
        <v>#VALUE!</v>
      </c>
      <c r="BA97" s="606" t="e">
        <f t="shared" si="26"/>
        <v>#VALUE!</v>
      </c>
    </row>
    <row r="98" spans="2:53" ht="12" thickBot="1" x14ac:dyDescent="0.25">
      <c r="B98" s="535">
        <v>14</v>
      </c>
      <c r="C98" s="536" t="s">
        <v>2222</v>
      </c>
      <c r="D98" s="557">
        <f t="shared" si="22"/>
        <v>0</v>
      </c>
      <c r="E98" s="558" t="e">
        <f t="shared" ref="E98:AZ98" si="36">E78*$C$18</f>
        <v>#VALUE!</v>
      </c>
      <c r="F98" s="559" t="e">
        <f t="shared" si="36"/>
        <v>#VALUE!</v>
      </c>
      <c r="G98" s="559" t="e">
        <f t="shared" si="36"/>
        <v>#VALUE!</v>
      </c>
      <c r="H98" s="560" t="e">
        <f t="shared" si="36"/>
        <v>#VALUE!</v>
      </c>
      <c r="I98" s="558" t="e">
        <f t="shared" si="36"/>
        <v>#VALUE!</v>
      </c>
      <c r="J98" s="559" t="e">
        <f t="shared" si="36"/>
        <v>#VALUE!</v>
      </c>
      <c r="K98" s="559" t="e">
        <f t="shared" si="36"/>
        <v>#VALUE!</v>
      </c>
      <c r="L98" s="561" t="e">
        <f t="shared" si="36"/>
        <v>#VALUE!</v>
      </c>
      <c r="M98" s="562" t="e">
        <f t="shared" si="36"/>
        <v>#VALUE!</v>
      </c>
      <c r="N98" s="559" t="e">
        <f t="shared" si="36"/>
        <v>#VALUE!</v>
      </c>
      <c r="O98" s="559" t="e">
        <f t="shared" si="36"/>
        <v>#VALUE!</v>
      </c>
      <c r="P98" s="560" t="e">
        <f t="shared" si="36"/>
        <v>#VALUE!</v>
      </c>
      <c r="Q98" s="558" t="e">
        <f t="shared" si="36"/>
        <v>#VALUE!</v>
      </c>
      <c r="R98" s="559" t="e">
        <f t="shared" si="36"/>
        <v>#VALUE!</v>
      </c>
      <c r="S98" s="559" t="e">
        <f t="shared" si="36"/>
        <v>#VALUE!</v>
      </c>
      <c r="T98" s="561" t="e">
        <f t="shared" si="36"/>
        <v>#VALUE!</v>
      </c>
      <c r="U98" s="562" t="e">
        <f t="shared" si="36"/>
        <v>#VALUE!</v>
      </c>
      <c r="V98" s="559" t="e">
        <f t="shared" si="36"/>
        <v>#VALUE!</v>
      </c>
      <c r="W98" s="559" t="e">
        <f t="shared" si="36"/>
        <v>#VALUE!</v>
      </c>
      <c r="X98" s="560" t="e">
        <f t="shared" si="36"/>
        <v>#VALUE!</v>
      </c>
      <c r="Y98" s="558" t="e">
        <f t="shared" si="36"/>
        <v>#VALUE!</v>
      </c>
      <c r="Z98" s="559" t="e">
        <f t="shared" si="36"/>
        <v>#VALUE!</v>
      </c>
      <c r="AA98" s="559" t="e">
        <f t="shared" si="36"/>
        <v>#VALUE!</v>
      </c>
      <c r="AB98" s="561" t="e">
        <f t="shared" si="36"/>
        <v>#VALUE!</v>
      </c>
      <c r="AC98" s="562" t="e">
        <f t="shared" si="36"/>
        <v>#VALUE!</v>
      </c>
      <c r="AD98" s="559" t="e">
        <f t="shared" si="36"/>
        <v>#VALUE!</v>
      </c>
      <c r="AE98" s="559" t="e">
        <f t="shared" si="36"/>
        <v>#VALUE!</v>
      </c>
      <c r="AF98" s="560" t="e">
        <f t="shared" si="36"/>
        <v>#VALUE!</v>
      </c>
      <c r="AG98" s="563" t="e">
        <f t="shared" si="36"/>
        <v>#VALUE!</v>
      </c>
      <c r="AH98" s="559" t="e">
        <f t="shared" si="36"/>
        <v>#VALUE!</v>
      </c>
      <c r="AI98" s="559" t="e">
        <f t="shared" si="36"/>
        <v>#VALUE!</v>
      </c>
      <c r="AJ98" s="564" t="e">
        <f t="shared" si="36"/>
        <v>#VALUE!</v>
      </c>
      <c r="AK98" s="558" t="e">
        <f t="shared" si="36"/>
        <v>#VALUE!</v>
      </c>
      <c r="AL98" s="559" t="e">
        <f t="shared" si="36"/>
        <v>#VALUE!</v>
      </c>
      <c r="AM98" s="559" t="e">
        <f t="shared" si="36"/>
        <v>#VALUE!</v>
      </c>
      <c r="AN98" s="561" t="e">
        <f t="shared" si="36"/>
        <v>#VALUE!</v>
      </c>
      <c r="AO98" s="562" t="e">
        <f t="shared" si="36"/>
        <v>#VALUE!</v>
      </c>
      <c r="AP98" s="559" t="e">
        <f t="shared" si="36"/>
        <v>#VALUE!</v>
      </c>
      <c r="AQ98" s="559" t="e">
        <f t="shared" si="36"/>
        <v>#VALUE!</v>
      </c>
      <c r="AR98" s="560" t="e">
        <f t="shared" si="36"/>
        <v>#VALUE!</v>
      </c>
      <c r="AS98" s="558" t="e">
        <f t="shared" si="36"/>
        <v>#VALUE!</v>
      </c>
      <c r="AT98" s="559" t="e">
        <f t="shared" si="36"/>
        <v>#VALUE!</v>
      </c>
      <c r="AU98" s="559" t="e">
        <f t="shared" si="36"/>
        <v>#VALUE!</v>
      </c>
      <c r="AV98" s="561" t="e">
        <f t="shared" si="36"/>
        <v>#VALUE!</v>
      </c>
      <c r="AW98" s="562" t="e">
        <f t="shared" si="36"/>
        <v>#VALUE!</v>
      </c>
      <c r="AX98" s="559" t="e">
        <f t="shared" si="36"/>
        <v>#VALUE!</v>
      </c>
      <c r="AY98" s="559" t="e">
        <f t="shared" si="36"/>
        <v>#VALUE!</v>
      </c>
      <c r="AZ98" s="560" t="e">
        <f t="shared" si="36"/>
        <v>#VALUE!</v>
      </c>
      <c r="BA98" s="606" t="e">
        <f t="shared" si="26"/>
        <v>#VALUE!</v>
      </c>
    </row>
    <row r="99" spans="2:53" ht="12" thickBot="1" x14ac:dyDescent="0.25">
      <c r="B99" s="698" t="s">
        <v>2210</v>
      </c>
      <c r="C99" s="699"/>
      <c r="D99" s="537">
        <f t="shared" si="22"/>
        <v>86141.92</v>
      </c>
      <c r="E99" s="565"/>
      <c r="F99" s="566"/>
      <c r="G99" s="566"/>
      <c r="H99" s="567"/>
      <c r="I99" s="568"/>
      <c r="J99" s="566"/>
      <c r="K99" s="566"/>
      <c r="L99" s="567"/>
      <c r="M99" s="568"/>
      <c r="N99" s="566"/>
      <c r="O99" s="566"/>
      <c r="P99" s="567"/>
      <c r="Q99" s="568"/>
      <c r="R99" s="566"/>
      <c r="S99" s="566"/>
      <c r="T99" s="567"/>
      <c r="U99" s="568"/>
      <c r="V99" s="566"/>
      <c r="W99" s="566"/>
      <c r="X99" s="567"/>
      <c r="Y99" s="568"/>
      <c r="Z99" s="566"/>
      <c r="AA99" s="566"/>
      <c r="AB99" s="567"/>
      <c r="AC99" s="568"/>
      <c r="AD99" s="566"/>
      <c r="AE99" s="566"/>
      <c r="AF99" s="567"/>
      <c r="AG99" s="568"/>
      <c r="AH99" s="566"/>
      <c r="AI99" s="566"/>
      <c r="AJ99" s="567"/>
      <c r="AK99" s="568"/>
      <c r="AL99" s="566"/>
      <c r="AM99" s="566"/>
      <c r="AN99" s="567"/>
      <c r="AO99" s="568"/>
      <c r="AP99" s="566"/>
      <c r="AQ99" s="566"/>
      <c r="AR99" s="567"/>
      <c r="AS99" s="568"/>
      <c r="AT99" s="566"/>
      <c r="AU99" s="566"/>
      <c r="AV99" s="567"/>
      <c r="AW99" s="568"/>
      <c r="AX99" s="566"/>
      <c r="AY99" s="566"/>
      <c r="AZ99" s="567"/>
      <c r="BA99" s="569"/>
    </row>
    <row r="100" spans="2:53" x14ac:dyDescent="0.2">
      <c r="B100" s="704" t="s">
        <v>2223</v>
      </c>
      <c r="C100" s="705"/>
      <c r="D100" s="706"/>
      <c r="E100" s="607" t="e">
        <f>SUM(E85:E98)</f>
        <v>#VALUE!</v>
      </c>
      <c r="F100" s="607" t="e">
        <f t="shared" ref="F100:H100" si="37">SUM(F85:F98)</f>
        <v>#VALUE!</v>
      </c>
      <c r="G100" s="607" t="e">
        <f t="shared" si="37"/>
        <v>#VALUE!</v>
      </c>
      <c r="H100" s="607" t="e">
        <f t="shared" si="37"/>
        <v>#VALUE!</v>
      </c>
      <c r="I100" s="607" t="e">
        <f>SUM(I85:I98)</f>
        <v>#VALUE!</v>
      </c>
      <c r="J100" s="607" t="e">
        <f t="shared" ref="J100:AB100" si="38">SUM(J85:J98)</f>
        <v>#VALUE!</v>
      </c>
      <c r="K100" s="607" t="e">
        <f t="shared" si="38"/>
        <v>#VALUE!</v>
      </c>
      <c r="L100" s="607" t="e">
        <f t="shared" si="38"/>
        <v>#VALUE!</v>
      </c>
      <c r="M100" s="607" t="e">
        <f t="shared" si="38"/>
        <v>#VALUE!</v>
      </c>
      <c r="N100" s="607" t="e">
        <f t="shared" si="38"/>
        <v>#VALUE!</v>
      </c>
      <c r="O100" s="607" t="e">
        <f t="shared" si="38"/>
        <v>#VALUE!</v>
      </c>
      <c r="P100" s="607" t="e">
        <f t="shared" si="38"/>
        <v>#VALUE!</v>
      </c>
      <c r="Q100" s="607" t="e">
        <f t="shared" si="38"/>
        <v>#VALUE!</v>
      </c>
      <c r="R100" s="607" t="e">
        <f t="shared" si="38"/>
        <v>#VALUE!</v>
      </c>
      <c r="S100" s="607" t="e">
        <f t="shared" si="38"/>
        <v>#VALUE!</v>
      </c>
      <c r="T100" s="608" t="e">
        <f t="shared" si="38"/>
        <v>#VALUE!</v>
      </c>
      <c r="U100" s="607" t="e">
        <f t="shared" si="38"/>
        <v>#VALUE!</v>
      </c>
      <c r="V100" s="607" t="e">
        <f t="shared" si="38"/>
        <v>#VALUE!</v>
      </c>
      <c r="W100" s="607" t="e">
        <f t="shared" si="38"/>
        <v>#VALUE!</v>
      </c>
      <c r="X100" s="607" t="e">
        <f t="shared" si="38"/>
        <v>#VALUE!</v>
      </c>
      <c r="Y100" s="607" t="e">
        <f t="shared" si="38"/>
        <v>#VALUE!</v>
      </c>
      <c r="Z100" s="607" t="e">
        <f t="shared" si="38"/>
        <v>#VALUE!</v>
      </c>
      <c r="AA100" s="607" t="e">
        <f t="shared" si="38"/>
        <v>#VALUE!</v>
      </c>
      <c r="AB100" s="608" t="e">
        <f t="shared" si="38"/>
        <v>#VALUE!</v>
      </c>
      <c r="AC100" s="607" t="e">
        <f>SUM(AC85:AC98)</f>
        <v>#VALUE!</v>
      </c>
      <c r="AD100" s="607" t="e">
        <f t="shared" ref="AD100:AF100" si="39">SUM(AD85:AD98)</f>
        <v>#VALUE!</v>
      </c>
      <c r="AE100" s="607" t="e">
        <f t="shared" si="39"/>
        <v>#VALUE!</v>
      </c>
      <c r="AF100" s="607" t="e">
        <f t="shared" si="39"/>
        <v>#VALUE!</v>
      </c>
      <c r="AG100" s="607" t="e">
        <f>SUM(AG85:AG98)</f>
        <v>#VALUE!</v>
      </c>
      <c r="AH100" s="607" t="e">
        <f t="shared" ref="AH100:AR100" si="40">SUM(AH85:AH98)</f>
        <v>#VALUE!</v>
      </c>
      <c r="AI100" s="607" t="e">
        <f t="shared" si="40"/>
        <v>#VALUE!</v>
      </c>
      <c r="AJ100" s="607" t="e">
        <f t="shared" si="40"/>
        <v>#VALUE!</v>
      </c>
      <c r="AK100" s="607" t="e">
        <f t="shared" si="40"/>
        <v>#VALUE!</v>
      </c>
      <c r="AL100" s="607" t="e">
        <f t="shared" si="40"/>
        <v>#VALUE!</v>
      </c>
      <c r="AM100" s="607" t="e">
        <f t="shared" si="40"/>
        <v>#VALUE!</v>
      </c>
      <c r="AN100" s="607" t="e">
        <f t="shared" si="40"/>
        <v>#VALUE!</v>
      </c>
      <c r="AO100" s="607" t="e">
        <f t="shared" si="40"/>
        <v>#VALUE!</v>
      </c>
      <c r="AP100" s="607" t="e">
        <f t="shared" si="40"/>
        <v>#VALUE!</v>
      </c>
      <c r="AQ100" s="607" t="e">
        <f t="shared" si="40"/>
        <v>#VALUE!</v>
      </c>
      <c r="AR100" s="608" t="e">
        <f t="shared" si="40"/>
        <v>#VALUE!</v>
      </c>
      <c r="AS100" s="607" t="e">
        <f>SUM(AS85:AS98)</f>
        <v>#VALUE!</v>
      </c>
      <c r="AT100" s="607" t="e">
        <f t="shared" ref="AT100:AZ100" si="41">SUM(AT85:AT98)</f>
        <v>#VALUE!</v>
      </c>
      <c r="AU100" s="607" t="e">
        <f t="shared" si="41"/>
        <v>#VALUE!</v>
      </c>
      <c r="AV100" s="607" t="e">
        <f t="shared" si="41"/>
        <v>#VALUE!</v>
      </c>
      <c r="AW100" s="607" t="e">
        <f t="shared" si="41"/>
        <v>#VALUE!</v>
      </c>
      <c r="AX100" s="607" t="e">
        <f t="shared" si="41"/>
        <v>#VALUE!</v>
      </c>
      <c r="AY100" s="607" t="e">
        <f t="shared" si="41"/>
        <v>#VALUE!</v>
      </c>
      <c r="AZ100" s="608" t="e">
        <f t="shared" si="41"/>
        <v>#VALUE!</v>
      </c>
      <c r="BA100" s="608"/>
    </row>
    <row r="101" spans="2:53" x14ac:dyDescent="0.2">
      <c r="B101" s="707" t="s">
        <v>2224</v>
      </c>
      <c r="C101" s="708"/>
      <c r="D101" s="709"/>
      <c r="E101" s="609" t="e">
        <f>E100/$C$39</f>
        <v>#VALUE!</v>
      </c>
      <c r="F101" s="609" t="e">
        <f t="shared" ref="F101:AZ101" si="42">F100/$C$39</f>
        <v>#VALUE!</v>
      </c>
      <c r="G101" s="609" t="e">
        <f t="shared" si="42"/>
        <v>#VALUE!</v>
      </c>
      <c r="H101" s="609" t="e">
        <f t="shared" si="42"/>
        <v>#VALUE!</v>
      </c>
      <c r="I101" s="609" t="e">
        <f t="shared" si="42"/>
        <v>#VALUE!</v>
      </c>
      <c r="J101" s="609" t="e">
        <f t="shared" si="42"/>
        <v>#VALUE!</v>
      </c>
      <c r="K101" s="609" t="e">
        <f t="shared" si="42"/>
        <v>#VALUE!</v>
      </c>
      <c r="L101" s="609" t="e">
        <f t="shared" si="42"/>
        <v>#VALUE!</v>
      </c>
      <c r="M101" s="609" t="e">
        <f t="shared" si="42"/>
        <v>#VALUE!</v>
      </c>
      <c r="N101" s="609" t="e">
        <f t="shared" si="42"/>
        <v>#VALUE!</v>
      </c>
      <c r="O101" s="609" t="e">
        <f t="shared" si="42"/>
        <v>#VALUE!</v>
      </c>
      <c r="P101" s="609" t="e">
        <f t="shared" si="42"/>
        <v>#VALUE!</v>
      </c>
      <c r="Q101" s="609" t="e">
        <f t="shared" si="42"/>
        <v>#VALUE!</v>
      </c>
      <c r="R101" s="609" t="e">
        <f t="shared" si="42"/>
        <v>#VALUE!</v>
      </c>
      <c r="S101" s="609" t="e">
        <f t="shared" si="42"/>
        <v>#VALUE!</v>
      </c>
      <c r="T101" s="609" t="e">
        <f t="shared" si="42"/>
        <v>#VALUE!</v>
      </c>
      <c r="U101" s="609" t="e">
        <f t="shared" si="42"/>
        <v>#VALUE!</v>
      </c>
      <c r="V101" s="609" t="e">
        <f t="shared" si="42"/>
        <v>#VALUE!</v>
      </c>
      <c r="W101" s="609" t="e">
        <f t="shared" si="42"/>
        <v>#VALUE!</v>
      </c>
      <c r="X101" s="609" t="e">
        <f t="shared" si="42"/>
        <v>#VALUE!</v>
      </c>
      <c r="Y101" s="609" t="e">
        <f t="shared" si="42"/>
        <v>#VALUE!</v>
      </c>
      <c r="Z101" s="609" t="e">
        <f t="shared" si="42"/>
        <v>#VALUE!</v>
      </c>
      <c r="AA101" s="609" t="e">
        <f t="shared" si="42"/>
        <v>#VALUE!</v>
      </c>
      <c r="AB101" s="609" t="e">
        <f t="shared" si="42"/>
        <v>#VALUE!</v>
      </c>
      <c r="AC101" s="609" t="e">
        <f t="shared" si="42"/>
        <v>#VALUE!</v>
      </c>
      <c r="AD101" s="609" t="e">
        <f t="shared" si="42"/>
        <v>#VALUE!</v>
      </c>
      <c r="AE101" s="609" t="e">
        <f t="shared" si="42"/>
        <v>#VALUE!</v>
      </c>
      <c r="AF101" s="609" t="e">
        <f t="shared" si="42"/>
        <v>#VALUE!</v>
      </c>
      <c r="AG101" s="609" t="e">
        <f t="shared" si="42"/>
        <v>#VALUE!</v>
      </c>
      <c r="AH101" s="609" t="e">
        <f t="shared" si="42"/>
        <v>#VALUE!</v>
      </c>
      <c r="AI101" s="609" t="e">
        <f t="shared" si="42"/>
        <v>#VALUE!</v>
      </c>
      <c r="AJ101" s="609" t="e">
        <f t="shared" si="42"/>
        <v>#VALUE!</v>
      </c>
      <c r="AK101" s="609" t="e">
        <f t="shared" si="42"/>
        <v>#VALUE!</v>
      </c>
      <c r="AL101" s="609" t="e">
        <f t="shared" si="42"/>
        <v>#VALUE!</v>
      </c>
      <c r="AM101" s="609" t="e">
        <f t="shared" si="42"/>
        <v>#VALUE!</v>
      </c>
      <c r="AN101" s="609" t="e">
        <f t="shared" si="42"/>
        <v>#VALUE!</v>
      </c>
      <c r="AO101" s="609" t="e">
        <f t="shared" si="42"/>
        <v>#VALUE!</v>
      </c>
      <c r="AP101" s="609" t="e">
        <f t="shared" si="42"/>
        <v>#VALUE!</v>
      </c>
      <c r="AQ101" s="609" t="e">
        <f t="shared" si="42"/>
        <v>#VALUE!</v>
      </c>
      <c r="AR101" s="609" t="e">
        <f t="shared" si="42"/>
        <v>#VALUE!</v>
      </c>
      <c r="AS101" s="609" t="e">
        <f t="shared" si="42"/>
        <v>#VALUE!</v>
      </c>
      <c r="AT101" s="609" t="e">
        <f t="shared" si="42"/>
        <v>#VALUE!</v>
      </c>
      <c r="AU101" s="609" t="e">
        <f t="shared" si="42"/>
        <v>#VALUE!</v>
      </c>
      <c r="AV101" s="609" t="e">
        <f t="shared" si="42"/>
        <v>#VALUE!</v>
      </c>
      <c r="AW101" s="609" t="e">
        <f t="shared" si="42"/>
        <v>#VALUE!</v>
      </c>
      <c r="AX101" s="609" t="e">
        <f t="shared" si="42"/>
        <v>#VALUE!</v>
      </c>
      <c r="AY101" s="609" t="e">
        <f t="shared" si="42"/>
        <v>#VALUE!</v>
      </c>
      <c r="AZ101" s="609" t="e">
        <f t="shared" si="42"/>
        <v>#VALUE!</v>
      </c>
      <c r="BA101" s="610"/>
    </row>
    <row r="102" spans="2:53" x14ac:dyDescent="0.2">
      <c r="B102" s="707" t="s">
        <v>2225</v>
      </c>
      <c r="C102" s="708"/>
      <c r="D102" s="709"/>
      <c r="E102" s="710" t="e">
        <f>+E100+F100+G100+H100</f>
        <v>#VALUE!</v>
      </c>
      <c r="F102" s="711"/>
      <c r="G102" s="711"/>
      <c r="H102" s="712"/>
      <c r="I102" s="710" t="e">
        <f>+I100+J100+K100+L100</f>
        <v>#VALUE!</v>
      </c>
      <c r="J102" s="711"/>
      <c r="K102" s="711"/>
      <c r="L102" s="712"/>
      <c r="M102" s="710" t="e">
        <f>+M100+N100+O100+P100</f>
        <v>#VALUE!</v>
      </c>
      <c r="N102" s="711"/>
      <c r="O102" s="711"/>
      <c r="P102" s="712"/>
      <c r="Q102" s="710" t="e">
        <f>+Q100+R100+S100+T100</f>
        <v>#VALUE!</v>
      </c>
      <c r="R102" s="711"/>
      <c r="S102" s="711"/>
      <c r="T102" s="712"/>
      <c r="U102" s="710" t="e">
        <f>+U100+V100+W100+X100</f>
        <v>#VALUE!</v>
      </c>
      <c r="V102" s="711"/>
      <c r="W102" s="711"/>
      <c r="X102" s="712"/>
      <c r="Y102" s="710" t="e">
        <f>+Y100+Z100+AA100+AB100</f>
        <v>#VALUE!</v>
      </c>
      <c r="Z102" s="711"/>
      <c r="AA102" s="711"/>
      <c r="AB102" s="712"/>
      <c r="AC102" s="710" t="e">
        <f>+AC100+AD100+AE100+AF100</f>
        <v>#VALUE!</v>
      </c>
      <c r="AD102" s="711"/>
      <c r="AE102" s="711"/>
      <c r="AF102" s="712"/>
      <c r="AG102" s="710" t="e">
        <f>+AG100+AH100+AI100+AJ100</f>
        <v>#VALUE!</v>
      </c>
      <c r="AH102" s="711"/>
      <c r="AI102" s="711"/>
      <c r="AJ102" s="712"/>
      <c r="AK102" s="710" t="e">
        <f>+AK100+AL100+AM100+AN100</f>
        <v>#VALUE!</v>
      </c>
      <c r="AL102" s="711"/>
      <c r="AM102" s="711"/>
      <c r="AN102" s="712"/>
      <c r="AO102" s="710" t="e">
        <f>+AO100+AP100+AQ100+AR100</f>
        <v>#VALUE!</v>
      </c>
      <c r="AP102" s="711"/>
      <c r="AQ102" s="711"/>
      <c r="AR102" s="712"/>
      <c r="AS102" s="710" t="e">
        <f>+AS100+AT100+AU100+AV100</f>
        <v>#VALUE!</v>
      </c>
      <c r="AT102" s="711"/>
      <c r="AU102" s="711"/>
      <c r="AV102" s="712"/>
      <c r="AW102" s="710" t="e">
        <f>+AW100+AX100+AY100+AZ100</f>
        <v>#VALUE!</v>
      </c>
      <c r="AX102" s="711"/>
      <c r="AY102" s="711"/>
      <c r="AZ102" s="712"/>
      <c r="BA102" s="570"/>
    </row>
    <row r="103" spans="2:53" ht="12" thickBot="1" x14ac:dyDescent="0.25">
      <c r="B103" s="716" t="s">
        <v>2226</v>
      </c>
      <c r="C103" s="717"/>
      <c r="D103" s="718"/>
      <c r="E103" s="713" t="e">
        <f>E102/$C$39</f>
        <v>#VALUE!</v>
      </c>
      <c r="F103" s="714"/>
      <c r="G103" s="714"/>
      <c r="H103" s="715"/>
      <c r="I103" s="713" t="e">
        <f t="shared" ref="I103" si="43">I102/$C$39</f>
        <v>#VALUE!</v>
      </c>
      <c r="J103" s="714"/>
      <c r="K103" s="714"/>
      <c r="L103" s="715"/>
      <c r="M103" s="713" t="e">
        <f t="shared" ref="M103" si="44">M102/$C$39</f>
        <v>#VALUE!</v>
      </c>
      <c r="N103" s="714"/>
      <c r="O103" s="714"/>
      <c r="P103" s="715"/>
      <c r="Q103" s="713" t="e">
        <f t="shared" ref="Q103" si="45">Q102/$C$39</f>
        <v>#VALUE!</v>
      </c>
      <c r="R103" s="714"/>
      <c r="S103" s="714"/>
      <c r="T103" s="715"/>
      <c r="U103" s="713" t="e">
        <f t="shared" ref="U103" si="46">U102/$C$39</f>
        <v>#VALUE!</v>
      </c>
      <c r="V103" s="714"/>
      <c r="W103" s="714"/>
      <c r="X103" s="715"/>
      <c r="Y103" s="713" t="e">
        <f t="shared" ref="Y103" si="47">Y102/$C$39</f>
        <v>#VALUE!</v>
      </c>
      <c r="Z103" s="714"/>
      <c r="AA103" s="714"/>
      <c r="AB103" s="715"/>
      <c r="AC103" s="713" t="e">
        <f t="shared" ref="AC103" si="48">AC102/$C$39</f>
        <v>#VALUE!</v>
      </c>
      <c r="AD103" s="714"/>
      <c r="AE103" s="714"/>
      <c r="AF103" s="715"/>
      <c r="AG103" s="713" t="e">
        <f t="shared" ref="AG103" si="49">AG102/$C$39</f>
        <v>#VALUE!</v>
      </c>
      <c r="AH103" s="714"/>
      <c r="AI103" s="714"/>
      <c r="AJ103" s="715"/>
      <c r="AK103" s="713" t="e">
        <f t="shared" ref="AK103" si="50">AK102/$C$39</f>
        <v>#VALUE!</v>
      </c>
      <c r="AL103" s="714"/>
      <c r="AM103" s="714"/>
      <c r="AN103" s="715"/>
      <c r="AO103" s="713" t="e">
        <f t="shared" ref="AO103" si="51">AO102/$C$39</f>
        <v>#VALUE!</v>
      </c>
      <c r="AP103" s="714"/>
      <c r="AQ103" s="714"/>
      <c r="AR103" s="715"/>
      <c r="AS103" s="713" t="e">
        <f t="shared" ref="AS103" si="52">AS102/$C$39</f>
        <v>#VALUE!</v>
      </c>
      <c r="AT103" s="714"/>
      <c r="AU103" s="714"/>
      <c r="AV103" s="715"/>
      <c r="AW103" s="713" t="e">
        <f t="shared" ref="AW103" si="53">AW102/$C$39</f>
        <v>#VALUE!</v>
      </c>
      <c r="AX103" s="714"/>
      <c r="AY103" s="714"/>
      <c r="AZ103" s="715"/>
      <c r="BA103" s="611"/>
    </row>
    <row r="104" spans="2:53" ht="12" thickBot="1" x14ac:dyDescent="0.25">
      <c r="B104" s="525"/>
      <c r="C104" s="525"/>
      <c r="D104" s="525"/>
      <c r="E104" s="525"/>
      <c r="F104" s="525"/>
      <c r="G104" s="525"/>
      <c r="H104" s="525"/>
      <c r="I104" s="525"/>
      <c r="J104" s="525"/>
      <c r="K104" s="525"/>
      <c r="L104" s="525"/>
      <c r="M104" s="525"/>
      <c r="N104" s="525"/>
      <c r="O104" s="525"/>
      <c r="P104" s="525"/>
      <c r="Q104" s="525"/>
      <c r="R104" s="525"/>
      <c r="S104" s="525"/>
      <c r="T104" s="525"/>
      <c r="U104" s="525"/>
      <c r="V104" s="525"/>
      <c r="W104" s="525"/>
      <c r="X104" s="525"/>
      <c r="Y104" s="525"/>
      <c r="Z104" s="525"/>
      <c r="AA104" s="525"/>
      <c r="AB104" s="525"/>
      <c r="AC104" s="525"/>
      <c r="AD104" s="527"/>
      <c r="AE104" s="525"/>
      <c r="AF104" s="525"/>
      <c r="AG104" s="525"/>
      <c r="AH104" s="525"/>
      <c r="AI104" s="525"/>
      <c r="AJ104" s="525"/>
      <c r="AK104" s="525"/>
      <c r="AL104" s="525"/>
      <c r="AM104" s="525"/>
      <c r="AN104" s="525"/>
      <c r="AO104" s="525"/>
      <c r="AP104" s="525"/>
      <c r="AQ104" s="525"/>
      <c r="AR104" s="525"/>
      <c r="AS104" s="525"/>
      <c r="AT104" s="525"/>
      <c r="AU104" s="525"/>
      <c r="AV104" s="525"/>
      <c r="AW104" s="525"/>
      <c r="AX104" s="525"/>
      <c r="AY104" s="525"/>
      <c r="AZ104" s="525"/>
      <c r="BA104" s="525"/>
    </row>
    <row r="105" spans="2:53" ht="15.75" thickBot="1" x14ac:dyDescent="0.25">
      <c r="B105" s="695" t="s">
        <v>2227</v>
      </c>
      <c r="C105" s="696"/>
      <c r="D105" s="696"/>
      <c r="E105" s="696"/>
      <c r="F105" s="696"/>
      <c r="G105" s="696"/>
      <c r="H105" s="696"/>
      <c r="I105" s="696"/>
      <c r="J105" s="696"/>
      <c r="K105" s="696"/>
      <c r="L105" s="696"/>
      <c r="M105" s="696"/>
      <c r="N105" s="696"/>
      <c r="O105" s="696"/>
      <c r="P105" s="696"/>
      <c r="Q105" s="696"/>
      <c r="R105" s="696"/>
      <c r="S105" s="696"/>
      <c r="T105" s="696"/>
      <c r="U105" s="696"/>
      <c r="V105" s="696"/>
      <c r="W105" s="696"/>
      <c r="X105" s="696"/>
      <c r="Y105" s="696"/>
      <c r="Z105" s="696"/>
      <c r="AA105" s="696"/>
      <c r="AB105" s="696"/>
      <c r="AC105" s="696"/>
      <c r="AD105" s="696"/>
      <c r="AE105" s="696"/>
      <c r="AF105" s="696"/>
      <c r="AG105" s="696"/>
      <c r="AH105" s="696"/>
      <c r="AI105" s="696"/>
      <c r="AJ105" s="696"/>
      <c r="AK105" s="696"/>
      <c r="AL105" s="696"/>
      <c r="AM105" s="696"/>
      <c r="AN105" s="696"/>
      <c r="AO105" s="696"/>
      <c r="AP105" s="696"/>
      <c r="AQ105" s="696"/>
      <c r="AR105" s="696"/>
      <c r="AS105" s="696"/>
      <c r="AT105" s="696"/>
      <c r="AU105" s="696"/>
      <c r="AV105" s="696"/>
      <c r="AW105" s="696"/>
      <c r="AX105" s="696"/>
      <c r="AY105" s="696"/>
      <c r="AZ105" s="696"/>
      <c r="BA105" s="697"/>
    </row>
    <row r="106" spans="2:53" ht="12" thickBot="1" x14ac:dyDescent="0.25">
      <c r="B106" s="525"/>
      <c r="C106" s="526"/>
      <c r="D106" s="525"/>
      <c r="E106" s="525"/>
      <c r="F106" s="525"/>
      <c r="G106" s="525"/>
      <c r="H106" s="525"/>
      <c r="I106" s="525"/>
      <c r="J106" s="525"/>
      <c r="K106" s="525"/>
      <c r="L106" s="525"/>
      <c r="M106" s="525"/>
      <c r="N106" s="525"/>
      <c r="O106" s="525"/>
      <c r="P106" s="525"/>
      <c r="Q106" s="525"/>
      <c r="R106" s="525"/>
      <c r="S106" s="525"/>
      <c r="T106" s="525"/>
      <c r="U106" s="525"/>
      <c r="V106" s="525"/>
      <c r="W106" s="525"/>
      <c r="X106" s="525"/>
      <c r="Y106" s="525"/>
      <c r="Z106" s="525"/>
      <c r="AA106" s="525"/>
      <c r="AB106" s="525"/>
      <c r="AC106" s="525"/>
      <c r="AD106" s="527"/>
      <c r="AE106" s="525"/>
      <c r="AF106" s="525"/>
      <c r="AG106" s="525"/>
      <c r="AH106" s="525"/>
      <c r="AI106" s="525"/>
      <c r="AJ106" s="525"/>
      <c r="AK106" s="525"/>
      <c r="AL106" s="525"/>
      <c r="AM106" s="525"/>
      <c r="AN106" s="525"/>
      <c r="AO106" s="525"/>
      <c r="AP106" s="525"/>
      <c r="AQ106" s="525"/>
      <c r="AR106" s="525"/>
      <c r="AS106" s="525"/>
      <c r="AT106" s="525"/>
      <c r="AU106" s="525"/>
      <c r="AV106" s="525"/>
      <c r="AW106" s="525"/>
      <c r="AX106" s="525"/>
      <c r="AY106" s="525"/>
      <c r="AZ106" s="525"/>
      <c r="BA106" s="525"/>
    </row>
    <row r="107" spans="2:53" ht="12" thickBot="1" x14ac:dyDescent="0.25">
      <c r="B107" s="698" t="s">
        <v>2204</v>
      </c>
      <c r="C107" s="699"/>
      <c r="D107" s="700"/>
      <c r="E107" s="701" t="s">
        <v>2205</v>
      </c>
      <c r="F107" s="702"/>
      <c r="G107" s="702"/>
      <c r="H107" s="702"/>
      <c r="I107" s="702"/>
      <c r="J107" s="702"/>
      <c r="K107" s="702"/>
      <c r="L107" s="702"/>
      <c r="M107" s="702"/>
      <c r="N107" s="702"/>
      <c r="O107" s="702"/>
      <c r="P107" s="702"/>
      <c r="Q107" s="702"/>
      <c r="R107" s="702"/>
      <c r="S107" s="702"/>
      <c r="T107" s="702"/>
      <c r="U107" s="702"/>
      <c r="V107" s="702"/>
      <c r="W107" s="702"/>
      <c r="X107" s="702"/>
      <c r="Y107" s="702"/>
      <c r="Z107" s="702"/>
      <c r="AA107" s="702"/>
      <c r="AB107" s="703"/>
      <c r="AC107" s="701" t="s">
        <v>2205</v>
      </c>
      <c r="AD107" s="702"/>
      <c r="AE107" s="702"/>
      <c r="AF107" s="702"/>
      <c r="AG107" s="702"/>
      <c r="AH107" s="702"/>
      <c r="AI107" s="702"/>
      <c r="AJ107" s="702"/>
      <c r="AK107" s="702"/>
      <c r="AL107" s="702"/>
      <c r="AM107" s="702"/>
      <c r="AN107" s="702"/>
      <c r="AO107" s="702"/>
      <c r="AP107" s="702"/>
      <c r="AQ107" s="702"/>
      <c r="AR107" s="702"/>
      <c r="AS107" s="702"/>
      <c r="AT107" s="702"/>
      <c r="AU107" s="702"/>
      <c r="AV107" s="702"/>
      <c r="AW107" s="702"/>
      <c r="AX107" s="702"/>
      <c r="AY107" s="702"/>
      <c r="AZ107" s="703"/>
      <c r="BA107" s="528" t="s">
        <v>2206</v>
      </c>
    </row>
    <row r="108" spans="2:53" ht="12" thickBot="1" x14ac:dyDescent="0.25">
      <c r="B108" s="529" t="s">
        <v>2207</v>
      </c>
      <c r="C108" s="530" t="s">
        <v>2208</v>
      </c>
      <c r="D108" s="538" t="s">
        <v>2209</v>
      </c>
      <c r="E108" s="572">
        <v>1</v>
      </c>
      <c r="F108" s="573">
        <v>2</v>
      </c>
      <c r="G108" s="572">
        <v>3</v>
      </c>
      <c r="H108" s="573">
        <v>4</v>
      </c>
      <c r="I108" s="572">
        <v>5</v>
      </c>
      <c r="J108" s="573">
        <v>6</v>
      </c>
      <c r="K108" s="572">
        <v>7</v>
      </c>
      <c r="L108" s="573">
        <v>8</v>
      </c>
      <c r="M108" s="572">
        <v>9</v>
      </c>
      <c r="N108" s="573">
        <v>10</v>
      </c>
      <c r="O108" s="572">
        <v>11</v>
      </c>
      <c r="P108" s="573">
        <v>12</v>
      </c>
      <c r="Q108" s="572">
        <v>13</v>
      </c>
      <c r="R108" s="573">
        <v>14</v>
      </c>
      <c r="S108" s="572">
        <v>15</v>
      </c>
      <c r="T108" s="573">
        <v>16</v>
      </c>
      <c r="U108" s="572">
        <v>17</v>
      </c>
      <c r="V108" s="573">
        <v>18</v>
      </c>
      <c r="W108" s="572">
        <v>19</v>
      </c>
      <c r="X108" s="573">
        <v>20</v>
      </c>
      <c r="Y108" s="572">
        <v>21</v>
      </c>
      <c r="Z108" s="573">
        <v>22</v>
      </c>
      <c r="AA108" s="572">
        <v>23</v>
      </c>
      <c r="AB108" s="573">
        <v>24</v>
      </c>
      <c r="AC108" s="572">
        <v>25</v>
      </c>
      <c r="AD108" s="573">
        <v>26</v>
      </c>
      <c r="AE108" s="572">
        <v>27</v>
      </c>
      <c r="AF108" s="573">
        <v>28</v>
      </c>
      <c r="AG108" s="572">
        <v>29</v>
      </c>
      <c r="AH108" s="573">
        <v>30</v>
      </c>
      <c r="AI108" s="572">
        <v>31</v>
      </c>
      <c r="AJ108" s="573">
        <v>32</v>
      </c>
      <c r="AK108" s="572">
        <v>33</v>
      </c>
      <c r="AL108" s="573">
        <v>34</v>
      </c>
      <c r="AM108" s="572">
        <v>35</v>
      </c>
      <c r="AN108" s="573">
        <v>36</v>
      </c>
      <c r="AO108" s="572">
        <v>37</v>
      </c>
      <c r="AP108" s="573">
        <v>38</v>
      </c>
      <c r="AQ108" s="572">
        <v>39</v>
      </c>
      <c r="AR108" s="573">
        <v>40</v>
      </c>
      <c r="AS108" s="572">
        <v>41</v>
      </c>
      <c r="AT108" s="573">
        <v>42</v>
      </c>
      <c r="AU108" s="572">
        <v>43</v>
      </c>
      <c r="AV108" s="573">
        <v>44</v>
      </c>
      <c r="AW108" s="572">
        <v>45</v>
      </c>
      <c r="AX108" s="573">
        <v>46</v>
      </c>
      <c r="AY108" s="572">
        <v>47</v>
      </c>
      <c r="AZ108" s="573">
        <v>48</v>
      </c>
      <c r="BA108" s="575"/>
    </row>
    <row r="109" spans="2:53" ht="12" thickBot="1" x14ac:dyDescent="0.25">
      <c r="B109" s="704" t="s">
        <v>2228</v>
      </c>
      <c r="C109" s="705"/>
      <c r="D109" s="706"/>
      <c r="E109" s="607" t="e">
        <f>E100</f>
        <v>#VALUE!</v>
      </c>
      <c r="F109" s="607" t="e">
        <f t="shared" ref="F109:AZ109" si="54">F100</f>
        <v>#VALUE!</v>
      </c>
      <c r="G109" s="607" t="e">
        <f t="shared" si="54"/>
        <v>#VALUE!</v>
      </c>
      <c r="H109" s="607" t="e">
        <f t="shared" si="54"/>
        <v>#VALUE!</v>
      </c>
      <c r="I109" s="607" t="e">
        <f t="shared" si="54"/>
        <v>#VALUE!</v>
      </c>
      <c r="J109" s="607" t="e">
        <f t="shared" si="54"/>
        <v>#VALUE!</v>
      </c>
      <c r="K109" s="607" t="e">
        <f t="shared" si="54"/>
        <v>#VALUE!</v>
      </c>
      <c r="L109" s="607" t="e">
        <f t="shared" si="54"/>
        <v>#VALUE!</v>
      </c>
      <c r="M109" s="607" t="e">
        <f t="shared" si="54"/>
        <v>#VALUE!</v>
      </c>
      <c r="N109" s="607" t="e">
        <f t="shared" si="54"/>
        <v>#VALUE!</v>
      </c>
      <c r="O109" s="607" t="e">
        <f t="shared" si="54"/>
        <v>#VALUE!</v>
      </c>
      <c r="P109" s="607" t="e">
        <f t="shared" si="54"/>
        <v>#VALUE!</v>
      </c>
      <c r="Q109" s="607" t="e">
        <f t="shared" si="54"/>
        <v>#VALUE!</v>
      </c>
      <c r="R109" s="607" t="e">
        <f t="shared" si="54"/>
        <v>#VALUE!</v>
      </c>
      <c r="S109" s="607" t="e">
        <f t="shared" si="54"/>
        <v>#VALUE!</v>
      </c>
      <c r="T109" s="607" t="e">
        <f t="shared" si="54"/>
        <v>#VALUE!</v>
      </c>
      <c r="U109" s="607" t="e">
        <f t="shared" si="54"/>
        <v>#VALUE!</v>
      </c>
      <c r="V109" s="607" t="e">
        <f t="shared" si="54"/>
        <v>#VALUE!</v>
      </c>
      <c r="W109" s="607" t="e">
        <f t="shared" si="54"/>
        <v>#VALUE!</v>
      </c>
      <c r="X109" s="607" t="e">
        <f t="shared" si="54"/>
        <v>#VALUE!</v>
      </c>
      <c r="Y109" s="607" t="e">
        <f t="shared" si="54"/>
        <v>#VALUE!</v>
      </c>
      <c r="Z109" s="607" t="e">
        <f t="shared" si="54"/>
        <v>#VALUE!</v>
      </c>
      <c r="AA109" s="607" t="e">
        <f t="shared" si="54"/>
        <v>#VALUE!</v>
      </c>
      <c r="AB109" s="607" t="e">
        <f t="shared" si="54"/>
        <v>#VALUE!</v>
      </c>
      <c r="AC109" s="607" t="e">
        <f t="shared" si="54"/>
        <v>#VALUE!</v>
      </c>
      <c r="AD109" s="607" t="e">
        <f t="shared" si="54"/>
        <v>#VALUE!</v>
      </c>
      <c r="AE109" s="607" t="e">
        <f t="shared" si="54"/>
        <v>#VALUE!</v>
      </c>
      <c r="AF109" s="607" t="e">
        <f t="shared" si="54"/>
        <v>#VALUE!</v>
      </c>
      <c r="AG109" s="607" t="e">
        <f t="shared" si="54"/>
        <v>#VALUE!</v>
      </c>
      <c r="AH109" s="607" t="e">
        <f t="shared" si="54"/>
        <v>#VALUE!</v>
      </c>
      <c r="AI109" s="607" t="e">
        <f t="shared" si="54"/>
        <v>#VALUE!</v>
      </c>
      <c r="AJ109" s="607" t="e">
        <f t="shared" si="54"/>
        <v>#VALUE!</v>
      </c>
      <c r="AK109" s="607" t="e">
        <f t="shared" si="54"/>
        <v>#VALUE!</v>
      </c>
      <c r="AL109" s="607" t="e">
        <f t="shared" si="54"/>
        <v>#VALUE!</v>
      </c>
      <c r="AM109" s="607" t="e">
        <f t="shared" si="54"/>
        <v>#VALUE!</v>
      </c>
      <c r="AN109" s="607" t="e">
        <f t="shared" si="54"/>
        <v>#VALUE!</v>
      </c>
      <c r="AO109" s="607" t="e">
        <f t="shared" si="54"/>
        <v>#VALUE!</v>
      </c>
      <c r="AP109" s="607" t="e">
        <f t="shared" si="54"/>
        <v>#VALUE!</v>
      </c>
      <c r="AQ109" s="607" t="e">
        <f t="shared" si="54"/>
        <v>#VALUE!</v>
      </c>
      <c r="AR109" s="607" t="e">
        <f t="shared" si="54"/>
        <v>#VALUE!</v>
      </c>
      <c r="AS109" s="607" t="e">
        <f t="shared" si="54"/>
        <v>#VALUE!</v>
      </c>
      <c r="AT109" s="607" t="e">
        <f t="shared" si="54"/>
        <v>#VALUE!</v>
      </c>
      <c r="AU109" s="607" t="e">
        <f t="shared" si="54"/>
        <v>#VALUE!</v>
      </c>
      <c r="AV109" s="607" t="e">
        <f t="shared" si="54"/>
        <v>#VALUE!</v>
      </c>
      <c r="AW109" s="607" t="e">
        <f t="shared" si="54"/>
        <v>#VALUE!</v>
      </c>
      <c r="AX109" s="607" t="e">
        <f t="shared" si="54"/>
        <v>#VALUE!</v>
      </c>
      <c r="AY109" s="607" t="e">
        <f t="shared" si="54"/>
        <v>#VALUE!</v>
      </c>
      <c r="AZ109" s="607" t="e">
        <f t="shared" si="54"/>
        <v>#VALUE!</v>
      </c>
      <c r="BA109" s="608" t="e">
        <f>SUM(E109:AZ109)</f>
        <v>#VALUE!</v>
      </c>
    </row>
    <row r="110" spans="2:53" x14ac:dyDescent="0.2">
      <c r="B110" s="704" t="s">
        <v>2229</v>
      </c>
      <c r="C110" s="705"/>
      <c r="D110" s="706"/>
      <c r="E110" s="607" t="e">
        <f>E109</f>
        <v>#VALUE!</v>
      </c>
      <c r="F110" s="607" t="e">
        <f>F109+E110</f>
        <v>#VALUE!</v>
      </c>
      <c r="G110" s="607" t="e">
        <f>G109+F110</f>
        <v>#VALUE!</v>
      </c>
      <c r="H110" s="607" t="e">
        <f t="shared" ref="H110:AZ110" si="55">H109+G110</f>
        <v>#VALUE!</v>
      </c>
      <c r="I110" s="607" t="e">
        <f t="shared" si="55"/>
        <v>#VALUE!</v>
      </c>
      <c r="J110" s="607" t="e">
        <f t="shared" si="55"/>
        <v>#VALUE!</v>
      </c>
      <c r="K110" s="607" t="e">
        <f t="shared" si="55"/>
        <v>#VALUE!</v>
      </c>
      <c r="L110" s="607" t="e">
        <f t="shared" si="55"/>
        <v>#VALUE!</v>
      </c>
      <c r="M110" s="607" t="e">
        <f t="shared" si="55"/>
        <v>#VALUE!</v>
      </c>
      <c r="N110" s="607" t="e">
        <f t="shared" si="55"/>
        <v>#VALUE!</v>
      </c>
      <c r="O110" s="607" t="e">
        <f t="shared" si="55"/>
        <v>#VALUE!</v>
      </c>
      <c r="P110" s="607" t="e">
        <f t="shared" si="55"/>
        <v>#VALUE!</v>
      </c>
      <c r="Q110" s="607" t="e">
        <f t="shared" si="55"/>
        <v>#VALUE!</v>
      </c>
      <c r="R110" s="607" t="e">
        <f t="shared" si="55"/>
        <v>#VALUE!</v>
      </c>
      <c r="S110" s="607" t="e">
        <f t="shared" si="55"/>
        <v>#VALUE!</v>
      </c>
      <c r="T110" s="607" t="e">
        <f t="shared" si="55"/>
        <v>#VALUE!</v>
      </c>
      <c r="U110" s="607" t="e">
        <f t="shared" si="55"/>
        <v>#VALUE!</v>
      </c>
      <c r="V110" s="607" t="e">
        <f t="shared" si="55"/>
        <v>#VALUE!</v>
      </c>
      <c r="W110" s="607" t="e">
        <f t="shared" si="55"/>
        <v>#VALUE!</v>
      </c>
      <c r="X110" s="607" t="e">
        <f t="shared" si="55"/>
        <v>#VALUE!</v>
      </c>
      <c r="Y110" s="607" t="e">
        <f t="shared" si="55"/>
        <v>#VALUE!</v>
      </c>
      <c r="Z110" s="607" t="e">
        <f t="shared" si="55"/>
        <v>#VALUE!</v>
      </c>
      <c r="AA110" s="607" t="e">
        <f t="shared" si="55"/>
        <v>#VALUE!</v>
      </c>
      <c r="AB110" s="607" t="e">
        <f t="shared" si="55"/>
        <v>#VALUE!</v>
      </c>
      <c r="AC110" s="607" t="e">
        <f t="shared" si="55"/>
        <v>#VALUE!</v>
      </c>
      <c r="AD110" s="607" t="e">
        <f t="shared" si="55"/>
        <v>#VALUE!</v>
      </c>
      <c r="AE110" s="607" t="e">
        <f t="shared" si="55"/>
        <v>#VALUE!</v>
      </c>
      <c r="AF110" s="607" t="e">
        <f t="shared" si="55"/>
        <v>#VALUE!</v>
      </c>
      <c r="AG110" s="607" t="e">
        <f t="shared" si="55"/>
        <v>#VALUE!</v>
      </c>
      <c r="AH110" s="607" t="e">
        <f t="shared" si="55"/>
        <v>#VALUE!</v>
      </c>
      <c r="AI110" s="607" t="e">
        <f t="shared" si="55"/>
        <v>#VALUE!</v>
      </c>
      <c r="AJ110" s="607" t="e">
        <f t="shared" si="55"/>
        <v>#VALUE!</v>
      </c>
      <c r="AK110" s="607" t="e">
        <f t="shared" si="55"/>
        <v>#VALUE!</v>
      </c>
      <c r="AL110" s="607" t="e">
        <f t="shared" si="55"/>
        <v>#VALUE!</v>
      </c>
      <c r="AM110" s="607" t="e">
        <f t="shared" si="55"/>
        <v>#VALUE!</v>
      </c>
      <c r="AN110" s="607" t="e">
        <f t="shared" si="55"/>
        <v>#VALUE!</v>
      </c>
      <c r="AO110" s="607" t="e">
        <f t="shared" si="55"/>
        <v>#VALUE!</v>
      </c>
      <c r="AP110" s="607" t="e">
        <f t="shared" si="55"/>
        <v>#VALUE!</v>
      </c>
      <c r="AQ110" s="607" t="e">
        <f t="shared" si="55"/>
        <v>#VALUE!</v>
      </c>
      <c r="AR110" s="607" t="e">
        <f t="shared" si="55"/>
        <v>#VALUE!</v>
      </c>
      <c r="AS110" s="607" t="e">
        <f t="shared" si="55"/>
        <v>#VALUE!</v>
      </c>
      <c r="AT110" s="607" t="e">
        <f t="shared" si="55"/>
        <v>#VALUE!</v>
      </c>
      <c r="AU110" s="607" t="e">
        <f t="shared" si="55"/>
        <v>#VALUE!</v>
      </c>
      <c r="AV110" s="607" t="e">
        <f t="shared" si="55"/>
        <v>#VALUE!</v>
      </c>
      <c r="AW110" s="607" t="e">
        <f t="shared" si="55"/>
        <v>#VALUE!</v>
      </c>
      <c r="AX110" s="607" t="e">
        <f t="shared" si="55"/>
        <v>#VALUE!</v>
      </c>
      <c r="AY110" s="607" t="e">
        <f t="shared" si="55"/>
        <v>#VALUE!</v>
      </c>
      <c r="AZ110" s="607" t="e">
        <f t="shared" si="55"/>
        <v>#VALUE!</v>
      </c>
      <c r="BA110" s="608"/>
    </row>
    <row r="111" spans="2:53" x14ac:dyDescent="0.2">
      <c r="B111" s="707" t="s">
        <v>2230</v>
      </c>
      <c r="C111" s="708"/>
      <c r="D111" s="709"/>
      <c r="E111" s="609" t="e">
        <f>E109/$C$39</f>
        <v>#VALUE!</v>
      </c>
      <c r="F111" s="609" t="e">
        <f>F109/$C$39</f>
        <v>#VALUE!</v>
      </c>
      <c r="G111" s="609" t="e">
        <f t="shared" ref="G111:AZ111" si="56">G109/$C$39</f>
        <v>#VALUE!</v>
      </c>
      <c r="H111" s="609" t="e">
        <f t="shared" si="56"/>
        <v>#VALUE!</v>
      </c>
      <c r="I111" s="609" t="e">
        <f t="shared" si="56"/>
        <v>#VALUE!</v>
      </c>
      <c r="J111" s="609" t="e">
        <f t="shared" si="56"/>
        <v>#VALUE!</v>
      </c>
      <c r="K111" s="609" t="e">
        <f t="shared" si="56"/>
        <v>#VALUE!</v>
      </c>
      <c r="L111" s="609" t="e">
        <f t="shared" si="56"/>
        <v>#VALUE!</v>
      </c>
      <c r="M111" s="609" t="e">
        <f t="shared" si="56"/>
        <v>#VALUE!</v>
      </c>
      <c r="N111" s="609" t="e">
        <f t="shared" si="56"/>
        <v>#VALUE!</v>
      </c>
      <c r="O111" s="609" t="e">
        <f t="shared" si="56"/>
        <v>#VALUE!</v>
      </c>
      <c r="P111" s="609" t="e">
        <f t="shared" si="56"/>
        <v>#VALUE!</v>
      </c>
      <c r="Q111" s="609" t="e">
        <f t="shared" si="56"/>
        <v>#VALUE!</v>
      </c>
      <c r="R111" s="609" t="e">
        <f t="shared" si="56"/>
        <v>#VALUE!</v>
      </c>
      <c r="S111" s="609" t="e">
        <f t="shared" si="56"/>
        <v>#VALUE!</v>
      </c>
      <c r="T111" s="609" t="e">
        <f t="shared" si="56"/>
        <v>#VALUE!</v>
      </c>
      <c r="U111" s="609" t="e">
        <f t="shared" si="56"/>
        <v>#VALUE!</v>
      </c>
      <c r="V111" s="609" t="e">
        <f t="shared" si="56"/>
        <v>#VALUE!</v>
      </c>
      <c r="W111" s="609" t="e">
        <f t="shared" si="56"/>
        <v>#VALUE!</v>
      </c>
      <c r="X111" s="609" t="e">
        <f t="shared" si="56"/>
        <v>#VALUE!</v>
      </c>
      <c r="Y111" s="609" t="e">
        <f t="shared" si="56"/>
        <v>#VALUE!</v>
      </c>
      <c r="Z111" s="609" t="e">
        <f t="shared" si="56"/>
        <v>#VALUE!</v>
      </c>
      <c r="AA111" s="609" t="e">
        <f t="shared" si="56"/>
        <v>#VALUE!</v>
      </c>
      <c r="AB111" s="609" t="e">
        <f t="shared" si="56"/>
        <v>#VALUE!</v>
      </c>
      <c r="AC111" s="609" t="e">
        <f t="shared" si="56"/>
        <v>#VALUE!</v>
      </c>
      <c r="AD111" s="609" t="e">
        <f t="shared" si="56"/>
        <v>#VALUE!</v>
      </c>
      <c r="AE111" s="609" t="e">
        <f t="shared" si="56"/>
        <v>#VALUE!</v>
      </c>
      <c r="AF111" s="609" t="e">
        <f t="shared" si="56"/>
        <v>#VALUE!</v>
      </c>
      <c r="AG111" s="609" t="e">
        <f t="shared" si="56"/>
        <v>#VALUE!</v>
      </c>
      <c r="AH111" s="609" t="e">
        <f t="shared" si="56"/>
        <v>#VALUE!</v>
      </c>
      <c r="AI111" s="609" t="e">
        <f t="shared" si="56"/>
        <v>#VALUE!</v>
      </c>
      <c r="AJ111" s="609" t="e">
        <f t="shared" si="56"/>
        <v>#VALUE!</v>
      </c>
      <c r="AK111" s="609" t="e">
        <f t="shared" si="56"/>
        <v>#VALUE!</v>
      </c>
      <c r="AL111" s="609" t="e">
        <f t="shared" si="56"/>
        <v>#VALUE!</v>
      </c>
      <c r="AM111" s="609" t="e">
        <f t="shared" si="56"/>
        <v>#VALUE!</v>
      </c>
      <c r="AN111" s="609" t="e">
        <f t="shared" si="56"/>
        <v>#VALUE!</v>
      </c>
      <c r="AO111" s="609" t="e">
        <f t="shared" si="56"/>
        <v>#VALUE!</v>
      </c>
      <c r="AP111" s="609" t="e">
        <f t="shared" si="56"/>
        <v>#VALUE!</v>
      </c>
      <c r="AQ111" s="609" t="e">
        <f t="shared" si="56"/>
        <v>#VALUE!</v>
      </c>
      <c r="AR111" s="609" t="e">
        <f t="shared" si="56"/>
        <v>#VALUE!</v>
      </c>
      <c r="AS111" s="609" t="e">
        <f t="shared" si="56"/>
        <v>#VALUE!</v>
      </c>
      <c r="AT111" s="609" t="e">
        <f t="shared" si="56"/>
        <v>#VALUE!</v>
      </c>
      <c r="AU111" s="609" t="e">
        <f t="shared" si="56"/>
        <v>#VALUE!</v>
      </c>
      <c r="AV111" s="609" t="e">
        <f t="shared" si="56"/>
        <v>#VALUE!</v>
      </c>
      <c r="AW111" s="609" t="e">
        <f t="shared" si="56"/>
        <v>#VALUE!</v>
      </c>
      <c r="AX111" s="609" t="e">
        <f t="shared" si="56"/>
        <v>#VALUE!</v>
      </c>
      <c r="AY111" s="609" t="e">
        <f t="shared" si="56"/>
        <v>#VALUE!</v>
      </c>
      <c r="AZ111" s="609" t="e">
        <f t="shared" si="56"/>
        <v>#VALUE!</v>
      </c>
      <c r="BA111" s="612" t="e">
        <f t="shared" ref="BA111" si="57">SUM(E111:AZ111)</f>
        <v>#VALUE!</v>
      </c>
    </row>
    <row r="112" spans="2:53" ht="12" thickBot="1" x14ac:dyDescent="0.25">
      <c r="B112" s="722" t="s">
        <v>2231</v>
      </c>
      <c r="C112" s="723"/>
      <c r="D112" s="724"/>
      <c r="E112" s="613" t="e">
        <f>E109/$C$39</f>
        <v>#VALUE!</v>
      </c>
      <c r="F112" s="613" t="e">
        <f>F111+E112</f>
        <v>#VALUE!</v>
      </c>
      <c r="G112" s="613" t="e">
        <f t="shared" ref="G112:AZ112" si="58">G111+F112</f>
        <v>#VALUE!</v>
      </c>
      <c r="H112" s="613" t="e">
        <f t="shared" si="58"/>
        <v>#VALUE!</v>
      </c>
      <c r="I112" s="613" t="e">
        <f t="shared" si="58"/>
        <v>#VALUE!</v>
      </c>
      <c r="J112" s="613" t="e">
        <f t="shared" si="58"/>
        <v>#VALUE!</v>
      </c>
      <c r="K112" s="613" t="e">
        <f t="shared" si="58"/>
        <v>#VALUE!</v>
      </c>
      <c r="L112" s="613" t="e">
        <f t="shared" si="58"/>
        <v>#VALUE!</v>
      </c>
      <c r="M112" s="613" t="e">
        <f t="shared" si="58"/>
        <v>#VALUE!</v>
      </c>
      <c r="N112" s="613" t="e">
        <f t="shared" si="58"/>
        <v>#VALUE!</v>
      </c>
      <c r="O112" s="613" t="e">
        <f t="shared" si="58"/>
        <v>#VALUE!</v>
      </c>
      <c r="P112" s="613" t="e">
        <f t="shared" si="58"/>
        <v>#VALUE!</v>
      </c>
      <c r="Q112" s="613" t="e">
        <f t="shared" si="58"/>
        <v>#VALUE!</v>
      </c>
      <c r="R112" s="613" t="e">
        <f t="shared" si="58"/>
        <v>#VALUE!</v>
      </c>
      <c r="S112" s="613" t="e">
        <f t="shared" si="58"/>
        <v>#VALUE!</v>
      </c>
      <c r="T112" s="613" t="e">
        <f t="shared" si="58"/>
        <v>#VALUE!</v>
      </c>
      <c r="U112" s="613" t="e">
        <f t="shared" si="58"/>
        <v>#VALUE!</v>
      </c>
      <c r="V112" s="613" t="e">
        <f t="shared" si="58"/>
        <v>#VALUE!</v>
      </c>
      <c r="W112" s="613" t="e">
        <f t="shared" si="58"/>
        <v>#VALUE!</v>
      </c>
      <c r="X112" s="613" t="e">
        <f t="shared" si="58"/>
        <v>#VALUE!</v>
      </c>
      <c r="Y112" s="613" t="e">
        <f t="shared" si="58"/>
        <v>#VALUE!</v>
      </c>
      <c r="Z112" s="613" t="e">
        <f t="shared" si="58"/>
        <v>#VALUE!</v>
      </c>
      <c r="AA112" s="613" t="e">
        <f t="shared" si="58"/>
        <v>#VALUE!</v>
      </c>
      <c r="AB112" s="613" t="e">
        <f t="shared" si="58"/>
        <v>#VALUE!</v>
      </c>
      <c r="AC112" s="613" t="e">
        <f t="shared" si="58"/>
        <v>#VALUE!</v>
      </c>
      <c r="AD112" s="613" t="e">
        <f t="shared" si="58"/>
        <v>#VALUE!</v>
      </c>
      <c r="AE112" s="613" t="e">
        <f t="shared" si="58"/>
        <v>#VALUE!</v>
      </c>
      <c r="AF112" s="613" t="e">
        <f t="shared" si="58"/>
        <v>#VALUE!</v>
      </c>
      <c r="AG112" s="613" t="e">
        <f t="shared" si="58"/>
        <v>#VALUE!</v>
      </c>
      <c r="AH112" s="613" t="e">
        <f t="shared" si="58"/>
        <v>#VALUE!</v>
      </c>
      <c r="AI112" s="613" t="e">
        <f t="shared" si="58"/>
        <v>#VALUE!</v>
      </c>
      <c r="AJ112" s="613" t="e">
        <f t="shared" si="58"/>
        <v>#VALUE!</v>
      </c>
      <c r="AK112" s="613" t="e">
        <f t="shared" si="58"/>
        <v>#VALUE!</v>
      </c>
      <c r="AL112" s="613" t="e">
        <f t="shared" si="58"/>
        <v>#VALUE!</v>
      </c>
      <c r="AM112" s="613" t="e">
        <f t="shared" si="58"/>
        <v>#VALUE!</v>
      </c>
      <c r="AN112" s="613" t="e">
        <f t="shared" si="58"/>
        <v>#VALUE!</v>
      </c>
      <c r="AO112" s="613" t="e">
        <f t="shared" si="58"/>
        <v>#VALUE!</v>
      </c>
      <c r="AP112" s="613" t="e">
        <f t="shared" si="58"/>
        <v>#VALUE!</v>
      </c>
      <c r="AQ112" s="613" t="e">
        <f t="shared" si="58"/>
        <v>#VALUE!</v>
      </c>
      <c r="AR112" s="613" t="e">
        <f t="shared" si="58"/>
        <v>#VALUE!</v>
      </c>
      <c r="AS112" s="613" t="e">
        <f t="shared" si="58"/>
        <v>#VALUE!</v>
      </c>
      <c r="AT112" s="613" t="e">
        <f t="shared" si="58"/>
        <v>#VALUE!</v>
      </c>
      <c r="AU112" s="613" t="e">
        <f t="shared" si="58"/>
        <v>#VALUE!</v>
      </c>
      <c r="AV112" s="613" t="e">
        <f t="shared" si="58"/>
        <v>#VALUE!</v>
      </c>
      <c r="AW112" s="613" t="e">
        <f t="shared" si="58"/>
        <v>#VALUE!</v>
      </c>
      <c r="AX112" s="613" t="e">
        <f t="shared" si="58"/>
        <v>#VALUE!</v>
      </c>
      <c r="AY112" s="613" t="e">
        <f t="shared" si="58"/>
        <v>#VALUE!</v>
      </c>
      <c r="AZ112" s="613" t="e">
        <f t="shared" si="58"/>
        <v>#VALUE!</v>
      </c>
      <c r="BA112" s="614"/>
    </row>
    <row r="113" spans="2:53" ht="12" thickBot="1" x14ac:dyDescent="0.25">
      <c r="B113" s="725" t="s">
        <v>2225</v>
      </c>
      <c r="C113" s="726"/>
      <c r="D113" s="727"/>
      <c r="E113" s="719" t="e">
        <f>+E109+F109+G109+H109</f>
        <v>#VALUE!</v>
      </c>
      <c r="F113" s="720"/>
      <c r="G113" s="720"/>
      <c r="H113" s="721"/>
      <c r="I113" s="719" t="e">
        <f>+I109+J109+K109+L109</f>
        <v>#VALUE!</v>
      </c>
      <c r="J113" s="720"/>
      <c r="K113" s="720"/>
      <c r="L113" s="721"/>
      <c r="M113" s="719" t="e">
        <f>+M109+N109+O109+P109</f>
        <v>#VALUE!</v>
      </c>
      <c r="N113" s="720"/>
      <c r="O113" s="720"/>
      <c r="P113" s="721"/>
      <c r="Q113" s="719" t="e">
        <f>+Q109+R109+S109+T109</f>
        <v>#VALUE!</v>
      </c>
      <c r="R113" s="720"/>
      <c r="S113" s="720"/>
      <c r="T113" s="721"/>
      <c r="U113" s="719" t="e">
        <f>+U109+V109+W109+X109</f>
        <v>#VALUE!</v>
      </c>
      <c r="V113" s="720"/>
      <c r="W113" s="720"/>
      <c r="X113" s="721"/>
      <c r="Y113" s="719" t="e">
        <f>+Y109+Z109+AA109+AB109</f>
        <v>#VALUE!</v>
      </c>
      <c r="Z113" s="720"/>
      <c r="AA113" s="720"/>
      <c r="AB113" s="721"/>
      <c r="AC113" s="719" t="e">
        <f>+AC109+AD109+AE109+AF109</f>
        <v>#VALUE!</v>
      </c>
      <c r="AD113" s="720"/>
      <c r="AE113" s="720"/>
      <c r="AF113" s="721"/>
      <c r="AG113" s="719" t="e">
        <f>+AG109+AH109+AI109+AJ109</f>
        <v>#VALUE!</v>
      </c>
      <c r="AH113" s="720"/>
      <c r="AI113" s="720"/>
      <c r="AJ113" s="721"/>
      <c r="AK113" s="719" t="e">
        <f>+AK109+AL109+AM109+AN109</f>
        <v>#VALUE!</v>
      </c>
      <c r="AL113" s="720"/>
      <c r="AM113" s="720"/>
      <c r="AN113" s="721"/>
      <c r="AO113" s="719" t="e">
        <f>+AO109+AP109+AQ109+AR109</f>
        <v>#VALUE!</v>
      </c>
      <c r="AP113" s="720"/>
      <c r="AQ113" s="720"/>
      <c r="AR113" s="721"/>
      <c r="AS113" s="719" t="e">
        <f>+AS109+AT109+AU109+AV109</f>
        <v>#VALUE!</v>
      </c>
      <c r="AT113" s="720"/>
      <c r="AU113" s="720"/>
      <c r="AV113" s="721"/>
      <c r="AW113" s="719" t="e">
        <f>+AW109+AX109+AY109+AZ109</f>
        <v>#VALUE!</v>
      </c>
      <c r="AX113" s="720"/>
      <c r="AY113" s="720"/>
      <c r="AZ113" s="721"/>
      <c r="BA113" s="571"/>
    </row>
  </sheetData>
  <mergeCells count="168">
    <mergeCell ref="Y113:AB113"/>
    <mergeCell ref="AC113:AF113"/>
    <mergeCell ref="AG113:AJ113"/>
    <mergeCell ref="AK113:AN113"/>
    <mergeCell ref="AO113:AR113"/>
    <mergeCell ref="AS113:AV113"/>
    <mergeCell ref="AW113:AZ113"/>
    <mergeCell ref="B110:D110"/>
    <mergeCell ref="B111:D111"/>
    <mergeCell ref="B112:D112"/>
    <mergeCell ref="B113:D113"/>
    <mergeCell ref="E113:H113"/>
    <mergeCell ref="I113:L113"/>
    <mergeCell ref="M113:P113"/>
    <mergeCell ref="Q113:T113"/>
    <mergeCell ref="U113:X113"/>
    <mergeCell ref="AK103:AN103"/>
    <mergeCell ref="AO103:AR103"/>
    <mergeCell ref="AS103:AV103"/>
    <mergeCell ref="AW103:AZ103"/>
    <mergeCell ref="B105:BA105"/>
    <mergeCell ref="B107:D107"/>
    <mergeCell ref="E107:AB107"/>
    <mergeCell ref="AC107:AZ107"/>
    <mergeCell ref="B109:D109"/>
    <mergeCell ref="B103:D103"/>
    <mergeCell ref="E103:H103"/>
    <mergeCell ref="I103:L103"/>
    <mergeCell ref="M103:P103"/>
    <mergeCell ref="Q103:T103"/>
    <mergeCell ref="U103:X103"/>
    <mergeCell ref="Y103:AB103"/>
    <mergeCell ref="AC103:AF103"/>
    <mergeCell ref="AG103:AJ103"/>
    <mergeCell ref="B79:C79"/>
    <mergeCell ref="B81:BA81"/>
    <mergeCell ref="B83:D83"/>
    <mergeCell ref="E83:AB83"/>
    <mergeCell ref="AC83:AZ83"/>
    <mergeCell ref="B99:C99"/>
    <mergeCell ref="B100:D100"/>
    <mergeCell ref="B101:D101"/>
    <mergeCell ref="B102:D102"/>
    <mergeCell ref="E102:H102"/>
    <mergeCell ref="I102:L102"/>
    <mergeCell ref="M102:P102"/>
    <mergeCell ref="Q102:T102"/>
    <mergeCell ref="U102:X102"/>
    <mergeCell ref="Y102:AB102"/>
    <mergeCell ref="AC102:AF102"/>
    <mergeCell ref="AG102:AJ102"/>
    <mergeCell ref="AK102:AN102"/>
    <mergeCell ref="AO102:AR102"/>
    <mergeCell ref="AS102:AV102"/>
    <mergeCell ref="AW102:AZ102"/>
    <mergeCell ref="B1:D1"/>
    <mergeCell ref="B2:D2"/>
    <mergeCell ref="B3:D3"/>
    <mergeCell ref="AH5:AK5"/>
    <mergeCell ref="F4:AK4"/>
    <mergeCell ref="C6:C7"/>
    <mergeCell ref="B61:BA61"/>
    <mergeCell ref="B63:D63"/>
    <mergeCell ref="E63:AB63"/>
    <mergeCell ref="AC63:AZ63"/>
    <mergeCell ref="F5:I5"/>
    <mergeCell ref="J5:M5"/>
    <mergeCell ref="F56:I56"/>
    <mergeCell ref="J56:M56"/>
    <mergeCell ref="AD52:AG52"/>
    <mergeCell ref="AD54:AG54"/>
    <mergeCell ref="R56:U56"/>
    <mergeCell ref="AD55:AG55"/>
    <mergeCell ref="V56:Y56"/>
    <mergeCell ref="AD56:AG56"/>
    <mergeCell ref="AD53:AG53"/>
    <mergeCell ref="V5:Y5"/>
    <mergeCell ref="V53:Y53"/>
    <mergeCell ref="R46:U46"/>
    <mergeCell ref="V52:Y52"/>
    <mergeCell ref="Z52:AC52"/>
    <mergeCell ref="Z5:AC5"/>
    <mergeCell ref="Z6:AC6"/>
    <mergeCell ref="Z46:AC46"/>
    <mergeCell ref="Z47:AC47"/>
    <mergeCell ref="Z48:AC48"/>
    <mergeCell ref="Z49:AC49"/>
    <mergeCell ref="Z50:AC50"/>
    <mergeCell ref="Z51:AC51"/>
    <mergeCell ref="AD47:AG47"/>
    <mergeCell ref="V46:Y46"/>
    <mergeCell ref="AD5:AG5"/>
    <mergeCell ref="AD48:AG48"/>
    <mergeCell ref="AD46:AG46"/>
    <mergeCell ref="AD49:AG49"/>
    <mergeCell ref="AD50:AG50"/>
    <mergeCell ref="AD51:AG51"/>
    <mergeCell ref="AD6:AG6"/>
    <mergeCell ref="V51:Y51"/>
    <mergeCell ref="J54:M54"/>
    <mergeCell ref="F52:I52"/>
    <mergeCell ref="J52:M52"/>
    <mergeCell ref="F53:I53"/>
    <mergeCell ref="J53:M53"/>
    <mergeCell ref="R51:U51"/>
    <mergeCell ref="F54:I54"/>
    <mergeCell ref="R52:U52"/>
    <mergeCell ref="J55:M55"/>
    <mergeCell ref="R55:U55"/>
    <mergeCell ref="R54:U54"/>
    <mergeCell ref="J51:M51"/>
    <mergeCell ref="F51:I51"/>
    <mergeCell ref="F55:I55"/>
    <mergeCell ref="N51:Q51"/>
    <mergeCell ref="N52:Q52"/>
    <mergeCell ref="R53:U53"/>
    <mergeCell ref="F50:I50"/>
    <mergeCell ref="F6:I6"/>
    <mergeCell ref="J6:M6"/>
    <mergeCell ref="R6:U6"/>
    <mergeCell ref="F48:I48"/>
    <mergeCell ref="R48:U48"/>
    <mergeCell ref="F46:I46"/>
    <mergeCell ref="J46:M46"/>
    <mergeCell ref="R49:U49"/>
    <mergeCell ref="F47:I47"/>
    <mergeCell ref="R47:U47"/>
    <mergeCell ref="R50:U50"/>
    <mergeCell ref="J47:M47"/>
    <mergeCell ref="J50:M50"/>
    <mergeCell ref="J48:M48"/>
    <mergeCell ref="F49:I49"/>
    <mergeCell ref="J49:M49"/>
    <mergeCell ref="N50:Q50"/>
    <mergeCell ref="AH51:AK51"/>
    <mergeCell ref="AH52:AK52"/>
    <mergeCell ref="AH53:AK53"/>
    <mergeCell ref="AH54:AK54"/>
    <mergeCell ref="AH55:AK55"/>
    <mergeCell ref="AH56:AK56"/>
    <mergeCell ref="AH6:AK6"/>
    <mergeCell ref="AH46:AK46"/>
    <mergeCell ref="AH47:AK47"/>
    <mergeCell ref="AH48:AK48"/>
    <mergeCell ref="AH49:AK49"/>
    <mergeCell ref="AH50:AK50"/>
    <mergeCell ref="N5:Q5"/>
    <mergeCell ref="N6:Q6"/>
    <mergeCell ref="N46:Q46"/>
    <mergeCell ref="N47:Q47"/>
    <mergeCell ref="N48:Q48"/>
    <mergeCell ref="N49:Q49"/>
    <mergeCell ref="V49:Y49"/>
    <mergeCell ref="V47:Y47"/>
    <mergeCell ref="V50:Y50"/>
    <mergeCell ref="V48:Y48"/>
    <mergeCell ref="R5:U5"/>
    <mergeCell ref="V6:Y6"/>
    <mergeCell ref="Z53:AC53"/>
    <mergeCell ref="Z54:AC54"/>
    <mergeCell ref="Z55:AC55"/>
    <mergeCell ref="Z56:AC56"/>
    <mergeCell ref="N56:Q56"/>
    <mergeCell ref="N53:Q53"/>
    <mergeCell ref="N54:Q54"/>
    <mergeCell ref="N55:Q55"/>
    <mergeCell ref="V55:Y55"/>
    <mergeCell ref="V54:Y54"/>
  </mergeCells>
  <phoneticPr fontId="2" type="noConversion"/>
  <pageMargins left="0.39370078740157483" right="0.35433070866141736" top="0.41" bottom="0.39370078740157483" header="0" footer="0"/>
  <pageSetup paperSize="9" scale="6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69945-7515-4B14-A3D6-0556CA3660DC}">
  <sheetPr codeName="Hoja3"/>
  <dimension ref="A1:AP663"/>
  <sheetViews>
    <sheetView topLeftCell="A53" zoomScale="90" zoomScaleNormal="90" workbookViewId="0">
      <selection activeCell="C60" sqref="C60"/>
    </sheetView>
  </sheetViews>
  <sheetFormatPr baseColWidth="10" defaultColWidth="11.42578125" defaultRowHeight="12.75" x14ac:dyDescent="0.2"/>
  <cols>
    <col min="1" max="1" width="31.140625" style="7" customWidth="1"/>
    <col min="2" max="2" width="9.85546875" style="7" bestFit="1" customWidth="1"/>
    <col min="3" max="4" width="9.85546875" style="7" customWidth="1"/>
    <col min="5" max="5" width="10.140625" style="7" bestFit="1" customWidth="1"/>
    <col min="6" max="6" width="7.140625" style="7" bestFit="1" customWidth="1"/>
    <col min="7" max="7" width="8.7109375" style="8" bestFit="1" customWidth="1"/>
    <col min="8" max="8" width="7.140625" style="7" bestFit="1" customWidth="1"/>
    <col min="9" max="9" width="6.140625" style="7" bestFit="1" customWidth="1"/>
    <col min="10" max="11" width="6.7109375" style="7" bestFit="1" customWidth="1"/>
    <col min="12" max="12" width="5.7109375" style="7" bestFit="1" customWidth="1"/>
    <col min="13" max="13" width="6.7109375" style="7" bestFit="1" customWidth="1"/>
    <col min="14" max="15" width="5.7109375" style="7" bestFit="1" customWidth="1"/>
    <col min="16" max="16" width="6.140625" style="7" bestFit="1" customWidth="1"/>
    <col min="17" max="18" width="6.7109375" style="7" bestFit="1" customWidth="1"/>
    <col min="19" max="19" width="6.140625" style="7" bestFit="1" customWidth="1"/>
    <col min="20" max="23" width="6.7109375" style="7" bestFit="1" customWidth="1"/>
    <col min="24" max="26" width="5.140625" style="7" bestFit="1" customWidth="1"/>
    <col min="27" max="29" width="6.5703125" style="7" bestFit="1" customWidth="1"/>
    <col min="30" max="30" width="5.5703125" style="7" bestFit="1" customWidth="1"/>
    <col min="31" max="31" width="6.5703125" style="7" bestFit="1" customWidth="1"/>
    <col min="32" max="32" width="5.5703125" style="7" bestFit="1" customWidth="1"/>
    <col min="33" max="35" width="6.5703125" style="7" bestFit="1" customWidth="1"/>
    <col min="36" max="36" width="5.5703125" style="7" bestFit="1" customWidth="1"/>
    <col min="37" max="37" width="6.5703125" style="7" bestFit="1" customWidth="1"/>
    <col min="38" max="39" width="5.5703125" style="7" bestFit="1" customWidth="1"/>
    <col min="40" max="40" width="6.5703125" style="7" bestFit="1" customWidth="1"/>
    <col min="41" max="41" width="5.5703125" style="7" bestFit="1" customWidth="1"/>
    <col min="42" max="42" width="5.5703125" style="154" bestFit="1" customWidth="1"/>
    <col min="43" max="16384" width="11.42578125" style="7"/>
  </cols>
  <sheetData>
    <row r="1" spans="1:7" ht="21" thickBot="1" x14ac:dyDescent="0.35">
      <c r="A1" s="14" t="s">
        <v>30</v>
      </c>
      <c r="B1" s="13"/>
      <c r="C1" s="12"/>
    </row>
    <row r="2" spans="1:7" ht="15.75" x14ac:dyDescent="0.25">
      <c r="A2" s="27" t="s">
        <v>1583</v>
      </c>
      <c r="B2" s="28">
        <f>SUM(C4:C63)</f>
        <v>59.18</v>
      </c>
      <c r="C2" s="29" t="s">
        <v>915</v>
      </c>
      <c r="D2" s="29"/>
    </row>
    <row r="3" spans="1:7" ht="15.75" x14ac:dyDescent="0.25">
      <c r="A3" s="11"/>
      <c r="C3" s="10"/>
      <c r="D3" s="10"/>
    </row>
    <row r="4" spans="1:7" x14ac:dyDescent="0.2">
      <c r="A4" s="7" t="s">
        <v>1734</v>
      </c>
      <c r="C4" s="7">
        <f>ROUND(E4*G4,2)</f>
        <v>0</v>
      </c>
      <c r="E4" s="7">
        <v>1</v>
      </c>
      <c r="F4" s="10" t="s">
        <v>915</v>
      </c>
      <c r="G4" s="8">
        <f>SUM(H4:AP4)</f>
        <v>0</v>
      </c>
    </row>
    <row r="5" spans="1:7" x14ac:dyDescent="0.2">
      <c r="A5" s="7" t="s">
        <v>31</v>
      </c>
      <c r="C5" s="7">
        <f>ROUND(E5*G5,2)</f>
        <v>0</v>
      </c>
      <c r="E5" s="7">
        <v>1</v>
      </c>
      <c r="F5" s="9" t="s">
        <v>772</v>
      </c>
      <c r="G5" s="8">
        <f>SUM(H5:AP5)</f>
        <v>0</v>
      </c>
    </row>
    <row r="6" spans="1:7" x14ac:dyDescent="0.2">
      <c r="A6" s="7" t="s">
        <v>32</v>
      </c>
      <c r="C6" s="7">
        <f>ROUND(E6*G6,2)</f>
        <v>0</v>
      </c>
      <c r="E6" s="7">
        <v>1</v>
      </c>
      <c r="F6" s="9" t="s">
        <v>772</v>
      </c>
      <c r="G6" s="8">
        <f>SUM(H6:AP6)</f>
        <v>0</v>
      </c>
    </row>
    <row r="7" spans="1:7" ht="13.5" thickBot="1" x14ac:dyDescent="0.25">
      <c r="G7" s="8">
        <f>SUM(H7:AP7)</f>
        <v>0</v>
      </c>
    </row>
    <row r="8" spans="1:7" ht="21" thickBot="1" x14ac:dyDescent="0.35">
      <c r="A8" s="14" t="s">
        <v>1649</v>
      </c>
      <c r="B8" s="13"/>
      <c r="C8" s="12"/>
      <c r="G8" s="8">
        <f t="shared" ref="G8:G40" si="0">SUM(H8:AG8)</f>
        <v>0</v>
      </c>
    </row>
    <row r="9" spans="1:7" x14ac:dyDescent="0.2">
      <c r="A9" s="30" t="s">
        <v>1583</v>
      </c>
      <c r="B9" s="30">
        <f>SUM(C11:C15)-B10</f>
        <v>0</v>
      </c>
      <c r="C9" s="31" t="s">
        <v>945</v>
      </c>
      <c r="D9" s="31"/>
      <c r="E9" s="19"/>
      <c r="F9" s="19"/>
      <c r="G9" s="8">
        <f t="shared" si="0"/>
        <v>0</v>
      </c>
    </row>
    <row r="10" spans="1:7" x14ac:dyDescent="0.2">
      <c r="A10" s="19"/>
      <c r="B10" s="19"/>
      <c r="C10" s="9"/>
      <c r="D10" s="9"/>
      <c r="E10" s="19"/>
      <c r="F10" s="19"/>
      <c r="G10" s="8">
        <f t="shared" si="0"/>
        <v>0</v>
      </c>
    </row>
    <row r="11" spans="1:7" x14ac:dyDescent="0.2">
      <c r="A11" s="19" t="s">
        <v>1648</v>
      </c>
      <c r="C11" s="7">
        <f>ROUND(E11*G11,2)</f>
        <v>0</v>
      </c>
      <c r="E11" s="7">
        <v>0.8</v>
      </c>
      <c r="F11" s="9" t="s">
        <v>915</v>
      </c>
      <c r="G11" s="8">
        <f t="shared" si="0"/>
        <v>0</v>
      </c>
    </row>
    <row r="12" spans="1:7" x14ac:dyDescent="0.2">
      <c r="A12" s="7" t="s">
        <v>1647</v>
      </c>
      <c r="C12" s="7">
        <f>ROUND(E12*G12,2)</f>
        <v>0</v>
      </c>
      <c r="E12" s="7">
        <f>0.8*0.7</f>
        <v>0.55999999999999994</v>
      </c>
      <c r="F12" s="9" t="s">
        <v>772</v>
      </c>
      <c r="G12" s="8">
        <f t="shared" si="0"/>
        <v>0</v>
      </c>
    </row>
    <row r="13" spans="1:7" x14ac:dyDescent="0.2">
      <c r="A13" s="19" t="s">
        <v>1646</v>
      </c>
      <c r="C13" s="7">
        <f>ROUND(E13*G13,2)</f>
        <v>0</v>
      </c>
      <c r="E13" s="7">
        <v>0.8</v>
      </c>
      <c r="F13" s="9" t="s">
        <v>915</v>
      </c>
      <c r="G13" s="8">
        <f t="shared" si="0"/>
        <v>0</v>
      </c>
    </row>
    <row r="14" spans="1:7" x14ac:dyDescent="0.2">
      <c r="A14" s="19" t="s">
        <v>1645</v>
      </c>
      <c r="C14" s="7">
        <f>ROUND(E14*G14,2)</f>
        <v>0</v>
      </c>
      <c r="E14" s="7">
        <v>0.8</v>
      </c>
      <c r="F14" s="9" t="s">
        <v>915</v>
      </c>
      <c r="G14" s="8">
        <f t="shared" si="0"/>
        <v>0</v>
      </c>
    </row>
    <row r="15" spans="1:7" ht="13.5" thickBot="1" x14ac:dyDescent="0.25">
      <c r="G15" s="8">
        <f t="shared" si="0"/>
        <v>0</v>
      </c>
    </row>
    <row r="16" spans="1:7" ht="21" thickBot="1" x14ac:dyDescent="0.35">
      <c r="A16" s="14" t="s">
        <v>1644</v>
      </c>
      <c r="B16" s="13"/>
      <c r="C16" s="12"/>
      <c r="G16" s="8">
        <f t="shared" si="0"/>
        <v>0</v>
      </c>
    </row>
    <row r="17" spans="1:23" x14ac:dyDescent="0.2">
      <c r="A17" s="30" t="s">
        <v>1583</v>
      </c>
      <c r="B17" s="30">
        <f>SUM(C19:C20)</f>
        <v>5.8100000000000005</v>
      </c>
      <c r="C17" s="31" t="s">
        <v>945</v>
      </c>
      <c r="D17" s="31"/>
      <c r="E17" s="19"/>
      <c r="F17" s="19"/>
      <c r="G17" s="8">
        <f t="shared" si="0"/>
        <v>0</v>
      </c>
    </row>
    <row r="18" spans="1:23" x14ac:dyDescent="0.2">
      <c r="A18" s="19"/>
      <c r="B18" s="19"/>
      <c r="C18" s="9"/>
      <c r="D18" s="9"/>
      <c r="E18" s="19"/>
      <c r="F18" s="19"/>
      <c r="G18" s="8">
        <f t="shared" si="0"/>
        <v>0</v>
      </c>
    </row>
    <row r="19" spans="1:23" x14ac:dyDescent="0.2">
      <c r="A19" s="19" t="s">
        <v>1643</v>
      </c>
      <c r="C19" s="7">
        <f>ROUND(E19*G19,2)</f>
        <v>3.95</v>
      </c>
      <c r="E19" s="7">
        <v>0.05</v>
      </c>
      <c r="F19" s="9" t="s">
        <v>915</v>
      </c>
      <c r="G19" s="8">
        <f t="shared" si="0"/>
        <v>78.959999999999951</v>
      </c>
      <c r="H19" s="7">
        <v>211.75</v>
      </c>
      <c r="I19" s="7">
        <v>3.27</v>
      </c>
      <c r="J19" s="7">
        <v>-11</v>
      </c>
      <c r="K19" s="7">
        <v>-10.8</v>
      </c>
      <c r="L19" s="7">
        <v>-9.9</v>
      </c>
      <c r="M19" s="7">
        <v>-12.75</v>
      </c>
      <c r="N19" s="7">
        <v>-1.3</v>
      </c>
      <c r="O19" s="7">
        <v>-7.49</v>
      </c>
      <c r="P19" s="7">
        <v>-9.36</v>
      </c>
      <c r="Q19" s="7">
        <v>-8.58</v>
      </c>
      <c r="R19" s="7">
        <v>-10.119999999999999</v>
      </c>
      <c r="S19" s="7">
        <v>-2.2000000000000002</v>
      </c>
      <c r="T19" s="7">
        <v>-11.8</v>
      </c>
      <c r="U19" s="7">
        <v>-14.04</v>
      </c>
      <c r="V19" s="7">
        <v>-12.87</v>
      </c>
      <c r="W19" s="7">
        <v>-13.85</v>
      </c>
    </row>
    <row r="20" spans="1:23" x14ac:dyDescent="0.2">
      <c r="A20" s="19" t="s">
        <v>1643</v>
      </c>
      <c r="C20" s="7">
        <f>ROUND(E20*G20,2)</f>
        <v>1.86</v>
      </c>
      <c r="E20" s="7">
        <v>0.05</v>
      </c>
      <c r="F20" s="9" t="s">
        <v>945</v>
      </c>
      <c r="G20" s="8">
        <f t="shared" si="0"/>
        <v>37.230000000000004</v>
      </c>
      <c r="H20" s="7">
        <f>0.9*0.9*4</f>
        <v>3.24</v>
      </c>
      <c r="I20" s="7">
        <f>1.1*1.1*5</f>
        <v>6.0500000000000007</v>
      </c>
      <c r="J20" s="7">
        <f>1.4*1.4*8</f>
        <v>15.679999999999998</v>
      </c>
      <c r="K20" s="7">
        <f>1.7*1.7*2</f>
        <v>5.7799999999999994</v>
      </c>
      <c r="L20" s="7">
        <f>1.8*1.8*2</f>
        <v>6.48</v>
      </c>
    </row>
    <row r="21" spans="1:23" ht="13.5" thickBot="1" x14ac:dyDescent="0.25">
      <c r="A21" s="19" t="s">
        <v>2006</v>
      </c>
      <c r="C21" s="7">
        <f>ROUND(E21*G21,2)</f>
        <v>0.16</v>
      </c>
      <c r="E21" s="7">
        <v>0.05</v>
      </c>
      <c r="F21" s="9" t="s">
        <v>945</v>
      </c>
      <c r="G21" s="8">
        <f>SUM(H21:AG21)</f>
        <v>3.2300000000000004</v>
      </c>
      <c r="H21" s="7">
        <f>0.9*0.9</f>
        <v>0.81</v>
      </c>
      <c r="I21" s="7">
        <f>1.1*1.1*2</f>
        <v>2.4200000000000004</v>
      </c>
    </row>
    <row r="22" spans="1:23" ht="21" thickBot="1" x14ac:dyDescent="0.35">
      <c r="A22" s="14" t="s">
        <v>1836</v>
      </c>
      <c r="B22" s="13"/>
      <c r="C22" s="12"/>
      <c r="G22" s="8">
        <f t="shared" ref="G22:G33" si="1">SUM(H22:AG22)</f>
        <v>0</v>
      </c>
    </row>
    <row r="23" spans="1:23" x14ac:dyDescent="0.2">
      <c r="A23" s="30" t="s">
        <v>1583</v>
      </c>
      <c r="B23" s="30">
        <f>SUM(C25:C33)</f>
        <v>5.27</v>
      </c>
      <c r="C23" s="31" t="s">
        <v>945</v>
      </c>
      <c r="D23" s="31">
        <f>7.65/2.05</f>
        <v>3.7317073170731714</v>
      </c>
      <c r="E23" s="19">
        <f>25.37/8.9</f>
        <v>2.850561797752809</v>
      </c>
      <c r="F23" s="19"/>
      <c r="G23" s="8">
        <f t="shared" si="1"/>
        <v>0</v>
      </c>
    </row>
    <row r="24" spans="1:23" x14ac:dyDescent="0.2">
      <c r="A24" s="19"/>
      <c r="B24" s="19"/>
      <c r="C24" s="9"/>
      <c r="D24" s="9"/>
      <c r="E24" s="19"/>
      <c r="F24" s="19"/>
      <c r="G24" s="8">
        <f t="shared" si="1"/>
        <v>0</v>
      </c>
    </row>
    <row r="25" spans="1:23" x14ac:dyDescent="0.2">
      <c r="A25" s="7" t="s">
        <v>2002</v>
      </c>
      <c r="B25" s="7">
        <f>SUM(C25:C29)</f>
        <v>2.75</v>
      </c>
      <c r="C25" s="7">
        <f t="shared" ref="C25:C33" si="2">ROUND(E25*G25,2)</f>
        <v>2.75</v>
      </c>
      <c r="E25" s="7">
        <f>(0.44+0.8)*0.1*0.5+0.15</f>
        <v>0.21199999999999999</v>
      </c>
      <c r="F25" s="9" t="s">
        <v>915</v>
      </c>
      <c r="G25" s="8">
        <f t="shared" si="1"/>
        <v>12.96</v>
      </c>
      <c r="H25" s="7">
        <f>1.8*1.8</f>
        <v>3.24</v>
      </c>
      <c r="I25" s="7">
        <f>1.8*1.8</f>
        <v>3.24</v>
      </c>
      <c r="J25" s="7">
        <f>1.8*1.8</f>
        <v>3.24</v>
      </c>
      <c r="K25" s="7">
        <f>1.8*1.8</f>
        <v>3.24</v>
      </c>
    </row>
    <row r="26" spans="1:23" x14ac:dyDescent="0.2">
      <c r="C26" s="7">
        <f t="shared" si="2"/>
        <v>0</v>
      </c>
      <c r="E26" s="7">
        <f>(0.44+1)*0.1*0.5+0.15</f>
        <v>0.22199999999999998</v>
      </c>
      <c r="F26" s="9" t="s">
        <v>915</v>
      </c>
      <c r="G26" s="8">
        <f t="shared" si="1"/>
        <v>0</v>
      </c>
    </row>
    <row r="27" spans="1:23" x14ac:dyDescent="0.2">
      <c r="C27" s="7">
        <f t="shared" si="2"/>
        <v>0</v>
      </c>
      <c r="E27" s="7">
        <f>(0.44+1.3)*0.1*0.5+0.15</f>
        <v>0.23699999999999999</v>
      </c>
      <c r="F27" s="9"/>
      <c r="G27" s="8">
        <f t="shared" si="1"/>
        <v>0</v>
      </c>
    </row>
    <row r="28" spans="1:23" x14ac:dyDescent="0.2">
      <c r="C28" s="7">
        <f t="shared" si="2"/>
        <v>0</v>
      </c>
      <c r="E28" s="7">
        <f>(0.44+1.6)*0.1*0.5+0.15</f>
        <v>0.252</v>
      </c>
      <c r="F28" s="9"/>
      <c r="G28" s="8">
        <f t="shared" si="1"/>
        <v>0</v>
      </c>
    </row>
    <row r="29" spans="1:23" x14ac:dyDescent="0.2">
      <c r="C29" s="7">
        <f t="shared" si="2"/>
        <v>0</v>
      </c>
      <c r="E29" s="7">
        <f>(0.44+1.7)*0.1*0.5+0.15</f>
        <v>0.25700000000000001</v>
      </c>
      <c r="F29" s="9"/>
      <c r="G29" s="8">
        <f t="shared" si="1"/>
        <v>0</v>
      </c>
    </row>
    <row r="30" spans="1:23" x14ac:dyDescent="0.2">
      <c r="A30" s="7" t="s">
        <v>1838</v>
      </c>
      <c r="C30" s="7">
        <f t="shared" si="2"/>
        <v>1.1200000000000001</v>
      </c>
      <c r="E30" s="7">
        <f>0.2*0.3</f>
        <v>0.06</v>
      </c>
      <c r="F30" s="9" t="s">
        <v>915</v>
      </c>
      <c r="G30" s="8">
        <f t="shared" si="1"/>
        <v>18.7</v>
      </c>
      <c r="H30" s="7">
        <v>5.2</v>
      </c>
      <c r="I30" s="7">
        <v>5.2</v>
      </c>
      <c r="J30" s="7">
        <v>3.6</v>
      </c>
      <c r="K30" s="7">
        <v>4.7</v>
      </c>
    </row>
    <row r="31" spans="1:23" x14ac:dyDescent="0.2">
      <c r="A31" s="7" t="s">
        <v>1853</v>
      </c>
      <c r="C31" s="7">
        <f t="shared" si="2"/>
        <v>1.4</v>
      </c>
      <c r="E31" s="7">
        <f>(0.2+0.3)*0.3*0.5</f>
        <v>7.4999999999999997E-2</v>
      </c>
      <c r="F31" s="9" t="s">
        <v>915</v>
      </c>
      <c r="G31" s="8">
        <f t="shared" si="1"/>
        <v>18.7</v>
      </c>
      <c r="H31" s="7">
        <v>5.2</v>
      </c>
      <c r="I31" s="7">
        <v>5.2</v>
      </c>
      <c r="J31" s="7">
        <v>3.6</v>
      </c>
      <c r="K31" s="7">
        <v>4.7</v>
      </c>
    </row>
    <row r="32" spans="1:23" x14ac:dyDescent="0.2">
      <c r="A32" s="7" t="s">
        <v>2003</v>
      </c>
      <c r="C32" s="7">
        <f t="shared" si="2"/>
        <v>0</v>
      </c>
      <c r="E32" s="7">
        <f>(0.44+1)*0.1*0.5+0.15</f>
        <v>0.22199999999999998</v>
      </c>
      <c r="F32" s="9" t="s">
        <v>915</v>
      </c>
      <c r="G32" s="8">
        <f t="shared" si="1"/>
        <v>0</v>
      </c>
    </row>
    <row r="33" spans="1:26" x14ac:dyDescent="0.2">
      <c r="A33" s="7" t="s">
        <v>2004</v>
      </c>
      <c r="C33" s="7">
        <f t="shared" si="2"/>
        <v>0</v>
      </c>
      <c r="E33" s="7">
        <f>0.2*0.2</f>
        <v>4.0000000000000008E-2</v>
      </c>
      <c r="F33" s="9" t="s">
        <v>915</v>
      </c>
      <c r="G33" s="8">
        <f t="shared" si="1"/>
        <v>0</v>
      </c>
    </row>
    <row r="34" spans="1:26" ht="13.5" thickBot="1" x14ac:dyDescent="0.25">
      <c r="G34" s="8">
        <f t="shared" si="0"/>
        <v>0</v>
      </c>
    </row>
    <row r="35" spans="1:26" ht="21" thickBot="1" x14ac:dyDescent="0.35">
      <c r="A35" s="14" t="s">
        <v>1836</v>
      </c>
      <c r="B35" s="13"/>
      <c r="C35" s="12"/>
      <c r="G35" s="8">
        <f t="shared" si="0"/>
        <v>0</v>
      </c>
    </row>
    <row r="36" spans="1:26" x14ac:dyDescent="0.2">
      <c r="A36" s="30" t="s">
        <v>1583</v>
      </c>
      <c r="B36" s="30">
        <f>SUM(C38:C39)</f>
        <v>15.940000000000001</v>
      </c>
      <c r="C36" s="31" t="s">
        <v>945</v>
      </c>
      <c r="D36" s="31"/>
      <c r="E36" s="19"/>
      <c r="F36" s="19"/>
      <c r="G36" s="8">
        <f t="shared" si="0"/>
        <v>0</v>
      </c>
    </row>
    <row r="37" spans="1:26" x14ac:dyDescent="0.2">
      <c r="A37" s="19"/>
      <c r="B37" s="19"/>
      <c r="C37" s="9"/>
      <c r="D37" s="9"/>
      <c r="E37" s="19"/>
      <c r="F37" s="19"/>
      <c r="G37" s="8">
        <f t="shared" si="0"/>
        <v>0</v>
      </c>
    </row>
    <row r="38" spans="1:26" x14ac:dyDescent="0.2">
      <c r="A38" s="7" t="s">
        <v>1837</v>
      </c>
      <c r="C38" s="7">
        <f t="shared" ref="C38:C43" si="3">ROUND(E38*G38,2)</f>
        <v>10.56</v>
      </c>
      <c r="E38" s="7">
        <v>0.18</v>
      </c>
      <c r="F38" s="9" t="s">
        <v>915</v>
      </c>
      <c r="G38" s="8">
        <f t="shared" si="0"/>
        <v>58.680000000000007</v>
      </c>
      <c r="H38" s="7">
        <v>8.9</v>
      </c>
      <c r="I38" s="7">
        <v>8.56</v>
      </c>
      <c r="J38" s="7">
        <v>2.39</v>
      </c>
      <c r="K38" s="7">
        <v>6.85</v>
      </c>
      <c r="L38" s="7">
        <v>5.0999999999999996</v>
      </c>
      <c r="M38" s="7">
        <v>1.69</v>
      </c>
      <c r="N38" s="7">
        <v>2.0499999999999998</v>
      </c>
      <c r="O38" s="7">
        <v>4.2</v>
      </c>
      <c r="P38" s="7">
        <v>2.81</v>
      </c>
      <c r="Q38" s="7">
        <v>2.89</v>
      </c>
      <c r="R38" s="7">
        <v>2.66</v>
      </c>
      <c r="S38" s="7">
        <v>1.4</v>
      </c>
      <c r="T38" s="7">
        <v>0.92</v>
      </c>
      <c r="U38" s="7">
        <v>0.98</v>
      </c>
      <c r="V38" s="7">
        <v>1.85</v>
      </c>
      <c r="W38" s="7">
        <v>1.42</v>
      </c>
      <c r="X38" s="7">
        <v>1</v>
      </c>
      <c r="Y38" s="7">
        <v>1.1599999999999999</v>
      </c>
      <c r="Z38" s="7">
        <v>1.85</v>
      </c>
    </row>
    <row r="39" spans="1:26" x14ac:dyDescent="0.2">
      <c r="A39" s="7" t="s">
        <v>1835</v>
      </c>
      <c r="C39" s="7">
        <f t="shared" si="3"/>
        <v>5.38</v>
      </c>
      <c r="E39" s="7">
        <f>0.2*0.25</f>
        <v>0.05</v>
      </c>
      <c r="F39" s="9" t="s">
        <v>915</v>
      </c>
      <c r="G39" s="8">
        <f t="shared" si="0"/>
        <v>107.62</v>
      </c>
      <c r="H39" s="7">
        <v>14.51</v>
      </c>
      <c r="I39" s="7">
        <v>14.17</v>
      </c>
      <c r="J39" s="7">
        <v>6.32</v>
      </c>
      <c r="K39" s="7">
        <v>8.5</v>
      </c>
      <c r="L39" s="7">
        <v>8.6999999999999993</v>
      </c>
      <c r="M39" s="7">
        <v>4.63</v>
      </c>
      <c r="N39" s="7">
        <v>4.5</v>
      </c>
      <c r="O39" s="7">
        <v>8.1999999999999993</v>
      </c>
      <c r="P39" s="7">
        <v>4.5</v>
      </c>
      <c r="Q39" s="7">
        <v>4.7300000000000004</v>
      </c>
      <c r="R39" s="7">
        <v>4.3</v>
      </c>
      <c r="S39" s="7">
        <v>3.2</v>
      </c>
      <c r="T39" s="7">
        <v>2.17</v>
      </c>
      <c r="U39" s="7">
        <v>2.54</v>
      </c>
      <c r="V39" s="7">
        <v>4.2</v>
      </c>
      <c r="W39" s="7">
        <v>3.24</v>
      </c>
      <c r="X39" s="7">
        <v>2.35</v>
      </c>
      <c r="Y39" s="7">
        <v>2.81</v>
      </c>
      <c r="Z39" s="7">
        <v>4.05</v>
      </c>
    </row>
    <row r="40" spans="1:26" x14ac:dyDescent="0.2">
      <c r="A40" s="7" t="s">
        <v>1838</v>
      </c>
      <c r="C40" s="7">
        <f t="shared" si="3"/>
        <v>0.4</v>
      </c>
      <c r="E40" s="7">
        <f>0.2*0.3</f>
        <v>0.06</v>
      </c>
      <c r="F40" s="9" t="s">
        <v>915</v>
      </c>
      <c r="G40" s="8">
        <f t="shared" si="0"/>
        <v>6.6</v>
      </c>
      <c r="H40" s="7">
        <v>4.5</v>
      </c>
      <c r="I40" s="7">
        <v>2.1</v>
      </c>
    </row>
    <row r="41" spans="1:26" x14ac:dyDescent="0.2">
      <c r="A41" s="7" t="s">
        <v>1853</v>
      </c>
      <c r="C41" s="7">
        <f t="shared" si="3"/>
        <v>0.5</v>
      </c>
      <c r="E41" s="7">
        <f>(0.2+0.3)*0.3*0.5</f>
        <v>7.4999999999999997E-2</v>
      </c>
      <c r="F41" s="9" t="s">
        <v>915</v>
      </c>
      <c r="G41" s="8">
        <f t="shared" ref="G41:G48" si="4">SUM(H41:AG41)</f>
        <v>6.6</v>
      </c>
      <c r="H41" s="7">
        <v>4.5</v>
      </c>
      <c r="I41" s="7">
        <v>2.1</v>
      </c>
    </row>
    <row r="42" spans="1:26" x14ac:dyDescent="0.2">
      <c r="A42" s="7" t="s">
        <v>2000</v>
      </c>
      <c r="C42" s="7">
        <f t="shared" si="3"/>
        <v>0</v>
      </c>
      <c r="E42" s="7">
        <f>0.1+0.05</f>
        <v>0.15000000000000002</v>
      </c>
      <c r="F42" s="9" t="s">
        <v>915</v>
      </c>
      <c r="G42" s="8">
        <f t="shared" si="4"/>
        <v>0</v>
      </c>
    </row>
    <row r="43" spans="1:26" ht="13.5" thickBot="1" x14ac:dyDescent="0.25">
      <c r="A43" s="7" t="s">
        <v>1999</v>
      </c>
      <c r="C43" s="7">
        <f t="shared" si="3"/>
        <v>0</v>
      </c>
      <c r="E43" s="7">
        <f>0.2*0.3</f>
        <v>0.06</v>
      </c>
      <c r="F43" s="9" t="s">
        <v>915</v>
      </c>
      <c r="G43" s="8">
        <f t="shared" si="4"/>
        <v>0</v>
      </c>
    </row>
    <row r="44" spans="1:26" ht="21" thickBot="1" x14ac:dyDescent="0.35">
      <c r="A44" s="14" t="s">
        <v>1854</v>
      </c>
      <c r="B44" s="13"/>
      <c r="C44" s="12"/>
      <c r="G44" s="8">
        <f t="shared" si="4"/>
        <v>0</v>
      </c>
    </row>
    <row r="45" spans="1:26" x14ac:dyDescent="0.2">
      <c r="A45" s="30" t="s">
        <v>1583</v>
      </c>
      <c r="B45" s="30">
        <f>SUM(C47:C48)</f>
        <v>8.67</v>
      </c>
      <c r="C45" s="31" t="s">
        <v>945</v>
      </c>
      <c r="D45" s="31">
        <f>SUM(B47:B50)</f>
        <v>137.42699999999999</v>
      </c>
      <c r="E45" s="19"/>
      <c r="F45" s="19"/>
      <c r="G45" s="8">
        <f t="shared" si="4"/>
        <v>0</v>
      </c>
    </row>
    <row r="46" spans="1:26" x14ac:dyDescent="0.2">
      <c r="A46" s="19"/>
      <c r="B46" s="19"/>
      <c r="C46" s="9"/>
      <c r="D46" s="9"/>
      <c r="E46" s="19"/>
      <c r="F46" s="19"/>
      <c r="G46" s="8">
        <f t="shared" si="4"/>
        <v>0</v>
      </c>
    </row>
    <row r="47" spans="1:26" x14ac:dyDescent="0.2">
      <c r="A47" s="7" t="s">
        <v>1855</v>
      </c>
      <c r="B47" s="7">
        <f>H47*(0.2*2+0.35*2)*3.17</f>
        <v>73.227000000000004</v>
      </c>
      <c r="C47" s="7">
        <f>ROUND(E47*G47*D47,2)</f>
        <v>5.45</v>
      </c>
      <c r="D47" s="7">
        <f>3.17+0.54</f>
        <v>3.71</v>
      </c>
      <c r="E47" s="7">
        <f>0.2*0.35</f>
        <v>6.9999999999999993E-2</v>
      </c>
      <c r="F47" s="9" t="s">
        <v>915</v>
      </c>
      <c r="G47" s="8">
        <f t="shared" si="4"/>
        <v>21</v>
      </c>
      <c r="H47" s="7">
        <v>21</v>
      </c>
    </row>
    <row r="48" spans="1:26" x14ac:dyDescent="0.2">
      <c r="A48" s="7" t="s">
        <v>1856</v>
      </c>
      <c r="B48" s="7">
        <f>H48*(0.2*2+0.3*2)*3.35</f>
        <v>53.6</v>
      </c>
      <c r="C48" s="7">
        <f>ROUND(E48*G48*D48,2)</f>
        <v>3.22</v>
      </c>
      <c r="D48" s="7">
        <v>3.35</v>
      </c>
      <c r="E48" s="7">
        <f>0.2*0.3</f>
        <v>0.06</v>
      </c>
      <c r="F48" s="9" t="s">
        <v>915</v>
      </c>
      <c r="G48" s="8">
        <f t="shared" si="4"/>
        <v>16</v>
      </c>
      <c r="H48" s="7">
        <v>16</v>
      </c>
    </row>
    <row r="49" spans="1:34" x14ac:dyDescent="0.2">
      <c r="F49" s="9"/>
    </row>
    <row r="50" spans="1:34" x14ac:dyDescent="0.2">
      <c r="A50" s="7" t="s">
        <v>2007</v>
      </c>
      <c r="B50" s="7">
        <f>H50*(0.2*2+0.3*2)*2.65</f>
        <v>10.6</v>
      </c>
      <c r="C50" s="7">
        <f>ROUND(E50*G50*D50,2)</f>
        <v>0.89</v>
      </c>
      <c r="D50" s="7">
        <f>3.17+0.54</f>
        <v>3.71</v>
      </c>
      <c r="E50" s="7">
        <f>0.2*0.3</f>
        <v>0.06</v>
      </c>
      <c r="F50" s="9" t="s">
        <v>915</v>
      </c>
      <c r="G50" s="8">
        <f>SUM(H50:AG50)</f>
        <v>4</v>
      </c>
      <c r="H50" s="7">
        <v>4</v>
      </c>
    </row>
    <row r="51" spans="1:34" x14ac:dyDescent="0.2">
      <c r="F51" s="9"/>
    </row>
    <row r="52" spans="1:34" x14ac:dyDescent="0.2">
      <c r="F52" s="9"/>
    </row>
    <row r="53" spans="1:34" x14ac:dyDescent="0.2">
      <c r="A53" s="7" t="s">
        <v>1874</v>
      </c>
      <c r="E53" s="7">
        <f>0.2*0.3</f>
        <v>0.06</v>
      </c>
      <c r="F53" s="9" t="s">
        <v>915</v>
      </c>
      <c r="G53" s="8">
        <f>SUM(H53:AG53)</f>
        <v>6.2624999999999993</v>
      </c>
      <c r="H53" s="7">
        <f>2.9*3.9*0.2</f>
        <v>2.262</v>
      </c>
      <c r="I53" s="7">
        <f>+(2*2+3.3*2)*0.15*1.8</f>
        <v>2.8619999999999997</v>
      </c>
      <c r="J53" s="7">
        <f>3.3*2.3*0.15</f>
        <v>1.1384999999999998</v>
      </c>
    </row>
    <row r="54" spans="1:34" ht="13.5" thickBot="1" x14ac:dyDescent="0.25">
      <c r="G54" s="8">
        <f>SUM(H54:AG54)</f>
        <v>24</v>
      </c>
      <c r="H54" s="7">
        <f>2*3</f>
        <v>6</v>
      </c>
      <c r="I54" s="7">
        <f>+(2*2+3*2)*1.8</f>
        <v>18</v>
      </c>
    </row>
    <row r="55" spans="1:34" ht="21" thickBot="1" x14ac:dyDescent="0.35">
      <c r="A55" s="14" t="s">
        <v>1834</v>
      </c>
      <c r="B55" s="13"/>
      <c r="C55" s="12"/>
    </row>
    <row r="56" spans="1:34" x14ac:dyDescent="0.2">
      <c r="A56" s="30" t="s">
        <v>1583</v>
      </c>
      <c r="B56" s="30"/>
      <c r="C56" s="31" t="s">
        <v>945</v>
      </c>
      <c r="D56" s="31"/>
      <c r="E56" s="19">
        <v>29.65</v>
      </c>
      <c r="F56" s="19">
        <f>+G58/F57</f>
        <v>0.84404977962146743</v>
      </c>
    </row>
    <row r="57" spans="1:34" x14ac:dyDescent="0.2">
      <c r="A57" s="19"/>
      <c r="B57" s="19"/>
      <c r="C57" s="9"/>
      <c r="D57" s="9"/>
      <c r="E57" s="19"/>
      <c r="F57" s="19">
        <v>154.28</v>
      </c>
    </row>
    <row r="58" spans="1:34" x14ac:dyDescent="0.2">
      <c r="A58" s="7" t="s">
        <v>1857</v>
      </c>
      <c r="C58" s="7">
        <f>ROUND(D58*E58*G58,2)</f>
        <v>11.72</v>
      </c>
      <c r="D58" s="7">
        <v>1</v>
      </c>
      <c r="E58" s="7">
        <f>0.05+2*0.1*0.2</f>
        <v>9.0000000000000011E-2</v>
      </c>
      <c r="F58" s="9" t="s">
        <v>915</v>
      </c>
      <c r="G58" s="8">
        <f t="shared" ref="G58:G67" si="5">SUM(H58:AG58)</f>
        <v>130.22</v>
      </c>
      <c r="H58" s="7">
        <v>12.15</v>
      </c>
      <c r="I58" s="7">
        <v>10.17</v>
      </c>
      <c r="J58" s="7">
        <v>11.68</v>
      </c>
      <c r="K58" s="7">
        <v>12.05</v>
      </c>
      <c r="L58" s="7">
        <v>7.56</v>
      </c>
      <c r="M58" s="7">
        <v>3</v>
      </c>
      <c r="N58" s="7">
        <v>0.5</v>
      </c>
      <c r="O58" s="7">
        <v>8.36</v>
      </c>
      <c r="P58" s="7">
        <v>10.18</v>
      </c>
      <c r="Q58" s="7">
        <v>4.4400000000000004</v>
      </c>
      <c r="R58" s="7">
        <v>6.1</v>
      </c>
      <c r="S58" s="7">
        <v>1.6</v>
      </c>
      <c r="T58" s="7">
        <v>3.23</v>
      </c>
      <c r="U58" s="7">
        <v>9.7200000000000006</v>
      </c>
      <c r="V58" s="7">
        <v>15.9</v>
      </c>
      <c r="W58" s="7">
        <v>7.98</v>
      </c>
      <c r="X58" s="7">
        <v>1.7</v>
      </c>
      <c r="Y58" s="7">
        <v>1.02</v>
      </c>
      <c r="Z58" s="7">
        <v>1.68</v>
      </c>
      <c r="AA58" s="7">
        <v>0.95</v>
      </c>
      <c r="AB58" s="7">
        <v>0.25</v>
      </c>
    </row>
    <row r="59" spans="1:34" x14ac:dyDescent="0.2">
      <c r="C59" s="7">
        <f>ROUND(E59*G59,2)</f>
        <v>0</v>
      </c>
      <c r="E59" s="7">
        <v>0.25</v>
      </c>
      <c r="F59" s="9" t="s">
        <v>915</v>
      </c>
      <c r="G59" s="8">
        <f t="shared" si="5"/>
        <v>0</v>
      </c>
    </row>
    <row r="60" spans="1:34" x14ac:dyDescent="0.2">
      <c r="A60" s="7" t="s">
        <v>2019</v>
      </c>
      <c r="B60" s="7">
        <f>SUM(C60:C62)</f>
        <v>9.82</v>
      </c>
      <c r="C60" s="7">
        <f>ROUND(E60*G60,2)</f>
        <v>1.56</v>
      </c>
      <c r="E60" s="7">
        <f>0.25*0.4</f>
        <v>0.1</v>
      </c>
      <c r="F60" s="9" t="s">
        <v>961</v>
      </c>
      <c r="G60" s="8">
        <f t="shared" si="5"/>
        <v>15.57</v>
      </c>
      <c r="H60" s="7">
        <v>15.57</v>
      </c>
    </row>
    <row r="61" spans="1:34" x14ac:dyDescent="0.2">
      <c r="A61" s="7" t="s">
        <v>2020</v>
      </c>
      <c r="C61" s="7">
        <f>ROUND(E61*G61,2)</f>
        <v>5.54</v>
      </c>
      <c r="E61" s="7">
        <f>0.2*0.4</f>
        <v>8.0000000000000016E-2</v>
      </c>
      <c r="F61" s="9" t="s">
        <v>961</v>
      </c>
      <c r="G61" s="8">
        <f>SUM(H61:AG61)</f>
        <v>69.210000000000008</v>
      </c>
      <c r="H61" s="7">
        <v>4.9000000000000004</v>
      </c>
      <c r="I61" s="7">
        <v>4.7</v>
      </c>
      <c r="J61" s="7">
        <v>8.6</v>
      </c>
      <c r="K61" s="7">
        <v>4.7</v>
      </c>
      <c r="L61" s="7">
        <v>8.8000000000000007</v>
      </c>
      <c r="M61" s="7">
        <v>4.7</v>
      </c>
      <c r="N61" s="7">
        <v>9.5299999999999994</v>
      </c>
      <c r="O61" s="7">
        <v>3.4</v>
      </c>
      <c r="P61" s="7">
        <v>2.2000000000000002</v>
      </c>
      <c r="Q61" s="7">
        <v>7.84</v>
      </c>
      <c r="R61" s="7">
        <v>3</v>
      </c>
      <c r="S61" s="7">
        <v>3.44</v>
      </c>
      <c r="T61" s="7">
        <v>3.4</v>
      </c>
    </row>
    <row r="62" spans="1:34" x14ac:dyDescent="0.2">
      <c r="A62" s="7" t="s">
        <v>2021</v>
      </c>
      <c r="C62" s="7">
        <f>ROUND(E62*G62,2)</f>
        <v>2.72</v>
      </c>
      <c r="E62" s="7">
        <f>0.2*0.35</f>
        <v>6.9999999999999993E-2</v>
      </c>
      <c r="F62" s="9" t="s">
        <v>961</v>
      </c>
      <c r="G62" s="8">
        <f>SUM(H62:AG62)</f>
        <v>38.840000000000003</v>
      </c>
      <c r="H62" s="7">
        <v>2.7</v>
      </c>
      <c r="I62" s="7">
        <v>2.2599999999999998</v>
      </c>
      <c r="J62" s="7">
        <v>2.4700000000000002</v>
      </c>
      <c r="K62" s="7">
        <v>3.29</v>
      </c>
      <c r="L62" s="7">
        <v>2.6</v>
      </c>
      <c r="M62" s="7">
        <v>0.7</v>
      </c>
      <c r="N62" s="7">
        <v>3.02</v>
      </c>
      <c r="O62" s="7">
        <v>1.31</v>
      </c>
      <c r="P62" s="7">
        <v>0.84</v>
      </c>
      <c r="Q62" s="7">
        <v>2.2999999999999998</v>
      </c>
      <c r="R62" s="7">
        <v>2.2599999999999998</v>
      </c>
      <c r="S62" s="7">
        <v>3.74</v>
      </c>
      <c r="T62" s="7">
        <v>1.9</v>
      </c>
      <c r="U62" s="7">
        <v>1.05</v>
      </c>
      <c r="V62" s="7">
        <v>2.2599999999999998</v>
      </c>
      <c r="W62" s="7">
        <v>3.74</v>
      </c>
      <c r="X62" s="7">
        <v>1.9</v>
      </c>
      <c r="Y62" s="7">
        <v>0.5</v>
      </c>
    </row>
    <row r="63" spans="1:34" x14ac:dyDescent="0.2">
      <c r="A63" s="7" t="s">
        <v>2008</v>
      </c>
      <c r="C63" s="7">
        <f>ROUND(D63*E63*G63,2)</f>
        <v>0</v>
      </c>
      <c r="D63" s="7">
        <v>0.15</v>
      </c>
      <c r="E63" s="7">
        <v>0.3</v>
      </c>
      <c r="F63" s="9" t="s">
        <v>915</v>
      </c>
      <c r="G63" s="8">
        <f t="shared" si="5"/>
        <v>0</v>
      </c>
    </row>
    <row r="64" spans="1:34" x14ac:dyDescent="0.2">
      <c r="A64" s="7" t="s">
        <v>2011</v>
      </c>
      <c r="C64" s="7">
        <f>ROUND(D64*E64*G64,2)</f>
        <v>5.75</v>
      </c>
      <c r="D64" s="7">
        <v>0.15</v>
      </c>
      <c r="E64" s="7">
        <v>0.35</v>
      </c>
      <c r="F64" s="9" t="s">
        <v>961</v>
      </c>
      <c r="G64" s="8">
        <f>SUM(H64:AH64)</f>
        <v>109.55</v>
      </c>
      <c r="H64" s="7">
        <v>12.3</v>
      </c>
      <c r="I64" s="7">
        <v>12.4</v>
      </c>
      <c r="J64" s="7">
        <v>11.85</v>
      </c>
      <c r="K64" s="7">
        <v>3.7</v>
      </c>
      <c r="L64" s="7">
        <v>2.2999999999999998</v>
      </c>
      <c r="M64" s="7">
        <v>10</v>
      </c>
      <c r="O64" s="7">
        <v>2.6</v>
      </c>
      <c r="P64" s="7">
        <v>2.6</v>
      </c>
      <c r="Q64" s="7">
        <v>3.2</v>
      </c>
      <c r="R64" s="7">
        <v>3.2</v>
      </c>
      <c r="S64" s="7">
        <v>3.2</v>
      </c>
      <c r="T64" s="7">
        <v>3.2</v>
      </c>
      <c r="U64" s="7">
        <v>4.5999999999999996</v>
      </c>
      <c r="V64" s="7">
        <v>1.95</v>
      </c>
      <c r="W64" s="7">
        <v>2.1</v>
      </c>
      <c r="X64" s="7">
        <v>2.1</v>
      </c>
      <c r="Y64" s="7">
        <v>3.15</v>
      </c>
      <c r="Z64" s="7">
        <v>3.1</v>
      </c>
      <c r="AA64" s="7">
        <v>3.8</v>
      </c>
      <c r="AB64" s="7">
        <v>2.7</v>
      </c>
      <c r="AC64" s="7">
        <v>2.5</v>
      </c>
      <c r="AD64" s="7">
        <v>2</v>
      </c>
      <c r="AE64" s="7">
        <v>2</v>
      </c>
      <c r="AF64" s="7">
        <v>2.4</v>
      </c>
      <c r="AG64" s="7">
        <v>3.3</v>
      </c>
      <c r="AH64" s="7">
        <v>3.3</v>
      </c>
    </row>
    <row r="65" spans="1:8" x14ac:dyDescent="0.2">
      <c r="A65" s="7" t="s">
        <v>2010</v>
      </c>
      <c r="C65" s="7">
        <f>ROUND(E65*G65,2)</f>
        <v>0</v>
      </c>
      <c r="E65" s="7">
        <v>0.3</v>
      </c>
      <c r="F65" s="9" t="s">
        <v>915</v>
      </c>
      <c r="G65" s="8">
        <f t="shared" si="5"/>
        <v>0</v>
      </c>
    </row>
    <row r="66" spans="1:8" x14ac:dyDescent="0.2">
      <c r="A66" s="7" t="s">
        <v>1858</v>
      </c>
      <c r="C66" s="7">
        <f>ROUND(D66*E66*G66,2)</f>
        <v>2.2400000000000002</v>
      </c>
      <c r="D66" s="7">
        <v>1</v>
      </c>
      <c r="E66" s="7">
        <f>0.05+2*0.1*0.2</f>
        <v>9.0000000000000011E-2</v>
      </c>
      <c r="F66" s="9" t="s">
        <v>915</v>
      </c>
      <c r="G66" s="8">
        <f t="shared" si="5"/>
        <v>24.905999999999999</v>
      </c>
      <c r="H66" s="7">
        <f>29.65*0.84</f>
        <v>24.905999999999999</v>
      </c>
    </row>
    <row r="67" spans="1:8" ht="13.5" thickBot="1" x14ac:dyDescent="0.25">
      <c r="A67" s="7" t="s">
        <v>1999</v>
      </c>
      <c r="C67" s="7">
        <f>ROUND(E67*G67,2)</f>
        <v>1.9</v>
      </c>
      <c r="E67" s="7">
        <v>0.4</v>
      </c>
      <c r="F67" s="9" t="s">
        <v>961</v>
      </c>
      <c r="G67" s="8">
        <f t="shared" si="5"/>
        <v>4.7439999999999998</v>
      </c>
      <c r="H67" s="7">
        <f>(29.65-H66)</f>
        <v>4.7439999999999998</v>
      </c>
    </row>
    <row r="68" spans="1:8" ht="21" thickBot="1" x14ac:dyDescent="0.35">
      <c r="A68" s="284" t="s">
        <v>1642</v>
      </c>
      <c r="B68" s="285"/>
      <c r="C68" s="286"/>
      <c r="G68" s="8">
        <f t="shared" ref="G68:G76" si="6">SUM(H68:AG68)</f>
        <v>0</v>
      </c>
    </row>
    <row r="69" spans="1:8" ht="15.75" x14ac:dyDescent="0.25">
      <c r="A69" s="27" t="s">
        <v>1583</v>
      </c>
      <c r="B69" s="28">
        <f>SUM(C71:C75)</f>
        <v>146</v>
      </c>
      <c r="C69" s="29" t="s">
        <v>915</v>
      </c>
      <c r="D69" s="29"/>
      <c r="G69" s="8">
        <f t="shared" si="6"/>
        <v>0</v>
      </c>
    </row>
    <row r="70" spans="1:8" ht="15.75" x14ac:dyDescent="0.25">
      <c r="A70" s="11"/>
      <c r="C70" s="10"/>
      <c r="D70" s="10"/>
      <c r="G70" s="8">
        <f t="shared" si="6"/>
        <v>0</v>
      </c>
    </row>
    <row r="71" spans="1:8" x14ac:dyDescent="0.2">
      <c r="A71" s="7" t="s">
        <v>1735</v>
      </c>
      <c r="C71" s="7">
        <f>ROUND(E71*G71,2)</f>
        <v>146</v>
      </c>
      <c r="E71" s="7">
        <v>1</v>
      </c>
      <c r="F71" s="9" t="s">
        <v>1520</v>
      </c>
      <c r="G71" s="8">
        <f t="shared" si="6"/>
        <v>146</v>
      </c>
      <c r="H71" s="7">
        <v>146</v>
      </c>
    </row>
    <row r="72" spans="1:8" x14ac:dyDescent="0.2">
      <c r="A72" s="7" t="s">
        <v>1736</v>
      </c>
      <c r="C72" s="7">
        <f>ROUND(E72*G72,2)</f>
        <v>0</v>
      </c>
      <c r="E72" s="7">
        <v>1</v>
      </c>
      <c r="F72" s="9" t="s">
        <v>1520</v>
      </c>
      <c r="G72" s="8">
        <f t="shared" si="6"/>
        <v>0</v>
      </c>
    </row>
    <row r="73" spans="1:8" x14ac:dyDescent="0.2">
      <c r="A73" s="7" t="s">
        <v>1737</v>
      </c>
      <c r="C73" s="7">
        <f>ROUND(E73*G73,2)</f>
        <v>0</v>
      </c>
      <c r="E73" s="7">
        <v>1</v>
      </c>
      <c r="F73" s="9" t="s">
        <v>1520</v>
      </c>
      <c r="G73" s="8">
        <f t="shared" si="6"/>
        <v>0</v>
      </c>
    </row>
    <row r="74" spans="1:8" x14ac:dyDescent="0.2">
      <c r="A74" s="7" t="s">
        <v>1738</v>
      </c>
      <c r="C74" s="7">
        <f>ROUND(E74*G74,2)</f>
        <v>0</v>
      </c>
      <c r="E74" s="7">
        <v>1</v>
      </c>
      <c r="F74" s="9" t="s">
        <v>1520</v>
      </c>
      <c r="G74" s="8">
        <f t="shared" si="6"/>
        <v>0</v>
      </c>
    </row>
    <row r="75" spans="1:8" ht="13.5" thickBot="1" x14ac:dyDescent="0.25">
      <c r="G75" s="8">
        <f t="shared" si="6"/>
        <v>0</v>
      </c>
    </row>
    <row r="76" spans="1:8" ht="21.75" customHeight="1" thickBot="1" x14ac:dyDescent="0.35">
      <c r="A76" s="284" t="s">
        <v>1641</v>
      </c>
      <c r="B76" s="285"/>
      <c r="C76" s="286"/>
      <c r="G76" s="8">
        <f t="shared" si="6"/>
        <v>0</v>
      </c>
    </row>
    <row r="77" spans="1:8" x14ac:dyDescent="0.2">
      <c r="A77" s="16" t="s">
        <v>1775</v>
      </c>
      <c r="B77" s="20"/>
      <c r="C77" s="15" t="s">
        <v>915</v>
      </c>
      <c r="D77" s="15">
        <f>E88+E94+E101+E107</f>
        <v>214.26999999999998</v>
      </c>
      <c r="E77" s="19">
        <f>-24.42-15.29</f>
        <v>-39.71</v>
      </c>
      <c r="F77" s="19">
        <f>SUM(D77:E77)</f>
        <v>174.55999999999997</v>
      </c>
    </row>
    <row r="78" spans="1:8" x14ac:dyDescent="0.2">
      <c r="A78" s="20" t="s">
        <v>1640</v>
      </c>
      <c r="B78" s="20"/>
      <c r="C78" s="15" t="s">
        <v>915</v>
      </c>
      <c r="D78" s="15">
        <f>E90+E92+E103+E105+E116</f>
        <v>461.00000000000006</v>
      </c>
      <c r="E78" s="19">
        <f>-9.09-37.38-25.2</f>
        <v>-71.67</v>
      </c>
      <c r="F78" s="19">
        <f>SUM(D78:E78)</f>
        <v>389.33000000000004</v>
      </c>
    </row>
    <row r="79" spans="1:8" x14ac:dyDescent="0.2">
      <c r="A79" s="16" t="s">
        <v>1740</v>
      </c>
      <c r="B79" s="20"/>
      <c r="C79" s="15" t="s">
        <v>961</v>
      </c>
      <c r="D79" s="15">
        <f>G88+G94+G101+G107</f>
        <v>66.02</v>
      </c>
      <c r="E79" s="19"/>
      <c r="F79" s="19"/>
    </row>
    <row r="80" spans="1:8" x14ac:dyDescent="0.2">
      <c r="A80" s="16" t="s">
        <v>1456</v>
      </c>
      <c r="B80" s="20"/>
      <c r="C80" s="15" t="s">
        <v>961</v>
      </c>
      <c r="D80" s="15">
        <f>G90+G92+G103+G105+G116</f>
        <v>139.93</v>
      </c>
      <c r="E80" s="19"/>
      <c r="F80" s="19"/>
    </row>
    <row r="81" spans="1:23" x14ac:dyDescent="0.2">
      <c r="A81" s="19"/>
      <c r="B81" s="19"/>
      <c r="C81" s="9"/>
      <c r="D81" s="9"/>
      <c r="E81" s="19"/>
      <c r="F81" s="19"/>
    </row>
    <row r="82" spans="1:23" x14ac:dyDescent="0.2">
      <c r="A82" s="19"/>
      <c r="B82" s="19"/>
      <c r="C82" s="9"/>
      <c r="D82" s="9"/>
      <c r="E82" s="19"/>
      <c r="F82" s="19"/>
      <c r="G82" s="8">
        <f>SUM(H82:AG82)</f>
        <v>0</v>
      </c>
    </row>
    <row r="83" spans="1:23" x14ac:dyDescent="0.2">
      <c r="A83" s="23" t="s">
        <v>1596</v>
      </c>
      <c r="B83" s="19"/>
    </row>
    <row r="84" spans="1:23" x14ac:dyDescent="0.2">
      <c r="A84" s="20" t="s">
        <v>1640</v>
      </c>
      <c r="B84" s="20"/>
      <c r="C84" s="15" t="s">
        <v>915</v>
      </c>
      <c r="D84" s="15"/>
      <c r="E84" s="19">
        <f>SUM(E88:E94)</f>
        <v>277.85999999999996</v>
      </c>
      <c r="F84" s="19"/>
    </row>
    <row r="85" spans="1:23" x14ac:dyDescent="0.2">
      <c r="A85" s="16" t="s">
        <v>1740</v>
      </c>
      <c r="B85" s="20"/>
      <c r="C85" s="15" t="s">
        <v>961</v>
      </c>
      <c r="D85" s="15"/>
      <c r="E85" s="19"/>
      <c r="F85" s="19" t="s">
        <v>772</v>
      </c>
    </row>
    <row r="86" spans="1:23" x14ac:dyDescent="0.2">
      <c r="A86" s="16" t="s">
        <v>1456</v>
      </c>
      <c r="B86" s="20"/>
      <c r="C86" s="15" t="s">
        <v>961</v>
      </c>
      <c r="D86" s="15"/>
      <c r="E86" s="19"/>
      <c r="F86" s="19" t="s">
        <v>772</v>
      </c>
    </row>
    <row r="88" spans="1:23" x14ac:dyDescent="0.2">
      <c r="A88" s="7" t="s">
        <v>1739</v>
      </c>
      <c r="B88" s="19"/>
      <c r="C88" s="9" t="s">
        <v>915</v>
      </c>
      <c r="D88" s="9"/>
      <c r="E88" s="7">
        <f>ROUND(F88*G88,2)</f>
        <v>104.42</v>
      </c>
      <c r="F88" s="7">
        <v>3.17</v>
      </c>
      <c r="G88" s="8">
        <f>SUM(H88:AP88)</f>
        <v>32.94</v>
      </c>
      <c r="H88" s="7">
        <v>4.5999999999999996</v>
      </c>
      <c r="I88" s="7">
        <v>6.04</v>
      </c>
      <c r="J88" s="7">
        <v>4.5</v>
      </c>
      <c r="K88" s="7">
        <v>2.46</v>
      </c>
      <c r="L88" s="7">
        <v>3.9</v>
      </c>
      <c r="M88" s="7">
        <v>2.9</v>
      </c>
      <c r="N88" s="7">
        <v>4.7</v>
      </c>
      <c r="O88" s="7">
        <v>2.2999999999999998</v>
      </c>
      <c r="P88" s="7">
        <v>0.25</v>
      </c>
      <c r="Q88" s="7">
        <v>1.29</v>
      </c>
    </row>
    <row r="89" spans="1:23" x14ac:dyDescent="0.2">
      <c r="A89" s="19"/>
      <c r="B89" s="19"/>
      <c r="C89" s="9"/>
      <c r="D89" s="9"/>
    </row>
    <row r="90" spans="1:23" x14ac:dyDescent="0.2">
      <c r="A90" s="7" t="s">
        <v>1859</v>
      </c>
      <c r="B90" s="19"/>
      <c r="C90" s="9" t="s">
        <v>915</v>
      </c>
      <c r="D90" s="9"/>
      <c r="E90" s="7">
        <f>ROUND(F90*G90,2)</f>
        <v>69.900000000000006</v>
      </c>
      <c r="F90" s="7">
        <v>3.17</v>
      </c>
      <c r="G90" s="8">
        <f>SUM(H90:AP90)</f>
        <v>22.049999999999997</v>
      </c>
      <c r="H90" s="7">
        <v>2.21</v>
      </c>
      <c r="I90" s="7">
        <v>0.44</v>
      </c>
      <c r="M90" s="7">
        <v>1.1000000000000001</v>
      </c>
      <c r="N90" s="7">
        <v>1.1000000000000001</v>
      </c>
      <c r="O90" s="7">
        <v>2.2999999999999998</v>
      </c>
      <c r="P90" s="7">
        <v>0.8</v>
      </c>
      <c r="Q90" s="7">
        <v>1.1000000000000001</v>
      </c>
      <c r="R90" s="7">
        <v>1.6</v>
      </c>
      <c r="S90" s="7">
        <v>1.85</v>
      </c>
      <c r="T90" s="7">
        <v>0.4</v>
      </c>
      <c r="U90" s="7">
        <v>1.27</v>
      </c>
      <c r="V90" s="7">
        <v>3.18</v>
      </c>
      <c r="W90" s="7">
        <v>4.7</v>
      </c>
    </row>
    <row r="91" spans="1:23" x14ac:dyDescent="0.2">
      <c r="C91" s="10"/>
      <c r="D91" s="10"/>
    </row>
    <row r="92" spans="1:23" x14ac:dyDescent="0.2">
      <c r="A92" s="19" t="s">
        <v>1630</v>
      </c>
      <c r="B92" s="19"/>
      <c r="C92" s="9" t="s">
        <v>915</v>
      </c>
      <c r="D92" s="9"/>
      <c r="E92" s="7">
        <f>ROUND(F92*G92,2)</f>
        <v>86.45</v>
      </c>
      <c r="F92" s="7">
        <v>3.17</v>
      </c>
      <c r="G92" s="8">
        <f>SUM(H92:AP92)</f>
        <v>27.270000000000007</v>
      </c>
      <c r="H92" s="7">
        <v>4.8899999999999997</v>
      </c>
      <c r="I92" s="7">
        <v>0.39</v>
      </c>
      <c r="J92" s="7">
        <v>1.1100000000000001</v>
      </c>
      <c r="K92" s="7">
        <v>1.01</v>
      </c>
      <c r="L92" s="7">
        <v>1.61</v>
      </c>
      <c r="M92" s="7">
        <v>1.81</v>
      </c>
      <c r="N92" s="7">
        <v>6.49</v>
      </c>
      <c r="O92" s="7">
        <v>1.85</v>
      </c>
      <c r="P92" s="7">
        <v>2.1</v>
      </c>
      <c r="Q92" s="7">
        <v>2.1</v>
      </c>
      <c r="R92" s="7">
        <v>2</v>
      </c>
      <c r="S92" s="7">
        <v>1.91</v>
      </c>
    </row>
    <row r="93" spans="1:23" x14ac:dyDescent="0.2">
      <c r="A93" s="19"/>
      <c r="B93" s="19"/>
      <c r="C93" s="9"/>
      <c r="D93" s="9"/>
    </row>
    <row r="94" spans="1:23" x14ac:dyDescent="0.2">
      <c r="A94" s="7" t="s">
        <v>1860</v>
      </c>
      <c r="B94" s="19"/>
      <c r="C94" s="9" t="s">
        <v>915</v>
      </c>
      <c r="D94" s="9"/>
      <c r="E94" s="7">
        <f>ROUND(F94*G94,2)</f>
        <v>17.09</v>
      </c>
      <c r="F94" s="7">
        <v>3.17</v>
      </c>
      <c r="G94" s="8">
        <f>SUM(H94:AP94)</f>
        <v>5.39</v>
      </c>
      <c r="H94" s="7">
        <v>1.95</v>
      </c>
      <c r="I94" s="7">
        <v>1.74</v>
      </c>
      <c r="J94" s="7">
        <v>1.7</v>
      </c>
    </row>
    <row r="96" spans="1:23" x14ac:dyDescent="0.2">
      <c r="A96" s="23" t="s">
        <v>1741</v>
      </c>
      <c r="B96" s="19"/>
    </row>
    <row r="97" spans="1:26" x14ac:dyDescent="0.2">
      <c r="A97" s="20" t="s">
        <v>1640</v>
      </c>
      <c r="B97" s="20"/>
      <c r="C97" s="15" t="s">
        <v>915</v>
      </c>
      <c r="D97" s="15"/>
      <c r="E97" s="19">
        <f>SUM(E101:E106)</f>
        <v>338.04999999999995</v>
      </c>
      <c r="F97" s="19" t="s">
        <v>1520</v>
      </c>
    </row>
    <row r="98" spans="1:26" x14ac:dyDescent="0.2">
      <c r="A98" s="16" t="s">
        <v>1740</v>
      </c>
      <c r="B98" s="20"/>
      <c r="C98" s="15" t="s">
        <v>961</v>
      </c>
      <c r="D98" s="15"/>
      <c r="E98" s="19"/>
      <c r="F98" s="19" t="s">
        <v>772</v>
      </c>
    </row>
    <row r="99" spans="1:26" x14ac:dyDescent="0.2">
      <c r="A99" s="16" t="s">
        <v>1456</v>
      </c>
      <c r="B99" s="20"/>
      <c r="C99" s="15" t="s">
        <v>961</v>
      </c>
      <c r="D99" s="15"/>
      <c r="E99" s="19"/>
      <c r="F99" s="19" t="s">
        <v>772</v>
      </c>
    </row>
    <row r="101" spans="1:26" x14ac:dyDescent="0.2">
      <c r="A101" s="7" t="s">
        <v>1739</v>
      </c>
      <c r="B101" s="19"/>
      <c r="C101" s="9" t="s">
        <v>915</v>
      </c>
      <c r="D101" s="19">
        <f>-24.42-15.29</f>
        <v>-39.71</v>
      </c>
      <c r="E101" s="7">
        <f>ROUND(F101*G101,2)</f>
        <v>71.319999999999993</v>
      </c>
      <c r="F101" s="7">
        <v>3.35</v>
      </c>
      <c r="G101" s="8">
        <f>SUM(H101:AP101)</f>
        <v>21.29</v>
      </c>
      <c r="H101" s="7">
        <v>2.2999999999999998</v>
      </c>
      <c r="I101" s="7">
        <v>1.05</v>
      </c>
      <c r="J101" s="7">
        <v>4.09</v>
      </c>
      <c r="K101" s="7">
        <v>0.9</v>
      </c>
      <c r="L101" s="7">
        <v>0.9</v>
      </c>
      <c r="M101" s="7">
        <v>0.5</v>
      </c>
      <c r="N101" s="7">
        <v>1.2</v>
      </c>
      <c r="O101" s="7">
        <v>3.55</v>
      </c>
      <c r="P101" s="7">
        <v>6.8</v>
      </c>
    </row>
    <row r="102" spans="1:26" x14ac:dyDescent="0.2">
      <c r="A102" s="19"/>
      <c r="B102" s="19"/>
      <c r="C102" s="9"/>
      <c r="D102" s="9"/>
    </row>
    <row r="103" spans="1:26" x14ac:dyDescent="0.2">
      <c r="A103" s="7" t="s">
        <v>1859</v>
      </c>
      <c r="B103" s="19"/>
      <c r="C103" s="9" t="s">
        <v>915</v>
      </c>
      <c r="D103" s="9"/>
      <c r="E103" s="7">
        <f>ROUND(F103*G103,2)</f>
        <v>109.51</v>
      </c>
      <c r="F103" s="7">
        <v>3.35</v>
      </c>
      <c r="G103" s="8">
        <f>SUM(H103:AP103)</f>
        <v>32.69</v>
      </c>
      <c r="H103" s="7">
        <v>1.3</v>
      </c>
      <c r="I103" s="7">
        <v>0.2</v>
      </c>
      <c r="J103" s="7">
        <v>2.2000000000000002</v>
      </c>
      <c r="K103" s="7">
        <v>0.75</v>
      </c>
      <c r="L103" s="7">
        <v>0.44</v>
      </c>
      <c r="M103" s="7">
        <v>2.21</v>
      </c>
      <c r="N103" s="7">
        <v>3.85</v>
      </c>
      <c r="O103" s="7">
        <v>1.3</v>
      </c>
      <c r="P103" s="7">
        <v>1.5</v>
      </c>
      <c r="Q103" s="7">
        <v>1.35</v>
      </c>
      <c r="R103" s="7">
        <v>0.51</v>
      </c>
      <c r="S103" s="7">
        <v>1.04</v>
      </c>
      <c r="T103" s="7">
        <v>2.4</v>
      </c>
      <c r="U103" s="7">
        <v>0.54</v>
      </c>
      <c r="V103" s="7">
        <v>3.5</v>
      </c>
      <c r="W103" s="7">
        <v>3.9</v>
      </c>
      <c r="X103" s="7">
        <v>0.72</v>
      </c>
      <c r="Y103" s="7">
        <v>2.98</v>
      </c>
      <c r="Z103" s="7">
        <v>2</v>
      </c>
    </row>
    <row r="104" spans="1:26" x14ac:dyDescent="0.2">
      <c r="A104" s="19"/>
      <c r="B104" s="19"/>
      <c r="C104" s="9"/>
      <c r="D104" s="9"/>
    </row>
    <row r="105" spans="1:26" x14ac:dyDescent="0.2">
      <c r="A105" s="19" t="s">
        <v>1630</v>
      </c>
      <c r="B105" s="19"/>
      <c r="C105" s="9" t="s">
        <v>915</v>
      </c>
      <c r="D105" s="9"/>
      <c r="E105" s="7">
        <f>ROUND(F105*G105,2)</f>
        <v>157.22</v>
      </c>
      <c r="F105" s="7">
        <v>3.35</v>
      </c>
      <c r="G105" s="8">
        <f>SUM(H105:AP105)</f>
        <v>46.93</v>
      </c>
      <c r="H105" s="7">
        <v>2.58</v>
      </c>
      <c r="I105" s="7">
        <v>1.36</v>
      </c>
      <c r="J105" s="7">
        <v>1.65</v>
      </c>
      <c r="K105" s="7">
        <v>3.6</v>
      </c>
      <c r="L105" s="7">
        <v>3.09</v>
      </c>
      <c r="M105" s="7">
        <v>5.25</v>
      </c>
      <c r="N105" s="7">
        <v>3.4</v>
      </c>
      <c r="O105" s="7">
        <v>5.01</v>
      </c>
      <c r="P105" s="7">
        <v>2.2999999999999998</v>
      </c>
      <c r="Q105" s="7">
        <v>0.8</v>
      </c>
      <c r="R105" s="7">
        <v>2.4</v>
      </c>
      <c r="S105" s="7">
        <v>1.3</v>
      </c>
      <c r="T105" s="7">
        <v>2.39</v>
      </c>
      <c r="U105" s="7">
        <v>1.95</v>
      </c>
      <c r="V105" s="7">
        <v>1.4</v>
      </c>
      <c r="W105" s="7">
        <v>3.2</v>
      </c>
      <c r="X105" s="7">
        <v>3.4</v>
      </c>
      <c r="Y105" s="7">
        <v>1.45</v>
      </c>
      <c r="Z105" s="7">
        <v>0.4</v>
      </c>
    </row>
    <row r="106" spans="1:26" x14ac:dyDescent="0.2">
      <c r="A106" s="19"/>
      <c r="B106" s="19"/>
      <c r="C106" s="9"/>
      <c r="D106" s="9"/>
    </row>
    <row r="107" spans="1:26" x14ac:dyDescent="0.2">
      <c r="A107" s="7" t="s">
        <v>1860</v>
      </c>
      <c r="B107" s="19"/>
      <c r="C107" s="9" t="s">
        <v>915</v>
      </c>
      <c r="D107" s="9"/>
      <c r="E107" s="7">
        <f>ROUND(F107*G107,2)</f>
        <v>21.44</v>
      </c>
      <c r="F107" s="7">
        <v>3.35</v>
      </c>
      <c r="G107" s="8">
        <f>SUM(H107:AP107)</f>
        <v>6.4</v>
      </c>
      <c r="H107" s="7">
        <v>1.35</v>
      </c>
      <c r="I107" s="7">
        <v>1.5</v>
      </c>
      <c r="J107" s="7">
        <v>1.6</v>
      </c>
      <c r="K107" s="7">
        <v>1.95</v>
      </c>
    </row>
    <row r="109" spans="1:26" x14ac:dyDescent="0.2">
      <c r="A109" s="23" t="s">
        <v>2028</v>
      </c>
    </row>
    <row r="110" spans="1:26" x14ac:dyDescent="0.2">
      <c r="A110" s="20" t="s">
        <v>1640</v>
      </c>
      <c r="B110" s="20">
        <f>SUM(E117:E117)</f>
        <v>0</v>
      </c>
      <c r="C110" s="15" t="s">
        <v>915</v>
      </c>
      <c r="D110" s="15"/>
      <c r="E110" s="19">
        <f>SUM(E115:E116)</f>
        <v>37.92</v>
      </c>
      <c r="F110" s="19" t="s">
        <v>1520</v>
      </c>
      <c r="G110" s="8">
        <f>SUM(H110:AP110)</f>
        <v>0</v>
      </c>
    </row>
    <row r="111" spans="1:26" x14ac:dyDescent="0.2">
      <c r="A111" s="16" t="s">
        <v>1740</v>
      </c>
      <c r="B111" s="20">
        <f>SUM(E118:E118)</f>
        <v>0</v>
      </c>
      <c r="C111" s="15" t="s">
        <v>961</v>
      </c>
      <c r="D111" s="15"/>
      <c r="E111" s="19">
        <f>SUM(G118:G118)</f>
        <v>0</v>
      </c>
      <c r="F111" s="19" t="s">
        <v>772</v>
      </c>
      <c r="G111" s="8">
        <f>SUM(H111:AP111)</f>
        <v>0</v>
      </c>
    </row>
    <row r="112" spans="1:26" x14ac:dyDescent="0.2">
      <c r="A112" s="16" t="s">
        <v>1456</v>
      </c>
      <c r="B112" s="20">
        <f>SUM(E119:E119)</f>
        <v>0</v>
      </c>
      <c r="C112" s="15" t="s">
        <v>961</v>
      </c>
      <c r="D112" s="15"/>
      <c r="E112" s="19">
        <f>SUM(G119:G119)</f>
        <v>0</v>
      </c>
      <c r="F112" s="19" t="s">
        <v>772</v>
      </c>
      <c r="G112" s="8">
        <f>SUM(H112:AP112)</f>
        <v>0</v>
      </c>
    </row>
    <row r="113" spans="1:23" x14ac:dyDescent="0.2">
      <c r="A113" s="20"/>
      <c r="B113" s="20"/>
      <c r="C113" s="15"/>
      <c r="D113" s="15"/>
      <c r="E113" s="19"/>
      <c r="F113" s="19"/>
    </row>
    <row r="115" spans="1:23" x14ac:dyDescent="0.2">
      <c r="A115" s="7" t="s">
        <v>1739</v>
      </c>
      <c r="B115" s="19"/>
      <c r="C115" s="9" t="s">
        <v>915</v>
      </c>
      <c r="D115" s="9"/>
      <c r="E115" s="7">
        <f>ROUND(F115*G115,2)</f>
        <v>0</v>
      </c>
      <c r="F115" s="7">
        <v>1</v>
      </c>
      <c r="G115" s="8">
        <f>SUM(H115:AP115)</f>
        <v>0</v>
      </c>
    </row>
    <row r="116" spans="1:23" x14ac:dyDescent="0.2">
      <c r="A116" s="7" t="s">
        <v>1859</v>
      </c>
      <c r="B116" s="19"/>
      <c r="C116" s="9" t="s">
        <v>915</v>
      </c>
      <c r="D116" s="9"/>
      <c r="E116" s="7">
        <f>ROUND(F116*G116,2)</f>
        <v>37.92</v>
      </c>
      <c r="F116" s="7">
        <v>3.45</v>
      </c>
      <c r="G116" s="8">
        <f>SUM(H116:AP116)</f>
        <v>10.990000000000002</v>
      </c>
      <c r="H116" s="7">
        <v>0.6</v>
      </c>
      <c r="I116" s="7">
        <v>0.5</v>
      </c>
      <c r="J116" s="7">
        <v>0.59</v>
      </c>
      <c r="K116" s="7">
        <v>0.2</v>
      </c>
      <c r="L116" s="7">
        <v>0.2</v>
      </c>
      <c r="M116" s="7">
        <v>0.4</v>
      </c>
      <c r="N116" s="7">
        <v>0.5</v>
      </c>
      <c r="O116" s="7">
        <v>3.4</v>
      </c>
      <c r="P116" s="7">
        <v>0.2</v>
      </c>
      <c r="Q116" s="7">
        <v>0.4</v>
      </c>
      <c r="R116" s="7">
        <v>0.9</v>
      </c>
      <c r="S116" s="7">
        <v>1.2</v>
      </c>
      <c r="T116" s="7">
        <v>0.55000000000000004</v>
      </c>
      <c r="U116" s="7">
        <v>0.55000000000000004</v>
      </c>
      <c r="V116" s="7">
        <v>0.4</v>
      </c>
      <c r="W116" s="7">
        <v>0.4</v>
      </c>
    </row>
    <row r="118" spans="1:23" x14ac:dyDescent="0.2">
      <c r="A118" s="19"/>
      <c r="B118" s="19"/>
      <c r="C118" s="9"/>
      <c r="D118" s="9"/>
    </row>
    <row r="119" spans="1:23" ht="13.5" thickBot="1" x14ac:dyDescent="0.25">
      <c r="A119" s="19"/>
    </row>
    <row r="120" spans="1:23" ht="21.75" customHeight="1" thickBot="1" x14ac:dyDescent="0.35">
      <c r="A120" s="14" t="s">
        <v>1639</v>
      </c>
      <c r="B120" s="13"/>
      <c r="C120" s="12"/>
    </row>
    <row r="121" spans="1:23" ht="15" x14ac:dyDescent="0.2">
      <c r="A121" s="24" t="s">
        <v>1635</v>
      </c>
      <c r="B121" s="15">
        <f>+B122+B128</f>
        <v>0</v>
      </c>
      <c r="C121" s="15" t="s">
        <v>772</v>
      </c>
      <c r="D121" s="15"/>
    </row>
    <row r="122" spans="1:23" ht="15" x14ac:dyDescent="0.2">
      <c r="A122" s="32" t="s">
        <v>1634</v>
      </c>
      <c r="B122" s="31">
        <f>SUM(E123:E126)</f>
        <v>0</v>
      </c>
      <c r="C122" s="31" t="s">
        <v>772</v>
      </c>
      <c r="D122" s="31"/>
    </row>
    <row r="123" spans="1:23" x14ac:dyDescent="0.2">
      <c r="A123" s="7" t="s">
        <v>1778</v>
      </c>
      <c r="B123" s="19"/>
      <c r="C123" s="9" t="s">
        <v>772</v>
      </c>
      <c r="D123" s="9">
        <f>SUM(E123:E125)</f>
        <v>0</v>
      </c>
      <c r="E123" s="7">
        <f>ROUND(F123*G123,2)</f>
        <v>0</v>
      </c>
      <c r="F123" s="19">
        <v>1</v>
      </c>
      <c r="G123" s="8">
        <f>SUM(H123:AP123)</f>
        <v>0</v>
      </c>
    </row>
    <row r="124" spans="1:23" x14ac:dyDescent="0.2">
      <c r="A124" s="7" t="s">
        <v>1779</v>
      </c>
      <c r="B124" s="19"/>
      <c r="C124" s="9" t="s">
        <v>772</v>
      </c>
      <c r="D124" s="9"/>
      <c r="E124" s="7">
        <f>ROUND(F124*G124,2)</f>
        <v>0</v>
      </c>
      <c r="F124" s="19">
        <v>1</v>
      </c>
      <c r="G124" s="8">
        <f>SUM(H124:AP124)</f>
        <v>0</v>
      </c>
    </row>
    <row r="125" spans="1:23" x14ac:dyDescent="0.2">
      <c r="A125" s="7" t="s">
        <v>1779</v>
      </c>
      <c r="B125" s="19"/>
      <c r="C125" s="9" t="s">
        <v>772</v>
      </c>
      <c r="D125" s="9"/>
      <c r="E125" s="7">
        <f>ROUND(F125*G125,2)</f>
        <v>0</v>
      </c>
      <c r="F125" s="19">
        <v>1</v>
      </c>
      <c r="G125" s="8">
        <f>SUM(H125:AP125)</f>
        <v>0</v>
      </c>
    </row>
    <row r="126" spans="1:23" x14ac:dyDescent="0.2">
      <c r="A126" s="19" t="s">
        <v>1638</v>
      </c>
      <c r="B126" s="19"/>
      <c r="C126" s="9" t="s">
        <v>772</v>
      </c>
      <c r="D126" s="9"/>
      <c r="E126" s="7">
        <f>ROUND(F126*G126,2)</f>
        <v>0</v>
      </c>
      <c r="F126" s="19">
        <v>1</v>
      </c>
      <c r="G126" s="8">
        <f>SUM(H126:AP126)</f>
        <v>0</v>
      </c>
    </row>
    <row r="127" spans="1:23" x14ac:dyDescent="0.2">
      <c r="A127" s="19"/>
      <c r="B127" s="19"/>
      <c r="C127" s="9"/>
      <c r="D127" s="9"/>
      <c r="F127" s="19"/>
    </row>
    <row r="128" spans="1:23" ht="15" x14ac:dyDescent="0.2">
      <c r="A128" s="32" t="s">
        <v>1633</v>
      </c>
      <c r="B128" s="31">
        <f>SUM(E129:E130)</f>
        <v>0</v>
      </c>
      <c r="C128" s="31" t="s">
        <v>772</v>
      </c>
      <c r="D128" s="31"/>
    </row>
    <row r="129" spans="1:9" x14ac:dyDescent="0.2">
      <c r="A129" s="19" t="s">
        <v>1637</v>
      </c>
      <c r="B129" s="19"/>
      <c r="C129" s="9" t="s">
        <v>772</v>
      </c>
      <c r="D129" s="9"/>
      <c r="E129" s="7">
        <f>ROUND(F129*G129,2)</f>
        <v>0</v>
      </c>
      <c r="F129" s="19">
        <f>2*2</f>
        <v>4</v>
      </c>
      <c r="G129" s="8">
        <f>SUM(H129:AP129)</f>
        <v>0</v>
      </c>
    </row>
    <row r="130" spans="1:9" x14ac:dyDescent="0.2">
      <c r="A130" s="19" t="s">
        <v>1636</v>
      </c>
      <c r="B130" s="19"/>
      <c r="C130" s="9" t="s">
        <v>772</v>
      </c>
      <c r="D130" s="9"/>
      <c r="E130" s="7">
        <f>ROUND(F130*G130,2)</f>
        <v>0</v>
      </c>
      <c r="F130" s="19">
        <v>2.4</v>
      </c>
      <c r="G130" s="8">
        <f>SUM(H130:AP130)</f>
        <v>0</v>
      </c>
    </row>
    <row r="131" spans="1:9" ht="13.5" thickBot="1" x14ac:dyDescent="0.25">
      <c r="A131" s="19"/>
      <c r="B131" s="19"/>
      <c r="C131" s="9"/>
      <c r="D131" s="9"/>
      <c r="F131" s="19"/>
    </row>
    <row r="132" spans="1:9" ht="21.75" customHeight="1" thickBot="1" x14ac:dyDescent="0.35">
      <c r="A132" s="284" t="s">
        <v>1763</v>
      </c>
      <c r="B132" s="285"/>
      <c r="C132" s="286"/>
    </row>
    <row r="133" spans="1:9" ht="15" x14ac:dyDescent="0.2">
      <c r="A133" s="24" t="s">
        <v>1635</v>
      </c>
      <c r="B133" s="15"/>
      <c r="C133" s="15" t="s">
        <v>772</v>
      </c>
      <c r="D133" s="15"/>
    </row>
    <row r="134" spans="1:9" ht="15" x14ac:dyDescent="0.2">
      <c r="A134" s="32" t="s">
        <v>1634</v>
      </c>
      <c r="B134" s="31">
        <f>SUM(E135:E137)</f>
        <v>0</v>
      </c>
      <c r="C134" s="31" t="s">
        <v>772</v>
      </c>
      <c r="D134" s="31"/>
    </row>
    <row r="135" spans="1:9" x14ac:dyDescent="0.2">
      <c r="A135" s="7" t="s">
        <v>1764</v>
      </c>
      <c r="B135" s="19"/>
      <c r="C135" s="9" t="s">
        <v>772</v>
      </c>
      <c r="D135" s="9"/>
      <c r="E135" s="7">
        <f>ROUND(F135*G135,2)</f>
        <v>0</v>
      </c>
      <c r="F135" s="19">
        <v>3</v>
      </c>
      <c r="G135" s="8">
        <f>SUM(H135:AP135)</f>
        <v>0</v>
      </c>
    </row>
    <row r="136" spans="1:9" x14ac:dyDescent="0.2">
      <c r="A136" s="7" t="s">
        <v>1765</v>
      </c>
      <c r="B136" s="19"/>
      <c r="C136" s="9" t="s">
        <v>772</v>
      </c>
      <c r="D136" s="9"/>
      <c r="E136" s="7">
        <f>ROUND(F136*G136,2)</f>
        <v>0</v>
      </c>
      <c r="F136" s="19">
        <v>3</v>
      </c>
      <c r="G136" s="8">
        <f>SUM(H136:AP136)</f>
        <v>0</v>
      </c>
    </row>
    <row r="137" spans="1:9" x14ac:dyDescent="0.2">
      <c r="A137" s="19"/>
      <c r="B137" s="19"/>
      <c r="C137" s="9"/>
      <c r="D137" s="9"/>
      <c r="F137" s="19"/>
    </row>
    <row r="138" spans="1:9" x14ac:dyDescent="0.2">
      <c r="A138" s="19"/>
      <c r="B138" s="19"/>
      <c r="C138" s="9"/>
      <c r="D138" s="9"/>
      <c r="F138" s="19"/>
    </row>
    <row r="139" spans="1:9" ht="13.5" thickBot="1" x14ac:dyDescent="0.25"/>
    <row r="140" spans="1:9" ht="21.75" customHeight="1" thickBot="1" x14ac:dyDescent="0.35">
      <c r="A140" s="284" t="s">
        <v>1632</v>
      </c>
      <c r="B140" s="285"/>
      <c r="C140" s="289">
        <f>SUM(C141:D142)</f>
        <v>340.18399999999997</v>
      </c>
    </row>
    <row r="141" spans="1:9" x14ac:dyDescent="0.2">
      <c r="A141" s="23" t="s">
        <v>1596</v>
      </c>
      <c r="B141" s="20"/>
      <c r="C141" s="290">
        <f>G141*F141</f>
        <v>236.64400000000001</v>
      </c>
      <c r="D141" s="19">
        <f>-24.42-15.29</f>
        <v>-39.71</v>
      </c>
      <c r="E141" s="19">
        <f>C141+D141</f>
        <v>196.934</v>
      </c>
      <c r="F141" s="19">
        <v>3.35</v>
      </c>
      <c r="G141" s="8">
        <f>SUM(H141:AP141)</f>
        <v>70.64</v>
      </c>
      <c r="H141" s="7">
        <v>59.65</v>
      </c>
      <c r="I141" s="7">
        <v>10.99</v>
      </c>
    </row>
    <row r="142" spans="1:9" x14ac:dyDescent="0.2">
      <c r="A142" s="23" t="s">
        <v>1595</v>
      </c>
      <c r="B142" s="20"/>
      <c r="C142" s="290">
        <f>G142*F142</f>
        <v>189.72</v>
      </c>
      <c r="D142" s="19">
        <f>-9.09-37.38</f>
        <v>-46.47</v>
      </c>
      <c r="E142" s="19">
        <f>C142+D142</f>
        <v>143.25</v>
      </c>
      <c r="F142" s="19">
        <v>3.4</v>
      </c>
      <c r="G142" s="8">
        <f>SUM(H142:AP142)</f>
        <v>55.8</v>
      </c>
      <c r="H142" s="7">
        <v>55.8</v>
      </c>
    </row>
    <row r="143" spans="1:9" x14ac:dyDescent="0.2">
      <c r="A143" s="23" t="s">
        <v>1861</v>
      </c>
      <c r="B143" s="20"/>
      <c r="C143" s="290">
        <f>G143*F143</f>
        <v>0</v>
      </c>
      <c r="D143" s="15"/>
      <c r="E143" s="19"/>
      <c r="F143" s="19">
        <f>1.8*2</f>
        <v>3.6</v>
      </c>
      <c r="G143" s="8">
        <f>SUM(H143:AP143)</f>
        <v>0</v>
      </c>
    </row>
    <row r="144" spans="1:9" x14ac:dyDescent="0.2">
      <c r="A144" s="23" t="s">
        <v>1862</v>
      </c>
      <c r="B144" s="20"/>
      <c r="C144" s="290">
        <f>G144*F144</f>
        <v>0</v>
      </c>
      <c r="D144" s="15"/>
      <c r="E144" s="19"/>
      <c r="F144" s="19">
        <f>0.4*2</f>
        <v>0.8</v>
      </c>
      <c r="G144" s="8">
        <f>SUM(H144:AP144)</f>
        <v>0</v>
      </c>
    </row>
    <row r="145" spans="1:8" x14ac:dyDescent="0.2">
      <c r="C145" s="290"/>
      <c r="F145" s="9"/>
      <c r="G145" s="8">
        <f>SUM(H145:AP145)</f>
        <v>0</v>
      </c>
    </row>
    <row r="146" spans="1:8" x14ac:dyDescent="0.2">
      <c r="C146" s="290"/>
      <c r="F146" s="9"/>
    </row>
    <row r="147" spans="1:8" x14ac:dyDescent="0.2">
      <c r="C147" s="290"/>
      <c r="F147" s="9"/>
    </row>
    <row r="148" spans="1:8" ht="13.5" thickBot="1" x14ac:dyDescent="0.25">
      <c r="C148" s="291"/>
    </row>
    <row r="149" spans="1:8" ht="21.75" customHeight="1" thickBot="1" x14ac:dyDescent="0.35">
      <c r="A149" s="284" t="s">
        <v>1631</v>
      </c>
      <c r="B149" s="285"/>
      <c r="C149" s="289">
        <f>SUM(C150:C155)</f>
        <v>990.76400000000012</v>
      </c>
      <c r="E149" s="7">
        <f>SUM(E150:E153)</f>
        <v>854.18399999999997</v>
      </c>
    </row>
    <row r="150" spans="1:8" x14ac:dyDescent="0.2">
      <c r="A150" s="23" t="s">
        <v>1766</v>
      </c>
      <c r="B150" s="20"/>
      <c r="C150" s="290">
        <f>G150*F150</f>
        <v>236.64400000000001</v>
      </c>
      <c r="D150" s="19">
        <f>-24.42-15.29</f>
        <v>-39.71</v>
      </c>
      <c r="E150" s="19">
        <f>C150+D150</f>
        <v>196.934</v>
      </c>
      <c r="F150" s="19">
        <v>1</v>
      </c>
      <c r="G150" s="8">
        <f t="shared" ref="G150:G155" si="7">SUM(H150:AP150)</f>
        <v>236.64400000000001</v>
      </c>
      <c r="H150" s="7">
        <f>C141</f>
        <v>236.64400000000001</v>
      </c>
    </row>
    <row r="151" spans="1:8" x14ac:dyDescent="0.2">
      <c r="A151" s="23" t="s">
        <v>1767</v>
      </c>
      <c r="B151" s="20"/>
      <c r="C151" s="290">
        <f>G151*F151</f>
        <v>207.08</v>
      </c>
      <c r="D151" s="15">
        <f>-25.2*2</f>
        <v>-50.4</v>
      </c>
      <c r="E151" s="19">
        <f>C151+D151</f>
        <v>156.68</v>
      </c>
      <c r="F151" s="19">
        <v>2</v>
      </c>
      <c r="G151" s="8">
        <f t="shared" si="7"/>
        <v>103.54</v>
      </c>
      <c r="H151" s="7">
        <f>E92+E94</f>
        <v>103.54</v>
      </c>
    </row>
    <row r="152" spans="1:8" x14ac:dyDescent="0.2">
      <c r="A152" s="23" t="s">
        <v>1768</v>
      </c>
      <c r="B152" s="20"/>
      <c r="C152" s="290">
        <f>G152*F152</f>
        <v>189.72</v>
      </c>
      <c r="D152" s="19">
        <f>-9.09-37.38</f>
        <v>-46.47</v>
      </c>
      <c r="E152" s="19">
        <f>C152+D152</f>
        <v>143.25</v>
      </c>
      <c r="F152" s="19">
        <v>1</v>
      </c>
      <c r="G152" s="8">
        <f t="shared" si="7"/>
        <v>189.72</v>
      </c>
      <c r="H152" s="7">
        <f>C142</f>
        <v>189.72</v>
      </c>
    </row>
    <row r="153" spans="1:8" x14ac:dyDescent="0.2">
      <c r="A153" s="23" t="s">
        <v>1769</v>
      </c>
      <c r="B153" s="20"/>
      <c r="C153" s="290">
        <f>G153*F153</f>
        <v>357.32</v>
      </c>
      <c r="D153" s="15"/>
      <c r="E153" s="19">
        <f>C153+D153</f>
        <v>357.32</v>
      </c>
      <c r="F153" s="19">
        <v>2</v>
      </c>
      <c r="G153" s="8">
        <f t="shared" si="7"/>
        <v>178.66</v>
      </c>
      <c r="H153" s="7">
        <f>E105+E107</f>
        <v>178.66</v>
      </c>
    </row>
    <row r="154" spans="1:8" x14ac:dyDescent="0.2">
      <c r="A154" s="23" t="s">
        <v>1770</v>
      </c>
      <c r="B154" s="20"/>
      <c r="C154" s="290">
        <f>G154*F154</f>
        <v>0</v>
      </c>
      <c r="D154" s="15"/>
      <c r="E154" s="19"/>
      <c r="F154" s="19">
        <v>2</v>
      </c>
      <c r="G154" s="8">
        <f t="shared" si="7"/>
        <v>0</v>
      </c>
    </row>
    <row r="155" spans="1:8" x14ac:dyDescent="0.2">
      <c r="A155" s="7" t="s">
        <v>1614</v>
      </c>
      <c r="C155" s="7">
        <f>-G155*F155</f>
        <v>0</v>
      </c>
      <c r="F155" s="7">
        <v>2</v>
      </c>
      <c r="G155" s="8">
        <f t="shared" si="7"/>
        <v>0</v>
      </c>
    </row>
    <row r="156" spans="1:8" ht="13.5" thickBot="1" x14ac:dyDescent="0.25"/>
    <row r="157" spans="1:8" ht="21" thickBot="1" x14ac:dyDescent="0.35">
      <c r="A157" s="284" t="s">
        <v>1629</v>
      </c>
      <c r="B157" s="285"/>
      <c r="C157" s="286"/>
    </row>
    <row r="158" spans="1:8" x14ac:dyDescent="0.2">
      <c r="A158" s="30" t="s">
        <v>1628</v>
      </c>
      <c r="B158" s="30">
        <f>B161+B167</f>
        <v>70.889999999999986</v>
      </c>
      <c r="C158" s="31" t="s">
        <v>915</v>
      </c>
      <c r="D158" s="31"/>
      <c r="E158" s="19"/>
      <c r="F158" s="19"/>
    </row>
    <row r="159" spans="1:8" x14ac:dyDescent="0.2">
      <c r="A159" s="30" t="s">
        <v>1627</v>
      </c>
      <c r="B159" s="30"/>
      <c r="C159" s="31" t="s">
        <v>915</v>
      </c>
      <c r="D159" s="31"/>
      <c r="E159" s="19"/>
      <c r="F159" s="19"/>
    </row>
    <row r="161" spans="1:13" x14ac:dyDescent="0.2">
      <c r="A161" s="19" t="s">
        <v>1596</v>
      </c>
      <c r="B161" s="7">
        <f>SUM(C162:C165)</f>
        <v>33.51</v>
      </c>
      <c r="D161" s="7">
        <f>6.6+5.04+5.04+2.7+5.04</f>
        <v>24.419999999999998</v>
      </c>
      <c r="E161" s="7">
        <f>+B161-D161</f>
        <v>9.09</v>
      </c>
    </row>
    <row r="162" spans="1:13" x14ac:dyDescent="0.2">
      <c r="A162" s="7" t="s">
        <v>1863</v>
      </c>
      <c r="C162" s="411">
        <f>ROUND(E162*G162,2)</f>
        <v>6.6</v>
      </c>
      <c r="E162" s="7">
        <v>1</v>
      </c>
      <c r="F162" s="9" t="s">
        <v>915</v>
      </c>
      <c r="G162" s="8">
        <f t="shared" ref="G162:G221" si="8">SUM(H162:AG162)</f>
        <v>6.6</v>
      </c>
      <c r="H162" s="411">
        <f>2.75*2.4</f>
        <v>6.6</v>
      </c>
    </row>
    <row r="163" spans="1:13" x14ac:dyDescent="0.2">
      <c r="A163" s="7" t="s">
        <v>1864</v>
      </c>
      <c r="C163" s="7">
        <f>ROUND(E163*G163,2)</f>
        <v>13.56</v>
      </c>
      <c r="E163" s="7">
        <v>1</v>
      </c>
      <c r="F163" s="9" t="s">
        <v>915</v>
      </c>
      <c r="G163" s="8">
        <f t="shared" si="8"/>
        <v>13.555</v>
      </c>
      <c r="I163" s="411">
        <f>2.4*2.1</f>
        <v>5.04</v>
      </c>
      <c r="J163" s="7">
        <f>3.6*0.5</f>
        <v>1.8</v>
      </c>
      <c r="K163" s="411">
        <f>2.4*2.1</f>
        <v>5.04</v>
      </c>
      <c r="L163" s="7">
        <f>3.35*0.5</f>
        <v>1.675</v>
      </c>
    </row>
    <row r="164" spans="1:13" x14ac:dyDescent="0.2">
      <c r="A164" s="7" t="s">
        <v>1865</v>
      </c>
      <c r="C164" s="411">
        <f>ROUND(E164*G164,2)</f>
        <v>7.74</v>
      </c>
      <c r="E164" s="7">
        <v>1</v>
      </c>
      <c r="F164" s="9" t="s">
        <v>915</v>
      </c>
      <c r="G164" s="8">
        <f>SUM(H164:AG164)</f>
        <v>7.74</v>
      </c>
      <c r="I164" s="411">
        <f>2.1*2.4</f>
        <v>5.04</v>
      </c>
      <c r="M164" s="411">
        <f>1*2.7</f>
        <v>2.7</v>
      </c>
    </row>
    <row r="165" spans="1:13" x14ac:dyDescent="0.2">
      <c r="A165" s="7" t="s">
        <v>1866</v>
      </c>
      <c r="C165" s="7">
        <f>ROUND(E165*G165,2)</f>
        <v>5.61</v>
      </c>
      <c r="E165" s="7">
        <v>1</v>
      </c>
      <c r="F165" s="9" t="s">
        <v>915</v>
      </c>
      <c r="G165" s="8">
        <f>SUM(H165:AG165)</f>
        <v>5.6100000000000012</v>
      </c>
      <c r="H165" s="7">
        <f>1.6*1.6</f>
        <v>2.5600000000000005</v>
      </c>
      <c r="I165" s="7">
        <f>0.6*1.6</f>
        <v>0.96</v>
      </c>
      <c r="J165" s="7">
        <f>1*1.6</f>
        <v>1.6</v>
      </c>
      <c r="K165" s="7">
        <f>0.7*0.7</f>
        <v>0.48999999999999994</v>
      </c>
    </row>
    <row r="166" spans="1:13" x14ac:dyDescent="0.2">
      <c r="G166" s="8">
        <f>SUM(H166:AG166)</f>
        <v>15.290000000000003</v>
      </c>
      <c r="H166" s="288">
        <f>3.6*2.2</f>
        <v>7.9200000000000008</v>
      </c>
      <c r="J166" s="288">
        <f>3.35*2.2</f>
        <v>7.370000000000001</v>
      </c>
    </row>
    <row r="167" spans="1:13" x14ac:dyDescent="0.2">
      <c r="A167" s="7" t="s">
        <v>1741</v>
      </c>
      <c r="B167" s="7">
        <f>SUM(C168:C171)</f>
        <v>37.379999999999995</v>
      </c>
    </row>
    <row r="168" spans="1:13" x14ac:dyDescent="0.2">
      <c r="A168" s="7" t="s">
        <v>1863</v>
      </c>
      <c r="C168" s="7">
        <f>ROUND(E168*G168,2)</f>
        <v>18.190000000000001</v>
      </c>
      <c r="E168" s="7">
        <v>1</v>
      </c>
      <c r="F168" s="9" t="s">
        <v>915</v>
      </c>
      <c r="G168" s="8">
        <f>SUM(H168:AG168)</f>
        <v>18.187600000000003</v>
      </c>
      <c r="H168" s="7">
        <f>2.1*1.8</f>
        <v>3.7800000000000002</v>
      </c>
      <c r="I168" s="7">
        <f>0.65*1.8</f>
        <v>1.1700000000000002</v>
      </c>
      <c r="J168" s="7">
        <f>1.53*3.92</f>
        <v>5.9976000000000003</v>
      </c>
      <c r="K168" s="7">
        <f>1.6*2.5</f>
        <v>4</v>
      </c>
      <c r="L168" s="7">
        <f>1.8*1.8</f>
        <v>3.24</v>
      </c>
    </row>
    <row r="169" spans="1:13" x14ac:dyDescent="0.2">
      <c r="A169" s="7" t="s">
        <v>1864</v>
      </c>
      <c r="C169" s="7">
        <f>ROUND(E169*G169,2)</f>
        <v>11.45</v>
      </c>
      <c r="E169" s="7">
        <v>1</v>
      </c>
      <c r="F169" s="9" t="s">
        <v>915</v>
      </c>
      <c r="G169" s="8">
        <f>SUM(H169:AG169)</f>
        <v>11.448</v>
      </c>
      <c r="H169" s="7">
        <f>2*1.8</f>
        <v>3.6</v>
      </c>
      <c r="I169" s="7">
        <f>3.2*1.8</f>
        <v>5.7600000000000007</v>
      </c>
      <c r="J169" s="7">
        <f>0.72*0.9</f>
        <v>0.64800000000000002</v>
      </c>
      <c r="K169" s="7">
        <f>1.6*0.9</f>
        <v>1.4400000000000002</v>
      </c>
    </row>
    <row r="170" spans="1:13" x14ac:dyDescent="0.2">
      <c r="A170" s="7" t="s">
        <v>1865</v>
      </c>
      <c r="C170" s="7">
        <f>ROUND(E170*G170,2)</f>
        <v>7.02</v>
      </c>
      <c r="E170" s="7">
        <v>1</v>
      </c>
      <c r="F170" s="9" t="s">
        <v>915</v>
      </c>
      <c r="G170" s="8">
        <f>SUM(H170:AG170)</f>
        <v>7.024799999999999</v>
      </c>
      <c r="H170" s="7">
        <f>0.94*3.92</f>
        <v>3.6847999999999996</v>
      </c>
      <c r="I170" s="7">
        <f>0.5*1.9</f>
        <v>0.95</v>
      </c>
      <c r="J170" s="7">
        <f>0.5*1.9</f>
        <v>0.95</v>
      </c>
      <c r="K170" s="7">
        <f>0.8*0.9</f>
        <v>0.72000000000000008</v>
      </c>
      <c r="L170" s="7">
        <f>0.8*0.9</f>
        <v>0.72000000000000008</v>
      </c>
    </row>
    <row r="171" spans="1:13" x14ac:dyDescent="0.2">
      <c r="A171" s="7" t="s">
        <v>1866</v>
      </c>
      <c r="C171" s="7">
        <f>ROUND(E171*G171,2)</f>
        <v>0.72</v>
      </c>
      <c r="E171" s="7">
        <v>1</v>
      </c>
      <c r="F171" s="9" t="s">
        <v>915</v>
      </c>
      <c r="G171" s="8">
        <f>SUM(H171:AG171)</f>
        <v>0.72000000000000008</v>
      </c>
      <c r="H171" s="7">
        <f>0.8*0.9</f>
        <v>0.72000000000000008</v>
      </c>
    </row>
    <row r="172" spans="1:13" x14ac:dyDescent="0.2">
      <c r="F172" s="9"/>
    </row>
    <row r="173" spans="1:13" ht="13.5" thickBot="1" x14ac:dyDescent="0.25"/>
    <row r="174" spans="1:13" ht="21" thickBot="1" x14ac:dyDescent="0.35">
      <c r="A174" s="284" t="s">
        <v>1762</v>
      </c>
      <c r="B174" s="285"/>
      <c r="C174" s="286"/>
      <c r="G174" s="8">
        <f t="shared" si="8"/>
        <v>0</v>
      </c>
    </row>
    <row r="175" spans="1:13" x14ac:dyDescent="0.2">
      <c r="A175" s="30" t="s">
        <v>1583</v>
      </c>
      <c r="B175" s="30">
        <f>SUM(C177:C178)-B176</f>
        <v>0</v>
      </c>
      <c r="C175" s="31" t="s">
        <v>915</v>
      </c>
      <c r="D175" s="31"/>
      <c r="E175" s="19"/>
      <c r="F175" s="19"/>
      <c r="G175" s="8">
        <f t="shared" si="8"/>
        <v>0</v>
      </c>
    </row>
    <row r="176" spans="1:13" x14ac:dyDescent="0.2">
      <c r="A176" s="19"/>
      <c r="B176" s="19"/>
      <c r="C176" s="9"/>
      <c r="D176" s="9"/>
      <c r="E176" s="19"/>
      <c r="F176" s="19"/>
      <c r="G176" s="8">
        <f t="shared" si="8"/>
        <v>0</v>
      </c>
    </row>
    <row r="177" spans="1:7" x14ac:dyDescent="0.2">
      <c r="A177" s="19" t="s">
        <v>1626</v>
      </c>
      <c r="C177" s="7">
        <f>ROUND(E177*G177,2)</f>
        <v>0</v>
      </c>
      <c r="E177" s="7">
        <v>1</v>
      </c>
      <c r="F177" s="9" t="s">
        <v>915</v>
      </c>
      <c r="G177" s="8">
        <f t="shared" si="8"/>
        <v>0</v>
      </c>
    </row>
    <row r="178" spans="1:7" x14ac:dyDescent="0.2">
      <c r="A178" s="19" t="s">
        <v>1625</v>
      </c>
      <c r="C178" s="7">
        <f>ROUND(E178*G178,2)</f>
        <v>0</v>
      </c>
      <c r="E178" s="7">
        <v>1</v>
      </c>
      <c r="F178" s="9" t="s">
        <v>915</v>
      </c>
      <c r="G178" s="8">
        <f t="shared" si="8"/>
        <v>0</v>
      </c>
    </row>
    <row r="179" spans="1:7" ht="13.5" thickBot="1" x14ac:dyDescent="0.25">
      <c r="A179" s="19"/>
      <c r="F179" s="9"/>
      <c r="G179" s="8">
        <f t="shared" si="8"/>
        <v>0</v>
      </c>
    </row>
    <row r="180" spans="1:7" ht="21" thickBot="1" x14ac:dyDescent="0.35">
      <c r="A180" s="284" t="s">
        <v>1624</v>
      </c>
      <c r="B180" s="285"/>
      <c r="C180" s="286"/>
      <c r="G180" s="8">
        <f t="shared" si="8"/>
        <v>0</v>
      </c>
    </row>
    <row r="181" spans="1:7" x14ac:dyDescent="0.2">
      <c r="A181" s="30" t="s">
        <v>1583</v>
      </c>
      <c r="B181" s="30">
        <f>SUM(C183:C187)-B182</f>
        <v>0</v>
      </c>
      <c r="C181" s="31" t="s">
        <v>915</v>
      </c>
      <c r="D181" s="31"/>
      <c r="E181" s="19"/>
      <c r="F181" s="19"/>
      <c r="G181" s="8">
        <f t="shared" si="8"/>
        <v>0</v>
      </c>
    </row>
    <row r="182" spans="1:7" x14ac:dyDescent="0.2">
      <c r="A182" s="19"/>
      <c r="B182" s="19"/>
      <c r="C182" s="9"/>
      <c r="D182" s="9"/>
      <c r="E182" s="19"/>
      <c r="F182" s="19"/>
      <c r="G182" s="8">
        <f t="shared" si="8"/>
        <v>0</v>
      </c>
    </row>
    <row r="183" spans="1:7" x14ac:dyDescent="0.2">
      <c r="A183" s="19" t="s">
        <v>1596</v>
      </c>
      <c r="C183" s="7">
        <f>ROUND(E183*G183,2)</f>
        <v>0</v>
      </c>
      <c r="E183" s="7">
        <v>1</v>
      </c>
      <c r="F183" s="9" t="s">
        <v>915</v>
      </c>
      <c r="G183" s="8">
        <f t="shared" si="8"/>
        <v>0</v>
      </c>
    </row>
    <row r="184" spans="1:7" x14ac:dyDescent="0.2">
      <c r="A184" s="19" t="s">
        <v>1595</v>
      </c>
      <c r="C184" s="7">
        <f>ROUND(E184*G184,2)</f>
        <v>0</v>
      </c>
      <c r="E184" s="7">
        <v>1</v>
      </c>
      <c r="F184" s="9" t="s">
        <v>915</v>
      </c>
      <c r="G184" s="8">
        <f t="shared" si="8"/>
        <v>0</v>
      </c>
    </row>
    <row r="185" spans="1:7" x14ac:dyDescent="0.2">
      <c r="A185" s="19"/>
      <c r="F185" s="9"/>
    </row>
    <row r="186" spans="1:7" x14ac:dyDescent="0.2">
      <c r="A186" s="19" t="s">
        <v>1623</v>
      </c>
      <c r="C186" s="7">
        <f>ROUND(E186*G186,2)</f>
        <v>0</v>
      </c>
      <c r="E186" s="7">
        <v>1</v>
      </c>
      <c r="F186" s="9" t="s">
        <v>915</v>
      </c>
      <c r="G186" s="8">
        <f t="shared" si="8"/>
        <v>0</v>
      </c>
    </row>
    <row r="187" spans="1:7" ht="13.5" thickBot="1" x14ac:dyDescent="0.25">
      <c r="G187" s="8">
        <f t="shared" si="8"/>
        <v>0</v>
      </c>
    </row>
    <row r="188" spans="1:7" ht="21" thickBot="1" x14ac:dyDescent="0.35">
      <c r="A188" s="284" t="s">
        <v>1622</v>
      </c>
      <c r="B188" s="285"/>
      <c r="C188" s="286"/>
      <c r="G188" s="8">
        <f t="shared" si="8"/>
        <v>0</v>
      </c>
    </row>
    <row r="189" spans="1:7" x14ac:dyDescent="0.2">
      <c r="A189" s="30" t="s">
        <v>1583</v>
      </c>
      <c r="B189" s="30">
        <f>SUM(C191:C194)-B190</f>
        <v>0</v>
      </c>
      <c r="C189" s="31" t="s">
        <v>915</v>
      </c>
      <c r="D189" s="31"/>
      <c r="E189" s="19"/>
      <c r="F189" s="19"/>
      <c r="G189" s="8">
        <f t="shared" si="8"/>
        <v>0</v>
      </c>
    </row>
    <row r="190" spans="1:7" x14ac:dyDescent="0.2">
      <c r="A190" s="19"/>
      <c r="B190" s="19"/>
      <c r="C190" s="9"/>
      <c r="D190" s="9"/>
      <c r="E190" s="19"/>
      <c r="F190" s="19"/>
      <c r="G190" s="8">
        <f t="shared" si="8"/>
        <v>0</v>
      </c>
    </row>
    <row r="191" spans="1:7" x14ac:dyDescent="0.2">
      <c r="A191" s="19" t="s">
        <v>1621</v>
      </c>
      <c r="C191" s="7">
        <f>ROUND(E191*G191,2)</f>
        <v>0</v>
      </c>
      <c r="E191" s="7">
        <v>1</v>
      </c>
      <c r="F191" s="9" t="s">
        <v>915</v>
      </c>
      <c r="G191" s="8">
        <f t="shared" si="8"/>
        <v>0</v>
      </c>
    </row>
    <row r="192" spans="1:7" x14ac:dyDescent="0.2">
      <c r="A192" s="19" t="s">
        <v>1618</v>
      </c>
      <c r="C192" s="7">
        <f>ROUND(E192*G192,2)</f>
        <v>0</v>
      </c>
      <c r="E192" s="7">
        <v>1</v>
      </c>
      <c r="F192" s="9" t="s">
        <v>915</v>
      </c>
      <c r="G192" s="8">
        <f t="shared" si="8"/>
        <v>0</v>
      </c>
    </row>
    <row r="193" spans="1:9" x14ac:dyDescent="0.2">
      <c r="G193" s="8">
        <f t="shared" si="8"/>
        <v>0</v>
      </c>
    </row>
    <row r="194" spans="1:9" ht="13.5" thickBot="1" x14ac:dyDescent="0.25">
      <c r="G194" s="8">
        <f t="shared" si="8"/>
        <v>0</v>
      </c>
    </row>
    <row r="195" spans="1:9" ht="21" thickBot="1" x14ac:dyDescent="0.35">
      <c r="A195" s="284" t="s">
        <v>1620</v>
      </c>
      <c r="B195" s="285"/>
      <c r="C195" s="286"/>
      <c r="G195" s="8">
        <f t="shared" si="8"/>
        <v>0</v>
      </c>
    </row>
    <row r="196" spans="1:9" x14ac:dyDescent="0.2">
      <c r="A196" s="30" t="s">
        <v>1583</v>
      </c>
      <c r="B196" s="30">
        <f>SUM(C198:C201)-B197</f>
        <v>0</v>
      </c>
      <c r="C196" s="31" t="s">
        <v>915</v>
      </c>
      <c r="D196" s="31"/>
      <c r="E196" s="19"/>
      <c r="F196" s="19"/>
      <c r="G196" s="8">
        <f t="shared" si="8"/>
        <v>0</v>
      </c>
    </row>
    <row r="197" spans="1:9" x14ac:dyDescent="0.2">
      <c r="A197" s="19"/>
      <c r="B197" s="19"/>
      <c r="C197" s="9"/>
      <c r="D197" s="9"/>
      <c r="E197" s="19"/>
      <c r="F197" s="19"/>
      <c r="G197" s="8">
        <f t="shared" si="8"/>
        <v>0</v>
      </c>
    </row>
    <row r="198" spans="1:9" x14ac:dyDescent="0.2">
      <c r="A198" s="7" t="s">
        <v>1621</v>
      </c>
      <c r="C198" s="7">
        <f>ROUND(E198*G198,2)</f>
        <v>0</v>
      </c>
      <c r="E198" s="7">
        <v>1</v>
      </c>
      <c r="F198" s="9" t="s">
        <v>915</v>
      </c>
      <c r="G198" s="8">
        <f t="shared" si="8"/>
        <v>0</v>
      </c>
    </row>
    <row r="199" spans="1:9" x14ac:dyDescent="0.2">
      <c r="A199" s="19" t="s">
        <v>1619</v>
      </c>
      <c r="C199" s="7">
        <f>ROUND(E199*G199,2)</f>
        <v>0</v>
      </c>
      <c r="E199" s="7">
        <v>0.25</v>
      </c>
      <c r="F199" s="9" t="s">
        <v>772</v>
      </c>
      <c r="G199" s="8">
        <f t="shared" si="8"/>
        <v>0</v>
      </c>
    </row>
    <row r="200" spans="1:9" x14ac:dyDescent="0.2">
      <c r="A200" s="19" t="s">
        <v>1618</v>
      </c>
      <c r="C200" s="7">
        <f>ROUND(E200*G200,2)</f>
        <v>0</v>
      </c>
      <c r="E200" s="7">
        <v>1</v>
      </c>
      <c r="F200" s="9" t="s">
        <v>915</v>
      </c>
      <c r="G200" s="8">
        <f t="shared" si="8"/>
        <v>0</v>
      </c>
    </row>
    <row r="201" spans="1:9" x14ac:dyDescent="0.2">
      <c r="G201" s="8">
        <f t="shared" si="8"/>
        <v>0</v>
      </c>
    </row>
    <row r="202" spans="1:9" ht="13.5" thickBot="1" x14ac:dyDescent="0.25">
      <c r="G202" s="8">
        <f t="shared" si="8"/>
        <v>0</v>
      </c>
    </row>
    <row r="203" spans="1:9" ht="21" thickBot="1" x14ac:dyDescent="0.35">
      <c r="A203" s="284" t="s">
        <v>1617</v>
      </c>
      <c r="B203" s="285"/>
      <c r="C203" s="286"/>
      <c r="G203" s="8">
        <f t="shared" si="8"/>
        <v>0</v>
      </c>
    </row>
    <row r="204" spans="1:9" x14ac:dyDescent="0.2">
      <c r="A204" s="30" t="s">
        <v>1611</v>
      </c>
      <c r="B204" s="30">
        <f>+B205+B216</f>
        <v>260.59999999999997</v>
      </c>
      <c r="C204" s="31" t="s">
        <v>915</v>
      </c>
      <c r="D204" s="31"/>
      <c r="G204" s="8">
        <f t="shared" si="8"/>
        <v>0</v>
      </c>
    </row>
    <row r="205" spans="1:9" x14ac:dyDescent="0.2">
      <c r="A205" s="16" t="s">
        <v>1596</v>
      </c>
      <c r="B205" s="20">
        <f>SUM(C207:C214)</f>
        <v>145.36999999999998</v>
      </c>
      <c r="C205" s="15" t="s">
        <v>915</v>
      </c>
      <c r="D205" s="15"/>
      <c r="E205" s="19"/>
      <c r="F205" s="19"/>
      <c r="G205" s="8">
        <f t="shared" si="8"/>
        <v>0</v>
      </c>
    </row>
    <row r="206" spans="1:9" x14ac:dyDescent="0.2">
      <c r="A206" s="19"/>
      <c r="B206" s="19"/>
      <c r="C206" s="9"/>
      <c r="D206" s="9"/>
      <c r="E206" s="19"/>
      <c r="F206" s="19"/>
      <c r="G206" s="8">
        <f t="shared" si="8"/>
        <v>0</v>
      </c>
    </row>
    <row r="207" spans="1:9" x14ac:dyDescent="0.2">
      <c r="A207" s="19" t="s">
        <v>2039</v>
      </c>
      <c r="B207" s="7">
        <f>SUM(C207:C210)</f>
        <v>127.03</v>
      </c>
      <c r="C207" s="7">
        <f t="shared" ref="C207:C214" si="9">ROUND(E207*G207,2)</f>
        <v>8.16</v>
      </c>
      <c r="E207" s="7">
        <v>1</v>
      </c>
      <c r="F207" s="9" t="s">
        <v>915</v>
      </c>
      <c r="G207" s="8">
        <f t="shared" si="8"/>
        <v>8.16</v>
      </c>
      <c r="H207" s="7">
        <v>4.9800000000000004</v>
      </c>
      <c r="I207" s="7">
        <v>3.18</v>
      </c>
    </row>
    <row r="208" spans="1:9" x14ac:dyDescent="0.2">
      <c r="A208" s="19" t="s">
        <v>1596</v>
      </c>
      <c r="C208" s="7">
        <f>ROUND(E208*G208,2)</f>
        <v>61.75</v>
      </c>
      <c r="E208" s="7">
        <v>1</v>
      </c>
      <c r="F208" s="9" t="s">
        <v>915</v>
      </c>
      <c r="G208" s="8">
        <f>SUM(H208:AG208)</f>
        <v>61.75</v>
      </c>
      <c r="H208" s="7">
        <v>61.75</v>
      </c>
    </row>
    <row r="209" spans="1:11" x14ac:dyDescent="0.2">
      <c r="A209" s="19" t="s">
        <v>1600</v>
      </c>
      <c r="C209" s="7">
        <f>ROUND(E209*G209,2)</f>
        <v>15.44</v>
      </c>
      <c r="E209" s="7">
        <v>1</v>
      </c>
      <c r="F209" s="9" t="s">
        <v>915</v>
      </c>
      <c r="G209" s="8">
        <f>SUM(H209:AG209)</f>
        <v>15.44</v>
      </c>
      <c r="H209" s="7">
        <v>15.44</v>
      </c>
    </row>
    <row r="210" spans="1:11" x14ac:dyDescent="0.2">
      <c r="A210" s="7" t="s">
        <v>1744</v>
      </c>
      <c r="C210" s="7">
        <f>ROUND(E210*G210,2)</f>
        <v>41.68</v>
      </c>
      <c r="E210" s="7">
        <v>1</v>
      </c>
      <c r="F210" s="9" t="s">
        <v>915</v>
      </c>
      <c r="G210" s="8">
        <f>SUM(H210:AG210)</f>
        <v>41.68</v>
      </c>
      <c r="H210" s="7">
        <v>41.68</v>
      </c>
    </row>
    <row r="211" spans="1:11" x14ac:dyDescent="0.2">
      <c r="A211" s="7" t="s">
        <v>1743</v>
      </c>
      <c r="B211" s="7">
        <f>SUM(C211:C214)</f>
        <v>18.34</v>
      </c>
      <c r="C211" s="7">
        <f t="shared" si="9"/>
        <v>4.3499999999999996</v>
      </c>
      <c r="E211" s="7">
        <v>1</v>
      </c>
      <c r="F211" s="9" t="s">
        <v>915</v>
      </c>
      <c r="G211" s="8">
        <f t="shared" si="8"/>
        <v>4.3499999999999996</v>
      </c>
      <c r="H211" s="7">
        <v>2.27</v>
      </c>
      <c r="I211" s="7">
        <v>2.08</v>
      </c>
    </row>
    <row r="212" spans="1:11" x14ac:dyDescent="0.2">
      <c r="A212" s="7" t="s">
        <v>1745</v>
      </c>
      <c r="C212" s="7">
        <f t="shared" si="9"/>
        <v>4.0599999999999996</v>
      </c>
      <c r="E212" s="7">
        <v>1</v>
      </c>
      <c r="F212" s="9" t="s">
        <v>915</v>
      </c>
      <c r="G212" s="8">
        <f>SUM(H212:AG212)</f>
        <v>4.0599999999999996</v>
      </c>
      <c r="H212" s="7">
        <v>4.0599999999999996</v>
      </c>
    </row>
    <row r="213" spans="1:11" x14ac:dyDescent="0.2">
      <c r="A213" s="7" t="s">
        <v>2038</v>
      </c>
      <c r="C213" s="7">
        <f t="shared" si="9"/>
        <v>1.76</v>
      </c>
      <c r="E213" s="7">
        <v>1</v>
      </c>
      <c r="F213" s="9" t="s">
        <v>915</v>
      </c>
      <c r="G213" s="8">
        <f>SUM(H213:AG213)</f>
        <v>1.76</v>
      </c>
      <c r="H213" s="7">
        <v>0.8</v>
      </c>
      <c r="I213" s="7">
        <v>0.96</v>
      </c>
    </row>
    <row r="214" spans="1:11" x14ac:dyDescent="0.2">
      <c r="A214" s="7" t="s">
        <v>1868</v>
      </c>
      <c r="C214" s="7">
        <f t="shared" si="9"/>
        <v>8.17</v>
      </c>
      <c r="E214" s="7">
        <v>1</v>
      </c>
      <c r="F214" s="9" t="s">
        <v>915</v>
      </c>
      <c r="G214" s="8">
        <f>SUM(H214:AG214)</f>
        <v>8.17</v>
      </c>
      <c r="H214" s="7">
        <v>8.17</v>
      </c>
    </row>
    <row r="215" spans="1:11" x14ac:dyDescent="0.2">
      <c r="A215" s="19"/>
      <c r="F215" s="9"/>
      <c r="G215" s="8">
        <f t="shared" si="8"/>
        <v>0</v>
      </c>
    </row>
    <row r="216" spans="1:11" x14ac:dyDescent="0.2">
      <c r="A216" s="16" t="s">
        <v>1741</v>
      </c>
      <c r="B216" s="20">
        <f>SUM(C218:C223)</f>
        <v>115.22999999999999</v>
      </c>
      <c r="C216" s="15" t="s">
        <v>915</v>
      </c>
      <c r="D216" s="15"/>
      <c r="E216" s="19"/>
      <c r="F216" s="19"/>
      <c r="G216" s="8">
        <f t="shared" si="8"/>
        <v>0</v>
      </c>
    </row>
    <row r="217" spans="1:11" x14ac:dyDescent="0.2">
      <c r="A217" s="19"/>
      <c r="B217" s="19"/>
      <c r="C217" s="9"/>
      <c r="D217" s="9"/>
      <c r="E217" s="19"/>
      <c r="F217" s="19"/>
      <c r="G217" s="8">
        <f t="shared" si="8"/>
        <v>0</v>
      </c>
    </row>
    <row r="218" spans="1:11" x14ac:dyDescent="0.2">
      <c r="A218" s="7" t="s">
        <v>1747</v>
      </c>
      <c r="B218" s="7">
        <f>SUM(C218:C219)</f>
        <v>92.71</v>
      </c>
      <c r="C218" s="7">
        <f>ROUND(E218*G218,2)</f>
        <v>18</v>
      </c>
      <c r="E218" s="7">
        <v>1</v>
      </c>
      <c r="F218" s="9" t="s">
        <v>915</v>
      </c>
      <c r="G218" s="8">
        <f t="shared" si="8"/>
        <v>18</v>
      </c>
      <c r="H218" s="7">
        <v>18</v>
      </c>
    </row>
    <row r="219" spans="1:11" x14ac:dyDescent="0.2">
      <c r="A219" s="7" t="s">
        <v>1748</v>
      </c>
      <c r="C219" s="7">
        <f>ROUND(E219*G219,2)</f>
        <v>74.709999999999994</v>
      </c>
      <c r="E219" s="7">
        <v>1</v>
      </c>
      <c r="F219" s="9" t="s">
        <v>945</v>
      </c>
      <c r="G219" s="8">
        <f t="shared" si="8"/>
        <v>74.710000000000008</v>
      </c>
      <c r="H219" s="7">
        <v>15.2</v>
      </c>
      <c r="I219" s="7">
        <v>14.8</v>
      </c>
      <c r="J219" s="7">
        <v>18.64</v>
      </c>
      <c r="K219" s="7">
        <f>18.4+7.67</f>
        <v>26.07</v>
      </c>
    </row>
    <row r="220" spans="1:11" x14ac:dyDescent="0.2">
      <c r="A220" s="7" t="s">
        <v>1743</v>
      </c>
      <c r="B220" s="7">
        <f>SUM(C220:C221)</f>
        <v>22.52</v>
      </c>
      <c r="C220" s="7">
        <f>ROUND(E220*G220,2)</f>
        <v>22.52</v>
      </c>
      <c r="E220" s="7">
        <v>1</v>
      </c>
      <c r="F220" s="9" t="s">
        <v>214</v>
      </c>
      <c r="G220" s="8">
        <f t="shared" si="8"/>
        <v>22.52</v>
      </c>
      <c r="H220" s="7">
        <v>3.92</v>
      </c>
      <c r="I220" s="7">
        <v>3.36</v>
      </c>
      <c r="J220" s="7">
        <v>4.78</v>
      </c>
      <c r="K220" s="7">
        <v>10.46</v>
      </c>
    </row>
    <row r="221" spans="1:11" x14ac:dyDescent="0.2">
      <c r="A221" s="7" t="s">
        <v>1746</v>
      </c>
      <c r="C221" s="7">
        <f>ROUND(E221*G221,2)</f>
        <v>0</v>
      </c>
      <c r="E221" s="7">
        <v>1</v>
      </c>
      <c r="F221" s="9" t="s">
        <v>915</v>
      </c>
      <c r="G221" s="8">
        <f t="shared" si="8"/>
        <v>0</v>
      </c>
    </row>
    <row r="222" spans="1:11" x14ac:dyDescent="0.2">
      <c r="F222" s="9"/>
    </row>
    <row r="223" spans="1:11" ht="13.5" thickBot="1" x14ac:dyDescent="0.25">
      <c r="A223" s="19"/>
      <c r="F223" s="9"/>
    </row>
    <row r="224" spans="1:11" ht="21" thickBot="1" x14ac:dyDescent="0.35">
      <c r="A224" s="284" t="s">
        <v>1617</v>
      </c>
      <c r="B224" s="285"/>
      <c r="C224" s="286"/>
      <c r="G224" s="8">
        <f t="shared" ref="G224:G276" si="10">SUM(H224:AG224)</f>
        <v>0</v>
      </c>
    </row>
    <row r="225" spans="1:9" x14ac:dyDescent="0.2">
      <c r="A225" s="30" t="s">
        <v>1611</v>
      </c>
      <c r="B225" s="30">
        <f>SUM(C225:C227)</f>
        <v>9.77</v>
      </c>
      <c r="C225" s="31" t="s">
        <v>915</v>
      </c>
      <c r="D225" s="31"/>
      <c r="E225" s="19"/>
      <c r="F225" s="19"/>
      <c r="G225" s="8">
        <f t="shared" si="10"/>
        <v>0</v>
      </c>
    </row>
    <row r="226" spans="1:9" x14ac:dyDescent="0.2">
      <c r="A226" s="19"/>
      <c r="F226" s="9"/>
      <c r="G226" s="8">
        <f t="shared" si="10"/>
        <v>0</v>
      </c>
    </row>
    <row r="227" spans="1:9" x14ac:dyDescent="0.2">
      <c r="A227" s="19" t="s">
        <v>1616</v>
      </c>
      <c r="C227" s="7">
        <f>ROUND(E227*G227,2)</f>
        <v>9.77</v>
      </c>
      <c r="E227" s="7">
        <v>1</v>
      </c>
      <c r="F227" s="9" t="s">
        <v>915</v>
      </c>
      <c r="G227" s="8">
        <f t="shared" si="10"/>
        <v>9.7740000000000009</v>
      </c>
      <c r="H227" s="7">
        <v>6.21</v>
      </c>
      <c r="I227" s="7">
        <f>18*0.18*1.1</f>
        <v>3.5640000000000001</v>
      </c>
    </row>
    <row r="228" spans="1:9" x14ac:dyDescent="0.2">
      <c r="G228" s="8">
        <f t="shared" si="10"/>
        <v>0</v>
      </c>
    </row>
    <row r="229" spans="1:9" x14ac:dyDescent="0.2">
      <c r="A229" s="19"/>
      <c r="F229" s="9"/>
      <c r="G229" s="8">
        <f t="shared" si="10"/>
        <v>0</v>
      </c>
    </row>
    <row r="230" spans="1:9" ht="13.5" thickBot="1" x14ac:dyDescent="0.25">
      <c r="G230" s="8">
        <f t="shared" si="10"/>
        <v>0</v>
      </c>
    </row>
    <row r="231" spans="1:9" ht="21" thickBot="1" x14ac:dyDescent="0.35">
      <c r="A231" s="284" t="s">
        <v>1615</v>
      </c>
      <c r="B231" s="285"/>
      <c r="C231" s="286"/>
      <c r="G231" s="8">
        <f t="shared" si="10"/>
        <v>0</v>
      </c>
    </row>
    <row r="232" spans="1:9" x14ac:dyDescent="0.2">
      <c r="A232" s="30" t="s">
        <v>1611</v>
      </c>
      <c r="B232" s="30">
        <f>SUM(C234:C237)-B233</f>
        <v>0</v>
      </c>
      <c r="C232" s="31" t="s">
        <v>915</v>
      </c>
      <c r="D232" s="31"/>
      <c r="E232" s="19"/>
      <c r="F232" s="19"/>
      <c r="G232" s="8">
        <f t="shared" si="10"/>
        <v>0</v>
      </c>
    </row>
    <row r="233" spans="1:9" x14ac:dyDescent="0.2">
      <c r="A233" s="19"/>
      <c r="B233" s="19"/>
      <c r="C233" s="9"/>
      <c r="D233" s="9"/>
      <c r="E233" s="19"/>
      <c r="F233" s="19"/>
      <c r="G233" s="8">
        <f t="shared" si="10"/>
        <v>0</v>
      </c>
    </row>
    <row r="234" spans="1:9" x14ac:dyDescent="0.2">
      <c r="A234" s="19" t="s">
        <v>1596</v>
      </c>
      <c r="C234" s="7">
        <f>ROUND(E234*G234,2)</f>
        <v>0</v>
      </c>
      <c r="E234" s="7">
        <v>1</v>
      </c>
      <c r="F234" s="9" t="s">
        <v>915</v>
      </c>
      <c r="G234" s="8">
        <f t="shared" si="10"/>
        <v>0</v>
      </c>
    </row>
    <row r="235" spans="1:9" x14ac:dyDescent="0.2">
      <c r="A235" s="7" t="s">
        <v>1741</v>
      </c>
      <c r="C235" s="7">
        <f>ROUND(E235*G235,2)</f>
        <v>0</v>
      </c>
      <c r="E235" s="7">
        <v>1</v>
      </c>
      <c r="F235" s="9" t="s">
        <v>915</v>
      </c>
      <c r="G235" s="8">
        <f t="shared" si="10"/>
        <v>0</v>
      </c>
    </row>
    <row r="236" spans="1:9" x14ac:dyDescent="0.2">
      <c r="A236" s="19"/>
      <c r="F236" s="9"/>
    </row>
    <row r="238" spans="1:9" ht="13.5" thickBot="1" x14ac:dyDescent="0.25"/>
    <row r="239" spans="1:9" ht="21.75" customHeight="1" thickBot="1" x14ac:dyDescent="0.35">
      <c r="A239" s="284" t="s">
        <v>1761</v>
      </c>
      <c r="B239" s="285"/>
      <c r="C239" s="286"/>
      <c r="G239" s="8">
        <f t="shared" si="10"/>
        <v>0</v>
      </c>
    </row>
    <row r="240" spans="1:9" x14ac:dyDescent="0.2">
      <c r="A240" s="30" t="s">
        <v>1583</v>
      </c>
      <c r="B240" s="30">
        <f>SUM(C242:C245)</f>
        <v>178.53</v>
      </c>
      <c r="C240" s="31" t="s">
        <v>915</v>
      </c>
      <c r="D240" s="31"/>
      <c r="E240" s="19"/>
      <c r="F240" s="19"/>
      <c r="G240" s="8">
        <f t="shared" si="10"/>
        <v>0</v>
      </c>
    </row>
    <row r="241" spans="1:11" x14ac:dyDescent="0.2">
      <c r="G241" s="8">
        <f t="shared" si="10"/>
        <v>0</v>
      </c>
    </row>
    <row r="242" spans="1:11" x14ac:dyDescent="0.2">
      <c r="A242" s="7" t="s">
        <v>1758</v>
      </c>
      <c r="C242" s="7">
        <f>ROUND(E242*G242,2)</f>
        <v>35.44</v>
      </c>
      <c r="E242" s="7">
        <v>2.9</v>
      </c>
      <c r="F242" s="9" t="s">
        <v>772</v>
      </c>
      <c r="G242" s="8">
        <f>SUM(H242:AP242)</f>
        <v>12.219999999999999</v>
      </c>
      <c r="H242" s="7">
        <v>6.2</v>
      </c>
      <c r="I242" s="7">
        <v>6.02</v>
      </c>
    </row>
    <row r="243" spans="1:11" x14ac:dyDescent="0.2">
      <c r="A243" s="7" t="s">
        <v>1759</v>
      </c>
      <c r="C243" s="7">
        <f>ROUND(E243*G243,2)</f>
        <v>5.75</v>
      </c>
      <c r="E243" s="7">
        <v>0.6</v>
      </c>
      <c r="F243" s="9" t="s">
        <v>772</v>
      </c>
      <c r="G243" s="8">
        <f>SUM(H243:AP243)</f>
        <v>9.58</v>
      </c>
      <c r="H243" s="7">
        <v>5</v>
      </c>
      <c r="I243" s="7">
        <v>4.58</v>
      </c>
    </row>
    <row r="244" spans="1:11" x14ac:dyDescent="0.2">
      <c r="A244" s="7" t="s">
        <v>1760</v>
      </c>
      <c r="C244" s="7">
        <f>ROUND(E244*G244,2)</f>
        <v>137.34</v>
      </c>
      <c r="E244" s="7">
        <v>2.9</v>
      </c>
      <c r="F244" s="9" t="s">
        <v>772</v>
      </c>
      <c r="G244" s="8">
        <f>SUM(H244:AP244)</f>
        <v>47.36</v>
      </c>
      <c r="H244" s="7">
        <v>8.4</v>
      </c>
      <c r="I244" s="7">
        <v>7.6</v>
      </c>
      <c r="J244" s="7">
        <v>10.5</v>
      </c>
      <c r="K244" s="7">
        <v>20.86</v>
      </c>
    </row>
    <row r="245" spans="1:11" x14ac:dyDescent="0.2">
      <c r="G245" s="8">
        <f t="shared" si="10"/>
        <v>0</v>
      </c>
    </row>
    <row r="246" spans="1:11" ht="13.5" thickBot="1" x14ac:dyDescent="0.25">
      <c r="G246" s="8">
        <f t="shared" si="10"/>
        <v>0</v>
      </c>
    </row>
    <row r="247" spans="1:11" ht="21.75" customHeight="1" thickBot="1" x14ac:dyDescent="0.35">
      <c r="A247" s="284" t="s">
        <v>1614</v>
      </c>
      <c r="B247" s="285"/>
      <c r="C247" s="286"/>
      <c r="G247" s="8">
        <f t="shared" si="10"/>
        <v>0</v>
      </c>
    </row>
    <row r="248" spans="1:11" ht="14.25" customHeight="1" x14ac:dyDescent="0.3">
      <c r="A248" s="22"/>
      <c r="B248" s="19"/>
      <c r="G248" s="8">
        <f t="shared" si="10"/>
        <v>0</v>
      </c>
    </row>
    <row r="249" spans="1:11" x14ac:dyDescent="0.2">
      <c r="A249" s="16" t="s">
        <v>1613</v>
      </c>
      <c r="B249" s="16">
        <f>B250+B261</f>
        <v>25.200000000000003</v>
      </c>
      <c r="C249" s="16" t="s">
        <v>915</v>
      </c>
      <c r="D249" s="16"/>
      <c r="G249" s="8">
        <f t="shared" si="10"/>
        <v>0</v>
      </c>
    </row>
    <row r="250" spans="1:11" x14ac:dyDescent="0.2">
      <c r="A250" s="7" t="s">
        <v>1596</v>
      </c>
      <c r="B250" s="7">
        <f>SUM(C251:C257)</f>
        <v>11.8</v>
      </c>
      <c r="G250" s="8">
        <f t="shared" si="10"/>
        <v>0</v>
      </c>
    </row>
    <row r="251" spans="1:11" x14ac:dyDescent="0.2">
      <c r="A251" s="7" t="s">
        <v>1749</v>
      </c>
      <c r="C251" s="7">
        <f t="shared" ref="C251:C257" si="11">ROUND(D251*E251*G251,2)</f>
        <v>1.2</v>
      </c>
      <c r="D251" s="7">
        <v>0.6</v>
      </c>
      <c r="E251" s="7">
        <v>2</v>
      </c>
      <c r="F251" s="9" t="s">
        <v>744</v>
      </c>
      <c r="G251" s="8">
        <f t="shared" ref="G251:G257" si="12">SUM(H251:AP251)</f>
        <v>1</v>
      </c>
      <c r="H251" s="7">
        <v>1</v>
      </c>
    </row>
    <row r="252" spans="1:11" x14ac:dyDescent="0.2">
      <c r="A252" s="7" t="s">
        <v>1750</v>
      </c>
      <c r="C252" s="7">
        <f t="shared" si="11"/>
        <v>4.2</v>
      </c>
      <c r="D252" s="7">
        <v>0.7</v>
      </c>
      <c r="E252" s="7">
        <v>2</v>
      </c>
      <c r="F252" s="9" t="s">
        <v>744</v>
      </c>
      <c r="G252" s="8">
        <f t="shared" si="12"/>
        <v>3</v>
      </c>
      <c r="H252" s="7">
        <v>3</v>
      </c>
    </row>
    <row r="253" spans="1:11" x14ac:dyDescent="0.2">
      <c r="A253" s="7" t="s">
        <v>1751</v>
      </c>
      <c r="C253" s="7">
        <f t="shared" si="11"/>
        <v>6.4</v>
      </c>
      <c r="D253" s="7">
        <v>0.8</v>
      </c>
      <c r="E253" s="7">
        <v>2</v>
      </c>
      <c r="F253" s="9" t="s">
        <v>744</v>
      </c>
      <c r="G253" s="8">
        <f t="shared" si="12"/>
        <v>4</v>
      </c>
      <c r="H253" s="7">
        <v>4</v>
      </c>
    </row>
    <row r="254" spans="1:11" x14ac:dyDescent="0.2">
      <c r="A254" s="7" t="s">
        <v>1752</v>
      </c>
      <c r="C254" s="7">
        <f t="shared" si="11"/>
        <v>0</v>
      </c>
      <c r="D254" s="7">
        <v>0.9</v>
      </c>
      <c r="E254" s="7">
        <v>2</v>
      </c>
      <c r="F254" s="9" t="s">
        <v>744</v>
      </c>
      <c r="G254" s="8">
        <f t="shared" si="12"/>
        <v>0</v>
      </c>
    </row>
    <row r="255" spans="1:11" x14ac:dyDescent="0.2">
      <c r="A255" s="7" t="s">
        <v>1870</v>
      </c>
      <c r="C255" s="7">
        <f t="shared" si="11"/>
        <v>0</v>
      </c>
      <c r="D255" s="7">
        <v>1</v>
      </c>
      <c r="E255" s="7">
        <v>2</v>
      </c>
      <c r="F255" s="9" t="s">
        <v>744</v>
      </c>
      <c r="G255" s="8">
        <f t="shared" si="12"/>
        <v>0</v>
      </c>
    </row>
    <row r="256" spans="1:11" x14ac:dyDescent="0.2">
      <c r="A256" s="7" t="s">
        <v>1756</v>
      </c>
      <c r="C256" s="7">
        <f t="shared" si="11"/>
        <v>0</v>
      </c>
      <c r="D256" s="7">
        <v>0.8</v>
      </c>
      <c r="E256" s="7">
        <v>2</v>
      </c>
      <c r="F256" s="9" t="s">
        <v>744</v>
      </c>
      <c r="G256" s="8">
        <f t="shared" si="12"/>
        <v>0</v>
      </c>
    </row>
    <row r="257" spans="1:8" x14ac:dyDescent="0.2">
      <c r="A257" s="7" t="s">
        <v>1757</v>
      </c>
      <c r="C257" s="7">
        <f t="shared" si="11"/>
        <v>0</v>
      </c>
      <c r="D257" s="7">
        <v>0.8</v>
      </c>
      <c r="E257" s="7">
        <v>1.2</v>
      </c>
      <c r="F257" s="9" t="s">
        <v>744</v>
      </c>
      <c r="G257" s="8">
        <f t="shared" si="12"/>
        <v>0</v>
      </c>
    </row>
    <row r="258" spans="1:8" x14ac:dyDescent="0.2">
      <c r="F258" s="9"/>
    </row>
    <row r="259" spans="1:8" x14ac:dyDescent="0.2">
      <c r="A259" s="7" t="s">
        <v>1754</v>
      </c>
      <c r="C259" s="7">
        <f>ROUND(D259*E259*G259,2)</f>
        <v>1.8</v>
      </c>
      <c r="D259" s="7">
        <v>0.9</v>
      </c>
      <c r="E259" s="7">
        <v>2</v>
      </c>
      <c r="F259" s="9" t="s">
        <v>744</v>
      </c>
      <c r="G259" s="8">
        <f>SUM(H259:AP259)</f>
        <v>1</v>
      </c>
      <c r="H259" s="7">
        <v>1</v>
      </c>
    </row>
    <row r="260" spans="1:8" x14ac:dyDescent="0.2">
      <c r="G260" s="8">
        <f t="shared" si="10"/>
        <v>0</v>
      </c>
    </row>
    <row r="261" spans="1:8" x14ac:dyDescent="0.2">
      <c r="A261" s="7" t="s">
        <v>1595</v>
      </c>
      <c r="B261" s="7">
        <f>SUM(C262:C267)</f>
        <v>13.4</v>
      </c>
      <c r="G261" s="8">
        <f t="shared" si="10"/>
        <v>0</v>
      </c>
    </row>
    <row r="262" spans="1:8" x14ac:dyDescent="0.2">
      <c r="A262" s="7" t="s">
        <v>1749</v>
      </c>
      <c r="C262" s="7">
        <f t="shared" ref="C262:C267" si="13">ROUND(D262*E262*G262,2)</f>
        <v>0</v>
      </c>
      <c r="D262" s="7">
        <v>0.6</v>
      </c>
      <c r="E262" s="7">
        <v>2</v>
      </c>
      <c r="F262" s="9" t="s">
        <v>744</v>
      </c>
      <c r="G262" s="8">
        <f t="shared" ref="G262:G267" si="14">SUM(H262:AP262)</f>
        <v>0</v>
      </c>
    </row>
    <row r="263" spans="1:8" x14ac:dyDescent="0.2">
      <c r="A263" s="7" t="s">
        <v>1750</v>
      </c>
      <c r="C263" s="7">
        <f t="shared" si="13"/>
        <v>7</v>
      </c>
      <c r="D263" s="7">
        <v>0.7</v>
      </c>
      <c r="E263" s="7">
        <v>2</v>
      </c>
      <c r="F263" s="9" t="s">
        <v>744</v>
      </c>
      <c r="G263" s="8">
        <f t="shared" si="14"/>
        <v>5</v>
      </c>
      <c r="H263" s="7">
        <v>5</v>
      </c>
    </row>
    <row r="264" spans="1:8" x14ac:dyDescent="0.2">
      <c r="A264" s="7" t="s">
        <v>1751</v>
      </c>
      <c r="C264" s="7">
        <f t="shared" si="13"/>
        <v>6.4</v>
      </c>
      <c r="D264" s="7">
        <v>0.8</v>
      </c>
      <c r="E264" s="7">
        <v>2</v>
      </c>
      <c r="F264" s="9" t="s">
        <v>744</v>
      </c>
      <c r="G264" s="8">
        <f t="shared" si="14"/>
        <v>4</v>
      </c>
      <c r="H264" s="7">
        <v>4</v>
      </c>
    </row>
    <row r="265" spans="1:8" x14ac:dyDescent="0.2">
      <c r="A265" s="7" t="s">
        <v>1752</v>
      </c>
      <c r="C265" s="7">
        <f t="shared" si="13"/>
        <v>0</v>
      </c>
      <c r="D265" s="7">
        <v>0.9</v>
      </c>
      <c r="E265" s="7">
        <v>2</v>
      </c>
      <c r="F265" s="9" t="s">
        <v>744</v>
      </c>
      <c r="G265" s="8">
        <f t="shared" si="14"/>
        <v>0</v>
      </c>
    </row>
    <row r="266" spans="1:8" x14ac:dyDescent="0.2">
      <c r="A266" s="7" t="s">
        <v>1753</v>
      </c>
      <c r="C266" s="7">
        <f t="shared" si="13"/>
        <v>0</v>
      </c>
      <c r="D266" s="7">
        <v>1</v>
      </c>
      <c r="E266" s="7">
        <v>2</v>
      </c>
      <c r="F266" s="9" t="s">
        <v>744</v>
      </c>
      <c r="G266" s="8">
        <f t="shared" si="14"/>
        <v>0</v>
      </c>
    </row>
    <row r="267" spans="1:8" x14ac:dyDescent="0.2">
      <c r="A267" s="7" t="s">
        <v>1754</v>
      </c>
      <c r="C267" s="7">
        <f t="shared" si="13"/>
        <v>0</v>
      </c>
      <c r="D267" s="7">
        <v>0.9</v>
      </c>
      <c r="E267" s="7">
        <v>2</v>
      </c>
      <c r="F267" s="9" t="s">
        <v>744</v>
      </c>
      <c r="G267" s="8">
        <f t="shared" si="14"/>
        <v>0</v>
      </c>
    </row>
    <row r="268" spans="1:8" x14ac:dyDescent="0.2">
      <c r="F268" s="9"/>
    </row>
    <row r="269" spans="1:8" x14ac:dyDescent="0.2">
      <c r="F269" s="9"/>
    </row>
    <row r="271" spans="1:8" ht="13.5" thickBot="1" x14ac:dyDescent="0.25"/>
    <row r="272" spans="1:8" ht="21" thickBot="1" x14ac:dyDescent="0.35">
      <c r="A272" s="284" t="s">
        <v>1612</v>
      </c>
      <c r="B272" s="285"/>
      <c r="C272" s="286"/>
      <c r="G272" s="8">
        <f t="shared" si="10"/>
        <v>0</v>
      </c>
    </row>
    <row r="273" spans="1:8" ht="20.25" x14ac:dyDescent="0.3">
      <c r="A273" s="22"/>
      <c r="B273" s="19"/>
      <c r="G273" s="8">
        <f t="shared" si="10"/>
        <v>0</v>
      </c>
    </row>
    <row r="274" spans="1:8" x14ac:dyDescent="0.2">
      <c r="A274" s="21" t="s">
        <v>1611</v>
      </c>
      <c r="B274" s="20">
        <f>B276+B297</f>
        <v>85.3</v>
      </c>
      <c r="C274" s="15" t="s">
        <v>772</v>
      </c>
      <c r="D274" s="15"/>
      <c r="G274" s="8">
        <f t="shared" si="10"/>
        <v>0</v>
      </c>
    </row>
    <row r="275" spans="1:8" x14ac:dyDescent="0.2">
      <c r="A275" s="19"/>
      <c r="B275" s="19"/>
      <c r="C275" s="9"/>
      <c r="D275" s="9"/>
      <c r="E275" s="19"/>
      <c r="F275" s="19"/>
      <c r="G275" s="8">
        <f t="shared" si="10"/>
        <v>0</v>
      </c>
    </row>
    <row r="276" spans="1:8" x14ac:dyDescent="0.2">
      <c r="A276" s="33" t="s">
        <v>1771</v>
      </c>
      <c r="B276" s="30">
        <f>B278+B288</f>
        <v>85.3</v>
      </c>
      <c r="C276" s="31" t="s">
        <v>772</v>
      </c>
      <c r="D276" s="31"/>
      <c r="E276" s="19"/>
      <c r="F276" s="19"/>
      <c r="G276" s="8">
        <f t="shared" si="10"/>
        <v>0</v>
      </c>
    </row>
    <row r="277" spans="1:8" x14ac:dyDescent="0.2">
      <c r="B277" s="19"/>
      <c r="G277" s="8">
        <f>SUM(H277:AG277)</f>
        <v>0</v>
      </c>
    </row>
    <row r="278" spans="1:8" x14ac:dyDescent="0.2">
      <c r="A278" s="7" t="s">
        <v>1596</v>
      </c>
      <c r="B278" s="7">
        <f>SUM(C279:C285)</f>
        <v>42.599999999999994</v>
      </c>
      <c r="G278" s="8">
        <f>SUM(H278:AG278)</f>
        <v>0</v>
      </c>
    </row>
    <row r="279" spans="1:8" x14ac:dyDescent="0.2">
      <c r="A279" s="7" t="s">
        <v>1749</v>
      </c>
      <c r="C279" s="7">
        <f>ROUND(G279*(D279+2*E279),2)</f>
        <v>18.399999999999999</v>
      </c>
      <c r="D279" s="7">
        <v>0.6</v>
      </c>
      <c r="E279" s="7">
        <v>2</v>
      </c>
      <c r="F279" s="9" t="s">
        <v>744</v>
      </c>
      <c r="G279" s="8">
        <f t="shared" ref="G279:G285" si="15">SUM(H279:AP279)</f>
        <v>4</v>
      </c>
      <c r="H279" s="7">
        <v>4</v>
      </c>
    </row>
    <row r="280" spans="1:8" x14ac:dyDescent="0.2">
      <c r="A280" s="7" t="s">
        <v>1750</v>
      </c>
      <c r="C280" s="7">
        <f t="shared" ref="C280:C285" si="16">ROUND(G280*(D280+2*E280),2)</f>
        <v>0</v>
      </c>
      <c r="D280" s="7">
        <v>0.7</v>
      </c>
      <c r="E280" s="7">
        <v>2</v>
      </c>
      <c r="F280" s="9" t="s">
        <v>744</v>
      </c>
      <c r="G280" s="8">
        <f t="shared" si="15"/>
        <v>0</v>
      </c>
    </row>
    <row r="281" spans="1:8" x14ac:dyDescent="0.2">
      <c r="A281" s="7" t="s">
        <v>1751</v>
      </c>
      <c r="C281" s="7">
        <f t="shared" si="16"/>
        <v>14.4</v>
      </c>
      <c r="D281" s="7">
        <v>0.8</v>
      </c>
      <c r="E281" s="7">
        <v>2</v>
      </c>
      <c r="F281" s="9" t="s">
        <v>744</v>
      </c>
      <c r="G281" s="8">
        <f t="shared" si="15"/>
        <v>3</v>
      </c>
      <c r="H281" s="7">
        <v>3</v>
      </c>
    </row>
    <row r="282" spans="1:8" x14ac:dyDescent="0.2">
      <c r="A282" s="7" t="s">
        <v>1752</v>
      </c>
      <c r="C282" s="7">
        <f t="shared" si="16"/>
        <v>0</v>
      </c>
      <c r="D282" s="7">
        <v>0.9</v>
      </c>
      <c r="E282" s="7">
        <v>2</v>
      </c>
      <c r="F282" s="9" t="s">
        <v>744</v>
      </c>
      <c r="G282" s="8">
        <f t="shared" si="15"/>
        <v>0</v>
      </c>
    </row>
    <row r="283" spans="1:8" x14ac:dyDescent="0.2">
      <c r="A283" s="7" t="s">
        <v>1755</v>
      </c>
      <c r="C283" s="7">
        <f t="shared" si="16"/>
        <v>5</v>
      </c>
      <c r="D283" s="7">
        <v>1</v>
      </c>
      <c r="E283" s="7">
        <v>2</v>
      </c>
      <c r="F283" s="9" t="s">
        <v>744</v>
      </c>
      <c r="G283" s="8">
        <f t="shared" si="15"/>
        <v>1</v>
      </c>
      <c r="H283" s="7">
        <v>1</v>
      </c>
    </row>
    <row r="284" spans="1:8" x14ac:dyDescent="0.2">
      <c r="A284" s="7" t="s">
        <v>1756</v>
      </c>
      <c r="C284" s="7">
        <f t="shared" si="16"/>
        <v>4.8</v>
      </c>
      <c r="D284" s="7">
        <v>0.8</v>
      </c>
      <c r="E284" s="7">
        <v>2</v>
      </c>
      <c r="F284" s="9" t="s">
        <v>744</v>
      </c>
      <c r="G284" s="8">
        <f t="shared" si="15"/>
        <v>1</v>
      </c>
      <c r="H284" s="7">
        <v>1</v>
      </c>
    </row>
    <row r="285" spans="1:8" x14ac:dyDescent="0.2">
      <c r="A285" s="7" t="s">
        <v>1757</v>
      </c>
      <c r="C285" s="7">
        <f t="shared" si="16"/>
        <v>0</v>
      </c>
      <c r="D285" s="7">
        <v>0.8</v>
      </c>
      <c r="E285" s="7">
        <v>1.2</v>
      </c>
      <c r="F285" s="9" t="s">
        <v>744</v>
      </c>
      <c r="G285" s="8">
        <f t="shared" si="15"/>
        <v>0</v>
      </c>
    </row>
    <row r="286" spans="1:8" x14ac:dyDescent="0.2">
      <c r="F286" s="9"/>
    </row>
    <row r="287" spans="1:8" x14ac:dyDescent="0.2">
      <c r="A287" s="7" t="s">
        <v>1754</v>
      </c>
      <c r="C287" s="7">
        <f>ROUND(D287*E287*G287,2)</f>
        <v>0</v>
      </c>
      <c r="D287" s="7">
        <v>0.9</v>
      </c>
      <c r="E287" s="7">
        <v>2</v>
      </c>
      <c r="F287" s="9" t="s">
        <v>744</v>
      </c>
      <c r="G287" s="8">
        <f>SUM(H287:AP287)</f>
        <v>0</v>
      </c>
    </row>
    <row r="288" spans="1:8" x14ac:dyDescent="0.2">
      <c r="A288" s="7" t="s">
        <v>1595</v>
      </c>
      <c r="B288" s="7">
        <f>SUM(C289:C294)</f>
        <v>42.7</v>
      </c>
      <c r="G288" s="8">
        <f>SUM(H288:AG288)</f>
        <v>0</v>
      </c>
    </row>
    <row r="289" spans="1:8" x14ac:dyDescent="0.2">
      <c r="A289" s="7" t="s">
        <v>1749</v>
      </c>
      <c r="C289" s="7">
        <f t="shared" ref="C289:C294" si="17">ROUND(G289*(D289+2*E289),2)</f>
        <v>0</v>
      </c>
      <c r="D289" s="7">
        <v>0.6</v>
      </c>
      <c r="E289" s="7">
        <v>2</v>
      </c>
      <c r="F289" s="9" t="s">
        <v>744</v>
      </c>
      <c r="G289" s="8">
        <f t="shared" ref="G289:G294" si="18">SUM(H289:AP289)</f>
        <v>0</v>
      </c>
    </row>
    <row r="290" spans="1:8" x14ac:dyDescent="0.2">
      <c r="A290" s="7" t="s">
        <v>1750</v>
      </c>
      <c r="C290" s="7">
        <f t="shared" si="17"/>
        <v>23.5</v>
      </c>
      <c r="D290" s="7">
        <v>0.7</v>
      </c>
      <c r="E290" s="7">
        <v>2</v>
      </c>
      <c r="F290" s="9" t="s">
        <v>744</v>
      </c>
      <c r="G290" s="8">
        <f t="shared" si="18"/>
        <v>5</v>
      </c>
      <c r="H290" s="7">
        <v>5</v>
      </c>
    </row>
    <row r="291" spans="1:8" x14ac:dyDescent="0.2">
      <c r="A291" s="7" t="s">
        <v>1751</v>
      </c>
      <c r="C291" s="7">
        <f t="shared" si="17"/>
        <v>19.2</v>
      </c>
      <c r="D291" s="7">
        <v>0.8</v>
      </c>
      <c r="E291" s="7">
        <v>2</v>
      </c>
      <c r="F291" s="9" t="s">
        <v>744</v>
      </c>
      <c r="G291" s="8">
        <f t="shared" si="18"/>
        <v>4</v>
      </c>
      <c r="H291" s="7">
        <v>4</v>
      </c>
    </row>
    <row r="292" spans="1:8" x14ac:dyDescent="0.2">
      <c r="A292" s="7" t="s">
        <v>1752</v>
      </c>
      <c r="C292" s="7">
        <f t="shared" si="17"/>
        <v>0</v>
      </c>
      <c r="D292" s="7">
        <v>0.9</v>
      </c>
      <c r="E292" s="7">
        <v>2</v>
      </c>
      <c r="F292" s="9" t="s">
        <v>744</v>
      </c>
      <c r="G292" s="8">
        <f t="shared" si="18"/>
        <v>0</v>
      </c>
    </row>
    <row r="293" spans="1:8" x14ac:dyDescent="0.2">
      <c r="A293" s="7" t="s">
        <v>1753</v>
      </c>
      <c r="C293" s="7">
        <f t="shared" si="17"/>
        <v>0</v>
      </c>
      <c r="D293" s="7">
        <v>1</v>
      </c>
      <c r="E293" s="7">
        <v>2</v>
      </c>
      <c r="F293" s="9" t="s">
        <v>744</v>
      </c>
      <c r="G293" s="8">
        <f t="shared" si="18"/>
        <v>0</v>
      </c>
    </row>
    <row r="294" spans="1:8" x14ac:dyDescent="0.2">
      <c r="A294" s="7" t="s">
        <v>1754</v>
      </c>
      <c r="C294" s="7">
        <f t="shared" si="17"/>
        <v>0</v>
      </c>
      <c r="D294" s="7">
        <v>0.9</v>
      </c>
      <c r="E294" s="7">
        <v>2</v>
      </c>
      <c r="F294" s="9" t="s">
        <v>744</v>
      </c>
      <c r="G294" s="8">
        <f t="shared" si="18"/>
        <v>0</v>
      </c>
    </row>
    <row r="295" spans="1:8" x14ac:dyDescent="0.2">
      <c r="F295" s="9"/>
    </row>
    <row r="297" spans="1:8" x14ac:dyDescent="0.2">
      <c r="A297" s="33" t="s">
        <v>1610</v>
      </c>
      <c r="B297" s="28">
        <f>SUM(C300:C304)</f>
        <v>0</v>
      </c>
      <c r="C297" s="28" t="s">
        <v>772</v>
      </c>
      <c r="D297" s="28"/>
    </row>
    <row r="299" spans="1:8" x14ac:dyDescent="0.2">
      <c r="A299" s="19" t="s">
        <v>1596</v>
      </c>
      <c r="G299" s="8">
        <f t="shared" ref="G299:G304" si="19">SUM(H299:AG299)</f>
        <v>0</v>
      </c>
    </row>
    <row r="300" spans="1:8" x14ac:dyDescent="0.2">
      <c r="A300" s="19" t="s">
        <v>1609</v>
      </c>
      <c r="C300" s="7">
        <f>ROUND(E300*G300,2)</f>
        <v>0</v>
      </c>
      <c r="E300" s="7">
        <v>1</v>
      </c>
      <c r="F300" s="9" t="s">
        <v>772</v>
      </c>
      <c r="G300" s="8">
        <f t="shared" si="19"/>
        <v>0</v>
      </c>
    </row>
    <row r="301" spans="1:8" x14ac:dyDescent="0.2">
      <c r="G301" s="8">
        <f t="shared" si="19"/>
        <v>0</v>
      </c>
    </row>
    <row r="302" spans="1:8" x14ac:dyDescent="0.2">
      <c r="A302" s="7" t="s">
        <v>1741</v>
      </c>
      <c r="G302" s="8">
        <f t="shared" si="19"/>
        <v>0</v>
      </c>
    </row>
    <row r="303" spans="1:8" x14ac:dyDescent="0.2">
      <c r="A303" s="19" t="s">
        <v>1609</v>
      </c>
      <c r="C303" s="7">
        <f>ROUND(E303*G303,2)</f>
        <v>0</v>
      </c>
      <c r="E303" s="7">
        <v>1</v>
      </c>
      <c r="F303" s="9" t="s">
        <v>772</v>
      </c>
      <c r="G303" s="8">
        <f t="shared" si="19"/>
        <v>0</v>
      </c>
    </row>
    <row r="304" spans="1:8" x14ac:dyDescent="0.2">
      <c r="F304" s="9"/>
      <c r="G304" s="8">
        <f t="shared" si="19"/>
        <v>0</v>
      </c>
    </row>
    <row r="305" spans="1:13" x14ac:dyDescent="0.2">
      <c r="G305" s="8">
        <f>SUM(H305:AP305)</f>
        <v>0</v>
      </c>
    </row>
    <row r="307" spans="1:13" x14ac:dyDescent="0.2">
      <c r="A307" s="33" t="s">
        <v>2042</v>
      </c>
      <c r="B307" s="7">
        <f>SUM(B308:B311)</f>
        <v>115.47300000000001</v>
      </c>
      <c r="F307" s="9"/>
    </row>
    <row r="308" spans="1:13" x14ac:dyDescent="0.2">
      <c r="A308" s="7" t="s">
        <v>1855</v>
      </c>
      <c r="B308" s="7">
        <f>H308*(0.2*1+0.35*2)*3.17</f>
        <v>59.912999999999997</v>
      </c>
      <c r="C308" s="7">
        <f>ROUND(E308*G308*D308,2)</f>
        <v>5.45</v>
      </c>
      <c r="D308" s="7">
        <f>3.17+0.54</f>
        <v>3.71</v>
      </c>
      <c r="E308" s="7">
        <f>0.2*0.35</f>
        <v>6.9999999999999993E-2</v>
      </c>
      <c r="F308" s="9" t="s">
        <v>915</v>
      </c>
      <c r="G308" s="8">
        <f>SUM(H308:AG308)</f>
        <v>21</v>
      </c>
      <c r="H308" s="7">
        <v>21</v>
      </c>
    </row>
    <row r="309" spans="1:13" x14ac:dyDescent="0.2">
      <c r="A309" s="7" t="s">
        <v>1856</v>
      </c>
      <c r="B309" s="7">
        <f>H309*(0.2*1+0.3*2)*3.35</f>
        <v>42.88</v>
      </c>
      <c r="C309" s="7">
        <f>ROUND(E309*G309*D309,2)</f>
        <v>3.22</v>
      </c>
      <c r="D309" s="7">
        <v>3.35</v>
      </c>
      <c r="E309" s="7">
        <f>0.2*0.3</f>
        <v>0.06</v>
      </c>
      <c r="F309" s="9" t="s">
        <v>915</v>
      </c>
      <c r="G309" s="8">
        <f>SUM(H309:AG309)</f>
        <v>16</v>
      </c>
      <c r="H309" s="7">
        <v>16</v>
      </c>
    </row>
    <row r="310" spans="1:13" x14ac:dyDescent="0.2">
      <c r="F310" s="9"/>
    </row>
    <row r="311" spans="1:13" x14ac:dyDescent="0.2">
      <c r="A311" s="7" t="s">
        <v>2007</v>
      </c>
      <c r="B311" s="7">
        <f>H311*(0.2*2+0.3*2)*3.17</f>
        <v>12.68</v>
      </c>
      <c r="C311" s="7">
        <f>ROUND(E311*G311*D311,2)</f>
        <v>0.77</v>
      </c>
      <c r="D311" s="7">
        <f>2.65+0.54</f>
        <v>3.19</v>
      </c>
      <c r="E311" s="7">
        <f>0.2*0.3</f>
        <v>0.06</v>
      </c>
      <c r="F311" s="9" t="s">
        <v>915</v>
      </c>
      <c r="G311" s="8">
        <f>SUM(H311:AG311)</f>
        <v>4</v>
      </c>
      <c r="H311" s="7">
        <v>4</v>
      </c>
    </row>
    <row r="312" spans="1:13" ht="13.5" thickBot="1" x14ac:dyDescent="0.25">
      <c r="F312" s="9"/>
    </row>
    <row r="313" spans="1:13" ht="21" thickBot="1" x14ac:dyDescent="0.35">
      <c r="A313" s="284" t="s">
        <v>2057</v>
      </c>
      <c r="B313" s="285"/>
      <c r="C313" s="286"/>
    </row>
    <row r="314" spans="1:13" x14ac:dyDescent="0.2">
      <c r="A314" s="30" t="s">
        <v>1628</v>
      </c>
      <c r="B314" s="30">
        <f>B317+B323</f>
        <v>167.85000000000002</v>
      </c>
      <c r="C314" s="31" t="s">
        <v>915</v>
      </c>
      <c r="D314" s="31"/>
      <c r="E314" s="19"/>
      <c r="F314" s="19"/>
    </row>
    <row r="315" spans="1:13" x14ac:dyDescent="0.2">
      <c r="A315" s="30" t="s">
        <v>1627</v>
      </c>
      <c r="B315" s="30"/>
      <c r="C315" s="31" t="s">
        <v>915</v>
      </c>
      <c r="D315" s="31"/>
      <c r="E315" s="19"/>
      <c r="F315" s="19"/>
    </row>
    <row r="317" spans="1:13" x14ac:dyDescent="0.2">
      <c r="A317" s="19" t="s">
        <v>1596</v>
      </c>
      <c r="B317" s="7">
        <f>SUM(C318:C321)</f>
        <v>73.490000000000009</v>
      </c>
      <c r="D317" s="7">
        <f>6.6+5.04+5.04+2.7+5.04</f>
        <v>24.419999999999998</v>
      </c>
      <c r="E317" s="7">
        <f>+B317-D317</f>
        <v>49.070000000000007</v>
      </c>
    </row>
    <row r="318" spans="1:13" x14ac:dyDescent="0.2">
      <c r="A318" s="7" t="s">
        <v>1863</v>
      </c>
      <c r="C318" s="411">
        <f>ROUND(E318*G318,2)</f>
        <v>10.3</v>
      </c>
      <c r="E318" s="7">
        <v>1</v>
      </c>
      <c r="F318" s="9" t="s">
        <v>915</v>
      </c>
      <c r="G318" s="8">
        <f>SUM(H318:AG318)</f>
        <v>10.3</v>
      </c>
      <c r="H318" s="411">
        <f>(2.75*2+2.4*2)</f>
        <v>10.3</v>
      </c>
    </row>
    <row r="319" spans="1:13" x14ac:dyDescent="0.2">
      <c r="A319" s="7" t="s">
        <v>1864</v>
      </c>
      <c r="C319" s="7">
        <f>ROUND(E319*G319,2)</f>
        <v>33.9</v>
      </c>
      <c r="E319" s="7">
        <v>1</v>
      </c>
      <c r="F319" s="9" t="s">
        <v>915</v>
      </c>
      <c r="G319" s="8">
        <f>SUM(H319:AG319)</f>
        <v>33.9</v>
      </c>
      <c r="I319" s="411">
        <f>(2.4*2+2.1*2)</f>
        <v>9</v>
      </c>
      <c r="J319" s="7">
        <f>(3.6*2+0.5*2)</f>
        <v>8.1999999999999993</v>
      </c>
      <c r="K319" s="411">
        <f>(2.4*2+2.1*2)</f>
        <v>9</v>
      </c>
      <c r="L319" s="7">
        <f>(3.35*2+0.5*2)</f>
        <v>7.7</v>
      </c>
    </row>
    <row r="320" spans="1:13" x14ac:dyDescent="0.2">
      <c r="A320" s="7" t="s">
        <v>1865</v>
      </c>
      <c r="C320" s="411">
        <f>ROUND(E320*G320,2)</f>
        <v>16.399999999999999</v>
      </c>
      <c r="E320" s="7">
        <v>1</v>
      </c>
      <c r="F320" s="9" t="s">
        <v>915</v>
      </c>
      <c r="G320" s="8">
        <f>SUM(H320:AG320)</f>
        <v>16.399999999999999</v>
      </c>
      <c r="I320" s="411">
        <f>(2.1*2+2.4*2)</f>
        <v>9</v>
      </c>
      <c r="M320" s="411">
        <f>(1*2+2.7*2)</f>
        <v>7.4</v>
      </c>
    </row>
    <row r="321" spans="1:12" x14ac:dyDescent="0.2">
      <c r="A321" s="7" t="s">
        <v>1866</v>
      </c>
      <c r="C321" s="7">
        <f>ROUND(E321*G321,2)</f>
        <v>12.89</v>
      </c>
      <c r="E321" s="7">
        <v>1</v>
      </c>
      <c r="F321" s="9" t="s">
        <v>915</v>
      </c>
      <c r="G321" s="8">
        <f>SUM(H321:AG321)</f>
        <v>12.89</v>
      </c>
      <c r="H321" s="7">
        <f>(1.6*2+1.6*2)</f>
        <v>6.4</v>
      </c>
      <c r="I321" s="7">
        <f>(0.6*2+1.6*2)</f>
        <v>4.4000000000000004</v>
      </c>
      <c r="J321" s="7">
        <f>1*1.6</f>
        <v>1.6</v>
      </c>
      <c r="K321" s="7">
        <f>0.7*0.7</f>
        <v>0.48999999999999994</v>
      </c>
    </row>
    <row r="322" spans="1:12" x14ac:dyDescent="0.2">
      <c r="G322" s="8">
        <f>SUM(H322:AG322)</f>
        <v>15.75</v>
      </c>
      <c r="H322" s="288">
        <f>3.6+2.2*2</f>
        <v>8</v>
      </c>
      <c r="J322" s="288">
        <f>3.35+2.2*2</f>
        <v>7.75</v>
      </c>
    </row>
    <row r="323" spans="1:12" x14ac:dyDescent="0.2">
      <c r="A323" s="7" t="s">
        <v>1741</v>
      </c>
      <c r="B323" s="7">
        <f>SUM(C324:C327)</f>
        <v>94.360000000000014</v>
      </c>
    </row>
    <row r="324" spans="1:12" x14ac:dyDescent="0.2">
      <c r="A324" s="7" t="s">
        <v>1863</v>
      </c>
      <c r="C324" s="7">
        <f>ROUND(E324*G324,2)</f>
        <v>39</v>
      </c>
      <c r="E324" s="7">
        <v>1</v>
      </c>
      <c r="F324" s="9" t="s">
        <v>915</v>
      </c>
      <c r="G324" s="8">
        <f>SUM(H324:AG324)</f>
        <v>39</v>
      </c>
      <c r="H324" s="7">
        <f>2.1*2+1.8*2</f>
        <v>7.8000000000000007</v>
      </c>
      <c r="I324" s="7">
        <f>0.65*2+1.8*2</f>
        <v>4.9000000000000004</v>
      </c>
      <c r="J324" s="7">
        <f>1.53*2+3.92*2</f>
        <v>10.9</v>
      </c>
      <c r="K324" s="7">
        <f>1.6*2+2.5*2</f>
        <v>8.1999999999999993</v>
      </c>
      <c r="L324" s="7">
        <f>1.8*2+1.8*2</f>
        <v>7.2</v>
      </c>
    </row>
    <row r="325" spans="1:12" x14ac:dyDescent="0.2">
      <c r="A325" s="7" t="s">
        <v>1864</v>
      </c>
      <c r="C325" s="7">
        <f>ROUND(E325*G325,2)</f>
        <v>25.84</v>
      </c>
      <c r="E325" s="7">
        <v>1</v>
      </c>
      <c r="F325" s="9" t="s">
        <v>915</v>
      </c>
      <c r="G325" s="8">
        <f>SUM(H325:AG325)</f>
        <v>25.840000000000003</v>
      </c>
      <c r="H325" s="7">
        <f>2*2+1.8*2</f>
        <v>7.6</v>
      </c>
      <c r="I325" s="7">
        <f>3.2*2+1.8*2</f>
        <v>10</v>
      </c>
      <c r="J325" s="7">
        <f>0.72*2+0.9*2</f>
        <v>3.24</v>
      </c>
      <c r="K325" s="7">
        <f>1.6*2+0.9*2</f>
        <v>5</v>
      </c>
    </row>
    <row r="326" spans="1:12" x14ac:dyDescent="0.2">
      <c r="A326" s="7" t="s">
        <v>1865</v>
      </c>
      <c r="C326" s="7">
        <f>ROUND(E326*G326,2)</f>
        <v>26.12</v>
      </c>
      <c r="E326" s="7">
        <v>1</v>
      </c>
      <c r="F326" s="9" t="s">
        <v>915</v>
      </c>
      <c r="G326" s="8">
        <f>SUM(H326:AG326)</f>
        <v>26.119999999999997</v>
      </c>
      <c r="H326" s="7">
        <f>0.94*2+3.92*2</f>
        <v>9.7199999999999989</v>
      </c>
      <c r="I326" s="7">
        <f>0.5*2+1.9*2</f>
        <v>4.8</v>
      </c>
      <c r="J326" s="7">
        <f>0.5*2+1.9*2</f>
        <v>4.8</v>
      </c>
      <c r="K326" s="7">
        <f>0.8*2+0.9*2</f>
        <v>3.4000000000000004</v>
      </c>
      <c r="L326" s="7">
        <f>0.8*2+0.9*2</f>
        <v>3.4000000000000004</v>
      </c>
    </row>
    <row r="327" spans="1:12" x14ac:dyDescent="0.2">
      <c r="A327" s="7" t="s">
        <v>1866</v>
      </c>
      <c r="C327" s="7">
        <f>ROUND(E327*G327,2)</f>
        <v>3.4</v>
      </c>
      <c r="E327" s="7">
        <v>1</v>
      </c>
      <c r="F327" s="9" t="s">
        <v>915</v>
      </c>
      <c r="G327" s="8">
        <f>SUM(H327:AG327)</f>
        <v>3.4000000000000004</v>
      </c>
      <c r="H327" s="7">
        <f>0.8*2+0.9*2</f>
        <v>3.4000000000000004</v>
      </c>
    </row>
    <row r="328" spans="1:12" x14ac:dyDescent="0.2">
      <c r="A328" s="19"/>
      <c r="F328" s="9"/>
    </row>
    <row r="329" spans="1:12" x14ac:dyDescent="0.2">
      <c r="A329" s="19"/>
      <c r="F329" s="9"/>
    </row>
    <row r="330" spans="1:12" x14ac:dyDescent="0.2">
      <c r="F330" s="9"/>
    </row>
    <row r="331" spans="1:12" ht="13.5" thickBot="1" x14ac:dyDescent="0.25">
      <c r="G331" s="8">
        <f t="shared" ref="G331:G336" si="20">SUM(H331:AG331)</f>
        <v>0</v>
      </c>
    </row>
    <row r="332" spans="1:12" ht="21" thickBot="1" x14ac:dyDescent="0.35">
      <c r="A332" s="14" t="s">
        <v>1608</v>
      </c>
      <c r="B332" s="13"/>
      <c r="C332" s="12"/>
      <c r="G332" s="8">
        <f t="shared" si="20"/>
        <v>0</v>
      </c>
    </row>
    <row r="333" spans="1:12" ht="20.25" x14ac:dyDescent="0.3">
      <c r="A333" s="22"/>
      <c r="B333" s="19"/>
      <c r="G333" s="8">
        <f t="shared" si="20"/>
        <v>0</v>
      </c>
    </row>
    <row r="334" spans="1:12" x14ac:dyDescent="0.2">
      <c r="A334" s="7" t="s">
        <v>1583</v>
      </c>
      <c r="B334" s="7">
        <f>+B335+B343</f>
        <v>0</v>
      </c>
      <c r="G334" s="8">
        <f t="shared" si="20"/>
        <v>0</v>
      </c>
    </row>
    <row r="335" spans="1:12" ht="15.75" x14ac:dyDescent="0.25">
      <c r="A335" s="155" t="s">
        <v>597</v>
      </c>
      <c r="B335" s="16">
        <f>SUM(C337:C341)</f>
        <v>0</v>
      </c>
      <c r="C335" s="18" t="s">
        <v>915</v>
      </c>
      <c r="D335" s="18"/>
      <c r="G335" s="8">
        <f t="shared" si="20"/>
        <v>0</v>
      </c>
    </row>
    <row r="336" spans="1:12" ht="15.75" x14ac:dyDescent="0.25">
      <c r="A336" s="11"/>
      <c r="C336" s="10"/>
      <c r="D336" s="10"/>
      <c r="G336" s="8">
        <f t="shared" si="20"/>
        <v>0</v>
      </c>
    </row>
    <row r="337" spans="1:7" x14ac:dyDescent="0.2">
      <c r="A337" s="7" t="s">
        <v>1596</v>
      </c>
      <c r="C337" s="7">
        <f>ROUND(E337*G337,2)</f>
        <v>0</v>
      </c>
      <c r="E337" s="7">
        <v>2</v>
      </c>
      <c r="F337" s="9" t="s">
        <v>772</v>
      </c>
      <c r="G337" s="8">
        <f>SUM(H337:AP337)</f>
        <v>0</v>
      </c>
    </row>
    <row r="338" spans="1:7" x14ac:dyDescent="0.2">
      <c r="C338" s="7">
        <f>ROUND(E338*G338,2)</f>
        <v>0</v>
      </c>
      <c r="E338" s="7">
        <v>2</v>
      </c>
      <c r="F338" s="9" t="s">
        <v>772</v>
      </c>
      <c r="G338" s="8">
        <f>SUM(H338:AP338)</f>
        <v>0</v>
      </c>
    </row>
    <row r="339" spans="1:7" x14ac:dyDescent="0.2">
      <c r="A339" s="7" t="s">
        <v>1595</v>
      </c>
      <c r="C339" s="7">
        <f>ROUND(E339*G339,2)</f>
        <v>0</v>
      </c>
      <c r="E339" s="7">
        <v>2</v>
      </c>
      <c r="F339" s="9" t="s">
        <v>772</v>
      </c>
      <c r="G339" s="8">
        <f>SUM(H339:AP339)</f>
        <v>0</v>
      </c>
    </row>
    <row r="340" spans="1:7" x14ac:dyDescent="0.2">
      <c r="A340" s="7" t="s">
        <v>1594</v>
      </c>
      <c r="C340" s="7">
        <f>ROUND(E340*G340,2)</f>
        <v>0</v>
      </c>
      <c r="E340" s="7">
        <v>2</v>
      </c>
      <c r="F340" s="9" t="s">
        <v>772</v>
      </c>
      <c r="G340" s="8">
        <f>SUM(H340:AP340)</f>
        <v>0</v>
      </c>
    </row>
    <row r="341" spans="1:7" x14ac:dyDescent="0.2">
      <c r="F341" s="9"/>
      <c r="G341" s="8">
        <f>SUM(H341:AG341)</f>
        <v>0</v>
      </c>
    </row>
    <row r="342" spans="1:7" x14ac:dyDescent="0.2">
      <c r="G342" s="8">
        <f>SUM(H342:AG342)</f>
        <v>0</v>
      </c>
    </row>
    <row r="343" spans="1:7" ht="15.75" x14ac:dyDescent="0.25">
      <c r="A343" s="155" t="s">
        <v>596</v>
      </c>
      <c r="B343" s="16">
        <f>SUM(C345:C348)</f>
        <v>0</v>
      </c>
      <c r="C343" s="18" t="s">
        <v>915</v>
      </c>
      <c r="D343" s="18"/>
      <c r="G343" s="8">
        <f>SUM(H343:AG343)</f>
        <v>0</v>
      </c>
    </row>
    <row r="344" spans="1:7" ht="15.75" x14ac:dyDescent="0.25">
      <c r="A344" s="11"/>
      <c r="C344" s="10"/>
      <c r="D344" s="10"/>
      <c r="G344" s="8">
        <f>SUM(H344:AG344)</f>
        <v>0</v>
      </c>
    </row>
    <row r="345" spans="1:7" x14ac:dyDescent="0.2">
      <c r="A345" s="7" t="s">
        <v>1596</v>
      </c>
      <c r="C345" s="7">
        <f>ROUND(E345*G345,2)</f>
        <v>0</v>
      </c>
      <c r="E345" s="7">
        <v>2</v>
      </c>
      <c r="F345" s="9" t="s">
        <v>772</v>
      </c>
      <c r="G345" s="8">
        <f>SUM(H345:AP345)</f>
        <v>0</v>
      </c>
    </row>
    <row r="346" spans="1:7" x14ac:dyDescent="0.2">
      <c r="A346" s="7" t="s">
        <v>1595</v>
      </c>
      <c r="C346" s="7">
        <f>ROUND(E346*G346,2)</f>
        <v>0</v>
      </c>
      <c r="E346" s="7">
        <v>2</v>
      </c>
      <c r="F346" s="9" t="s">
        <v>772</v>
      </c>
      <c r="G346" s="8">
        <f>SUM(H346:AP346)</f>
        <v>0</v>
      </c>
    </row>
    <row r="347" spans="1:7" x14ac:dyDescent="0.2">
      <c r="A347" s="7" t="s">
        <v>1594</v>
      </c>
      <c r="C347" s="7">
        <f>ROUND(E347*G347,2)</f>
        <v>0</v>
      </c>
      <c r="E347" s="7">
        <v>2</v>
      </c>
      <c r="F347" s="9" t="s">
        <v>772</v>
      </c>
      <c r="G347" s="8">
        <f>SUM(H347:AP347)</f>
        <v>0</v>
      </c>
    </row>
    <row r="348" spans="1:7" x14ac:dyDescent="0.2">
      <c r="G348" s="8">
        <f t="shared" ref="G348:G353" si="21">SUM(H348:AG348)</f>
        <v>0</v>
      </c>
    </row>
    <row r="349" spans="1:7" x14ac:dyDescent="0.2">
      <c r="G349" s="8">
        <f t="shared" si="21"/>
        <v>0</v>
      </c>
    </row>
    <row r="350" spans="1:7" ht="13.5" thickBot="1" x14ac:dyDescent="0.25">
      <c r="G350" s="8">
        <f t="shared" si="21"/>
        <v>0</v>
      </c>
    </row>
    <row r="351" spans="1:7" ht="21" thickBot="1" x14ac:dyDescent="0.35">
      <c r="A351" s="14" t="s">
        <v>1607</v>
      </c>
      <c r="B351" s="13"/>
      <c r="C351" s="12"/>
      <c r="G351" s="8">
        <f t="shared" si="21"/>
        <v>0</v>
      </c>
    </row>
    <row r="352" spans="1:7" ht="15.75" x14ac:dyDescent="0.25">
      <c r="A352" s="17" t="s">
        <v>1583</v>
      </c>
      <c r="B352" s="16">
        <f>SUM(C354:C356)</f>
        <v>0</v>
      </c>
      <c r="C352" s="15" t="s">
        <v>772</v>
      </c>
      <c r="D352" s="15"/>
      <c r="G352" s="8">
        <f t="shared" si="21"/>
        <v>0</v>
      </c>
    </row>
    <row r="353" spans="1:7" ht="15.75" x14ac:dyDescent="0.25">
      <c r="A353" s="11"/>
      <c r="C353" s="10"/>
      <c r="D353" s="10"/>
      <c r="G353" s="8">
        <f t="shared" si="21"/>
        <v>0</v>
      </c>
    </row>
    <row r="354" spans="1:7" x14ac:dyDescent="0.2">
      <c r="A354" s="7" t="s">
        <v>1596</v>
      </c>
      <c r="C354" s="7">
        <f>ROUND(E354*G354,2)</f>
        <v>0</v>
      </c>
      <c r="E354" s="7">
        <v>1</v>
      </c>
      <c r="F354" s="9" t="s">
        <v>772</v>
      </c>
      <c r="G354" s="8">
        <f>SUM(H354:AP354)</f>
        <v>0</v>
      </c>
    </row>
    <row r="355" spans="1:7" x14ac:dyDescent="0.2">
      <c r="A355" s="7" t="s">
        <v>1595</v>
      </c>
      <c r="C355" s="7">
        <f>ROUND(E355*G355,2)</f>
        <v>0</v>
      </c>
      <c r="E355" s="7">
        <v>1</v>
      </c>
      <c r="F355" s="9" t="s">
        <v>772</v>
      </c>
      <c r="G355" s="8">
        <f>SUM(H355:AP355)</f>
        <v>0</v>
      </c>
    </row>
    <row r="356" spans="1:7" x14ac:dyDescent="0.2">
      <c r="A356" s="7" t="s">
        <v>1594</v>
      </c>
      <c r="C356" s="7">
        <f>ROUND(E356*G356,2)</f>
        <v>0</v>
      </c>
      <c r="E356" s="7">
        <v>1</v>
      </c>
      <c r="F356" s="9" t="s">
        <v>772</v>
      </c>
      <c r="G356" s="8">
        <f>SUM(H356:AP356)</f>
        <v>0</v>
      </c>
    </row>
    <row r="357" spans="1:7" x14ac:dyDescent="0.2">
      <c r="G357" s="8">
        <f t="shared" ref="G357:G362" si="22">SUM(H357:AG357)</f>
        <v>0</v>
      </c>
    </row>
    <row r="358" spans="1:7" x14ac:dyDescent="0.2">
      <c r="G358" s="8">
        <f t="shared" si="22"/>
        <v>0</v>
      </c>
    </row>
    <row r="359" spans="1:7" ht="13.5" thickBot="1" x14ac:dyDescent="0.25">
      <c r="G359" s="8">
        <f t="shared" si="22"/>
        <v>0</v>
      </c>
    </row>
    <row r="360" spans="1:7" ht="21" thickBot="1" x14ac:dyDescent="0.35">
      <c r="A360" s="14" t="s">
        <v>1606</v>
      </c>
      <c r="B360" s="13"/>
      <c r="C360" s="12"/>
      <c r="G360" s="8">
        <f t="shared" si="22"/>
        <v>0</v>
      </c>
    </row>
    <row r="361" spans="1:7" ht="15.75" x14ac:dyDescent="0.25">
      <c r="A361" s="27" t="s">
        <v>1583</v>
      </c>
      <c r="B361" s="28">
        <f>SUM(C363:C367)</f>
        <v>0</v>
      </c>
      <c r="C361" s="31" t="s">
        <v>915</v>
      </c>
      <c r="D361" s="31"/>
      <c r="G361" s="8">
        <f t="shared" si="22"/>
        <v>0</v>
      </c>
    </row>
    <row r="362" spans="1:7" ht="15.75" x14ac:dyDescent="0.25">
      <c r="A362" s="11"/>
      <c r="C362" s="10"/>
      <c r="D362" s="10"/>
      <c r="G362" s="8">
        <f t="shared" si="22"/>
        <v>0</v>
      </c>
    </row>
    <row r="363" spans="1:7" x14ac:dyDescent="0.2">
      <c r="A363" s="7" t="s">
        <v>1596</v>
      </c>
      <c r="C363" s="7">
        <f>ROUND(E363*G363,2)</f>
        <v>0</v>
      </c>
      <c r="E363" s="7">
        <v>3.3</v>
      </c>
      <c r="F363" s="9" t="s">
        <v>772</v>
      </c>
      <c r="G363" s="8">
        <f>SUM(H363:AP363)</f>
        <v>0</v>
      </c>
    </row>
    <row r="364" spans="1:7" x14ac:dyDescent="0.2">
      <c r="A364" s="7" t="s">
        <v>1595</v>
      </c>
      <c r="C364" s="7">
        <f>ROUND(E364*G364,2)</f>
        <v>0</v>
      </c>
      <c r="E364" s="7">
        <v>3.3</v>
      </c>
      <c r="F364" s="9" t="s">
        <v>772</v>
      </c>
      <c r="G364" s="8">
        <f>SUM(H364:AP364)</f>
        <v>0</v>
      </c>
    </row>
    <row r="365" spans="1:7" x14ac:dyDescent="0.2">
      <c r="A365" s="7" t="s">
        <v>1594</v>
      </c>
      <c r="C365" s="7">
        <f>ROUND(E365*G365,2)</f>
        <v>0</v>
      </c>
      <c r="E365" s="7">
        <v>3.3</v>
      </c>
      <c r="F365" s="9" t="s">
        <v>772</v>
      </c>
      <c r="G365" s="8">
        <f>SUM(H365:AP365)</f>
        <v>0</v>
      </c>
    </row>
    <row r="366" spans="1:7" x14ac:dyDescent="0.2">
      <c r="A366" s="7" t="s">
        <v>1605</v>
      </c>
      <c r="C366" s="7">
        <f>ROUND(E366*G366,2)</f>
        <v>0</v>
      </c>
      <c r="E366" s="7">
        <v>3</v>
      </c>
      <c r="F366" s="9" t="s">
        <v>772</v>
      </c>
      <c r="G366" s="8">
        <f>SUM(H366:AP366)</f>
        <v>0</v>
      </c>
    </row>
    <row r="367" spans="1:7" ht="13.5" thickBot="1" x14ac:dyDescent="0.25">
      <c r="G367" s="8">
        <f>SUM(H367:AG367)</f>
        <v>0</v>
      </c>
    </row>
    <row r="368" spans="1:7" ht="21" thickBot="1" x14ac:dyDescent="0.35">
      <c r="A368" s="14" t="s">
        <v>1604</v>
      </c>
      <c r="B368" s="13"/>
      <c r="C368" s="12"/>
      <c r="G368" s="8">
        <f>SUM(H368:AG368)</f>
        <v>0</v>
      </c>
    </row>
    <row r="369" spans="1:7" ht="15.75" x14ac:dyDescent="0.25">
      <c r="A369" s="27" t="s">
        <v>1583</v>
      </c>
      <c r="B369" s="28">
        <f>SUM(C371:C373)</f>
        <v>0</v>
      </c>
      <c r="C369" s="31" t="s">
        <v>772</v>
      </c>
      <c r="D369" s="31"/>
      <c r="G369" s="8">
        <f>SUM(H369:AG369)</f>
        <v>0</v>
      </c>
    </row>
    <row r="370" spans="1:7" ht="15.75" x14ac:dyDescent="0.25">
      <c r="A370" s="11"/>
      <c r="C370" s="10"/>
      <c r="D370" s="10"/>
      <c r="G370" s="8">
        <f>SUM(H370:AG370)</f>
        <v>0</v>
      </c>
    </row>
    <row r="371" spans="1:7" x14ac:dyDescent="0.2">
      <c r="A371" s="7" t="s">
        <v>1596</v>
      </c>
      <c r="C371" s="7">
        <f>ROUND(E371*G371,2)</f>
        <v>0</v>
      </c>
      <c r="E371" s="7">
        <v>1</v>
      </c>
      <c r="F371" s="9" t="s">
        <v>772</v>
      </c>
      <c r="G371" s="8">
        <f>SUM(H371:AP371)</f>
        <v>0</v>
      </c>
    </row>
    <row r="372" spans="1:7" x14ac:dyDescent="0.2">
      <c r="A372" s="7" t="s">
        <v>1595</v>
      </c>
      <c r="C372" s="7">
        <f>ROUND(E372*G372,2)</f>
        <v>0</v>
      </c>
      <c r="E372" s="7">
        <v>1</v>
      </c>
      <c r="F372" s="9" t="s">
        <v>772</v>
      </c>
      <c r="G372" s="8">
        <f>SUM(H372:AP372)</f>
        <v>0</v>
      </c>
    </row>
    <row r="373" spans="1:7" x14ac:dyDescent="0.2">
      <c r="A373" s="7" t="s">
        <v>1594</v>
      </c>
      <c r="C373" s="7">
        <f>ROUND(E373*G373,2)</f>
        <v>0</v>
      </c>
      <c r="E373" s="7">
        <v>1</v>
      </c>
      <c r="F373" s="9" t="s">
        <v>772</v>
      </c>
      <c r="G373" s="8">
        <f>SUM(H373:AP373)</f>
        <v>0</v>
      </c>
    </row>
    <row r="374" spans="1:7" x14ac:dyDescent="0.2">
      <c r="G374" s="8">
        <f t="shared" ref="G374:G379" si="23">SUM(H374:AG374)</f>
        <v>0</v>
      </c>
    </row>
    <row r="375" spans="1:7" ht="13.5" thickBot="1" x14ac:dyDescent="0.25">
      <c r="G375" s="8">
        <f t="shared" si="23"/>
        <v>0</v>
      </c>
    </row>
    <row r="376" spans="1:7" ht="21" thickBot="1" x14ac:dyDescent="0.35">
      <c r="A376" s="14" t="s">
        <v>1603</v>
      </c>
      <c r="B376" s="13"/>
      <c r="C376" s="12"/>
      <c r="G376" s="8">
        <f t="shared" si="23"/>
        <v>0</v>
      </c>
    </row>
    <row r="377" spans="1:7" ht="15.75" x14ac:dyDescent="0.25">
      <c r="A377" s="27" t="s">
        <v>1583</v>
      </c>
      <c r="B377" s="28">
        <f>+B379+B385</f>
        <v>0</v>
      </c>
      <c r="C377" s="31" t="s">
        <v>772</v>
      </c>
      <c r="D377" s="31"/>
      <c r="G377" s="8">
        <f t="shared" si="23"/>
        <v>0</v>
      </c>
    </row>
    <row r="378" spans="1:7" ht="15.75" x14ac:dyDescent="0.25">
      <c r="A378" s="11"/>
      <c r="C378" s="9"/>
      <c r="D378" s="9"/>
      <c r="G378" s="8">
        <f t="shared" si="23"/>
        <v>0</v>
      </c>
    </row>
    <row r="379" spans="1:7" ht="15.75" x14ac:dyDescent="0.25">
      <c r="A379" s="11" t="s">
        <v>1602</v>
      </c>
      <c r="B379" s="7">
        <f>SUM(C379:C384)</f>
        <v>0</v>
      </c>
      <c r="C379" s="10"/>
      <c r="D379" s="10"/>
      <c r="G379" s="8">
        <f t="shared" si="23"/>
        <v>0</v>
      </c>
    </row>
    <row r="380" spans="1:7" x14ac:dyDescent="0.2">
      <c r="A380" s="7" t="s">
        <v>1596</v>
      </c>
      <c r="C380" s="7">
        <f>ROUND(E380*G380,2)</f>
        <v>0</v>
      </c>
      <c r="E380" s="7">
        <v>1</v>
      </c>
      <c r="F380" s="9" t="s">
        <v>772</v>
      </c>
      <c r="G380" s="8">
        <f>SUM(H380:AP380)</f>
        <v>0</v>
      </c>
    </row>
    <row r="381" spans="1:7" x14ac:dyDescent="0.2">
      <c r="A381" s="7" t="s">
        <v>1595</v>
      </c>
      <c r="C381" s="7">
        <f>ROUND(E381*G381,2)</f>
        <v>0</v>
      </c>
      <c r="E381" s="7">
        <v>1</v>
      </c>
      <c r="F381" s="9" t="s">
        <v>772</v>
      </c>
      <c r="G381" s="8">
        <f>SUM(H381:AP381)</f>
        <v>0</v>
      </c>
    </row>
    <row r="382" spans="1:7" x14ac:dyDescent="0.2">
      <c r="A382" s="7" t="s">
        <v>1594</v>
      </c>
      <c r="C382" s="7">
        <f>ROUND(E382*G382,2)</f>
        <v>0</v>
      </c>
      <c r="E382" s="7">
        <v>1</v>
      </c>
      <c r="F382" s="9" t="s">
        <v>772</v>
      </c>
      <c r="G382" s="8">
        <f>SUM(H382:AP382)</f>
        <v>0</v>
      </c>
    </row>
    <row r="383" spans="1:7" x14ac:dyDescent="0.2">
      <c r="A383" s="7" t="s">
        <v>1593</v>
      </c>
      <c r="C383" s="7">
        <f>ROUND(E383*G383,2)</f>
        <v>0</v>
      </c>
      <c r="E383" s="7">
        <v>1</v>
      </c>
      <c r="F383" s="9" t="s">
        <v>772</v>
      </c>
      <c r="G383" s="8">
        <f>SUM(H383:AP383)</f>
        <v>0</v>
      </c>
    </row>
    <row r="384" spans="1:7" x14ac:dyDescent="0.2">
      <c r="G384" s="8">
        <f>SUM(H384:AG384)</f>
        <v>0</v>
      </c>
    </row>
    <row r="385" spans="1:7" ht="15.75" x14ac:dyDescent="0.25">
      <c r="A385" s="11" t="s">
        <v>1601</v>
      </c>
      <c r="B385" s="7">
        <f>SUM(C385:C389)</f>
        <v>0</v>
      </c>
      <c r="C385" s="10"/>
      <c r="D385" s="10"/>
      <c r="G385" s="8">
        <f>SUM(H385:AG385)</f>
        <v>0</v>
      </c>
    </row>
    <row r="386" spans="1:7" x14ac:dyDescent="0.2">
      <c r="A386" s="7" t="s">
        <v>1596</v>
      </c>
      <c r="C386" s="7">
        <f>ROUND(E386*G386,2)</f>
        <v>0</v>
      </c>
      <c r="E386" s="7">
        <v>1</v>
      </c>
      <c r="F386" s="9" t="s">
        <v>772</v>
      </c>
      <c r="G386" s="8">
        <f>SUM(H386:AP386)</f>
        <v>0</v>
      </c>
    </row>
    <row r="387" spans="1:7" x14ac:dyDescent="0.2">
      <c r="A387" s="7" t="s">
        <v>1595</v>
      </c>
      <c r="C387" s="7">
        <f>ROUND(E387*G387,2)</f>
        <v>0</v>
      </c>
      <c r="E387" s="7">
        <v>1</v>
      </c>
      <c r="F387" s="9" t="s">
        <v>772</v>
      </c>
      <c r="G387" s="8">
        <f>SUM(H387:AP387)</f>
        <v>0</v>
      </c>
    </row>
    <row r="388" spans="1:7" x14ac:dyDescent="0.2">
      <c r="A388" s="7" t="s">
        <v>1594</v>
      </c>
      <c r="C388" s="7">
        <f>ROUND(E388*G388,2)</f>
        <v>0</v>
      </c>
      <c r="E388" s="7">
        <v>1</v>
      </c>
      <c r="F388" s="9" t="s">
        <v>772</v>
      </c>
      <c r="G388" s="8">
        <f>SUM(H388:AP388)</f>
        <v>0</v>
      </c>
    </row>
    <row r="389" spans="1:7" x14ac:dyDescent="0.2">
      <c r="A389" s="7" t="s">
        <v>1600</v>
      </c>
      <c r="C389" s="7">
        <f>ROUND(E389*G389,2)</f>
        <v>0</v>
      </c>
      <c r="E389" s="7">
        <v>1</v>
      </c>
      <c r="F389" s="9" t="s">
        <v>772</v>
      </c>
      <c r="G389" s="8">
        <f>SUM(H389:AP389)</f>
        <v>0</v>
      </c>
    </row>
    <row r="390" spans="1:7" ht="13.5" thickBot="1" x14ac:dyDescent="0.25">
      <c r="G390" s="8">
        <f>SUM(H390:AG390)</f>
        <v>0</v>
      </c>
    </row>
    <row r="391" spans="1:7" ht="21" thickBot="1" x14ac:dyDescent="0.35">
      <c r="A391" s="284" t="s">
        <v>1599</v>
      </c>
      <c r="B391" s="285"/>
      <c r="C391" s="286"/>
      <c r="G391" s="8">
        <f>SUM(H391:AG391)</f>
        <v>0</v>
      </c>
    </row>
    <row r="392" spans="1:7" ht="15.75" x14ac:dyDescent="0.25">
      <c r="A392" s="27" t="s">
        <v>1583</v>
      </c>
      <c r="B392" s="28">
        <f>SUM(C394:C396)</f>
        <v>0</v>
      </c>
      <c r="C392" s="31" t="s">
        <v>772</v>
      </c>
      <c r="D392" s="31"/>
      <c r="G392" s="8">
        <f>SUM(H392:AG392)</f>
        <v>0</v>
      </c>
    </row>
    <row r="393" spans="1:7" ht="15.75" x14ac:dyDescent="0.25">
      <c r="A393" s="11"/>
      <c r="C393" s="10"/>
      <c r="D393" s="10"/>
      <c r="G393" s="8">
        <f>SUM(H393:AG393)</f>
        <v>0</v>
      </c>
    </row>
    <row r="394" spans="1:7" x14ac:dyDescent="0.2">
      <c r="A394" s="7" t="s">
        <v>1596</v>
      </c>
      <c r="C394" s="7">
        <f>ROUND(E394*G394,2)</f>
        <v>0</v>
      </c>
      <c r="E394" s="7">
        <v>1</v>
      </c>
      <c r="F394" s="9" t="s">
        <v>772</v>
      </c>
      <c r="G394" s="8">
        <f t="shared" ref="G394:G431" si="24">SUM(H394:AP394)</f>
        <v>0</v>
      </c>
    </row>
    <row r="395" spans="1:7" x14ac:dyDescent="0.2">
      <c r="A395" s="7" t="s">
        <v>1595</v>
      </c>
      <c r="C395" s="7">
        <f>ROUND(E395*G395,2)</f>
        <v>0</v>
      </c>
      <c r="E395" s="7">
        <v>1</v>
      </c>
      <c r="F395" s="9" t="s">
        <v>772</v>
      </c>
      <c r="G395" s="8">
        <f t="shared" si="24"/>
        <v>0</v>
      </c>
    </row>
    <row r="396" spans="1:7" x14ac:dyDescent="0.2">
      <c r="A396" s="7" t="s">
        <v>1594</v>
      </c>
      <c r="C396" s="7">
        <f>ROUND(E396*G396,2)</f>
        <v>0</v>
      </c>
      <c r="E396" s="7">
        <v>1</v>
      </c>
      <c r="F396" s="9" t="s">
        <v>772</v>
      </c>
      <c r="G396" s="8">
        <f t="shared" si="24"/>
        <v>0</v>
      </c>
    </row>
    <row r="397" spans="1:7" x14ac:dyDescent="0.2">
      <c r="G397" s="8">
        <f t="shared" si="24"/>
        <v>0</v>
      </c>
    </row>
    <row r="398" spans="1:7" ht="13.5" thickBot="1" x14ac:dyDescent="0.25">
      <c r="G398" s="8">
        <f t="shared" si="24"/>
        <v>0</v>
      </c>
    </row>
    <row r="399" spans="1:7" ht="21" thickBot="1" x14ac:dyDescent="0.35">
      <c r="A399" s="284" t="s">
        <v>1598</v>
      </c>
      <c r="B399" s="285"/>
      <c r="C399" s="286"/>
      <c r="G399" s="8">
        <f t="shared" si="24"/>
        <v>0</v>
      </c>
    </row>
    <row r="400" spans="1:7" ht="15.75" x14ac:dyDescent="0.25">
      <c r="A400" s="27" t="s">
        <v>1583</v>
      </c>
      <c r="B400" s="28">
        <f>SUM(C402:C404)</f>
        <v>0</v>
      </c>
      <c r="C400" s="31" t="s">
        <v>772</v>
      </c>
      <c r="D400" s="31"/>
      <c r="G400" s="8">
        <f t="shared" si="24"/>
        <v>0</v>
      </c>
    </row>
    <row r="401" spans="1:7" ht="15.75" x14ac:dyDescent="0.25">
      <c r="A401" s="11"/>
      <c r="C401" s="10"/>
      <c r="D401" s="10"/>
      <c r="G401" s="8">
        <f t="shared" si="24"/>
        <v>0</v>
      </c>
    </row>
    <row r="402" spans="1:7" x14ac:dyDescent="0.2">
      <c r="A402" s="7" t="s">
        <v>1596</v>
      </c>
      <c r="C402" s="7">
        <f>ROUND(E402*G402,2)</f>
        <v>0</v>
      </c>
      <c r="E402" s="7">
        <v>1</v>
      </c>
      <c r="F402" s="9" t="s">
        <v>772</v>
      </c>
      <c r="G402" s="8">
        <f t="shared" si="24"/>
        <v>0</v>
      </c>
    </row>
    <row r="403" spans="1:7" x14ac:dyDescent="0.2">
      <c r="A403" s="7" t="s">
        <v>1595</v>
      </c>
      <c r="C403" s="7">
        <f>ROUND(E403*G403,2)</f>
        <v>0</v>
      </c>
      <c r="E403" s="7">
        <v>1</v>
      </c>
      <c r="F403" s="9" t="s">
        <v>772</v>
      </c>
      <c r="G403" s="8">
        <f t="shared" si="24"/>
        <v>0</v>
      </c>
    </row>
    <row r="404" spans="1:7" x14ac:dyDescent="0.2">
      <c r="A404" s="7" t="s">
        <v>1594</v>
      </c>
      <c r="C404" s="7">
        <f>ROUND(E404*G404,2)</f>
        <v>0</v>
      </c>
      <c r="E404" s="7">
        <v>1</v>
      </c>
      <c r="F404" s="9" t="s">
        <v>772</v>
      </c>
      <c r="G404" s="8">
        <f t="shared" si="24"/>
        <v>0</v>
      </c>
    </row>
    <row r="405" spans="1:7" x14ac:dyDescent="0.2">
      <c r="G405" s="8">
        <f t="shared" si="24"/>
        <v>0</v>
      </c>
    </row>
    <row r="406" spans="1:7" ht="13.5" thickBot="1" x14ac:dyDescent="0.25">
      <c r="G406" s="8">
        <f t="shared" si="24"/>
        <v>0</v>
      </c>
    </row>
    <row r="407" spans="1:7" ht="21" thickBot="1" x14ac:dyDescent="0.35">
      <c r="A407" s="284" t="s">
        <v>1774</v>
      </c>
      <c r="B407" s="285"/>
      <c r="C407" s="286"/>
      <c r="G407" s="8">
        <f t="shared" si="24"/>
        <v>0</v>
      </c>
    </row>
    <row r="408" spans="1:7" ht="15.75" x14ac:dyDescent="0.25">
      <c r="A408" s="27" t="s">
        <v>1583</v>
      </c>
      <c r="B408" s="28">
        <f>SUM(C410:C412)</f>
        <v>0</v>
      </c>
      <c r="C408" s="31" t="s">
        <v>772</v>
      </c>
      <c r="D408" s="31"/>
      <c r="G408" s="8">
        <f t="shared" si="24"/>
        <v>0</v>
      </c>
    </row>
    <row r="409" spans="1:7" ht="15.75" x14ac:dyDescent="0.25">
      <c r="A409" s="11"/>
      <c r="C409" s="10"/>
      <c r="D409" s="10"/>
      <c r="G409" s="8">
        <f t="shared" si="24"/>
        <v>0</v>
      </c>
    </row>
    <row r="410" spans="1:7" x14ac:dyDescent="0.2">
      <c r="A410" s="7" t="s">
        <v>1773</v>
      </c>
      <c r="C410" s="7">
        <f>ROUND(E410*G410,2)</f>
        <v>0</v>
      </c>
      <c r="E410" s="7">
        <v>1</v>
      </c>
      <c r="F410" s="9" t="s">
        <v>772</v>
      </c>
      <c r="G410" s="8">
        <f t="shared" si="24"/>
        <v>0</v>
      </c>
    </row>
    <row r="411" spans="1:7" x14ac:dyDescent="0.2">
      <c r="A411" s="7" t="s">
        <v>1772</v>
      </c>
      <c r="C411" s="7">
        <f>ROUND(E411*G411,2)</f>
        <v>0</v>
      </c>
      <c r="E411" s="7">
        <v>1</v>
      </c>
      <c r="F411" s="9" t="s">
        <v>772</v>
      </c>
      <c r="G411" s="8">
        <f t="shared" si="24"/>
        <v>0</v>
      </c>
    </row>
    <row r="412" spans="1:7" x14ac:dyDescent="0.2">
      <c r="A412" s="7" t="s">
        <v>1594</v>
      </c>
      <c r="C412" s="7">
        <f>ROUND(E412*G412,2)</f>
        <v>0</v>
      </c>
      <c r="E412" s="7">
        <v>1</v>
      </c>
      <c r="F412" s="9" t="s">
        <v>772</v>
      </c>
      <c r="G412" s="8">
        <f t="shared" si="24"/>
        <v>0</v>
      </c>
    </row>
    <row r="413" spans="1:7" x14ac:dyDescent="0.2">
      <c r="G413" s="8">
        <f t="shared" si="24"/>
        <v>0</v>
      </c>
    </row>
    <row r="414" spans="1:7" x14ac:dyDescent="0.2">
      <c r="G414" s="8">
        <f t="shared" si="24"/>
        <v>0</v>
      </c>
    </row>
    <row r="415" spans="1:7" ht="13.5" thickBot="1" x14ac:dyDescent="0.25">
      <c r="G415" s="8">
        <f t="shared" si="24"/>
        <v>0</v>
      </c>
    </row>
    <row r="416" spans="1:7" ht="21" thickBot="1" x14ac:dyDescent="0.35">
      <c r="A416" s="14" t="s">
        <v>1597</v>
      </c>
      <c r="B416" s="13"/>
      <c r="C416" s="12"/>
      <c r="G416" s="8">
        <f t="shared" si="24"/>
        <v>0</v>
      </c>
    </row>
    <row r="417" spans="1:7" ht="15.75" x14ac:dyDescent="0.25">
      <c r="A417" s="27" t="s">
        <v>1583</v>
      </c>
      <c r="B417" s="28">
        <f>SUM(C419:C423)</f>
        <v>0</v>
      </c>
      <c r="C417" s="31" t="s">
        <v>772</v>
      </c>
      <c r="D417" s="31"/>
      <c r="G417" s="8">
        <f t="shared" si="24"/>
        <v>0</v>
      </c>
    </row>
    <row r="418" spans="1:7" ht="15.75" x14ac:dyDescent="0.25">
      <c r="A418" s="11"/>
      <c r="C418" s="10"/>
      <c r="D418" s="10"/>
      <c r="G418" s="8">
        <f t="shared" si="24"/>
        <v>0</v>
      </c>
    </row>
    <row r="419" spans="1:7" x14ac:dyDescent="0.2">
      <c r="A419" s="7" t="s">
        <v>1596</v>
      </c>
      <c r="C419" s="7">
        <f>ROUND(E419*G419,2)</f>
        <v>0</v>
      </c>
      <c r="E419" s="7">
        <v>1</v>
      </c>
      <c r="F419" s="9" t="s">
        <v>772</v>
      </c>
      <c r="G419" s="8">
        <f t="shared" si="24"/>
        <v>0</v>
      </c>
    </row>
    <row r="420" spans="1:7" x14ac:dyDescent="0.2">
      <c r="A420" s="7" t="s">
        <v>1595</v>
      </c>
      <c r="C420" s="7">
        <f>ROUND(E420*G420,2)</f>
        <v>0</v>
      </c>
      <c r="E420" s="7">
        <v>1</v>
      </c>
      <c r="F420" s="9" t="s">
        <v>772</v>
      </c>
      <c r="G420" s="8">
        <f t="shared" si="24"/>
        <v>0</v>
      </c>
    </row>
    <row r="421" spans="1:7" x14ac:dyDescent="0.2">
      <c r="A421" s="7" t="s">
        <v>1594</v>
      </c>
      <c r="C421" s="7">
        <f>ROUND(E421*G421,2)</f>
        <v>0</v>
      </c>
      <c r="E421" s="7">
        <v>1</v>
      </c>
      <c r="F421" s="9" t="s">
        <v>772</v>
      </c>
      <c r="G421" s="8">
        <f t="shared" si="24"/>
        <v>0</v>
      </c>
    </row>
    <row r="422" spans="1:7" x14ac:dyDescent="0.2">
      <c r="A422" s="7" t="s">
        <v>1593</v>
      </c>
      <c r="C422" s="7">
        <f>ROUND(E422*G422,2)</f>
        <v>0</v>
      </c>
      <c r="E422" s="7">
        <v>1</v>
      </c>
      <c r="F422" s="9" t="s">
        <v>772</v>
      </c>
      <c r="G422" s="8">
        <f t="shared" si="24"/>
        <v>0</v>
      </c>
    </row>
    <row r="423" spans="1:7" x14ac:dyDescent="0.2">
      <c r="G423" s="8">
        <f t="shared" si="24"/>
        <v>0</v>
      </c>
    </row>
    <row r="424" spans="1:7" x14ac:dyDescent="0.2">
      <c r="G424" s="8">
        <f t="shared" si="24"/>
        <v>0</v>
      </c>
    </row>
    <row r="425" spans="1:7" x14ac:dyDescent="0.2">
      <c r="G425" s="8">
        <f t="shared" si="24"/>
        <v>0</v>
      </c>
    </row>
    <row r="426" spans="1:7" x14ac:dyDescent="0.2">
      <c r="G426" s="8">
        <f t="shared" si="24"/>
        <v>0</v>
      </c>
    </row>
    <row r="427" spans="1:7" x14ac:dyDescent="0.2">
      <c r="G427" s="8">
        <f t="shared" si="24"/>
        <v>0</v>
      </c>
    </row>
    <row r="428" spans="1:7" ht="20.25" x14ac:dyDescent="0.3">
      <c r="A428" s="287" t="s">
        <v>228</v>
      </c>
      <c r="B428" s="288"/>
      <c r="C428" s="288"/>
      <c r="G428" s="8">
        <f t="shared" si="24"/>
        <v>0</v>
      </c>
    </row>
    <row r="429" spans="1:7" x14ac:dyDescent="0.2">
      <c r="G429" s="8">
        <f t="shared" si="24"/>
        <v>0</v>
      </c>
    </row>
    <row r="430" spans="1:7" x14ac:dyDescent="0.2">
      <c r="A430" s="8" t="s">
        <v>229</v>
      </c>
      <c r="B430" s="8">
        <f>SUM(G431:G432)</f>
        <v>0</v>
      </c>
      <c r="C430" s="8" t="s">
        <v>744</v>
      </c>
      <c r="D430" s="8"/>
      <c r="G430" s="8">
        <f t="shared" si="24"/>
        <v>0</v>
      </c>
    </row>
    <row r="431" spans="1:7" x14ac:dyDescent="0.2">
      <c r="A431" s="7" t="s">
        <v>1596</v>
      </c>
      <c r="F431" s="10" t="s">
        <v>744</v>
      </c>
      <c r="G431" s="8">
        <f t="shared" si="24"/>
        <v>0</v>
      </c>
    </row>
    <row r="432" spans="1:7" x14ac:dyDescent="0.2">
      <c r="A432" s="7" t="s">
        <v>1595</v>
      </c>
      <c r="F432" s="10" t="s">
        <v>744</v>
      </c>
      <c r="G432" s="8">
        <f t="shared" ref="G432:G488" si="25">SUM(H432:AP432)</f>
        <v>0</v>
      </c>
    </row>
    <row r="433" spans="1:7" x14ac:dyDescent="0.2">
      <c r="G433" s="8">
        <f t="shared" si="25"/>
        <v>0</v>
      </c>
    </row>
    <row r="434" spans="1:7" x14ac:dyDescent="0.2">
      <c r="A434" s="8" t="s">
        <v>230</v>
      </c>
      <c r="B434" s="8">
        <f>SUM(G435:G436)</f>
        <v>0</v>
      </c>
      <c r="C434" s="8" t="s">
        <v>744</v>
      </c>
      <c r="D434" s="8"/>
      <c r="G434" s="8">
        <f t="shared" si="25"/>
        <v>0</v>
      </c>
    </row>
    <row r="435" spans="1:7" x14ac:dyDescent="0.2">
      <c r="A435" s="7" t="s">
        <v>1596</v>
      </c>
      <c r="F435" s="10" t="s">
        <v>744</v>
      </c>
      <c r="G435" s="8">
        <f t="shared" si="25"/>
        <v>0</v>
      </c>
    </row>
    <row r="436" spans="1:7" x14ac:dyDescent="0.2">
      <c r="A436" s="7" t="s">
        <v>1595</v>
      </c>
      <c r="F436" s="10" t="s">
        <v>744</v>
      </c>
      <c r="G436" s="8">
        <f t="shared" si="25"/>
        <v>0</v>
      </c>
    </row>
    <row r="437" spans="1:7" x14ac:dyDescent="0.2">
      <c r="G437" s="8">
        <f t="shared" si="25"/>
        <v>0</v>
      </c>
    </row>
    <row r="438" spans="1:7" x14ac:dyDescent="0.2">
      <c r="A438" s="8" t="s">
        <v>231</v>
      </c>
      <c r="B438" s="8">
        <f>SUM(G439:G440)</f>
        <v>0</v>
      </c>
      <c r="C438" s="8" t="s">
        <v>744</v>
      </c>
      <c r="D438" s="8"/>
      <c r="G438" s="8">
        <f t="shared" si="25"/>
        <v>0</v>
      </c>
    </row>
    <row r="439" spans="1:7" x14ac:dyDescent="0.2">
      <c r="A439" s="7" t="s">
        <v>1596</v>
      </c>
      <c r="F439" s="10" t="s">
        <v>744</v>
      </c>
      <c r="G439" s="8">
        <f t="shared" si="25"/>
        <v>0</v>
      </c>
    </row>
    <row r="440" spans="1:7" x14ac:dyDescent="0.2">
      <c r="A440" s="7" t="s">
        <v>1595</v>
      </c>
      <c r="F440" s="10" t="s">
        <v>744</v>
      </c>
      <c r="G440" s="8">
        <f t="shared" si="25"/>
        <v>0</v>
      </c>
    </row>
    <row r="441" spans="1:7" x14ac:dyDescent="0.2">
      <c r="G441" s="8">
        <f t="shared" si="25"/>
        <v>0</v>
      </c>
    </row>
    <row r="442" spans="1:7" x14ac:dyDescent="0.2">
      <c r="A442" s="8" t="s">
        <v>232</v>
      </c>
      <c r="B442" s="8">
        <f>SUM(G443:G444)</f>
        <v>0</v>
      </c>
      <c r="C442" s="8" t="s">
        <v>744</v>
      </c>
      <c r="D442" s="8"/>
      <c r="G442" s="8">
        <f t="shared" si="25"/>
        <v>0</v>
      </c>
    </row>
    <row r="443" spans="1:7" x14ac:dyDescent="0.2">
      <c r="A443" s="7" t="s">
        <v>1596</v>
      </c>
      <c r="F443" s="10" t="s">
        <v>744</v>
      </c>
      <c r="G443" s="8">
        <f t="shared" si="25"/>
        <v>0</v>
      </c>
    </row>
    <row r="444" spans="1:7" x14ac:dyDescent="0.2">
      <c r="A444" s="7" t="s">
        <v>1595</v>
      </c>
      <c r="F444" s="10" t="s">
        <v>744</v>
      </c>
      <c r="G444" s="8">
        <f t="shared" si="25"/>
        <v>0</v>
      </c>
    </row>
    <row r="445" spans="1:7" x14ac:dyDescent="0.2">
      <c r="G445" s="8">
        <f t="shared" si="25"/>
        <v>0</v>
      </c>
    </row>
    <row r="446" spans="1:7" x14ac:dyDescent="0.2">
      <c r="A446" s="8" t="s">
        <v>233</v>
      </c>
      <c r="B446" s="8">
        <f>SUM(G447:G448)</f>
        <v>0</v>
      </c>
      <c r="C446" s="8" t="s">
        <v>744</v>
      </c>
      <c r="D446" s="8"/>
      <c r="G446" s="8">
        <f t="shared" si="25"/>
        <v>0</v>
      </c>
    </row>
    <row r="447" spans="1:7" x14ac:dyDescent="0.2">
      <c r="A447" s="7" t="s">
        <v>1596</v>
      </c>
      <c r="F447" s="10" t="s">
        <v>744</v>
      </c>
      <c r="G447" s="8">
        <f t="shared" si="25"/>
        <v>0</v>
      </c>
    </row>
    <row r="448" spans="1:7" x14ac:dyDescent="0.2">
      <c r="A448" s="7" t="s">
        <v>1595</v>
      </c>
      <c r="F448" s="10" t="s">
        <v>744</v>
      </c>
      <c r="G448" s="8">
        <f t="shared" si="25"/>
        <v>0</v>
      </c>
    </row>
    <row r="449" spans="1:24" x14ac:dyDescent="0.2">
      <c r="G449" s="8">
        <f t="shared" si="25"/>
        <v>0</v>
      </c>
    </row>
    <row r="450" spans="1:24" x14ac:dyDescent="0.2">
      <c r="A450" s="8" t="s">
        <v>1742</v>
      </c>
      <c r="B450" s="8">
        <f>SUM(G451:G452)</f>
        <v>0</v>
      </c>
      <c r="C450" s="8" t="s">
        <v>744</v>
      </c>
      <c r="D450" s="8"/>
      <c r="G450" s="8">
        <f t="shared" si="25"/>
        <v>0</v>
      </c>
    </row>
    <row r="451" spans="1:24" x14ac:dyDescent="0.2">
      <c r="A451" s="7" t="s">
        <v>1596</v>
      </c>
      <c r="F451" s="10" t="s">
        <v>744</v>
      </c>
      <c r="G451" s="8">
        <f t="shared" si="25"/>
        <v>0</v>
      </c>
    </row>
    <row r="452" spans="1:24" x14ac:dyDescent="0.2">
      <c r="A452" s="7" t="s">
        <v>1595</v>
      </c>
      <c r="F452" s="10" t="s">
        <v>744</v>
      </c>
      <c r="G452" s="8">
        <f t="shared" si="25"/>
        <v>0</v>
      </c>
    </row>
    <row r="453" spans="1:24" x14ac:dyDescent="0.2">
      <c r="G453" s="8">
        <f t="shared" si="25"/>
        <v>0</v>
      </c>
    </row>
    <row r="454" spans="1:24" x14ac:dyDescent="0.2">
      <c r="G454" s="8">
        <f t="shared" si="25"/>
        <v>0</v>
      </c>
    </row>
    <row r="455" spans="1:24" x14ac:dyDescent="0.2">
      <c r="G455" s="8">
        <f t="shared" si="25"/>
        <v>0</v>
      </c>
    </row>
    <row r="456" spans="1:24" x14ac:dyDescent="0.2">
      <c r="G456" s="8">
        <f t="shared" si="25"/>
        <v>0</v>
      </c>
    </row>
    <row r="457" spans="1:24" x14ac:dyDescent="0.2">
      <c r="G457" s="8">
        <f t="shared" si="25"/>
        <v>0</v>
      </c>
    </row>
    <row r="458" spans="1:24" x14ac:dyDescent="0.2">
      <c r="G458" s="8">
        <f t="shared" si="25"/>
        <v>0</v>
      </c>
    </row>
    <row r="459" spans="1:24" x14ac:dyDescent="0.2">
      <c r="G459" s="8">
        <f t="shared" si="25"/>
        <v>0</v>
      </c>
    </row>
    <row r="460" spans="1:24" x14ac:dyDescent="0.2">
      <c r="G460" s="8">
        <f t="shared" si="25"/>
        <v>0</v>
      </c>
    </row>
    <row r="461" spans="1:24" x14ac:dyDescent="0.2">
      <c r="G461" s="8">
        <f t="shared" si="25"/>
        <v>0</v>
      </c>
    </row>
    <row r="462" spans="1:24" x14ac:dyDescent="0.2">
      <c r="G462" s="8">
        <f t="shared" si="25"/>
        <v>0</v>
      </c>
    </row>
    <row r="463" spans="1:24" x14ac:dyDescent="0.2">
      <c r="A463" s="7" t="s">
        <v>2015</v>
      </c>
      <c r="D463" s="7">
        <f>+E463*F463*G463</f>
        <v>58.851449999999993</v>
      </c>
      <c r="E463" s="7">
        <f t="shared" ref="E463:E469" si="26">7.85*2</f>
        <v>15.7</v>
      </c>
      <c r="F463" s="7">
        <f>(0.125+0.05*2+0.015*2)</f>
        <v>0.255</v>
      </c>
      <c r="G463" s="8">
        <f t="shared" si="25"/>
        <v>14.7</v>
      </c>
      <c r="H463" s="7">
        <v>4.3</v>
      </c>
      <c r="I463" s="7">
        <v>4.3</v>
      </c>
      <c r="J463" s="7">
        <v>6.1</v>
      </c>
    </row>
    <row r="464" spans="1:24" x14ac:dyDescent="0.2">
      <c r="D464" s="7">
        <f>+E464*F464*G464</f>
        <v>326.08507499999996</v>
      </c>
      <c r="E464" s="7">
        <f t="shared" si="26"/>
        <v>15.7</v>
      </c>
      <c r="F464" s="7">
        <f>(0.125+0.05*2+0.015*2)</f>
        <v>0.255</v>
      </c>
      <c r="G464" s="8">
        <f>SUM(H464:AP464)</f>
        <v>81.449999999999989</v>
      </c>
      <c r="H464" s="7">
        <v>4.95</v>
      </c>
      <c r="I464" s="7">
        <v>4.95</v>
      </c>
      <c r="J464" s="7">
        <v>2.33</v>
      </c>
      <c r="K464" s="7">
        <v>4.75</v>
      </c>
      <c r="L464" s="7">
        <v>4.95</v>
      </c>
      <c r="M464" s="7">
        <v>3.79</v>
      </c>
      <c r="N464" s="7">
        <v>4.7</v>
      </c>
      <c r="O464" s="7">
        <v>8.84</v>
      </c>
      <c r="P464" s="7">
        <v>4.78</v>
      </c>
      <c r="Q464" s="7">
        <v>0.91</v>
      </c>
      <c r="R464" s="7">
        <v>2.88</v>
      </c>
      <c r="S464" s="7">
        <v>4.17</v>
      </c>
      <c r="T464" s="7">
        <v>5.9</v>
      </c>
      <c r="U464" s="7">
        <v>4.9000000000000004</v>
      </c>
      <c r="V464" s="7">
        <v>8.77</v>
      </c>
      <c r="W464" s="7">
        <v>5.0999999999999996</v>
      </c>
      <c r="X464" s="7">
        <v>4.78</v>
      </c>
    </row>
    <row r="465" spans="1:19" x14ac:dyDescent="0.2">
      <c r="A465" s="7" t="s">
        <v>2016</v>
      </c>
      <c r="D465" s="7">
        <f>+E465*F465*G465</f>
        <v>12.56</v>
      </c>
      <c r="E465" s="7">
        <f t="shared" si="26"/>
        <v>15.7</v>
      </c>
      <c r="F465" s="7">
        <f>0.1*4</f>
        <v>0.4</v>
      </c>
      <c r="G465" s="8">
        <f t="shared" si="25"/>
        <v>2</v>
      </c>
      <c r="H465" s="7">
        <f>2*1</f>
        <v>2</v>
      </c>
    </row>
    <row r="466" spans="1:19" x14ac:dyDescent="0.2">
      <c r="A466" s="7" t="s">
        <v>2017</v>
      </c>
      <c r="D466" s="7">
        <f>+E466*F466*G466</f>
        <v>204.29624999999999</v>
      </c>
      <c r="E466" s="7">
        <f>7.85*2</f>
        <v>15.7</v>
      </c>
      <c r="F466" s="7">
        <f>(0.15+0.05*2)</f>
        <v>0.25</v>
      </c>
      <c r="G466" s="8">
        <f t="shared" si="25"/>
        <v>52.05</v>
      </c>
      <c r="H466" s="7">
        <v>0.6</v>
      </c>
      <c r="I466" s="7">
        <v>1.2</v>
      </c>
      <c r="J466" s="7">
        <v>2.8</v>
      </c>
      <c r="K466" s="7">
        <v>4.5</v>
      </c>
      <c r="L466" s="7">
        <v>0.6</v>
      </c>
      <c r="M466" s="7">
        <v>1.2</v>
      </c>
      <c r="N466" s="7">
        <v>2.8</v>
      </c>
      <c r="O466" s="7">
        <v>4.5</v>
      </c>
      <c r="P466" s="7">
        <v>3.85</v>
      </c>
      <c r="Q466" s="7">
        <v>7.35</v>
      </c>
      <c r="R466" s="7">
        <v>10.15</v>
      </c>
      <c r="S466" s="7">
        <v>12.5</v>
      </c>
    </row>
    <row r="467" spans="1:19" x14ac:dyDescent="0.2">
      <c r="D467" s="7">
        <f>181.6*3</f>
        <v>544.79999999999995</v>
      </c>
      <c r="E467" s="7">
        <f>7.85*2</f>
        <v>15.7</v>
      </c>
      <c r="F467" s="7">
        <f>(0.15+0.05*2)</f>
        <v>0.25</v>
      </c>
      <c r="G467" s="8">
        <f t="shared" si="25"/>
        <v>0</v>
      </c>
    </row>
    <row r="468" spans="1:19" x14ac:dyDescent="0.2">
      <c r="G468" s="8">
        <f t="shared" si="25"/>
        <v>0</v>
      </c>
    </row>
    <row r="469" spans="1:19" x14ac:dyDescent="0.2">
      <c r="A469" s="7" t="s">
        <v>2018</v>
      </c>
      <c r="D469" s="7">
        <f>+E469*F469*G469</f>
        <v>88.557419999999979</v>
      </c>
      <c r="E469" s="7">
        <f t="shared" si="26"/>
        <v>15.7</v>
      </c>
      <c r="F469" s="7">
        <f>(0.125+0.05*2+0.015*2)</f>
        <v>0.255</v>
      </c>
      <c r="G469" s="8">
        <f>SUM(H469:AP469)</f>
        <v>22.119999999999997</v>
      </c>
      <c r="H469" s="7">
        <v>5.3</v>
      </c>
      <c r="I469" s="7">
        <v>5.3</v>
      </c>
      <c r="J469" s="7">
        <v>5.3</v>
      </c>
      <c r="K469" s="7">
        <v>6.22</v>
      </c>
    </row>
    <row r="470" spans="1:19" x14ac:dyDescent="0.2">
      <c r="D470" s="7">
        <f>+E470*F470*G470</f>
        <v>146.01</v>
      </c>
      <c r="E470" s="7">
        <f>7.85*2</f>
        <v>15.7</v>
      </c>
      <c r="F470" s="7">
        <f>(0.15+0.05*2)</f>
        <v>0.25</v>
      </c>
      <c r="G470" s="8">
        <f>SUM(H470:AP470)</f>
        <v>37.200000000000003</v>
      </c>
      <c r="H470" s="7">
        <v>6.2</v>
      </c>
      <c r="I470" s="7">
        <v>6.2</v>
      </c>
      <c r="J470" s="7">
        <v>6.2</v>
      </c>
      <c r="K470" s="7">
        <v>6.2</v>
      </c>
      <c r="L470" s="7">
        <v>6.2</v>
      </c>
      <c r="M470" s="7">
        <v>6.2</v>
      </c>
    </row>
    <row r="471" spans="1:19" x14ac:dyDescent="0.2">
      <c r="G471" s="8">
        <f t="shared" si="25"/>
        <v>0</v>
      </c>
    </row>
    <row r="472" spans="1:19" x14ac:dyDescent="0.2">
      <c r="G472" s="8">
        <f t="shared" si="25"/>
        <v>0</v>
      </c>
    </row>
    <row r="473" spans="1:19" x14ac:dyDescent="0.2">
      <c r="G473" s="8">
        <f t="shared" si="25"/>
        <v>0</v>
      </c>
    </row>
    <row r="474" spans="1:19" x14ac:dyDescent="0.2">
      <c r="G474" s="8">
        <f t="shared" si="25"/>
        <v>0</v>
      </c>
    </row>
    <row r="475" spans="1:19" x14ac:dyDescent="0.2">
      <c r="G475" s="8">
        <f t="shared" si="25"/>
        <v>0</v>
      </c>
    </row>
    <row r="476" spans="1:19" x14ac:dyDescent="0.2">
      <c r="G476" s="8">
        <f t="shared" si="25"/>
        <v>0</v>
      </c>
    </row>
    <row r="477" spans="1:19" x14ac:dyDescent="0.2">
      <c r="G477" s="8">
        <f t="shared" si="25"/>
        <v>0</v>
      </c>
    </row>
    <row r="478" spans="1:19" x14ac:dyDescent="0.2">
      <c r="G478" s="8">
        <f t="shared" si="25"/>
        <v>0</v>
      </c>
    </row>
    <row r="479" spans="1:19" x14ac:dyDescent="0.2">
      <c r="G479" s="8">
        <f t="shared" si="25"/>
        <v>0</v>
      </c>
    </row>
    <row r="480" spans="1:19" x14ac:dyDescent="0.2">
      <c r="G480" s="8">
        <f t="shared" si="25"/>
        <v>0</v>
      </c>
    </row>
    <row r="481" spans="6:7" x14ac:dyDescent="0.2">
      <c r="G481" s="8">
        <f t="shared" si="25"/>
        <v>0</v>
      </c>
    </row>
    <row r="482" spans="6:7" x14ac:dyDescent="0.2">
      <c r="G482" s="8">
        <f t="shared" si="25"/>
        <v>0</v>
      </c>
    </row>
    <row r="483" spans="6:7" x14ac:dyDescent="0.2">
      <c r="G483" s="8">
        <f t="shared" si="25"/>
        <v>0</v>
      </c>
    </row>
    <row r="484" spans="6:7" x14ac:dyDescent="0.2">
      <c r="G484" s="8">
        <f t="shared" si="25"/>
        <v>0</v>
      </c>
    </row>
    <row r="485" spans="6:7" x14ac:dyDescent="0.2">
      <c r="G485" s="8">
        <f t="shared" si="25"/>
        <v>0</v>
      </c>
    </row>
    <row r="486" spans="6:7" x14ac:dyDescent="0.2">
      <c r="G486" s="8">
        <f t="shared" si="25"/>
        <v>0</v>
      </c>
    </row>
    <row r="487" spans="6:7" x14ac:dyDescent="0.2">
      <c r="G487" s="8">
        <f t="shared" si="25"/>
        <v>0</v>
      </c>
    </row>
    <row r="488" spans="6:7" x14ac:dyDescent="0.2">
      <c r="G488" s="8">
        <f t="shared" si="25"/>
        <v>0</v>
      </c>
    </row>
    <row r="489" spans="6:7" x14ac:dyDescent="0.2">
      <c r="G489" s="8">
        <f t="shared" ref="G489:G496" si="27">SUM(H489:AP489)</f>
        <v>0</v>
      </c>
    </row>
    <row r="490" spans="6:7" x14ac:dyDescent="0.2">
      <c r="G490" s="8">
        <f t="shared" si="27"/>
        <v>0</v>
      </c>
    </row>
    <row r="491" spans="6:7" x14ac:dyDescent="0.2">
      <c r="G491" s="8">
        <f t="shared" si="27"/>
        <v>0</v>
      </c>
    </row>
    <row r="492" spans="6:7" x14ac:dyDescent="0.2">
      <c r="F492" s="9"/>
      <c r="G492" s="8">
        <f t="shared" si="27"/>
        <v>0</v>
      </c>
    </row>
    <row r="493" spans="6:7" x14ac:dyDescent="0.2">
      <c r="F493" s="9"/>
      <c r="G493" s="8">
        <f>SUM(H493:AP493)</f>
        <v>0</v>
      </c>
    </row>
    <row r="494" spans="6:7" x14ac:dyDescent="0.2">
      <c r="F494" s="9"/>
      <c r="G494" s="8">
        <f>SUM(H494:AP494)</f>
        <v>0</v>
      </c>
    </row>
    <row r="495" spans="6:7" x14ac:dyDescent="0.2">
      <c r="F495" s="9"/>
      <c r="G495" s="8">
        <f>SUM(H495:AP495)</f>
        <v>0</v>
      </c>
    </row>
    <row r="496" spans="6:7" x14ac:dyDescent="0.2">
      <c r="G496" s="8">
        <f t="shared" si="27"/>
        <v>0</v>
      </c>
    </row>
    <row r="497" spans="6:7" x14ac:dyDescent="0.2">
      <c r="G497" s="8">
        <f>SUM(H497:AG497)</f>
        <v>0</v>
      </c>
    </row>
    <row r="498" spans="6:7" x14ac:dyDescent="0.2">
      <c r="F498" s="9"/>
      <c r="G498" s="8">
        <f>SUM(H498:AP498)</f>
        <v>0</v>
      </c>
    </row>
    <row r="499" spans="6:7" x14ac:dyDescent="0.2">
      <c r="G499" s="8">
        <f>SUM(H499:AG499)</f>
        <v>0</v>
      </c>
    </row>
    <row r="500" spans="6:7" x14ac:dyDescent="0.2">
      <c r="G500" s="8">
        <f>SUM(H500:AG500)</f>
        <v>0</v>
      </c>
    </row>
    <row r="501" spans="6:7" x14ac:dyDescent="0.2">
      <c r="F501" s="10"/>
      <c r="G501" s="8">
        <f>SUM(H501:AP501)</f>
        <v>0</v>
      </c>
    </row>
    <row r="502" spans="6:7" x14ac:dyDescent="0.2">
      <c r="G502" s="8">
        <f t="shared" ref="G502:G519" si="28">SUM(H502:AG502)</f>
        <v>0</v>
      </c>
    </row>
    <row r="503" spans="6:7" x14ac:dyDescent="0.2">
      <c r="G503" s="8">
        <f t="shared" si="28"/>
        <v>0</v>
      </c>
    </row>
    <row r="504" spans="6:7" x14ac:dyDescent="0.2">
      <c r="G504" s="8">
        <f t="shared" si="28"/>
        <v>0</v>
      </c>
    </row>
    <row r="505" spans="6:7" x14ac:dyDescent="0.2">
      <c r="G505" s="8">
        <f t="shared" si="28"/>
        <v>0</v>
      </c>
    </row>
    <row r="506" spans="6:7" x14ac:dyDescent="0.2">
      <c r="G506" s="8">
        <f t="shared" si="28"/>
        <v>0</v>
      </c>
    </row>
    <row r="507" spans="6:7" x14ac:dyDescent="0.2">
      <c r="G507" s="8">
        <f t="shared" si="28"/>
        <v>0</v>
      </c>
    </row>
    <row r="508" spans="6:7" x14ac:dyDescent="0.2">
      <c r="G508" s="8">
        <f t="shared" si="28"/>
        <v>0</v>
      </c>
    </row>
    <row r="509" spans="6:7" x14ac:dyDescent="0.2">
      <c r="G509" s="8">
        <f t="shared" si="28"/>
        <v>0</v>
      </c>
    </row>
    <row r="510" spans="6:7" x14ac:dyDescent="0.2">
      <c r="G510" s="8">
        <f t="shared" si="28"/>
        <v>0</v>
      </c>
    </row>
    <row r="511" spans="6:7" x14ac:dyDescent="0.2">
      <c r="G511" s="8">
        <f t="shared" si="28"/>
        <v>0</v>
      </c>
    </row>
    <row r="512" spans="6:7" x14ac:dyDescent="0.2">
      <c r="G512" s="8">
        <f t="shared" si="28"/>
        <v>0</v>
      </c>
    </row>
    <row r="513" spans="7:7" x14ac:dyDescent="0.2">
      <c r="G513" s="8">
        <f t="shared" si="28"/>
        <v>0</v>
      </c>
    </row>
    <row r="514" spans="7:7" x14ac:dyDescent="0.2">
      <c r="G514" s="8">
        <f>SUM(H514:AG514)</f>
        <v>0</v>
      </c>
    </row>
    <row r="515" spans="7:7" x14ac:dyDescent="0.2">
      <c r="G515" s="8">
        <f t="shared" si="28"/>
        <v>0</v>
      </c>
    </row>
    <row r="516" spans="7:7" x14ac:dyDescent="0.2">
      <c r="G516" s="8">
        <f t="shared" si="28"/>
        <v>0</v>
      </c>
    </row>
    <row r="517" spans="7:7" x14ac:dyDescent="0.2">
      <c r="G517" s="8">
        <f t="shared" si="28"/>
        <v>0</v>
      </c>
    </row>
    <row r="518" spans="7:7" x14ac:dyDescent="0.2">
      <c r="G518" s="8">
        <f t="shared" si="28"/>
        <v>0</v>
      </c>
    </row>
    <row r="519" spans="7:7" x14ac:dyDescent="0.2">
      <c r="G519" s="8">
        <f t="shared" si="28"/>
        <v>0</v>
      </c>
    </row>
    <row r="520" spans="7:7" x14ac:dyDescent="0.2">
      <c r="G520" s="8">
        <f t="shared" ref="G520:G588" si="29">SUM(H520:AG520)</f>
        <v>0</v>
      </c>
    </row>
    <row r="521" spans="7:7" x14ac:dyDescent="0.2">
      <c r="G521" s="8">
        <f t="shared" si="29"/>
        <v>0</v>
      </c>
    </row>
    <row r="522" spans="7:7" x14ac:dyDescent="0.2">
      <c r="G522" s="8">
        <f t="shared" si="29"/>
        <v>0</v>
      </c>
    </row>
    <row r="523" spans="7:7" x14ac:dyDescent="0.2">
      <c r="G523" s="8">
        <f t="shared" si="29"/>
        <v>0</v>
      </c>
    </row>
    <row r="524" spans="7:7" x14ac:dyDescent="0.2">
      <c r="G524" s="8">
        <f t="shared" si="29"/>
        <v>0</v>
      </c>
    </row>
    <row r="525" spans="7:7" x14ac:dyDescent="0.2">
      <c r="G525" s="8">
        <f t="shared" si="29"/>
        <v>0</v>
      </c>
    </row>
    <row r="526" spans="7:7" x14ac:dyDescent="0.2">
      <c r="G526" s="8">
        <f t="shared" si="29"/>
        <v>0</v>
      </c>
    </row>
    <row r="527" spans="7:7" x14ac:dyDescent="0.2">
      <c r="G527" s="8">
        <f t="shared" si="29"/>
        <v>0</v>
      </c>
    </row>
    <row r="528" spans="7:7" x14ac:dyDescent="0.2">
      <c r="G528" s="8">
        <f t="shared" si="29"/>
        <v>0</v>
      </c>
    </row>
    <row r="529" spans="7:7" x14ac:dyDescent="0.2">
      <c r="G529" s="8">
        <f t="shared" si="29"/>
        <v>0</v>
      </c>
    </row>
    <row r="530" spans="7:7" x14ac:dyDescent="0.2">
      <c r="G530" s="8">
        <f t="shared" si="29"/>
        <v>0</v>
      </c>
    </row>
    <row r="531" spans="7:7" x14ac:dyDescent="0.2">
      <c r="G531" s="8">
        <f t="shared" si="29"/>
        <v>0</v>
      </c>
    </row>
    <row r="532" spans="7:7" x14ac:dyDescent="0.2">
      <c r="G532" s="8">
        <f t="shared" si="29"/>
        <v>0</v>
      </c>
    </row>
    <row r="533" spans="7:7" x14ac:dyDescent="0.2">
      <c r="G533" s="8">
        <f t="shared" si="29"/>
        <v>0</v>
      </c>
    </row>
    <row r="534" spans="7:7" x14ac:dyDescent="0.2">
      <c r="G534" s="8">
        <f t="shared" si="29"/>
        <v>0</v>
      </c>
    </row>
    <row r="535" spans="7:7" x14ac:dyDescent="0.2">
      <c r="G535" s="8">
        <f t="shared" si="29"/>
        <v>0</v>
      </c>
    </row>
    <row r="536" spans="7:7" x14ac:dyDescent="0.2">
      <c r="G536" s="8">
        <f t="shared" si="29"/>
        <v>0</v>
      </c>
    </row>
    <row r="537" spans="7:7" x14ac:dyDescent="0.2">
      <c r="G537" s="8">
        <f t="shared" si="29"/>
        <v>0</v>
      </c>
    </row>
    <row r="538" spans="7:7" x14ac:dyDescent="0.2">
      <c r="G538" s="8">
        <f t="shared" si="29"/>
        <v>0</v>
      </c>
    </row>
    <row r="539" spans="7:7" x14ac:dyDescent="0.2">
      <c r="G539" s="8">
        <f t="shared" si="29"/>
        <v>0</v>
      </c>
    </row>
    <row r="540" spans="7:7" x14ac:dyDescent="0.2">
      <c r="G540" s="8">
        <f t="shared" si="29"/>
        <v>0</v>
      </c>
    </row>
    <row r="541" spans="7:7" x14ac:dyDescent="0.2">
      <c r="G541" s="8">
        <f t="shared" si="29"/>
        <v>0</v>
      </c>
    </row>
    <row r="542" spans="7:7" x14ac:dyDescent="0.2">
      <c r="G542" s="8">
        <f t="shared" si="29"/>
        <v>0</v>
      </c>
    </row>
    <row r="543" spans="7:7" x14ac:dyDescent="0.2">
      <c r="G543" s="8">
        <f t="shared" si="29"/>
        <v>0</v>
      </c>
    </row>
    <row r="544" spans="7:7" x14ac:dyDescent="0.2">
      <c r="G544" s="8">
        <f t="shared" si="29"/>
        <v>0</v>
      </c>
    </row>
    <row r="545" spans="7:7" x14ac:dyDescent="0.2">
      <c r="G545" s="8">
        <f t="shared" si="29"/>
        <v>0</v>
      </c>
    </row>
    <row r="546" spans="7:7" x14ac:dyDescent="0.2">
      <c r="G546" s="8">
        <f t="shared" si="29"/>
        <v>0</v>
      </c>
    </row>
    <row r="547" spans="7:7" x14ac:dyDescent="0.2">
      <c r="G547" s="8">
        <f t="shared" si="29"/>
        <v>0</v>
      </c>
    </row>
    <row r="548" spans="7:7" x14ac:dyDescent="0.2">
      <c r="G548" s="8">
        <f t="shared" si="29"/>
        <v>0</v>
      </c>
    </row>
    <row r="549" spans="7:7" x14ac:dyDescent="0.2">
      <c r="G549" s="8">
        <f t="shared" si="29"/>
        <v>0</v>
      </c>
    </row>
    <row r="550" spans="7:7" x14ac:dyDescent="0.2">
      <c r="G550" s="8">
        <f t="shared" si="29"/>
        <v>0</v>
      </c>
    </row>
    <row r="551" spans="7:7" x14ac:dyDescent="0.2">
      <c r="G551" s="8">
        <f t="shared" si="29"/>
        <v>0</v>
      </c>
    </row>
    <row r="552" spans="7:7" x14ac:dyDescent="0.2">
      <c r="G552" s="8">
        <f t="shared" si="29"/>
        <v>0</v>
      </c>
    </row>
    <row r="553" spans="7:7" x14ac:dyDescent="0.2">
      <c r="G553" s="8">
        <f t="shared" si="29"/>
        <v>0</v>
      </c>
    </row>
    <row r="554" spans="7:7" x14ac:dyDescent="0.2">
      <c r="G554" s="8">
        <f t="shared" si="29"/>
        <v>0</v>
      </c>
    </row>
    <row r="555" spans="7:7" x14ac:dyDescent="0.2">
      <c r="G555" s="8">
        <f t="shared" si="29"/>
        <v>0</v>
      </c>
    </row>
    <row r="556" spans="7:7" x14ac:dyDescent="0.2">
      <c r="G556" s="8">
        <f t="shared" si="29"/>
        <v>0</v>
      </c>
    </row>
    <row r="557" spans="7:7" x14ac:dyDescent="0.2">
      <c r="G557" s="8">
        <f t="shared" si="29"/>
        <v>0</v>
      </c>
    </row>
    <row r="558" spans="7:7" x14ac:dyDescent="0.2">
      <c r="G558" s="8">
        <f t="shared" si="29"/>
        <v>0</v>
      </c>
    </row>
    <row r="559" spans="7:7" x14ac:dyDescent="0.2">
      <c r="G559" s="8">
        <f t="shared" si="29"/>
        <v>0</v>
      </c>
    </row>
    <row r="560" spans="7:7" x14ac:dyDescent="0.2">
      <c r="G560" s="8">
        <f t="shared" si="29"/>
        <v>0</v>
      </c>
    </row>
    <row r="561" spans="7:7" x14ac:dyDescent="0.2">
      <c r="G561" s="8">
        <f t="shared" si="29"/>
        <v>0</v>
      </c>
    </row>
    <row r="562" spans="7:7" x14ac:dyDescent="0.2">
      <c r="G562" s="8">
        <f t="shared" si="29"/>
        <v>0</v>
      </c>
    </row>
    <row r="563" spans="7:7" x14ac:dyDescent="0.2">
      <c r="G563" s="8">
        <f t="shared" si="29"/>
        <v>0</v>
      </c>
    </row>
    <row r="564" spans="7:7" x14ac:dyDescent="0.2">
      <c r="G564" s="8">
        <f t="shared" si="29"/>
        <v>0</v>
      </c>
    </row>
    <row r="565" spans="7:7" x14ac:dyDescent="0.2">
      <c r="G565" s="8">
        <f t="shared" si="29"/>
        <v>0</v>
      </c>
    </row>
    <row r="566" spans="7:7" x14ac:dyDescent="0.2">
      <c r="G566" s="8">
        <f t="shared" si="29"/>
        <v>0</v>
      </c>
    </row>
    <row r="567" spans="7:7" x14ac:dyDescent="0.2">
      <c r="G567" s="8">
        <f t="shared" si="29"/>
        <v>0</v>
      </c>
    </row>
    <row r="568" spans="7:7" x14ac:dyDescent="0.2">
      <c r="G568" s="8">
        <f t="shared" si="29"/>
        <v>0</v>
      </c>
    </row>
    <row r="569" spans="7:7" x14ac:dyDescent="0.2">
      <c r="G569" s="8">
        <f t="shared" si="29"/>
        <v>0</v>
      </c>
    </row>
    <row r="570" spans="7:7" x14ac:dyDescent="0.2">
      <c r="G570" s="8">
        <f t="shared" si="29"/>
        <v>0</v>
      </c>
    </row>
    <row r="571" spans="7:7" x14ac:dyDescent="0.2">
      <c r="G571" s="8">
        <f t="shared" si="29"/>
        <v>0</v>
      </c>
    </row>
    <row r="572" spans="7:7" x14ac:dyDescent="0.2">
      <c r="G572" s="8">
        <f>SUM(H572:AG572)</f>
        <v>0</v>
      </c>
    </row>
    <row r="573" spans="7:7" x14ac:dyDescent="0.2">
      <c r="G573" s="8">
        <f t="shared" si="29"/>
        <v>0</v>
      </c>
    </row>
    <row r="574" spans="7:7" x14ac:dyDescent="0.2">
      <c r="G574" s="8">
        <f t="shared" si="29"/>
        <v>0</v>
      </c>
    </row>
    <row r="575" spans="7:7" x14ac:dyDescent="0.2">
      <c r="G575" s="8">
        <f t="shared" si="29"/>
        <v>0</v>
      </c>
    </row>
    <row r="576" spans="7:7" x14ac:dyDescent="0.2">
      <c r="G576" s="8">
        <f t="shared" si="29"/>
        <v>0</v>
      </c>
    </row>
    <row r="577" spans="7:7" x14ac:dyDescent="0.2">
      <c r="G577" s="8">
        <f t="shared" si="29"/>
        <v>0</v>
      </c>
    </row>
    <row r="578" spans="7:7" x14ac:dyDescent="0.2">
      <c r="G578" s="8">
        <f t="shared" si="29"/>
        <v>0</v>
      </c>
    </row>
    <row r="579" spans="7:7" x14ac:dyDescent="0.2">
      <c r="G579" s="8">
        <f t="shared" si="29"/>
        <v>0</v>
      </c>
    </row>
    <row r="580" spans="7:7" x14ac:dyDescent="0.2">
      <c r="G580" s="8">
        <f t="shared" si="29"/>
        <v>0</v>
      </c>
    </row>
    <row r="581" spans="7:7" x14ac:dyDescent="0.2">
      <c r="G581" s="8">
        <f t="shared" si="29"/>
        <v>0</v>
      </c>
    </row>
    <row r="582" spans="7:7" x14ac:dyDescent="0.2">
      <c r="G582" s="8">
        <f t="shared" si="29"/>
        <v>0</v>
      </c>
    </row>
    <row r="583" spans="7:7" x14ac:dyDescent="0.2">
      <c r="G583" s="7"/>
    </row>
    <row r="585" spans="7:7" x14ac:dyDescent="0.2">
      <c r="G585" s="8">
        <f>SUM(H585:AG585)</f>
        <v>0</v>
      </c>
    </row>
    <row r="588" spans="7:7" x14ac:dyDescent="0.2">
      <c r="G588" s="8">
        <f t="shared" si="29"/>
        <v>0</v>
      </c>
    </row>
    <row r="589" spans="7:7" x14ac:dyDescent="0.2">
      <c r="G589" s="8">
        <f t="shared" ref="G589:G652" si="30">SUM(H589:AG589)</f>
        <v>0</v>
      </c>
    </row>
    <row r="590" spans="7:7" x14ac:dyDescent="0.2">
      <c r="G590" s="8">
        <f>SUM(H590:AG590)</f>
        <v>0</v>
      </c>
    </row>
    <row r="591" spans="7:7" x14ac:dyDescent="0.2">
      <c r="G591" s="8">
        <f t="shared" si="30"/>
        <v>0</v>
      </c>
    </row>
    <row r="592" spans="7:7" x14ac:dyDescent="0.2">
      <c r="G592" s="8">
        <f t="shared" si="30"/>
        <v>0</v>
      </c>
    </row>
    <row r="593" spans="7:7" x14ac:dyDescent="0.2">
      <c r="G593" s="8">
        <f t="shared" si="30"/>
        <v>0</v>
      </c>
    </row>
    <row r="594" spans="7:7" x14ac:dyDescent="0.2">
      <c r="G594" s="8">
        <f t="shared" si="30"/>
        <v>0</v>
      </c>
    </row>
    <row r="595" spans="7:7" x14ac:dyDescent="0.2">
      <c r="G595" s="8">
        <f t="shared" si="30"/>
        <v>0</v>
      </c>
    </row>
    <row r="596" spans="7:7" x14ac:dyDescent="0.2">
      <c r="G596" s="8">
        <f t="shared" si="30"/>
        <v>0</v>
      </c>
    </row>
    <row r="597" spans="7:7" x14ac:dyDescent="0.2">
      <c r="G597" s="8">
        <f t="shared" si="30"/>
        <v>0</v>
      </c>
    </row>
    <row r="598" spans="7:7" x14ac:dyDescent="0.2">
      <c r="G598" s="8">
        <f t="shared" si="30"/>
        <v>0</v>
      </c>
    </row>
    <row r="599" spans="7:7" x14ac:dyDescent="0.2">
      <c r="G599" s="8">
        <f t="shared" si="30"/>
        <v>0</v>
      </c>
    </row>
    <row r="600" spans="7:7" x14ac:dyDescent="0.2">
      <c r="G600" s="8">
        <f t="shared" si="30"/>
        <v>0</v>
      </c>
    </row>
    <row r="601" spans="7:7" x14ac:dyDescent="0.2">
      <c r="G601" s="8">
        <f t="shared" si="30"/>
        <v>0</v>
      </c>
    </row>
    <row r="602" spans="7:7" x14ac:dyDescent="0.2">
      <c r="G602" s="8">
        <f t="shared" si="30"/>
        <v>0</v>
      </c>
    </row>
    <row r="603" spans="7:7" x14ac:dyDescent="0.2">
      <c r="G603" s="8">
        <f t="shared" si="30"/>
        <v>0</v>
      </c>
    </row>
    <row r="604" spans="7:7" x14ac:dyDescent="0.2">
      <c r="G604" s="8">
        <f t="shared" si="30"/>
        <v>0</v>
      </c>
    </row>
    <row r="605" spans="7:7" x14ac:dyDescent="0.2">
      <c r="G605" s="8">
        <f t="shared" si="30"/>
        <v>0</v>
      </c>
    </row>
    <row r="606" spans="7:7" x14ac:dyDescent="0.2">
      <c r="G606" s="8">
        <f t="shared" si="30"/>
        <v>0</v>
      </c>
    </row>
    <row r="607" spans="7:7" x14ac:dyDescent="0.2">
      <c r="G607" s="8">
        <f t="shared" si="30"/>
        <v>0</v>
      </c>
    </row>
    <row r="608" spans="7:7" x14ac:dyDescent="0.2">
      <c r="G608" s="8">
        <f t="shared" si="30"/>
        <v>0</v>
      </c>
    </row>
    <row r="609" spans="1:7" x14ac:dyDescent="0.2">
      <c r="G609" s="8">
        <f t="shared" si="30"/>
        <v>0</v>
      </c>
    </row>
    <row r="610" spans="1:7" x14ac:dyDescent="0.2">
      <c r="G610" s="8">
        <f t="shared" si="30"/>
        <v>0</v>
      </c>
    </row>
    <row r="611" spans="1:7" x14ac:dyDescent="0.2">
      <c r="G611" s="8">
        <f t="shared" si="30"/>
        <v>0</v>
      </c>
    </row>
    <row r="612" spans="1:7" x14ac:dyDescent="0.2">
      <c r="G612" s="8">
        <f t="shared" si="30"/>
        <v>0</v>
      </c>
    </row>
    <row r="613" spans="1:7" x14ac:dyDescent="0.2">
      <c r="G613" s="8">
        <f t="shared" si="30"/>
        <v>0</v>
      </c>
    </row>
    <row r="614" spans="1:7" x14ac:dyDescent="0.2">
      <c r="G614" s="8">
        <f t="shared" si="30"/>
        <v>0</v>
      </c>
    </row>
    <row r="615" spans="1:7" x14ac:dyDescent="0.2">
      <c r="G615" s="8">
        <f t="shared" si="30"/>
        <v>0</v>
      </c>
    </row>
    <row r="616" spans="1:7" x14ac:dyDescent="0.2">
      <c r="G616" s="8">
        <f t="shared" si="30"/>
        <v>0</v>
      </c>
    </row>
    <row r="617" spans="1:7" x14ac:dyDescent="0.2">
      <c r="G617" s="8">
        <f t="shared" si="30"/>
        <v>0</v>
      </c>
    </row>
    <row r="618" spans="1:7" x14ac:dyDescent="0.2">
      <c r="G618" s="8">
        <f t="shared" si="30"/>
        <v>0</v>
      </c>
    </row>
    <row r="619" spans="1:7" x14ac:dyDescent="0.2">
      <c r="G619" s="8">
        <f t="shared" si="30"/>
        <v>0</v>
      </c>
    </row>
    <row r="620" spans="1:7" ht="15" x14ac:dyDescent="0.2">
      <c r="A620" s="398" t="s">
        <v>1959</v>
      </c>
      <c r="G620" s="8">
        <f t="shared" si="30"/>
        <v>0</v>
      </c>
    </row>
    <row r="621" spans="1:7" x14ac:dyDescent="0.2">
      <c r="G621" s="8">
        <f t="shared" si="30"/>
        <v>0</v>
      </c>
    </row>
    <row r="622" spans="1:7" x14ac:dyDescent="0.2">
      <c r="G622" s="8">
        <f t="shared" si="30"/>
        <v>0</v>
      </c>
    </row>
    <row r="623" spans="1:7" ht="15" x14ac:dyDescent="0.2">
      <c r="A623" s="398" t="s">
        <v>1960</v>
      </c>
      <c r="G623" s="8">
        <f t="shared" si="30"/>
        <v>0</v>
      </c>
    </row>
    <row r="624" spans="1:7" x14ac:dyDescent="0.2">
      <c r="G624" s="8">
        <f t="shared" si="30"/>
        <v>0</v>
      </c>
    </row>
    <row r="625" spans="7:7" x14ac:dyDescent="0.2">
      <c r="G625" s="8">
        <f t="shared" si="30"/>
        <v>0</v>
      </c>
    </row>
    <row r="626" spans="7:7" x14ac:dyDescent="0.2">
      <c r="G626" s="8">
        <f t="shared" si="30"/>
        <v>0</v>
      </c>
    </row>
    <row r="627" spans="7:7" x14ac:dyDescent="0.2">
      <c r="G627" s="8">
        <f t="shared" si="30"/>
        <v>0</v>
      </c>
    </row>
    <row r="628" spans="7:7" x14ac:dyDescent="0.2">
      <c r="G628" s="8">
        <f t="shared" si="30"/>
        <v>0</v>
      </c>
    </row>
    <row r="629" spans="7:7" x14ac:dyDescent="0.2">
      <c r="G629" s="8">
        <f t="shared" si="30"/>
        <v>0</v>
      </c>
    </row>
    <row r="630" spans="7:7" x14ac:dyDescent="0.2">
      <c r="G630" s="8">
        <f t="shared" si="30"/>
        <v>0</v>
      </c>
    </row>
    <row r="631" spans="7:7" x14ac:dyDescent="0.2">
      <c r="G631" s="8">
        <f t="shared" si="30"/>
        <v>0</v>
      </c>
    </row>
    <row r="632" spans="7:7" x14ac:dyDescent="0.2">
      <c r="G632" s="8">
        <f t="shared" si="30"/>
        <v>0</v>
      </c>
    </row>
    <row r="633" spans="7:7" x14ac:dyDescent="0.2">
      <c r="G633" s="8">
        <f t="shared" si="30"/>
        <v>0</v>
      </c>
    </row>
    <row r="634" spans="7:7" x14ac:dyDescent="0.2">
      <c r="G634" s="8">
        <f t="shared" si="30"/>
        <v>0</v>
      </c>
    </row>
    <row r="635" spans="7:7" x14ac:dyDescent="0.2">
      <c r="G635" s="8">
        <f t="shared" si="30"/>
        <v>0</v>
      </c>
    </row>
    <row r="636" spans="7:7" x14ac:dyDescent="0.2">
      <c r="G636" s="8">
        <f t="shared" si="30"/>
        <v>0</v>
      </c>
    </row>
    <row r="637" spans="7:7" x14ac:dyDescent="0.2">
      <c r="G637" s="8">
        <f t="shared" si="30"/>
        <v>0</v>
      </c>
    </row>
    <row r="638" spans="7:7" x14ac:dyDescent="0.2">
      <c r="G638" s="8">
        <f t="shared" si="30"/>
        <v>0</v>
      </c>
    </row>
    <row r="639" spans="7:7" x14ac:dyDescent="0.2">
      <c r="G639" s="8">
        <f t="shared" si="30"/>
        <v>0</v>
      </c>
    </row>
    <row r="640" spans="7:7" x14ac:dyDescent="0.2">
      <c r="G640" s="8">
        <f t="shared" si="30"/>
        <v>0</v>
      </c>
    </row>
    <row r="641" spans="7:7" x14ac:dyDescent="0.2">
      <c r="G641" s="8">
        <f t="shared" si="30"/>
        <v>0</v>
      </c>
    </row>
    <row r="642" spans="7:7" x14ac:dyDescent="0.2">
      <c r="G642" s="8">
        <f t="shared" si="30"/>
        <v>0</v>
      </c>
    </row>
    <row r="643" spans="7:7" x14ac:dyDescent="0.2">
      <c r="G643" s="8">
        <f t="shared" si="30"/>
        <v>0</v>
      </c>
    </row>
    <row r="644" spans="7:7" x14ac:dyDescent="0.2">
      <c r="G644" s="8">
        <f t="shared" si="30"/>
        <v>0</v>
      </c>
    </row>
    <row r="645" spans="7:7" x14ac:dyDescent="0.2">
      <c r="G645" s="8">
        <f t="shared" si="30"/>
        <v>0</v>
      </c>
    </row>
    <row r="646" spans="7:7" x14ac:dyDescent="0.2">
      <c r="G646" s="8">
        <f t="shared" si="30"/>
        <v>0</v>
      </c>
    </row>
    <row r="647" spans="7:7" x14ac:dyDescent="0.2">
      <c r="G647" s="8">
        <f t="shared" si="30"/>
        <v>0</v>
      </c>
    </row>
    <row r="648" spans="7:7" x14ac:dyDescent="0.2">
      <c r="G648" s="8">
        <f t="shared" si="30"/>
        <v>0</v>
      </c>
    </row>
    <row r="649" spans="7:7" x14ac:dyDescent="0.2">
      <c r="G649" s="8">
        <f t="shared" si="30"/>
        <v>0</v>
      </c>
    </row>
    <row r="650" spans="7:7" x14ac:dyDescent="0.2">
      <c r="G650" s="8">
        <f t="shared" si="30"/>
        <v>0</v>
      </c>
    </row>
    <row r="651" spans="7:7" x14ac:dyDescent="0.2">
      <c r="G651" s="8">
        <f t="shared" si="30"/>
        <v>0</v>
      </c>
    </row>
    <row r="652" spans="7:7" x14ac:dyDescent="0.2">
      <c r="G652" s="8">
        <f t="shared" si="30"/>
        <v>0</v>
      </c>
    </row>
    <row r="653" spans="7:7" x14ac:dyDescent="0.2">
      <c r="G653" s="8">
        <f t="shared" ref="G653:G663" si="31">SUM(H653:AG653)</f>
        <v>0</v>
      </c>
    </row>
    <row r="654" spans="7:7" x14ac:dyDescent="0.2">
      <c r="G654" s="8">
        <f t="shared" si="31"/>
        <v>0</v>
      </c>
    </row>
    <row r="655" spans="7:7" x14ac:dyDescent="0.2">
      <c r="G655" s="8">
        <f t="shared" si="31"/>
        <v>0</v>
      </c>
    </row>
    <row r="656" spans="7:7" x14ac:dyDescent="0.2">
      <c r="G656" s="8">
        <f t="shared" si="31"/>
        <v>0</v>
      </c>
    </row>
    <row r="657" spans="7:7" x14ac:dyDescent="0.2">
      <c r="G657" s="8">
        <f t="shared" si="31"/>
        <v>0</v>
      </c>
    </row>
    <row r="658" spans="7:7" x14ac:dyDescent="0.2">
      <c r="G658" s="8">
        <f t="shared" si="31"/>
        <v>0</v>
      </c>
    </row>
    <row r="659" spans="7:7" x14ac:dyDescent="0.2">
      <c r="G659" s="8">
        <f t="shared" si="31"/>
        <v>0</v>
      </c>
    </row>
    <row r="660" spans="7:7" x14ac:dyDescent="0.2">
      <c r="G660" s="8">
        <f t="shared" si="31"/>
        <v>0</v>
      </c>
    </row>
    <row r="661" spans="7:7" x14ac:dyDescent="0.2">
      <c r="G661" s="8">
        <f t="shared" si="31"/>
        <v>0</v>
      </c>
    </row>
    <row r="662" spans="7:7" x14ac:dyDescent="0.2">
      <c r="G662" s="8">
        <f t="shared" si="31"/>
        <v>0</v>
      </c>
    </row>
    <row r="663" spans="7:7" x14ac:dyDescent="0.2">
      <c r="G663" s="8">
        <f t="shared" si="31"/>
        <v>0</v>
      </c>
    </row>
  </sheetData>
  <phoneticPr fontId="2" type="noConversion"/>
  <hyperlinks>
    <hyperlink ref="A620" r:id="rId1" display="http://www.insucons.com/" xr:uid="{7D655836-8420-43FC-AA76-D196FCDF1196}"/>
    <hyperlink ref="A623" r:id="rId2" display="http://www.ecuador.generadordeprecios.info/" xr:uid="{32C620C9-20A9-42C3-9F7A-6162C287336A}"/>
  </hyperlinks>
  <pageMargins left="0.7" right="0.7" top="0.75" bottom="0.75" header="0.3" footer="0.3"/>
  <pageSetup paperSize="9" orientation="portrait" horizontalDpi="0" verticalDpi="0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780CA-D8E5-4EBD-8FC2-203A5E290C7F}">
  <sheetPr codeName="Hoja4"/>
  <dimension ref="A1:P224"/>
  <sheetViews>
    <sheetView workbookViewId="0">
      <selection activeCell="F37" sqref="F37"/>
    </sheetView>
  </sheetViews>
  <sheetFormatPr baseColWidth="10" defaultColWidth="11.42578125" defaultRowHeight="14.25" x14ac:dyDescent="0.2"/>
  <cols>
    <col min="1" max="1" width="7" style="110" bestFit="1" customWidth="1"/>
    <col min="2" max="2" width="12.140625" style="1" customWidth="1"/>
    <col min="3" max="3" width="26.28515625" style="1" customWidth="1"/>
    <col min="4" max="4" width="10.7109375" style="1" customWidth="1"/>
    <col min="5" max="5" width="12.140625" style="1" customWidth="1"/>
    <col min="6" max="6" width="13.28515625" style="1" customWidth="1"/>
    <col min="7" max="7" width="13.85546875" style="1" customWidth="1"/>
    <col min="8" max="8" width="12.42578125" style="1" customWidth="1"/>
    <col min="9" max="9" width="3.140625" style="1" bestFit="1" customWidth="1"/>
    <col min="10" max="10" width="3.5703125" style="1" customWidth="1"/>
    <col min="11" max="11" width="8.42578125" style="1" customWidth="1"/>
    <col min="12" max="12" width="5.140625" style="1" bestFit="1" customWidth="1"/>
    <col min="13" max="13" width="33.85546875" style="1" bestFit="1" customWidth="1"/>
    <col min="14" max="14" width="6" style="1" bestFit="1" customWidth="1"/>
    <col min="15" max="28" width="8.42578125" style="1" customWidth="1"/>
    <col min="29" max="16384" width="11.42578125" style="1"/>
  </cols>
  <sheetData>
    <row r="1" spans="1:15" ht="15.75" x14ac:dyDescent="0.25">
      <c r="A1" s="103"/>
      <c r="B1" s="34" t="s">
        <v>1701</v>
      </c>
      <c r="C1" s="2"/>
      <c r="D1" s="3" t="s">
        <v>1702</v>
      </c>
      <c r="E1" s="2"/>
      <c r="F1" s="2"/>
      <c r="H1" s="2" t="s">
        <v>108</v>
      </c>
      <c r="I1" s="2"/>
      <c r="L1" s="40">
        <f>A5</f>
        <v>1</v>
      </c>
      <c r="M1" s="1" t="str">
        <f>C6</f>
        <v>Caseta de oficina, bodega y guardiania</v>
      </c>
      <c r="N1" s="2" t="str">
        <f>H5</f>
        <v>m2</v>
      </c>
      <c r="O1" s="2">
        <f>H56</f>
        <v>42.5</v>
      </c>
    </row>
    <row r="2" spans="1:15" ht="15.75" x14ac:dyDescent="0.25">
      <c r="A2" s="103"/>
      <c r="B2" s="34" t="s">
        <v>1700</v>
      </c>
      <c r="C2" s="3">
        <f>PRESUPUESTO!$B$3</f>
        <v>0</v>
      </c>
      <c r="D2" s="2"/>
      <c r="E2" s="2"/>
      <c r="F2" s="2"/>
      <c r="G2" s="41" t="s">
        <v>1699</v>
      </c>
      <c r="H2" s="42"/>
      <c r="I2" s="2" t="s">
        <v>1698</v>
      </c>
    </row>
    <row r="3" spans="1:15" ht="15.75" x14ac:dyDescent="0.25">
      <c r="A3" s="103"/>
      <c r="B3" s="34"/>
      <c r="C3" s="3">
        <f>PRESUPUESTO!$B$4</f>
        <v>0</v>
      </c>
      <c r="D3" s="2"/>
      <c r="E3" s="2"/>
      <c r="F3" s="2"/>
    </row>
    <row r="4" spans="1:15" ht="15.75" x14ac:dyDescent="0.25">
      <c r="A4" s="103"/>
      <c r="B4" s="34" t="s">
        <v>1697</v>
      </c>
      <c r="C4" s="3"/>
      <c r="D4" s="2"/>
      <c r="E4" s="2"/>
      <c r="F4" s="2"/>
      <c r="G4" s="2"/>
      <c r="H4" s="2"/>
      <c r="I4" s="2"/>
    </row>
    <row r="5" spans="1:15" ht="15" x14ac:dyDescent="0.25">
      <c r="A5" s="104">
        <v>1</v>
      </c>
      <c r="B5" s="2" t="s">
        <v>1586</v>
      </c>
      <c r="C5" s="101" t="s">
        <v>1582</v>
      </c>
      <c r="D5" s="2"/>
      <c r="G5" s="2" t="s">
        <v>1696</v>
      </c>
      <c r="H5" s="3" t="s">
        <v>1520</v>
      </c>
      <c r="I5" s="2"/>
    </row>
    <row r="6" spans="1:15" ht="15" x14ac:dyDescent="0.25">
      <c r="A6" s="103"/>
      <c r="B6" s="1" t="s">
        <v>1585</v>
      </c>
      <c r="C6" s="36" t="s">
        <v>1581</v>
      </c>
      <c r="D6" s="2"/>
      <c r="E6" s="2"/>
      <c r="F6" s="2"/>
      <c r="G6" s="2"/>
      <c r="H6" s="2"/>
      <c r="I6" s="2"/>
    </row>
    <row r="7" spans="1:15" ht="15.75" thickBot="1" x14ac:dyDescent="0.3">
      <c r="A7" s="103"/>
      <c r="D7" s="2"/>
      <c r="E7" s="2"/>
      <c r="F7" s="2"/>
      <c r="G7" s="2"/>
      <c r="H7" s="2"/>
      <c r="I7" s="2"/>
    </row>
    <row r="8" spans="1:15" ht="15.75" thickBot="1" x14ac:dyDescent="0.3">
      <c r="A8" s="103"/>
      <c r="B8" s="43" t="s">
        <v>1695</v>
      </c>
      <c r="C8" s="44"/>
      <c r="D8" s="44"/>
      <c r="E8" s="44"/>
      <c r="F8" s="44"/>
      <c r="G8" s="44"/>
      <c r="H8" s="45"/>
      <c r="I8" s="2"/>
    </row>
    <row r="9" spans="1:15" ht="25.5" x14ac:dyDescent="0.25">
      <c r="A9" s="103"/>
      <c r="B9" s="46" t="s">
        <v>1409</v>
      </c>
      <c r="C9" s="47"/>
      <c r="D9" s="48" t="s">
        <v>1690</v>
      </c>
      <c r="E9" s="48" t="s">
        <v>1694</v>
      </c>
      <c r="F9" s="48" t="s">
        <v>1693</v>
      </c>
      <c r="G9" s="49" t="s">
        <v>1687</v>
      </c>
      <c r="H9" s="50" t="s">
        <v>1686</v>
      </c>
      <c r="I9" s="2"/>
    </row>
    <row r="10" spans="1:15" ht="15" x14ac:dyDescent="0.25">
      <c r="A10" s="103">
        <v>19015</v>
      </c>
      <c r="B10" s="51" t="str">
        <f>IF($A10=0,"",VLOOKUP($A10,'BASE EQUIPO'!$A:$D,2))</f>
        <v>HERRAMIENTA MENOR</v>
      </c>
      <c r="C10" s="52"/>
      <c r="D10" s="53">
        <v>1</v>
      </c>
      <c r="E10" s="53">
        <f>IF($A10=0,"",VLOOKUP($A10,'BASE EQUIPO'!$A:$D,4)*H26)</f>
        <v>0.22739999999999999</v>
      </c>
      <c r="F10" s="53">
        <f t="shared" ref="F10:F15" si="0">IF($A10=0,"",ROUND(D10*E10,2))</f>
        <v>0.23</v>
      </c>
      <c r="G10" s="105">
        <v>1</v>
      </c>
      <c r="H10" s="54">
        <f t="shared" ref="H10:H15" si="1">IF($A10=0,"",ROUND(G10*F10,2))</f>
        <v>0.23</v>
      </c>
      <c r="I10" s="2"/>
    </row>
    <row r="11" spans="1:15" ht="15" x14ac:dyDescent="0.25">
      <c r="A11" s="103"/>
      <c r="B11" s="38" t="str">
        <f>IF($A11=0,"",VLOOKUP($A11,'BASE EQUIPO'!$A:$D,2))</f>
        <v/>
      </c>
      <c r="C11" s="2"/>
      <c r="D11" s="55"/>
      <c r="E11" s="55" t="str">
        <f>IF($A11=0,"",VLOOKUP($A11,'BASE EQUIPO'!$A:$D,4))</f>
        <v/>
      </c>
      <c r="F11" s="55" t="str">
        <f t="shared" si="0"/>
        <v/>
      </c>
      <c r="G11" s="106"/>
      <c r="H11" s="56" t="str">
        <f t="shared" si="1"/>
        <v/>
      </c>
      <c r="I11" s="2"/>
    </row>
    <row r="12" spans="1:15" ht="15" x14ac:dyDescent="0.25">
      <c r="A12" s="103"/>
      <c r="B12" s="38" t="str">
        <f>IF($A12=0,"",VLOOKUP($A12,'BASE EQUIPO'!$A:$D,2))</f>
        <v/>
      </c>
      <c r="C12" s="2"/>
      <c r="D12" s="55"/>
      <c r="E12" s="55" t="str">
        <f>IF($A12=0,"",VLOOKUP($A12,'BASE EQUIPO'!$A:$D,4))</f>
        <v/>
      </c>
      <c r="F12" s="55" t="str">
        <f t="shared" si="0"/>
        <v/>
      </c>
      <c r="G12" s="106"/>
      <c r="H12" s="56" t="str">
        <f t="shared" si="1"/>
        <v/>
      </c>
      <c r="I12" s="2"/>
    </row>
    <row r="13" spans="1:15" ht="15" x14ac:dyDescent="0.25">
      <c r="A13" s="103"/>
      <c r="B13" s="38" t="str">
        <f>IF($A13=0,"",VLOOKUP($A13,'BASE EQUIPO'!$A:$D,2))</f>
        <v/>
      </c>
      <c r="C13" s="2"/>
      <c r="D13" s="55"/>
      <c r="E13" s="55" t="str">
        <f>IF($A13=0,"",VLOOKUP($A13,'BASE EQUIPO'!$A:$D,4))</f>
        <v/>
      </c>
      <c r="F13" s="55" t="str">
        <f t="shared" si="0"/>
        <v/>
      </c>
      <c r="G13" s="106"/>
      <c r="H13" s="56" t="str">
        <f t="shared" si="1"/>
        <v/>
      </c>
      <c r="I13" s="2"/>
    </row>
    <row r="14" spans="1:15" ht="15" x14ac:dyDescent="0.25">
      <c r="A14" s="103"/>
      <c r="B14" s="38" t="str">
        <f>IF($A14=0,"",VLOOKUP($A14,'BASE EQUIPO'!$A:$D,2))</f>
        <v/>
      </c>
      <c r="C14" s="2"/>
      <c r="D14" s="55"/>
      <c r="E14" s="55" t="str">
        <f>IF($A14=0,"",VLOOKUP($A14,'BASE EQUIPO'!$A:$D,4))</f>
        <v/>
      </c>
      <c r="F14" s="55" t="str">
        <f t="shared" si="0"/>
        <v/>
      </c>
      <c r="G14" s="106"/>
      <c r="H14" s="56" t="str">
        <f t="shared" si="1"/>
        <v/>
      </c>
      <c r="I14" s="2"/>
    </row>
    <row r="15" spans="1:15" ht="15" x14ac:dyDescent="0.25">
      <c r="A15" s="103"/>
      <c r="B15" s="57" t="str">
        <f>IF($A15=0,"",VLOOKUP($A15,'BASE EQUIPO'!$A:$D,2))</f>
        <v/>
      </c>
      <c r="C15" s="58"/>
      <c r="D15" s="59"/>
      <c r="E15" s="59" t="str">
        <f>IF($A15=0,"",VLOOKUP($A15,'BASE EQUIPO'!$A:$D,4))</f>
        <v/>
      </c>
      <c r="F15" s="59" t="str">
        <f t="shared" si="0"/>
        <v/>
      </c>
      <c r="G15" s="107"/>
      <c r="H15" s="60" t="str">
        <f t="shared" si="1"/>
        <v/>
      </c>
      <c r="I15" s="2"/>
    </row>
    <row r="16" spans="1:15" ht="15" x14ac:dyDescent="0.25">
      <c r="A16" s="103"/>
      <c r="B16" s="57" t="s">
        <v>1692</v>
      </c>
      <c r="C16" s="58"/>
      <c r="D16" s="61"/>
      <c r="E16" s="61"/>
      <c r="F16" s="61"/>
      <c r="G16" s="62"/>
      <c r="H16" s="60">
        <f>ROUND(SUM(H9:H15),2)</f>
        <v>0.23</v>
      </c>
      <c r="I16" s="2"/>
    </row>
    <row r="17" spans="1:16" ht="15" x14ac:dyDescent="0.25">
      <c r="A17" s="103"/>
      <c r="B17" s="38" t="s">
        <v>1503</v>
      </c>
      <c r="C17" s="2"/>
      <c r="D17" s="3"/>
      <c r="E17" s="3"/>
      <c r="F17" s="3"/>
      <c r="G17" s="63"/>
      <c r="H17" s="56"/>
      <c r="I17" s="2"/>
    </row>
    <row r="18" spans="1:16" ht="25.5" x14ac:dyDescent="0.25">
      <c r="A18" s="103"/>
      <c r="B18" s="64" t="s">
        <v>1691</v>
      </c>
      <c r="C18" s="65"/>
      <c r="D18" s="66" t="s">
        <v>1690</v>
      </c>
      <c r="E18" s="66" t="s">
        <v>1689</v>
      </c>
      <c r="F18" s="66" t="s">
        <v>1688</v>
      </c>
      <c r="G18" s="67" t="s">
        <v>1687</v>
      </c>
      <c r="H18" s="68" t="s">
        <v>1686</v>
      </c>
      <c r="I18" s="2"/>
    </row>
    <row r="19" spans="1:16" ht="15" x14ac:dyDescent="0.25">
      <c r="A19" s="103">
        <v>20001</v>
      </c>
      <c r="B19" s="69" t="str">
        <f>IF($A19=0,"",VLOOKUP($A19,'BASE M-OBRA'!$A:$D,2))</f>
        <v>MAESTRO</v>
      </c>
      <c r="C19" s="2"/>
      <c r="D19" s="108">
        <v>1</v>
      </c>
      <c r="E19" s="70">
        <f>IF($A19=0,"",VLOOKUP($A19,'BASE M-OBRA'!$A:$D,4))</f>
        <v>3.02</v>
      </c>
      <c r="F19" s="55">
        <f t="shared" ref="F19:F25" si="2">IF($A19=0,"",ROUND(D19*E19,2))</f>
        <v>3.02</v>
      </c>
      <c r="G19" s="106">
        <f>IF($A19=0,"",ROUND(H19/F19,2))</f>
        <v>0.42</v>
      </c>
      <c r="H19" s="56">
        <f>IF($A19=0,"",ROUND(SUM(H20:H25)*'BASE M-OBRA'!$D$23,2))</f>
        <v>1.26</v>
      </c>
      <c r="I19" s="2"/>
    </row>
    <row r="20" spans="1:16" ht="15" x14ac:dyDescent="0.25">
      <c r="A20" s="103">
        <v>20004</v>
      </c>
      <c r="B20" s="69" t="str">
        <f>IF($A20=0,"",VLOOKUP($A20,'BASE M-OBRA'!$A:$D,2))</f>
        <v>CARPINTERO</v>
      </c>
      <c r="C20" s="2"/>
      <c r="D20" s="108">
        <v>2</v>
      </c>
      <c r="E20" s="70">
        <f>IF($A20=0,"",VLOOKUP($A20,'BASE M-OBRA'!$A:$D,4))</f>
        <v>2.82</v>
      </c>
      <c r="F20" s="55">
        <f t="shared" si="2"/>
        <v>5.64</v>
      </c>
      <c r="G20" s="106">
        <v>0.75</v>
      </c>
      <c r="H20" s="56">
        <f t="shared" ref="H20:H25" si="3">IF($A20=0,"",ROUND(G20*F20,2))</f>
        <v>4.2300000000000004</v>
      </c>
      <c r="I20" s="2"/>
    </row>
    <row r="21" spans="1:16" ht="15" x14ac:dyDescent="0.25">
      <c r="A21" s="103">
        <v>20002</v>
      </c>
      <c r="B21" s="69" t="str">
        <f>IF($A21=0,"",VLOOKUP($A21,'BASE M-OBRA'!$A:$D,2))</f>
        <v>PEON</v>
      </c>
      <c r="C21" s="2"/>
      <c r="D21" s="108">
        <v>1</v>
      </c>
      <c r="E21" s="70">
        <f>IF($A21=0,"",VLOOKUP($A21,'BASE M-OBRA'!$A:$D,4))</f>
        <v>2.79</v>
      </c>
      <c r="F21" s="55">
        <f t="shared" si="2"/>
        <v>2.79</v>
      </c>
      <c r="G21" s="106">
        <f>+G20</f>
        <v>0.75</v>
      </c>
      <c r="H21" s="56">
        <f t="shared" si="3"/>
        <v>2.09</v>
      </c>
      <c r="I21" s="2"/>
    </row>
    <row r="22" spans="1:16" ht="15" x14ac:dyDescent="0.25">
      <c r="A22" s="103"/>
      <c r="B22" s="71" t="str">
        <f>IF($A22=0,"",VLOOKUP($A22,'BASE M-OBRA'!$A:$D,2))</f>
        <v/>
      </c>
      <c r="C22" s="2"/>
      <c r="D22" s="108"/>
      <c r="E22" s="70" t="str">
        <f>IF($A22=0,"",VLOOKUP($A22,'BASE M-OBRA'!$A:$D,4))</f>
        <v/>
      </c>
      <c r="F22" s="55" t="str">
        <f t="shared" si="2"/>
        <v/>
      </c>
      <c r="G22" s="106"/>
      <c r="H22" s="56" t="str">
        <f t="shared" si="3"/>
        <v/>
      </c>
      <c r="I22" s="2"/>
    </row>
    <row r="23" spans="1:16" ht="15" x14ac:dyDescent="0.25">
      <c r="A23" s="103"/>
      <c r="B23" s="72" t="str">
        <f>IF($A23=0,"",VLOOKUP($A23,'BASE M-OBRA'!$A:$D,2))</f>
        <v/>
      </c>
      <c r="C23" s="2"/>
      <c r="D23" s="108"/>
      <c r="E23" s="70" t="str">
        <f>IF($A23=0,"",VLOOKUP($A23,'BASE M-OBRA'!$A:$D,4))</f>
        <v/>
      </c>
      <c r="F23" s="55" t="str">
        <f t="shared" si="2"/>
        <v/>
      </c>
      <c r="G23" s="106"/>
      <c r="H23" s="56" t="str">
        <f t="shared" si="3"/>
        <v/>
      </c>
      <c r="I23" s="2"/>
    </row>
    <row r="24" spans="1:16" ht="15" x14ac:dyDescent="0.25">
      <c r="A24" s="103"/>
      <c r="B24" s="38" t="str">
        <f>IF($A24=0,"",VLOOKUP($A24,'BASE M-OBRA'!$A:$D,2))</f>
        <v/>
      </c>
      <c r="C24" s="2"/>
      <c r="D24" s="55"/>
      <c r="E24" s="55" t="str">
        <f>IF($A24=0,"",VLOOKUP($A24,'BASE M-OBRA'!$A:$D,4))</f>
        <v/>
      </c>
      <c r="F24" s="55" t="str">
        <f t="shared" si="2"/>
        <v/>
      </c>
      <c r="G24" s="106"/>
      <c r="H24" s="56" t="str">
        <f t="shared" si="3"/>
        <v/>
      </c>
      <c r="I24" s="2"/>
    </row>
    <row r="25" spans="1:16" ht="15" x14ac:dyDescent="0.25">
      <c r="A25" s="103"/>
      <c r="B25" s="57" t="str">
        <f>IF($A25=0,"",VLOOKUP($A25,'BASE M-OBRA'!$A:$D,2))</f>
        <v/>
      </c>
      <c r="C25" s="58"/>
      <c r="D25" s="59"/>
      <c r="E25" s="59" t="str">
        <f>IF($A25=0,"",VLOOKUP($A25,'BASE M-OBRA'!$A:$D,4))</f>
        <v/>
      </c>
      <c r="F25" s="59" t="str">
        <f t="shared" si="2"/>
        <v/>
      </c>
      <c r="G25" s="107"/>
      <c r="H25" s="60" t="str">
        <f t="shared" si="3"/>
        <v/>
      </c>
      <c r="I25" s="2"/>
    </row>
    <row r="26" spans="1:16" ht="15" x14ac:dyDescent="0.25">
      <c r="A26" s="103"/>
      <c r="B26" s="73" t="s">
        <v>1685</v>
      </c>
      <c r="C26" s="65"/>
      <c r="D26" s="74"/>
      <c r="E26" s="74"/>
      <c r="F26" s="74"/>
      <c r="G26" s="74"/>
      <c r="H26" s="75">
        <f>ROUND(SUM(H18:H25),2)</f>
        <v>7.58</v>
      </c>
      <c r="I26" s="2"/>
    </row>
    <row r="27" spans="1:16" ht="15" x14ac:dyDescent="0.25">
      <c r="A27" s="103"/>
      <c r="B27" s="38" t="s">
        <v>1684</v>
      </c>
      <c r="C27" s="2"/>
      <c r="D27" s="3"/>
      <c r="E27" s="3"/>
      <c r="F27" s="3"/>
      <c r="G27" s="3"/>
      <c r="H27" s="56"/>
      <c r="I27" s="2"/>
    </row>
    <row r="28" spans="1:16" ht="25.5" x14ac:dyDescent="0.25">
      <c r="A28" s="103"/>
      <c r="B28" s="64" t="s">
        <v>1409</v>
      </c>
      <c r="C28" s="65"/>
      <c r="D28" s="76"/>
      <c r="E28" s="66" t="s">
        <v>1408</v>
      </c>
      <c r="F28" s="66" t="s">
        <v>1679</v>
      </c>
      <c r="G28" s="66" t="s">
        <v>1683</v>
      </c>
      <c r="H28" s="68" t="s">
        <v>1675</v>
      </c>
      <c r="I28" s="2"/>
    </row>
    <row r="29" spans="1:16" ht="15" x14ac:dyDescent="0.25">
      <c r="A29" s="103">
        <v>11008</v>
      </c>
      <c r="B29" s="109" t="str">
        <f>IF($A29=0,"",VLOOKUP($A29,'BASE MATERIAL'!$A:$D,2))</f>
        <v>TABLA</v>
      </c>
      <c r="C29" s="2"/>
      <c r="D29" s="77"/>
      <c r="E29" s="78" t="str">
        <f>IF($A29=0,"",VLOOKUP($A29,'BASE MATERIAL'!$A:$D,3))</f>
        <v>U</v>
      </c>
      <c r="F29" s="55">
        <v>3</v>
      </c>
      <c r="G29" s="55">
        <f>IF($A29=0,"",VLOOKUP($A29,'BASE MATERIAL'!$A:$D,4))</f>
        <v>3.5</v>
      </c>
      <c r="H29" s="56">
        <f t="shared" ref="H29:H43" si="4">IF($A29=0,"",ROUND(F29*G29,2))</f>
        <v>10.5</v>
      </c>
      <c r="I29" s="2"/>
      <c r="L29" s="2"/>
      <c r="M29" s="2"/>
      <c r="N29" s="39"/>
      <c r="O29" s="2"/>
      <c r="P29" s="2"/>
    </row>
    <row r="30" spans="1:16" ht="15" x14ac:dyDescent="0.25">
      <c r="A30" s="103">
        <v>11009</v>
      </c>
      <c r="B30" s="38" t="str">
        <f>IF($A30=0,"",VLOOKUP($A30,'BASE MATERIAL'!$A:$D,2))</f>
        <v>CUARTON</v>
      </c>
      <c r="C30" s="2"/>
      <c r="D30" s="77"/>
      <c r="E30" s="78" t="str">
        <f>IF($A30=0,"",VLOOKUP($A30,'BASE MATERIAL'!$A:$D,3))</f>
        <v>U</v>
      </c>
      <c r="F30" s="55">
        <v>1.1499999999999999</v>
      </c>
      <c r="G30" s="55">
        <f>IF($A30=0,"",VLOOKUP($A30,'BASE MATERIAL'!$A:$D,4))</f>
        <v>2.42</v>
      </c>
      <c r="H30" s="56">
        <f t="shared" si="4"/>
        <v>2.78</v>
      </c>
      <c r="I30" s="2"/>
      <c r="L30" s="2"/>
      <c r="M30" s="2"/>
      <c r="N30" s="39"/>
      <c r="O30" s="2"/>
      <c r="P30" s="2"/>
    </row>
    <row r="31" spans="1:16" ht="15" x14ac:dyDescent="0.25">
      <c r="A31" s="103">
        <v>11010</v>
      </c>
      <c r="B31" s="38" t="str">
        <f>IF($A31=0,"",VLOOKUP($A31,'BASE MATERIAL'!$A:$D,2))</f>
        <v>TIRA</v>
      </c>
      <c r="C31" s="2"/>
      <c r="D31" s="77"/>
      <c r="E31" s="78" t="str">
        <f>IF($A31=0,"",VLOOKUP($A31,'BASE MATERIAL'!$A:$D,3))</f>
        <v>U</v>
      </c>
      <c r="F31" s="55">
        <v>0.6</v>
      </c>
      <c r="G31" s="55">
        <f>IF($A31=0,"",VLOOKUP($A31,'BASE MATERIAL'!$A:$D,4))</f>
        <v>1.5</v>
      </c>
      <c r="H31" s="56">
        <f t="shared" si="4"/>
        <v>0.9</v>
      </c>
      <c r="I31" s="2"/>
      <c r="L31" s="2"/>
      <c r="M31" s="2"/>
      <c r="N31" s="39"/>
      <c r="O31" s="2"/>
      <c r="P31" s="2"/>
    </row>
    <row r="32" spans="1:16" ht="15" x14ac:dyDescent="0.25">
      <c r="A32" s="103">
        <v>11007</v>
      </c>
      <c r="B32" s="38" t="str">
        <f>IF($A32=0,"",VLOOKUP($A32,'BASE MATERIAL'!$A:$D,2))</f>
        <v>CLAVO 2 1/2"</v>
      </c>
      <c r="C32" s="2"/>
      <c r="D32" s="77"/>
      <c r="E32" s="78" t="str">
        <f>IF($A32=0,"",VLOOKUP($A32,'BASE MATERIAL'!$A:$D,3))</f>
        <v>KG</v>
      </c>
      <c r="F32" s="55">
        <v>0.12</v>
      </c>
      <c r="G32" s="55">
        <f>IF($A32=0,"",VLOOKUP($A32,'BASE MATERIAL'!$A:$D,4))</f>
        <v>2.6520000000000001</v>
      </c>
      <c r="H32" s="56">
        <f t="shared" si="4"/>
        <v>0.32</v>
      </c>
      <c r="I32" s="2"/>
      <c r="L32" s="2"/>
      <c r="M32" s="2"/>
      <c r="N32" s="39"/>
      <c r="O32" s="2"/>
      <c r="P32" s="2"/>
    </row>
    <row r="33" spans="1:16" ht="15" x14ac:dyDescent="0.25">
      <c r="A33" s="103">
        <v>12012</v>
      </c>
      <c r="B33" s="38" t="str">
        <f>IF($A33=0,"",VLOOKUP($A33,'BASE MATERIAL'!$A:$D,2))</f>
        <v>PLANCHA DE ZINC 8' REFORZADA</v>
      </c>
      <c r="C33" s="2"/>
      <c r="D33" s="77"/>
      <c r="E33" s="78" t="str">
        <f>IF($A33=0,"",VLOOKUP($A33,'BASE MATERIAL'!$A:$D,3))</f>
        <v>U</v>
      </c>
      <c r="F33" s="55">
        <v>0.75</v>
      </c>
      <c r="G33" s="55">
        <f>IF($A33=0,"",VLOOKUP($A33,'BASE MATERIAL'!$A:$D,4))</f>
        <v>8.5299999999999994</v>
      </c>
      <c r="H33" s="56">
        <f t="shared" si="4"/>
        <v>6.4</v>
      </c>
      <c r="I33" s="2"/>
      <c r="L33" s="2"/>
      <c r="M33" s="2"/>
      <c r="N33" s="39"/>
      <c r="O33" s="2"/>
      <c r="P33" s="2"/>
    </row>
    <row r="34" spans="1:16" ht="15" x14ac:dyDescent="0.25">
      <c r="A34" s="103">
        <v>10016</v>
      </c>
      <c r="B34" s="38" t="str">
        <f>IF($A34=0,"",VLOOKUP($A34,'BASE MATERIAL'!$A:$D,2))</f>
        <v>BISAGRA CROMADA</v>
      </c>
      <c r="C34" s="2"/>
      <c r="D34" s="77"/>
      <c r="E34" s="78" t="str">
        <f>IF($A34=0,"",VLOOKUP($A34,'BASE MATERIAL'!$A:$D,3))</f>
        <v>U</v>
      </c>
      <c r="F34" s="55">
        <v>0.1</v>
      </c>
      <c r="G34" s="55">
        <f>IF($A34=0,"",VLOOKUP($A34,'BASE MATERIAL'!$A:$D,4))</f>
        <v>1.2</v>
      </c>
      <c r="H34" s="56">
        <f t="shared" si="4"/>
        <v>0.12</v>
      </c>
      <c r="I34" s="2"/>
      <c r="L34" s="2"/>
      <c r="M34" s="2"/>
      <c r="N34" s="39"/>
      <c r="O34" s="2"/>
      <c r="P34" s="2"/>
    </row>
    <row r="35" spans="1:16" ht="15" x14ac:dyDescent="0.25">
      <c r="A35" s="103">
        <v>11016</v>
      </c>
      <c r="B35" s="38" t="str">
        <f>IF($A35=0,"",VLOOKUP($A35,'BASE MATERIAL'!$A:$D,2))</f>
        <v>ARGOLLAS</v>
      </c>
      <c r="C35" s="2"/>
      <c r="D35" s="77"/>
      <c r="E35" s="78" t="str">
        <f>IF($A35=0,"",VLOOKUP($A35,'BASE MATERIAL'!$A:$D,3))</f>
        <v>U</v>
      </c>
      <c r="F35" s="55">
        <v>0.08</v>
      </c>
      <c r="G35" s="55">
        <f>IF($A35=0,"",VLOOKUP($A35,'BASE MATERIAL'!$A:$D,4))</f>
        <v>0.77</v>
      </c>
      <c r="H35" s="56">
        <f t="shared" si="4"/>
        <v>0.06</v>
      </c>
      <c r="I35" s="2"/>
      <c r="L35" s="2"/>
      <c r="M35" s="2"/>
      <c r="N35" s="39"/>
      <c r="O35" s="2"/>
      <c r="P35" s="2"/>
    </row>
    <row r="36" spans="1:16" ht="15" x14ac:dyDescent="0.25">
      <c r="A36" s="103">
        <v>11015</v>
      </c>
      <c r="B36" s="38" t="str">
        <f>IF($A36=0,"",VLOOKUP($A36,'BASE MATERIAL'!$A:$D,2))</f>
        <v>CANDADO</v>
      </c>
      <c r="C36" s="2"/>
      <c r="D36" s="77"/>
      <c r="E36" s="78" t="str">
        <f>IF($A36=0,"",VLOOKUP($A36,'BASE MATERIAL'!$A:$D,3))</f>
        <v>U</v>
      </c>
      <c r="F36" s="55">
        <v>0.08</v>
      </c>
      <c r="G36" s="55">
        <f>IF($A36=0,"",VLOOKUP($A36,'BASE MATERIAL'!$A:$D,4))</f>
        <v>6.39</v>
      </c>
      <c r="H36" s="56">
        <f t="shared" si="4"/>
        <v>0.51</v>
      </c>
      <c r="I36" s="2"/>
      <c r="L36" s="2"/>
      <c r="M36" s="2"/>
      <c r="N36" s="39"/>
      <c r="O36" s="2"/>
      <c r="P36" s="2"/>
    </row>
    <row r="37" spans="1:16" ht="15" x14ac:dyDescent="0.25">
      <c r="A37" s="103">
        <v>11017</v>
      </c>
      <c r="B37" s="38" t="str">
        <f>IF($A37=0,"",VLOOKUP($A37,'BASE MATERIAL'!$A:$D,2))</f>
        <v>PLYWOOD CASETA 9MM</v>
      </c>
      <c r="C37" s="2"/>
      <c r="D37" s="77"/>
      <c r="E37" s="78" t="str">
        <f>IF($A37=0,"",VLOOKUP($A37,'BASE MATERIAL'!$A:$D,3))</f>
        <v>U</v>
      </c>
      <c r="F37" s="55">
        <v>0.5</v>
      </c>
      <c r="G37" s="55">
        <f>IF($A37=0,"",VLOOKUP($A37,'BASE MATERIAL'!$A:$D,4))</f>
        <v>24.17</v>
      </c>
      <c r="H37" s="56">
        <f t="shared" si="4"/>
        <v>12.09</v>
      </c>
      <c r="I37" s="2"/>
    </row>
    <row r="38" spans="1:16" ht="15" x14ac:dyDescent="0.25">
      <c r="A38" s="103"/>
      <c r="B38" s="38" t="str">
        <f>IF($A38=0,"",VLOOKUP($A38,'BASE MATERIAL'!$A:$D,2))</f>
        <v/>
      </c>
      <c r="C38" s="2"/>
      <c r="D38" s="77"/>
      <c r="E38" s="78" t="str">
        <f>IF($A38=0,"",VLOOKUP($A38,'BASE MATERIAL'!$A:$D,3))</f>
        <v/>
      </c>
      <c r="F38" s="55"/>
      <c r="G38" s="55" t="str">
        <f>IF($A38=0,"",VLOOKUP($A38,'BASE MATERIAL'!$A:$D,4))</f>
        <v/>
      </c>
      <c r="H38" s="56" t="str">
        <f t="shared" si="4"/>
        <v/>
      </c>
      <c r="I38" s="2"/>
      <c r="L38" s="2"/>
      <c r="M38" s="2"/>
      <c r="N38" s="39"/>
      <c r="O38" s="2"/>
      <c r="P38" s="2"/>
    </row>
    <row r="39" spans="1:16" ht="15" x14ac:dyDescent="0.25">
      <c r="A39" s="103"/>
      <c r="B39" s="38" t="str">
        <f>IF($A39=0,"",VLOOKUP($A39,'BASE MATERIAL'!$A:$D,2))</f>
        <v/>
      </c>
      <c r="C39" s="2"/>
      <c r="D39" s="77"/>
      <c r="E39" s="78" t="str">
        <f>IF($A39=0,"",VLOOKUP($A39,'BASE MATERIAL'!$A:$D,3))</f>
        <v/>
      </c>
      <c r="F39" s="55"/>
      <c r="G39" s="55" t="str">
        <f>IF($A39=0,"",VLOOKUP($A39,'BASE MATERIAL'!$A:$D,4))</f>
        <v/>
      </c>
      <c r="H39" s="56" t="str">
        <f t="shared" si="4"/>
        <v/>
      </c>
      <c r="I39" s="2"/>
      <c r="L39" s="2"/>
      <c r="M39" s="2"/>
      <c r="N39" s="39"/>
      <c r="O39" s="2"/>
      <c r="P39" s="2"/>
    </row>
    <row r="40" spans="1:16" ht="15" x14ac:dyDescent="0.25">
      <c r="A40" s="103"/>
      <c r="B40" s="38" t="str">
        <f>IF($A40=0,"",VLOOKUP($A40,'BASE MATERIAL'!$A:$D,2))</f>
        <v/>
      </c>
      <c r="C40" s="2"/>
      <c r="D40" s="77"/>
      <c r="E40" s="78" t="str">
        <f>IF($A40=0,"",VLOOKUP($A40,'BASE MATERIAL'!$A:$D,3))</f>
        <v/>
      </c>
      <c r="F40" s="55"/>
      <c r="G40" s="55" t="str">
        <f>IF($A40=0,"",VLOOKUP($A40,'BASE MATERIAL'!$A:$D,4))</f>
        <v/>
      </c>
      <c r="H40" s="56" t="str">
        <f t="shared" si="4"/>
        <v/>
      </c>
      <c r="I40" s="2"/>
    </row>
    <row r="41" spans="1:16" ht="15" x14ac:dyDescent="0.25">
      <c r="A41" s="103"/>
      <c r="B41" s="38" t="str">
        <f>IF($A41=0,"",VLOOKUP($A41,'BASE MATERIAL'!$A:$D,2))</f>
        <v/>
      </c>
      <c r="C41" s="2"/>
      <c r="D41" s="77"/>
      <c r="E41" s="78" t="str">
        <f>IF($A41=0,"",VLOOKUP($A41,'BASE MATERIAL'!$A:$D,3))</f>
        <v/>
      </c>
      <c r="F41" s="55"/>
      <c r="G41" s="55" t="str">
        <f>IF($A41=0,"",VLOOKUP($A41,'BASE MATERIAL'!$A:$D,4))</f>
        <v/>
      </c>
      <c r="H41" s="56" t="str">
        <f t="shared" si="4"/>
        <v/>
      </c>
      <c r="I41" s="2"/>
    </row>
    <row r="42" spans="1:16" ht="15" x14ac:dyDescent="0.25">
      <c r="A42" s="103"/>
      <c r="B42" s="38" t="str">
        <f>IF($A42=0,"",VLOOKUP($A42,'BASE MATERIAL'!$A:$D,2))</f>
        <v/>
      </c>
      <c r="C42" s="2"/>
      <c r="D42" s="77"/>
      <c r="E42" s="78" t="str">
        <f>IF($A42=0,"",VLOOKUP($A42,'BASE MATERIAL'!$A:$D,3))</f>
        <v/>
      </c>
      <c r="F42" s="55"/>
      <c r="G42" s="55" t="str">
        <f>IF($A42=0,"",VLOOKUP($A42,'BASE MATERIAL'!$A:$D,4))</f>
        <v/>
      </c>
      <c r="H42" s="56" t="str">
        <f t="shared" si="4"/>
        <v/>
      </c>
      <c r="I42" s="2"/>
    </row>
    <row r="43" spans="1:16" ht="15" x14ac:dyDescent="0.25">
      <c r="A43" s="103"/>
      <c r="B43" s="38" t="str">
        <f>IF($A43=0,"",VLOOKUP($A43,'BASE MATERIAL'!$A:$D,2))</f>
        <v/>
      </c>
      <c r="C43" s="2"/>
      <c r="D43" s="77"/>
      <c r="E43" s="78" t="str">
        <f>IF($A43=0,"",VLOOKUP($A43,'BASE MATERIAL'!$A:$D,3))</f>
        <v/>
      </c>
      <c r="F43" s="55"/>
      <c r="G43" s="55" t="str">
        <f>IF($A43=0,"",VLOOKUP($A43,'BASE MATERIAL'!$A:$D,4))</f>
        <v/>
      </c>
      <c r="H43" s="56" t="str">
        <f t="shared" si="4"/>
        <v/>
      </c>
      <c r="I43" s="2"/>
    </row>
    <row r="44" spans="1:16" ht="15" x14ac:dyDescent="0.25">
      <c r="A44" s="103"/>
      <c r="B44" s="38" t="str">
        <f>IF($A44=0,"",VLOOKUP($A44,'BASE MATERIAL'!$A:$D,2))</f>
        <v/>
      </c>
      <c r="C44" s="2"/>
      <c r="D44" s="81" t="s">
        <v>1682</v>
      </c>
      <c r="E44" s="55" t="str">
        <f>IF($A44=0,"",VLOOKUP($A44,'BASE MATERIAL'!$A:$D,3))</f>
        <v/>
      </c>
      <c r="F44" s="55" t="s">
        <v>1682</v>
      </c>
      <c r="G44" s="55" t="str">
        <f>IF($A44=0,"",VLOOKUP($A44,'BASE MATERIAL'!$A:$D,4))</f>
        <v/>
      </c>
      <c r="H44" s="56" t="str">
        <f>IF($A44=0,"",ROUND(E44*F44,2))</f>
        <v/>
      </c>
      <c r="I44" s="2"/>
    </row>
    <row r="45" spans="1:16" ht="15" x14ac:dyDescent="0.25">
      <c r="A45" s="103"/>
      <c r="B45" s="73" t="s">
        <v>1681</v>
      </c>
      <c r="C45" s="65"/>
      <c r="D45" s="74"/>
      <c r="E45" s="74"/>
      <c r="F45" s="74"/>
      <c r="G45" s="74"/>
      <c r="H45" s="75">
        <f>ROUND(SUM(H28:H44),2)</f>
        <v>33.68</v>
      </c>
      <c r="I45" s="2"/>
    </row>
    <row r="46" spans="1:16" ht="15" x14ac:dyDescent="0.25">
      <c r="A46" s="103"/>
      <c r="B46" s="38" t="s">
        <v>1680</v>
      </c>
      <c r="C46" s="2"/>
      <c r="D46" s="3"/>
      <c r="E46" s="3"/>
      <c r="F46" s="3"/>
      <c r="G46" s="3"/>
      <c r="H46" s="56"/>
      <c r="I46" s="2"/>
    </row>
    <row r="47" spans="1:16" ht="25.5" x14ac:dyDescent="0.25">
      <c r="A47" s="103"/>
      <c r="B47" s="64" t="s">
        <v>1409</v>
      </c>
      <c r="C47" s="65"/>
      <c r="D47" s="76"/>
      <c r="E47" s="66" t="s">
        <v>1408</v>
      </c>
      <c r="F47" s="66" t="s">
        <v>1679</v>
      </c>
      <c r="G47" s="66" t="s">
        <v>1676</v>
      </c>
      <c r="H47" s="68" t="s">
        <v>1675</v>
      </c>
      <c r="I47" s="2"/>
    </row>
    <row r="48" spans="1:16" ht="15" x14ac:dyDescent="0.25">
      <c r="A48" s="103">
        <v>19019</v>
      </c>
      <c r="B48" s="51" t="str">
        <f>IF($A48=0,"",VLOOKUP($A48,'BASE EQUIPO'!$A:$D,2))</f>
        <v>TRANSPORTE DE MATERIAL</v>
      </c>
      <c r="C48" s="52"/>
      <c r="D48" s="82"/>
      <c r="E48" s="78" t="str">
        <f>IF($A48=0,"",VLOOKUP($A48,'BASE EQUIPO'!$A:$D,3))</f>
        <v>GLOBAL</v>
      </c>
      <c r="F48" s="55">
        <v>1</v>
      </c>
      <c r="G48" s="83">
        <f>IF($A48=0,"",VLOOKUP($A48,'BASE EQUIPO'!$A:$D,4)*H45)</f>
        <v>1.0104</v>
      </c>
      <c r="H48" s="56">
        <f>IF($A48=0,"",ROUND(F48*G48,2))</f>
        <v>1.01</v>
      </c>
      <c r="I48" s="2"/>
    </row>
    <row r="49" spans="1:15" ht="15" x14ac:dyDescent="0.25">
      <c r="A49" s="103"/>
      <c r="B49" s="38" t="str">
        <f>IF($A49=0,"",VLOOKUP($A49,'BASE EQUIPO'!$A:$D,2))</f>
        <v/>
      </c>
      <c r="C49" s="2"/>
      <c r="D49" s="84"/>
      <c r="E49" s="78" t="str">
        <f>IF($A49=0,"",VLOOKUP($A49,'BASE EQUIPO'!$A:$D,3))</f>
        <v/>
      </c>
      <c r="F49" s="55"/>
      <c r="G49" s="55" t="str">
        <f>IF($A49=0,"",VLOOKUP($A49,'BASE EQUIPO'!$A:$D,4)*H46)</f>
        <v/>
      </c>
      <c r="H49" s="56" t="str">
        <f>IF($A49=0,"",ROUND(F49*G49,2))</f>
        <v/>
      </c>
      <c r="I49" s="2"/>
    </row>
    <row r="50" spans="1:15" ht="15" x14ac:dyDescent="0.25">
      <c r="A50" s="103"/>
      <c r="B50" s="57" t="str">
        <f>IF($A50=0,"",VLOOKUP($A50,'BASE EQUIPO'!$A:$D,2))</f>
        <v/>
      </c>
      <c r="C50" s="58"/>
      <c r="D50" s="85"/>
      <c r="E50" s="86" t="str">
        <f>IF($A50=0,"",VLOOKUP($A50,'BASE EQUIPO'!$A:$D,3))</f>
        <v/>
      </c>
      <c r="F50" s="59"/>
      <c r="G50" s="59" t="str">
        <f>IF($A50=0,"",VLOOKUP($A50,'BASE EQUIPO'!$A:$D,4)*H47)</f>
        <v/>
      </c>
      <c r="H50" s="60" t="str">
        <f>IF($A50=0,"",ROUND(F50*G50,2))</f>
        <v/>
      </c>
      <c r="I50" s="2"/>
    </row>
    <row r="51" spans="1:15" ht="15.75" thickBot="1" x14ac:dyDescent="0.3">
      <c r="A51" s="103"/>
      <c r="B51" s="87" t="s">
        <v>1674</v>
      </c>
      <c r="C51" s="88"/>
      <c r="D51" s="89"/>
      <c r="E51" s="89"/>
      <c r="F51" s="89"/>
      <c r="G51" s="89"/>
      <c r="H51" s="90">
        <f>ROUND(SUM(H47:H50),2)</f>
        <v>1.01</v>
      </c>
      <c r="I51" s="2"/>
    </row>
    <row r="52" spans="1:15" ht="15.75" x14ac:dyDescent="0.25">
      <c r="A52" s="103"/>
      <c r="B52" s="2"/>
      <c r="C52" s="2"/>
      <c r="D52" s="91" t="s">
        <v>1673</v>
      </c>
      <c r="E52" s="47"/>
      <c r="F52" s="47"/>
      <c r="G52" s="47"/>
      <c r="H52" s="92">
        <f>ROUND(SUM(H51,H45,H26,H16),2)</f>
        <v>42.5</v>
      </c>
      <c r="I52" s="2"/>
    </row>
    <row r="53" spans="1:15" ht="15.75" x14ac:dyDescent="0.25">
      <c r="A53" s="103">
        <v>40002</v>
      </c>
      <c r="B53" s="2"/>
      <c r="C53" s="2"/>
      <c r="D53" s="93" t="s">
        <v>1672</v>
      </c>
      <c r="E53" s="65"/>
      <c r="F53" s="65"/>
      <c r="G53" s="94">
        <f>IF($A53=0,"",VLOOKUP($A53,'BASE MATERIAL'!$M:$P,4))</f>
        <v>0</v>
      </c>
      <c r="H53" s="95">
        <f>IF($A53=0,"",ROUND(G53*H52,2))</f>
        <v>0</v>
      </c>
      <c r="I53" s="2"/>
    </row>
    <row r="54" spans="1:15" ht="15.75" x14ac:dyDescent="0.25">
      <c r="A54" s="103">
        <v>40003</v>
      </c>
      <c r="B54" s="2"/>
      <c r="C54" s="2"/>
      <c r="D54" s="93" t="s">
        <v>1671</v>
      </c>
      <c r="E54" s="65"/>
      <c r="F54" s="65"/>
      <c r="G54" s="94">
        <f>IF($A54=0,"",VLOOKUP($A54,'BASE MATERIAL'!$M:$P,4))</f>
        <v>0</v>
      </c>
      <c r="H54" s="95">
        <f>IF($A54=0,"",ROUND(G54*H52,2))</f>
        <v>0</v>
      </c>
      <c r="I54" s="2"/>
    </row>
    <row r="55" spans="1:15" ht="15.75" x14ac:dyDescent="0.25">
      <c r="A55" s="103"/>
      <c r="B55" s="2"/>
      <c r="C55" s="2"/>
      <c r="D55" s="93" t="s">
        <v>1670</v>
      </c>
      <c r="E55" s="65"/>
      <c r="F55" s="65"/>
      <c r="G55" s="65"/>
      <c r="H55" s="96">
        <f>ROUND(SUM(H52:H54),2)</f>
        <v>42.5</v>
      </c>
      <c r="I55" s="2"/>
    </row>
    <row r="56" spans="1:15" ht="16.5" thickBot="1" x14ac:dyDescent="0.3">
      <c r="A56" s="103"/>
      <c r="B56" s="25"/>
      <c r="C56" s="2"/>
      <c r="D56" s="97" t="s">
        <v>1650</v>
      </c>
      <c r="E56" s="88"/>
      <c r="F56" s="88"/>
      <c r="G56" s="88"/>
      <c r="H56" s="98">
        <f>ROUND(H55,2)</f>
        <v>42.5</v>
      </c>
      <c r="I56" s="2"/>
    </row>
    <row r="57" spans="1:15" ht="15.75" x14ac:dyDescent="0.25">
      <c r="A57" s="103"/>
      <c r="B57" s="34" t="s">
        <v>1701</v>
      </c>
      <c r="C57" s="2"/>
      <c r="D57" s="3" t="str">
        <f>$D$1</f>
        <v>ESPOL</v>
      </c>
      <c r="E57" s="2"/>
      <c r="F57" s="2"/>
      <c r="H57" s="2" t="s">
        <v>108</v>
      </c>
      <c r="I57" s="2"/>
      <c r="L57" s="40">
        <f>A61</f>
        <v>2</v>
      </c>
      <c r="M57" s="1" t="str">
        <f>C62</f>
        <v xml:space="preserve">Instalación eléctrica provisional </v>
      </c>
      <c r="N57" s="2" t="str">
        <f>H61</f>
        <v>Global</v>
      </c>
      <c r="O57" s="2">
        <f>H112</f>
        <v>440.6</v>
      </c>
    </row>
    <row r="58" spans="1:15" ht="15.75" x14ac:dyDescent="0.25">
      <c r="A58" s="103"/>
      <c r="B58" s="34" t="s">
        <v>1700</v>
      </c>
      <c r="C58" s="3">
        <f>'1.1'!$C$2</f>
        <v>0</v>
      </c>
      <c r="D58" s="2"/>
      <c r="E58" s="2"/>
      <c r="F58" s="2"/>
      <c r="G58" s="41" t="s">
        <v>1699</v>
      </c>
      <c r="H58" s="42"/>
      <c r="I58" s="2" t="s">
        <v>1698</v>
      </c>
    </row>
    <row r="59" spans="1:15" ht="15.75" x14ac:dyDescent="0.25">
      <c r="A59" s="103"/>
      <c r="B59" s="34"/>
      <c r="C59" s="3">
        <f>'1.1'!$C$3</f>
        <v>0</v>
      </c>
      <c r="D59" s="2"/>
      <c r="E59" s="2"/>
      <c r="F59" s="2"/>
      <c r="G59" s="2"/>
      <c r="H59" s="2"/>
      <c r="I59" s="2"/>
    </row>
    <row r="60" spans="1:15" ht="15.75" x14ac:dyDescent="0.25">
      <c r="A60" s="103"/>
      <c r="B60" s="34" t="s">
        <v>1697</v>
      </c>
      <c r="C60" s="3"/>
      <c r="D60" s="2"/>
      <c r="E60" s="2"/>
      <c r="F60" s="2"/>
      <c r="G60" s="2"/>
      <c r="H60" s="2"/>
      <c r="I60" s="2"/>
    </row>
    <row r="61" spans="1:15" ht="15" x14ac:dyDescent="0.25">
      <c r="A61" s="104">
        <v>2</v>
      </c>
      <c r="B61" s="2" t="s">
        <v>1586</v>
      </c>
      <c r="C61" s="101" t="s">
        <v>1580</v>
      </c>
      <c r="D61" s="2"/>
      <c r="G61" s="2" t="s">
        <v>1696</v>
      </c>
      <c r="H61" s="3" t="s">
        <v>1566</v>
      </c>
      <c r="I61" s="2"/>
    </row>
    <row r="62" spans="1:15" ht="15" x14ac:dyDescent="0.25">
      <c r="A62" s="103"/>
      <c r="B62" s="1" t="s">
        <v>1585</v>
      </c>
      <c r="C62" s="36" t="s">
        <v>1579</v>
      </c>
      <c r="D62" s="2"/>
      <c r="E62" s="2"/>
      <c r="F62" s="2"/>
      <c r="G62" s="2"/>
      <c r="H62" s="2"/>
      <c r="I62" s="2"/>
    </row>
    <row r="63" spans="1:15" ht="15.75" thickBot="1" x14ac:dyDescent="0.3">
      <c r="A63" s="103"/>
      <c r="D63" s="2"/>
      <c r="E63" s="2"/>
      <c r="F63" s="2"/>
      <c r="G63" s="2"/>
      <c r="H63" s="2"/>
      <c r="I63" s="2"/>
    </row>
    <row r="64" spans="1:15" ht="15.75" thickBot="1" x14ac:dyDescent="0.3">
      <c r="A64" s="103"/>
      <c r="B64" s="43" t="s">
        <v>1695</v>
      </c>
      <c r="C64" s="44"/>
      <c r="D64" s="44"/>
      <c r="E64" s="44"/>
      <c r="F64" s="44"/>
      <c r="G64" s="44"/>
      <c r="H64" s="45"/>
      <c r="I64" s="2"/>
    </row>
    <row r="65" spans="1:9" ht="25.5" x14ac:dyDescent="0.25">
      <c r="A65" s="103"/>
      <c r="B65" s="46" t="s">
        <v>1409</v>
      </c>
      <c r="C65" s="47"/>
      <c r="D65" s="48" t="s">
        <v>1690</v>
      </c>
      <c r="E65" s="48" t="s">
        <v>1694</v>
      </c>
      <c r="F65" s="48" t="s">
        <v>1693</v>
      </c>
      <c r="G65" s="49" t="s">
        <v>1687</v>
      </c>
      <c r="H65" s="50" t="s">
        <v>1686</v>
      </c>
      <c r="I65" s="2"/>
    </row>
    <row r="66" spans="1:9" ht="15" x14ac:dyDescent="0.25">
      <c r="A66" s="103">
        <v>19015</v>
      </c>
      <c r="B66" s="51" t="str">
        <f>IF($A66=0,"",VLOOKUP($A66,'BASE EQUIPO'!$A:$D,2))</f>
        <v>HERRAMIENTA MENOR</v>
      </c>
      <c r="C66" s="52"/>
      <c r="D66" s="53">
        <v>1</v>
      </c>
      <c r="E66" s="53">
        <f>IF($A66=0,"",VLOOKUP($A66,'BASE EQUIPO'!$A:$D,4)*H82)</f>
        <v>2.4234</v>
      </c>
      <c r="F66" s="53">
        <f t="shared" ref="F66:F71" si="5">IF($A66=0,"",ROUND(D66*E66,2))</f>
        <v>2.42</v>
      </c>
      <c r="G66" s="105">
        <v>1</v>
      </c>
      <c r="H66" s="54">
        <f t="shared" ref="H66:H71" si="6">IF($A66=0,"",ROUND(G66*F66,2))</f>
        <v>2.42</v>
      </c>
      <c r="I66" s="2"/>
    </row>
    <row r="67" spans="1:9" ht="15" x14ac:dyDescent="0.25">
      <c r="A67" s="103"/>
      <c r="B67" s="38" t="str">
        <f>IF($A67=0,"",VLOOKUP($A67,'BASE EQUIPO'!$A:$D,2))</f>
        <v/>
      </c>
      <c r="C67" s="2"/>
      <c r="D67" s="55"/>
      <c r="E67" s="55" t="str">
        <f>IF($A67=0,"",VLOOKUP($A67,'BASE EQUIPO'!$A:$D,4))</f>
        <v/>
      </c>
      <c r="F67" s="55" t="str">
        <f t="shared" si="5"/>
        <v/>
      </c>
      <c r="G67" s="106"/>
      <c r="H67" s="56" t="str">
        <f t="shared" si="6"/>
        <v/>
      </c>
      <c r="I67" s="2"/>
    </row>
    <row r="68" spans="1:9" ht="15" x14ac:dyDescent="0.25">
      <c r="A68" s="103"/>
      <c r="B68" s="38" t="str">
        <f>IF($A68=0,"",VLOOKUP($A68,'BASE EQUIPO'!$A:$D,2))</f>
        <v/>
      </c>
      <c r="C68" s="2"/>
      <c r="D68" s="55"/>
      <c r="E68" s="55" t="str">
        <f>IF($A68=0,"",VLOOKUP($A68,'BASE EQUIPO'!$A:$D,4))</f>
        <v/>
      </c>
      <c r="F68" s="55" t="str">
        <f t="shared" si="5"/>
        <v/>
      </c>
      <c r="G68" s="106"/>
      <c r="H68" s="56" t="str">
        <f t="shared" si="6"/>
        <v/>
      </c>
      <c r="I68" s="2"/>
    </row>
    <row r="69" spans="1:9" ht="15" x14ac:dyDescent="0.25">
      <c r="A69" s="103"/>
      <c r="B69" s="38" t="str">
        <f>IF($A69=0,"",VLOOKUP($A69,'BASE EQUIPO'!$A:$D,2))</f>
        <v/>
      </c>
      <c r="C69" s="2"/>
      <c r="D69" s="55"/>
      <c r="E69" s="55" t="str">
        <f>IF($A69=0,"",VLOOKUP($A69,'BASE EQUIPO'!$A:$D,4))</f>
        <v/>
      </c>
      <c r="F69" s="55" t="str">
        <f t="shared" si="5"/>
        <v/>
      </c>
      <c r="G69" s="106"/>
      <c r="H69" s="56" t="str">
        <f t="shared" si="6"/>
        <v/>
      </c>
      <c r="I69" s="2"/>
    </row>
    <row r="70" spans="1:9" ht="15" x14ac:dyDescent="0.25">
      <c r="A70" s="103"/>
      <c r="B70" s="38" t="str">
        <f>IF($A70=0,"",VLOOKUP($A70,'BASE EQUIPO'!$A:$D,2))</f>
        <v/>
      </c>
      <c r="C70" s="2"/>
      <c r="D70" s="55"/>
      <c r="E70" s="55" t="str">
        <f>IF($A70=0,"",VLOOKUP($A70,'BASE EQUIPO'!$A:$D,4))</f>
        <v/>
      </c>
      <c r="F70" s="55" t="str">
        <f t="shared" si="5"/>
        <v/>
      </c>
      <c r="G70" s="106"/>
      <c r="H70" s="56" t="str">
        <f t="shared" si="6"/>
        <v/>
      </c>
      <c r="I70" s="2"/>
    </row>
    <row r="71" spans="1:9" ht="15" x14ac:dyDescent="0.25">
      <c r="A71" s="103"/>
      <c r="B71" s="57" t="str">
        <f>IF($A71=0,"",VLOOKUP($A71,'BASE EQUIPO'!$A:$D,2))</f>
        <v/>
      </c>
      <c r="C71" s="58"/>
      <c r="D71" s="59"/>
      <c r="E71" s="59" t="str">
        <f>IF($A71=0,"",VLOOKUP($A71,'BASE EQUIPO'!$A:$D,4))</f>
        <v/>
      </c>
      <c r="F71" s="59" t="str">
        <f t="shared" si="5"/>
        <v/>
      </c>
      <c r="G71" s="107"/>
      <c r="H71" s="60" t="str">
        <f t="shared" si="6"/>
        <v/>
      </c>
      <c r="I71" s="2"/>
    </row>
    <row r="72" spans="1:9" ht="15" x14ac:dyDescent="0.25">
      <c r="A72" s="103"/>
      <c r="B72" s="57" t="s">
        <v>1692</v>
      </c>
      <c r="C72" s="58"/>
      <c r="D72" s="61"/>
      <c r="E72" s="61"/>
      <c r="F72" s="61"/>
      <c r="G72" s="62"/>
      <c r="H72" s="60">
        <f>ROUND(SUM(H65:H71),2)</f>
        <v>2.42</v>
      </c>
      <c r="I72" s="2"/>
    </row>
    <row r="73" spans="1:9" ht="15" x14ac:dyDescent="0.25">
      <c r="A73" s="103"/>
      <c r="B73" s="38" t="s">
        <v>1503</v>
      </c>
      <c r="C73" s="2"/>
      <c r="D73" s="3"/>
      <c r="E73" s="3"/>
      <c r="F73" s="3"/>
      <c r="G73" s="63"/>
      <c r="H73" s="56"/>
      <c r="I73" s="2"/>
    </row>
    <row r="74" spans="1:9" ht="25.5" x14ac:dyDescent="0.25">
      <c r="A74" s="103"/>
      <c r="B74" s="64" t="s">
        <v>1691</v>
      </c>
      <c r="C74" s="65"/>
      <c r="D74" s="66" t="s">
        <v>1690</v>
      </c>
      <c r="E74" s="66" t="s">
        <v>1689</v>
      </c>
      <c r="F74" s="66" t="s">
        <v>1688</v>
      </c>
      <c r="G74" s="67" t="s">
        <v>1687</v>
      </c>
      <c r="H74" s="68" t="s">
        <v>1686</v>
      </c>
      <c r="I74" s="2"/>
    </row>
    <row r="75" spans="1:9" ht="15" x14ac:dyDescent="0.25">
      <c r="A75" s="103">
        <v>20001</v>
      </c>
      <c r="B75" s="69" t="str">
        <f>IF($A75=0,"",VLOOKUP($A75,'BASE M-OBRA'!$A:$D,2))</f>
        <v>MAESTRO</v>
      </c>
      <c r="C75" s="2"/>
      <c r="D75" s="108">
        <v>1</v>
      </c>
      <c r="E75" s="70">
        <f>IF($A75=0,"",VLOOKUP($A75,'BASE M-OBRA'!$A:$D,4))</f>
        <v>3.02</v>
      </c>
      <c r="F75" s="55">
        <f t="shared" ref="F75:F81" si="7">IF($A75=0,"",ROUND(D75*E75,2))</f>
        <v>3.02</v>
      </c>
      <c r="G75" s="106">
        <f>IF($A75=0,"",ROUND(H75/F75,2))</f>
        <v>4.46</v>
      </c>
      <c r="H75" s="56">
        <f>IF($A75=0,"",ROUND(SUM(H76:H81)*'BASE M-OBRA'!$D$23,2))</f>
        <v>13.46</v>
      </c>
      <c r="I75" s="2"/>
    </row>
    <row r="76" spans="1:9" ht="15" x14ac:dyDescent="0.25">
      <c r="A76" s="103">
        <v>20017</v>
      </c>
      <c r="B76" s="69" t="str">
        <f>IF($A76=0,"",VLOOKUP($A76,'BASE M-OBRA'!$A:$D,2))</f>
        <v>ELECTRICISTA</v>
      </c>
      <c r="C76" s="2"/>
      <c r="D76" s="108">
        <v>1</v>
      </c>
      <c r="E76" s="70">
        <f>IF($A76=0,"",VLOOKUP($A76,'BASE M-OBRA'!$A:$D,4))</f>
        <v>2.82</v>
      </c>
      <c r="F76" s="55">
        <f t="shared" si="7"/>
        <v>2.82</v>
      </c>
      <c r="G76" s="106">
        <v>12</v>
      </c>
      <c r="H76" s="56">
        <f t="shared" ref="H76:H81" si="8">IF($A76=0,"",ROUND(G76*F76,2))</f>
        <v>33.840000000000003</v>
      </c>
      <c r="I76" s="2"/>
    </row>
    <row r="77" spans="1:9" ht="15" x14ac:dyDescent="0.25">
      <c r="A77" s="103">
        <v>20011</v>
      </c>
      <c r="B77" s="69" t="str">
        <f>IF($A77=0,"",VLOOKUP($A77,'BASE M-OBRA'!$A:$D,2))</f>
        <v>AYUDANTE ESPECIALISTA</v>
      </c>
      <c r="C77" s="2"/>
      <c r="D77" s="108">
        <v>1</v>
      </c>
      <c r="E77" s="70">
        <f>IF($A77=0,"",VLOOKUP($A77,'BASE M-OBRA'!$A:$D,4))</f>
        <v>2.79</v>
      </c>
      <c r="F77" s="55">
        <f t="shared" si="7"/>
        <v>2.79</v>
      </c>
      <c r="G77" s="106">
        <f>+G76</f>
        <v>12</v>
      </c>
      <c r="H77" s="56">
        <f t="shared" si="8"/>
        <v>33.479999999999997</v>
      </c>
      <c r="I77" s="2"/>
    </row>
    <row r="78" spans="1:9" ht="15" x14ac:dyDescent="0.25">
      <c r="A78" s="103"/>
      <c r="B78" s="71" t="str">
        <f>IF($A78=0,"",VLOOKUP($A78,'BASE M-OBRA'!$A:$D,2))</f>
        <v/>
      </c>
      <c r="C78" s="2"/>
      <c r="D78" s="108"/>
      <c r="E78" s="70" t="str">
        <f>IF($A78=0,"",VLOOKUP($A78,'BASE M-OBRA'!$A:$D,4))</f>
        <v/>
      </c>
      <c r="F78" s="55" t="str">
        <f t="shared" si="7"/>
        <v/>
      </c>
      <c r="G78" s="106"/>
      <c r="H78" s="56" t="str">
        <f t="shared" si="8"/>
        <v/>
      </c>
      <c r="I78" s="2"/>
    </row>
    <row r="79" spans="1:9" ht="15" x14ac:dyDescent="0.25">
      <c r="A79" s="103"/>
      <c r="B79" s="72" t="str">
        <f>IF($A79=0,"",VLOOKUP($A79,'BASE M-OBRA'!$A:$D,2))</f>
        <v/>
      </c>
      <c r="C79" s="2"/>
      <c r="D79" s="108"/>
      <c r="E79" s="70" t="str">
        <f>IF($A79=0,"",VLOOKUP($A79,'BASE M-OBRA'!$A:$D,4))</f>
        <v/>
      </c>
      <c r="F79" s="55" t="str">
        <f t="shared" si="7"/>
        <v/>
      </c>
      <c r="G79" s="106"/>
      <c r="H79" s="56" t="str">
        <f t="shared" si="8"/>
        <v/>
      </c>
      <c r="I79" s="2"/>
    </row>
    <row r="80" spans="1:9" ht="15" x14ac:dyDescent="0.25">
      <c r="A80" s="103"/>
      <c r="B80" s="38" t="str">
        <f>IF($A80=0,"",VLOOKUP($A80,'BASE M-OBRA'!$A:$D,2))</f>
        <v/>
      </c>
      <c r="C80" s="2"/>
      <c r="D80" s="55"/>
      <c r="E80" s="55" t="str">
        <f>IF($A80=0,"",VLOOKUP($A80,'BASE M-OBRA'!$A:$D,4))</f>
        <v/>
      </c>
      <c r="F80" s="55" t="str">
        <f t="shared" si="7"/>
        <v/>
      </c>
      <c r="G80" s="106"/>
      <c r="H80" s="56" t="str">
        <f t="shared" si="8"/>
        <v/>
      </c>
      <c r="I80" s="2"/>
    </row>
    <row r="81" spans="1:16" ht="15" x14ac:dyDescent="0.25">
      <c r="A81" s="103"/>
      <c r="B81" s="57" t="str">
        <f>IF($A81=0,"",VLOOKUP($A81,'BASE M-OBRA'!$A:$D,2))</f>
        <v/>
      </c>
      <c r="C81" s="58"/>
      <c r="D81" s="59"/>
      <c r="E81" s="59" t="str">
        <f>IF($A81=0,"",VLOOKUP($A81,'BASE M-OBRA'!$A:$D,4))</f>
        <v/>
      </c>
      <c r="F81" s="59" t="str">
        <f t="shared" si="7"/>
        <v/>
      </c>
      <c r="G81" s="107"/>
      <c r="H81" s="60" t="str">
        <f t="shared" si="8"/>
        <v/>
      </c>
      <c r="I81" s="2"/>
    </row>
    <row r="82" spans="1:16" ht="15" x14ac:dyDescent="0.25">
      <c r="A82" s="103"/>
      <c r="B82" s="73" t="s">
        <v>1685</v>
      </c>
      <c r="C82" s="65"/>
      <c r="D82" s="74"/>
      <c r="E82" s="74"/>
      <c r="F82" s="74"/>
      <c r="G82" s="74"/>
      <c r="H82" s="75">
        <f>ROUND(SUM(H74:H81),2)</f>
        <v>80.78</v>
      </c>
      <c r="I82" s="2"/>
    </row>
    <row r="83" spans="1:16" ht="15" x14ac:dyDescent="0.25">
      <c r="A83" s="103"/>
      <c r="B83" s="38" t="s">
        <v>1684</v>
      </c>
      <c r="C83" s="2"/>
      <c r="D83" s="3"/>
      <c r="E83" s="3"/>
      <c r="F83" s="3"/>
      <c r="G83" s="3"/>
      <c r="H83" s="56"/>
      <c r="I83" s="2"/>
    </row>
    <row r="84" spans="1:16" ht="25.5" x14ac:dyDescent="0.25">
      <c r="A84" s="103"/>
      <c r="B84" s="64" t="s">
        <v>1409</v>
      </c>
      <c r="C84" s="65"/>
      <c r="D84" s="76"/>
      <c r="E84" s="66" t="s">
        <v>1408</v>
      </c>
      <c r="F84" s="66" t="s">
        <v>1679</v>
      </c>
      <c r="G84" s="66" t="s">
        <v>1683</v>
      </c>
      <c r="H84" s="68" t="s">
        <v>1675</v>
      </c>
      <c r="I84" s="2"/>
    </row>
    <row r="85" spans="1:16" ht="15" x14ac:dyDescent="0.25">
      <c r="A85" s="103">
        <v>18009</v>
      </c>
      <c r="B85" s="37" t="str">
        <f>IF($A85=0,"",VLOOKUP($A85,'BASE MATERIAL'!$A:$D,2))</f>
        <v>CABLE    # 6</v>
      </c>
      <c r="C85" s="2"/>
      <c r="D85" s="77"/>
      <c r="E85" s="78" t="str">
        <f>IF($A85=0,"",VLOOKUP($A85,'BASE MATERIAL'!$A:$D,3))</f>
        <v xml:space="preserve">m </v>
      </c>
      <c r="F85" s="55">
        <v>12</v>
      </c>
      <c r="G85" s="55">
        <f>IF($A85=0,"",VLOOKUP($A85,'BASE MATERIAL'!$A:$D,4))</f>
        <v>1.8941999999999999</v>
      </c>
      <c r="H85" s="56">
        <f t="shared" ref="H85:H99" si="9">IF($A85=0,"",ROUND(F85*G85,2))</f>
        <v>22.73</v>
      </c>
      <c r="I85" s="2"/>
      <c r="L85" s="2"/>
      <c r="M85" s="2"/>
      <c r="N85" s="39"/>
      <c r="O85" s="2"/>
      <c r="P85" s="2"/>
    </row>
    <row r="86" spans="1:16" ht="15" x14ac:dyDescent="0.25">
      <c r="A86" s="103">
        <v>18006</v>
      </c>
      <c r="B86" s="38" t="str">
        <f>IF($A86=0,"",VLOOKUP($A86,'BASE MATERIAL'!$A:$D,2))</f>
        <v>CABLE    #  8</v>
      </c>
      <c r="C86" s="2"/>
      <c r="D86" s="77"/>
      <c r="E86" s="78" t="str">
        <f>IF($A86=0,"",VLOOKUP($A86,'BASE MATERIAL'!$A:$D,3))</f>
        <v xml:space="preserve">m </v>
      </c>
      <c r="F86" s="55">
        <f>+F85*2</f>
        <v>24</v>
      </c>
      <c r="G86" s="55">
        <f>IF($A86=0,"",VLOOKUP($A86,'BASE MATERIAL'!$A:$D,4))</f>
        <v>1.1841999999999999</v>
      </c>
      <c r="H86" s="56">
        <f>IF($A86=0,"",ROUND(F86*G86,2))</f>
        <v>28.42</v>
      </c>
      <c r="I86" s="2"/>
      <c r="L86" s="2"/>
      <c r="M86" s="2"/>
      <c r="N86" s="39"/>
      <c r="O86" s="2"/>
      <c r="P86" s="2"/>
    </row>
    <row r="87" spans="1:16" ht="15" x14ac:dyDescent="0.25">
      <c r="A87" s="103">
        <v>18004</v>
      </c>
      <c r="B87" s="38" t="str">
        <f>IF($A87=0,"",VLOOKUP($A87,'BASE MATERIAL'!$A:$D,2))</f>
        <v>BREAKER GENERAL 70A 3P</v>
      </c>
      <c r="C87" s="2"/>
      <c r="D87" s="77"/>
      <c r="E87" s="78" t="str">
        <f>IF($A87=0,"",VLOOKUP($A87,'BASE MATERIAL'!$A:$D,3))</f>
        <v>U</v>
      </c>
      <c r="F87" s="55">
        <v>1</v>
      </c>
      <c r="G87" s="55">
        <f>IF($A87=0,"",VLOOKUP($A87,'BASE MATERIAL'!$A:$D,4))</f>
        <v>23</v>
      </c>
      <c r="H87" s="56">
        <f t="shared" si="9"/>
        <v>23</v>
      </c>
      <c r="I87" s="2"/>
      <c r="L87" s="2"/>
      <c r="M87" s="2"/>
      <c r="N87" s="39"/>
      <c r="O87" s="2"/>
      <c r="P87" s="2"/>
    </row>
    <row r="88" spans="1:16" ht="15" x14ac:dyDescent="0.25">
      <c r="A88" s="103">
        <v>18029</v>
      </c>
      <c r="B88" s="38" t="str">
        <f>IF($A88=0,"",VLOOKUP($A88,'BASE MATERIAL'!$A:$D,2))</f>
        <v xml:space="preserve">MEDIDOR   </v>
      </c>
      <c r="C88" s="2"/>
      <c r="D88" s="77"/>
      <c r="E88" s="78" t="str">
        <f>IF($A88=0,"",VLOOKUP($A88,'BASE MATERIAL'!$A:$D,3))</f>
        <v>U</v>
      </c>
      <c r="F88" s="55">
        <v>1</v>
      </c>
      <c r="G88" s="55">
        <f>IF($A88=0,"",VLOOKUP($A88,'BASE MATERIAL'!$A:$D,4))</f>
        <v>133</v>
      </c>
      <c r="H88" s="56">
        <f t="shared" si="9"/>
        <v>133</v>
      </c>
      <c r="I88" s="2"/>
      <c r="L88" s="2"/>
      <c r="M88" s="2"/>
      <c r="N88" s="39"/>
      <c r="O88" s="2"/>
      <c r="P88" s="2"/>
    </row>
    <row r="89" spans="1:16" ht="15" x14ac:dyDescent="0.25">
      <c r="A89" s="103">
        <v>18012</v>
      </c>
      <c r="B89" s="38" t="str">
        <f>IF($A89=0,"",VLOOKUP($A89,'BASE MATERIAL'!$A:$D,2))</f>
        <v>CAJA BREAKER: 4/8</v>
      </c>
      <c r="C89" s="2"/>
      <c r="D89" s="77"/>
      <c r="E89" s="78" t="str">
        <f>IF($A89=0,"",VLOOKUP($A89,'BASE MATERIAL'!$A:$D,3))</f>
        <v>U</v>
      </c>
      <c r="F89" s="55">
        <v>1</v>
      </c>
      <c r="G89" s="55">
        <f>IF($A89=0,"",VLOOKUP($A89,'BASE MATERIAL'!$A:$D,4))</f>
        <v>24.21</v>
      </c>
      <c r="H89" s="56">
        <f t="shared" si="9"/>
        <v>24.21</v>
      </c>
      <c r="I89" s="2"/>
      <c r="L89" s="2"/>
      <c r="M89" s="2"/>
      <c r="N89" s="39"/>
      <c r="O89" s="2"/>
      <c r="P89" s="2"/>
    </row>
    <row r="90" spans="1:16" ht="15" x14ac:dyDescent="0.25">
      <c r="A90" s="103">
        <v>18005</v>
      </c>
      <c r="B90" s="38" t="str">
        <f>IF($A90=0,"",VLOOKUP($A90,'BASE MATERIAL'!$A:$D,2))</f>
        <v>BREAKER 20 AMP. 1P</v>
      </c>
      <c r="C90" s="2"/>
      <c r="D90" s="77"/>
      <c r="E90" s="78" t="str">
        <f>IF($A90=0,"",VLOOKUP($A90,'BASE MATERIAL'!$A:$D,3))</f>
        <v>U</v>
      </c>
      <c r="F90" s="55">
        <v>1</v>
      </c>
      <c r="G90" s="55">
        <f>IF($A90=0,"",VLOOKUP($A90,'BASE MATERIAL'!$A:$D,4))</f>
        <v>4.5</v>
      </c>
      <c r="H90" s="56">
        <f t="shared" si="9"/>
        <v>4.5</v>
      </c>
      <c r="I90" s="2"/>
      <c r="L90" s="2"/>
      <c r="M90" s="2"/>
      <c r="N90" s="39"/>
      <c r="O90" s="2"/>
      <c r="P90" s="2"/>
    </row>
    <row r="91" spans="1:16" ht="15" x14ac:dyDescent="0.25">
      <c r="A91" s="103">
        <v>18050</v>
      </c>
      <c r="B91" s="38" t="str">
        <f>IF($A91=0,"",VLOOKUP($A91,'BASE MATERIAL'!$A:$D,2))</f>
        <v>BREAKER 40 AMP. 2P</v>
      </c>
      <c r="C91" s="2"/>
      <c r="D91" s="77"/>
      <c r="E91" s="78" t="str">
        <f>IF($A91=0,"",VLOOKUP($A91,'BASE MATERIAL'!$A:$D,3))</f>
        <v>U</v>
      </c>
      <c r="F91" s="55">
        <v>1</v>
      </c>
      <c r="G91" s="55">
        <f>IF($A91=0,"",VLOOKUP($A91,'BASE MATERIAL'!$A:$D,4))</f>
        <v>10.68</v>
      </c>
      <c r="H91" s="56">
        <f t="shared" si="9"/>
        <v>10.68</v>
      </c>
      <c r="I91" s="2"/>
      <c r="L91" s="2"/>
      <c r="M91" s="2"/>
      <c r="N91" s="39"/>
      <c r="O91" s="2"/>
      <c r="P91" s="2"/>
    </row>
    <row r="92" spans="1:16" ht="15" x14ac:dyDescent="0.25">
      <c r="A92" s="103">
        <v>18002</v>
      </c>
      <c r="B92" s="38" t="str">
        <f>IF($A92=0,"",VLOOKUP($A92,'BASE MATERIAL'!$A:$D,2))</f>
        <v>ALAMBRE CU TWG Nº 12</v>
      </c>
      <c r="C92" s="2"/>
      <c r="D92" s="77"/>
      <c r="E92" s="78" t="str">
        <f>IF($A92=0,"",VLOOKUP($A92,'BASE MATERIAL'!$A:$D,3))</f>
        <v xml:space="preserve">m </v>
      </c>
      <c r="F92" s="55">
        <f>10*3</f>
        <v>30</v>
      </c>
      <c r="G92" s="55">
        <f>IF($A92=0,"",VLOOKUP($A92,'BASE MATERIAL'!$A:$D,4))</f>
        <v>0.4073</v>
      </c>
      <c r="H92" s="56">
        <f t="shared" si="9"/>
        <v>12.22</v>
      </c>
      <c r="I92" s="2"/>
      <c r="L92" s="2"/>
      <c r="M92" s="2"/>
      <c r="N92" s="39"/>
      <c r="O92" s="2"/>
      <c r="P92" s="2"/>
    </row>
    <row r="93" spans="1:16" ht="15" x14ac:dyDescent="0.25">
      <c r="A93" s="103">
        <v>18051</v>
      </c>
      <c r="B93" s="38" t="str">
        <f>IF($A93=0,"",VLOOKUP($A93,'BASE MATERIAL'!$A:$D,2))</f>
        <v>PUNTOS DE ILUMINACION 120V</v>
      </c>
      <c r="C93" s="2"/>
      <c r="D93" s="77"/>
      <c r="E93" s="78" t="str">
        <f>IF($A93=0,"",VLOOKUP($A93,'BASE MATERIAL'!$A:$D,3))</f>
        <v>U</v>
      </c>
      <c r="F93" s="55">
        <v>3</v>
      </c>
      <c r="G93" s="55">
        <f>IF($A93=0,"",VLOOKUP($A93,'BASE MATERIAL'!$A:$D,4))</f>
        <v>12.86</v>
      </c>
      <c r="H93" s="56">
        <f t="shared" si="9"/>
        <v>38.58</v>
      </c>
      <c r="I93" s="2"/>
    </row>
    <row r="94" spans="1:16" ht="15" x14ac:dyDescent="0.25">
      <c r="A94" s="103">
        <v>18052</v>
      </c>
      <c r="B94" s="38" t="str">
        <f>IF($A94=0,"",VLOOKUP($A94,'BASE MATERIAL'!$A:$D,2))</f>
        <v>PUNTOS DE TOMACORRIENTE 120V</v>
      </c>
      <c r="C94" s="2"/>
      <c r="D94" s="77"/>
      <c r="E94" s="78" t="str">
        <f>IF($A94=0,"",VLOOKUP($A94,'BASE MATERIAL'!$A:$D,3))</f>
        <v>U</v>
      </c>
      <c r="F94" s="55">
        <v>3</v>
      </c>
      <c r="G94" s="55">
        <f>IF($A94=0,"",VLOOKUP($A94,'BASE MATERIAL'!$A:$D,4))</f>
        <v>13.75</v>
      </c>
      <c r="H94" s="56">
        <f t="shared" si="9"/>
        <v>41.25</v>
      </c>
      <c r="I94" s="2"/>
      <c r="L94" s="2"/>
      <c r="M94" s="2"/>
      <c r="N94" s="39"/>
      <c r="O94" s="2"/>
      <c r="P94" s="2"/>
    </row>
    <row r="95" spans="1:16" ht="15" x14ac:dyDescent="0.25">
      <c r="A95" s="103">
        <v>18053</v>
      </c>
      <c r="B95" s="38" t="str">
        <f>IF($A95=0,"",VLOOKUP($A95,'BASE MATERIAL'!$A:$D,2))</f>
        <v>FOCO</v>
      </c>
      <c r="C95" s="2"/>
      <c r="D95" s="77"/>
      <c r="E95" s="78" t="str">
        <f>IF($A95=0,"",VLOOKUP($A95,'BASE MATERIAL'!$A:$D,3))</f>
        <v>U</v>
      </c>
      <c r="F95" s="55">
        <v>3</v>
      </c>
      <c r="G95" s="55">
        <f>IF($A95=0,"",VLOOKUP($A95,'BASE MATERIAL'!$A:$D,4))</f>
        <v>2.8</v>
      </c>
      <c r="H95" s="56">
        <f t="shared" si="9"/>
        <v>8.4</v>
      </c>
      <c r="I95" s="2"/>
      <c r="L95" s="2"/>
      <c r="M95" s="2"/>
      <c r="N95" s="39"/>
      <c r="O95" s="2"/>
      <c r="P95" s="2"/>
    </row>
    <row r="96" spans="1:16" ht="15" x14ac:dyDescent="0.25">
      <c r="A96" s="103">
        <v>1</v>
      </c>
      <c r="B96" s="38" t="s">
        <v>606</v>
      </c>
      <c r="C96" s="2"/>
      <c r="D96" s="77"/>
      <c r="E96" s="78" t="s">
        <v>604</v>
      </c>
      <c r="F96" s="55">
        <v>0</v>
      </c>
      <c r="G96" s="55">
        <v>45</v>
      </c>
      <c r="H96" s="56">
        <f t="shared" si="9"/>
        <v>0</v>
      </c>
      <c r="I96" s="2"/>
    </row>
    <row r="97" spans="1:9" ht="15" x14ac:dyDescent="0.25">
      <c r="A97" s="103"/>
      <c r="B97" s="38" t="str">
        <f>IF($A97=0,"",VLOOKUP($A97,'BASE MATERIAL'!$A:$D,2))</f>
        <v/>
      </c>
      <c r="C97" s="2"/>
      <c r="D97" s="77"/>
      <c r="E97" s="78" t="str">
        <f>IF($A97=0,"",VLOOKUP($A97,'BASE MATERIAL'!$A:$D,3))</f>
        <v/>
      </c>
      <c r="F97" s="55"/>
      <c r="G97" s="55" t="str">
        <f>IF($A97=0,"",VLOOKUP($A97,'BASE MATERIAL'!$A:$D,4))</f>
        <v/>
      </c>
      <c r="H97" s="56" t="str">
        <f t="shared" si="9"/>
        <v/>
      </c>
      <c r="I97" s="2"/>
    </row>
    <row r="98" spans="1:9" ht="15" x14ac:dyDescent="0.25">
      <c r="A98" s="103"/>
      <c r="B98" s="38" t="str">
        <f>IF($A98=0,"",VLOOKUP($A98,'BASE MATERIAL'!$A:$D,2))</f>
        <v/>
      </c>
      <c r="C98" s="2"/>
      <c r="D98" s="77"/>
      <c r="E98" s="78" t="str">
        <f>IF($A98=0,"",VLOOKUP($A98,'BASE MATERIAL'!$A:$D,3))</f>
        <v/>
      </c>
      <c r="F98" s="55"/>
      <c r="G98" s="55" t="str">
        <f>IF($A98=0,"",VLOOKUP($A98,'BASE MATERIAL'!$A:$D,4))</f>
        <v/>
      </c>
      <c r="H98" s="56" t="str">
        <f t="shared" si="9"/>
        <v/>
      </c>
      <c r="I98" s="2"/>
    </row>
    <row r="99" spans="1:9" ht="15" x14ac:dyDescent="0.25">
      <c r="A99" s="103"/>
      <c r="B99" s="38" t="str">
        <f>IF($A99=0,"",VLOOKUP($A99,'BASE MATERIAL'!$A:$D,2))</f>
        <v/>
      </c>
      <c r="C99" s="2"/>
      <c r="D99" s="77"/>
      <c r="E99" s="78" t="str">
        <f>IF($A99=0,"",VLOOKUP($A99,'BASE MATERIAL'!$A:$D,3))</f>
        <v/>
      </c>
      <c r="F99" s="55"/>
      <c r="G99" s="55" t="str">
        <f>IF($A99=0,"",VLOOKUP($A99,'BASE MATERIAL'!$A:$D,4))</f>
        <v/>
      </c>
      <c r="H99" s="56" t="str">
        <f t="shared" si="9"/>
        <v/>
      </c>
      <c r="I99" s="2"/>
    </row>
    <row r="100" spans="1:9" ht="15" x14ac:dyDescent="0.25">
      <c r="A100" s="103"/>
      <c r="B100" s="38" t="str">
        <f>IF($A100=0,"",VLOOKUP($A100,'BASE MATERIAL'!$A:$D,2))</f>
        <v/>
      </c>
      <c r="C100" s="2"/>
      <c r="D100" s="81" t="s">
        <v>1682</v>
      </c>
      <c r="E100" s="55" t="str">
        <f>IF($A100=0,"",VLOOKUP($A100,'BASE MATERIAL'!$A:$D,3))</f>
        <v/>
      </c>
      <c r="F100" s="55" t="s">
        <v>1682</v>
      </c>
      <c r="G100" s="55" t="str">
        <f>IF($A100=0,"",VLOOKUP($A100,'BASE MATERIAL'!$A:$D,4))</f>
        <v/>
      </c>
      <c r="H100" s="56" t="str">
        <f>IF($A100=0,"",ROUND(E100*F100,2))</f>
        <v/>
      </c>
      <c r="I100" s="2"/>
    </row>
    <row r="101" spans="1:9" ht="15" x14ac:dyDescent="0.25">
      <c r="A101" s="103"/>
      <c r="B101" s="73" t="s">
        <v>1681</v>
      </c>
      <c r="C101" s="65"/>
      <c r="D101" s="74"/>
      <c r="E101" s="74"/>
      <c r="F101" s="74"/>
      <c r="G101" s="74"/>
      <c r="H101" s="75">
        <f>ROUND(SUM(H84:H100),2)</f>
        <v>346.99</v>
      </c>
      <c r="I101" s="2"/>
    </row>
    <row r="102" spans="1:9" ht="15" x14ac:dyDescent="0.25">
      <c r="A102" s="103"/>
      <c r="B102" s="38" t="s">
        <v>1680</v>
      </c>
      <c r="C102" s="2"/>
      <c r="D102" s="3"/>
      <c r="E102" s="3"/>
      <c r="F102" s="3"/>
      <c r="G102" s="3"/>
      <c r="H102" s="56"/>
      <c r="I102" s="2"/>
    </row>
    <row r="103" spans="1:9" ht="25.5" x14ac:dyDescent="0.25">
      <c r="A103" s="103"/>
      <c r="B103" s="64" t="s">
        <v>1409</v>
      </c>
      <c r="C103" s="65"/>
      <c r="D103" s="76"/>
      <c r="E103" s="66" t="s">
        <v>1408</v>
      </c>
      <c r="F103" s="66" t="s">
        <v>1679</v>
      </c>
      <c r="G103" s="66" t="s">
        <v>1676</v>
      </c>
      <c r="H103" s="68" t="s">
        <v>1675</v>
      </c>
      <c r="I103" s="2"/>
    </row>
    <row r="104" spans="1:9" ht="15" x14ac:dyDescent="0.25">
      <c r="A104" s="103">
        <v>19019</v>
      </c>
      <c r="B104" s="51" t="str">
        <f>IF($A104=0,"",VLOOKUP($A104,'BASE EQUIPO'!$A:$D,2))</f>
        <v>TRANSPORTE DE MATERIAL</v>
      </c>
      <c r="C104" s="52"/>
      <c r="D104" s="82"/>
      <c r="E104" s="78" t="str">
        <f>IF($A104=0,"",VLOOKUP($A104,'BASE EQUIPO'!$A:$D,3))</f>
        <v>GLOBAL</v>
      </c>
      <c r="F104" s="55">
        <v>1</v>
      </c>
      <c r="G104" s="83">
        <f>IF($A104=0,"",VLOOKUP($A104,'BASE EQUIPO'!$A:$D,4)*H101)</f>
        <v>10.409699999999999</v>
      </c>
      <c r="H104" s="56">
        <f>IF($A104=0,"",ROUND(F104*G104,2))</f>
        <v>10.41</v>
      </c>
      <c r="I104" s="2"/>
    </row>
    <row r="105" spans="1:9" ht="15" x14ac:dyDescent="0.25">
      <c r="A105" s="103"/>
      <c r="B105" s="38" t="str">
        <f>IF($A105=0,"",VLOOKUP($A105,'BASE EQUIPO'!$A:$D,2))</f>
        <v/>
      </c>
      <c r="C105" s="2"/>
      <c r="D105" s="84"/>
      <c r="E105" s="78" t="str">
        <f>IF($A105=0,"",VLOOKUP($A105,'BASE EQUIPO'!$A:$D,3))</f>
        <v/>
      </c>
      <c r="F105" s="55"/>
      <c r="G105" s="55" t="str">
        <f>IF($A105=0,"",VLOOKUP($A105,'BASE EQUIPO'!$A:$D,4)*H102)</f>
        <v/>
      </c>
      <c r="H105" s="56" t="str">
        <f>IF($A105=0,"",ROUND(F105*G105,2))</f>
        <v/>
      </c>
      <c r="I105" s="2"/>
    </row>
    <row r="106" spans="1:9" ht="15" x14ac:dyDescent="0.25">
      <c r="A106" s="103"/>
      <c r="B106" s="57" t="str">
        <f>IF($A106=0,"",VLOOKUP($A106,'BASE EQUIPO'!$A:$D,2))</f>
        <v/>
      </c>
      <c r="C106" s="58"/>
      <c r="D106" s="85"/>
      <c r="E106" s="86" t="str">
        <f>IF($A106=0,"",VLOOKUP($A106,'BASE EQUIPO'!$A:$D,3))</f>
        <v/>
      </c>
      <c r="F106" s="59"/>
      <c r="G106" s="59" t="str">
        <f>IF($A106=0,"",VLOOKUP($A106,'BASE EQUIPO'!$A:$D,4)*H103)</f>
        <v/>
      </c>
      <c r="H106" s="60" t="str">
        <f>IF($A106=0,"",ROUND(F106*G106,2))</f>
        <v/>
      </c>
      <c r="I106" s="2"/>
    </row>
    <row r="107" spans="1:9" ht="15.75" thickBot="1" x14ac:dyDescent="0.3">
      <c r="A107" s="103"/>
      <c r="B107" s="87" t="s">
        <v>1674</v>
      </c>
      <c r="C107" s="88"/>
      <c r="D107" s="89"/>
      <c r="E107" s="89"/>
      <c r="F107" s="89"/>
      <c r="G107" s="89"/>
      <c r="H107" s="90">
        <f>ROUND(SUM(H103:H106),2)</f>
        <v>10.41</v>
      </c>
      <c r="I107" s="2"/>
    </row>
    <row r="108" spans="1:9" ht="15.75" x14ac:dyDescent="0.25">
      <c r="A108" s="103"/>
      <c r="B108" s="2"/>
      <c r="C108" s="2"/>
      <c r="D108" s="91" t="s">
        <v>1673</v>
      </c>
      <c r="E108" s="47"/>
      <c r="F108" s="47"/>
      <c r="G108" s="47"/>
      <c r="H108" s="92">
        <f>ROUND(SUM(H107,H101,H82,H72),2)</f>
        <v>440.6</v>
      </c>
      <c r="I108" s="2"/>
    </row>
    <row r="109" spans="1:9" ht="15.75" x14ac:dyDescent="0.25">
      <c r="A109" s="103"/>
      <c r="B109" s="2"/>
      <c r="C109" s="2"/>
      <c r="D109" s="93" t="s">
        <v>1672</v>
      </c>
      <c r="E109" s="65"/>
      <c r="F109" s="65"/>
      <c r="G109" s="94" t="str">
        <f>IF($A109=0,"",VLOOKUP($A109,'BASE MATERIAL'!$M:$P,4))</f>
        <v/>
      </c>
      <c r="H109" s="95" t="str">
        <f>IF($A109=0,"",ROUND(G109*H108,2))</f>
        <v/>
      </c>
      <c r="I109" s="2"/>
    </row>
    <row r="110" spans="1:9" ht="15.75" x14ac:dyDescent="0.25">
      <c r="A110" s="103"/>
      <c r="B110" s="2"/>
      <c r="C110" s="2"/>
      <c r="D110" s="93" t="s">
        <v>1671</v>
      </c>
      <c r="E110" s="65"/>
      <c r="F110" s="65"/>
      <c r="G110" s="94" t="str">
        <f>IF($A110=0,"",VLOOKUP($A110,'BASE MATERIAL'!$M:$P,4))</f>
        <v/>
      </c>
      <c r="H110" s="95" t="str">
        <f>IF($A110=0,"",ROUND(G110*H108,2))</f>
        <v/>
      </c>
      <c r="I110" s="2"/>
    </row>
    <row r="111" spans="1:9" ht="15.75" x14ac:dyDescent="0.25">
      <c r="A111" s="103"/>
      <c r="B111" s="2"/>
      <c r="C111" s="2"/>
      <c r="D111" s="93" t="s">
        <v>1670</v>
      </c>
      <c r="E111" s="65"/>
      <c r="F111" s="65"/>
      <c r="G111" s="65"/>
      <c r="H111" s="96">
        <f>ROUND(SUM(H108:H110),2)</f>
        <v>440.6</v>
      </c>
      <c r="I111" s="2"/>
    </row>
    <row r="112" spans="1:9" ht="16.5" thickBot="1" x14ac:dyDescent="0.3">
      <c r="A112" s="103"/>
      <c r="B112" s="25"/>
      <c r="C112" s="2"/>
      <c r="D112" s="97" t="s">
        <v>1650</v>
      </c>
      <c r="E112" s="88"/>
      <c r="F112" s="88"/>
      <c r="G112" s="88"/>
      <c r="H112" s="98">
        <f>ROUND(H111,2)</f>
        <v>440.6</v>
      </c>
      <c r="I112" s="2"/>
    </row>
    <row r="113" spans="1:15" ht="15.75" x14ac:dyDescent="0.25">
      <c r="A113" s="103"/>
      <c r="B113" s="34" t="s">
        <v>1701</v>
      </c>
      <c r="C113" s="2"/>
      <c r="D113" s="3" t="str">
        <f>$D$1</f>
        <v>ESPOL</v>
      </c>
      <c r="E113" s="2"/>
      <c r="F113" s="2"/>
      <c r="H113" s="2" t="s">
        <v>108</v>
      </c>
      <c r="I113" s="2"/>
      <c r="L113" s="40">
        <f>A117</f>
        <v>3</v>
      </c>
      <c r="M113" s="1" t="str">
        <f>C118</f>
        <v xml:space="preserve">Instalación AAPP provisional </v>
      </c>
      <c r="N113" s="2" t="str">
        <f>H117</f>
        <v>Global</v>
      </c>
      <c r="O113" s="2">
        <f>H168</f>
        <v>284.75</v>
      </c>
    </row>
    <row r="114" spans="1:15" ht="15.75" x14ac:dyDescent="0.25">
      <c r="A114" s="103"/>
      <c r="B114" s="34" t="s">
        <v>1700</v>
      </c>
      <c r="C114" s="3">
        <f>'1.1'!$C$2</f>
        <v>0</v>
      </c>
      <c r="D114" s="2"/>
      <c r="E114" s="2"/>
      <c r="F114" s="2"/>
      <c r="G114" s="41" t="s">
        <v>1699</v>
      </c>
      <c r="H114" s="42"/>
      <c r="I114" s="2" t="s">
        <v>1698</v>
      </c>
    </row>
    <row r="115" spans="1:15" ht="15.75" x14ac:dyDescent="0.25">
      <c r="A115" s="103"/>
      <c r="B115" s="34"/>
      <c r="C115" s="3">
        <f>'1.1'!$C$3</f>
        <v>0</v>
      </c>
      <c r="D115" s="2"/>
      <c r="E115" s="2"/>
      <c r="F115" s="2"/>
      <c r="G115" s="2"/>
      <c r="H115" s="2"/>
      <c r="I115" s="2"/>
    </row>
    <row r="116" spans="1:15" ht="15.75" x14ac:dyDescent="0.25">
      <c r="A116" s="103"/>
      <c r="B116" s="34" t="s">
        <v>1697</v>
      </c>
      <c r="C116" s="3"/>
      <c r="D116" s="2"/>
      <c r="E116" s="2"/>
      <c r="F116" s="2"/>
      <c r="G116" s="2"/>
      <c r="H116" s="2"/>
      <c r="I116" s="2"/>
    </row>
    <row r="117" spans="1:15" ht="15" x14ac:dyDescent="0.25">
      <c r="A117" s="104">
        <v>3</v>
      </c>
      <c r="B117" s="2" t="s">
        <v>1586</v>
      </c>
      <c r="C117" s="101" t="s">
        <v>1578</v>
      </c>
      <c r="D117" s="2"/>
      <c r="G117" s="2" t="s">
        <v>1696</v>
      </c>
      <c r="H117" s="3" t="s">
        <v>1566</v>
      </c>
      <c r="I117" s="2"/>
    </row>
    <row r="118" spans="1:15" ht="15" x14ac:dyDescent="0.25">
      <c r="A118" s="103"/>
      <c r="B118" s="1" t="s">
        <v>1585</v>
      </c>
      <c r="C118" s="36" t="s">
        <v>1577</v>
      </c>
      <c r="D118" s="2"/>
      <c r="E118" s="2"/>
      <c r="F118" s="2"/>
      <c r="G118" s="2"/>
      <c r="H118" s="2"/>
      <c r="I118" s="2"/>
    </row>
    <row r="119" spans="1:15" ht="15.75" thickBot="1" x14ac:dyDescent="0.3">
      <c r="A119" s="103"/>
      <c r="D119" s="2"/>
      <c r="E119" s="2"/>
      <c r="F119" s="2"/>
      <c r="G119" s="2"/>
      <c r="H119" s="2"/>
      <c r="I119" s="2"/>
    </row>
    <row r="120" spans="1:15" ht="15.75" thickBot="1" x14ac:dyDescent="0.3">
      <c r="A120" s="103"/>
      <c r="B120" s="43" t="s">
        <v>1695</v>
      </c>
      <c r="C120" s="44"/>
      <c r="D120" s="44"/>
      <c r="E120" s="44"/>
      <c r="F120" s="44"/>
      <c r="G120" s="44"/>
      <c r="H120" s="45"/>
      <c r="I120" s="2"/>
    </row>
    <row r="121" spans="1:15" ht="26.25" customHeight="1" x14ac:dyDescent="0.25">
      <c r="A121" s="103"/>
      <c r="B121" s="46" t="s">
        <v>1409</v>
      </c>
      <c r="C121" s="47"/>
      <c r="D121" s="48" t="s">
        <v>1690</v>
      </c>
      <c r="E121" s="48" t="s">
        <v>1694</v>
      </c>
      <c r="F121" s="48" t="s">
        <v>1693</v>
      </c>
      <c r="G121" s="49" t="s">
        <v>1687</v>
      </c>
      <c r="H121" s="50" t="s">
        <v>1686</v>
      </c>
      <c r="I121" s="2"/>
    </row>
    <row r="122" spans="1:15" ht="15" x14ac:dyDescent="0.25">
      <c r="A122" s="103">
        <v>19015</v>
      </c>
      <c r="B122" s="51" t="str">
        <f>IF($A122=0,"",VLOOKUP($A122,'BASE EQUIPO'!$A:$D,2))</f>
        <v>HERRAMIENTA MENOR</v>
      </c>
      <c r="C122" s="52"/>
      <c r="D122" s="53">
        <v>1</v>
      </c>
      <c r="E122" s="53">
        <f>IF($A122=0,"",VLOOKUP($A122,'BASE EQUIPO'!$A:$D,4)*H138)</f>
        <v>2.4234</v>
      </c>
      <c r="F122" s="53">
        <f t="shared" ref="F122:F127" si="10">IF($A122=0,"",ROUND(D122*E122,2))</f>
        <v>2.42</v>
      </c>
      <c r="G122" s="105">
        <v>1</v>
      </c>
      <c r="H122" s="54">
        <f t="shared" ref="H122:H127" si="11">IF($A122=0,"",ROUND(G122*F122,2))</f>
        <v>2.42</v>
      </c>
      <c r="I122" s="2"/>
    </row>
    <row r="123" spans="1:15" ht="15" x14ac:dyDescent="0.25">
      <c r="A123" s="103"/>
      <c r="B123" s="38" t="str">
        <f>IF($A123=0,"",VLOOKUP($A123,'BASE EQUIPO'!$A:$D,2))</f>
        <v/>
      </c>
      <c r="C123" s="2"/>
      <c r="D123" s="55"/>
      <c r="E123" s="55" t="str">
        <f>IF($A123=0,"",VLOOKUP($A123,'BASE EQUIPO'!$A:$D,4))</f>
        <v/>
      </c>
      <c r="F123" s="55" t="str">
        <f t="shared" si="10"/>
        <v/>
      </c>
      <c r="G123" s="106"/>
      <c r="H123" s="56" t="str">
        <f t="shared" si="11"/>
        <v/>
      </c>
      <c r="I123" s="2"/>
    </row>
    <row r="124" spans="1:15" ht="15" x14ac:dyDescent="0.25">
      <c r="A124" s="103"/>
      <c r="B124" s="38" t="str">
        <f>IF($A124=0,"",VLOOKUP($A124,'BASE EQUIPO'!$A:$D,2))</f>
        <v/>
      </c>
      <c r="C124" s="2"/>
      <c r="D124" s="55"/>
      <c r="E124" s="55" t="str">
        <f>IF($A124=0,"",VLOOKUP($A124,'BASE EQUIPO'!$A:$D,4))</f>
        <v/>
      </c>
      <c r="F124" s="55" t="str">
        <f t="shared" si="10"/>
        <v/>
      </c>
      <c r="G124" s="106"/>
      <c r="H124" s="56" t="str">
        <f t="shared" si="11"/>
        <v/>
      </c>
      <c r="I124" s="2"/>
    </row>
    <row r="125" spans="1:15" ht="15" x14ac:dyDescent="0.25">
      <c r="A125" s="103"/>
      <c r="B125" s="38" t="str">
        <f>IF($A125=0,"",VLOOKUP($A125,'BASE EQUIPO'!$A:$D,2))</f>
        <v/>
      </c>
      <c r="C125" s="2"/>
      <c r="D125" s="55"/>
      <c r="E125" s="55" t="str">
        <f>IF($A125=0,"",VLOOKUP($A125,'BASE EQUIPO'!$A:$D,4))</f>
        <v/>
      </c>
      <c r="F125" s="55" t="str">
        <f t="shared" si="10"/>
        <v/>
      </c>
      <c r="G125" s="106"/>
      <c r="H125" s="56" t="str">
        <f t="shared" si="11"/>
        <v/>
      </c>
      <c r="I125" s="2"/>
    </row>
    <row r="126" spans="1:15" ht="15" x14ac:dyDescent="0.25">
      <c r="A126" s="103"/>
      <c r="B126" s="38" t="str">
        <f>IF($A126=0,"",VLOOKUP($A126,'BASE EQUIPO'!$A:$D,2))</f>
        <v/>
      </c>
      <c r="C126" s="2"/>
      <c r="D126" s="55"/>
      <c r="E126" s="55" t="str">
        <f>IF($A126=0,"",VLOOKUP($A126,'BASE EQUIPO'!$A:$D,4))</f>
        <v/>
      </c>
      <c r="F126" s="55" t="str">
        <f t="shared" si="10"/>
        <v/>
      </c>
      <c r="G126" s="106"/>
      <c r="H126" s="56" t="str">
        <f t="shared" si="11"/>
        <v/>
      </c>
      <c r="I126" s="2"/>
    </row>
    <row r="127" spans="1:15" ht="15" x14ac:dyDescent="0.25">
      <c r="A127" s="103"/>
      <c r="B127" s="57" t="str">
        <f>IF($A127=0,"",VLOOKUP($A127,'BASE EQUIPO'!$A:$D,2))</f>
        <v/>
      </c>
      <c r="C127" s="58"/>
      <c r="D127" s="59"/>
      <c r="E127" s="59" t="str">
        <f>IF($A127=0,"",VLOOKUP($A127,'BASE EQUIPO'!$A:$D,4))</f>
        <v/>
      </c>
      <c r="F127" s="59" t="str">
        <f t="shared" si="10"/>
        <v/>
      </c>
      <c r="G127" s="107"/>
      <c r="H127" s="60" t="str">
        <f t="shared" si="11"/>
        <v/>
      </c>
      <c r="I127" s="2"/>
    </row>
    <row r="128" spans="1:15" ht="15" x14ac:dyDescent="0.25">
      <c r="A128" s="103"/>
      <c r="B128" s="57" t="s">
        <v>1692</v>
      </c>
      <c r="C128" s="58"/>
      <c r="D128" s="61"/>
      <c r="E128" s="61"/>
      <c r="F128" s="61"/>
      <c r="G128" s="62"/>
      <c r="H128" s="60">
        <f>ROUND(SUM(H121:H127),2)</f>
        <v>2.42</v>
      </c>
      <c r="I128" s="2"/>
    </row>
    <row r="129" spans="1:16" ht="15" x14ac:dyDescent="0.25">
      <c r="A129" s="103"/>
      <c r="B129" s="38" t="s">
        <v>1503</v>
      </c>
      <c r="C129" s="2"/>
      <c r="D129" s="3"/>
      <c r="E129" s="3"/>
      <c r="F129" s="3"/>
      <c r="G129" s="63"/>
      <c r="H129" s="56"/>
      <c r="I129" s="2"/>
    </row>
    <row r="130" spans="1:16" ht="26.25" customHeight="1" x14ac:dyDescent="0.25">
      <c r="A130" s="103"/>
      <c r="B130" s="64" t="s">
        <v>1691</v>
      </c>
      <c r="C130" s="65"/>
      <c r="D130" s="66" t="s">
        <v>1690</v>
      </c>
      <c r="E130" s="66" t="s">
        <v>1689</v>
      </c>
      <c r="F130" s="66" t="s">
        <v>1688</v>
      </c>
      <c r="G130" s="67" t="s">
        <v>1687</v>
      </c>
      <c r="H130" s="68" t="s">
        <v>1686</v>
      </c>
      <c r="I130" s="2"/>
    </row>
    <row r="131" spans="1:16" ht="15" x14ac:dyDescent="0.25">
      <c r="A131" s="103">
        <v>20001</v>
      </c>
      <c r="B131" s="69" t="str">
        <f>IF($A131=0,"",VLOOKUP($A131,'BASE M-OBRA'!$A:$D,2))</f>
        <v>MAESTRO</v>
      </c>
      <c r="C131" s="2"/>
      <c r="D131" s="108">
        <v>1</v>
      </c>
      <c r="E131" s="70">
        <f>IF($A131=0,"",VLOOKUP($A131,'BASE M-OBRA'!$A:$D,4))</f>
        <v>3.02</v>
      </c>
      <c r="F131" s="55">
        <f t="shared" ref="F131:F137" si="12">IF($A131=0,"",ROUND(D131*E131,2))</f>
        <v>3.02</v>
      </c>
      <c r="G131" s="106">
        <f>IF($A131=0,"",ROUND(H131/F131,2))</f>
        <v>4.46</v>
      </c>
      <c r="H131" s="56">
        <f>IF($A131=0,"",ROUND(SUM(H132:H137)*'BASE M-OBRA'!$D$23,2))</f>
        <v>13.46</v>
      </c>
      <c r="I131" s="2"/>
    </row>
    <row r="132" spans="1:16" ht="15" x14ac:dyDescent="0.25">
      <c r="A132" s="103">
        <v>20016</v>
      </c>
      <c r="B132" s="69" t="str">
        <f>IF($A132=0,"",VLOOKUP($A132,'BASE M-OBRA'!$A:$D,2))</f>
        <v>GAFITERO</v>
      </c>
      <c r="C132" s="2"/>
      <c r="D132" s="108">
        <v>1</v>
      </c>
      <c r="E132" s="70">
        <f>IF($A132=0,"",VLOOKUP($A132,'BASE M-OBRA'!$A:$D,4))</f>
        <v>2.82</v>
      </c>
      <c r="F132" s="55">
        <f t="shared" si="12"/>
        <v>2.82</v>
      </c>
      <c r="G132" s="106">
        <v>12</v>
      </c>
      <c r="H132" s="56">
        <f t="shared" ref="H132:H137" si="13">IF($A132=0,"",ROUND(G132*F132,2))</f>
        <v>33.840000000000003</v>
      </c>
      <c r="I132" s="2"/>
    </row>
    <row r="133" spans="1:16" ht="15" x14ac:dyDescent="0.25">
      <c r="A133" s="103">
        <v>20011</v>
      </c>
      <c r="B133" s="69" t="str">
        <f>IF($A133=0,"",VLOOKUP($A133,'BASE M-OBRA'!$A:$D,2))</f>
        <v>AYUDANTE ESPECIALISTA</v>
      </c>
      <c r="C133" s="2"/>
      <c r="D133" s="108">
        <v>1</v>
      </c>
      <c r="E133" s="70">
        <f>IF($A133=0,"",VLOOKUP($A133,'BASE M-OBRA'!$A:$D,4))</f>
        <v>2.79</v>
      </c>
      <c r="F133" s="55">
        <f t="shared" si="12"/>
        <v>2.79</v>
      </c>
      <c r="G133" s="106">
        <f>+G132</f>
        <v>12</v>
      </c>
      <c r="H133" s="56">
        <f t="shared" si="13"/>
        <v>33.479999999999997</v>
      </c>
      <c r="I133" s="2"/>
    </row>
    <row r="134" spans="1:16" ht="15" x14ac:dyDescent="0.25">
      <c r="A134" s="103"/>
      <c r="B134" s="71" t="str">
        <f>IF($A134=0,"",VLOOKUP($A134,'BASE M-OBRA'!$A:$D,2))</f>
        <v/>
      </c>
      <c r="C134" s="2"/>
      <c r="D134" s="108"/>
      <c r="E134" s="70" t="str">
        <f>IF($A134=0,"",VLOOKUP($A134,'BASE M-OBRA'!$A:$D,4))</f>
        <v/>
      </c>
      <c r="F134" s="55" t="str">
        <f t="shared" si="12"/>
        <v/>
      </c>
      <c r="G134" s="106"/>
      <c r="H134" s="56" t="str">
        <f t="shared" si="13"/>
        <v/>
      </c>
      <c r="I134" s="2"/>
    </row>
    <row r="135" spans="1:16" ht="15" x14ac:dyDescent="0.25">
      <c r="A135" s="103"/>
      <c r="B135" s="72" t="str">
        <f>IF($A135=0,"",VLOOKUP($A135,'BASE M-OBRA'!$A:$D,2))</f>
        <v/>
      </c>
      <c r="C135" s="2"/>
      <c r="D135" s="108"/>
      <c r="E135" s="70" t="str">
        <f>IF($A135=0,"",VLOOKUP($A135,'BASE M-OBRA'!$A:$D,4))</f>
        <v/>
      </c>
      <c r="F135" s="55" t="str">
        <f t="shared" si="12"/>
        <v/>
      </c>
      <c r="G135" s="106"/>
      <c r="H135" s="56" t="str">
        <f t="shared" si="13"/>
        <v/>
      </c>
      <c r="I135" s="2"/>
    </row>
    <row r="136" spans="1:16" ht="15" x14ac:dyDescent="0.25">
      <c r="A136" s="103"/>
      <c r="B136" s="38" t="str">
        <f>IF($A136=0,"",VLOOKUP($A136,'BASE M-OBRA'!$A:$D,2))</f>
        <v/>
      </c>
      <c r="C136" s="2"/>
      <c r="D136" s="55"/>
      <c r="E136" s="55" t="str">
        <f>IF($A136=0,"",VLOOKUP($A136,'BASE M-OBRA'!$A:$D,4))</f>
        <v/>
      </c>
      <c r="F136" s="55" t="str">
        <f t="shared" si="12"/>
        <v/>
      </c>
      <c r="G136" s="106"/>
      <c r="H136" s="56" t="str">
        <f t="shared" si="13"/>
        <v/>
      </c>
      <c r="I136" s="2"/>
    </row>
    <row r="137" spans="1:16" ht="15" x14ac:dyDescent="0.25">
      <c r="A137" s="103"/>
      <c r="B137" s="57" t="str">
        <f>IF($A137=0,"",VLOOKUP($A137,'BASE M-OBRA'!$A:$D,2))</f>
        <v/>
      </c>
      <c r="C137" s="58"/>
      <c r="D137" s="59"/>
      <c r="E137" s="59" t="str">
        <f>IF($A137=0,"",VLOOKUP($A137,'BASE M-OBRA'!$A:$D,4))</f>
        <v/>
      </c>
      <c r="F137" s="59" t="str">
        <f t="shared" si="12"/>
        <v/>
      </c>
      <c r="G137" s="107"/>
      <c r="H137" s="60" t="str">
        <f t="shared" si="13"/>
        <v/>
      </c>
      <c r="I137" s="2"/>
    </row>
    <row r="138" spans="1:16" ht="15" x14ac:dyDescent="0.25">
      <c r="A138" s="103"/>
      <c r="B138" s="73" t="s">
        <v>1685</v>
      </c>
      <c r="C138" s="65"/>
      <c r="D138" s="74"/>
      <c r="E138" s="74"/>
      <c r="F138" s="74"/>
      <c r="G138" s="74"/>
      <c r="H138" s="75">
        <f>ROUND(SUM(H130:H137),2)</f>
        <v>80.78</v>
      </c>
      <c r="I138" s="2"/>
    </row>
    <row r="139" spans="1:16" ht="15" x14ac:dyDescent="0.25">
      <c r="A139" s="103"/>
      <c r="B139" s="38" t="s">
        <v>1684</v>
      </c>
      <c r="C139" s="2"/>
      <c r="D139" s="3"/>
      <c r="E139" s="3"/>
      <c r="F139" s="3"/>
      <c r="G139" s="3"/>
      <c r="H139" s="56"/>
      <c r="I139" s="2"/>
    </row>
    <row r="140" spans="1:16" ht="26.25" customHeight="1" x14ac:dyDescent="0.25">
      <c r="A140" s="103"/>
      <c r="B140" s="64" t="s">
        <v>1409</v>
      </c>
      <c r="C140" s="65"/>
      <c r="D140" s="76"/>
      <c r="E140" s="66" t="s">
        <v>1408</v>
      </c>
      <c r="F140" s="66" t="s">
        <v>1679</v>
      </c>
      <c r="G140" s="66" t="s">
        <v>1683</v>
      </c>
      <c r="H140" s="68" t="s">
        <v>1675</v>
      </c>
      <c r="I140" s="2"/>
    </row>
    <row r="141" spans="1:16" ht="15" x14ac:dyDescent="0.25">
      <c r="A141" s="103">
        <v>15008</v>
      </c>
      <c r="B141" s="37" t="str">
        <f>IF($A141=0,"",VLOOKUP($A141,'BASE MATERIAL'!$A:$D,2))</f>
        <v>TUBO   PVC    1/2 ROSCABLE</v>
      </c>
      <c r="C141" s="2"/>
      <c r="D141" s="77"/>
      <c r="E141" s="78" t="str">
        <f>IF($A141=0,"",VLOOKUP($A141,'BASE MATERIAL'!$A:$D,3))</f>
        <v>U</v>
      </c>
      <c r="F141" s="55">
        <v>4</v>
      </c>
      <c r="G141" s="55">
        <f>IF($A141=0,"",VLOOKUP($A141,'BASE MATERIAL'!$A:$D,4))</f>
        <v>10.75</v>
      </c>
      <c r="H141" s="56">
        <f t="shared" ref="H141:H155" si="14">IF($A141=0,"",ROUND(F141*G141,2))</f>
        <v>43</v>
      </c>
      <c r="I141" s="2"/>
      <c r="L141" s="2"/>
      <c r="M141" s="2"/>
      <c r="N141" s="39"/>
      <c r="O141" s="2"/>
      <c r="P141" s="2"/>
    </row>
    <row r="142" spans="1:16" ht="15" x14ac:dyDescent="0.25">
      <c r="A142" s="103">
        <v>17036</v>
      </c>
      <c r="B142" s="38" t="str">
        <f>IF($A142=0,"",VLOOKUP($A142,'BASE MATERIAL'!$A:$D,2))</f>
        <v>TANQUE PLASTICO 1 m3</v>
      </c>
      <c r="C142" s="2"/>
      <c r="D142" s="77"/>
      <c r="E142" s="78" t="str">
        <f>IF($A142=0,"",VLOOKUP($A142,'BASE MATERIAL'!$A:$D,3))</f>
        <v>U</v>
      </c>
      <c r="F142" s="55">
        <v>2</v>
      </c>
      <c r="G142" s="55">
        <f>IF($A142=0,"",VLOOKUP($A142,'BASE MATERIAL'!$A:$D,4))</f>
        <v>75</v>
      </c>
      <c r="H142" s="56">
        <f t="shared" si="14"/>
        <v>150</v>
      </c>
      <c r="I142" s="2"/>
      <c r="L142" s="2"/>
      <c r="M142" s="2"/>
      <c r="N142" s="39"/>
      <c r="O142" s="2"/>
      <c r="P142" s="2"/>
    </row>
    <row r="143" spans="1:16" ht="15" x14ac:dyDescent="0.25">
      <c r="A143" s="103">
        <v>15002</v>
      </c>
      <c r="B143" s="38" t="str">
        <f>IF($A143=0,"",VLOOKUP($A143,'BASE MATERIAL'!$A:$D,2))</f>
        <v>CODO   GALV.  1/2</v>
      </c>
      <c r="C143" s="2"/>
      <c r="D143" s="77"/>
      <c r="E143" s="78" t="str">
        <f>IF($A143=0,"",VLOOKUP($A143,'BASE MATERIAL'!$A:$D,3))</f>
        <v>U</v>
      </c>
      <c r="F143" s="55">
        <v>4</v>
      </c>
      <c r="G143" s="55">
        <f>IF($A143=0,"",VLOOKUP($A143,'BASE MATERIAL'!$A:$D,4))</f>
        <v>0.35</v>
      </c>
      <c r="H143" s="56">
        <f t="shared" si="14"/>
        <v>1.4</v>
      </c>
      <c r="I143" s="2"/>
      <c r="L143" s="2"/>
      <c r="M143" s="2"/>
      <c r="N143" s="39"/>
      <c r="O143" s="2"/>
      <c r="P143" s="2"/>
    </row>
    <row r="144" spans="1:16" ht="15" x14ac:dyDescent="0.25">
      <c r="A144" s="103">
        <v>15011</v>
      </c>
      <c r="B144" s="38" t="str">
        <f>IF($A144=0,"",VLOOKUP($A144,'BASE MATERIAL'!$A:$D,2))</f>
        <v>UNION  GALV.  1/2</v>
      </c>
      <c r="C144" s="2"/>
      <c r="D144" s="77"/>
      <c r="E144" s="78" t="str">
        <f>IF($A144=0,"",VLOOKUP($A144,'BASE MATERIAL'!$A:$D,3))</f>
        <v>U</v>
      </c>
      <c r="F144" s="55">
        <v>4</v>
      </c>
      <c r="G144" s="55">
        <f>IF($A144=0,"",VLOOKUP($A144,'BASE MATERIAL'!$A:$D,4))</f>
        <v>0.32</v>
      </c>
      <c r="H144" s="56">
        <f t="shared" si="14"/>
        <v>1.28</v>
      </c>
      <c r="I144" s="2"/>
      <c r="L144" s="2"/>
      <c r="M144" s="2"/>
      <c r="N144" s="39"/>
      <c r="O144" s="2"/>
      <c r="P144" s="2"/>
    </row>
    <row r="145" spans="1:16" ht="15" x14ac:dyDescent="0.25">
      <c r="A145" s="103">
        <v>1</v>
      </c>
      <c r="B145" s="38" t="s">
        <v>605</v>
      </c>
      <c r="C145" s="2"/>
      <c r="D145" s="77"/>
      <c r="E145" s="78" t="s">
        <v>604</v>
      </c>
      <c r="F145" s="55">
        <v>0</v>
      </c>
      <c r="G145" s="55">
        <v>45</v>
      </c>
      <c r="H145" s="56">
        <f t="shared" si="14"/>
        <v>0</v>
      </c>
      <c r="I145" s="2"/>
      <c r="L145" s="2"/>
      <c r="M145" s="2"/>
      <c r="N145" s="39"/>
      <c r="O145" s="2"/>
      <c r="P145" s="2"/>
    </row>
    <row r="146" spans="1:16" ht="15" x14ac:dyDescent="0.25">
      <c r="A146" s="103"/>
      <c r="B146" s="38" t="str">
        <f>IF($A146=0,"",VLOOKUP($A146,'BASE MATERIAL'!$A:$D,2))</f>
        <v/>
      </c>
      <c r="C146" s="2"/>
      <c r="D146" s="77"/>
      <c r="E146" s="78" t="str">
        <f>IF($A146=0,"",VLOOKUP($A146,'BASE MATERIAL'!$A:$D,3))</f>
        <v/>
      </c>
      <c r="F146" s="55"/>
      <c r="G146" s="55" t="str">
        <f>IF($A146=0,"",VLOOKUP($A146,'BASE MATERIAL'!$A:$D,4))</f>
        <v/>
      </c>
      <c r="H146" s="56" t="str">
        <f t="shared" si="14"/>
        <v/>
      </c>
      <c r="I146" s="2"/>
      <c r="L146" s="2"/>
      <c r="M146" s="2"/>
      <c r="N146" s="39"/>
      <c r="O146" s="2"/>
      <c r="P146" s="2"/>
    </row>
    <row r="147" spans="1:16" ht="15" x14ac:dyDescent="0.25">
      <c r="A147" s="103"/>
      <c r="B147" s="38" t="str">
        <f>IF($A147=0,"",VLOOKUP($A147,'BASE MATERIAL'!$A:$D,2))</f>
        <v/>
      </c>
      <c r="C147" s="2"/>
      <c r="D147" s="77"/>
      <c r="E147" s="78" t="str">
        <f>IF($A147=0,"",VLOOKUP($A147,'BASE MATERIAL'!$A:$D,3))</f>
        <v/>
      </c>
      <c r="F147" s="55"/>
      <c r="G147" s="55" t="str">
        <f>IF($A147=0,"",VLOOKUP($A147,'BASE MATERIAL'!$A:$D,4))</f>
        <v/>
      </c>
      <c r="H147" s="56" t="str">
        <f t="shared" si="14"/>
        <v/>
      </c>
      <c r="I147" s="2"/>
      <c r="L147" s="2"/>
      <c r="M147" s="2"/>
      <c r="N147" s="39"/>
      <c r="O147" s="2"/>
      <c r="P147" s="2"/>
    </row>
    <row r="148" spans="1:16" ht="15" x14ac:dyDescent="0.25">
      <c r="A148" s="103"/>
      <c r="B148" s="38" t="str">
        <f>IF($A148=0,"",VLOOKUP($A148,'BASE MATERIAL'!$A:$D,2))</f>
        <v/>
      </c>
      <c r="C148" s="2"/>
      <c r="D148" s="77"/>
      <c r="E148" s="78" t="str">
        <f>IF($A148=0,"",VLOOKUP($A148,'BASE MATERIAL'!$A:$D,3))</f>
        <v/>
      </c>
      <c r="F148" s="55"/>
      <c r="G148" s="55" t="str">
        <f>IF($A148=0,"",VLOOKUP($A148,'BASE MATERIAL'!$A:$D,4))</f>
        <v/>
      </c>
      <c r="H148" s="56" t="str">
        <f t="shared" si="14"/>
        <v/>
      </c>
      <c r="I148" s="2"/>
      <c r="L148" s="2"/>
      <c r="M148" s="2"/>
      <c r="N148" s="39"/>
      <c r="O148" s="2"/>
      <c r="P148" s="2"/>
    </row>
    <row r="149" spans="1:16" ht="15" x14ac:dyDescent="0.25">
      <c r="A149" s="103"/>
      <c r="B149" s="38" t="str">
        <f>IF($A149=0,"",VLOOKUP($A149,'BASE MATERIAL'!$A:$D,2))</f>
        <v/>
      </c>
      <c r="C149" s="2"/>
      <c r="D149" s="77"/>
      <c r="E149" s="78" t="str">
        <f>IF($A149=0,"",VLOOKUP($A149,'BASE MATERIAL'!$A:$D,3))</f>
        <v/>
      </c>
      <c r="F149" s="55"/>
      <c r="G149" s="55" t="str">
        <f>IF($A149=0,"",VLOOKUP($A149,'BASE MATERIAL'!$A:$D,4))</f>
        <v/>
      </c>
      <c r="H149" s="56" t="str">
        <f t="shared" si="14"/>
        <v/>
      </c>
      <c r="I149" s="2"/>
    </row>
    <row r="150" spans="1:16" ht="15" x14ac:dyDescent="0.25">
      <c r="A150" s="103"/>
      <c r="B150" s="38" t="str">
        <f>IF($A150=0,"",VLOOKUP($A150,'BASE MATERIAL'!$A:$D,2))</f>
        <v/>
      </c>
      <c r="C150" s="2"/>
      <c r="D150" s="77"/>
      <c r="E150" s="78" t="str">
        <f>IF($A150=0,"",VLOOKUP($A150,'BASE MATERIAL'!$A:$D,3))</f>
        <v/>
      </c>
      <c r="F150" s="55"/>
      <c r="G150" s="55" t="str">
        <f>IF($A150=0,"",VLOOKUP($A150,'BASE MATERIAL'!$A:$D,4))</f>
        <v/>
      </c>
      <c r="H150" s="56" t="str">
        <f t="shared" si="14"/>
        <v/>
      </c>
      <c r="I150" s="2"/>
      <c r="L150" s="2"/>
      <c r="M150" s="2"/>
      <c r="N150" s="39"/>
      <c r="O150" s="2"/>
      <c r="P150" s="2"/>
    </row>
    <row r="151" spans="1:16" ht="15" x14ac:dyDescent="0.25">
      <c r="A151" s="103"/>
      <c r="B151" s="38" t="str">
        <f>IF($A151=0,"",VLOOKUP($A151,'BASE MATERIAL'!$A:$D,2))</f>
        <v/>
      </c>
      <c r="C151" s="2"/>
      <c r="D151" s="77"/>
      <c r="E151" s="78" t="str">
        <f>IF($A151=0,"",VLOOKUP($A151,'BASE MATERIAL'!$A:$D,3))</f>
        <v/>
      </c>
      <c r="F151" s="55"/>
      <c r="G151" s="55" t="str">
        <f>IF($A151=0,"",VLOOKUP($A151,'BASE MATERIAL'!$A:$D,4))</f>
        <v/>
      </c>
      <c r="H151" s="56" t="str">
        <f t="shared" si="14"/>
        <v/>
      </c>
      <c r="I151" s="2"/>
      <c r="L151" s="2"/>
      <c r="M151" s="2"/>
      <c r="N151" s="39"/>
      <c r="O151" s="2"/>
      <c r="P151" s="2"/>
    </row>
    <row r="152" spans="1:16" ht="15" x14ac:dyDescent="0.25">
      <c r="A152" s="103"/>
      <c r="B152" s="38" t="str">
        <f>IF($A152=0,"",VLOOKUP($A152,'BASE MATERIAL'!$A:$D,2))</f>
        <v/>
      </c>
      <c r="C152" s="2"/>
      <c r="D152" s="77"/>
      <c r="E152" s="78" t="str">
        <f>IF($A152=0,"",VLOOKUP($A152,'BASE MATERIAL'!$A:$D,3))</f>
        <v/>
      </c>
      <c r="F152" s="55"/>
      <c r="G152" s="55" t="str">
        <f>IF($A152=0,"",VLOOKUP($A152,'BASE MATERIAL'!$A:$D,4))</f>
        <v/>
      </c>
      <c r="H152" s="56" t="str">
        <f t="shared" si="14"/>
        <v/>
      </c>
      <c r="I152" s="2"/>
    </row>
    <row r="153" spans="1:16" ht="15" x14ac:dyDescent="0.25">
      <c r="A153" s="103"/>
      <c r="B153" s="38" t="str">
        <f>IF($A153=0,"",VLOOKUP($A153,'BASE MATERIAL'!$A:$D,2))</f>
        <v/>
      </c>
      <c r="C153" s="2"/>
      <c r="D153" s="77"/>
      <c r="E153" s="78" t="str">
        <f>IF($A153=0,"",VLOOKUP($A153,'BASE MATERIAL'!$A:$D,3))</f>
        <v/>
      </c>
      <c r="F153" s="55"/>
      <c r="G153" s="55" t="str">
        <f>IF($A153=0,"",VLOOKUP($A153,'BASE MATERIAL'!$A:$D,4))</f>
        <v/>
      </c>
      <c r="H153" s="56" t="str">
        <f t="shared" si="14"/>
        <v/>
      </c>
      <c r="I153" s="2"/>
    </row>
    <row r="154" spans="1:16" ht="15" x14ac:dyDescent="0.25">
      <c r="A154" s="103"/>
      <c r="B154" s="38" t="str">
        <f>IF($A154=0,"",VLOOKUP($A154,'BASE MATERIAL'!$A:$D,2))</f>
        <v/>
      </c>
      <c r="C154" s="2"/>
      <c r="D154" s="77"/>
      <c r="E154" s="78" t="str">
        <f>IF($A154=0,"",VLOOKUP($A154,'BASE MATERIAL'!$A:$D,3))</f>
        <v/>
      </c>
      <c r="F154" s="55"/>
      <c r="G154" s="55" t="str">
        <f>IF($A154=0,"",VLOOKUP($A154,'BASE MATERIAL'!$A:$D,4))</f>
        <v/>
      </c>
      <c r="H154" s="56" t="str">
        <f t="shared" si="14"/>
        <v/>
      </c>
      <c r="I154" s="2"/>
    </row>
    <row r="155" spans="1:16" ht="15" x14ac:dyDescent="0.25">
      <c r="A155" s="103"/>
      <c r="B155" s="38" t="str">
        <f>IF($A155=0,"",VLOOKUP($A155,'BASE MATERIAL'!$A:$D,2))</f>
        <v/>
      </c>
      <c r="C155" s="2"/>
      <c r="D155" s="77"/>
      <c r="E155" s="78" t="str">
        <f>IF($A155=0,"",VLOOKUP($A155,'BASE MATERIAL'!$A:$D,3))</f>
        <v/>
      </c>
      <c r="F155" s="55"/>
      <c r="G155" s="55" t="str">
        <f>IF($A155=0,"",VLOOKUP($A155,'BASE MATERIAL'!$A:$D,4))</f>
        <v/>
      </c>
      <c r="H155" s="56" t="str">
        <f t="shared" si="14"/>
        <v/>
      </c>
      <c r="I155" s="2"/>
    </row>
    <row r="156" spans="1:16" ht="15" x14ac:dyDescent="0.25">
      <c r="A156" s="103"/>
      <c r="B156" s="38" t="str">
        <f>IF($A156=0,"",VLOOKUP($A156,'BASE MATERIAL'!$A:$D,2))</f>
        <v/>
      </c>
      <c r="C156" s="2"/>
      <c r="D156" s="81" t="s">
        <v>1682</v>
      </c>
      <c r="E156" s="55" t="str">
        <f>IF($A156=0,"",VLOOKUP($A156,'BASE MATERIAL'!$A:$D,3))</f>
        <v/>
      </c>
      <c r="F156" s="55" t="s">
        <v>1682</v>
      </c>
      <c r="G156" s="55" t="str">
        <f>IF($A156=0,"",VLOOKUP($A156,'BASE MATERIAL'!$A:$D,4))</f>
        <v/>
      </c>
      <c r="H156" s="56" t="str">
        <f>IF($A156=0,"",ROUND(E156*F156,2))</f>
        <v/>
      </c>
      <c r="I156" s="2"/>
    </row>
    <row r="157" spans="1:16" ht="15" x14ac:dyDescent="0.25">
      <c r="A157" s="103"/>
      <c r="B157" s="73" t="s">
        <v>1681</v>
      </c>
      <c r="C157" s="65"/>
      <c r="D157" s="74"/>
      <c r="E157" s="74"/>
      <c r="F157" s="74"/>
      <c r="G157" s="74"/>
      <c r="H157" s="75">
        <f>ROUND(SUM(H140:H156),2)</f>
        <v>195.68</v>
      </c>
      <c r="I157" s="2"/>
    </row>
    <row r="158" spans="1:16" ht="15" x14ac:dyDescent="0.25">
      <c r="A158" s="103"/>
      <c r="B158" s="38" t="s">
        <v>1680</v>
      </c>
      <c r="C158" s="2"/>
      <c r="D158" s="3"/>
      <c r="E158" s="3"/>
      <c r="F158" s="3"/>
      <c r="G158" s="3"/>
      <c r="H158" s="56"/>
      <c r="I158" s="2"/>
    </row>
    <row r="159" spans="1:16" ht="26.25" customHeight="1" x14ac:dyDescent="0.25">
      <c r="A159" s="103"/>
      <c r="B159" s="64" t="s">
        <v>1409</v>
      </c>
      <c r="C159" s="65"/>
      <c r="D159" s="76"/>
      <c r="E159" s="66" t="s">
        <v>1408</v>
      </c>
      <c r="F159" s="66" t="s">
        <v>1679</v>
      </c>
      <c r="G159" s="66" t="s">
        <v>1676</v>
      </c>
      <c r="H159" s="68" t="s">
        <v>1675</v>
      </c>
      <c r="I159" s="2"/>
    </row>
    <row r="160" spans="1:16" ht="15" x14ac:dyDescent="0.25">
      <c r="A160" s="103">
        <v>19019</v>
      </c>
      <c r="B160" s="51" t="str">
        <f>IF($A160=0,"",VLOOKUP($A160,'BASE EQUIPO'!$A:$D,2))</f>
        <v>TRANSPORTE DE MATERIAL</v>
      </c>
      <c r="C160" s="52"/>
      <c r="D160" s="82"/>
      <c r="E160" s="78" t="str">
        <f>IF($A160=0,"",VLOOKUP($A160,'BASE EQUIPO'!$A:$D,3))</f>
        <v>GLOBAL</v>
      </c>
      <c r="F160" s="55">
        <v>1</v>
      </c>
      <c r="G160" s="83">
        <f>IF($A160=0,"",VLOOKUP($A160,'BASE EQUIPO'!$A:$D,4)*H157)</f>
        <v>5.8704000000000001</v>
      </c>
      <c r="H160" s="56">
        <f>IF($A160=0,"",ROUND(F160*G160,2))</f>
        <v>5.87</v>
      </c>
      <c r="I160" s="2"/>
    </row>
    <row r="161" spans="1:15" ht="15" x14ac:dyDescent="0.25">
      <c r="A161" s="103"/>
      <c r="B161" s="38" t="str">
        <f>IF($A161=0,"",VLOOKUP($A161,'BASE EQUIPO'!$A:$D,2))</f>
        <v/>
      </c>
      <c r="C161" s="2"/>
      <c r="D161" s="84"/>
      <c r="E161" s="78" t="str">
        <f>IF($A161=0,"",VLOOKUP($A161,'BASE EQUIPO'!$A:$D,3))</f>
        <v/>
      </c>
      <c r="F161" s="55"/>
      <c r="G161" s="55" t="str">
        <f>IF($A161=0,"",VLOOKUP($A161,'BASE EQUIPO'!$A:$D,4)*H158)</f>
        <v/>
      </c>
      <c r="H161" s="56" t="str">
        <f>IF($A161=0,"",ROUND(F161*G161,2))</f>
        <v/>
      </c>
      <c r="I161" s="2"/>
    </row>
    <row r="162" spans="1:15" ht="15" x14ac:dyDescent="0.25">
      <c r="A162" s="103"/>
      <c r="B162" s="57" t="str">
        <f>IF($A162=0,"",VLOOKUP($A162,'BASE EQUIPO'!$A:$D,2))</f>
        <v/>
      </c>
      <c r="C162" s="58"/>
      <c r="D162" s="85"/>
      <c r="E162" s="86" t="str">
        <f>IF($A162=0,"",VLOOKUP($A162,'BASE EQUIPO'!$A:$D,3))</f>
        <v/>
      </c>
      <c r="F162" s="59"/>
      <c r="G162" s="59" t="str">
        <f>IF($A162=0,"",VLOOKUP($A162,'BASE EQUIPO'!$A:$D,4)*H159)</f>
        <v/>
      </c>
      <c r="H162" s="60" t="str">
        <f>IF($A162=0,"",ROUND(F162*G162,2))</f>
        <v/>
      </c>
      <c r="I162" s="2"/>
    </row>
    <row r="163" spans="1:15" ht="15.75" thickBot="1" x14ac:dyDescent="0.3">
      <c r="A163" s="103"/>
      <c r="B163" s="87" t="s">
        <v>1674</v>
      </c>
      <c r="C163" s="88"/>
      <c r="D163" s="89"/>
      <c r="E163" s="89"/>
      <c r="F163" s="89"/>
      <c r="G163" s="89"/>
      <c r="H163" s="90">
        <f>ROUND(SUM(H159:H162),2)</f>
        <v>5.87</v>
      </c>
      <c r="I163" s="2"/>
    </row>
    <row r="164" spans="1:15" ht="15.75" x14ac:dyDescent="0.25">
      <c r="A164" s="103"/>
      <c r="B164" s="2"/>
      <c r="C164" s="2"/>
      <c r="D164" s="91" t="s">
        <v>1673</v>
      </c>
      <c r="E164" s="47"/>
      <c r="F164" s="47"/>
      <c r="G164" s="47"/>
      <c r="H164" s="92">
        <f>ROUND(SUM(H163,H157,H138,H128),2)</f>
        <v>284.75</v>
      </c>
      <c r="I164" s="2"/>
    </row>
    <row r="165" spans="1:15" ht="15.75" x14ac:dyDescent="0.25">
      <c r="A165" s="103"/>
      <c r="B165" s="2"/>
      <c r="C165" s="2"/>
      <c r="D165" s="93" t="s">
        <v>1672</v>
      </c>
      <c r="E165" s="65"/>
      <c r="F165" s="65"/>
      <c r="G165" s="94" t="str">
        <f>IF($A165=0,"",VLOOKUP($A165,'BASE MATERIAL'!$M:$P,4))</f>
        <v/>
      </c>
      <c r="H165" s="95" t="str">
        <f>IF($A165=0,"",ROUND(G165*H164,2))</f>
        <v/>
      </c>
      <c r="I165" s="2"/>
    </row>
    <row r="166" spans="1:15" ht="15.75" x14ac:dyDescent="0.25">
      <c r="A166" s="103"/>
      <c r="B166" s="2"/>
      <c r="C166" s="2"/>
      <c r="D166" s="93" t="s">
        <v>1671</v>
      </c>
      <c r="E166" s="65"/>
      <c r="F166" s="65"/>
      <c r="G166" s="94" t="str">
        <f>IF($A166=0,"",VLOOKUP($A166,'BASE MATERIAL'!$M:$P,4))</f>
        <v/>
      </c>
      <c r="H166" s="95" t="str">
        <f>IF($A166=0,"",ROUND(G166*H164,2))</f>
        <v/>
      </c>
      <c r="I166" s="2"/>
    </row>
    <row r="167" spans="1:15" ht="15.75" x14ac:dyDescent="0.25">
      <c r="A167" s="103"/>
      <c r="B167" s="2"/>
      <c r="C167" s="2"/>
      <c r="D167" s="93" t="s">
        <v>1670</v>
      </c>
      <c r="E167" s="65"/>
      <c r="F167" s="65"/>
      <c r="G167" s="65"/>
      <c r="H167" s="96">
        <f>ROUND(SUM(H164:H166),2)</f>
        <v>284.75</v>
      </c>
      <c r="I167" s="2"/>
    </row>
    <row r="168" spans="1:15" ht="16.5" thickBot="1" x14ac:dyDescent="0.3">
      <c r="A168" s="103"/>
      <c r="B168" s="25"/>
      <c r="C168" s="2"/>
      <c r="D168" s="97" t="s">
        <v>1650</v>
      </c>
      <c r="E168" s="88"/>
      <c r="F168" s="88"/>
      <c r="G168" s="88"/>
      <c r="H168" s="98">
        <f>ROUND(H167,2)</f>
        <v>284.75</v>
      </c>
      <c r="I168" s="2"/>
    </row>
    <row r="169" spans="1:15" ht="15.75" x14ac:dyDescent="0.25">
      <c r="A169" s="103"/>
      <c r="B169" s="34" t="s">
        <v>1701</v>
      </c>
      <c r="C169" s="2"/>
      <c r="D169" s="3" t="str">
        <f>$D$1</f>
        <v>ESPOL</v>
      </c>
      <c r="E169" s="2"/>
      <c r="F169" s="2"/>
      <c r="H169" s="2" t="s">
        <v>108</v>
      </c>
      <c r="I169" s="2"/>
      <c r="L169" s="40">
        <f>A173</f>
        <v>3</v>
      </c>
      <c r="M169" s="1" t="str">
        <f>C174</f>
        <v>Servicio higienico para obreros</v>
      </c>
      <c r="N169" s="2" t="str">
        <f>H173</f>
        <v>global</v>
      </c>
      <c r="O169" s="2">
        <f>H224</f>
        <v>1800</v>
      </c>
    </row>
    <row r="170" spans="1:15" ht="15.75" x14ac:dyDescent="0.25">
      <c r="A170" s="103"/>
      <c r="B170" s="34" t="s">
        <v>1700</v>
      </c>
      <c r="C170" s="3">
        <f>'1.1'!$C$2</f>
        <v>0</v>
      </c>
      <c r="D170" s="2"/>
      <c r="E170" s="2"/>
      <c r="F170" s="2"/>
      <c r="G170" s="41" t="s">
        <v>1699</v>
      </c>
      <c r="H170" s="42"/>
      <c r="I170" s="2" t="s">
        <v>1698</v>
      </c>
    </row>
    <row r="171" spans="1:15" ht="15.75" x14ac:dyDescent="0.25">
      <c r="A171" s="103"/>
      <c r="B171" s="34"/>
      <c r="C171" s="3">
        <f>'1.1'!$C$3</f>
        <v>0</v>
      </c>
      <c r="D171" s="2"/>
      <c r="E171" s="2"/>
      <c r="F171" s="2"/>
      <c r="G171" s="2"/>
      <c r="H171" s="2"/>
      <c r="I171" s="2"/>
    </row>
    <row r="172" spans="1:15" ht="15.75" x14ac:dyDescent="0.25">
      <c r="A172" s="103"/>
      <c r="B172" s="34" t="s">
        <v>1697</v>
      </c>
      <c r="C172" s="3"/>
      <c r="D172" s="2"/>
      <c r="E172" s="2"/>
      <c r="F172" s="2"/>
      <c r="G172" s="2"/>
      <c r="H172" s="2"/>
      <c r="I172" s="2"/>
    </row>
    <row r="173" spans="1:15" ht="15" x14ac:dyDescent="0.25">
      <c r="A173" s="104">
        <v>3</v>
      </c>
      <c r="B173" s="2" t="s">
        <v>1586</v>
      </c>
      <c r="C173" s="101" t="s">
        <v>1576</v>
      </c>
      <c r="D173" s="2"/>
      <c r="G173" s="2" t="s">
        <v>1696</v>
      </c>
      <c r="H173" s="3" t="s">
        <v>1507</v>
      </c>
      <c r="I173" s="2"/>
    </row>
    <row r="174" spans="1:15" ht="15" x14ac:dyDescent="0.25">
      <c r="A174" s="103"/>
      <c r="B174" s="1" t="s">
        <v>1585</v>
      </c>
      <c r="C174" s="36" t="s">
        <v>1575</v>
      </c>
      <c r="D174" s="2"/>
      <c r="E174" s="2"/>
      <c r="F174" s="2"/>
      <c r="G174" s="2"/>
      <c r="H174" s="2"/>
      <c r="I174" s="2"/>
    </row>
    <row r="175" spans="1:15" ht="15.75" thickBot="1" x14ac:dyDescent="0.3">
      <c r="A175" s="103"/>
      <c r="D175" s="2"/>
      <c r="E175" s="2"/>
      <c r="F175" s="2"/>
      <c r="G175" s="2"/>
      <c r="H175" s="2"/>
      <c r="I175" s="2"/>
    </row>
    <row r="176" spans="1:15" ht="15.75" thickBot="1" x14ac:dyDescent="0.3">
      <c r="A176" s="103"/>
      <c r="B176" s="43" t="s">
        <v>1695</v>
      </c>
      <c r="C176" s="44"/>
      <c r="D176" s="44"/>
      <c r="E176" s="44"/>
      <c r="F176" s="44"/>
      <c r="G176" s="44"/>
      <c r="H176" s="45"/>
      <c r="I176" s="2"/>
    </row>
    <row r="177" spans="1:9" ht="26.25" customHeight="1" x14ac:dyDescent="0.25">
      <c r="A177" s="103"/>
      <c r="B177" s="46" t="s">
        <v>1409</v>
      </c>
      <c r="C177" s="47"/>
      <c r="D177" s="48" t="s">
        <v>1690</v>
      </c>
      <c r="E177" s="48" t="s">
        <v>1694</v>
      </c>
      <c r="F177" s="48" t="s">
        <v>1693</v>
      </c>
      <c r="G177" s="49" t="s">
        <v>1687</v>
      </c>
      <c r="H177" s="50" t="s">
        <v>1686</v>
      </c>
      <c r="I177" s="2"/>
    </row>
    <row r="178" spans="1:9" ht="15" x14ac:dyDescent="0.25">
      <c r="A178" s="103"/>
      <c r="B178" s="51" t="str">
        <f>IF($A178=0,"",VLOOKUP($A178,'BASE EQUIPO'!$A:$D,2))</f>
        <v/>
      </c>
      <c r="C178" s="52"/>
      <c r="D178" s="53"/>
      <c r="E178" s="53" t="str">
        <f>IF($A178=0,"",VLOOKUP($A178,'BASE EQUIPO'!$A:$D,4)*H194)</f>
        <v/>
      </c>
      <c r="F178" s="53" t="str">
        <f t="shared" ref="F178:F183" si="15">IF($A178=0,"",ROUND(D178*E178,2))</f>
        <v/>
      </c>
      <c r="G178" s="105"/>
      <c r="H178" s="54" t="str">
        <f t="shared" ref="H178:H183" si="16">IF($A178=0,"",ROUND(G178*F178,2))</f>
        <v/>
      </c>
      <c r="I178" s="2"/>
    </row>
    <row r="179" spans="1:9" ht="15" x14ac:dyDescent="0.25">
      <c r="A179" s="103"/>
      <c r="B179" s="38" t="str">
        <f>IF($A179=0,"",VLOOKUP($A179,'BASE EQUIPO'!$A:$D,2))</f>
        <v/>
      </c>
      <c r="C179" s="2"/>
      <c r="D179" s="55"/>
      <c r="E179" s="55" t="str">
        <f>IF($A179=0,"",VLOOKUP($A179,'BASE EQUIPO'!$A:$D,4))</f>
        <v/>
      </c>
      <c r="F179" s="55" t="str">
        <f t="shared" si="15"/>
        <v/>
      </c>
      <c r="G179" s="106"/>
      <c r="H179" s="56" t="str">
        <f t="shared" si="16"/>
        <v/>
      </c>
      <c r="I179" s="2"/>
    </row>
    <row r="180" spans="1:9" ht="15" x14ac:dyDescent="0.25">
      <c r="A180" s="103"/>
      <c r="B180" s="38" t="str">
        <f>IF($A180=0,"",VLOOKUP($A180,'BASE EQUIPO'!$A:$D,2))</f>
        <v/>
      </c>
      <c r="C180" s="2"/>
      <c r="D180" s="55"/>
      <c r="E180" s="55" t="str">
        <f>IF($A180=0,"",VLOOKUP($A180,'BASE EQUIPO'!$A:$D,4))</f>
        <v/>
      </c>
      <c r="F180" s="55" t="str">
        <f t="shared" si="15"/>
        <v/>
      </c>
      <c r="G180" s="106"/>
      <c r="H180" s="56" t="str">
        <f t="shared" si="16"/>
        <v/>
      </c>
      <c r="I180" s="2"/>
    </row>
    <row r="181" spans="1:9" ht="15" x14ac:dyDescent="0.25">
      <c r="A181" s="103"/>
      <c r="B181" s="38" t="str">
        <f>IF($A181=0,"",VLOOKUP($A181,'BASE EQUIPO'!$A:$D,2))</f>
        <v/>
      </c>
      <c r="C181" s="2"/>
      <c r="D181" s="55"/>
      <c r="E181" s="55" t="str">
        <f>IF($A181=0,"",VLOOKUP($A181,'BASE EQUIPO'!$A:$D,4))</f>
        <v/>
      </c>
      <c r="F181" s="55" t="str">
        <f t="shared" si="15"/>
        <v/>
      </c>
      <c r="G181" s="106"/>
      <c r="H181" s="56" t="str">
        <f t="shared" si="16"/>
        <v/>
      </c>
      <c r="I181" s="2"/>
    </row>
    <row r="182" spans="1:9" ht="15" x14ac:dyDescent="0.25">
      <c r="A182" s="103"/>
      <c r="B182" s="38" t="str">
        <f>IF($A182=0,"",VLOOKUP($A182,'BASE EQUIPO'!$A:$D,2))</f>
        <v/>
      </c>
      <c r="C182" s="2"/>
      <c r="D182" s="55"/>
      <c r="E182" s="55" t="str">
        <f>IF($A182=0,"",VLOOKUP($A182,'BASE EQUIPO'!$A:$D,4))</f>
        <v/>
      </c>
      <c r="F182" s="55" t="str">
        <f t="shared" si="15"/>
        <v/>
      </c>
      <c r="G182" s="106"/>
      <c r="H182" s="56" t="str">
        <f t="shared" si="16"/>
        <v/>
      </c>
      <c r="I182" s="2"/>
    </row>
    <row r="183" spans="1:9" ht="15" x14ac:dyDescent="0.25">
      <c r="A183" s="103"/>
      <c r="B183" s="57" t="str">
        <f>IF($A183=0,"",VLOOKUP($A183,'BASE EQUIPO'!$A:$D,2))</f>
        <v/>
      </c>
      <c r="C183" s="58"/>
      <c r="D183" s="59"/>
      <c r="E183" s="59" t="str">
        <f>IF($A183=0,"",VLOOKUP($A183,'BASE EQUIPO'!$A:$D,4))</f>
        <v/>
      </c>
      <c r="F183" s="59" t="str">
        <f t="shared" si="15"/>
        <v/>
      </c>
      <c r="G183" s="107"/>
      <c r="H183" s="60" t="str">
        <f t="shared" si="16"/>
        <v/>
      </c>
      <c r="I183" s="2"/>
    </row>
    <row r="184" spans="1:9" ht="15" x14ac:dyDescent="0.25">
      <c r="A184" s="103"/>
      <c r="B184" s="57" t="s">
        <v>1692</v>
      </c>
      <c r="C184" s="58"/>
      <c r="D184" s="61"/>
      <c r="E184" s="61"/>
      <c r="F184" s="61"/>
      <c r="G184" s="62"/>
      <c r="H184" s="60">
        <f>ROUND(SUM(H177:H183),2)</f>
        <v>0</v>
      </c>
      <c r="I184" s="2"/>
    </row>
    <row r="185" spans="1:9" ht="15" x14ac:dyDescent="0.25">
      <c r="A185" s="103"/>
      <c r="B185" s="38" t="s">
        <v>1503</v>
      </c>
      <c r="C185" s="2"/>
      <c r="D185" s="3"/>
      <c r="E185" s="3"/>
      <c r="F185" s="3"/>
      <c r="G185" s="63"/>
      <c r="H185" s="56"/>
      <c r="I185" s="2"/>
    </row>
    <row r="186" spans="1:9" ht="26.25" customHeight="1" x14ac:dyDescent="0.25">
      <c r="A186" s="103"/>
      <c r="B186" s="64" t="s">
        <v>1691</v>
      </c>
      <c r="C186" s="65"/>
      <c r="D186" s="66" t="s">
        <v>1690</v>
      </c>
      <c r="E186" s="66" t="s">
        <v>1689</v>
      </c>
      <c r="F186" s="66" t="s">
        <v>1688</v>
      </c>
      <c r="G186" s="67" t="s">
        <v>1687</v>
      </c>
      <c r="H186" s="68" t="s">
        <v>1686</v>
      </c>
      <c r="I186" s="2"/>
    </row>
    <row r="187" spans="1:9" ht="15" x14ac:dyDescent="0.25">
      <c r="A187" s="103"/>
      <c r="B187" s="69" t="str">
        <f>IF($A187=0,"",VLOOKUP($A187,'BASE M-OBRA'!$A:$D,2))</f>
        <v/>
      </c>
      <c r="C187" s="2"/>
      <c r="D187" s="108"/>
      <c r="E187" s="70" t="str">
        <f>IF($A187=0,"",VLOOKUP($A187,'BASE M-OBRA'!$A:$D,4))</f>
        <v/>
      </c>
      <c r="F187" s="55" t="str">
        <f t="shared" ref="F187:F193" si="17">IF($A187=0,"",ROUND(D187*E187,2))</f>
        <v/>
      </c>
      <c r="G187" s="106" t="str">
        <f>IF($A187=0,"",ROUND(H187/F187,2))</f>
        <v/>
      </c>
      <c r="H187" s="56" t="str">
        <f>IF($A187=0,"",ROUND(SUM(H188:H193)*'BASE M-OBRA'!$D$23,2))</f>
        <v/>
      </c>
      <c r="I187" s="2"/>
    </row>
    <row r="188" spans="1:9" ht="15" x14ac:dyDescent="0.25">
      <c r="A188" s="103"/>
      <c r="B188" s="69" t="str">
        <f>IF($A188=0,"",VLOOKUP($A188,'BASE M-OBRA'!$A:$D,2))</f>
        <v/>
      </c>
      <c r="C188" s="2"/>
      <c r="D188" s="108"/>
      <c r="E188" s="70" t="str">
        <f>IF($A188=0,"",VLOOKUP($A188,'BASE M-OBRA'!$A:$D,4))</f>
        <v/>
      </c>
      <c r="F188" s="55" t="str">
        <f t="shared" si="17"/>
        <v/>
      </c>
      <c r="G188" s="106"/>
      <c r="H188" s="56" t="str">
        <f t="shared" ref="H188:H193" si="18">IF($A188=0,"",ROUND(G188*F188,2))</f>
        <v/>
      </c>
      <c r="I188" s="2"/>
    </row>
    <row r="189" spans="1:9" ht="15" x14ac:dyDescent="0.25">
      <c r="A189" s="103"/>
      <c r="B189" s="69" t="str">
        <f>IF($A189=0,"",VLOOKUP($A189,'BASE M-OBRA'!$A:$D,2))</f>
        <v/>
      </c>
      <c r="C189" s="2"/>
      <c r="D189" s="108"/>
      <c r="E189" s="70" t="str">
        <f>IF($A189=0,"",VLOOKUP($A189,'BASE M-OBRA'!$A:$D,4))</f>
        <v/>
      </c>
      <c r="F189" s="55" t="str">
        <f t="shared" si="17"/>
        <v/>
      </c>
      <c r="G189" s="106"/>
      <c r="H189" s="56" t="str">
        <f t="shared" si="18"/>
        <v/>
      </c>
      <c r="I189" s="2"/>
    </row>
    <row r="190" spans="1:9" ht="15" x14ac:dyDescent="0.25">
      <c r="A190" s="103"/>
      <c r="B190" s="71" t="str">
        <f>IF($A190=0,"",VLOOKUP($A190,'BASE M-OBRA'!$A:$D,2))</f>
        <v/>
      </c>
      <c r="C190" s="2"/>
      <c r="D190" s="108"/>
      <c r="E190" s="70" t="str">
        <f>IF($A190=0,"",VLOOKUP($A190,'BASE M-OBRA'!$A:$D,4))</f>
        <v/>
      </c>
      <c r="F190" s="55" t="str">
        <f t="shared" si="17"/>
        <v/>
      </c>
      <c r="G190" s="106"/>
      <c r="H190" s="56" t="str">
        <f t="shared" si="18"/>
        <v/>
      </c>
      <c r="I190" s="2"/>
    </row>
    <row r="191" spans="1:9" ht="15" x14ac:dyDescent="0.25">
      <c r="A191" s="103"/>
      <c r="B191" s="72" t="str">
        <f>IF($A191=0,"",VLOOKUP($A191,'BASE M-OBRA'!$A:$D,2))</f>
        <v/>
      </c>
      <c r="C191" s="2"/>
      <c r="D191" s="108"/>
      <c r="E191" s="70" t="str">
        <f>IF($A191=0,"",VLOOKUP($A191,'BASE M-OBRA'!$A:$D,4))</f>
        <v/>
      </c>
      <c r="F191" s="55" t="str">
        <f t="shared" si="17"/>
        <v/>
      </c>
      <c r="G191" s="106"/>
      <c r="H191" s="56" t="str">
        <f t="shared" si="18"/>
        <v/>
      </c>
      <c r="I191" s="2"/>
    </row>
    <row r="192" spans="1:9" ht="15" x14ac:dyDescent="0.25">
      <c r="A192" s="103"/>
      <c r="B192" s="38" t="str">
        <f>IF($A192=0,"",VLOOKUP($A192,'BASE M-OBRA'!$A:$D,2))</f>
        <v/>
      </c>
      <c r="C192" s="2"/>
      <c r="D192" s="55"/>
      <c r="E192" s="55" t="str">
        <f>IF($A192=0,"",VLOOKUP($A192,'BASE M-OBRA'!$A:$D,4))</f>
        <v/>
      </c>
      <c r="F192" s="55" t="str">
        <f t="shared" si="17"/>
        <v/>
      </c>
      <c r="G192" s="106"/>
      <c r="H192" s="56" t="str">
        <f t="shared" si="18"/>
        <v/>
      </c>
      <c r="I192" s="2"/>
    </row>
    <row r="193" spans="1:16" ht="15" x14ac:dyDescent="0.25">
      <c r="A193" s="103"/>
      <c r="B193" s="57" t="str">
        <f>IF($A193=0,"",VLOOKUP($A193,'BASE M-OBRA'!$A:$D,2))</f>
        <v/>
      </c>
      <c r="C193" s="58"/>
      <c r="D193" s="59"/>
      <c r="E193" s="59" t="str">
        <f>IF($A193=0,"",VLOOKUP($A193,'BASE M-OBRA'!$A:$D,4))</f>
        <v/>
      </c>
      <c r="F193" s="59" t="str">
        <f t="shared" si="17"/>
        <v/>
      </c>
      <c r="G193" s="107"/>
      <c r="H193" s="60" t="str">
        <f t="shared" si="18"/>
        <v/>
      </c>
      <c r="I193" s="2"/>
    </row>
    <row r="194" spans="1:16" ht="15" x14ac:dyDescent="0.25">
      <c r="A194" s="103"/>
      <c r="B194" s="73" t="s">
        <v>1685</v>
      </c>
      <c r="C194" s="65"/>
      <c r="D194" s="74"/>
      <c r="E194" s="74"/>
      <c r="F194" s="74"/>
      <c r="G194" s="74"/>
      <c r="H194" s="75">
        <f>ROUND(SUM(H186:H193),2)</f>
        <v>0</v>
      </c>
      <c r="I194" s="2"/>
    </row>
    <row r="195" spans="1:16" ht="15" x14ac:dyDescent="0.25">
      <c r="A195" s="103"/>
      <c r="B195" s="38" t="s">
        <v>1684</v>
      </c>
      <c r="C195" s="2"/>
      <c r="D195" s="3"/>
      <c r="E195" s="3"/>
      <c r="F195" s="3"/>
      <c r="G195" s="3"/>
      <c r="H195" s="56"/>
      <c r="I195" s="2"/>
    </row>
    <row r="196" spans="1:16" ht="26.25" customHeight="1" x14ac:dyDescent="0.25">
      <c r="A196" s="103"/>
      <c r="B196" s="64" t="s">
        <v>1409</v>
      </c>
      <c r="C196" s="65"/>
      <c r="D196" s="76"/>
      <c r="E196" s="66" t="s">
        <v>1408</v>
      </c>
      <c r="F196" s="66" t="s">
        <v>1679</v>
      </c>
      <c r="G196" s="66" t="s">
        <v>1683</v>
      </c>
      <c r="H196" s="68" t="s">
        <v>1675</v>
      </c>
      <c r="I196" s="2"/>
    </row>
    <row r="197" spans="1:16" ht="15" x14ac:dyDescent="0.25">
      <c r="A197" s="103">
        <v>17037</v>
      </c>
      <c r="B197" s="109" t="str">
        <f>IF($A197=0,"",VLOOKUP($A197,'BASE MATERIAL'!$A:$D,2))</f>
        <v>ALQUILER SERVICIO HIGIENICO Y MANTENIMIENTO</v>
      </c>
      <c r="C197" s="2"/>
      <c r="D197" s="77"/>
      <c r="E197" s="78" t="str">
        <f>IF($A197=0,"",VLOOKUP($A197,'BASE MATERIAL'!$A:$D,3))</f>
        <v>mes</v>
      </c>
      <c r="F197" s="55">
        <v>15</v>
      </c>
      <c r="G197" s="55">
        <f>IF($A197=0,"",VLOOKUP($A197,'BASE MATERIAL'!$A:$D,4))</f>
        <v>120</v>
      </c>
      <c r="H197" s="56">
        <f t="shared" ref="H197:H211" si="19">IF($A197=0,"",ROUND(F197*G197,2))</f>
        <v>1800</v>
      </c>
      <c r="I197" s="2"/>
      <c r="L197" s="2"/>
      <c r="M197" s="2"/>
      <c r="N197" s="39"/>
      <c r="O197" s="2"/>
      <c r="P197" s="2"/>
    </row>
    <row r="198" spans="1:16" ht="15" x14ac:dyDescent="0.25">
      <c r="A198" s="103"/>
      <c r="B198" s="38" t="str">
        <f>IF($A198=0,"",VLOOKUP($A198,'BASE MATERIAL'!$A:$D,2))</f>
        <v/>
      </c>
      <c r="C198" s="2"/>
      <c r="D198" s="77"/>
      <c r="E198" s="78" t="str">
        <f>IF($A198=0,"",VLOOKUP($A198,'BASE MATERIAL'!$A:$D,3))</f>
        <v/>
      </c>
      <c r="F198" s="55"/>
      <c r="G198" s="55" t="str">
        <f>IF($A198=0,"",VLOOKUP($A198,'BASE MATERIAL'!$A:$D,4))</f>
        <v/>
      </c>
      <c r="H198" s="56" t="str">
        <f t="shared" si="19"/>
        <v/>
      </c>
      <c r="I198" s="2"/>
      <c r="L198" s="2"/>
      <c r="M198" s="2"/>
      <c r="N198" s="39"/>
      <c r="O198" s="2"/>
      <c r="P198" s="2"/>
    </row>
    <row r="199" spans="1:16" ht="15" x14ac:dyDescent="0.25">
      <c r="A199" s="103"/>
      <c r="B199" s="38" t="str">
        <f>IF($A199=0,"",VLOOKUP($A199,'BASE MATERIAL'!$A:$D,2))</f>
        <v/>
      </c>
      <c r="C199" s="2"/>
      <c r="D199" s="77"/>
      <c r="E199" s="78" t="str">
        <f>IF($A199=0,"",VLOOKUP($A199,'BASE MATERIAL'!$A:$D,3))</f>
        <v/>
      </c>
      <c r="F199" s="55"/>
      <c r="G199" s="55" t="str">
        <f>IF($A199=0,"",VLOOKUP($A199,'BASE MATERIAL'!$A:$D,4))</f>
        <v/>
      </c>
      <c r="H199" s="56" t="str">
        <f t="shared" si="19"/>
        <v/>
      </c>
      <c r="I199" s="2"/>
      <c r="L199" s="2"/>
      <c r="M199" s="2"/>
      <c r="N199" s="39"/>
      <c r="O199" s="2"/>
      <c r="P199" s="2"/>
    </row>
    <row r="200" spans="1:16" ht="15" x14ac:dyDescent="0.25">
      <c r="A200" s="103"/>
      <c r="B200" s="38" t="str">
        <f>IF($A200=0,"",VLOOKUP($A200,'BASE MATERIAL'!$A:$D,2))</f>
        <v/>
      </c>
      <c r="C200" s="2"/>
      <c r="D200" s="77"/>
      <c r="E200" s="78" t="str">
        <f>IF($A200=0,"",VLOOKUP($A200,'BASE MATERIAL'!$A:$D,3))</f>
        <v/>
      </c>
      <c r="F200" s="55"/>
      <c r="G200" s="55" t="str">
        <f>IF($A200=0,"",VLOOKUP($A200,'BASE MATERIAL'!$A:$D,4))</f>
        <v/>
      </c>
      <c r="H200" s="56" t="str">
        <f t="shared" si="19"/>
        <v/>
      </c>
      <c r="I200" s="2"/>
      <c r="L200" s="2"/>
      <c r="M200" s="2"/>
      <c r="N200" s="39"/>
      <c r="O200" s="2"/>
      <c r="P200" s="2"/>
    </row>
    <row r="201" spans="1:16" ht="15" x14ac:dyDescent="0.25">
      <c r="A201" s="103"/>
      <c r="B201" s="38" t="str">
        <f>IF($A201=0,"",VLOOKUP($A201,'BASE MATERIAL'!$A:$D,2))</f>
        <v/>
      </c>
      <c r="C201" s="2"/>
      <c r="D201" s="77"/>
      <c r="E201" s="78" t="str">
        <f>IF($A201=0,"",VLOOKUP($A201,'BASE MATERIAL'!$A:$D,3))</f>
        <v/>
      </c>
      <c r="F201" s="55"/>
      <c r="G201" s="55" t="str">
        <f>IF($A201=0,"",VLOOKUP($A201,'BASE MATERIAL'!$A:$D,4))</f>
        <v/>
      </c>
      <c r="H201" s="56" t="str">
        <f t="shared" si="19"/>
        <v/>
      </c>
      <c r="I201" s="2"/>
      <c r="L201" s="2"/>
      <c r="M201" s="2"/>
      <c r="N201" s="39"/>
      <c r="O201" s="2"/>
      <c r="P201" s="2"/>
    </row>
    <row r="202" spans="1:16" ht="15" x14ac:dyDescent="0.25">
      <c r="A202" s="103"/>
      <c r="B202" s="38" t="str">
        <f>IF($A202=0,"",VLOOKUP($A202,'BASE MATERIAL'!$A:$D,2))</f>
        <v/>
      </c>
      <c r="C202" s="2"/>
      <c r="D202" s="77"/>
      <c r="E202" s="78" t="str">
        <f>IF($A202=0,"",VLOOKUP($A202,'BASE MATERIAL'!$A:$D,3))</f>
        <v/>
      </c>
      <c r="F202" s="55"/>
      <c r="G202" s="55" t="str">
        <f>IF($A202=0,"",VLOOKUP($A202,'BASE MATERIAL'!$A:$D,4))</f>
        <v/>
      </c>
      <c r="H202" s="56" t="str">
        <f t="shared" si="19"/>
        <v/>
      </c>
      <c r="I202" s="2"/>
      <c r="L202" s="2"/>
      <c r="M202" s="2"/>
      <c r="N202" s="39"/>
      <c r="O202" s="2"/>
      <c r="P202" s="2"/>
    </row>
    <row r="203" spans="1:16" ht="15" x14ac:dyDescent="0.25">
      <c r="A203" s="103"/>
      <c r="B203" s="38" t="str">
        <f>IF($A203=0,"",VLOOKUP($A203,'BASE MATERIAL'!$A:$D,2))</f>
        <v/>
      </c>
      <c r="C203" s="2"/>
      <c r="D203" s="77"/>
      <c r="E203" s="78" t="str">
        <f>IF($A203=0,"",VLOOKUP($A203,'BASE MATERIAL'!$A:$D,3))</f>
        <v/>
      </c>
      <c r="F203" s="55"/>
      <c r="G203" s="55" t="str">
        <f>IF($A203=0,"",VLOOKUP($A203,'BASE MATERIAL'!$A:$D,4))</f>
        <v/>
      </c>
      <c r="H203" s="56" t="str">
        <f t="shared" si="19"/>
        <v/>
      </c>
      <c r="I203" s="2"/>
      <c r="L203" s="2"/>
      <c r="M203" s="2"/>
      <c r="N203" s="39"/>
      <c r="O203" s="2"/>
      <c r="P203" s="2"/>
    </row>
    <row r="204" spans="1:16" ht="15" x14ac:dyDescent="0.25">
      <c r="A204" s="103"/>
      <c r="B204" s="38" t="str">
        <f>IF($A204=0,"",VLOOKUP($A204,'BASE MATERIAL'!$A:$D,2))</f>
        <v/>
      </c>
      <c r="C204" s="2"/>
      <c r="D204" s="77"/>
      <c r="E204" s="78" t="str">
        <f>IF($A204=0,"",VLOOKUP($A204,'BASE MATERIAL'!$A:$D,3))</f>
        <v/>
      </c>
      <c r="F204" s="55"/>
      <c r="G204" s="55" t="str">
        <f>IF($A204=0,"",VLOOKUP($A204,'BASE MATERIAL'!$A:$D,4))</f>
        <v/>
      </c>
      <c r="H204" s="56" t="str">
        <f t="shared" si="19"/>
        <v/>
      </c>
      <c r="I204" s="2"/>
      <c r="L204" s="2"/>
      <c r="M204" s="2"/>
      <c r="N204" s="39"/>
      <c r="O204" s="2"/>
      <c r="P204" s="2"/>
    </row>
    <row r="205" spans="1:16" ht="15" x14ac:dyDescent="0.25">
      <c r="A205" s="103"/>
      <c r="B205" s="38" t="str">
        <f>IF($A205=0,"",VLOOKUP($A205,'BASE MATERIAL'!$A:$D,2))</f>
        <v/>
      </c>
      <c r="C205" s="2"/>
      <c r="D205" s="77"/>
      <c r="E205" s="78" t="str">
        <f>IF($A205=0,"",VLOOKUP($A205,'BASE MATERIAL'!$A:$D,3))</f>
        <v/>
      </c>
      <c r="F205" s="55"/>
      <c r="G205" s="55" t="str">
        <f>IF($A205=0,"",VLOOKUP($A205,'BASE MATERIAL'!$A:$D,4))</f>
        <v/>
      </c>
      <c r="H205" s="56" t="str">
        <f t="shared" si="19"/>
        <v/>
      </c>
      <c r="I205" s="2"/>
    </row>
    <row r="206" spans="1:16" ht="15" x14ac:dyDescent="0.25">
      <c r="A206" s="103"/>
      <c r="B206" s="38" t="str">
        <f>IF($A206=0,"",VLOOKUP($A206,'BASE MATERIAL'!$A:$D,2))</f>
        <v/>
      </c>
      <c r="C206" s="2"/>
      <c r="D206" s="77"/>
      <c r="E206" s="78" t="str">
        <f>IF($A206=0,"",VLOOKUP($A206,'BASE MATERIAL'!$A:$D,3))</f>
        <v/>
      </c>
      <c r="F206" s="55"/>
      <c r="G206" s="55" t="str">
        <f>IF($A206=0,"",VLOOKUP($A206,'BASE MATERIAL'!$A:$D,4))</f>
        <v/>
      </c>
      <c r="H206" s="56" t="str">
        <f t="shared" si="19"/>
        <v/>
      </c>
      <c r="I206" s="2"/>
      <c r="L206" s="2"/>
      <c r="M206" s="2"/>
      <c r="N206" s="39"/>
      <c r="O206" s="2"/>
      <c r="P206" s="2"/>
    </row>
    <row r="207" spans="1:16" ht="15" x14ac:dyDescent="0.25">
      <c r="A207" s="103"/>
      <c r="B207" s="38" t="str">
        <f>IF($A207=0,"",VLOOKUP($A207,'BASE MATERIAL'!$A:$D,2))</f>
        <v/>
      </c>
      <c r="C207" s="2"/>
      <c r="D207" s="77"/>
      <c r="E207" s="78" t="str">
        <f>IF($A207=0,"",VLOOKUP($A207,'BASE MATERIAL'!$A:$D,3))</f>
        <v/>
      </c>
      <c r="F207" s="55"/>
      <c r="G207" s="55" t="str">
        <f>IF($A207=0,"",VLOOKUP($A207,'BASE MATERIAL'!$A:$D,4))</f>
        <v/>
      </c>
      <c r="H207" s="56" t="str">
        <f t="shared" si="19"/>
        <v/>
      </c>
      <c r="I207" s="2"/>
      <c r="L207" s="2"/>
      <c r="M207" s="2"/>
      <c r="N207" s="39"/>
      <c r="O207" s="2"/>
      <c r="P207" s="2"/>
    </row>
    <row r="208" spans="1:16" ht="15" x14ac:dyDescent="0.25">
      <c r="A208" s="103"/>
      <c r="B208" s="38" t="str">
        <f>IF($A208=0,"",VLOOKUP($A208,'BASE MATERIAL'!$A:$D,2))</f>
        <v/>
      </c>
      <c r="C208" s="2"/>
      <c r="D208" s="77"/>
      <c r="E208" s="78" t="str">
        <f>IF($A208=0,"",VLOOKUP($A208,'BASE MATERIAL'!$A:$D,3))</f>
        <v/>
      </c>
      <c r="F208" s="55"/>
      <c r="G208" s="55" t="str">
        <f>IF($A208=0,"",VLOOKUP($A208,'BASE MATERIAL'!$A:$D,4))</f>
        <v/>
      </c>
      <c r="H208" s="56" t="str">
        <f t="shared" si="19"/>
        <v/>
      </c>
      <c r="I208" s="2"/>
    </row>
    <row r="209" spans="1:9" ht="15" x14ac:dyDescent="0.25">
      <c r="A209" s="103"/>
      <c r="B209" s="38" t="str">
        <f>IF($A209=0,"",VLOOKUP($A209,'BASE MATERIAL'!$A:$D,2))</f>
        <v/>
      </c>
      <c r="C209" s="2"/>
      <c r="D209" s="77"/>
      <c r="E209" s="78" t="str">
        <f>IF($A209=0,"",VLOOKUP($A209,'BASE MATERIAL'!$A:$D,3))</f>
        <v/>
      </c>
      <c r="F209" s="55"/>
      <c r="G209" s="55" t="str">
        <f>IF($A209=0,"",VLOOKUP($A209,'BASE MATERIAL'!$A:$D,4))</f>
        <v/>
      </c>
      <c r="H209" s="56" t="str">
        <f t="shared" si="19"/>
        <v/>
      </c>
      <c r="I209" s="2"/>
    </row>
    <row r="210" spans="1:9" ht="15" x14ac:dyDescent="0.25">
      <c r="A210" s="103"/>
      <c r="B210" s="38" t="str">
        <f>IF($A210=0,"",VLOOKUP($A210,'BASE MATERIAL'!$A:$D,2))</f>
        <v/>
      </c>
      <c r="C210" s="2"/>
      <c r="D210" s="77"/>
      <c r="E210" s="78" t="str">
        <f>IF($A210=0,"",VLOOKUP($A210,'BASE MATERIAL'!$A:$D,3))</f>
        <v/>
      </c>
      <c r="F210" s="55"/>
      <c r="G210" s="55" t="str">
        <f>IF($A210=0,"",VLOOKUP($A210,'BASE MATERIAL'!$A:$D,4))</f>
        <v/>
      </c>
      <c r="H210" s="56" t="str">
        <f t="shared" si="19"/>
        <v/>
      </c>
      <c r="I210" s="2"/>
    </row>
    <row r="211" spans="1:9" ht="15" x14ac:dyDescent="0.25">
      <c r="A211" s="103"/>
      <c r="B211" s="38" t="str">
        <f>IF($A211=0,"",VLOOKUP($A211,'BASE MATERIAL'!$A:$D,2))</f>
        <v/>
      </c>
      <c r="C211" s="2"/>
      <c r="D211" s="77"/>
      <c r="E211" s="78" t="str">
        <f>IF($A211=0,"",VLOOKUP($A211,'BASE MATERIAL'!$A:$D,3))</f>
        <v/>
      </c>
      <c r="F211" s="55"/>
      <c r="G211" s="55" t="str">
        <f>IF($A211=0,"",VLOOKUP($A211,'BASE MATERIAL'!$A:$D,4))</f>
        <v/>
      </c>
      <c r="H211" s="56" t="str">
        <f t="shared" si="19"/>
        <v/>
      </c>
      <c r="I211" s="2"/>
    </row>
    <row r="212" spans="1:9" ht="15" x14ac:dyDescent="0.25">
      <c r="A212" s="103"/>
      <c r="B212" s="38" t="str">
        <f>IF($A212=0,"",VLOOKUP($A212,'BASE MATERIAL'!$A:$D,2))</f>
        <v/>
      </c>
      <c r="C212" s="2"/>
      <c r="D212" s="81" t="s">
        <v>1682</v>
      </c>
      <c r="E212" s="55" t="str">
        <f>IF($A212=0,"",VLOOKUP($A212,'BASE MATERIAL'!$A:$D,3))</f>
        <v/>
      </c>
      <c r="F212" s="55" t="s">
        <v>1682</v>
      </c>
      <c r="G212" s="55" t="str">
        <f>IF($A212=0,"",VLOOKUP($A212,'BASE MATERIAL'!$A:$D,4))</f>
        <v/>
      </c>
      <c r="H212" s="56" t="str">
        <f>IF($A212=0,"",ROUND(E212*F212,2))</f>
        <v/>
      </c>
      <c r="I212" s="2"/>
    </row>
    <row r="213" spans="1:9" ht="15" x14ac:dyDescent="0.25">
      <c r="A213" s="103"/>
      <c r="B213" s="73" t="s">
        <v>1681</v>
      </c>
      <c r="C213" s="65"/>
      <c r="D213" s="74"/>
      <c r="E213" s="74"/>
      <c r="F213" s="74"/>
      <c r="G213" s="74"/>
      <c r="H213" s="75">
        <f>ROUND(SUM(H196:H212),2)</f>
        <v>1800</v>
      </c>
      <c r="I213" s="2"/>
    </row>
    <row r="214" spans="1:9" ht="15" x14ac:dyDescent="0.25">
      <c r="A214" s="103"/>
      <c r="B214" s="38" t="s">
        <v>1680</v>
      </c>
      <c r="C214" s="2"/>
      <c r="D214" s="3"/>
      <c r="E214" s="3"/>
      <c r="F214" s="3"/>
      <c r="G214" s="3"/>
      <c r="H214" s="56"/>
      <c r="I214" s="2"/>
    </row>
    <row r="215" spans="1:9" ht="26.25" customHeight="1" x14ac:dyDescent="0.25">
      <c r="A215" s="103"/>
      <c r="B215" s="64" t="s">
        <v>1409</v>
      </c>
      <c r="C215" s="65"/>
      <c r="D215" s="76"/>
      <c r="E215" s="66" t="s">
        <v>1408</v>
      </c>
      <c r="F215" s="66" t="s">
        <v>1679</v>
      </c>
      <c r="G215" s="66" t="s">
        <v>1676</v>
      </c>
      <c r="H215" s="68" t="s">
        <v>1675</v>
      </c>
      <c r="I215" s="2"/>
    </row>
    <row r="216" spans="1:9" ht="15" x14ac:dyDescent="0.25">
      <c r="A216" s="103"/>
      <c r="B216" s="51" t="str">
        <f>IF($A216=0,"",VLOOKUP($A216,'BASE EQUIPO'!$A:$D,2))</f>
        <v/>
      </c>
      <c r="C216" s="52"/>
      <c r="D216" s="82"/>
      <c r="E216" s="78" t="str">
        <f>IF($A216=0,"",VLOOKUP($A216,'BASE EQUIPO'!$A:$D,3))</f>
        <v/>
      </c>
      <c r="F216" s="55"/>
      <c r="G216" s="83" t="str">
        <f>IF($A216=0,"",VLOOKUP($A216,'BASE EQUIPO'!$A:$D,4)*H213)</f>
        <v/>
      </c>
      <c r="H216" s="56" t="str">
        <f>IF($A216=0,"",ROUND(F216*G216,2))</f>
        <v/>
      </c>
      <c r="I216" s="2"/>
    </row>
    <row r="217" spans="1:9" ht="15" x14ac:dyDescent="0.25">
      <c r="A217" s="103"/>
      <c r="B217" s="38" t="str">
        <f>IF($A217=0,"",VLOOKUP($A217,'BASE EQUIPO'!$A:$D,2))</f>
        <v/>
      </c>
      <c r="C217" s="2"/>
      <c r="D217" s="84"/>
      <c r="E217" s="78" t="str">
        <f>IF($A217=0,"",VLOOKUP($A217,'BASE EQUIPO'!$A:$D,3))</f>
        <v/>
      </c>
      <c r="F217" s="55"/>
      <c r="G217" s="55" t="str">
        <f>IF($A217=0,"",VLOOKUP($A217,'BASE EQUIPO'!$A:$D,4)*H214)</f>
        <v/>
      </c>
      <c r="H217" s="56" t="str">
        <f>IF($A217=0,"",ROUND(F217*G217,2))</f>
        <v/>
      </c>
      <c r="I217" s="2"/>
    </row>
    <row r="218" spans="1:9" ht="15" x14ac:dyDescent="0.25">
      <c r="A218" s="103"/>
      <c r="B218" s="57" t="str">
        <f>IF($A218=0,"",VLOOKUP($A218,'BASE EQUIPO'!$A:$D,2))</f>
        <v/>
      </c>
      <c r="C218" s="58"/>
      <c r="D218" s="85"/>
      <c r="E218" s="86" t="str">
        <f>IF($A218=0,"",VLOOKUP($A218,'BASE EQUIPO'!$A:$D,3))</f>
        <v/>
      </c>
      <c r="F218" s="59"/>
      <c r="G218" s="59" t="str">
        <f>IF($A218=0,"",VLOOKUP($A218,'BASE EQUIPO'!$A:$D,4)*H215)</f>
        <v/>
      </c>
      <c r="H218" s="60" t="str">
        <f>IF($A218=0,"",ROUND(F218*G218,2))</f>
        <v/>
      </c>
      <c r="I218" s="2"/>
    </row>
    <row r="219" spans="1:9" ht="15.75" thickBot="1" x14ac:dyDescent="0.3">
      <c r="A219" s="103"/>
      <c r="B219" s="87" t="s">
        <v>1674</v>
      </c>
      <c r="C219" s="88"/>
      <c r="D219" s="89"/>
      <c r="E219" s="89"/>
      <c r="F219" s="89"/>
      <c r="G219" s="89"/>
      <c r="H219" s="90">
        <f>ROUND(SUM(H215:H218),2)</f>
        <v>0</v>
      </c>
      <c r="I219" s="2"/>
    </row>
    <row r="220" spans="1:9" ht="15.75" x14ac:dyDescent="0.25">
      <c r="A220" s="103"/>
      <c r="B220" s="2"/>
      <c r="C220" s="2"/>
      <c r="D220" s="91" t="s">
        <v>1673</v>
      </c>
      <c r="E220" s="47"/>
      <c r="F220" s="47"/>
      <c r="G220" s="47"/>
      <c r="H220" s="92">
        <f>ROUND(SUM(H219,H213,H194,H184),2)</f>
        <v>1800</v>
      </c>
      <c r="I220" s="2"/>
    </row>
    <row r="221" spans="1:9" ht="15.75" x14ac:dyDescent="0.25">
      <c r="A221" s="103">
        <v>40002</v>
      </c>
      <c r="B221" s="2"/>
      <c r="C221" s="2"/>
      <c r="D221" s="93" t="s">
        <v>1672</v>
      </c>
      <c r="E221" s="65"/>
      <c r="F221" s="65"/>
      <c r="G221" s="94">
        <f>IF($A221=0,"",VLOOKUP($A221,'BASE MATERIAL'!$M:$P,4))</f>
        <v>0</v>
      </c>
      <c r="H221" s="95">
        <f>IF($A221=0,"",ROUND(G221*H220,2))</f>
        <v>0</v>
      </c>
      <c r="I221" s="2"/>
    </row>
    <row r="222" spans="1:9" ht="15.75" x14ac:dyDescent="0.25">
      <c r="A222" s="103">
        <v>40003</v>
      </c>
      <c r="B222" s="2"/>
      <c r="C222" s="2"/>
      <c r="D222" s="93" t="s">
        <v>1671</v>
      </c>
      <c r="E222" s="65"/>
      <c r="F222" s="65"/>
      <c r="G222" s="94">
        <f>IF($A222=0,"",VLOOKUP($A222,'BASE MATERIAL'!$M:$P,4))</f>
        <v>0</v>
      </c>
      <c r="H222" s="95">
        <f>IF($A222=0,"",ROUND(G222*H220,2))</f>
        <v>0</v>
      </c>
      <c r="I222" s="2"/>
    </row>
    <row r="223" spans="1:9" ht="15.75" x14ac:dyDescent="0.25">
      <c r="A223" s="103"/>
      <c r="B223" s="2"/>
      <c r="C223" s="2"/>
      <c r="D223" s="93" t="s">
        <v>1670</v>
      </c>
      <c r="E223" s="65"/>
      <c r="F223" s="65"/>
      <c r="G223" s="65"/>
      <c r="H223" s="96">
        <f>ROUND(SUM(H220:H222),2)</f>
        <v>1800</v>
      </c>
      <c r="I223" s="2"/>
    </row>
    <row r="224" spans="1:9" ht="16.5" thickBot="1" x14ac:dyDescent="0.3">
      <c r="A224" s="103"/>
      <c r="B224" s="25"/>
      <c r="C224" s="2"/>
      <c r="D224" s="97" t="s">
        <v>1650</v>
      </c>
      <c r="E224" s="88"/>
      <c r="F224" s="88"/>
      <c r="G224" s="88"/>
      <c r="H224" s="98">
        <f>ROUND(H223,2)</f>
        <v>1800</v>
      </c>
      <c r="I224" s="2"/>
    </row>
  </sheetData>
  <phoneticPr fontId="2" type="noConversion"/>
  <pageMargins left="0.75" right="0.75" top="0.77" bottom="0.79" header="0" footer="0"/>
  <pageSetup paperSize="9" scale="85" orientation="portrait" r:id="rId1"/>
  <headerFooter alignWithMargins="0"/>
  <rowBreaks count="2" manualBreakCount="2">
    <brk id="112" max="16383" man="1"/>
    <brk id="168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57642-6C67-4F48-842F-63FADD5BA5EF}">
  <sheetPr codeName="Hoja5"/>
  <dimension ref="A1:P168"/>
  <sheetViews>
    <sheetView workbookViewId="0"/>
  </sheetViews>
  <sheetFormatPr baseColWidth="10" defaultColWidth="11.42578125" defaultRowHeight="14.25" x14ac:dyDescent="0.2"/>
  <cols>
    <col min="1" max="1" width="8.5703125" style="110" customWidth="1"/>
    <col min="2" max="2" width="12.140625" style="1" customWidth="1"/>
    <col min="3" max="3" width="26.28515625" style="1" customWidth="1"/>
    <col min="4" max="4" width="10.7109375" style="1" customWidth="1"/>
    <col min="5" max="5" width="12.140625" style="1" customWidth="1"/>
    <col min="6" max="6" width="13.28515625" style="1" customWidth="1"/>
    <col min="7" max="7" width="13.85546875" style="1" customWidth="1"/>
    <col min="8" max="8" width="12.42578125" style="1" customWidth="1"/>
    <col min="9" max="9" width="3.140625" style="1" bestFit="1" customWidth="1"/>
    <col min="10" max="10" width="3.5703125" style="1" customWidth="1"/>
    <col min="11" max="11" width="8.42578125" style="1" customWidth="1"/>
    <col min="12" max="12" width="5.140625" style="1" bestFit="1" customWidth="1"/>
    <col min="13" max="13" width="33.85546875" style="1" bestFit="1" customWidth="1"/>
    <col min="14" max="14" width="6" style="1" bestFit="1" customWidth="1"/>
    <col min="15" max="28" width="8.42578125" style="1" customWidth="1"/>
    <col min="29" max="16384" width="11.42578125" style="1"/>
  </cols>
  <sheetData>
    <row r="1" spans="1:15" ht="15" x14ac:dyDescent="0.2">
      <c r="B1" s="34" t="s">
        <v>1701</v>
      </c>
      <c r="C1" s="2"/>
      <c r="D1" s="3" t="str">
        <f>'1.1'!$D$1</f>
        <v>ESPOL</v>
      </c>
      <c r="E1" s="2"/>
      <c r="F1" s="2"/>
      <c r="H1" s="2" t="s">
        <v>108</v>
      </c>
      <c r="I1" s="2"/>
      <c r="L1" s="40">
        <f>A5</f>
        <v>1</v>
      </c>
      <c r="M1" s="1" t="str">
        <f>C6</f>
        <v>Limpieza general de la obra</v>
      </c>
      <c r="N1" s="2" t="str">
        <f>H5</f>
        <v>SEMANA</v>
      </c>
      <c r="O1" s="2">
        <f>H56</f>
        <v>51.73</v>
      </c>
    </row>
    <row r="2" spans="1:15" ht="15" x14ac:dyDescent="0.2">
      <c r="B2" s="34" t="s">
        <v>1700</v>
      </c>
      <c r="C2" s="3">
        <f>'1.1'!$C$2</f>
        <v>0</v>
      </c>
      <c r="D2" s="2"/>
      <c r="E2" s="2"/>
      <c r="F2" s="2"/>
      <c r="G2" s="41" t="s">
        <v>1699</v>
      </c>
      <c r="H2" s="42"/>
      <c r="I2" s="2" t="s">
        <v>1698</v>
      </c>
    </row>
    <row r="3" spans="1:15" ht="15" x14ac:dyDescent="0.2">
      <c r="B3" s="34"/>
      <c r="C3" s="3">
        <f>'1.1'!$C$3</f>
        <v>0</v>
      </c>
      <c r="D3" s="2"/>
      <c r="E3" s="2"/>
      <c r="F3" s="2"/>
      <c r="G3" s="2"/>
      <c r="H3" s="2"/>
      <c r="I3" s="2"/>
    </row>
    <row r="4" spans="1:15" ht="15" x14ac:dyDescent="0.2">
      <c r="B4" s="34" t="s">
        <v>1697</v>
      </c>
      <c r="C4" s="3"/>
      <c r="D4" s="2"/>
      <c r="E4" s="2"/>
      <c r="F4" s="2"/>
      <c r="G4" s="2"/>
      <c r="H4" s="2"/>
      <c r="I4" s="2"/>
    </row>
    <row r="5" spans="1:15" ht="15" x14ac:dyDescent="0.25">
      <c r="A5" s="104">
        <v>1</v>
      </c>
      <c r="B5" s="2" t="s">
        <v>1586</v>
      </c>
      <c r="C5" s="36" t="s">
        <v>1574</v>
      </c>
      <c r="D5" s="2"/>
      <c r="G5" s="2" t="s">
        <v>1696</v>
      </c>
      <c r="H5" s="3" t="s">
        <v>48</v>
      </c>
      <c r="I5" s="2"/>
    </row>
    <row r="6" spans="1:15" ht="15" x14ac:dyDescent="0.25">
      <c r="A6" s="103"/>
      <c r="B6" s="1" t="s">
        <v>1585</v>
      </c>
      <c r="C6" s="36" t="s">
        <v>1573</v>
      </c>
      <c r="D6" s="2"/>
      <c r="E6" s="2"/>
      <c r="F6" s="2"/>
      <c r="G6" s="2"/>
      <c r="H6" s="2"/>
      <c r="I6" s="2"/>
    </row>
    <row r="7" spans="1:15" ht="15.75" thickBot="1" x14ac:dyDescent="0.3">
      <c r="A7" s="103"/>
      <c r="D7" s="2"/>
      <c r="E7" s="2"/>
      <c r="F7" s="2"/>
      <c r="G7" s="2"/>
      <c r="H7" s="2"/>
      <c r="I7" s="2"/>
    </row>
    <row r="8" spans="1:15" ht="15.75" thickBot="1" x14ac:dyDescent="0.3">
      <c r="A8" s="103"/>
      <c r="B8" s="43" t="s">
        <v>1695</v>
      </c>
      <c r="C8" s="44"/>
      <c r="D8" s="44"/>
      <c r="E8" s="44"/>
      <c r="F8" s="44"/>
      <c r="G8" s="44"/>
      <c r="H8" s="45"/>
      <c r="I8" s="2"/>
    </row>
    <row r="9" spans="1:15" ht="25.5" x14ac:dyDescent="0.25">
      <c r="A9" s="103"/>
      <c r="B9" s="46" t="s">
        <v>1409</v>
      </c>
      <c r="C9" s="47"/>
      <c r="D9" s="48" t="s">
        <v>1690</v>
      </c>
      <c r="E9" s="48" t="s">
        <v>1694</v>
      </c>
      <c r="F9" s="48" t="s">
        <v>1693</v>
      </c>
      <c r="G9" s="49" t="s">
        <v>1687</v>
      </c>
      <c r="H9" s="50" t="s">
        <v>1686</v>
      </c>
      <c r="I9" s="2"/>
    </row>
    <row r="10" spans="1:15" ht="15" x14ac:dyDescent="0.25">
      <c r="A10" s="103">
        <v>19015</v>
      </c>
      <c r="B10" s="51" t="str">
        <f>IF($A10=0,"",VLOOKUP($A10,'BASE EQUIPO'!$A:$D,2))</f>
        <v>HERRAMIENTA MENOR</v>
      </c>
      <c r="C10" s="52"/>
      <c r="D10" s="53">
        <v>1</v>
      </c>
      <c r="E10" s="53">
        <f>IF($A10=0,"",VLOOKUP($A10,'BASE EQUIPO'!$A:$D,4)*H26)</f>
        <v>1.5065999999999999</v>
      </c>
      <c r="F10" s="53">
        <f t="shared" ref="F10:F15" si="0">IF($A10=0,"",ROUND(D10*E10,2))</f>
        <v>1.51</v>
      </c>
      <c r="G10" s="105">
        <v>1</v>
      </c>
      <c r="H10" s="54">
        <f t="shared" ref="H10:H15" si="1">IF($A10=0,"",ROUND(G10*F10,2))</f>
        <v>1.51</v>
      </c>
      <c r="I10" s="2"/>
    </row>
    <row r="11" spans="1:15" ht="15" x14ac:dyDescent="0.25">
      <c r="A11" s="103"/>
      <c r="B11" s="38" t="str">
        <f>IF($A11=0,"",VLOOKUP($A11,'BASE EQUIPO'!$A:$D,2))</f>
        <v/>
      </c>
      <c r="C11" s="2"/>
      <c r="D11" s="55"/>
      <c r="E11" s="55" t="str">
        <f>IF($A11=0,"",VLOOKUP($A11,'BASE EQUIPO'!$A:$D,4))</f>
        <v/>
      </c>
      <c r="F11" s="55" t="str">
        <f t="shared" si="0"/>
        <v/>
      </c>
      <c r="G11" s="106"/>
      <c r="H11" s="56" t="str">
        <f t="shared" si="1"/>
        <v/>
      </c>
      <c r="I11" s="2"/>
    </row>
    <row r="12" spans="1:15" ht="15" x14ac:dyDescent="0.25">
      <c r="A12" s="103"/>
      <c r="B12" s="38" t="str">
        <f>IF($A12=0,"",VLOOKUP($A12,'BASE EQUIPO'!$A:$D,2))</f>
        <v/>
      </c>
      <c r="C12" s="2"/>
      <c r="D12" s="55"/>
      <c r="E12" s="55" t="str">
        <f>IF($A12=0,"",VLOOKUP($A12,'BASE EQUIPO'!$A:$D,4))</f>
        <v/>
      </c>
      <c r="F12" s="55" t="str">
        <f t="shared" si="0"/>
        <v/>
      </c>
      <c r="G12" s="106"/>
      <c r="H12" s="56" t="str">
        <f t="shared" si="1"/>
        <v/>
      </c>
      <c r="I12" s="2"/>
    </row>
    <row r="13" spans="1:15" ht="15" x14ac:dyDescent="0.25">
      <c r="A13" s="103"/>
      <c r="B13" s="38" t="str">
        <f>IF($A13=0,"",VLOOKUP($A13,'BASE EQUIPO'!$A:$D,2))</f>
        <v/>
      </c>
      <c r="C13" s="2"/>
      <c r="D13" s="55"/>
      <c r="E13" s="55" t="str">
        <f>IF($A13=0,"",VLOOKUP($A13,'BASE EQUIPO'!$A:$D,4))</f>
        <v/>
      </c>
      <c r="F13" s="55" t="str">
        <f t="shared" si="0"/>
        <v/>
      </c>
      <c r="G13" s="106"/>
      <c r="H13" s="56" t="str">
        <f t="shared" si="1"/>
        <v/>
      </c>
      <c r="I13" s="2"/>
    </row>
    <row r="14" spans="1:15" ht="15" x14ac:dyDescent="0.25">
      <c r="A14" s="103"/>
      <c r="B14" s="38" t="str">
        <f>IF($A14=0,"",VLOOKUP($A14,'BASE EQUIPO'!$A:$D,2))</f>
        <v/>
      </c>
      <c r="C14" s="2"/>
      <c r="D14" s="55"/>
      <c r="E14" s="55" t="str">
        <f>IF($A14=0,"",VLOOKUP($A14,'BASE EQUIPO'!$A:$D,4))</f>
        <v/>
      </c>
      <c r="F14" s="55" t="str">
        <f t="shared" si="0"/>
        <v/>
      </c>
      <c r="G14" s="106"/>
      <c r="H14" s="56" t="str">
        <f t="shared" si="1"/>
        <v/>
      </c>
      <c r="I14" s="2"/>
    </row>
    <row r="15" spans="1:15" ht="15" x14ac:dyDescent="0.25">
      <c r="A15" s="103"/>
      <c r="B15" s="57" t="str">
        <f>IF($A15=0,"",VLOOKUP($A15,'BASE EQUIPO'!$A:$D,2))</f>
        <v/>
      </c>
      <c r="C15" s="58"/>
      <c r="D15" s="59"/>
      <c r="E15" s="59" t="str">
        <f>IF($A15=0,"",VLOOKUP($A15,'BASE EQUIPO'!$A:$D,4))</f>
        <v/>
      </c>
      <c r="F15" s="59" t="str">
        <f t="shared" si="0"/>
        <v/>
      </c>
      <c r="G15" s="107"/>
      <c r="H15" s="60" t="str">
        <f t="shared" si="1"/>
        <v/>
      </c>
      <c r="I15" s="2"/>
    </row>
    <row r="16" spans="1:15" ht="15" x14ac:dyDescent="0.25">
      <c r="A16" s="103"/>
      <c r="B16" s="57" t="s">
        <v>1692</v>
      </c>
      <c r="C16" s="58"/>
      <c r="D16" s="61"/>
      <c r="E16" s="61"/>
      <c r="F16" s="61"/>
      <c r="G16" s="62"/>
      <c r="H16" s="60">
        <f>ROUND(SUM(H9:H15),2)</f>
        <v>1.51</v>
      </c>
      <c r="I16" s="2"/>
    </row>
    <row r="17" spans="1:16" ht="15" x14ac:dyDescent="0.25">
      <c r="A17" s="103"/>
      <c r="B17" s="38" t="s">
        <v>1503</v>
      </c>
      <c r="C17" s="2"/>
      <c r="D17" s="3"/>
      <c r="E17" s="3"/>
      <c r="F17" s="3"/>
      <c r="G17" s="63"/>
      <c r="H17" s="56"/>
      <c r="I17" s="2"/>
    </row>
    <row r="18" spans="1:16" ht="25.5" x14ac:dyDescent="0.25">
      <c r="A18" s="103"/>
      <c r="B18" s="64" t="s">
        <v>1691</v>
      </c>
      <c r="C18" s="65"/>
      <c r="D18" s="66" t="s">
        <v>1690</v>
      </c>
      <c r="E18" s="66" t="s">
        <v>1689</v>
      </c>
      <c r="F18" s="66" t="s">
        <v>1688</v>
      </c>
      <c r="G18" s="67" t="s">
        <v>1687</v>
      </c>
      <c r="H18" s="68" t="s">
        <v>1686</v>
      </c>
      <c r="I18" s="2"/>
    </row>
    <row r="19" spans="1:16" ht="15" x14ac:dyDescent="0.25">
      <c r="A19" s="103">
        <v>20001</v>
      </c>
      <c r="B19" s="69" t="str">
        <f>IF($A19=0,"",VLOOKUP($A19,'BASE M-OBRA'!$A:$D,2))</f>
        <v>MAESTRO</v>
      </c>
      <c r="C19" s="2"/>
      <c r="D19" s="108">
        <v>1</v>
      </c>
      <c r="E19" s="70">
        <f>IF($A19=0,"",VLOOKUP($A19,'BASE M-OBRA'!$A:$D,4))</f>
        <v>3.02</v>
      </c>
      <c r="F19" s="55">
        <f t="shared" ref="F19:F25" si="2">IF($A19=0,"",ROUND(D19*E19,2))</f>
        <v>3.02</v>
      </c>
      <c r="G19" s="106">
        <f>IF($A19=0,"",ROUND(H19/F19,2))</f>
        <v>2.77</v>
      </c>
      <c r="H19" s="56">
        <f>IF($A19=0,"",ROUND(SUM(H20:H25)*'BASE M-OBRA'!$D$23,2))</f>
        <v>8.3699999999999992</v>
      </c>
      <c r="I19" s="2"/>
    </row>
    <row r="20" spans="1:16" ht="15" x14ac:dyDescent="0.25">
      <c r="A20" s="103">
        <v>20002</v>
      </c>
      <c r="B20" s="69" t="str">
        <f>IF($A20=0,"",VLOOKUP($A20,'BASE M-OBRA'!$A:$D,2))</f>
        <v>PEON</v>
      </c>
      <c r="C20" s="2"/>
      <c r="D20" s="108">
        <v>3</v>
      </c>
      <c r="E20" s="70">
        <f>IF($A20=0,"",VLOOKUP($A20,'BASE M-OBRA'!$A:$D,4))</f>
        <v>2.79</v>
      </c>
      <c r="F20" s="55">
        <f t="shared" si="2"/>
        <v>8.3699999999999992</v>
      </c>
      <c r="G20" s="106">
        <f>5</f>
        <v>5</v>
      </c>
      <c r="H20" s="56">
        <f t="shared" ref="H20:H25" si="3">IF($A20=0,"",ROUND(G20*F20,2))</f>
        <v>41.85</v>
      </c>
      <c r="I20" s="2"/>
    </row>
    <row r="21" spans="1:16" ht="15" x14ac:dyDescent="0.25">
      <c r="A21" s="103"/>
      <c r="B21" s="69" t="str">
        <f>IF($A21=0,"",VLOOKUP($A21,'BASE M-OBRA'!$A:$D,2))</f>
        <v/>
      </c>
      <c r="C21" s="2"/>
      <c r="D21" s="108"/>
      <c r="E21" s="70" t="str">
        <f>IF($A21=0,"",VLOOKUP($A21,'BASE M-OBRA'!$A:$D,4))</f>
        <v/>
      </c>
      <c r="F21" s="55" t="str">
        <f t="shared" si="2"/>
        <v/>
      </c>
      <c r="G21" s="106"/>
      <c r="H21" s="56" t="str">
        <f t="shared" si="3"/>
        <v/>
      </c>
      <c r="I21" s="2"/>
    </row>
    <row r="22" spans="1:16" ht="15" x14ac:dyDescent="0.25">
      <c r="A22" s="103"/>
      <c r="B22" s="71" t="str">
        <f>IF($A22=0,"",VLOOKUP($A22,'BASE M-OBRA'!$A:$D,2))</f>
        <v/>
      </c>
      <c r="C22" s="2"/>
      <c r="D22" s="108"/>
      <c r="E22" s="70" t="str">
        <f>IF($A22=0,"",VLOOKUP($A22,'BASE M-OBRA'!$A:$D,4))</f>
        <v/>
      </c>
      <c r="F22" s="55" t="str">
        <f t="shared" si="2"/>
        <v/>
      </c>
      <c r="G22" s="106"/>
      <c r="H22" s="56" t="str">
        <f t="shared" si="3"/>
        <v/>
      </c>
      <c r="I22" s="2"/>
    </row>
    <row r="23" spans="1:16" ht="15" x14ac:dyDescent="0.25">
      <c r="A23" s="103"/>
      <c r="B23" s="72" t="str">
        <f>IF($A23=0,"",VLOOKUP($A23,'BASE M-OBRA'!$A:$D,2))</f>
        <v/>
      </c>
      <c r="C23" s="2"/>
      <c r="D23" s="108"/>
      <c r="E23" s="70" t="str">
        <f>IF($A23=0,"",VLOOKUP($A23,'BASE M-OBRA'!$A:$D,4))</f>
        <v/>
      </c>
      <c r="F23" s="55" t="str">
        <f t="shared" si="2"/>
        <v/>
      </c>
      <c r="G23" s="106"/>
      <c r="H23" s="56" t="str">
        <f t="shared" si="3"/>
        <v/>
      </c>
      <c r="I23" s="2"/>
    </row>
    <row r="24" spans="1:16" ht="15" x14ac:dyDescent="0.25">
      <c r="A24" s="103"/>
      <c r="B24" s="38" t="str">
        <f>IF($A24=0,"",VLOOKUP($A24,'BASE M-OBRA'!$A:$D,2))</f>
        <v/>
      </c>
      <c r="C24" s="2"/>
      <c r="D24" s="55"/>
      <c r="E24" s="55" t="str">
        <f>IF($A24=0,"",VLOOKUP($A24,'BASE M-OBRA'!$A:$D,4))</f>
        <v/>
      </c>
      <c r="F24" s="55" t="str">
        <f t="shared" si="2"/>
        <v/>
      </c>
      <c r="G24" s="106"/>
      <c r="H24" s="56" t="str">
        <f t="shared" si="3"/>
        <v/>
      </c>
      <c r="I24" s="2"/>
    </row>
    <row r="25" spans="1:16" ht="15" x14ac:dyDescent="0.25">
      <c r="A25" s="103"/>
      <c r="B25" s="57" t="str">
        <f>IF($A25=0,"",VLOOKUP($A25,'BASE M-OBRA'!$A:$D,2))</f>
        <v/>
      </c>
      <c r="C25" s="58"/>
      <c r="D25" s="59"/>
      <c r="E25" s="59" t="str">
        <f>IF($A25=0,"",VLOOKUP($A25,'BASE M-OBRA'!$A:$D,4))</f>
        <v/>
      </c>
      <c r="F25" s="59" t="str">
        <f t="shared" si="2"/>
        <v/>
      </c>
      <c r="G25" s="107"/>
      <c r="H25" s="60" t="str">
        <f t="shared" si="3"/>
        <v/>
      </c>
      <c r="I25" s="2"/>
    </row>
    <row r="26" spans="1:16" ht="15" x14ac:dyDescent="0.25">
      <c r="A26" s="103"/>
      <c r="B26" s="73" t="s">
        <v>1685</v>
      </c>
      <c r="C26" s="65"/>
      <c r="D26" s="74"/>
      <c r="E26" s="74"/>
      <c r="F26" s="74"/>
      <c r="G26" s="74"/>
      <c r="H26" s="75">
        <f>ROUND(SUM(H18:H25),2)</f>
        <v>50.22</v>
      </c>
      <c r="I26" s="2"/>
    </row>
    <row r="27" spans="1:16" ht="15" x14ac:dyDescent="0.25">
      <c r="A27" s="103"/>
      <c r="B27" s="38" t="s">
        <v>1684</v>
      </c>
      <c r="C27" s="2"/>
      <c r="D27" s="3"/>
      <c r="E27" s="3"/>
      <c r="F27" s="3"/>
      <c r="G27" s="3"/>
      <c r="H27" s="56"/>
      <c r="I27" s="2"/>
    </row>
    <row r="28" spans="1:16" ht="25.5" x14ac:dyDescent="0.25">
      <c r="A28" s="103"/>
      <c r="B28" s="64" t="s">
        <v>1409</v>
      </c>
      <c r="C28" s="65"/>
      <c r="D28" s="76"/>
      <c r="E28" s="66" t="s">
        <v>1408</v>
      </c>
      <c r="F28" s="66" t="s">
        <v>1679</v>
      </c>
      <c r="G28" s="66" t="s">
        <v>1683</v>
      </c>
      <c r="H28" s="68" t="s">
        <v>1675</v>
      </c>
      <c r="I28" s="2"/>
    </row>
    <row r="29" spans="1:16" ht="15" x14ac:dyDescent="0.25">
      <c r="A29" s="103"/>
      <c r="B29" s="109" t="str">
        <f>IF($A29=0,"",VLOOKUP($A29,'BASE MATERIAL'!$A:$D,2))</f>
        <v/>
      </c>
      <c r="C29" s="2"/>
      <c r="D29" s="77"/>
      <c r="E29" s="78" t="str">
        <f>IF($A29=0,"",VLOOKUP($A29,'BASE MATERIAL'!$A:$D,3))</f>
        <v/>
      </c>
      <c r="F29" s="55"/>
      <c r="G29" s="55" t="str">
        <f>IF($A29=0,"",VLOOKUP($A29,'BASE MATERIAL'!$A:$D,4))</f>
        <v/>
      </c>
      <c r="H29" s="56" t="str">
        <f t="shared" ref="H29:H43" si="4">IF($A29=0,"",ROUND(F29*G29,2))</f>
        <v/>
      </c>
      <c r="I29" s="2"/>
      <c r="L29" s="2"/>
      <c r="M29" s="2"/>
      <c r="N29" s="39"/>
      <c r="O29" s="2"/>
      <c r="P29" s="2"/>
    </row>
    <row r="30" spans="1:16" ht="15" x14ac:dyDescent="0.25">
      <c r="A30" s="103"/>
      <c r="B30" s="38" t="str">
        <f>IF($A30=0,"",VLOOKUP($A30,'BASE MATERIAL'!$A:$D,2))</f>
        <v/>
      </c>
      <c r="C30" s="2"/>
      <c r="D30" s="77"/>
      <c r="E30" s="78" t="str">
        <f>IF($A30=0,"",VLOOKUP($A30,'BASE MATERIAL'!$A:$D,3))</f>
        <v/>
      </c>
      <c r="F30" s="55"/>
      <c r="G30" s="55" t="str">
        <f>IF($A30=0,"",VLOOKUP($A30,'BASE MATERIAL'!$A:$D,4))</f>
        <v/>
      </c>
      <c r="H30" s="56" t="str">
        <f t="shared" si="4"/>
        <v/>
      </c>
      <c r="I30" s="2"/>
      <c r="L30" s="2"/>
      <c r="M30" s="2"/>
      <c r="N30" s="39"/>
      <c r="O30" s="2"/>
      <c r="P30" s="2"/>
    </row>
    <row r="31" spans="1:16" ht="15" x14ac:dyDescent="0.25">
      <c r="A31" s="103"/>
      <c r="B31" s="38" t="str">
        <f>IF($A31=0,"",VLOOKUP($A31,'BASE MATERIAL'!$A:$D,2))</f>
        <v/>
      </c>
      <c r="C31" s="2"/>
      <c r="D31" s="77"/>
      <c r="E31" s="78" t="str">
        <f>IF($A31=0,"",VLOOKUP($A31,'BASE MATERIAL'!$A:$D,3))</f>
        <v/>
      </c>
      <c r="F31" s="55"/>
      <c r="G31" s="55" t="str">
        <f>IF($A31=0,"",VLOOKUP($A31,'BASE MATERIAL'!$A:$D,4))</f>
        <v/>
      </c>
      <c r="H31" s="56" t="str">
        <f t="shared" si="4"/>
        <v/>
      </c>
      <c r="I31" s="2"/>
      <c r="L31" s="2"/>
      <c r="M31" s="2"/>
      <c r="N31" s="39"/>
      <c r="O31" s="2"/>
      <c r="P31" s="2"/>
    </row>
    <row r="32" spans="1:16" ht="15" x14ac:dyDescent="0.25">
      <c r="A32" s="103"/>
      <c r="B32" s="38" t="str">
        <f>IF($A32=0,"",VLOOKUP($A32,'BASE MATERIAL'!$A:$D,2))</f>
        <v/>
      </c>
      <c r="C32" s="2"/>
      <c r="D32" s="77"/>
      <c r="E32" s="78" t="str">
        <f>IF($A32=0,"",VLOOKUP($A32,'BASE MATERIAL'!$A:$D,3))</f>
        <v/>
      </c>
      <c r="F32" s="55"/>
      <c r="G32" s="55" t="str">
        <f>IF($A32=0,"",VLOOKUP($A32,'BASE MATERIAL'!$A:$D,4))</f>
        <v/>
      </c>
      <c r="H32" s="56" t="str">
        <f t="shared" si="4"/>
        <v/>
      </c>
      <c r="I32" s="2"/>
      <c r="L32" s="2"/>
      <c r="M32" s="2"/>
      <c r="N32" s="39"/>
      <c r="O32" s="2"/>
      <c r="P32" s="2"/>
    </row>
    <row r="33" spans="1:16" ht="15" x14ac:dyDescent="0.25">
      <c r="A33" s="103"/>
      <c r="B33" s="38" t="str">
        <f>IF($A33=0,"",VLOOKUP($A33,'BASE MATERIAL'!$A:$D,2))</f>
        <v/>
      </c>
      <c r="C33" s="2"/>
      <c r="D33" s="77"/>
      <c r="E33" s="78" t="str">
        <f>IF($A33=0,"",VLOOKUP($A33,'BASE MATERIAL'!$A:$D,3))</f>
        <v/>
      </c>
      <c r="F33" s="55"/>
      <c r="G33" s="55" t="str">
        <f>IF($A33=0,"",VLOOKUP($A33,'BASE MATERIAL'!$A:$D,4))</f>
        <v/>
      </c>
      <c r="H33" s="56" t="str">
        <f t="shared" si="4"/>
        <v/>
      </c>
      <c r="I33" s="2"/>
      <c r="L33" s="2"/>
      <c r="M33" s="2"/>
      <c r="N33" s="39"/>
      <c r="O33" s="2"/>
      <c r="P33" s="2"/>
    </row>
    <row r="34" spans="1:16" ht="15" x14ac:dyDescent="0.25">
      <c r="A34" s="103"/>
      <c r="B34" s="38" t="str">
        <f>IF($A34=0,"",VLOOKUP($A34,'BASE MATERIAL'!$A:$D,2))</f>
        <v/>
      </c>
      <c r="C34" s="2"/>
      <c r="D34" s="77"/>
      <c r="E34" s="78" t="str">
        <f>IF($A34=0,"",VLOOKUP($A34,'BASE MATERIAL'!$A:$D,3))</f>
        <v/>
      </c>
      <c r="F34" s="55"/>
      <c r="G34" s="55" t="str">
        <f>IF($A34=0,"",VLOOKUP($A34,'BASE MATERIAL'!$A:$D,4))</f>
        <v/>
      </c>
      <c r="H34" s="56" t="str">
        <f t="shared" si="4"/>
        <v/>
      </c>
      <c r="I34" s="2"/>
      <c r="L34" s="2"/>
      <c r="M34" s="2"/>
      <c r="N34" s="39"/>
      <c r="O34" s="2"/>
      <c r="P34" s="2"/>
    </row>
    <row r="35" spans="1:16" ht="15" x14ac:dyDescent="0.25">
      <c r="A35" s="103"/>
      <c r="B35" s="38" t="str">
        <f>IF($A35=0,"",VLOOKUP($A35,'BASE MATERIAL'!$A:$D,2))</f>
        <v/>
      </c>
      <c r="C35" s="2"/>
      <c r="D35" s="77"/>
      <c r="E35" s="78" t="str">
        <f>IF($A35=0,"",VLOOKUP($A35,'BASE MATERIAL'!$A:$D,3))</f>
        <v/>
      </c>
      <c r="F35" s="55"/>
      <c r="G35" s="55" t="str">
        <f>IF($A35=0,"",VLOOKUP($A35,'BASE MATERIAL'!$A:$D,4))</f>
        <v/>
      </c>
      <c r="H35" s="56" t="str">
        <f t="shared" si="4"/>
        <v/>
      </c>
      <c r="I35" s="2"/>
      <c r="L35" s="2"/>
      <c r="M35" s="2"/>
      <c r="N35" s="39"/>
      <c r="O35" s="2"/>
      <c r="P35" s="2"/>
    </row>
    <row r="36" spans="1:16" ht="15" x14ac:dyDescent="0.25">
      <c r="A36" s="103"/>
      <c r="B36" s="38" t="str">
        <f>IF($A36=0,"",VLOOKUP($A36,'BASE MATERIAL'!$A:$D,2))</f>
        <v/>
      </c>
      <c r="C36" s="2"/>
      <c r="D36" s="77"/>
      <c r="E36" s="78" t="str">
        <f>IF($A36=0,"",VLOOKUP($A36,'BASE MATERIAL'!$A:$D,3))</f>
        <v/>
      </c>
      <c r="F36" s="55"/>
      <c r="G36" s="55" t="str">
        <f>IF($A36=0,"",VLOOKUP($A36,'BASE MATERIAL'!$A:$D,4))</f>
        <v/>
      </c>
      <c r="H36" s="56" t="str">
        <f t="shared" si="4"/>
        <v/>
      </c>
      <c r="I36" s="2"/>
      <c r="L36" s="2"/>
      <c r="M36" s="2"/>
      <c r="N36" s="39"/>
      <c r="O36" s="2"/>
      <c r="P36" s="2"/>
    </row>
    <row r="37" spans="1:16" ht="15" x14ac:dyDescent="0.25">
      <c r="A37" s="103"/>
      <c r="B37" s="38" t="str">
        <f>IF($A37=0,"",VLOOKUP($A37,'BASE MATERIAL'!$A:$D,2))</f>
        <v/>
      </c>
      <c r="C37" s="2"/>
      <c r="D37" s="77"/>
      <c r="E37" s="78" t="str">
        <f>IF($A37=0,"",VLOOKUP($A37,'BASE MATERIAL'!$A:$D,3))</f>
        <v/>
      </c>
      <c r="F37" s="55"/>
      <c r="G37" s="55" t="str">
        <f>IF($A37=0,"",VLOOKUP($A37,'BASE MATERIAL'!$A:$D,4))</f>
        <v/>
      </c>
      <c r="H37" s="56" t="str">
        <f t="shared" si="4"/>
        <v/>
      </c>
      <c r="I37" s="2"/>
    </row>
    <row r="38" spans="1:16" ht="15" x14ac:dyDescent="0.25">
      <c r="A38" s="103"/>
      <c r="B38" s="38" t="str">
        <f>IF($A38=0,"",VLOOKUP($A38,'BASE MATERIAL'!$A:$D,2))</f>
        <v/>
      </c>
      <c r="C38" s="2"/>
      <c r="D38" s="77"/>
      <c r="E38" s="78" t="str">
        <f>IF($A38=0,"",VLOOKUP($A38,'BASE MATERIAL'!$A:$D,3))</f>
        <v/>
      </c>
      <c r="F38" s="55"/>
      <c r="G38" s="55" t="str">
        <f>IF($A38=0,"",VLOOKUP($A38,'BASE MATERIAL'!$A:$D,4))</f>
        <v/>
      </c>
      <c r="H38" s="56" t="str">
        <f t="shared" si="4"/>
        <v/>
      </c>
      <c r="I38" s="2"/>
      <c r="L38" s="2"/>
      <c r="M38" s="2"/>
      <c r="N38" s="39"/>
      <c r="O38" s="2"/>
      <c r="P38" s="2"/>
    </row>
    <row r="39" spans="1:16" ht="15" x14ac:dyDescent="0.25">
      <c r="A39" s="103"/>
      <c r="B39" s="38" t="str">
        <f>IF($A39=0,"",VLOOKUP($A39,'BASE MATERIAL'!$A:$D,2))</f>
        <v/>
      </c>
      <c r="C39" s="2"/>
      <c r="D39" s="77"/>
      <c r="E39" s="78" t="str">
        <f>IF($A39=0,"",VLOOKUP($A39,'BASE MATERIAL'!$A:$D,3))</f>
        <v/>
      </c>
      <c r="F39" s="55"/>
      <c r="G39" s="55" t="str">
        <f>IF($A39=0,"",VLOOKUP($A39,'BASE MATERIAL'!$A:$D,4))</f>
        <v/>
      </c>
      <c r="H39" s="56" t="str">
        <f t="shared" si="4"/>
        <v/>
      </c>
      <c r="I39" s="2"/>
      <c r="L39" s="2"/>
      <c r="M39" s="2"/>
      <c r="N39" s="39"/>
      <c r="O39" s="2"/>
      <c r="P39" s="2"/>
    </row>
    <row r="40" spans="1:16" ht="15" x14ac:dyDescent="0.25">
      <c r="A40" s="103"/>
      <c r="B40" s="38" t="str">
        <f>IF($A40=0,"",VLOOKUP($A40,'BASE MATERIAL'!$A:$D,2))</f>
        <v/>
      </c>
      <c r="C40" s="2"/>
      <c r="D40" s="77"/>
      <c r="E40" s="78" t="str">
        <f>IF($A40=0,"",VLOOKUP($A40,'BASE MATERIAL'!$A:$D,3))</f>
        <v/>
      </c>
      <c r="F40" s="55"/>
      <c r="G40" s="55" t="str">
        <f>IF($A40=0,"",VLOOKUP($A40,'BASE MATERIAL'!$A:$D,4))</f>
        <v/>
      </c>
      <c r="H40" s="56" t="str">
        <f t="shared" si="4"/>
        <v/>
      </c>
      <c r="I40" s="2"/>
    </row>
    <row r="41" spans="1:16" ht="15" x14ac:dyDescent="0.25">
      <c r="A41" s="103"/>
      <c r="B41" s="38" t="str">
        <f>IF($A41=0,"",VLOOKUP($A41,'BASE MATERIAL'!$A:$D,2))</f>
        <v/>
      </c>
      <c r="C41" s="2"/>
      <c r="D41" s="77"/>
      <c r="E41" s="78" t="str">
        <f>IF($A41=0,"",VLOOKUP($A41,'BASE MATERIAL'!$A:$D,3))</f>
        <v/>
      </c>
      <c r="F41" s="55"/>
      <c r="G41" s="55" t="str">
        <f>IF($A41=0,"",VLOOKUP($A41,'BASE MATERIAL'!$A:$D,4))</f>
        <v/>
      </c>
      <c r="H41" s="56" t="str">
        <f t="shared" si="4"/>
        <v/>
      </c>
      <c r="I41" s="2"/>
    </row>
    <row r="42" spans="1:16" ht="15" x14ac:dyDescent="0.25">
      <c r="A42" s="103"/>
      <c r="B42" s="38" t="str">
        <f>IF($A42=0,"",VLOOKUP($A42,'BASE MATERIAL'!$A:$D,2))</f>
        <v/>
      </c>
      <c r="C42" s="2"/>
      <c r="D42" s="77"/>
      <c r="E42" s="78" t="str">
        <f>IF($A42=0,"",VLOOKUP($A42,'BASE MATERIAL'!$A:$D,3))</f>
        <v/>
      </c>
      <c r="F42" s="55"/>
      <c r="G42" s="55" t="str">
        <f>IF($A42=0,"",VLOOKUP($A42,'BASE MATERIAL'!$A:$D,4))</f>
        <v/>
      </c>
      <c r="H42" s="56" t="str">
        <f t="shared" si="4"/>
        <v/>
      </c>
      <c r="I42" s="2"/>
    </row>
    <row r="43" spans="1:16" ht="15" x14ac:dyDescent="0.25">
      <c r="A43" s="103"/>
      <c r="B43" s="38" t="str">
        <f>IF($A43=0,"",VLOOKUP($A43,'BASE MATERIAL'!$A:$D,2))</f>
        <v/>
      </c>
      <c r="C43" s="2"/>
      <c r="D43" s="77"/>
      <c r="E43" s="78" t="str">
        <f>IF($A43=0,"",VLOOKUP($A43,'BASE MATERIAL'!$A:$D,3))</f>
        <v/>
      </c>
      <c r="F43" s="55"/>
      <c r="G43" s="55" t="str">
        <f>IF($A43=0,"",VLOOKUP($A43,'BASE MATERIAL'!$A:$D,4))</f>
        <v/>
      </c>
      <c r="H43" s="56" t="str">
        <f t="shared" si="4"/>
        <v/>
      </c>
      <c r="I43" s="2"/>
    </row>
    <row r="44" spans="1:16" ht="15" x14ac:dyDescent="0.25">
      <c r="A44" s="103"/>
      <c r="B44" s="38" t="str">
        <f>IF($A44=0,"",VLOOKUP($A44,'BASE MATERIAL'!$A:$D,2))</f>
        <v/>
      </c>
      <c r="C44" s="2"/>
      <c r="D44" s="81" t="s">
        <v>1682</v>
      </c>
      <c r="E44" s="55" t="str">
        <f>IF($A44=0,"",VLOOKUP($A44,'BASE MATERIAL'!$A:$D,3))</f>
        <v/>
      </c>
      <c r="F44" s="55" t="s">
        <v>1682</v>
      </c>
      <c r="G44" s="55" t="str">
        <f>IF($A44=0,"",VLOOKUP($A44,'BASE MATERIAL'!$A:$D,4))</f>
        <v/>
      </c>
      <c r="H44" s="56" t="str">
        <f>IF($A44=0,"",ROUND(E44*F44,2))</f>
        <v/>
      </c>
      <c r="I44" s="2"/>
    </row>
    <row r="45" spans="1:16" ht="15" x14ac:dyDescent="0.25">
      <c r="A45" s="103"/>
      <c r="B45" s="73" t="s">
        <v>1681</v>
      </c>
      <c r="C45" s="65"/>
      <c r="D45" s="74"/>
      <c r="E45" s="74"/>
      <c r="F45" s="74"/>
      <c r="G45" s="74"/>
      <c r="H45" s="75">
        <f>ROUND(SUM(H28:H44),2)</f>
        <v>0</v>
      </c>
      <c r="I45" s="2"/>
    </row>
    <row r="46" spans="1:16" ht="15" x14ac:dyDescent="0.25">
      <c r="A46" s="103"/>
      <c r="B46" s="38" t="s">
        <v>1680</v>
      </c>
      <c r="C46" s="2"/>
      <c r="D46" s="3"/>
      <c r="E46" s="3"/>
      <c r="F46" s="3"/>
      <c r="G46" s="3"/>
      <c r="H46" s="56"/>
      <c r="I46" s="2"/>
    </row>
    <row r="47" spans="1:16" ht="25.5" x14ac:dyDescent="0.25">
      <c r="A47" s="103"/>
      <c r="B47" s="64" t="s">
        <v>1409</v>
      </c>
      <c r="C47" s="65"/>
      <c r="D47" s="76"/>
      <c r="E47" s="66" t="s">
        <v>1408</v>
      </c>
      <c r="F47" s="66" t="s">
        <v>1679</v>
      </c>
      <c r="G47" s="66" t="s">
        <v>1676</v>
      </c>
      <c r="H47" s="68" t="s">
        <v>1675</v>
      </c>
      <c r="I47" s="2"/>
    </row>
    <row r="48" spans="1:16" ht="15" x14ac:dyDescent="0.25">
      <c r="A48" s="103"/>
      <c r="B48" s="51" t="str">
        <f>IF($A48=0,"",VLOOKUP($A48,'BASE EQUIPO'!$A:$D,2))</f>
        <v/>
      </c>
      <c r="C48" s="52"/>
      <c r="D48" s="82"/>
      <c r="E48" s="78" t="str">
        <f>IF($A48=0,"",VLOOKUP($A48,'BASE EQUIPO'!$A:$D,3))</f>
        <v/>
      </c>
      <c r="F48" s="55"/>
      <c r="G48" s="83" t="str">
        <f>IF($A48=0,"",VLOOKUP($A48,'BASE EQUIPO'!$A:$D,4)*H45)</f>
        <v/>
      </c>
      <c r="H48" s="56" t="str">
        <f>IF($A48=0,"",ROUND(F48*G48,2))</f>
        <v/>
      </c>
      <c r="I48" s="2"/>
    </row>
    <row r="49" spans="1:15" x14ac:dyDescent="0.2">
      <c r="B49" s="38" t="str">
        <f>IF($A49=0,"",VLOOKUP($A49,'BASE EQUIPO'!$A:$D,2))</f>
        <v/>
      </c>
      <c r="C49" s="2"/>
      <c r="D49" s="84"/>
      <c r="E49" s="78" t="str">
        <f>IF($A49=0,"",VLOOKUP($A49,'BASE EQUIPO'!$A:$D,3))</f>
        <v/>
      </c>
      <c r="F49" s="55"/>
      <c r="G49" s="55" t="str">
        <f>IF($A49=0,"",VLOOKUP($A49,'BASE EQUIPO'!$A:$D,4)*H46)</f>
        <v/>
      </c>
      <c r="H49" s="56" t="str">
        <f>IF($A49=0,"",ROUND(F49*G49,2))</f>
        <v/>
      </c>
      <c r="I49" s="2"/>
    </row>
    <row r="50" spans="1:15" x14ac:dyDescent="0.2">
      <c r="B50" s="57" t="str">
        <f>IF($A50=0,"",VLOOKUP($A50,'BASE EQUIPO'!$A:$D,2))</f>
        <v/>
      </c>
      <c r="C50" s="58"/>
      <c r="D50" s="85"/>
      <c r="E50" s="86" t="str">
        <f>IF($A50=0,"",VLOOKUP($A50,'BASE EQUIPO'!$A:$D,3))</f>
        <v/>
      </c>
      <c r="F50" s="59"/>
      <c r="G50" s="59" t="str">
        <f>IF($A50=0,"",VLOOKUP($A50,'BASE EQUIPO'!$A:$D,4)*H47)</f>
        <v/>
      </c>
      <c r="H50" s="60" t="str">
        <f>IF($A50=0,"",ROUND(F50*G50,2))</f>
        <v/>
      </c>
      <c r="I50" s="2"/>
    </row>
    <row r="51" spans="1:15" ht="15" thickBot="1" x14ac:dyDescent="0.25">
      <c r="B51" s="87" t="s">
        <v>1674</v>
      </c>
      <c r="C51" s="88"/>
      <c r="D51" s="89"/>
      <c r="E51" s="89"/>
      <c r="F51" s="89"/>
      <c r="G51" s="89"/>
      <c r="H51" s="90">
        <f>ROUND(SUM(H47:H50),2)</f>
        <v>0</v>
      </c>
      <c r="I51" s="2"/>
    </row>
    <row r="52" spans="1:15" ht="15.75" x14ac:dyDescent="0.25">
      <c r="B52" s="2"/>
      <c r="C52" s="2"/>
      <c r="D52" s="91" t="s">
        <v>1673</v>
      </c>
      <c r="E52" s="47"/>
      <c r="F52" s="47"/>
      <c r="G52" s="47"/>
      <c r="H52" s="92">
        <f>ROUND(SUM(H51,H45,H26,H16),2)</f>
        <v>51.73</v>
      </c>
      <c r="I52" s="2"/>
    </row>
    <row r="53" spans="1:15" ht="15.75" x14ac:dyDescent="0.25">
      <c r="A53" s="103">
        <v>40002</v>
      </c>
      <c r="B53" s="2"/>
      <c r="C53" s="2"/>
      <c r="D53" s="93" t="s">
        <v>1672</v>
      </c>
      <c r="E53" s="65"/>
      <c r="F53" s="65"/>
      <c r="G53" s="94">
        <f>IF($A53=0,"",VLOOKUP($A53,'BASE MATERIAL'!$M:$P,4))</f>
        <v>0</v>
      </c>
      <c r="H53" s="95">
        <f>IF($A53=0,"",ROUND(G53*H52,2))</f>
        <v>0</v>
      </c>
      <c r="I53" s="2"/>
    </row>
    <row r="54" spans="1:15" ht="15.75" x14ac:dyDescent="0.25">
      <c r="A54" s="103">
        <v>40003</v>
      </c>
      <c r="B54" s="2"/>
      <c r="C54" s="2"/>
      <c r="D54" s="93" t="s">
        <v>1671</v>
      </c>
      <c r="E54" s="65"/>
      <c r="F54" s="65"/>
      <c r="G54" s="94">
        <f>IF($A54=0,"",VLOOKUP($A54,'BASE MATERIAL'!$M:$P,4))</f>
        <v>0</v>
      </c>
      <c r="H54" s="95">
        <f>IF($A54=0,"",ROUND(G54*H52,2))</f>
        <v>0</v>
      </c>
      <c r="I54" s="2"/>
    </row>
    <row r="55" spans="1:15" ht="15.75" x14ac:dyDescent="0.25">
      <c r="B55" s="2"/>
      <c r="C55" s="2"/>
      <c r="D55" s="93" t="s">
        <v>1670</v>
      </c>
      <c r="E55" s="65"/>
      <c r="F55" s="65"/>
      <c r="G55" s="65"/>
      <c r="H55" s="96">
        <f>ROUND(SUM(H52:H54),2)</f>
        <v>51.73</v>
      </c>
      <c r="I55" s="2"/>
    </row>
    <row r="56" spans="1:15" ht="16.5" thickBot="1" x14ac:dyDescent="0.3">
      <c r="B56" s="25"/>
      <c r="C56" s="2"/>
      <c r="D56" s="97" t="s">
        <v>1650</v>
      </c>
      <c r="E56" s="88"/>
      <c r="F56" s="88"/>
      <c r="G56" s="88"/>
      <c r="H56" s="98">
        <f>ROUND(H55,2)</f>
        <v>51.73</v>
      </c>
      <c r="I56" s="2"/>
    </row>
    <row r="57" spans="1:15" ht="15.75" x14ac:dyDescent="0.25">
      <c r="A57" s="103"/>
      <c r="B57" s="34" t="s">
        <v>1701</v>
      </c>
      <c r="C57" s="2"/>
      <c r="D57" s="3" t="str">
        <f>$D$1</f>
        <v>ESPOL</v>
      </c>
      <c r="E57" s="2"/>
      <c r="F57" s="2"/>
      <c r="H57" s="2" t="s">
        <v>108</v>
      </c>
      <c r="I57" s="2"/>
      <c r="L57" s="40">
        <f>A61</f>
        <v>2</v>
      </c>
      <c r="M57" s="1" t="str">
        <f>C62</f>
        <v>Desalojo de limpieza</v>
      </c>
      <c r="N57" s="2" t="str">
        <f>H61</f>
        <v>Global</v>
      </c>
      <c r="O57" s="2">
        <f>H112</f>
        <v>41.79</v>
      </c>
    </row>
    <row r="58" spans="1:15" ht="15.75" x14ac:dyDescent="0.25">
      <c r="A58" s="103"/>
      <c r="B58" s="34" t="s">
        <v>1700</v>
      </c>
      <c r="C58" s="3">
        <f>'1.1'!$C$2</f>
        <v>0</v>
      </c>
      <c r="D58" s="2"/>
      <c r="E58" s="2"/>
      <c r="F58" s="2"/>
      <c r="G58" s="41" t="s">
        <v>1699</v>
      </c>
      <c r="H58" s="42"/>
      <c r="I58" s="2" t="s">
        <v>1698</v>
      </c>
    </row>
    <row r="59" spans="1:15" ht="15.75" x14ac:dyDescent="0.25">
      <c r="A59" s="103"/>
      <c r="B59" s="34"/>
      <c r="C59" s="3">
        <f>'1.1'!$C$3</f>
        <v>0</v>
      </c>
      <c r="D59" s="2"/>
      <c r="E59" s="2"/>
      <c r="F59" s="2"/>
      <c r="G59" s="2"/>
      <c r="H59" s="2"/>
      <c r="I59" s="2"/>
    </row>
    <row r="60" spans="1:15" ht="15.75" x14ac:dyDescent="0.25">
      <c r="A60" s="103"/>
      <c r="B60" s="34" t="s">
        <v>1697</v>
      </c>
      <c r="C60" s="3"/>
      <c r="D60" s="2"/>
      <c r="E60" s="2"/>
      <c r="F60" s="2"/>
      <c r="G60" s="2"/>
      <c r="H60" s="2"/>
      <c r="I60" s="2"/>
    </row>
    <row r="61" spans="1:15" ht="15" x14ac:dyDescent="0.25">
      <c r="A61" s="104">
        <v>2</v>
      </c>
      <c r="B61" s="2" t="s">
        <v>1586</v>
      </c>
      <c r="C61" s="101" t="s">
        <v>1572</v>
      </c>
      <c r="D61" s="2"/>
      <c r="G61" s="2" t="s">
        <v>1696</v>
      </c>
      <c r="H61" s="3" t="s">
        <v>1566</v>
      </c>
      <c r="I61" s="2"/>
    </row>
    <row r="62" spans="1:15" ht="15" x14ac:dyDescent="0.25">
      <c r="A62" s="103"/>
      <c r="B62" s="1" t="s">
        <v>1585</v>
      </c>
      <c r="C62" s="36" t="s">
        <v>1571</v>
      </c>
      <c r="D62" s="2"/>
      <c r="E62" s="2"/>
      <c r="F62" s="2"/>
      <c r="G62" s="2"/>
      <c r="H62" s="2"/>
      <c r="I62" s="2"/>
    </row>
    <row r="63" spans="1:15" ht="15.75" thickBot="1" x14ac:dyDescent="0.3">
      <c r="A63" s="103"/>
      <c r="D63" s="2"/>
      <c r="E63" s="2"/>
      <c r="F63" s="2"/>
      <c r="G63" s="2"/>
      <c r="H63" s="2"/>
      <c r="I63" s="2"/>
    </row>
    <row r="64" spans="1:15" ht="15.75" thickBot="1" x14ac:dyDescent="0.3">
      <c r="A64" s="103"/>
      <c r="B64" s="43" t="s">
        <v>1695</v>
      </c>
      <c r="C64" s="44"/>
      <c r="D64" s="44"/>
      <c r="E64" s="44"/>
      <c r="F64" s="44"/>
      <c r="G64" s="44"/>
      <c r="H64" s="45"/>
      <c r="I64" s="2"/>
    </row>
    <row r="65" spans="1:9" ht="25.5" x14ac:dyDescent="0.25">
      <c r="A65" s="103"/>
      <c r="B65" s="46" t="s">
        <v>1409</v>
      </c>
      <c r="C65" s="47"/>
      <c r="D65" s="48" t="s">
        <v>1690</v>
      </c>
      <c r="E65" s="48" t="s">
        <v>1694</v>
      </c>
      <c r="F65" s="48" t="s">
        <v>1693</v>
      </c>
      <c r="G65" s="49" t="s">
        <v>1687</v>
      </c>
      <c r="H65" s="50" t="s">
        <v>1686</v>
      </c>
      <c r="I65" s="2"/>
    </row>
    <row r="66" spans="1:9" ht="15" x14ac:dyDescent="0.25">
      <c r="A66" s="103">
        <v>19015</v>
      </c>
      <c r="B66" s="51" t="str">
        <f>IF($A66=0,"",VLOOKUP($A66,'BASE EQUIPO'!$A:$D,2))</f>
        <v>HERRAMIENTA MENOR</v>
      </c>
      <c r="C66" s="52"/>
      <c r="D66" s="53">
        <v>1</v>
      </c>
      <c r="E66" s="53">
        <f>IF($A66=0,"",VLOOKUP($A66,'BASE EQUIPO'!$A:$D,4)*H82)</f>
        <v>0.4017</v>
      </c>
      <c r="F66" s="53">
        <f t="shared" ref="F66:F71" si="5">IF($A66=0,"",ROUND(D66*E66,2))</f>
        <v>0.4</v>
      </c>
      <c r="G66" s="105">
        <v>1</v>
      </c>
      <c r="H66" s="54">
        <f t="shared" ref="H66:H71" si="6">IF($A66=0,"",ROUND(G66*F66,2))</f>
        <v>0.4</v>
      </c>
      <c r="I66" s="2"/>
    </row>
    <row r="67" spans="1:9" ht="15" x14ac:dyDescent="0.25">
      <c r="A67" s="103">
        <v>19009</v>
      </c>
      <c r="B67" s="38" t="str">
        <f>IF($A67=0,"",VLOOKUP($A67,'BASE EQUIPO'!$A:$D,2))</f>
        <v>VOLQUETA 8M3</v>
      </c>
      <c r="C67" s="2"/>
      <c r="D67" s="55">
        <v>1</v>
      </c>
      <c r="E67" s="55">
        <f>IF($A67=0,"",VLOOKUP($A67,'BASE EQUIPO'!$A:$D,4))</f>
        <v>28</v>
      </c>
      <c r="F67" s="55">
        <f t="shared" si="5"/>
        <v>28</v>
      </c>
      <c r="G67" s="106">
        <v>1</v>
      </c>
      <c r="H67" s="56">
        <f t="shared" si="6"/>
        <v>28</v>
      </c>
      <c r="I67" s="2"/>
    </row>
    <row r="68" spans="1:9" ht="15" x14ac:dyDescent="0.25">
      <c r="A68" s="103"/>
      <c r="B68" s="38" t="str">
        <f>IF($A68=0,"",VLOOKUP($A68,'BASE EQUIPO'!$A:$D,2))</f>
        <v/>
      </c>
      <c r="C68" s="2"/>
      <c r="D68" s="55"/>
      <c r="E68" s="55" t="str">
        <f>IF($A68=0,"",VLOOKUP($A68,'BASE EQUIPO'!$A:$D,4))</f>
        <v/>
      </c>
      <c r="F68" s="55" t="str">
        <f t="shared" si="5"/>
        <v/>
      </c>
      <c r="G68" s="106"/>
      <c r="H68" s="56" t="str">
        <f t="shared" si="6"/>
        <v/>
      </c>
      <c r="I68" s="2"/>
    </row>
    <row r="69" spans="1:9" ht="15" x14ac:dyDescent="0.25">
      <c r="A69" s="103"/>
      <c r="B69" s="38" t="str">
        <f>IF($A69=0,"",VLOOKUP($A69,'BASE EQUIPO'!$A:$D,2))</f>
        <v/>
      </c>
      <c r="C69" s="2"/>
      <c r="D69" s="55"/>
      <c r="E69" s="55" t="str">
        <f>IF($A69=0,"",VLOOKUP($A69,'BASE EQUIPO'!$A:$D,4))</f>
        <v/>
      </c>
      <c r="F69" s="55" t="str">
        <f t="shared" si="5"/>
        <v/>
      </c>
      <c r="G69" s="106"/>
      <c r="H69" s="56" t="str">
        <f t="shared" si="6"/>
        <v/>
      </c>
      <c r="I69" s="2"/>
    </row>
    <row r="70" spans="1:9" ht="15" x14ac:dyDescent="0.25">
      <c r="A70" s="103"/>
      <c r="B70" s="38" t="str">
        <f>IF($A70=0,"",VLOOKUP($A70,'BASE EQUIPO'!$A:$D,2))</f>
        <v/>
      </c>
      <c r="C70" s="2"/>
      <c r="D70" s="55"/>
      <c r="E70" s="55" t="str">
        <f>IF($A70=0,"",VLOOKUP($A70,'BASE EQUIPO'!$A:$D,4))</f>
        <v/>
      </c>
      <c r="F70" s="55" t="str">
        <f t="shared" si="5"/>
        <v/>
      </c>
      <c r="G70" s="106"/>
      <c r="H70" s="56" t="str">
        <f t="shared" si="6"/>
        <v/>
      </c>
      <c r="I70" s="2"/>
    </row>
    <row r="71" spans="1:9" ht="15" x14ac:dyDescent="0.25">
      <c r="A71" s="103"/>
      <c r="B71" s="57" t="str">
        <f>IF($A71=0,"",VLOOKUP($A71,'BASE EQUIPO'!$A:$D,2))</f>
        <v/>
      </c>
      <c r="C71" s="58"/>
      <c r="D71" s="59"/>
      <c r="E71" s="59" t="str">
        <f>IF($A71=0,"",VLOOKUP($A71,'BASE EQUIPO'!$A:$D,4))</f>
        <v/>
      </c>
      <c r="F71" s="59" t="str">
        <f t="shared" si="5"/>
        <v/>
      </c>
      <c r="G71" s="107"/>
      <c r="H71" s="60" t="str">
        <f t="shared" si="6"/>
        <v/>
      </c>
      <c r="I71" s="2"/>
    </row>
    <row r="72" spans="1:9" ht="15" x14ac:dyDescent="0.25">
      <c r="A72" s="103"/>
      <c r="B72" s="57" t="s">
        <v>1692</v>
      </c>
      <c r="C72" s="58"/>
      <c r="D72" s="61"/>
      <c r="E72" s="61"/>
      <c r="F72" s="61"/>
      <c r="G72" s="62"/>
      <c r="H72" s="60">
        <f>ROUND(SUM(H65:H71),2)</f>
        <v>28.4</v>
      </c>
      <c r="I72" s="2"/>
    </row>
    <row r="73" spans="1:9" ht="15" x14ac:dyDescent="0.25">
      <c r="A73" s="103"/>
      <c r="B73" s="38" t="s">
        <v>1503</v>
      </c>
      <c r="C73" s="2"/>
      <c r="D73" s="3"/>
      <c r="E73" s="3"/>
      <c r="F73" s="3"/>
      <c r="G73" s="63"/>
      <c r="H73" s="56"/>
      <c r="I73" s="2"/>
    </row>
    <row r="74" spans="1:9" ht="25.5" x14ac:dyDescent="0.25">
      <c r="A74" s="103"/>
      <c r="B74" s="64" t="s">
        <v>1691</v>
      </c>
      <c r="C74" s="65"/>
      <c r="D74" s="66" t="s">
        <v>1690</v>
      </c>
      <c r="E74" s="66" t="s">
        <v>1689</v>
      </c>
      <c r="F74" s="66" t="s">
        <v>1688</v>
      </c>
      <c r="G74" s="67" t="s">
        <v>1687</v>
      </c>
      <c r="H74" s="68" t="s">
        <v>1686</v>
      </c>
      <c r="I74" s="2"/>
    </row>
    <row r="75" spans="1:9" ht="15" x14ac:dyDescent="0.25">
      <c r="A75" s="103">
        <v>20001</v>
      </c>
      <c r="B75" s="69" t="str">
        <f>IF($A75=0,"",VLOOKUP($A75,'BASE M-OBRA'!$A:$D,2))</f>
        <v>MAESTRO</v>
      </c>
      <c r="C75" s="2"/>
      <c r="D75" s="108">
        <v>1</v>
      </c>
      <c r="E75" s="70">
        <f>IF($A75=0,"",VLOOKUP($A75,'BASE M-OBRA'!$A:$D,4))</f>
        <v>3.02</v>
      </c>
      <c r="F75" s="55">
        <f t="shared" ref="F75:F81" si="7">IF($A75=0,"",ROUND(D75*E75,2))</f>
        <v>3.02</v>
      </c>
      <c r="G75" s="106">
        <f>IF($A75=0,"",ROUND(H75/F75,2))</f>
        <v>0.74</v>
      </c>
      <c r="H75" s="56">
        <f>IF($A75=0,"",ROUND(SUM(H76:H81)*'BASE M-OBRA'!$D$23,2))</f>
        <v>2.23</v>
      </c>
      <c r="I75" s="2"/>
    </row>
    <row r="76" spans="1:9" ht="15" x14ac:dyDescent="0.25">
      <c r="A76" s="103">
        <v>20002</v>
      </c>
      <c r="B76" s="69" t="str">
        <f>IF($A76=0,"",VLOOKUP($A76,'BASE M-OBRA'!$A:$D,2))</f>
        <v>PEON</v>
      </c>
      <c r="C76" s="2"/>
      <c r="D76" s="108">
        <v>4</v>
      </c>
      <c r="E76" s="70">
        <f>IF($A76=0,"",VLOOKUP($A76,'BASE M-OBRA'!$A:$D,4))</f>
        <v>2.79</v>
      </c>
      <c r="F76" s="55">
        <f t="shared" si="7"/>
        <v>11.16</v>
      </c>
      <c r="G76" s="106">
        <v>1</v>
      </c>
      <c r="H76" s="56">
        <f t="shared" ref="H76:H81" si="8">IF($A76=0,"",ROUND(G76*F76,2))</f>
        <v>11.16</v>
      </c>
      <c r="I76" s="2"/>
    </row>
    <row r="77" spans="1:9" ht="15" x14ac:dyDescent="0.25">
      <c r="A77" s="103"/>
      <c r="B77" s="69" t="str">
        <f>IF($A77=0,"",VLOOKUP($A77,'BASE M-OBRA'!$A:$D,2))</f>
        <v/>
      </c>
      <c r="C77" s="2"/>
      <c r="D77" s="108"/>
      <c r="E77" s="70" t="str">
        <f>IF($A77=0,"",VLOOKUP($A77,'BASE M-OBRA'!$A:$D,4))</f>
        <v/>
      </c>
      <c r="F77" s="55" t="str">
        <f t="shared" si="7"/>
        <v/>
      </c>
      <c r="G77" s="106"/>
      <c r="H77" s="56" t="str">
        <f t="shared" si="8"/>
        <v/>
      </c>
      <c r="I77" s="2"/>
    </row>
    <row r="78" spans="1:9" ht="15" x14ac:dyDescent="0.25">
      <c r="A78" s="103"/>
      <c r="B78" s="71" t="str">
        <f>IF($A78=0,"",VLOOKUP($A78,'BASE M-OBRA'!$A:$D,2))</f>
        <v/>
      </c>
      <c r="C78" s="2"/>
      <c r="D78" s="108"/>
      <c r="E78" s="70" t="str">
        <f>IF($A78=0,"",VLOOKUP($A78,'BASE M-OBRA'!$A:$D,4))</f>
        <v/>
      </c>
      <c r="F78" s="55" t="str">
        <f t="shared" si="7"/>
        <v/>
      </c>
      <c r="G78" s="106"/>
      <c r="H78" s="56" t="str">
        <f t="shared" si="8"/>
        <v/>
      </c>
      <c r="I78" s="2"/>
    </row>
    <row r="79" spans="1:9" ht="15" x14ac:dyDescent="0.25">
      <c r="A79" s="103"/>
      <c r="B79" s="72" t="str">
        <f>IF($A79=0,"",VLOOKUP($A79,'BASE M-OBRA'!$A:$D,2))</f>
        <v/>
      </c>
      <c r="C79" s="2"/>
      <c r="D79" s="108"/>
      <c r="E79" s="70" t="str">
        <f>IF($A79=0,"",VLOOKUP($A79,'BASE M-OBRA'!$A:$D,4))</f>
        <v/>
      </c>
      <c r="F79" s="55" t="str">
        <f t="shared" si="7"/>
        <v/>
      </c>
      <c r="G79" s="106"/>
      <c r="H79" s="56" t="str">
        <f t="shared" si="8"/>
        <v/>
      </c>
      <c r="I79" s="2"/>
    </row>
    <row r="80" spans="1:9" ht="15" x14ac:dyDescent="0.25">
      <c r="A80" s="103"/>
      <c r="B80" s="38" t="str">
        <f>IF($A80=0,"",VLOOKUP($A80,'BASE M-OBRA'!$A:$D,2))</f>
        <v/>
      </c>
      <c r="C80" s="2"/>
      <c r="D80" s="55"/>
      <c r="E80" s="55" t="str">
        <f>IF($A80=0,"",VLOOKUP($A80,'BASE M-OBRA'!$A:$D,4))</f>
        <v/>
      </c>
      <c r="F80" s="55" t="str">
        <f t="shared" si="7"/>
        <v/>
      </c>
      <c r="G80" s="106"/>
      <c r="H80" s="56" t="str">
        <f t="shared" si="8"/>
        <v/>
      </c>
      <c r="I80" s="2"/>
    </row>
    <row r="81" spans="1:16" ht="15" x14ac:dyDescent="0.25">
      <c r="A81" s="103"/>
      <c r="B81" s="57" t="str">
        <f>IF($A81=0,"",VLOOKUP($A81,'BASE M-OBRA'!$A:$D,2))</f>
        <v/>
      </c>
      <c r="C81" s="58"/>
      <c r="D81" s="59"/>
      <c r="E81" s="59" t="str">
        <f>IF($A81=0,"",VLOOKUP($A81,'BASE M-OBRA'!$A:$D,4))</f>
        <v/>
      </c>
      <c r="F81" s="59" t="str">
        <f t="shared" si="7"/>
        <v/>
      </c>
      <c r="G81" s="107"/>
      <c r="H81" s="60" t="str">
        <f t="shared" si="8"/>
        <v/>
      </c>
      <c r="I81" s="2"/>
    </row>
    <row r="82" spans="1:16" ht="15" x14ac:dyDescent="0.25">
      <c r="A82" s="103"/>
      <c r="B82" s="73" t="s">
        <v>1685</v>
      </c>
      <c r="C82" s="65"/>
      <c r="D82" s="74"/>
      <c r="E82" s="74"/>
      <c r="F82" s="74"/>
      <c r="G82" s="74"/>
      <c r="H82" s="75">
        <f>ROUND(SUM(H74:H81),2)</f>
        <v>13.39</v>
      </c>
      <c r="I82" s="2"/>
    </row>
    <row r="83" spans="1:16" ht="15" x14ac:dyDescent="0.25">
      <c r="A83" s="103"/>
      <c r="B83" s="38" t="s">
        <v>1684</v>
      </c>
      <c r="C83" s="2"/>
      <c r="D83" s="3"/>
      <c r="E83" s="3"/>
      <c r="F83" s="3"/>
      <c r="G83" s="3"/>
      <c r="H83" s="56"/>
      <c r="I83" s="2"/>
    </row>
    <row r="84" spans="1:16" ht="25.5" x14ac:dyDescent="0.25">
      <c r="A84" s="103"/>
      <c r="B84" s="64" t="s">
        <v>1409</v>
      </c>
      <c r="C84" s="65"/>
      <c r="D84" s="76"/>
      <c r="E84" s="66" t="s">
        <v>1408</v>
      </c>
      <c r="F84" s="66" t="s">
        <v>1679</v>
      </c>
      <c r="G84" s="66" t="s">
        <v>1683</v>
      </c>
      <c r="H84" s="68" t="s">
        <v>1675</v>
      </c>
      <c r="I84" s="2"/>
    </row>
    <row r="85" spans="1:16" ht="15" x14ac:dyDescent="0.25">
      <c r="A85" s="103"/>
      <c r="B85" s="109" t="str">
        <f>IF($A85=0,"",VLOOKUP($A85,'BASE MATERIAL'!$A:$D,2))</f>
        <v/>
      </c>
      <c r="C85" s="2"/>
      <c r="D85" s="77"/>
      <c r="E85" s="78" t="str">
        <f>IF($A85=0,"",VLOOKUP($A85,'BASE MATERIAL'!$A:$D,3))</f>
        <v/>
      </c>
      <c r="F85" s="55"/>
      <c r="G85" s="55" t="str">
        <f>IF($A85=0,"",VLOOKUP($A85,'BASE MATERIAL'!$A:$D,4))</f>
        <v/>
      </c>
      <c r="H85" s="56" t="str">
        <f t="shared" ref="H85:H99" si="9">IF($A85=0,"",ROUND(F85*G85,2))</f>
        <v/>
      </c>
      <c r="I85" s="2"/>
      <c r="L85" s="2"/>
      <c r="M85" s="2"/>
      <c r="N85" s="39"/>
      <c r="O85" s="2"/>
      <c r="P85" s="2"/>
    </row>
    <row r="86" spans="1:16" ht="15" x14ac:dyDescent="0.25">
      <c r="A86" s="103"/>
      <c r="B86" s="38" t="str">
        <f>IF($A86=0,"",VLOOKUP($A86,'BASE MATERIAL'!$A:$D,2))</f>
        <v/>
      </c>
      <c r="C86" s="2"/>
      <c r="D86" s="77"/>
      <c r="E86" s="78" t="str">
        <f>IF($A86=0,"",VLOOKUP($A86,'BASE MATERIAL'!$A:$D,3))</f>
        <v/>
      </c>
      <c r="F86" s="55"/>
      <c r="G86" s="55" t="str">
        <f>IF($A86=0,"",VLOOKUP($A86,'BASE MATERIAL'!$A:$D,4))</f>
        <v/>
      </c>
      <c r="H86" s="56" t="str">
        <f t="shared" si="9"/>
        <v/>
      </c>
      <c r="I86" s="2"/>
      <c r="L86" s="2"/>
      <c r="M86" s="2"/>
      <c r="N86" s="39"/>
      <c r="O86" s="2"/>
      <c r="P86" s="2"/>
    </row>
    <row r="87" spans="1:16" ht="15" x14ac:dyDescent="0.25">
      <c r="A87" s="103"/>
      <c r="B87" s="38" t="str">
        <f>IF($A87=0,"",VLOOKUP($A87,'BASE MATERIAL'!$A:$D,2))</f>
        <v/>
      </c>
      <c r="C87" s="2"/>
      <c r="D87" s="77"/>
      <c r="E87" s="78" t="str">
        <f>IF($A87=0,"",VLOOKUP($A87,'BASE MATERIAL'!$A:$D,3))</f>
        <v/>
      </c>
      <c r="F87" s="55"/>
      <c r="G87" s="55" t="str">
        <f>IF($A87=0,"",VLOOKUP($A87,'BASE MATERIAL'!$A:$D,4))</f>
        <v/>
      </c>
      <c r="H87" s="56" t="str">
        <f t="shared" si="9"/>
        <v/>
      </c>
      <c r="I87" s="2"/>
      <c r="L87" s="2"/>
      <c r="M87" s="2"/>
      <c r="N87" s="39"/>
      <c r="O87" s="2"/>
      <c r="P87" s="2"/>
    </row>
    <row r="88" spans="1:16" ht="15" x14ac:dyDescent="0.25">
      <c r="A88" s="103"/>
      <c r="B88" s="38" t="str">
        <f>IF($A88=0,"",VLOOKUP($A88,'BASE MATERIAL'!$A:$D,2))</f>
        <v/>
      </c>
      <c r="C88" s="2"/>
      <c r="D88" s="77"/>
      <c r="E88" s="78" t="str">
        <f>IF($A88=0,"",VLOOKUP($A88,'BASE MATERIAL'!$A:$D,3))</f>
        <v/>
      </c>
      <c r="F88" s="55"/>
      <c r="G88" s="55" t="str">
        <f>IF($A88=0,"",VLOOKUP($A88,'BASE MATERIAL'!$A:$D,4))</f>
        <v/>
      </c>
      <c r="H88" s="56" t="str">
        <f t="shared" si="9"/>
        <v/>
      </c>
      <c r="I88" s="2"/>
      <c r="L88" s="2"/>
      <c r="M88" s="2"/>
      <c r="N88" s="39"/>
      <c r="O88" s="2"/>
      <c r="P88" s="2"/>
    </row>
    <row r="89" spans="1:16" ht="15" x14ac:dyDescent="0.25">
      <c r="A89" s="103"/>
      <c r="B89" s="38" t="str">
        <f>IF($A89=0,"",VLOOKUP($A89,'BASE MATERIAL'!$A:$D,2))</f>
        <v/>
      </c>
      <c r="C89" s="2"/>
      <c r="D89" s="77"/>
      <c r="E89" s="78" t="str">
        <f>IF($A89=0,"",VLOOKUP($A89,'BASE MATERIAL'!$A:$D,3))</f>
        <v/>
      </c>
      <c r="F89" s="55"/>
      <c r="G89" s="55" t="str">
        <f>IF($A89=0,"",VLOOKUP($A89,'BASE MATERIAL'!$A:$D,4))</f>
        <v/>
      </c>
      <c r="H89" s="56" t="str">
        <f t="shared" si="9"/>
        <v/>
      </c>
      <c r="I89" s="2"/>
      <c r="L89" s="2"/>
      <c r="M89" s="2"/>
      <c r="N89" s="39"/>
      <c r="O89" s="2"/>
      <c r="P89" s="2"/>
    </row>
    <row r="90" spans="1:16" ht="15" x14ac:dyDescent="0.25">
      <c r="A90" s="103"/>
      <c r="B90" s="38" t="str">
        <f>IF($A90=0,"",VLOOKUP($A90,'BASE MATERIAL'!$A:$D,2))</f>
        <v/>
      </c>
      <c r="C90" s="2"/>
      <c r="D90" s="77"/>
      <c r="E90" s="78" t="str">
        <f>IF($A90=0,"",VLOOKUP($A90,'BASE MATERIAL'!$A:$D,3))</f>
        <v/>
      </c>
      <c r="F90" s="55"/>
      <c r="G90" s="55" t="str">
        <f>IF($A90=0,"",VLOOKUP($A90,'BASE MATERIAL'!$A:$D,4))</f>
        <v/>
      </c>
      <c r="H90" s="56" t="str">
        <f t="shared" si="9"/>
        <v/>
      </c>
      <c r="I90" s="2"/>
      <c r="L90" s="2"/>
      <c r="M90" s="2"/>
      <c r="N90" s="39"/>
      <c r="O90" s="2"/>
      <c r="P90" s="2"/>
    </row>
    <row r="91" spans="1:16" ht="15" x14ac:dyDescent="0.25">
      <c r="A91" s="103"/>
      <c r="B91" s="38" t="str">
        <f>IF($A91=0,"",VLOOKUP($A91,'BASE MATERIAL'!$A:$D,2))</f>
        <v/>
      </c>
      <c r="C91" s="2"/>
      <c r="D91" s="77"/>
      <c r="E91" s="78" t="str">
        <f>IF($A91=0,"",VLOOKUP($A91,'BASE MATERIAL'!$A:$D,3))</f>
        <v/>
      </c>
      <c r="F91" s="55"/>
      <c r="G91" s="55" t="str">
        <f>IF($A91=0,"",VLOOKUP($A91,'BASE MATERIAL'!$A:$D,4))</f>
        <v/>
      </c>
      <c r="H91" s="56" t="str">
        <f t="shared" si="9"/>
        <v/>
      </c>
      <c r="I91" s="2"/>
      <c r="L91" s="2"/>
      <c r="M91" s="2"/>
      <c r="N91" s="39"/>
      <c r="O91" s="2"/>
      <c r="P91" s="2"/>
    </row>
    <row r="92" spans="1:16" ht="15" x14ac:dyDescent="0.25">
      <c r="A92" s="103"/>
      <c r="B92" s="38" t="str">
        <f>IF($A92=0,"",VLOOKUP($A92,'BASE MATERIAL'!$A:$D,2))</f>
        <v/>
      </c>
      <c r="C92" s="2"/>
      <c r="D92" s="77"/>
      <c r="E92" s="78" t="str">
        <f>IF($A92=0,"",VLOOKUP($A92,'BASE MATERIAL'!$A:$D,3))</f>
        <v/>
      </c>
      <c r="F92" s="55"/>
      <c r="G92" s="55" t="str">
        <f>IF($A92=0,"",VLOOKUP($A92,'BASE MATERIAL'!$A:$D,4))</f>
        <v/>
      </c>
      <c r="H92" s="56" t="str">
        <f t="shared" si="9"/>
        <v/>
      </c>
      <c r="I92" s="2"/>
      <c r="L92" s="2"/>
      <c r="M92" s="2"/>
      <c r="N92" s="39"/>
      <c r="O92" s="2"/>
      <c r="P92" s="2"/>
    </row>
    <row r="93" spans="1:16" ht="15" x14ac:dyDescent="0.25">
      <c r="A93" s="103"/>
      <c r="B93" s="38" t="str">
        <f>IF($A93=0,"",VLOOKUP($A93,'BASE MATERIAL'!$A:$D,2))</f>
        <v/>
      </c>
      <c r="C93" s="2"/>
      <c r="D93" s="77"/>
      <c r="E93" s="78" t="str">
        <f>IF($A93=0,"",VLOOKUP($A93,'BASE MATERIAL'!$A:$D,3))</f>
        <v/>
      </c>
      <c r="F93" s="55"/>
      <c r="G93" s="55" t="str">
        <f>IF($A93=0,"",VLOOKUP($A93,'BASE MATERIAL'!$A:$D,4))</f>
        <v/>
      </c>
      <c r="H93" s="56" t="str">
        <f t="shared" si="9"/>
        <v/>
      </c>
      <c r="I93" s="2"/>
    </row>
    <row r="94" spans="1:16" ht="15" x14ac:dyDescent="0.25">
      <c r="A94" s="103"/>
      <c r="B94" s="38" t="str">
        <f>IF($A94=0,"",VLOOKUP($A94,'BASE MATERIAL'!$A:$D,2))</f>
        <v/>
      </c>
      <c r="C94" s="2"/>
      <c r="D94" s="77"/>
      <c r="E94" s="78" t="str">
        <f>IF($A94=0,"",VLOOKUP($A94,'BASE MATERIAL'!$A:$D,3))</f>
        <v/>
      </c>
      <c r="F94" s="55"/>
      <c r="G94" s="55" t="str">
        <f>IF($A94=0,"",VLOOKUP($A94,'BASE MATERIAL'!$A:$D,4))</f>
        <v/>
      </c>
      <c r="H94" s="56" t="str">
        <f t="shared" si="9"/>
        <v/>
      </c>
      <c r="I94" s="2"/>
      <c r="L94" s="2"/>
      <c r="M94" s="2"/>
      <c r="N94" s="39"/>
      <c r="O94" s="2"/>
      <c r="P94" s="2"/>
    </row>
    <row r="95" spans="1:16" ht="15" x14ac:dyDescent="0.25">
      <c r="A95" s="103"/>
      <c r="B95" s="38" t="str">
        <f>IF($A95=0,"",VLOOKUP($A95,'BASE MATERIAL'!$A:$D,2))</f>
        <v/>
      </c>
      <c r="C95" s="2"/>
      <c r="D95" s="77"/>
      <c r="E95" s="78" t="str">
        <f>IF($A95=0,"",VLOOKUP($A95,'BASE MATERIAL'!$A:$D,3))</f>
        <v/>
      </c>
      <c r="F95" s="55"/>
      <c r="G95" s="55" t="str">
        <f>IF($A95=0,"",VLOOKUP($A95,'BASE MATERIAL'!$A:$D,4))</f>
        <v/>
      </c>
      <c r="H95" s="56" t="str">
        <f t="shared" si="9"/>
        <v/>
      </c>
      <c r="I95" s="2"/>
      <c r="L95" s="2"/>
      <c r="M95" s="2"/>
      <c r="N95" s="39"/>
      <c r="O95" s="2"/>
      <c r="P95" s="2"/>
    </row>
    <row r="96" spans="1:16" ht="15" x14ac:dyDescent="0.25">
      <c r="A96" s="103"/>
      <c r="B96" s="38" t="str">
        <f>IF($A96=0,"",VLOOKUP($A96,'BASE MATERIAL'!$A:$D,2))</f>
        <v/>
      </c>
      <c r="C96" s="2"/>
      <c r="D96" s="77"/>
      <c r="E96" s="78" t="str">
        <f>IF($A96=0,"",VLOOKUP($A96,'BASE MATERIAL'!$A:$D,3))</f>
        <v/>
      </c>
      <c r="F96" s="55"/>
      <c r="G96" s="55" t="str">
        <f>IF($A96=0,"",VLOOKUP($A96,'BASE MATERIAL'!$A:$D,4))</f>
        <v/>
      </c>
      <c r="H96" s="56" t="str">
        <f t="shared" si="9"/>
        <v/>
      </c>
      <c r="I96" s="2"/>
    </row>
    <row r="97" spans="1:9" ht="15" x14ac:dyDescent="0.25">
      <c r="A97" s="103"/>
      <c r="B97" s="38" t="str">
        <f>IF($A97=0,"",VLOOKUP($A97,'BASE MATERIAL'!$A:$D,2))</f>
        <v/>
      </c>
      <c r="C97" s="2"/>
      <c r="D97" s="77"/>
      <c r="E97" s="78" t="str">
        <f>IF($A97=0,"",VLOOKUP($A97,'BASE MATERIAL'!$A:$D,3))</f>
        <v/>
      </c>
      <c r="F97" s="55"/>
      <c r="G97" s="55" t="str">
        <f>IF($A97=0,"",VLOOKUP($A97,'BASE MATERIAL'!$A:$D,4))</f>
        <v/>
      </c>
      <c r="H97" s="56" t="str">
        <f t="shared" si="9"/>
        <v/>
      </c>
      <c r="I97" s="2"/>
    </row>
    <row r="98" spans="1:9" ht="15" x14ac:dyDescent="0.25">
      <c r="A98" s="103"/>
      <c r="B98" s="38" t="str">
        <f>IF($A98=0,"",VLOOKUP($A98,'BASE MATERIAL'!$A:$D,2))</f>
        <v/>
      </c>
      <c r="C98" s="2"/>
      <c r="D98" s="77"/>
      <c r="E98" s="78" t="str">
        <f>IF($A98=0,"",VLOOKUP($A98,'BASE MATERIAL'!$A:$D,3))</f>
        <v/>
      </c>
      <c r="F98" s="55"/>
      <c r="G98" s="55" t="str">
        <f>IF($A98=0,"",VLOOKUP($A98,'BASE MATERIAL'!$A:$D,4))</f>
        <v/>
      </c>
      <c r="H98" s="56" t="str">
        <f t="shared" si="9"/>
        <v/>
      </c>
      <c r="I98" s="2"/>
    </row>
    <row r="99" spans="1:9" ht="15" x14ac:dyDescent="0.25">
      <c r="A99" s="103"/>
      <c r="B99" s="38" t="str">
        <f>IF($A99=0,"",VLOOKUP($A99,'BASE MATERIAL'!$A:$D,2))</f>
        <v/>
      </c>
      <c r="C99" s="2"/>
      <c r="D99" s="77"/>
      <c r="E99" s="78" t="str">
        <f>IF($A99=0,"",VLOOKUP($A99,'BASE MATERIAL'!$A:$D,3))</f>
        <v/>
      </c>
      <c r="F99" s="55"/>
      <c r="G99" s="55" t="str">
        <f>IF($A99=0,"",VLOOKUP($A99,'BASE MATERIAL'!$A:$D,4))</f>
        <v/>
      </c>
      <c r="H99" s="56" t="str">
        <f t="shared" si="9"/>
        <v/>
      </c>
      <c r="I99" s="2"/>
    </row>
    <row r="100" spans="1:9" ht="15" x14ac:dyDescent="0.25">
      <c r="A100" s="103"/>
      <c r="B100" s="38" t="str">
        <f>IF($A100=0,"",VLOOKUP($A100,'BASE MATERIAL'!$A:$D,2))</f>
        <v/>
      </c>
      <c r="C100" s="2"/>
      <c r="D100" s="81" t="s">
        <v>1682</v>
      </c>
      <c r="E100" s="55" t="str">
        <f>IF($A100=0,"",VLOOKUP($A100,'BASE MATERIAL'!$A:$D,3))</f>
        <v/>
      </c>
      <c r="F100" s="55" t="s">
        <v>1682</v>
      </c>
      <c r="G100" s="55" t="str">
        <f>IF($A100=0,"",VLOOKUP($A100,'BASE MATERIAL'!$A:$D,4))</f>
        <v/>
      </c>
      <c r="H100" s="56" t="str">
        <f>IF($A100=0,"",ROUND(E100*F100,2))</f>
        <v/>
      </c>
      <c r="I100" s="2"/>
    </row>
    <row r="101" spans="1:9" ht="15" x14ac:dyDescent="0.25">
      <c r="A101" s="103"/>
      <c r="B101" s="73" t="s">
        <v>1681</v>
      </c>
      <c r="C101" s="65"/>
      <c r="D101" s="74"/>
      <c r="E101" s="74"/>
      <c r="F101" s="74"/>
      <c r="G101" s="74"/>
      <c r="H101" s="75">
        <f>ROUND(SUM(H84:H100),2)</f>
        <v>0</v>
      </c>
      <c r="I101" s="2"/>
    </row>
    <row r="102" spans="1:9" ht="15" x14ac:dyDescent="0.25">
      <c r="A102" s="103"/>
      <c r="B102" s="38" t="s">
        <v>1680</v>
      </c>
      <c r="C102" s="2"/>
      <c r="D102" s="3"/>
      <c r="E102" s="3"/>
      <c r="F102" s="3"/>
      <c r="G102" s="3"/>
      <c r="H102" s="56"/>
      <c r="I102" s="2"/>
    </row>
    <row r="103" spans="1:9" ht="25.5" x14ac:dyDescent="0.25">
      <c r="A103" s="103"/>
      <c r="B103" s="64" t="s">
        <v>1409</v>
      </c>
      <c r="C103" s="65"/>
      <c r="D103" s="76"/>
      <c r="E103" s="66" t="s">
        <v>1408</v>
      </c>
      <c r="F103" s="66" t="s">
        <v>1679</v>
      </c>
      <c r="G103" s="66" t="s">
        <v>1676</v>
      </c>
      <c r="H103" s="68" t="s">
        <v>1675</v>
      </c>
      <c r="I103" s="2"/>
    </row>
    <row r="104" spans="1:9" ht="15" x14ac:dyDescent="0.25">
      <c r="A104" s="103"/>
      <c r="B104" s="51" t="str">
        <f>IF($A104=0,"",VLOOKUP($A104,'BASE EQUIPO'!$A:$D,2))</f>
        <v/>
      </c>
      <c r="C104" s="52"/>
      <c r="D104" s="82"/>
      <c r="E104" s="78" t="str">
        <f>IF($A104=0,"",VLOOKUP($A104,'BASE EQUIPO'!$A:$D,3))</f>
        <v/>
      </c>
      <c r="F104" s="55"/>
      <c r="G104" s="83" t="str">
        <f>IF($A104=0,"",VLOOKUP($A104,'BASE EQUIPO'!$A:$D,4)*H101)</f>
        <v/>
      </c>
      <c r="H104" s="56" t="str">
        <f>IF($A104=0,"",ROUND(F104*G104,2))</f>
        <v/>
      </c>
      <c r="I104" s="2"/>
    </row>
    <row r="105" spans="1:9" ht="15" x14ac:dyDescent="0.25">
      <c r="A105" s="103"/>
      <c r="B105" s="38" t="str">
        <f>IF($A105=0,"",VLOOKUP($A105,'BASE EQUIPO'!$A:$D,2))</f>
        <v/>
      </c>
      <c r="C105" s="2"/>
      <c r="D105" s="84"/>
      <c r="E105" s="78" t="str">
        <f>IF($A105=0,"",VLOOKUP($A105,'BASE EQUIPO'!$A:$D,3))</f>
        <v/>
      </c>
      <c r="F105" s="55"/>
      <c r="G105" s="55" t="str">
        <f>IF($A105=0,"",VLOOKUP($A105,'BASE EQUIPO'!$A:$D,4)*H102)</f>
        <v/>
      </c>
      <c r="H105" s="56" t="str">
        <f>IF($A105=0,"",ROUND(F105*G105,2))</f>
        <v/>
      </c>
      <c r="I105" s="2"/>
    </row>
    <row r="106" spans="1:9" ht="15" x14ac:dyDescent="0.25">
      <c r="A106" s="103"/>
      <c r="B106" s="57" t="str">
        <f>IF($A106=0,"",VLOOKUP($A106,'BASE EQUIPO'!$A:$D,2))</f>
        <v/>
      </c>
      <c r="C106" s="58"/>
      <c r="D106" s="85"/>
      <c r="E106" s="86" t="str">
        <f>IF($A106=0,"",VLOOKUP($A106,'BASE EQUIPO'!$A:$D,3))</f>
        <v/>
      </c>
      <c r="F106" s="59"/>
      <c r="G106" s="59" t="str">
        <f>IF($A106=0,"",VLOOKUP($A106,'BASE EQUIPO'!$A:$D,4)*H103)</f>
        <v/>
      </c>
      <c r="H106" s="60" t="str">
        <f>IF($A106=0,"",ROUND(F106*G106,2))</f>
        <v/>
      </c>
      <c r="I106" s="2"/>
    </row>
    <row r="107" spans="1:9" ht="15.75" thickBot="1" x14ac:dyDescent="0.3">
      <c r="A107" s="103"/>
      <c r="B107" s="87" t="s">
        <v>1674</v>
      </c>
      <c r="C107" s="88"/>
      <c r="D107" s="89"/>
      <c r="E107" s="89"/>
      <c r="F107" s="89"/>
      <c r="G107" s="89"/>
      <c r="H107" s="90">
        <f>ROUND(SUM(H103:H106),2)</f>
        <v>0</v>
      </c>
      <c r="I107" s="2"/>
    </row>
    <row r="108" spans="1:9" ht="15.75" x14ac:dyDescent="0.25">
      <c r="A108" s="103"/>
      <c r="B108" s="2"/>
      <c r="C108" s="2"/>
      <c r="D108" s="91" t="s">
        <v>1673</v>
      </c>
      <c r="E108" s="47"/>
      <c r="F108" s="47"/>
      <c r="G108" s="47"/>
      <c r="H108" s="92">
        <f>ROUND(SUM(H107,H101,H82,H72),2)</f>
        <v>41.79</v>
      </c>
      <c r="I108" s="2"/>
    </row>
    <row r="109" spans="1:9" ht="15.75" x14ac:dyDescent="0.25">
      <c r="A109" s="103">
        <v>40002</v>
      </c>
      <c r="B109" s="2"/>
      <c r="C109" s="2"/>
      <c r="D109" s="93" t="s">
        <v>1672</v>
      </c>
      <c r="E109" s="65"/>
      <c r="F109" s="65"/>
      <c r="G109" s="94">
        <f>IF($A109=0,"",VLOOKUP($A109,'BASE MATERIAL'!$M:$P,4))</f>
        <v>0</v>
      </c>
      <c r="H109" s="95">
        <f>IF($A109=0,"",ROUND(G109*H108,2))</f>
        <v>0</v>
      </c>
      <c r="I109" s="2"/>
    </row>
    <row r="110" spans="1:9" ht="15.75" x14ac:dyDescent="0.25">
      <c r="A110" s="103">
        <v>40003</v>
      </c>
      <c r="B110" s="2"/>
      <c r="C110" s="2"/>
      <c r="D110" s="93" t="s">
        <v>1671</v>
      </c>
      <c r="E110" s="65"/>
      <c r="F110" s="65"/>
      <c r="G110" s="94">
        <f>IF($A110=0,"",VLOOKUP($A110,'BASE MATERIAL'!$M:$P,4))</f>
        <v>0</v>
      </c>
      <c r="H110" s="95">
        <f>IF($A110=0,"",ROUND(G110*H108,2))</f>
        <v>0</v>
      </c>
      <c r="I110" s="2"/>
    </row>
    <row r="111" spans="1:9" ht="15.75" x14ac:dyDescent="0.25">
      <c r="A111" s="103"/>
      <c r="B111" s="2"/>
      <c r="C111" s="2"/>
      <c r="D111" s="93" t="s">
        <v>1670</v>
      </c>
      <c r="E111" s="65"/>
      <c r="F111" s="65"/>
      <c r="G111" s="65"/>
      <c r="H111" s="96">
        <f>ROUND(SUM(H108:H110),2)</f>
        <v>41.79</v>
      </c>
      <c r="I111" s="2"/>
    </row>
    <row r="112" spans="1:9" ht="16.5" thickBot="1" x14ac:dyDescent="0.3">
      <c r="A112" s="103"/>
      <c r="B112" s="25"/>
      <c r="C112" s="2"/>
      <c r="D112" s="97" t="s">
        <v>1650</v>
      </c>
      <c r="E112" s="88"/>
      <c r="F112" s="88"/>
      <c r="G112" s="88"/>
      <c r="H112" s="98">
        <f>ROUND(H111,2)</f>
        <v>41.79</v>
      </c>
      <c r="I112" s="2"/>
    </row>
    <row r="113" spans="1:15" ht="15.75" x14ac:dyDescent="0.25">
      <c r="A113" s="103"/>
      <c r="B113" s="34" t="s">
        <v>1701</v>
      </c>
      <c r="C113" s="2"/>
      <c r="D113" s="3" t="str">
        <f>$D$1</f>
        <v>ESPOL</v>
      </c>
      <c r="E113" s="2"/>
      <c r="F113" s="2"/>
      <c r="H113" s="2" t="s">
        <v>108</v>
      </c>
      <c r="I113" s="2"/>
      <c r="L113" s="40">
        <f>A117</f>
        <v>2</v>
      </c>
      <c r="M113" s="1" t="str">
        <f>C118</f>
        <v>Guardiania</v>
      </c>
      <c r="N113" s="2" t="str">
        <f>H117</f>
        <v>MES</v>
      </c>
      <c r="O113" s="2">
        <f>H168</f>
        <v>689.69</v>
      </c>
    </row>
    <row r="114" spans="1:15" ht="15.75" x14ac:dyDescent="0.25">
      <c r="A114" s="103"/>
      <c r="B114" s="34" t="s">
        <v>1700</v>
      </c>
      <c r="C114" s="3">
        <f>'1.1'!$C$2</f>
        <v>0</v>
      </c>
      <c r="D114" s="2"/>
      <c r="E114" s="2"/>
      <c r="F114" s="2"/>
    </row>
    <row r="115" spans="1:15" ht="15.75" x14ac:dyDescent="0.25">
      <c r="A115" s="103"/>
      <c r="B115" s="34"/>
      <c r="C115" s="3">
        <f>'1.1'!$C$3</f>
        <v>0</v>
      </c>
      <c r="D115" s="2"/>
      <c r="E115" s="2"/>
      <c r="F115" s="2"/>
      <c r="G115" s="41" t="s">
        <v>1699</v>
      </c>
      <c r="H115" s="42"/>
      <c r="I115" s="2" t="s">
        <v>1698</v>
      </c>
    </row>
    <row r="116" spans="1:15" ht="15.75" x14ac:dyDescent="0.25">
      <c r="A116" s="103"/>
      <c r="B116" s="34" t="s">
        <v>1697</v>
      </c>
      <c r="C116" s="3"/>
      <c r="D116" s="2"/>
      <c r="E116" s="2"/>
      <c r="F116" s="2"/>
      <c r="G116" s="2"/>
      <c r="H116" s="2"/>
      <c r="I116" s="2"/>
    </row>
    <row r="117" spans="1:15" ht="15" x14ac:dyDescent="0.25">
      <c r="A117" s="104">
        <v>2</v>
      </c>
      <c r="B117" s="2" t="s">
        <v>1586</v>
      </c>
      <c r="C117" s="101" t="s">
        <v>211</v>
      </c>
      <c r="D117" s="2"/>
      <c r="G117" s="2" t="s">
        <v>1696</v>
      </c>
      <c r="H117" s="3" t="s">
        <v>604</v>
      </c>
      <c r="I117" s="2"/>
    </row>
    <row r="118" spans="1:15" ht="15" x14ac:dyDescent="0.25">
      <c r="A118" s="103"/>
      <c r="B118" s="1" t="s">
        <v>1585</v>
      </c>
      <c r="C118" s="36" t="s">
        <v>212</v>
      </c>
      <c r="D118" s="2"/>
      <c r="E118" s="2"/>
      <c r="F118" s="2"/>
      <c r="G118" s="2"/>
      <c r="H118" s="2"/>
      <c r="I118" s="2"/>
    </row>
    <row r="119" spans="1:15" ht="15.75" thickBot="1" x14ac:dyDescent="0.3">
      <c r="A119" s="103"/>
      <c r="D119" s="2"/>
      <c r="E119" s="2"/>
      <c r="F119" s="2"/>
      <c r="G119" s="2"/>
      <c r="H119" s="2"/>
      <c r="I119" s="2"/>
    </row>
    <row r="120" spans="1:15" ht="15.75" thickBot="1" x14ac:dyDescent="0.3">
      <c r="A120" s="103"/>
      <c r="B120" s="43" t="s">
        <v>1695</v>
      </c>
      <c r="C120" s="44"/>
      <c r="D120" s="44"/>
      <c r="E120" s="44"/>
      <c r="F120" s="44"/>
      <c r="G120" s="44"/>
      <c r="H120" s="45"/>
      <c r="I120" s="2"/>
    </row>
    <row r="121" spans="1:15" ht="25.5" x14ac:dyDescent="0.25">
      <c r="A121" s="103"/>
      <c r="B121" s="46" t="s">
        <v>1409</v>
      </c>
      <c r="C121" s="47"/>
      <c r="D121" s="48" t="s">
        <v>1690</v>
      </c>
      <c r="E121" s="48" t="s">
        <v>1694</v>
      </c>
      <c r="F121" s="48" t="s">
        <v>1693</v>
      </c>
      <c r="G121" s="49" t="s">
        <v>1687</v>
      </c>
      <c r="H121" s="50" t="s">
        <v>1686</v>
      </c>
      <c r="I121" s="2"/>
    </row>
    <row r="122" spans="1:15" ht="15" x14ac:dyDescent="0.25">
      <c r="A122" s="103">
        <v>19015</v>
      </c>
      <c r="B122" s="51" t="str">
        <f>IF($A122=0,"",VLOOKUP($A122,'BASE EQUIPO'!$A:$D,2))</f>
        <v>HERRAMIENTA MENOR</v>
      </c>
      <c r="C122" s="52"/>
      <c r="D122" s="53">
        <v>1</v>
      </c>
      <c r="E122" s="53">
        <f>IF($A122=0,"",VLOOKUP($A122,'BASE EQUIPO'!$A:$D,4)*H138)</f>
        <v>20.088000000000001</v>
      </c>
      <c r="F122" s="53">
        <f t="shared" ref="F122:F127" si="10">IF($A122=0,"",ROUND(D122*E122,2))</f>
        <v>20.09</v>
      </c>
      <c r="G122" s="105">
        <v>1</v>
      </c>
      <c r="H122" s="54">
        <f t="shared" ref="H122:H127" si="11">IF($A122=0,"",ROUND(G122*F122,2))</f>
        <v>20.09</v>
      </c>
      <c r="I122" s="2"/>
    </row>
    <row r="123" spans="1:15" ht="15" x14ac:dyDescent="0.25">
      <c r="A123" s="103"/>
      <c r="B123" s="38" t="str">
        <f>IF($A123=0,"",VLOOKUP($A123,'BASE EQUIPO'!$A:$D,2))</f>
        <v/>
      </c>
      <c r="C123" s="2"/>
      <c r="D123" s="55"/>
      <c r="E123" s="55" t="str">
        <f>IF($A123=0,"",VLOOKUP($A123,'BASE EQUIPO'!$A:$D,4))</f>
        <v/>
      </c>
      <c r="F123" s="55" t="str">
        <f t="shared" si="10"/>
        <v/>
      </c>
      <c r="G123" s="106"/>
      <c r="H123" s="56" t="str">
        <f t="shared" si="11"/>
        <v/>
      </c>
      <c r="I123" s="2"/>
    </row>
    <row r="124" spans="1:15" ht="15" x14ac:dyDescent="0.25">
      <c r="A124" s="103"/>
      <c r="B124" s="38" t="str">
        <f>IF($A124=0,"",VLOOKUP($A124,'BASE EQUIPO'!$A:$D,2))</f>
        <v/>
      </c>
      <c r="C124" s="2"/>
      <c r="D124" s="55"/>
      <c r="E124" s="55" t="str">
        <f>IF($A124=0,"",VLOOKUP($A124,'BASE EQUIPO'!$A:$D,4))</f>
        <v/>
      </c>
      <c r="F124" s="55" t="str">
        <f t="shared" si="10"/>
        <v/>
      </c>
      <c r="G124" s="106"/>
      <c r="H124" s="56" t="str">
        <f t="shared" si="11"/>
        <v/>
      </c>
      <c r="I124" s="2"/>
    </row>
    <row r="125" spans="1:15" ht="15" x14ac:dyDescent="0.25">
      <c r="A125" s="103"/>
      <c r="B125" s="38" t="str">
        <f>IF($A125=0,"",VLOOKUP($A125,'BASE EQUIPO'!$A:$D,2))</f>
        <v/>
      </c>
      <c r="C125" s="2"/>
      <c r="D125" s="55"/>
      <c r="E125" s="55" t="str">
        <f>IF($A125=0,"",VLOOKUP($A125,'BASE EQUIPO'!$A:$D,4))</f>
        <v/>
      </c>
      <c r="F125" s="55" t="str">
        <f t="shared" si="10"/>
        <v/>
      </c>
      <c r="G125" s="106"/>
      <c r="H125" s="56" t="str">
        <f t="shared" si="11"/>
        <v/>
      </c>
      <c r="I125" s="2"/>
    </row>
    <row r="126" spans="1:15" ht="15" x14ac:dyDescent="0.25">
      <c r="A126" s="103"/>
      <c r="B126" s="38" t="str">
        <f>IF($A126=0,"",VLOOKUP($A126,'BASE EQUIPO'!$A:$D,2))</f>
        <v/>
      </c>
      <c r="C126" s="2"/>
      <c r="D126" s="55"/>
      <c r="E126" s="55" t="str">
        <f>IF($A126=0,"",VLOOKUP($A126,'BASE EQUIPO'!$A:$D,4))</f>
        <v/>
      </c>
      <c r="F126" s="55" t="str">
        <f t="shared" si="10"/>
        <v/>
      </c>
      <c r="G126" s="106"/>
      <c r="H126" s="56" t="str">
        <f t="shared" si="11"/>
        <v/>
      </c>
      <c r="I126" s="2"/>
    </row>
    <row r="127" spans="1:15" ht="15" x14ac:dyDescent="0.25">
      <c r="A127" s="103"/>
      <c r="B127" s="57" t="str">
        <f>IF($A127=0,"",VLOOKUP($A127,'BASE EQUIPO'!$A:$D,2))</f>
        <v/>
      </c>
      <c r="C127" s="58"/>
      <c r="D127" s="59"/>
      <c r="E127" s="59" t="str">
        <f>IF($A127=0,"",VLOOKUP($A127,'BASE EQUIPO'!$A:$D,4))</f>
        <v/>
      </c>
      <c r="F127" s="59" t="str">
        <f t="shared" si="10"/>
        <v/>
      </c>
      <c r="G127" s="107"/>
      <c r="H127" s="60" t="str">
        <f t="shared" si="11"/>
        <v/>
      </c>
      <c r="I127" s="2"/>
    </row>
    <row r="128" spans="1:15" ht="15" x14ac:dyDescent="0.25">
      <c r="A128" s="103"/>
      <c r="B128" s="57" t="s">
        <v>1692</v>
      </c>
      <c r="C128" s="58"/>
      <c r="D128" s="61"/>
      <c r="E128" s="61"/>
      <c r="F128" s="61"/>
      <c r="G128" s="62"/>
      <c r="H128" s="60">
        <f>ROUND(SUM(H121:H127),2)</f>
        <v>20.09</v>
      </c>
      <c r="I128" s="2"/>
    </row>
    <row r="129" spans="1:16" ht="15" x14ac:dyDescent="0.25">
      <c r="A129" s="103"/>
      <c r="B129" s="38" t="s">
        <v>1503</v>
      </c>
      <c r="C129" s="2"/>
      <c r="D129" s="3"/>
      <c r="E129" s="3"/>
      <c r="F129" s="3"/>
      <c r="G129" s="63"/>
      <c r="H129" s="56"/>
      <c r="I129" s="2"/>
    </row>
    <row r="130" spans="1:16" ht="25.5" x14ac:dyDescent="0.25">
      <c r="A130" s="103"/>
      <c r="B130" s="64" t="s">
        <v>1691</v>
      </c>
      <c r="C130" s="65"/>
      <c r="D130" s="66" t="s">
        <v>1690</v>
      </c>
      <c r="E130" s="66" t="s">
        <v>1689</v>
      </c>
      <c r="F130" s="66" t="s">
        <v>1688</v>
      </c>
      <c r="G130" s="67" t="s">
        <v>1687</v>
      </c>
      <c r="H130" s="68" t="s">
        <v>1686</v>
      </c>
      <c r="I130" s="2"/>
    </row>
    <row r="131" spans="1:16" ht="15" x14ac:dyDescent="0.25">
      <c r="A131" s="103"/>
      <c r="B131" s="69" t="str">
        <f>IF($A131=0,"",VLOOKUP($A131,'BASE M-OBRA'!$A:$D,2))</f>
        <v/>
      </c>
      <c r="C131" s="2"/>
      <c r="D131" s="108"/>
      <c r="E131" s="70" t="str">
        <f>IF($A131=0,"",VLOOKUP($A131,'BASE M-OBRA'!$A:$D,4))</f>
        <v/>
      </c>
      <c r="F131" s="55" t="str">
        <f t="shared" ref="F131:F137" si="12">IF($A131=0,"",ROUND(D131*E131,2))</f>
        <v/>
      </c>
      <c r="G131" s="106" t="str">
        <f>IF($A131=0,"",ROUND(H131/F131,2))</f>
        <v/>
      </c>
      <c r="H131" s="56" t="str">
        <f>IF($A131=0,"",ROUND(SUM(H132:H137)*'BASE M-OBRA'!$D$23,2))</f>
        <v/>
      </c>
      <c r="I131" s="2"/>
    </row>
    <row r="132" spans="1:16" ht="15" x14ac:dyDescent="0.25">
      <c r="A132" s="103">
        <v>20008</v>
      </c>
      <c r="B132" s="69" t="str">
        <f>IF($A132=0,"",VLOOKUP($A132,'BASE M-OBRA'!$A:$D,2))</f>
        <v>GUARDIA</v>
      </c>
      <c r="C132" s="2"/>
      <c r="D132" s="108">
        <v>1</v>
      </c>
      <c r="E132" s="70">
        <f>IF($A132=0,"",VLOOKUP($A132,'BASE M-OBRA'!$A:$D,4))</f>
        <v>2.79</v>
      </c>
      <c r="F132" s="55">
        <f t="shared" si="12"/>
        <v>2.79</v>
      </c>
      <c r="G132" s="156">
        <f>(30*8)</f>
        <v>240</v>
      </c>
      <c r="H132" s="56">
        <f t="shared" ref="H132:H137" si="13">IF($A132=0,"",ROUND(G132*F132,2))</f>
        <v>669.6</v>
      </c>
      <c r="I132" s="2"/>
      <c r="K132" s="1">
        <f>2.13*24</f>
        <v>51.12</v>
      </c>
    </row>
    <row r="133" spans="1:16" ht="15" x14ac:dyDescent="0.25">
      <c r="A133" s="103"/>
      <c r="B133" s="69" t="str">
        <f>IF($A133=0,"",VLOOKUP($A133,'BASE M-OBRA'!$A:$D,2))</f>
        <v/>
      </c>
      <c r="C133" s="2"/>
      <c r="D133" s="108"/>
      <c r="E133" s="70" t="str">
        <f>IF($A133=0,"",VLOOKUP($A133,'BASE M-OBRA'!$A:$D,4))</f>
        <v/>
      </c>
      <c r="F133" s="55" t="str">
        <f t="shared" si="12"/>
        <v/>
      </c>
      <c r="G133" s="106"/>
      <c r="H133" s="56" t="str">
        <f t="shared" si="13"/>
        <v/>
      </c>
      <c r="I133" s="2"/>
      <c r="K133" s="1">
        <f>+K132*7*4</f>
        <v>1431.36</v>
      </c>
    </row>
    <row r="134" spans="1:16" ht="15" x14ac:dyDescent="0.25">
      <c r="A134" s="103"/>
      <c r="B134" s="71" t="str">
        <f>IF($A134=0,"",VLOOKUP($A134,'BASE M-OBRA'!$A:$D,2))</f>
        <v/>
      </c>
      <c r="C134" s="2"/>
      <c r="D134" s="108"/>
      <c r="E134" s="70" t="str">
        <f>IF($A134=0,"",VLOOKUP($A134,'BASE M-OBRA'!$A:$D,4))</f>
        <v/>
      </c>
      <c r="F134" s="55" t="str">
        <f t="shared" si="12"/>
        <v/>
      </c>
      <c r="G134" s="106"/>
      <c r="H134" s="56" t="str">
        <f t="shared" si="13"/>
        <v/>
      </c>
      <c r="I134" s="2"/>
      <c r="K134" s="1">
        <f>+K133*15</f>
        <v>21470.399999999998</v>
      </c>
    </row>
    <row r="135" spans="1:16" ht="15" x14ac:dyDescent="0.25">
      <c r="A135" s="103"/>
      <c r="B135" s="72" t="str">
        <f>IF($A135=0,"",VLOOKUP($A135,'BASE M-OBRA'!$A:$D,2))</f>
        <v/>
      </c>
      <c r="C135" s="2"/>
      <c r="D135" s="108"/>
      <c r="E135" s="70" t="str">
        <f>IF($A135=0,"",VLOOKUP($A135,'BASE M-OBRA'!$A:$D,4))</f>
        <v/>
      </c>
      <c r="F135" s="55" t="str">
        <f t="shared" si="12"/>
        <v/>
      </c>
      <c r="G135" s="106"/>
      <c r="H135" s="56" t="str">
        <f t="shared" si="13"/>
        <v/>
      </c>
      <c r="I135" s="2"/>
    </row>
    <row r="136" spans="1:16" ht="15" x14ac:dyDescent="0.25">
      <c r="A136" s="103"/>
      <c r="B136" s="38" t="str">
        <f>IF($A136=0,"",VLOOKUP($A136,'BASE M-OBRA'!$A:$D,2))</f>
        <v/>
      </c>
      <c r="C136" s="2"/>
      <c r="D136" s="55"/>
      <c r="E136" s="55" t="str">
        <f>IF($A136=0,"",VLOOKUP($A136,'BASE M-OBRA'!$A:$D,4))</f>
        <v/>
      </c>
      <c r="F136" s="55" t="str">
        <f t="shared" si="12"/>
        <v/>
      </c>
      <c r="G136" s="106"/>
      <c r="H136" s="56" t="str">
        <f t="shared" si="13"/>
        <v/>
      </c>
      <c r="I136" s="2"/>
    </row>
    <row r="137" spans="1:16" ht="15" x14ac:dyDescent="0.25">
      <c r="A137" s="103"/>
      <c r="B137" s="57" t="str">
        <f>IF($A137=0,"",VLOOKUP($A137,'BASE M-OBRA'!$A:$D,2))</f>
        <v/>
      </c>
      <c r="C137" s="58"/>
      <c r="D137" s="59"/>
      <c r="E137" s="59" t="str">
        <f>IF($A137=0,"",VLOOKUP($A137,'BASE M-OBRA'!$A:$D,4))</f>
        <v/>
      </c>
      <c r="F137" s="59" t="str">
        <f t="shared" si="12"/>
        <v/>
      </c>
      <c r="G137" s="107"/>
      <c r="H137" s="60" t="str">
        <f t="shared" si="13"/>
        <v/>
      </c>
      <c r="I137" s="2"/>
    </row>
    <row r="138" spans="1:16" ht="15" x14ac:dyDescent="0.25">
      <c r="A138" s="103"/>
      <c r="B138" s="73" t="s">
        <v>1685</v>
      </c>
      <c r="C138" s="65"/>
      <c r="D138" s="74"/>
      <c r="E138" s="74"/>
      <c r="F138" s="74"/>
      <c r="G138" s="74"/>
      <c r="H138" s="75">
        <f>ROUND(SUM(H130:H137),2)</f>
        <v>669.6</v>
      </c>
      <c r="I138" s="2"/>
    </row>
    <row r="139" spans="1:16" ht="15" x14ac:dyDescent="0.25">
      <c r="A139" s="103"/>
      <c r="B139" s="38" t="s">
        <v>1684</v>
      </c>
      <c r="C139" s="2"/>
      <c r="D139" s="3"/>
      <c r="E139" s="3"/>
      <c r="F139" s="3"/>
      <c r="G139" s="3"/>
      <c r="H139" s="56"/>
      <c r="I139" s="2"/>
    </row>
    <row r="140" spans="1:16" ht="25.5" x14ac:dyDescent="0.25">
      <c r="A140" s="103"/>
      <c r="B140" s="64" t="s">
        <v>1409</v>
      </c>
      <c r="C140" s="65"/>
      <c r="D140" s="76"/>
      <c r="E140" s="66" t="s">
        <v>1408</v>
      </c>
      <c r="F140" s="66" t="s">
        <v>1679</v>
      </c>
      <c r="G140" s="66" t="s">
        <v>1683</v>
      </c>
      <c r="H140" s="68" t="s">
        <v>1675</v>
      </c>
      <c r="I140" s="2"/>
    </row>
    <row r="141" spans="1:16" ht="15" x14ac:dyDescent="0.25">
      <c r="A141" s="103"/>
      <c r="B141" s="109" t="str">
        <f>IF($A141=0,"",VLOOKUP($A141,'BASE MATERIAL'!$A:$D,2))</f>
        <v/>
      </c>
      <c r="C141" s="2"/>
      <c r="D141" s="77"/>
      <c r="E141" s="78" t="str">
        <f>IF($A141=0,"",VLOOKUP($A141,'BASE MATERIAL'!$A:$D,3))</f>
        <v/>
      </c>
      <c r="F141" s="55"/>
      <c r="G141" s="55" t="str">
        <f>IF($A141=0,"",VLOOKUP($A141,'BASE MATERIAL'!$A:$D,4))</f>
        <v/>
      </c>
      <c r="H141" s="56" t="str">
        <f t="shared" ref="H141:H155" si="14">IF($A141=0,"",ROUND(F141*G141,2))</f>
        <v/>
      </c>
      <c r="I141" s="2"/>
      <c r="L141" s="2"/>
      <c r="M141" s="2"/>
      <c r="N141" s="39"/>
      <c r="O141" s="2"/>
      <c r="P141" s="2"/>
    </row>
    <row r="142" spans="1:16" ht="15" x14ac:dyDescent="0.25">
      <c r="A142" s="103"/>
      <c r="B142" s="38" t="str">
        <f>IF($A142=0,"",VLOOKUP($A142,'BASE MATERIAL'!$A:$D,2))</f>
        <v/>
      </c>
      <c r="C142" s="2"/>
      <c r="D142" s="77"/>
      <c r="E142" s="78" t="str">
        <f>IF($A142=0,"",VLOOKUP($A142,'BASE MATERIAL'!$A:$D,3))</f>
        <v/>
      </c>
      <c r="F142" s="55"/>
      <c r="G142" s="55" t="str">
        <f>IF($A142=0,"",VLOOKUP($A142,'BASE MATERIAL'!$A:$D,4))</f>
        <v/>
      </c>
      <c r="H142" s="56" t="str">
        <f t="shared" si="14"/>
        <v/>
      </c>
      <c r="I142" s="2"/>
      <c r="L142" s="2"/>
      <c r="M142" s="2"/>
      <c r="N142" s="39"/>
      <c r="O142" s="2"/>
      <c r="P142" s="2"/>
    </row>
    <row r="143" spans="1:16" ht="15" x14ac:dyDescent="0.25">
      <c r="A143" s="103"/>
      <c r="B143" s="38" t="str">
        <f>IF($A143=0,"",VLOOKUP($A143,'BASE MATERIAL'!$A:$D,2))</f>
        <v/>
      </c>
      <c r="C143" s="2"/>
      <c r="D143" s="77"/>
      <c r="E143" s="78" t="str">
        <f>IF($A143=0,"",VLOOKUP($A143,'BASE MATERIAL'!$A:$D,3))</f>
        <v/>
      </c>
      <c r="F143" s="55"/>
      <c r="G143" s="55" t="str">
        <f>IF($A143=0,"",VLOOKUP($A143,'BASE MATERIAL'!$A:$D,4))</f>
        <v/>
      </c>
      <c r="H143" s="56" t="str">
        <f t="shared" si="14"/>
        <v/>
      </c>
      <c r="I143" s="2"/>
      <c r="L143" s="2"/>
      <c r="M143" s="2"/>
      <c r="N143" s="39"/>
      <c r="O143" s="2"/>
      <c r="P143" s="2"/>
    </row>
    <row r="144" spans="1:16" ht="15" x14ac:dyDescent="0.25">
      <c r="A144" s="103"/>
      <c r="B144" s="38" t="str">
        <f>IF($A144=0,"",VLOOKUP($A144,'BASE MATERIAL'!$A:$D,2))</f>
        <v/>
      </c>
      <c r="C144" s="2"/>
      <c r="D144" s="77"/>
      <c r="E144" s="78" t="str">
        <f>IF($A144=0,"",VLOOKUP($A144,'BASE MATERIAL'!$A:$D,3))</f>
        <v/>
      </c>
      <c r="F144" s="55"/>
      <c r="G144" s="55" t="str">
        <f>IF($A144=0,"",VLOOKUP($A144,'BASE MATERIAL'!$A:$D,4))</f>
        <v/>
      </c>
      <c r="H144" s="56" t="str">
        <f t="shared" si="14"/>
        <v/>
      </c>
      <c r="I144" s="2"/>
      <c r="L144" s="2"/>
      <c r="M144" s="2"/>
      <c r="N144" s="39"/>
      <c r="O144" s="2"/>
      <c r="P144" s="2"/>
    </row>
    <row r="145" spans="1:16" ht="15" x14ac:dyDescent="0.25">
      <c r="A145" s="103"/>
      <c r="B145" s="38" t="str">
        <f>IF($A145=0,"",VLOOKUP($A145,'BASE MATERIAL'!$A:$D,2))</f>
        <v/>
      </c>
      <c r="C145" s="2"/>
      <c r="D145" s="77"/>
      <c r="E145" s="78" t="str">
        <f>IF($A145=0,"",VLOOKUP($A145,'BASE MATERIAL'!$A:$D,3))</f>
        <v/>
      </c>
      <c r="F145" s="55"/>
      <c r="G145" s="55" t="str">
        <f>IF($A145=0,"",VLOOKUP($A145,'BASE MATERIAL'!$A:$D,4))</f>
        <v/>
      </c>
      <c r="H145" s="56" t="str">
        <f t="shared" si="14"/>
        <v/>
      </c>
      <c r="I145" s="2"/>
      <c r="L145" s="2"/>
      <c r="M145" s="2"/>
      <c r="N145" s="39"/>
      <c r="O145" s="2"/>
      <c r="P145" s="2"/>
    </row>
    <row r="146" spans="1:16" ht="15" x14ac:dyDescent="0.25">
      <c r="A146" s="103"/>
      <c r="B146" s="38" t="str">
        <f>IF($A146=0,"",VLOOKUP($A146,'BASE MATERIAL'!$A:$D,2))</f>
        <v/>
      </c>
      <c r="C146" s="2"/>
      <c r="D146" s="77"/>
      <c r="E146" s="78" t="str">
        <f>IF($A146=0,"",VLOOKUP($A146,'BASE MATERIAL'!$A:$D,3))</f>
        <v/>
      </c>
      <c r="F146" s="55"/>
      <c r="G146" s="55" t="str">
        <f>IF($A146=0,"",VLOOKUP($A146,'BASE MATERIAL'!$A:$D,4))</f>
        <v/>
      </c>
      <c r="H146" s="56" t="str">
        <f t="shared" si="14"/>
        <v/>
      </c>
      <c r="I146" s="2"/>
      <c r="L146" s="2"/>
      <c r="M146" s="2"/>
      <c r="N146" s="39"/>
      <c r="O146" s="2"/>
      <c r="P146" s="2"/>
    </row>
    <row r="147" spans="1:16" ht="15" x14ac:dyDescent="0.25">
      <c r="A147" s="103"/>
      <c r="B147" s="38" t="str">
        <f>IF($A147=0,"",VLOOKUP($A147,'BASE MATERIAL'!$A:$D,2))</f>
        <v/>
      </c>
      <c r="C147" s="2"/>
      <c r="D147" s="77"/>
      <c r="E147" s="78" t="str">
        <f>IF($A147=0,"",VLOOKUP($A147,'BASE MATERIAL'!$A:$D,3))</f>
        <v/>
      </c>
      <c r="F147" s="55"/>
      <c r="G147" s="55" t="str">
        <f>IF($A147=0,"",VLOOKUP($A147,'BASE MATERIAL'!$A:$D,4))</f>
        <v/>
      </c>
      <c r="H147" s="56" t="str">
        <f t="shared" si="14"/>
        <v/>
      </c>
      <c r="I147" s="2"/>
      <c r="L147" s="2"/>
      <c r="M147" s="2"/>
      <c r="N147" s="39"/>
      <c r="O147" s="2"/>
      <c r="P147" s="2"/>
    </row>
    <row r="148" spans="1:16" ht="15" x14ac:dyDescent="0.25">
      <c r="A148" s="103"/>
      <c r="B148" s="38" t="str">
        <f>IF($A148=0,"",VLOOKUP($A148,'BASE MATERIAL'!$A:$D,2))</f>
        <v/>
      </c>
      <c r="C148" s="2"/>
      <c r="D148" s="77"/>
      <c r="E148" s="78" t="str">
        <f>IF($A148=0,"",VLOOKUP($A148,'BASE MATERIAL'!$A:$D,3))</f>
        <v/>
      </c>
      <c r="F148" s="55"/>
      <c r="G148" s="55" t="str">
        <f>IF($A148=0,"",VLOOKUP($A148,'BASE MATERIAL'!$A:$D,4))</f>
        <v/>
      </c>
      <c r="H148" s="56" t="str">
        <f t="shared" si="14"/>
        <v/>
      </c>
      <c r="I148" s="2"/>
      <c r="L148" s="2"/>
      <c r="M148" s="2"/>
      <c r="N148" s="39"/>
      <c r="O148" s="2"/>
      <c r="P148" s="2"/>
    </row>
    <row r="149" spans="1:16" ht="15" x14ac:dyDescent="0.25">
      <c r="A149" s="103"/>
      <c r="B149" s="38" t="str">
        <f>IF($A149=0,"",VLOOKUP($A149,'BASE MATERIAL'!$A:$D,2))</f>
        <v/>
      </c>
      <c r="C149" s="2"/>
      <c r="D149" s="77"/>
      <c r="E149" s="78" t="str">
        <f>IF($A149=0,"",VLOOKUP($A149,'BASE MATERIAL'!$A:$D,3))</f>
        <v/>
      </c>
      <c r="F149" s="55"/>
      <c r="G149" s="55" t="str">
        <f>IF($A149=0,"",VLOOKUP($A149,'BASE MATERIAL'!$A:$D,4))</f>
        <v/>
      </c>
      <c r="H149" s="56" t="str">
        <f t="shared" si="14"/>
        <v/>
      </c>
      <c r="I149" s="2"/>
    </row>
    <row r="150" spans="1:16" ht="15" x14ac:dyDescent="0.25">
      <c r="A150" s="103"/>
      <c r="B150" s="38" t="str">
        <f>IF($A150=0,"",VLOOKUP($A150,'BASE MATERIAL'!$A:$D,2))</f>
        <v/>
      </c>
      <c r="C150" s="2"/>
      <c r="D150" s="77"/>
      <c r="E150" s="78" t="str">
        <f>IF($A150=0,"",VLOOKUP($A150,'BASE MATERIAL'!$A:$D,3))</f>
        <v/>
      </c>
      <c r="F150" s="55"/>
      <c r="G150" s="55" t="str">
        <f>IF($A150=0,"",VLOOKUP($A150,'BASE MATERIAL'!$A:$D,4))</f>
        <v/>
      </c>
      <c r="H150" s="56" t="str">
        <f t="shared" si="14"/>
        <v/>
      </c>
      <c r="I150" s="2"/>
      <c r="L150" s="2"/>
      <c r="M150" s="2"/>
      <c r="N150" s="39"/>
      <c r="O150" s="2"/>
      <c r="P150" s="2"/>
    </row>
    <row r="151" spans="1:16" ht="15" x14ac:dyDescent="0.25">
      <c r="A151" s="103"/>
      <c r="B151" s="38" t="str">
        <f>IF($A151=0,"",VLOOKUP($A151,'BASE MATERIAL'!$A:$D,2))</f>
        <v/>
      </c>
      <c r="C151" s="2"/>
      <c r="D151" s="77"/>
      <c r="E151" s="78" t="str">
        <f>IF($A151=0,"",VLOOKUP($A151,'BASE MATERIAL'!$A:$D,3))</f>
        <v/>
      </c>
      <c r="F151" s="55"/>
      <c r="G151" s="55" t="str">
        <f>IF($A151=0,"",VLOOKUP($A151,'BASE MATERIAL'!$A:$D,4))</f>
        <v/>
      </c>
      <c r="H151" s="56" t="str">
        <f t="shared" si="14"/>
        <v/>
      </c>
      <c r="I151" s="2"/>
      <c r="L151" s="2"/>
      <c r="M151" s="2"/>
      <c r="N151" s="39"/>
      <c r="O151" s="2"/>
      <c r="P151" s="2"/>
    </row>
    <row r="152" spans="1:16" ht="15" x14ac:dyDescent="0.25">
      <c r="A152" s="103"/>
      <c r="B152" s="38" t="str">
        <f>IF($A152=0,"",VLOOKUP($A152,'BASE MATERIAL'!$A:$D,2))</f>
        <v/>
      </c>
      <c r="C152" s="2"/>
      <c r="D152" s="77"/>
      <c r="E152" s="78" t="str">
        <f>IF($A152=0,"",VLOOKUP($A152,'BASE MATERIAL'!$A:$D,3))</f>
        <v/>
      </c>
      <c r="F152" s="55"/>
      <c r="G152" s="55" t="str">
        <f>IF($A152=0,"",VLOOKUP($A152,'BASE MATERIAL'!$A:$D,4))</f>
        <v/>
      </c>
      <c r="H152" s="56" t="str">
        <f t="shared" si="14"/>
        <v/>
      </c>
      <c r="I152" s="2"/>
    </row>
    <row r="153" spans="1:16" ht="15" x14ac:dyDescent="0.25">
      <c r="A153" s="103"/>
      <c r="B153" s="38" t="str">
        <f>IF($A153=0,"",VLOOKUP($A153,'BASE MATERIAL'!$A:$D,2))</f>
        <v/>
      </c>
      <c r="C153" s="2"/>
      <c r="D153" s="77"/>
      <c r="E153" s="78" t="str">
        <f>IF($A153=0,"",VLOOKUP($A153,'BASE MATERIAL'!$A:$D,3))</f>
        <v/>
      </c>
      <c r="F153" s="55"/>
      <c r="G153" s="55" t="str">
        <f>IF($A153=0,"",VLOOKUP($A153,'BASE MATERIAL'!$A:$D,4))</f>
        <v/>
      </c>
      <c r="H153" s="56" t="str">
        <f t="shared" si="14"/>
        <v/>
      </c>
      <c r="I153" s="2"/>
    </row>
    <row r="154" spans="1:16" ht="15" x14ac:dyDescent="0.25">
      <c r="A154" s="103"/>
      <c r="B154" s="38" t="str">
        <f>IF($A154=0,"",VLOOKUP($A154,'BASE MATERIAL'!$A:$D,2))</f>
        <v/>
      </c>
      <c r="C154" s="2"/>
      <c r="D154" s="77"/>
      <c r="E154" s="78" t="str">
        <f>IF($A154=0,"",VLOOKUP($A154,'BASE MATERIAL'!$A:$D,3))</f>
        <v/>
      </c>
      <c r="F154" s="55"/>
      <c r="G154" s="55" t="str">
        <f>IF($A154=0,"",VLOOKUP($A154,'BASE MATERIAL'!$A:$D,4))</f>
        <v/>
      </c>
      <c r="H154" s="56" t="str">
        <f t="shared" si="14"/>
        <v/>
      </c>
      <c r="I154" s="2"/>
    </row>
    <row r="155" spans="1:16" ht="15" x14ac:dyDescent="0.25">
      <c r="A155" s="103"/>
      <c r="B155" s="38" t="str">
        <f>IF($A155=0,"",VLOOKUP($A155,'BASE MATERIAL'!$A:$D,2))</f>
        <v/>
      </c>
      <c r="C155" s="2"/>
      <c r="D155" s="77"/>
      <c r="E155" s="78" t="str">
        <f>IF($A155=0,"",VLOOKUP($A155,'BASE MATERIAL'!$A:$D,3))</f>
        <v/>
      </c>
      <c r="F155" s="55"/>
      <c r="G155" s="55" t="str">
        <f>IF($A155=0,"",VLOOKUP($A155,'BASE MATERIAL'!$A:$D,4))</f>
        <v/>
      </c>
      <c r="H155" s="56" t="str">
        <f t="shared" si="14"/>
        <v/>
      </c>
      <c r="I155" s="2"/>
    </row>
    <row r="156" spans="1:16" ht="15" x14ac:dyDescent="0.25">
      <c r="A156" s="103"/>
      <c r="B156" s="38" t="str">
        <f>IF($A156=0,"",VLOOKUP($A156,'BASE MATERIAL'!$A:$D,2))</f>
        <v/>
      </c>
      <c r="C156" s="2"/>
      <c r="D156" s="81" t="s">
        <v>1682</v>
      </c>
      <c r="E156" s="55" t="str">
        <f>IF($A156=0,"",VLOOKUP($A156,'BASE MATERIAL'!$A:$D,3))</f>
        <v/>
      </c>
      <c r="F156" s="55" t="s">
        <v>1682</v>
      </c>
      <c r="G156" s="55" t="str">
        <f>IF($A156=0,"",VLOOKUP($A156,'BASE MATERIAL'!$A:$D,4))</f>
        <v/>
      </c>
      <c r="H156" s="56" t="str">
        <f>IF($A156=0,"",ROUND(E156*F156,2))</f>
        <v/>
      </c>
      <c r="I156" s="2"/>
    </row>
    <row r="157" spans="1:16" ht="15" x14ac:dyDescent="0.25">
      <c r="A157" s="103"/>
      <c r="B157" s="73" t="s">
        <v>1681</v>
      </c>
      <c r="C157" s="65"/>
      <c r="D157" s="74"/>
      <c r="E157" s="74"/>
      <c r="F157" s="74"/>
      <c r="G157" s="74"/>
      <c r="H157" s="75">
        <f>ROUND(SUM(H140:H156),2)</f>
        <v>0</v>
      </c>
      <c r="I157" s="2"/>
    </row>
    <row r="158" spans="1:16" ht="15" x14ac:dyDescent="0.25">
      <c r="A158" s="103"/>
      <c r="B158" s="38" t="s">
        <v>1680</v>
      </c>
      <c r="C158" s="2"/>
      <c r="D158" s="3"/>
      <c r="E158" s="3"/>
      <c r="F158" s="3"/>
      <c r="G158" s="3"/>
      <c r="H158" s="56"/>
      <c r="I158" s="2"/>
    </row>
    <row r="159" spans="1:16" ht="25.5" x14ac:dyDescent="0.25">
      <c r="A159" s="103"/>
      <c r="B159" s="64" t="s">
        <v>1409</v>
      </c>
      <c r="C159" s="65"/>
      <c r="D159" s="76"/>
      <c r="E159" s="66" t="s">
        <v>1408</v>
      </c>
      <c r="F159" s="66" t="s">
        <v>1679</v>
      </c>
      <c r="G159" s="66" t="s">
        <v>1676</v>
      </c>
      <c r="H159" s="68" t="s">
        <v>1675</v>
      </c>
      <c r="I159" s="2"/>
    </row>
    <row r="160" spans="1:16" ht="15" x14ac:dyDescent="0.25">
      <c r="A160" s="103"/>
      <c r="B160" s="51" t="str">
        <f>IF($A160=0,"",VLOOKUP($A160,'BASE EQUIPO'!$A:$D,2))</f>
        <v/>
      </c>
      <c r="C160" s="52"/>
      <c r="D160" s="82"/>
      <c r="E160" s="78" t="str">
        <f>IF($A160=0,"",VLOOKUP($A160,'BASE EQUIPO'!$A:$D,3))</f>
        <v/>
      </c>
      <c r="F160" s="55"/>
      <c r="G160" s="83" t="str">
        <f>IF($A160=0,"",VLOOKUP($A160,'BASE EQUIPO'!$A:$D,4)*H157)</f>
        <v/>
      </c>
      <c r="H160" s="56" t="str">
        <f>IF($A160=0,"",ROUND(F160*G160,2))</f>
        <v/>
      </c>
      <c r="I160" s="2"/>
    </row>
    <row r="161" spans="1:9" ht="15" x14ac:dyDescent="0.25">
      <c r="A161" s="103"/>
      <c r="B161" s="38" t="str">
        <f>IF($A161=0,"",VLOOKUP($A161,'BASE EQUIPO'!$A:$D,2))</f>
        <v/>
      </c>
      <c r="C161" s="2"/>
      <c r="D161" s="84"/>
      <c r="E161" s="78" t="str">
        <f>IF($A161=0,"",VLOOKUP($A161,'BASE EQUIPO'!$A:$D,3))</f>
        <v/>
      </c>
      <c r="F161" s="55"/>
      <c r="G161" s="55" t="str">
        <f>IF($A161=0,"",VLOOKUP($A161,'BASE EQUIPO'!$A:$D,4)*H158)</f>
        <v/>
      </c>
      <c r="H161" s="56" t="str">
        <f>IF($A161=0,"",ROUND(F161*G161,2))</f>
        <v/>
      </c>
      <c r="I161" s="2"/>
    </row>
    <row r="162" spans="1:9" ht="15" x14ac:dyDescent="0.25">
      <c r="A162" s="103"/>
      <c r="B162" s="57" t="str">
        <f>IF($A162=0,"",VLOOKUP($A162,'BASE EQUIPO'!$A:$D,2))</f>
        <v/>
      </c>
      <c r="C162" s="58"/>
      <c r="D162" s="85"/>
      <c r="E162" s="86" t="str">
        <f>IF($A162=0,"",VLOOKUP($A162,'BASE EQUIPO'!$A:$D,3))</f>
        <v/>
      </c>
      <c r="F162" s="59"/>
      <c r="G162" s="59" t="str">
        <f>IF($A162=0,"",VLOOKUP($A162,'BASE EQUIPO'!$A:$D,4)*H159)</f>
        <v/>
      </c>
      <c r="H162" s="60" t="str">
        <f>IF($A162=0,"",ROUND(F162*G162,2))</f>
        <v/>
      </c>
      <c r="I162" s="2"/>
    </row>
    <row r="163" spans="1:9" ht="15.75" thickBot="1" x14ac:dyDescent="0.3">
      <c r="A163" s="103"/>
      <c r="B163" s="87" t="s">
        <v>1674</v>
      </c>
      <c r="C163" s="88"/>
      <c r="D163" s="89"/>
      <c r="E163" s="89"/>
      <c r="F163" s="89"/>
      <c r="G163" s="89"/>
      <c r="H163" s="90">
        <f>ROUND(SUM(H159:H162),2)</f>
        <v>0</v>
      </c>
      <c r="I163" s="2"/>
    </row>
    <row r="164" spans="1:9" ht="15.75" x14ac:dyDescent="0.25">
      <c r="A164" s="103"/>
      <c r="B164" s="2"/>
      <c r="C164" s="2"/>
      <c r="D164" s="91" t="s">
        <v>1673</v>
      </c>
      <c r="E164" s="47"/>
      <c r="F164" s="47"/>
      <c r="G164" s="47"/>
      <c r="H164" s="92">
        <f>ROUND(SUM(H163,H157,H138,H128),2)</f>
        <v>689.69</v>
      </c>
      <c r="I164" s="2"/>
    </row>
    <row r="165" spans="1:9" ht="15.75" x14ac:dyDescent="0.25">
      <c r="A165" s="103">
        <v>40002</v>
      </c>
      <c r="B165" s="2"/>
      <c r="C165" s="2"/>
      <c r="D165" s="93" t="s">
        <v>1672</v>
      </c>
      <c r="E165" s="65"/>
      <c r="F165" s="65"/>
      <c r="G165" s="94">
        <f>IF($A165=0,"",VLOOKUP($A165,'BASE MATERIAL'!$M:$P,4))</f>
        <v>0</v>
      </c>
      <c r="H165" s="95">
        <f>IF($A165=0,"",ROUND(G165*H164,2))</f>
        <v>0</v>
      </c>
      <c r="I165" s="2"/>
    </row>
    <row r="166" spans="1:9" ht="15.75" x14ac:dyDescent="0.25">
      <c r="A166" s="103">
        <v>40003</v>
      </c>
      <c r="B166" s="2"/>
      <c r="C166" s="2"/>
      <c r="D166" s="93" t="s">
        <v>1671</v>
      </c>
      <c r="E166" s="65"/>
      <c r="F166" s="65"/>
      <c r="G166" s="94">
        <f>IF($A166=0,"",VLOOKUP($A166,'BASE MATERIAL'!$M:$P,4))</f>
        <v>0</v>
      </c>
      <c r="H166" s="95">
        <f>IF($A166=0,"",ROUND(G166*H164,2))</f>
        <v>0</v>
      </c>
      <c r="I166" s="2"/>
    </row>
    <row r="167" spans="1:9" ht="15.75" x14ac:dyDescent="0.25">
      <c r="A167" s="103"/>
      <c r="B167" s="2"/>
      <c r="C167" s="2"/>
      <c r="D167" s="93" t="s">
        <v>1670</v>
      </c>
      <c r="E167" s="65"/>
      <c r="F167" s="65"/>
      <c r="G167" s="65"/>
      <c r="H167" s="96">
        <f>ROUND(SUM(H164:H166),2)</f>
        <v>689.69</v>
      </c>
      <c r="I167" s="2"/>
    </row>
    <row r="168" spans="1:9" ht="16.5" thickBot="1" x14ac:dyDescent="0.3">
      <c r="A168" s="103"/>
      <c r="B168" s="25"/>
      <c r="C168" s="2"/>
      <c r="D168" s="97" t="s">
        <v>1650</v>
      </c>
      <c r="E168" s="88"/>
      <c r="F168" s="88"/>
      <c r="G168" s="88"/>
      <c r="H168" s="98">
        <f>ROUND(H167,2)</f>
        <v>689.69</v>
      </c>
      <c r="I168" s="2"/>
    </row>
  </sheetData>
  <phoneticPr fontId="2" type="noConversion"/>
  <pageMargins left="0.75" right="0.75" top="0.77" bottom="0.75" header="0" footer="0"/>
  <pageSetup paperSize="9" scale="85" orientation="portrait" r:id="rId1"/>
  <headerFooter alignWithMargins="0"/>
  <rowBreaks count="1" manualBreakCount="1">
    <brk id="56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B0B66-298E-411E-BB46-D54C8A25EA01}">
  <sheetPr codeName="Hoja6"/>
  <dimension ref="A1:P168"/>
  <sheetViews>
    <sheetView workbookViewId="0"/>
  </sheetViews>
  <sheetFormatPr baseColWidth="10" defaultColWidth="11.42578125" defaultRowHeight="14.25" x14ac:dyDescent="0.2"/>
  <cols>
    <col min="1" max="1" width="7" style="110" bestFit="1" customWidth="1"/>
    <col min="2" max="2" width="12.140625" style="1" customWidth="1"/>
    <col min="3" max="3" width="26.28515625" style="1" customWidth="1"/>
    <col min="4" max="4" width="10.7109375" style="1" customWidth="1"/>
    <col min="5" max="5" width="12.140625" style="1" customWidth="1"/>
    <col min="6" max="6" width="13.28515625" style="1" customWidth="1"/>
    <col min="7" max="7" width="13.85546875" style="1" customWidth="1"/>
    <col min="8" max="8" width="12.42578125" style="1" customWidth="1"/>
    <col min="9" max="9" width="3.140625" style="1" bestFit="1" customWidth="1"/>
    <col min="10" max="10" width="3.5703125" style="1" customWidth="1"/>
    <col min="11" max="11" width="8.42578125" style="1" customWidth="1"/>
    <col min="12" max="12" width="5.140625" style="1" bestFit="1" customWidth="1"/>
    <col min="13" max="13" width="33.85546875" style="1" bestFit="1" customWidth="1"/>
    <col min="14" max="14" width="6" style="1" bestFit="1" customWidth="1"/>
    <col min="15" max="28" width="8.42578125" style="1" customWidth="1"/>
    <col min="29" max="16384" width="11.42578125" style="1"/>
  </cols>
  <sheetData>
    <row r="1" spans="1:15" ht="15" x14ac:dyDescent="0.2">
      <c r="B1" s="34" t="s">
        <v>1701</v>
      </c>
      <c r="C1" s="2"/>
      <c r="D1" s="3" t="str">
        <f>'1.1'!$D$1</f>
        <v>ESPOL</v>
      </c>
      <c r="E1" s="2"/>
      <c r="F1" s="2"/>
      <c r="H1" s="2" t="s">
        <v>108</v>
      </c>
      <c r="I1" s="2"/>
      <c r="L1" s="40">
        <f>A5</f>
        <v>1</v>
      </c>
      <c r="M1" s="1" t="str">
        <f>C6</f>
        <v xml:space="preserve">Limpieza del terreno </v>
      </c>
      <c r="N1" s="2" t="str">
        <f>H5</f>
        <v>m2</v>
      </c>
      <c r="O1" s="2">
        <f>H56</f>
        <v>0.56000000000000005</v>
      </c>
    </row>
    <row r="2" spans="1:15" ht="15" x14ac:dyDescent="0.2">
      <c r="B2" s="34" t="s">
        <v>1700</v>
      </c>
      <c r="C2" s="3">
        <f>'1.1'!$C$2</f>
        <v>0</v>
      </c>
      <c r="D2" s="2"/>
      <c r="E2" s="2"/>
      <c r="F2" s="2"/>
      <c r="G2" s="41" t="s">
        <v>1699</v>
      </c>
      <c r="H2" s="42"/>
      <c r="I2" s="2" t="s">
        <v>1698</v>
      </c>
    </row>
    <row r="3" spans="1:15" ht="15" x14ac:dyDescent="0.2">
      <c r="B3" s="34"/>
      <c r="C3" s="3">
        <f>'1.1'!$C$3</f>
        <v>0</v>
      </c>
      <c r="D3" s="2"/>
      <c r="E3" s="2"/>
      <c r="F3" s="2"/>
      <c r="G3" s="2"/>
      <c r="H3" s="2"/>
      <c r="I3" s="2"/>
    </row>
    <row r="4" spans="1:15" ht="15" x14ac:dyDescent="0.2">
      <c r="B4" s="34" t="s">
        <v>1697</v>
      </c>
      <c r="C4" s="3"/>
      <c r="D4" s="2"/>
      <c r="E4" s="2"/>
      <c r="F4" s="2"/>
      <c r="G4" s="2"/>
      <c r="H4" s="2"/>
      <c r="I4" s="2"/>
    </row>
    <row r="5" spans="1:15" ht="15" x14ac:dyDescent="0.25">
      <c r="A5" s="104">
        <v>1</v>
      </c>
      <c r="B5" s="2" t="s">
        <v>1586</v>
      </c>
      <c r="C5" s="36" t="s">
        <v>1570</v>
      </c>
      <c r="D5" s="2"/>
      <c r="G5" s="2" t="s">
        <v>1696</v>
      </c>
      <c r="H5" s="3" t="s">
        <v>1520</v>
      </c>
      <c r="I5" s="2"/>
    </row>
    <row r="6" spans="1:15" ht="15" x14ac:dyDescent="0.25">
      <c r="A6" s="103"/>
      <c r="B6" s="1" t="s">
        <v>1585</v>
      </c>
      <c r="C6" s="36" t="s">
        <v>50</v>
      </c>
      <c r="D6" s="2"/>
      <c r="E6" s="2"/>
      <c r="F6" s="2"/>
      <c r="G6" s="2"/>
      <c r="H6" s="2"/>
      <c r="I6" s="2"/>
    </row>
    <row r="7" spans="1:15" ht="15.75" thickBot="1" x14ac:dyDescent="0.3">
      <c r="A7" s="103"/>
      <c r="D7" s="2"/>
      <c r="E7" s="2"/>
      <c r="F7" s="2"/>
      <c r="G7" s="2"/>
      <c r="H7" s="2"/>
      <c r="I7" s="2"/>
    </row>
    <row r="8" spans="1:15" ht="15.75" thickBot="1" x14ac:dyDescent="0.3">
      <c r="A8" s="103"/>
      <c r="B8" s="43" t="s">
        <v>1695</v>
      </c>
      <c r="C8" s="44"/>
      <c r="D8" s="44"/>
      <c r="E8" s="44"/>
      <c r="F8" s="44"/>
      <c r="G8" s="44"/>
      <c r="H8" s="45"/>
      <c r="I8" s="2"/>
    </row>
    <row r="9" spans="1:15" ht="25.5" x14ac:dyDescent="0.25">
      <c r="A9" s="103"/>
      <c r="B9" s="46" t="s">
        <v>1409</v>
      </c>
      <c r="C9" s="47"/>
      <c r="D9" s="48" t="s">
        <v>1690</v>
      </c>
      <c r="E9" s="48" t="s">
        <v>1694</v>
      </c>
      <c r="F9" s="48" t="s">
        <v>1693</v>
      </c>
      <c r="G9" s="49" t="s">
        <v>1687</v>
      </c>
      <c r="H9" s="50" t="s">
        <v>1686</v>
      </c>
      <c r="I9" s="2"/>
    </row>
    <row r="10" spans="1:15" ht="15" x14ac:dyDescent="0.25">
      <c r="A10" s="103">
        <v>19015</v>
      </c>
      <c r="B10" s="51" t="str">
        <f>IF($A10=0,"",VLOOKUP($A10,'BASE EQUIPO'!$A:$D,2))</f>
        <v>HERRAMIENTA MENOR</v>
      </c>
      <c r="C10" s="52"/>
      <c r="D10" s="53">
        <v>1</v>
      </c>
      <c r="E10" s="53">
        <f>IF($A10=0,"",VLOOKUP($A10,'BASE EQUIPO'!$A:$D,4)*H26)</f>
        <v>1.6199999999999999E-2</v>
      </c>
      <c r="F10" s="53">
        <f t="shared" ref="F10:F15" si="0">IF($A10=0,"",ROUND(D10*E10,2))</f>
        <v>0.02</v>
      </c>
      <c r="G10" s="105">
        <v>1</v>
      </c>
      <c r="H10" s="54">
        <f t="shared" ref="H10:H15" si="1">IF($A10=0,"",ROUND(G10*F10,2))</f>
        <v>0.02</v>
      </c>
      <c r="I10" s="2"/>
    </row>
    <row r="11" spans="1:15" ht="15" x14ac:dyDescent="0.25">
      <c r="A11" s="103"/>
      <c r="B11" s="38" t="str">
        <f>IF($A11=0,"",VLOOKUP($A11,'BASE EQUIPO'!$A:$D,2))</f>
        <v/>
      </c>
      <c r="C11" s="2"/>
      <c r="D11" s="55"/>
      <c r="E11" s="55" t="str">
        <f>IF($A11=0,"",VLOOKUP($A11,'BASE EQUIPO'!$A:$D,4))</f>
        <v/>
      </c>
      <c r="F11" s="55" t="str">
        <f t="shared" si="0"/>
        <v/>
      </c>
      <c r="G11" s="106"/>
      <c r="H11" s="56" t="str">
        <f t="shared" si="1"/>
        <v/>
      </c>
      <c r="I11" s="2"/>
    </row>
    <row r="12" spans="1:15" ht="15" x14ac:dyDescent="0.25">
      <c r="A12" s="103"/>
      <c r="B12" s="38" t="str">
        <f>IF($A12=0,"",VLOOKUP($A12,'BASE EQUIPO'!$A:$D,2))</f>
        <v/>
      </c>
      <c r="C12" s="2"/>
      <c r="D12" s="55"/>
      <c r="E12" s="55" t="str">
        <f>IF($A12=0,"",VLOOKUP($A12,'BASE EQUIPO'!$A:$D,4))</f>
        <v/>
      </c>
      <c r="F12" s="55" t="str">
        <f t="shared" si="0"/>
        <v/>
      </c>
      <c r="G12" s="106"/>
      <c r="H12" s="56" t="str">
        <f t="shared" si="1"/>
        <v/>
      </c>
      <c r="I12" s="2"/>
    </row>
    <row r="13" spans="1:15" ht="15" x14ac:dyDescent="0.25">
      <c r="A13" s="103"/>
      <c r="B13" s="38" t="str">
        <f>IF($A13=0,"",VLOOKUP($A13,'BASE EQUIPO'!$A:$D,2))</f>
        <v/>
      </c>
      <c r="C13" s="2"/>
      <c r="D13" s="55"/>
      <c r="E13" s="55"/>
      <c r="F13" s="55" t="str">
        <f t="shared" si="0"/>
        <v/>
      </c>
      <c r="G13" s="106"/>
      <c r="H13" s="56" t="str">
        <f t="shared" si="1"/>
        <v/>
      </c>
      <c r="I13" s="2"/>
    </row>
    <row r="14" spans="1:15" ht="15" x14ac:dyDescent="0.25">
      <c r="A14" s="103"/>
      <c r="B14" s="38" t="str">
        <f>IF($A14=0,"",VLOOKUP($A14,'BASE EQUIPO'!$A:$D,2))</f>
        <v/>
      </c>
      <c r="C14" s="2"/>
      <c r="D14" s="55"/>
      <c r="E14" s="55" t="str">
        <f>IF($A14=0,"",VLOOKUP($A14,'BASE EQUIPO'!$A:$D,4))</f>
        <v/>
      </c>
      <c r="F14" s="55" t="str">
        <f t="shared" si="0"/>
        <v/>
      </c>
      <c r="G14" s="106"/>
      <c r="H14" s="56" t="str">
        <f t="shared" si="1"/>
        <v/>
      </c>
      <c r="I14" s="2"/>
    </row>
    <row r="15" spans="1:15" ht="15" x14ac:dyDescent="0.25">
      <c r="A15" s="103"/>
      <c r="B15" s="57" t="str">
        <f>IF($A15=0,"",VLOOKUP($A15,'BASE EQUIPO'!$A:$D,2))</f>
        <v/>
      </c>
      <c r="C15" s="58"/>
      <c r="D15" s="59"/>
      <c r="E15" s="59" t="str">
        <f>IF($A15=0,"",VLOOKUP($A15,'BASE EQUIPO'!$A:$D,4))</f>
        <v/>
      </c>
      <c r="F15" s="59" t="str">
        <f t="shared" si="0"/>
        <v/>
      </c>
      <c r="G15" s="107"/>
      <c r="H15" s="60" t="str">
        <f t="shared" si="1"/>
        <v/>
      </c>
      <c r="I15" s="2"/>
    </row>
    <row r="16" spans="1:15" ht="15" x14ac:dyDescent="0.25">
      <c r="A16" s="103"/>
      <c r="B16" s="57" t="s">
        <v>1692</v>
      </c>
      <c r="C16" s="58"/>
      <c r="D16" s="61"/>
      <c r="E16" s="61"/>
      <c r="F16" s="61"/>
      <c r="G16" s="62"/>
      <c r="H16" s="60">
        <f>ROUND(SUM(H9:H15),2)</f>
        <v>0.02</v>
      </c>
      <c r="I16" s="2"/>
      <c r="K16" s="1">
        <f>2834.75*0.3</f>
        <v>850.42499999999995</v>
      </c>
    </row>
    <row r="17" spans="1:16" ht="15" x14ac:dyDescent="0.25">
      <c r="A17" s="103"/>
      <c r="B17" s="38" t="s">
        <v>1503</v>
      </c>
      <c r="C17" s="2"/>
      <c r="D17" s="3"/>
      <c r="E17" s="3"/>
      <c r="F17" s="3"/>
      <c r="G17" s="63"/>
      <c r="H17" s="56"/>
      <c r="I17" s="2"/>
      <c r="K17" s="1">
        <f>+K16*4.5</f>
        <v>3826.9124999999999</v>
      </c>
    </row>
    <row r="18" spans="1:16" ht="26.25" customHeight="1" x14ac:dyDescent="0.25">
      <c r="A18" s="103"/>
      <c r="B18" s="64" t="s">
        <v>1691</v>
      </c>
      <c r="C18" s="65"/>
      <c r="D18" s="66" t="s">
        <v>1690</v>
      </c>
      <c r="E18" s="66" t="s">
        <v>1689</v>
      </c>
      <c r="F18" s="66" t="s">
        <v>1688</v>
      </c>
      <c r="G18" s="67" t="s">
        <v>1687</v>
      </c>
      <c r="H18" s="68" t="s">
        <v>1686</v>
      </c>
      <c r="I18" s="2"/>
    </row>
    <row r="19" spans="1:16" ht="15" x14ac:dyDescent="0.25">
      <c r="A19" s="103">
        <v>20001</v>
      </c>
      <c r="B19" s="69" t="str">
        <f>IF($A19=0,"",VLOOKUP($A19,'BASE M-OBRA'!$A:$D,2))</f>
        <v>MAESTRO</v>
      </c>
      <c r="C19" s="2"/>
      <c r="D19" s="108">
        <v>1</v>
      </c>
      <c r="E19" s="70">
        <f>IF($A19=0,"",VLOOKUP($A19,'BASE M-OBRA'!$A:$D,4))</f>
        <v>3.02</v>
      </c>
      <c r="F19" s="55">
        <f t="shared" ref="F19:F25" si="2">IF($A19=0,"",ROUND(D19*E19,2))</f>
        <v>3.02</v>
      </c>
      <c r="G19" s="106">
        <f>IF($A19=0,"",ROUND(H19/F19,2))</f>
        <v>0.03</v>
      </c>
      <c r="H19" s="56">
        <f>IF($A19=0,"",ROUND(SUM(H20:H25)*'BASE M-OBRA'!$D$23,2))</f>
        <v>0.09</v>
      </c>
      <c r="I19" s="2"/>
    </row>
    <row r="20" spans="1:16" ht="15" x14ac:dyDescent="0.25">
      <c r="A20" s="103">
        <v>20002</v>
      </c>
      <c r="B20" s="69" t="str">
        <f>IF($A20=0,"",VLOOKUP($A20,'BASE M-OBRA'!$A:$D,2))</f>
        <v>PEON</v>
      </c>
      <c r="C20" s="2"/>
      <c r="D20" s="108">
        <v>4</v>
      </c>
      <c r="E20" s="70">
        <f>IF($A20=0,"",VLOOKUP($A20,'BASE M-OBRA'!$A:$D,4))</f>
        <v>2.79</v>
      </c>
      <c r="F20" s="55">
        <f t="shared" si="2"/>
        <v>11.16</v>
      </c>
      <c r="G20" s="106">
        <v>0.04</v>
      </c>
      <c r="H20" s="56">
        <f t="shared" ref="H20:H25" si="3">IF($A20=0,"",ROUND(G20*F20,2))</f>
        <v>0.45</v>
      </c>
      <c r="I20" s="2"/>
    </row>
    <row r="21" spans="1:16" s="4" customFormat="1" ht="15" x14ac:dyDescent="0.25">
      <c r="A21" s="103"/>
      <c r="B21" s="69" t="str">
        <f>IF($A21=0,"",VLOOKUP($A21,'BASE M-OBRA'!$A:$D,2))</f>
        <v/>
      </c>
      <c r="C21" s="2"/>
      <c r="D21" s="108"/>
      <c r="E21" s="70" t="str">
        <f>IF($A21=0,"",VLOOKUP($A21,'BASE M-OBRA'!$A:$D,4))</f>
        <v/>
      </c>
      <c r="F21" s="55" t="str">
        <f t="shared" si="2"/>
        <v/>
      </c>
      <c r="G21" s="106"/>
      <c r="H21" s="56" t="str">
        <f t="shared" si="3"/>
        <v/>
      </c>
      <c r="I21" s="5"/>
    </row>
    <row r="22" spans="1:16" ht="15" x14ac:dyDescent="0.25">
      <c r="A22" s="103"/>
      <c r="B22" s="71" t="str">
        <f>IF($A22=0,"",VLOOKUP($A22,'BASE M-OBRA'!$A:$D,2))</f>
        <v/>
      </c>
      <c r="C22" s="2"/>
      <c r="D22" s="108"/>
      <c r="E22" s="70" t="str">
        <f>IF($A22=0,"",VLOOKUP($A22,'BASE M-OBRA'!$A:$D,4))</f>
        <v/>
      </c>
      <c r="F22" s="55" t="str">
        <f t="shared" si="2"/>
        <v/>
      </c>
      <c r="G22" s="106"/>
      <c r="H22" s="56" t="str">
        <f t="shared" si="3"/>
        <v/>
      </c>
      <c r="I22" s="2"/>
    </row>
    <row r="23" spans="1:16" ht="15" x14ac:dyDescent="0.25">
      <c r="A23" s="103"/>
      <c r="B23" s="72" t="str">
        <f>IF($A23=0,"",VLOOKUP($A23,'BASE M-OBRA'!$A:$D,2))</f>
        <v/>
      </c>
      <c r="C23" s="2"/>
      <c r="D23" s="108"/>
      <c r="E23" s="70" t="str">
        <f>IF($A23=0,"",VLOOKUP($A23,'BASE M-OBRA'!$A:$D,4))</f>
        <v/>
      </c>
      <c r="F23" s="55" t="str">
        <f t="shared" si="2"/>
        <v/>
      </c>
      <c r="G23" s="106"/>
      <c r="H23" s="56" t="str">
        <f t="shared" si="3"/>
        <v/>
      </c>
      <c r="I23" s="2"/>
    </row>
    <row r="24" spans="1:16" ht="15" x14ac:dyDescent="0.25">
      <c r="A24" s="103"/>
      <c r="B24" s="38" t="str">
        <f>IF($A24=0,"",VLOOKUP($A24,'BASE M-OBRA'!$A:$D,2))</f>
        <v/>
      </c>
      <c r="C24" s="2"/>
      <c r="D24" s="55"/>
      <c r="E24" s="55" t="str">
        <f>IF($A24=0,"",VLOOKUP($A24,'BASE M-OBRA'!$A:$D,4))</f>
        <v/>
      </c>
      <c r="F24" s="55" t="str">
        <f t="shared" si="2"/>
        <v/>
      </c>
      <c r="G24" s="106"/>
      <c r="H24" s="56" t="str">
        <f t="shared" si="3"/>
        <v/>
      </c>
      <c r="I24" s="2"/>
    </row>
    <row r="25" spans="1:16" ht="15" x14ac:dyDescent="0.25">
      <c r="A25" s="103"/>
      <c r="B25" s="57" t="str">
        <f>IF($A25=0,"",VLOOKUP($A25,'BASE M-OBRA'!$A:$D,2))</f>
        <v/>
      </c>
      <c r="C25" s="58"/>
      <c r="D25" s="59"/>
      <c r="E25" s="59" t="str">
        <f>IF($A25=0,"",VLOOKUP($A25,'BASE M-OBRA'!$A:$D,4))</f>
        <v/>
      </c>
      <c r="F25" s="59" t="str">
        <f t="shared" si="2"/>
        <v/>
      </c>
      <c r="G25" s="107"/>
      <c r="H25" s="60" t="str">
        <f t="shared" si="3"/>
        <v/>
      </c>
      <c r="I25" s="2"/>
    </row>
    <row r="26" spans="1:16" ht="15" x14ac:dyDescent="0.25">
      <c r="A26" s="103"/>
      <c r="B26" s="73" t="s">
        <v>1685</v>
      </c>
      <c r="C26" s="65"/>
      <c r="D26" s="74"/>
      <c r="E26" s="74"/>
      <c r="F26" s="74"/>
      <c r="G26" s="74"/>
      <c r="H26" s="75">
        <f>ROUND(SUM(H18:H25),2)</f>
        <v>0.54</v>
      </c>
      <c r="I26" s="2"/>
    </row>
    <row r="27" spans="1:16" ht="15" x14ac:dyDescent="0.25">
      <c r="A27" s="103"/>
      <c r="B27" s="38" t="s">
        <v>1684</v>
      </c>
      <c r="C27" s="2"/>
      <c r="D27" s="3"/>
      <c r="E27" s="3"/>
      <c r="F27" s="3"/>
      <c r="G27" s="3"/>
      <c r="H27" s="56"/>
      <c r="I27" s="2"/>
    </row>
    <row r="28" spans="1:16" ht="25.5" x14ac:dyDescent="0.25">
      <c r="A28" s="103"/>
      <c r="B28" s="64" t="s">
        <v>1409</v>
      </c>
      <c r="C28" s="65"/>
      <c r="D28" s="76"/>
      <c r="E28" s="66" t="s">
        <v>1408</v>
      </c>
      <c r="F28" s="66" t="s">
        <v>1679</v>
      </c>
      <c r="G28" s="66" t="s">
        <v>1683</v>
      </c>
      <c r="H28" s="68" t="s">
        <v>1675</v>
      </c>
      <c r="I28" s="2"/>
    </row>
    <row r="29" spans="1:16" ht="15" x14ac:dyDescent="0.25">
      <c r="A29" s="103"/>
      <c r="B29" s="26" t="str">
        <f>IF($A29=0,"",VLOOKUP($A29,'BASE MATERIAL'!$A:$D,2))</f>
        <v/>
      </c>
      <c r="C29" s="2"/>
      <c r="D29" s="77"/>
      <c r="E29" s="78" t="str">
        <f>IF($A29=0,"",VLOOKUP($A29,'BASE MATERIAL'!$A:$D,3))</f>
        <v/>
      </c>
      <c r="F29" s="55"/>
      <c r="G29" s="55" t="str">
        <f>IF($A29=0,"",VLOOKUP($A29,'BASE MATERIAL'!$A:$D,4))</f>
        <v/>
      </c>
      <c r="H29" s="56" t="str">
        <f t="shared" ref="H29:H43" si="4">IF($A29=0,"",ROUND(F29*G29,2))</f>
        <v/>
      </c>
      <c r="I29" s="2"/>
      <c r="L29" s="2"/>
      <c r="M29" s="2"/>
      <c r="N29" s="39"/>
      <c r="O29" s="2"/>
      <c r="P29" s="2"/>
    </row>
    <row r="30" spans="1:16" ht="15" x14ac:dyDescent="0.25">
      <c r="A30" s="103"/>
      <c r="B30" s="38" t="str">
        <f>IF($A30=0,"",VLOOKUP($A30,'BASE MATERIAL'!$A:$D,2))</f>
        <v/>
      </c>
      <c r="C30" s="2"/>
      <c r="D30" s="77"/>
      <c r="E30" s="78" t="str">
        <f>IF($A30=0,"",VLOOKUP($A30,'BASE MATERIAL'!$A:$D,3))</f>
        <v/>
      </c>
      <c r="F30" s="55"/>
      <c r="G30" s="55" t="str">
        <f>IF($A30=0,"",VLOOKUP($A30,'BASE MATERIAL'!$A:$D,4))</f>
        <v/>
      </c>
      <c r="H30" s="56" t="str">
        <f t="shared" si="4"/>
        <v/>
      </c>
      <c r="I30" s="2"/>
      <c r="L30" s="2"/>
      <c r="M30" s="2"/>
      <c r="N30" s="39"/>
      <c r="O30" s="2"/>
      <c r="P30" s="2"/>
    </row>
    <row r="31" spans="1:16" ht="15" x14ac:dyDescent="0.25">
      <c r="A31" s="103"/>
      <c r="B31" s="38" t="str">
        <f>IF($A31=0,"",VLOOKUP($A31,'BASE MATERIAL'!$A:$D,2))</f>
        <v/>
      </c>
      <c r="C31" s="2"/>
      <c r="D31" s="77"/>
      <c r="E31" s="78" t="str">
        <f>IF($A31=0,"",VLOOKUP($A31,'BASE MATERIAL'!$A:$D,3))</f>
        <v/>
      </c>
      <c r="F31" s="55"/>
      <c r="G31" s="55" t="str">
        <f>IF($A31=0,"",VLOOKUP($A31,'BASE MATERIAL'!$A:$D,4))</f>
        <v/>
      </c>
      <c r="H31" s="56" t="str">
        <f t="shared" si="4"/>
        <v/>
      </c>
      <c r="I31" s="2"/>
      <c r="L31" s="2"/>
      <c r="M31" s="2"/>
      <c r="N31" s="39"/>
      <c r="O31" s="2"/>
      <c r="P31" s="2"/>
    </row>
    <row r="32" spans="1:16" ht="15" x14ac:dyDescent="0.25">
      <c r="A32" s="103"/>
      <c r="B32" s="38" t="str">
        <f>IF($A32=0,"",VLOOKUP($A32,'BASE MATERIAL'!$A:$D,2))</f>
        <v/>
      </c>
      <c r="C32" s="2"/>
      <c r="D32" s="77"/>
      <c r="E32" s="78" t="str">
        <f>IF($A32=0,"",VLOOKUP($A32,'BASE MATERIAL'!$A:$D,3))</f>
        <v/>
      </c>
      <c r="F32" s="55"/>
      <c r="G32" s="55" t="str">
        <f>IF($A32=0,"",VLOOKUP($A32,'BASE MATERIAL'!$A:$D,4))</f>
        <v/>
      </c>
      <c r="H32" s="56" t="str">
        <f t="shared" si="4"/>
        <v/>
      </c>
      <c r="I32" s="2"/>
      <c r="L32" s="2"/>
      <c r="M32" s="2"/>
      <c r="N32" s="39"/>
      <c r="O32" s="2"/>
      <c r="P32" s="2"/>
    </row>
    <row r="33" spans="1:16" ht="15" x14ac:dyDescent="0.25">
      <c r="A33" s="103"/>
      <c r="B33" s="38" t="str">
        <f>IF($A33=0,"",VLOOKUP($A33,'BASE MATERIAL'!$A:$D,2))</f>
        <v/>
      </c>
      <c r="C33" s="2"/>
      <c r="D33" s="77"/>
      <c r="E33" s="78" t="str">
        <f>IF($A33=0,"",VLOOKUP($A33,'BASE MATERIAL'!$A:$D,3))</f>
        <v/>
      </c>
      <c r="F33" s="55"/>
      <c r="G33" s="55" t="str">
        <f>IF($A33=0,"",VLOOKUP($A33,'BASE MATERIAL'!$A:$D,4))</f>
        <v/>
      </c>
      <c r="H33" s="56" t="str">
        <f t="shared" si="4"/>
        <v/>
      </c>
      <c r="I33" s="2"/>
      <c r="L33" s="2"/>
      <c r="M33" s="2"/>
      <c r="N33" s="39"/>
      <c r="O33" s="2"/>
      <c r="P33" s="2"/>
    </row>
    <row r="34" spans="1:16" ht="15" x14ac:dyDescent="0.25">
      <c r="A34" s="103"/>
      <c r="B34" s="38" t="str">
        <f>IF($A34=0,"",VLOOKUP($A34,'BASE MATERIAL'!$A:$D,2))</f>
        <v/>
      </c>
      <c r="C34" s="2"/>
      <c r="D34" s="77"/>
      <c r="E34" s="78" t="str">
        <f>IF($A34=0,"",VLOOKUP($A34,'BASE MATERIAL'!$A:$D,3))</f>
        <v/>
      </c>
      <c r="F34" s="55"/>
      <c r="G34" s="55" t="str">
        <f>IF($A34=0,"",VLOOKUP($A34,'BASE MATERIAL'!$A:$D,4))</f>
        <v/>
      </c>
      <c r="H34" s="56" t="str">
        <f t="shared" si="4"/>
        <v/>
      </c>
      <c r="I34" s="2"/>
      <c r="L34" s="2"/>
      <c r="M34" s="2"/>
      <c r="N34" s="39"/>
      <c r="O34" s="2"/>
      <c r="P34" s="2"/>
    </row>
    <row r="35" spans="1:16" ht="15" x14ac:dyDescent="0.25">
      <c r="A35" s="103"/>
      <c r="B35" s="38" t="str">
        <f>IF($A35=0,"",VLOOKUP($A35,'BASE MATERIAL'!$A:$D,2))</f>
        <v/>
      </c>
      <c r="C35" s="2"/>
      <c r="D35" s="77"/>
      <c r="E35" s="78" t="str">
        <f>IF($A35=0,"",VLOOKUP($A35,'BASE MATERIAL'!$A:$D,3))</f>
        <v/>
      </c>
      <c r="F35" s="55"/>
      <c r="G35" s="55" t="str">
        <f>IF($A35=0,"",VLOOKUP($A35,'BASE MATERIAL'!$A:$D,4))</f>
        <v/>
      </c>
      <c r="H35" s="56" t="str">
        <f t="shared" si="4"/>
        <v/>
      </c>
      <c r="I35" s="2"/>
      <c r="L35" s="2"/>
      <c r="M35" s="2"/>
      <c r="N35" s="39"/>
      <c r="O35" s="2"/>
      <c r="P35" s="2"/>
    </row>
    <row r="36" spans="1:16" ht="15" x14ac:dyDescent="0.25">
      <c r="A36" s="103"/>
      <c r="B36" s="38" t="str">
        <f>IF($A36=0,"",VLOOKUP($A36,'BASE MATERIAL'!$A:$D,2))</f>
        <v/>
      </c>
      <c r="C36" s="2"/>
      <c r="D36" s="77"/>
      <c r="E36" s="78" t="str">
        <f>IF($A36=0,"",VLOOKUP($A36,'BASE MATERIAL'!$A:$D,3))</f>
        <v/>
      </c>
      <c r="F36" s="55"/>
      <c r="G36" s="55" t="str">
        <f>IF($A36=0,"",VLOOKUP($A36,'BASE MATERIAL'!$A:$D,4))</f>
        <v/>
      </c>
      <c r="H36" s="56" t="str">
        <f t="shared" si="4"/>
        <v/>
      </c>
      <c r="I36" s="2"/>
      <c r="L36" s="2"/>
      <c r="M36" s="2"/>
      <c r="N36" s="39"/>
      <c r="O36" s="2"/>
      <c r="P36" s="2"/>
    </row>
    <row r="37" spans="1:16" ht="15" x14ac:dyDescent="0.25">
      <c r="A37" s="103"/>
      <c r="B37" s="38" t="str">
        <f>IF($A37=0,"",VLOOKUP($A37,'BASE MATERIAL'!$A:$D,2))</f>
        <v/>
      </c>
      <c r="C37" s="2"/>
      <c r="D37" s="77"/>
      <c r="E37" s="78" t="str">
        <f>IF($A37=0,"",VLOOKUP($A37,'BASE MATERIAL'!$A:$D,3))</f>
        <v/>
      </c>
      <c r="F37" s="55"/>
      <c r="G37" s="55" t="str">
        <f>IF($A37=0,"",VLOOKUP($A37,'BASE MATERIAL'!$A:$D,4))</f>
        <v/>
      </c>
      <c r="H37" s="56" t="str">
        <f t="shared" si="4"/>
        <v/>
      </c>
      <c r="I37" s="2"/>
    </row>
    <row r="38" spans="1:16" ht="15" x14ac:dyDescent="0.25">
      <c r="A38" s="103"/>
      <c r="B38" s="38" t="str">
        <f>IF($A38=0,"",VLOOKUP($A38,'BASE MATERIAL'!$A:$D,2))</f>
        <v/>
      </c>
      <c r="C38" s="2"/>
      <c r="D38" s="77"/>
      <c r="E38" s="78" t="str">
        <f>IF($A38=0,"",VLOOKUP($A38,'BASE MATERIAL'!$A:$D,3))</f>
        <v/>
      </c>
      <c r="F38" s="55"/>
      <c r="G38" s="55" t="str">
        <f>IF($A38=0,"",VLOOKUP($A38,'BASE MATERIAL'!$A:$D,4))</f>
        <v/>
      </c>
      <c r="H38" s="56" t="str">
        <f t="shared" si="4"/>
        <v/>
      </c>
      <c r="I38" s="2"/>
      <c r="L38" s="2"/>
      <c r="M38" s="2"/>
      <c r="N38" s="39"/>
      <c r="O38" s="2"/>
      <c r="P38" s="2"/>
    </row>
    <row r="39" spans="1:16" ht="15" x14ac:dyDescent="0.25">
      <c r="A39" s="103"/>
      <c r="B39" s="38" t="str">
        <f>IF($A39=0,"",VLOOKUP($A39,'BASE MATERIAL'!$A:$D,2))</f>
        <v/>
      </c>
      <c r="C39" s="2"/>
      <c r="D39" s="77"/>
      <c r="E39" s="78" t="str">
        <f>IF($A39=0,"",VLOOKUP($A39,'BASE MATERIAL'!$A:$D,3))</f>
        <v/>
      </c>
      <c r="F39" s="55"/>
      <c r="G39" s="55" t="str">
        <f>IF($A39=0,"",VLOOKUP($A39,'BASE MATERIAL'!$A:$D,4))</f>
        <v/>
      </c>
      <c r="H39" s="56" t="str">
        <f t="shared" si="4"/>
        <v/>
      </c>
      <c r="I39" s="2"/>
      <c r="L39" s="2"/>
      <c r="M39" s="2"/>
      <c r="N39" s="39"/>
      <c r="O39" s="2"/>
      <c r="P39" s="2"/>
    </row>
    <row r="40" spans="1:16" ht="15" x14ac:dyDescent="0.25">
      <c r="A40" s="103"/>
      <c r="B40" s="38" t="str">
        <f>IF($A40=0,"",VLOOKUP($A40,'BASE MATERIAL'!$A:$D,2))</f>
        <v/>
      </c>
      <c r="C40" s="2"/>
      <c r="D40" s="77"/>
      <c r="E40" s="78" t="str">
        <f>IF($A40=0,"",VLOOKUP($A40,'BASE MATERIAL'!$A:$D,3))</f>
        <v/>
      </c>
      <c r="F40" s="55"/>
      <c r="G40" s="55" t="str">
        <f>IF($A40=0,"",VLOOKUP($A40,'BASE MATERIAL'!$A:$D,4))</f>
        <v/>
      </c>
      <c r="H40" s="56" t="str">
        <f t="shared" si="4"/>
        <v/>
      </c>
      <c r="I40" s="2"/>
    </row>
    <row r="41" spans="1:16" ht="15" x14ac:dyDescent="0.25">
      <c r="A41" s="103"/>
      <c r="B41" s="38" t="str">
        <f>IF($A41=0,"",VLOOKUP($A41,'BASE MATERIAL'!$A:$D,2))</f>
        <v/>
      </c>
      <c r="C41" s="2"/>
      <c r="D41" s="77"/>
      <c r="E41" s="78" t="str">
        <f>IF($A41=0,"",VLOOKUP($A41,'BASE MATERIAL'!$A:$D,3))</f>
        <v/>
      </c>
      <c r="F41" s="55"/>
      <c r="G41" s="55" t="str">
        <f>IF($A41=0,"",VLOOKUP($A41,'BASE MATERIAL'!$A:$D,4))</f>
        <v/>
      </c>
      <c r="H41" s="56" t="str">
        <f t="shared" si="4"/>
        <v/>
      </c>
      <c r="I41" s="2"/>
    </row>
    <row r="42" spans="1:16" ht="15" x14ac:dyDescent="0.25">
      <c r="A42" s="103"/>
      <c r="B42" s="38" t="str">
        <f>IF($A42=0,"",VLOOKUP($A42,'BASE MATERIAL'!$A:$D,2))</f>
        <v/>
      </c>
      <c r="C42" s="2"/>
      <c r="D42" s="77"/>
      <c r="E42" s="78" t="str">
        <f>IF($A42=0,"",VLOOKUP($A42,'BASE MATERIAL'!$A:$D,3))</f>
        <v/>
      </c>
      <c r="F42" s="55"/>
      <c r="G42" s="55" t="str">
        <f>IF($A42=0,"",VLOOKUP($A42,'BASE MATERIAL'!$A:$D,4))</f>
        <v/>
      </c>
      <c r="H42" s="56" t="str">
        <f t="shared" si="4"/>
        <v/>
      </c>
      <c r="I42" s="2"/>
    </row>
    <row r="43" spans="1:16" ht="15" x14ac:dyDescent="0.25">
      <c r="A43" s="103"/>
      <c r="B43" s="38" t="str">
        <f>IF($A43=0,"",VLOOKUP($A43,'BASE MATERIAL'!$A:$D,2))</f>
        <v/>
      </c>
      <c r="C43" s="2"/>
      <c r="D43" s="77"/>
      <c r="E43" s="78" t="str">
        <f>IF($A43=0,"",VLOOKUP($A43,'BASE MATERIAL'!$A:$D,3))</f>
        <v/>
      </c>
      <c r="F43" s="55"/>
      <c r="G43" s="55" t="str">
        <f>IF($A43=0,"",VLOOKUP($A43,'BASE MATERIAL'!$A:$D,4))</f>
        <v/>
      </c>
      <c r="H43" s="56" t="str">
        <f t="shared" si="4"/>
        <v/>
      </c>
      <c r="I43" s="2"/>
    </row>
    <row r="44" spans="1:16" ht="15" x14ac:dyDescent="0.25">
      <c r="A44" s="103"/>
      <c r="B44" s="38" t="str">
        <f>IF($A44=0,"",VLOOKUP($A44,'BASE MATERIAL'!$A:$D,2))</f>
        <v/>
      </c>
      <c r="C44" s="2"/>
      <c r="D44" s="81" t="s">
        <v>1682</v>
      </c>
      <c r="E44" s="55" t="str">
        <f>IF($A44=0,"",VLOOKUP($A44,'BASE MATERIAL'!$A:$D,3))</f>
        <v/>
      </c>
      <c r="F44" s="55" t="s">
        <v>1682</v>
      </c>
      <c r="G44" s="55" t="str">
        <f>IF($A44=0,"",VLOOKUP($A44,'BASE MATERIAL'!$A:$D,4))</f>
        <v/>
      </c>
      <c r="H44" s="56" t="str">
        <f>IF($A44=0,"",ROUND(E44*F44,2))</f>
        <v/>
      </c>
      <c r="I44" s="2"/>
    </row>
    <row r="45" spans="1:16" ht="15" x14ac:dyDescent="0.25">
      <c r="A45" s="103"/>
      <c r="B45" s="73" t="s">
        <v>1681</v>
      </c>
      <c r="C45" s="65"/>
      <c r="D45" s="74"/>
      <c r="E45" s="74"/>
      <c r="F45" s="74"/>
      <c r="G45" s="74"/>
      <c r="H45" s="75">
        <f>ROUND(SUM(H28:H44),2)</f>
        <v>0</v>
      </c>
      <c r="I45" s="2"/>
    </row>
    <row r="46" spans="1:16" ht="15" x14ac:dyDescent="0.25">
      <c r="A46" s="103"/>
      <c r="B46" s="38" t="s">
        <v>1680</v>
      </c>
      <c r="C46" s="2"/>
      <c r="D46" s="3"/>
      <c r="E46" s="3"/>
      <c r="F46" s="3"/>
      <c r="G46" s="3"/>
      <c r="H46" s="56"/>
      <c r="I46" s="2"/>
    </row>
    <row r="47" spans="1:16" ht="25.5" x14ac:dyDescent="0.25">
      <c r="A47" s="103"/>
      <c r="B47" s="64" t="s">
        <v>1409</v>
      </c>
      <c r="C47" s="65"/>
      <c r="D47" s="76"/>
      <c r="E47" s="66" t="s">
        <v>1408</v>
      </c>
      <c r="F47" s="66" t="s">
        <v>1679</v>
      </c>
      <c r="G47" s="66" t="s">
        <v>1676</v>
      </c>
      <c r="H47" s="68" t="s">
        <v>1675</v>
      </c>
      <c r="I47" s="2"/>
    </row>
    <row r="48" spans="1:16" ht="15" x14ac:dyDescent="0.25">
      <c r="A48" s="103"/>
      <c r="B48" s="51" t="str">
        <f>IF($A48=0,"",VLOOKUP($A48,'BASE EQUIPO'!$A:$D,2))</f>
        <v/>
      </c>
      <c r="C48" s="52"/>
      <c r="D48" s="82"/>
      <c r="E48" s="78" t="str">
        <f>IF($A48=0,"",VLOOKUP($A48,'BASE EQUIPO'!$A:$D,3))</f>
        <v/>
      </c>
      <c r="F48" s="55"/>
      <c r="G48" s="83" t="str">
        <f>IF($A48=0,"",VLOOKUP($A48,'BASE EQUIPO'!$A:$D,4)*H45)</f>
        <v/>
      </c>
      <c r="H48" s="56" t="str">
        <f>IF($A48=0,"",ROUND(F48*G48,2))</f>
        <v/>
      </c>
      <c r="I48" s="2"/>
    </row>
    <row r="49" spans="1:15" ht="15" x14ac:dyDescent="0.25">
      <c r="A49" s="103"/>
      <c r="B49" s="38" t="str">
        <f>IF($A49=0,"",VLOOKUP($A49,'BASE EQUIPO'!$A:$D,2))</f>
        <v/>
      </c>
      <c r="C49" s="2"/>
      <c r="D49" s="84"/>
      <c r="E49" s="78" t="str">
        <f>IF($A49=0,"",VLOOKUP($A49,'BASE EQUIPO'!$A:$D,3))</f>
        <v/>
      </c>
      <c r="F49" s="55"/>
      <c r="G49" s="55" t="str">
        <f>IF($A49=0,"",VLOOKUP($A49,'BASE EQUIPO'!$A:$D,4)*H46)</f>
        <v/>
      </c>
      <c r="H49" s="56" t="str">
        <f>IF($A49=0,"",ROUND(F49*G49,2))</f>
        <v/>
      </c>
      <c r="I49" s="2"/>
    </row>
    <row r="50" spans="1:15" x14ac:dyDescent="0.2">
      <c r="B50" s="57" t="str">
        <f>IF($A50=0,"",VLOOKUP($A50,'BASE EQUIPO'!$A:$D,2))</f>
        <v/>
      </c>
      <c r="C50" s="58"/>
      <c r="D50" s="85"/>
      <c r="E50" s="86" t="str">
        <f>IF($A50=0,"",VLOOKUP($A50,'BASE EQUIPO'!$A:$D,3))</f>
        <v/>
      </c>
      <c r="F50" s="59"/>
      <c r="G50" s="59" t="str">
        <f>IF($A50=0,"",VLOOKUP($A50,'BASE EQUIPO'!$A:$D,4)*H47)</f>
        <v/>
      </c>
      <c r="H50" s="60" t="str">
        <f>IF($A50=0,"",ROUND(F50*G50,2))</f>
        <v/>
      </c>
      <c r="I50" s="2"/>
    </row>
    <row r="51" spans="1:15" ht="15" thickBot="1" x14ac:dyDescent="0.25">
      <c r="B51" s="87" t="s">
        <v>1674</v>
      </c>
      <c r="C51" s="88"/>
      <c r="D51" s="89"/>
      <c r="E51" s="89"/>
      <c r="F51" s="89"/>
      <c r="G51" s="89"/>
      <c r="H51" s="90">
        <f>ROUND(SUM(H47:H50),2)</f>
        <v>0</v>
      </c>
      <c r="I51" s="2"/>
    </row>
    <row r="52" spans="1:15" ht="15.75" x14ac:dyDescent="0.25">
      <c r="B52" s="2"/>
      <c r="C52" s="2"/>
      <c r="D52" s="91" t="s">
        <v>1673</v>
      </c>
      <c r="E52" s="47"/>
      <c r="F52" s="47"/>
      <c r="G52" s="47"/>
      <c r="H52" s="92">
        <f>ROUND(SUM(H51,H45,H26,H16),2)</f>
        <v>0.56000000000000005</v>
      </c>
      <c r="I52" s="2"/>
    </row>
    <row r="53" spans="1:15" ht="15.75" x14ac:dyDescent="0.25">
      <c r="A53" s="103">
        <v>40002</v>
      </c>
      <c r="B53" s="2"/>
      <c r="C53" s="2"/>
      <c r="D53" s="93" t="s">
        <v>1672</v>
      </c>
      <c r="E53" s="65"/>
      <c r="F53" s="65"/>
      <c r="G53" s="94">
        <f>IF($A53=0,"",VLOOKUP($A53,'BASE MATERIAL'!$M:$P,4))</f>
        <v>0</v>
      </c>
      <c r="H53" s="95">
        <f>IF($A53=0,"",ROUND(G53*H52,2))</f>
        <v>0</v>
      </c>
      <c r="I53" s="2"/>
    </row>
    <row r="54" spans="1:15" ht="15.75" x14ac:dyDescent="0.25">
      <c r="A54" s="103">
        <v>40003</v>
      </c>
      <c r="B54" s="2"/>
      <c r="C54" s="2"/>
      <c r="D54" s="93" t="s">
        <v>1671</v>
      </c>
      <c r="E54" s="65"/>
      <c r="F54" s="65"/>
      <c r="G54" s="94">
        <f>IF($A54=0,"",VLOOKUP($A54,'BASE MATERIAL'!$M:$P,4))</f>
        <v>0</v>
      </c>
      <c r="H54" s="95">
        <f>IF($A54=0,"",ROUND(G54*H52,2))</f>
        <v>0</v>
      </c>
      <c r="I54" s="2"/>
    </row>
    <row r="55" spans="1:15" ht="15.75" x14ac:dyDescent="0.25">
      <c r="B55" s="2"/>
      <c r="C55" s="2"/>
      <c r="D55" s="93" t="s">
        <v>1670</v>
      </c>
      <c r="E55" s="65"/>
      <c r="F55" s="65"/>
      <c r="G55" s="65"/>
      <c r="H55" s="96">
        <f>ROUND(SUM(H52:H54),2)</f>
        <v>0.56000000000000005</v>
      </c>
      <c r="I55" s="2"/>
    </row>
    <row r="56" spans="1:15" ht="16.5" thickBot="1" x14ac:dyDescent="0.3">
      <c r="B56" s="25"/>
      <c r="C56" s="2"/>
      <c r="D56" s="97" t="s">
        <v>1650</v>
      </c>
      <c r="E56" s="88"/>
      <c r="F56" s="88"/>
      <c r="G56" s="88"/>
      <c r="H56" s="98">
        <f>ROUND(H55,2)</f>
        <v>0.56000000000000005</v>
      </c>
      <c r="I56" s="2"/>
      <c r="K56" s="1">
        <v>0.5</v>
      </c>
    </row>
    <row r="57" spans="1:15" ht="15" x14ac:dyDescent="0.2">
      <c r="B57" s="34" t="s">
        <v>1701</v>
      </c>
      <c r="C57" s="2"/>
      <c r="D57" s="3" t="str">
        <f>'1.1'!$D$1</f>
        <v>ESPOL</v>
      </c>
      <c r="E57" s="2"/>
      <c r="F57" s="2"/>
      <c r="H57" s="2" t="s">
        <v>108</v>
      </c>
      <c r="I57" s="2"/>
      <c r="L57" s="40">
        <f>A61</f>
        <v>1</v>
      </c>
      <c r="M57" s="1" t="str">
        <f>C62</f>
        <v xml:space="preserve">Replanteo de la terraza </v>
      </c>
      <c r="N57" s="2" t="str">
        <f>H61</f>
        <v>M2</v>
      </c>
      <c r="O57" s="2">
        <f>H112</f>
        <v>0.35</v>
      </c>
    </row>
    <row r="58" spans="1:15" ht="15" x14ac:dyDescent="0.2">
      <c r="B58" s="34" t="s">
        <v>1700</v>
      </c>
      <c r="C58" s="3">
        <f>'1.1'!$C$2</f>
        <v>0</v>
      </c>
      <c r="D58" s="2"/>
      <c r="E58" s="2"/>
      <c r="F58" s="2"/>
      <c r="G58" s="41" t="s">
        <v>1699</v>
      </c>
      <c r="H58" s="42"/>
      <c r="I58" s="2" t="s">
        <v>1698</v>
      </c>
    </row>
    <row r="59" spans="1:15" ht="15" x14ac:dyDescent="0.2">
      <c r="B59" s="34"/>
      <c r="C59" s="3">
        <f>'1.1'!$C$3</f>
        <v>0</v>
      </c>
      <c r="D59" s="2"/>
      <c r="E59" s="2"/>
      <c r="F59" s="2"/>
      <c r="G59" s="2"/>
      <c r="H59" s="2"/>
      <c r="I59" s="2"/>
    </row>
    <row r="60" spans="1:15" ht="15" x14ac:dyDescent="0.2">
      <c r="B60" s="34" t="s">
        <v>1697</v>
      </c>
      <c r="C60" s="3"/>
      <c r="D60" s="2"/>
      <c r="E60" s="2"/>
      <c r="F60" s="2"/>
      <c r="G60" s="2"/>
      <c r="H60" s="2"/>
      <c r="I60" s="2"/>
    </row>
    <row r="61" spans="1:15" ht="15" x14ac:dyDescent="0.25">
      <c r="A61" s="104">
        <v>1</v>
      </c>
      <c r="B61" s="2" t="s">
        <v>1586</v>
      </c>
      <c r="C61" s="36" t="s">
        <v>1703</v>
      </c>
      <c r="D61" s="2"/>
      <c r="G61" s="2" t="s">
        <v>1696</v>
      </c>
      <c r="H61" s="3" t="s">
        <v>915</v>
      </c>
      <c r="I61" s="2"/>
    </row>
    <row r="62" spans="1:15" ht="15" x14ac:dyDescent="0.25">
      <c r="A62" s="103"/>
      <c r="B62" s="1" t="s">
        <v>1585</v>
      </c>
      <c r="C62" s="36" t="s">
        <v>1452</v>
      </c>
      <c r="D62" s="2"/>
      <c r="E62" s="2"/>
      <c r="F62" s="2"/>
      <c r="G62" s="2"/>
      <c r="H62" s="2"/>
      <c r="I62" s="2"/>
    </row>
    <row r="63" spans="1:15" ht="15.75" thickBot="1" x14ac:dyDescent="0.3">
      <c r="A63" s="103"/>
      <c r="D63" s="2"/>
      <c r="E63" s="2"/>
      <c r="F63" s="2"/>
      <c r="G63" s="2"/>
      <c r="H63" s="2"/>
      <c r="I63" s="2"/>
    </row>
    <row r="64" spans="1:15" ht="15.75" thickBot="1" x14ac:dyDescent="0.3">
      <c r="A64" s="103"/>
      <c r="B64" s="43" t="s">
        <v>1695</v>
      </c>
      <c r="C64" s="44"/>
      <c r="D64" s="44"/>
      <c r="E64" s="44"/>
      <c r="F64" s="44"/>
      <c r="G64" s="44"/>
      <c r="H64" s="45"/>
      <c r="I64" s="2"/>
    </row>
    <row r="65" spans="1:9" ht="25.5" x14ac:dyDescent="0.25">
      <c r="A65" s="103"/>
      <c r="B65" s="46" t="s">
        <v>1409</v>
      </c>
      <c r="C65" s="47"/>
      <c r="D65" s="48" t="s">
        <v>1690</v>
      </c>
      <c r="E65" s="48" t="s">
        <v>1694</v>
      </c>
      <c r="F65" s="48" t="s">
        <v>1693</v>
      </c>
      <c r="G65" s="49" t="s">
        <v>1687</v>
      </c>
      <c r="H65" s="50" t="s">
        <v>1686</v>
      </c>
      <c r="I65" s="2"/>
    </row>
    <row r="66" spans="1:9" ht="15" x14ac:dyDescent="0.25">
      <c r="A66" s="103">
        <v>19015</v>
      </c>
      <c r="B66" s="51" t="str">
        <f>IF($A66=0,"",VLOOKUP($A66,'BASE EQUIPO'!$A:$D,2))</f>
        <v>HERRAMIENTA MENOR</v>
      </c>
      <c r="C66" s="52"/>
      <c r="D66" s="53">
        <v>1</v>
      </c>
      <c r="E66" s="53">
        <f>IF($A66=0,"",VLOOKUP($A66,'BASE EQUIPO'!$A:$D,4)*H82)</f>
        <v>5.3999999999999994E-3</v>
      </c>
      <c r="F66" s="53">
        <f t="shared" ref="F66:F71" si="5">IF($A66=0,"",ROUND(D66*E66,2))</f>
        <v>0.01</v>
      </c>
      <c r="G66" s="105">
        <v>1</v>
      </c>
      <c r="H66" s="54">
        <f t="shared" ref="H66:H71" si="6">IF($A66=0,"",ROUND(G66*F66,2))</f>
        <v>0.01</v>
      </c>
      <c r="I66" s="2"/>
    </row>
    <row r="67" spans="1:9" ht="15" x14ac:dyDescent="0.25">
      <c r="A67" s="103">
        <v>19007</v>
      </c>
      <c r="B67" s="38" t="str">
        <f>IF($A67=0,"",VLOOKUP($A67,'BASE EQUIPO'!$A:$D,2))</f>
        <v>TEODOLITO</v>
      </c>
      <c r="C67" s="2"/>
      <c r="D67" s="55">
        <v>1</v>
      </c>
      <c r="E67" s="55">
        <f>IF($A67=0,"",VLOOKUP($A67,'BASE EQUIPO'!$A:$D,4))</f>
        <v>10</v>
      </c>
      <c r="F67" s="55">
        <f t="shared" si="5"/>
        <v>10</v>
      </c>
      <c r="G67" s="106">
        <v>0.01</v>
      </c>
      <c r="H67" s="56">
        <f t="shared" si="6"/>
        <v>0.1</v>
      </c>
      <c r="I67" s="2"/>
    </row>
    <row r="68" spans="1:9" ht="15" x14ac:dyDescent="0.25">
      <c r="A68" s="103"/>
      <c r="B68" s="38" t="str">
        <f>IF($A68=0,"",VLOOKUP($A68,'BASE EQUIPO'!$A:$D,2))</f>
        <v/>
      </c>
      <c r="C68" s="2"/>
      <c r="D68" s="55"/>
      <c r="E68" s="55" t="str">
        <f>IF($A68=0,"",VLOOKUP($A68,'BASE EQUIPO'!$A:$D,4))</f>
        <v/>
      </c>
      <c r="F68" s="55" t="str">
        <f t="shared" si="5"/>
        <v/>
      </c>
      <c r="G68" s="106"/>
      <c r="H68" s="56" t="str">
        <f t="shared" si="6"/>
        <v/>
      </c>
      <c r="I68" s="2"/>
    </row>
    <row r="69" spans="1:9" ht="15" x14ac:dyDescent="0.25">
      <c r="A69" s="103"/>
      <c r="B69" s="38" t="str">
        <f>IF($A69=0,"",VLOOKUP($A69,'BASE EQUIPO'!$A:$D,2))</f>
        <v/>
      </c>
      <c r="C69" s="2"/>
      <c r="D69" s="55"/>
      <c r="E69" s="55" t="str">
        <f>IF($A69=0,"",VLOOKUP($A69,'BASE EQUIPO'!$A:$D,4))</f>
        <v/>
      </c>
      <c r="F69" s="55" t="str">
        <f t="shared" si="5"/>
        <v/>
      </c>
      <c r="G69" s="106"/>
      <c r="H69" s="56" t="str">
        <f t="shared" si="6"/>
        <v/>
      </c>
      <c r="I69" s="2"/>
    </row>
    <row r="70" spans="1:9" ht="15" x14ac:dyDescent="0.25">
      <c r="A70" s="103"/>
      <c r="B70" s="38" t="str">
        <f>IF($A70=0,"",VLOOKUP($A70,'BASE EQUIPO'!$A:$D,2))</f>
        <v/>
      </c>
      <c r="C70" s="2"/>
      <c r="D70" s="55"/>
      <c r="E70" s="55" t="str">
        <f>IF($A70=0,"",VLOOKUP($A70,'BASE EQUIPO'!$A:$D,4))</f>
        <v/>
      </c>
      <c r="F70" s="55" t="str">
        <f t="shared" si="5"/>
        <v/>
      </c>
      <c r="G70" s="106"/>
      <c r="H70" s="56" t="str">
        <f t="shared" si="6"/>
        <v/>
      </c>
      <c r="I70" s="2"/>
    </row>
    <row r="71" spans="1:9" ht="15" x14ac:dyDescent="0.25">
      <c r="A71" s="103"/>
      <c r="B71" s="57" t="str">
        <f>IF($A71=0,"",VLOOKUP($A71,'BASE EQUIPO'!$A:$D,2))</f>
        <v/>
      </c>
      <c r="C71" s="58"/>
      <c r="D71" s="59"/>
      <c r="E71" s="59" t="str">
        <f>IF($A71=0,"",VLOOKUP($A71,'BASE EQUIPO'!$A:$D,4))</f>
        <v/>
      </c>
      <c r="F71" s="59" t="str">
        <f t="shared" si="5"/>
        <v/>
      </c>
      <c r="G71" s="107"/>
      <c r="H71" s="60" t="str">
        <f t="shared" si="6"/>
        <v/>
      </c>
      <c r="I71" s="2"/>
    </row>
    <row r="72" spans="1:9" ht="15" x14ac:dyDescent="0.25">
      <c r="A72" s="103"/>
      <c r="B72" s="57" t="s">
        <v>1692</v>
      </c>
      <c r="C72" s="58"/>
      <c r="D72" s="61"/>
      <c r="E72" s="61"/>
      <c r="F72" s="61"/>
      <c r="G72" s="62"/>
      <c r="H72" s="60">
        <f>ROUND(SUM(H65:H71),2)</f>
        <v>0.11</v>
      </c>
      <c r="I72" s="2"/>
    </row>
    <row r="73" spans="1:9" ht="15" x14ac:dyDescent="0.25">
      <c r="A73" s="103"/>
      <c r="B73" s="38" t="s">
        <v>1503</v>
      </c>
      <c r="C73" s="2"/>
      <c r="D73" s="3"/>
      <c r="E73" s="3"/>
      <c r="F73" s="3"/>
      <c r="G73" s="63"/>
      <c r="H73" s="56"/>
      <c r="I73" s="2"/>
    </row>
    <row r="74" spans="1:9" ht="25.5" x14ac:dyDescent="0.25">
      <c r="A74" s="103"/>
      <c r="B74" s="64" t="s">
        <v>1691</v>
      </c>
      <c r="C74" s="65"/>
      <c r="D74" s="66" t="s">
        <v>1690</v>
      </c>
      <c r="E74" s="66" t="s">
        <v>1689</v>
      </c>
      <c r="F74" s="66" t="s">
        <v>1688</v>
      </c>
      <c r="G74" s="67" t="s">
        <v>1687</v>
      </c>
      <c r="H74" s="68" t="s">
        <v>1686</v>
      </c>
      <c r="I74" s="2"/>
    </row>
    <row r="75" spans="1:9" ht="15" x14ac:dyDescent="0.25">
      <c r="A75" s="103">
        <v>20007</v>
      </c>
      <c r="B75" s="69" t="str">
        <f>IF($A75=0,"",VLOOKUP($A75,'BASE M-OBRA'!$A:$D,2))</f>
        <v>TOPOGRAFO</v>
      </c>
      <c r="C75" s="2"/>
      <c r="D75" s="108">
        <v>1</v>
      </c>
      <c r="E75" s="70">
        <f>IF($A75=0,"",VLOOKUP($A75,'BASE M-OBRA'!$A:$D,4))</f>
        <v>3.02</v>
      </c>
      <c r="F75" s="55">
        <f t="shared" ref="F75:F81" si="7">IF($A75=0,"",ROUND(D75*E75,2))</f>
        <v>3.02</v>
      </c>
      <c r="G75" s="106">
        <f>IF($A75=0,"",ROUND(H75/F75,2))</f>
        <v>0.01</v>
      </c>
      <c r="H75" s="56">
        <f>IF($A75=0,"",ROUND(SUM(H76:H81)*'BASE M-OBRA'!$D$23,2))</f>
        <v>0.03</v>
      </c>
      <c r="I75" s="2"/>
    </row>
    <row r="76" spans="1:9" ht="15" x14ac:dyDescent="0.25">
      <c r="A76" s="103">
        <v>20010</v>
      </c>
      <c r="B76" s="69" t="str">
        <f>IF($A76=0,"",VLOOKUP($A76,'BASE M-OBRA'!$A:$D,2))</f>
        <v>CADENERO</v>
      </c>
      <c r="C76" s="2"/>
      <c r="D76" s="108">
        <v>2</v>
      </c>
      <c r="E76" s="70">
        <f>IF($A76=0,"",VLOOKUP($A76,'BASE M-OBRA'!$A:$D,4))</f>
        <v>2.82</v>
      </c>
      <c r="F76" s="55">
        <f t="shared" si="7"/>
        <v>5.64</v>
      </c>
      <c r="G76" s="106">
        <v>1.7999999999999999E-2</v>
      </c>
      <c r="H76" s="56">
        <f t="shared" ref="H76:H81" si="8">IF($A76=0,"",ROUND(G76*F76,2))</f>
        <v>0.1</v>
      </c>
      <c r="I76" s="2"/>
    </row>
    <row r="77" spans="1:9" ht="15" x14ac:dyDescent="0.25">
      <c r="A77" s="103">
        <v>20002</v>
      </c>
      <c r="B77" s="69" t="str">
        <f>IF($A77=0,"",VLOOKUP($A77,'BASE M-OBRA'!$A:$D,2))</f>
        <v>PEON</v>
      </c>
      <c r="C77" s="2"/>
      <c r="D77" s="108">
        <v>1</v>
      </c>
      <c r="E77" s="70">
        <f>IF($A77=0,"",VLOOKUP($A77,'BASE M-OBRA'!$A:$D,4))</f>
        <v>2.79</v>
      </c>
      <c r="F77" s="55">
        <f t="shared" si="7"/>
        <v>2.79</v>
      </c>
      <c r="G77" s="106">
        <f>+G76</f>
        <v>1.7999999999999999E-2</v>
      </c>
      <c r="H77" s="56">
        <f t="shared" si="8"/>
        <v>0.05</v>
      </c>
      <c r="I77" s="2"/>
    </row>
    <row r="78" spans="1:9" ht="15" x14ac:dyDescent="0.25">
      <c r="A78" s="103"/>
      <c r="B78" s="71" t="str">
        <f>IF($A78=0,"",VLOOKUP($A78,'BASE M-OBRA'!$A:$D,2))</f>
        <v/>
      </c>
      <c r="C78" s="2"/>
      <c r="D78" s="108"/>
      <c r="E78" s="70" t="str">
        <f>IF($A78=0,"",VLOOKUP($A78,'BASE M-OBRA'!$A:$D,4))</f>
        <v/>
      </c>
      <c r="F78" s="55" t="str">
        <f t="shared" si="7"/>
        <v/>
      </c>
      <c r="G78" s="106"/>
      <c r="H78" s="56" t="str">
        <f t="shared" si="8"/>
        <v/>
      </c>
      <c r="I78" s="2"/>
    </row>
    <row r="79" spans="1:9" ht="15" x14ac:dyDescent="0.25">
      <c r="A79" s="103"/>
      <c r="B79" s="72" t="str">
        <f>IF($A79=0,"",VLOOKUP($A79,'BASE M-OBRA'!$A:$D,2))</f>
        <v/>
      </c>
      <c r="C79" s="2"/>
      <c r="D79" s="108"/>
      <c r="E79" s="70" t="str">
        <f>IF($A79=0,"",VLOOKUP($A79,'BASE M-OBRA'!$A:$D,4))</f>
        <v/>
      </c>
      <c r="F79" s="55" t="str">
        <f t="shared" si="7"/>
        <v/>
      </c>
      <c r="G79" s="106"/>
      <c r="H79" s="56" t="str">
        <f t="shared" si="8"/>
        <v/>
      </c>
      <c r="I79" s="2"/>
    </row>
    <row r="80" spans="1:9" ht="15" x14ac:dyDescent="0.25">
      <c r="A80" s="103"/>
      <c r="B80" s="38" t="str">
        <f>IF($A80=0,"",VLOOKUP($A80,'BASE M-OBRA'!$A:$D,2))</f>
        <v/>
      </c>
      <c r="C80" s="2"/>
      <c r="D80" s="55"/>
      <c r="E80" s="55" t="str">
        <f>IF($A80=0,"",VLOOKUP($A80,'BASE M-OBRA'!$A:$D,4))</f>
        <v/>
      </c>
      <c r="F80" s="55" t="str">
        <f t="shared" si="7"/>
        <v/>
      </c>
      <c r="G80" s="106"/>
      <c r="H80" s="56" t="str">
        <f t="shared" si="8"/>
        <v/>
      </c>
      <c r="I80" s="2"/>
    </row>
    <row r="81" spans="1:16" ht="15" x14ac:dyDescent="0.25">
      <c r="A81" s="103"/>
      <c r="B81" s="57" t="str">
        <f>IF($A81=0,"",VLOOKUP($A81,'BASE M-OBRA'!$A:$D,2))</f>
        <v/>
      </c>
      <c r="C81" s="58"/>
      <c r="D81" s="59"/>
      <c r="E81" s="59" t="str">
        <f>IF($A81=0,"",VLOOKUP($A81,'BASE M-OBRA'!$A:$D,4))</f>
        <v/>
      </c>
      <c r="F81" s="59" t="str">
        <f t="shared" si="7"/>
        <v/>
      </c>
      <c r="G81" s="107"/>
      <c r="H81" s="60" t="str">
        <f t="shared" si="8"/>
        <v/>
      </c>
      <c r="I81" s="2"/>
    </row>
    <row r="82" spans="1:16" ht="15" x14ac:dyDescent="0.25">
      <c r="A82" s="103"/>
      <c r="B82" s="73" t="s">
        <v>1685</v>
      </c>
      <c r="C82" s="65"/>
      <c r="D82" s="74"/>
      <c r="E82" s="74"/>
      <c r="F82" s="74"/>
      <c r="G82" s="74"/>
      <c r="H82" s="75">
        <f>ROUND(SUM(H74:H81),2)</f>
        <v>0.18</v>
      </c>
      <c r="I82" s="2"/>
    </row>
    <row r="83" spans="1:16" ht="15" x14ac:dyDescent="0.25">
      <c r="A83" s="103"/>
      <c r="B83" s="38" t="s">
        <v>1684</v>
      </c>
      <c r="C83" s="2"/>
      <c r="D83" s="3"/>
      <c r="E83" s="3"/>
      <c r="F83" s="3"/>
      <c r="G83" s="3"/>
      <c r="H83" s="56"/>
      <c r="I83" s="2"/>
    </row>
    <row r="84" spans="1:16" ht="25.5" x14ac:dyDescent="0.25">
      <c r="A84" s="103"/>
      <c r="B84" s="64" t="s">
        <v>1409</v>
      </c>
      <c r="C84" s="65"/>
      <c r="D84" s="76"/>
      <c r="E84" s="66" t="s">
        <v>1408</v>
      </c>
      <c r="F84" s="66" t="s">
        <v>1679</v>
      </c>
      <c r="G84" s="66" t="s">
        <v>1683</v>
      </c>
      <c r="H84" s="68" t="s">
        <v>1675</v>
      </c>
      <c r="I84" s="2"/>
    </row>
    <row r="85" spans="1:16" ht="15" x14ac:dyDescent="0.25">
      <c r="A85" s="103">
        <v>11009</v>
      </c>
      <c r="B85" s="26" t="str">
        <f>IF($A85=0,"",VLOOKUP($A85,'BASE MATERIAL'!$A:$D,2))</f>
        <v>CUARTON</v>
      </c>
      <c r="C85" s="2"/>
      <c r="D85" s="77"/>
      <c r="E85" s="78" t="str">
        <f>IF($A85=0,"",VLOOKUP($A85,'BASE MATERIAL'!$A:$D,3))</f>
        <v>U</v>
      </c>
      <c r="F85" s="55">
        <v>0.01</v>
      </c>
      <c r="G85" s="55">
        <f>IF($A85=0,"",VLOOKUP($A85,'BASE MATERIAL'!$A:$D,4))</f>
        <v>2.42</v>
      </c>
      <c r="H85" s="56">
        <f>IF($A85=0,"",ROUND(F85*G85,2))</f>
        <v>0.02</v>
      </c>
      <c r="I85" s="2"/>
      <c r="L85" s="2"/>
      <c r="M85" s="2"/>
      <c r="N85" s="39"/>
      <c r="O85" s="2"/>
      <c r="P85" s="2"/>
    </row>
    <row r="86" spans="1:16" ht="15" x14ac:dyDescent="0.25">
      <c r="A86" s="103">
        <v>11004</v>
      </c>
      <c r="B86" s="38" t="str">
        <f>IF($A86=0,"",VLOOKUP($A86,'BASE MATERIAL'!$A:$D,2))</f>
        <v>PIOLA</v>
      </c>
      <c r="C86" s="2"/>
      <c r="D86" s="77"/>
      <c r="E86" s="78" t="str">
        <f>IF($A86=0,"",VLOOKUP($A86,'BASE MATERIAL'!$A:$D,3))</f>
        <v>ML</v>
      </c>
      <c r="F86" s="55">
        <v>1</v>
      </c>
      <c r="G86" s="55">
        <f>IF($A86=0,"",VLOOKUP($A86,'BASE MATERIAL'!$A:$D,4))</f>
        <v>0.02</v>
      </c>
      <c r="H86" s="56">
        <f>IF($A86=0,"",ROUND(F86*G86,2))</f>
        <v>0.02</v>
      </c>
      <c r="I86" s="2"/>
      <c r="L86" s="2"/>
      <c r="M86" s="2"/>
      <c r="N86" s="39"/>
      <c r="O86" s="2"/>
      <c r="P86" s="2"/>
    </row>
    <row r="87" spans="1:16" ht="15" x14ac:dyDescent="0.25">
      <c r="A87" s="103">
        <v>4004</v>
      </c>
      <c r="B87" s="38" t="str">
        <f>IF($A87=0,"",VLOOKUP($A87,'BASE MATERIAL'!$A:$D,2))</f>
        <v>CAL</v>
      </c>
      <c r="C87" s="2"/>
      <c r="D87" s="77"/>
      <c r="E87" s="78" t="str">
        <f>IF($A87=0,"",VLOOKUP($A87,'BASE MATERIAL'!$A:$D,3))</f>
        <v>KG</v>
      </c>
      <c r="F87" s="55">
        <v>0.2</v>
      </c>
      <c r="G87" s="55">
        <f>IF($A87=0,"",VLOOKUP($A87,'BASE MATERIAL'!$A:$D,4))</f>
        <v>0.1</v>
      </c>
      <c r="H87" s="56">
        <f>IF($A87=0,"",ROUND(F87*G87,2))</f>
        <v>0.02</v>
      </c>
      <c r="I87" s="2"/>
      <c r="L87" s="2"/>
      <c r="M87" s="2"/>
      <c r="N87" s="39"/>
      <c r="O87" s="2"/>
      <c r="P87" s="2"/>
    </row>
    <row r="88" spans="1:16" ht="15" x14ac:dyDescent="0.25">
      <c r="A88" s="103"/>
      <c r="B88" s="38" t="str">
        <f>IF($A88=0,"",VLOOKUP($A88,'BASE MATERIAL'!$A:$D,2))</f>
        <v/>
      </c>
      <c r="C88" s="2"/>
      <c r="D88" s="77"/>
      <c r="E88" s="78" t="str">
        <f>IF($A88=0,"",VLOOKUP($A88,'BASE MATERIAL'!$A:$D,3))</f>
        <v/>
      </c>
      <c r="F88" s="55"/>
      <c r="G88" s="55" t="str">
        <f>IF($A88=0,"",VLOOKUP($A88,'BASE MATERIAL'!$A:$D,4))</f>
        <v/>
      </c>
      <c r="H88" s="56" t="str">
        <f>IF($A88=0,"",ROUND(F88*G88,2))</f>
        <v/>
      </c>
      <c r="I88" s="2"/>
      <c r="L88" s="2"/>
      <c r="M88" s="2"/>
      <c r="N88" s="39"/>
      <c r="O88" s="2"/>
      <c r="P88" s="2"/>
    </row>
    <row r="89" spans="1:16" ht="15" x14ac:dyDescent="0.25">
      <c r="A89" s="103"/>
      <c r="B89" s="38" t="str">
        <f>IF($A89=0,"",VLOOKUP($A89,'BASE MATERIAL'!$A:$D,2))</f>
        <v/>
      </c>
      <c r="C89" s="2"/>
      <c r="D89" s="77"/>
      <c r="E89" s="78" t="str">
        <f>IF($A89=0,"",VLOOKUP($A89,'BASE MATERIAL'!$A:$D,3))</f>
        <v/>
      </c>
      <c r="F89" s="55"/>
      <c r="G89" s="55" t="str">
        <f>IF($A89=0,"",VLOOKUP($A89,'BASE MATERIAL'!$A:$D,4))</f>
        <v/>
      </c>
      <c r="H89" s="56" t="str">
        <f t="shared" ref="H89:H99" si="9">IF($A89=0,"",ROUND(F89*G89,2))</f>
        <v/>
      </c>
      <c r="I89" s="2"/>
      <c r="L89" s="2"/>
      <c r="M89" s="2"/>
      <c r="N89" s="39"/>
      <c r="O89" s="2"/>
      <c r="P89" s="2"/>
    </row>
    <row r="90" spans="1:16" ht="15" x14ac:dyDescent="0.25">
      <c r="A90" s="103"/>
      <c r="B90" s="38" t="str">
        <f>IF($A90=0,"",VLOOKUP($A90,'BASE MATERIAL'!$A:$D,2))</f>
        <v/>
      </c>
      <c r="C90" s="2"/>
      <c r="D90" s="77"/>
      <c r="E90" s="78" t="str">
        <f>IF($A90=0,"",VLOOKUP($A90,'BASE MATERIAL'!$A:$D,3))</f>
        <v/>
      </c>
      <c r="F90" s="55"/>
      <c r="G90" s="55" t="str">
        <f>IF($A90=0,"",VLOOKUP($A90,'BASE MATERIAL'!$A:$D,4))</f>
        <v/>
      </c>
      <c r="H90" s="56" t="str">
        <f t="shared" si="9"/>
        <v/>
      </c>
      <c r="I90" s="2"/>
      <c r="L90" s="2"/>
      <c r="M90" s="2"/>
      <c r="N90" s="39"/>
      <c r="O90" s="2"/>
      <c r="P90" s="2"/>
    </row>
    <row r="91" spans="1:16" ht="15" x14ac:dyDescent="0.25">
      <c r="A91" s="103"/>
      <c r="B91" s="38" t="str">
        <f>IF($A91=0,"",VLOOKUP($A91,'BASE MATERIAL'!$A:$D,2))</f>
        <v/>
      </c>
      <c r="C91" s="2"/>
      <c r="D91" s="77"/>
      <c r="E91" s="78" t="str">
        <f>IF($A91=0,"",VLOOKUP($A91,'BASE MATERIAL'!$A:$D,3))</f>
        <v/>
      </c>
      <c r="F91" s="55"/>
      <c r="G91" s="55" t="str">
        <f>IF($A91=0,"",VLOOKUP($A91,'BASE MATERIAL'!$A:$D,4))</f>
        <v/>
      </c>
      <c r="H91" s="56" t="str">
        <f t="shared" si="9"/>
        <v/>
      </c>
      <c r="I91" s="2"/>
      <c r="L91" s="2"/>
      <c r="M91" s="2"/>
      <c r="N91" s="39"/>
      <c r="O91" s="2"/>
      <c r="P91" s="2"/>
    </row>
    <row r="92" spans="1:16" ht="15" x14ac:dyDescent="0.25">
      <c r="A92" s="103"/>
      <c r="B92" s="38" t="str">
        <f>IF($A92=0,"",VLOOKUP($A92,'BASE MATERIAL'!$A:$D,2))</f>
        <v/>
      </c>
      <c r="C92" s="2"/>
      <c r="D92" s="77"/>
      <c r="E92" s="78" t="str">
        <f>IF($A92=0,"",VLOOKUP($A92,'BASE MATERIAL'!$A:$D,3))</f>
        <v/>
      </c>
      <c r="F92" s="55"/>
      <c r="G92" s="55" t="str">
        <f>IF($A92=0,"",VLOOKUP($A92,'BASE MATERIAL'!$A:$D,4))</f>
        <v/>
      </c>
      <c r="H92" s="56" t="str">
        <f t="shared" si="9"/>
        <v/>
      </c>
      <c r="I92" s="2"/>
      <c r="L92" s="2"/>
      <c r="M92" s="2"/>
      <c r="N92" s="39"/>
      <c r="O92" s="2"/>
      <c r="P92" s="2"/>
    </row>
    <row r="93" spans="1:16" ht="15" x14ac:dyDescent="0.25">
      <c r="A93" s="103"/>
      <c r="B93" s="38" t="str">
        <f>IF($A93=0,"",VLOOKUP($A93,'BASE MATERIAL'!$A:$D,2))</f>
        <v/>
      </c>
      <c r="C93" s="2"/>
      <c r="D93" s="77"/>
      <c r="E93" s="78" t="str">
        <f>IF($A93=0,"",VLOOKUP($A93,'BASE MATERIAL'!$A:$D,3))</f>
        <v/>
      </c>
      <c r="F93" s="55"/>
      <c r="G93" s="55" t="str">
        <f>IF($A93=0,"",VLOOKUP($A93,'BASE MATERIAL'!$A:$D,4))</f>
        <v/>
      </c>
      <c r="H93" s="56" t="str">
        <f t="shared" si="9"/>
        <v/>
      </c>
      <c r="I93" s="2"/>
    </row>
    <row r="94" spans="1:16" ht="15" x14ac:dyDescent="0.25">
      <c r="A94" s="103"/>
      <c r="B94" s="38" t="str">
        <f>IF($A94=0,"",VLOOKUP($A94,'BASE MATERIAL'!$A:$D,2))</f>
        <v/>
      </c>
      <c r="C94" s="2"/>
      <c r="D94" s="77"/>
      <c r="E94" s="78" t="str">
        <f>IF($A94=0,"",VLOOKUP($A94,'BASE MATERIAL'!$A:$D,3))</f>
        <v/>
      </c>
      <c r="F94" s="55"/>
      <c r="G94" s="55" t="str">
        <f>IF($A94=0,"",VLOOKUP($A94,'BASE MATERIAL'!$A:$D,4))</f>
        <v/>
      </c>
      <c r="H94" s="56" t="str">
        <f t="shared" si="9"/>
        <v/>
      </c>
      <c r="I94" s="2"/>
      <c r="L94" s="2"/>
      <c r="M94" s="2"/>
      <c r="N94" s="39"/>
      <c r="O94" s="2"/>
      <c r="P94" s="2"/>
    </row>
    <row r="95" spans="1:16" ht="15" x14ac:dyDescent="0.25">
      <c r="A95" s="103"/>
      <c r="B95" s="38" t="str">
        <f>IF($A95=0,"",VLOOKUP($A95,'BASE MATERIAL'!$A:$D,2))</f>
        <v/>
      </c>
      <c r="C95" s="2"/>
      <c r="D95" s="77"/>
      <c r="E95" s="78" t="str">
        <f>IF($A95=0,"",VLOOKUP($A95,'BASE MATERIAL'!$A:$D,3))</f>
        <v/>
      </c>
      <c r="F95" s="55"/>
      <c r="G95" s="55" t="str">
        <f>IF($A95=0,"",VLOOKUP($A95,'BASE MATERIAL'!$A:$D,4))</f>
        <v/>
      </c>
      <c r="H95" s="56" t="str">
        <f t="shared" si="9"/>
        <v/>
      </c>
      <c r="I95" s="2"/>
      <c r="L95" s="2"/>
      <c r="M95" s="2"/>
      <c r="N95" s="39"/>
      <c r="O95" s="2"/>
      <c r="P95" s="2"/>
    </row>
    <row r="96" spans="1:16" ht="15" x14ac:dyDescent="0.25">
      <c r="A96" s="103"/>
      <c r="B96" s="38" t="str">
        <f>IF($A96=0,"",VLOOKUP($A96,'BASE MATERIAL'!$A:$D,2))</f>
        <v/>
      </c>
      <c r="C96" s="2"/>
      <c r="D96" s="77"/>
      <c r="E96" s="78" t="str">
        <f>IF($A96=0,"",VLOOKUP($A96,'BASE MATERIAL'!$A:$D,3))</f>
        <v/>
      </c>
      <c r="F96" s="55"/>
      <c r="G96" s="55" t="str">
        <f>IF($A96=0,"",VLOOKUP($A96,'BASE MATERIAL'!$A:$D,4))</f>
        <v/>
      </c>
      <c r="H96" s="56" t="str">
        <f t="shared" si="9"/>
        <v/>
      </c>
      <c r="I96" s="2"/>
    </row>
    <row r="97" spans="1:9" ht="15" x14ac:dyDescent="0.25">
      <c r="A97" s="103"/>
      <c r="B97" s="38" t="str">
        <f>IF($A97=0,"",VLOOKUP($A97,'BASE MATERIAL'!$A:$D,2))</f>
        <v/>
      </c>
      <c r="C97" s="2"/>
      <c r="D97" s="77"/>
      <c r="E97" s="78" t="str">
        <f>IF($A97=0,"",VLOOKUP($A97,'BASE MATERIAL'!$A:$D,3))</f>
        <v/>
      </c>
      <c r="F97" s="55"/>
      <c r="G97" s="55" t="str">
        <f>IF($A97=0,"",VLOOKUP($A97,'BASE MATERIAL'!$A:$D,4))</f>
        <v/>
      </c>
      <c r="H97" s="56" t="str">
        <f t="shared" si="9"/>
        <v/>
      </c>
      <c r="I97" s="2"/>
    </row>
    <row r="98" spans="1:9" ht="15" x14ac:dyDescent="0.25">
      <c r="A98" s="103"/>
      <c r="B98" s="38" t="str">
        <f>IF($A98=0,"",VLOOKUP($A98,'BASE MATERIAL'!$A:$D,2))</f>
        <v/>
      </c>
      <c r="C98" s="2"/>
      <c r="D98" s="77"/>
      <c r="E98" s="78" t="str">
        <f>IF($A98=0,"",VLOOKUP($A98,'BASE MATERIAL'!$A:$D,3))</f>
        <v/>
      </c>
      <c r="F98" s="55"/>
      <c r="G98" s="55" t="str">
        <f>IF($A98=0,"",VLOOKUP($A98,'BASE MATERIAL'!$A:$D,4))</f>
        <v/>
      </c>
      <c r="H98" s="56" t="str">
        <f t="shared" si="9"/>
        <v/>
      </c>
      <c r="I98" s="2"/>
    </row>
    <row r="99" spans="1:9" ht="15" x14ac:dyDescent="0.25">
      <c r="A99" s="103"/>
      <c r="B99" s="38" t="str">
        <f>IF($A99=0,"",VLOOKUP($A99,'BASE MATERIAL'!$A:$D,2))</f>
        <v/>
      </c>
      <c r="C99" s="2"/>
      <c r="D99" s="77"/>
      <c r="E99" s="78" t="str">
        <f>IF($A99=0,"",VLOOKUP($A99,'BASE MATERIAL'!$A:$D,3))</f>
        <v/>
      </c>
      <c r="F99" s="55"/>
      <c r="G99" s="55" t="str">
        <f>IF($A99=0,"",VLOOKUP($A99,'BASE MATERIAL'!$A:$D,4))</f>
        <v/>
      </c>
      <c r="H99" s="56" t="str">
        <f t="shared" si="9"/>
        <v/>
      </c>
      <c r="I99" s="2"/>
    </row>
    <row r="100" spans="1:9" ht="15" x14ac:dyDescent="0.25">
      <c r="A100" s="103"/>
      <c r="B100" s="38" t="str">
        <f>IF($A100=0,"",VLOOKUP($A100,'BASE MATERIAL'!$A:$D,2))</f>
        <v/>
      </c>
      <c r="C100" s="2"/>
      <c r="D100" s="81" t="s">
        <v>1682</v>
      </c>
      <c r="E100" s="55" t="str">
        <f>IF($A100=0,"",VLOOKUP($A100,'BASE MATERIAL'!$A:$D,3))</f>
        <v/>
      </c>
      <c r="F100" s="55" t="s">
        <v>1682</v>
      </c>
      <c r="G100" s="55" t="str">
        <f>IF($A100=0,"",VLOOKUP($A100,'BASE MATERIAL'!$A:$D,4))</f>
        <v/>
      </c>
      <c r="H100" s="56" t="str">
        <f>IF($A100=0,"",ROUND(E100*F100,2))</f>
        <v/>
      </c>
      <c r="I100" s="2"/>
    </row>
    <row r="101" spans="1:9" ht="15" x14ac:dyDescent="0.25">
      <c r="A101" s="103"/>
      <c r="B101" s="73" t="s">
        <v>1681</v>
      </c>
      <c r="C101" s="65"/>
      <c r="D101" s="74"/>
      <c r="E101" s="74"/>
      <c r="F101" s="74"/>
      <c r="G101" s="74"/>
      <c r="H101" s="75">
        <f>ROUND(SUM(H84:H100),2)</f>
        <v>0.06</v>
      </c>
      <c r="I101" s="2"/>
    </row>
    <row r="102" spans="1:9" ht="15" x14ac:dyDescent="0.25">
      <c r="A102" s="103"/>
      <c r="B102" s="38" t="s">
        <v>1680</v>
      </c>
      <c r="C102" s="2"/>
      <c r="D102" s="3"/>
      <c r="E102" s="3"/>
      <c r="F102" s="3"/>
      <c r="G102" s="3"/>
      <c r="H102" s="56"/>
      <c r="I102" s="2"/>
    </row>
    <row r="103" spans="1:9" ht="25.5" x14ac:dyDescent="0.25">
      <c r="A103" s="103"/>
      <c r="B103" s="64" t="s">
        <v>1409</v>
      </c>
      <c r="C103" s="65"/>
      <c r="D103" s="76"/>
      <c r="E103" s="66" t="s">
        <v>1408</v>
      </c>
      <c r="F103" s="66" t="s">
        <v>1679</v>
      </c>
      <c r="G103" s="66" t="s">
        <v>1676</v>
      </c>
      <c r="H103" s="68" t="s">
        <v>1675</v>
      </c>
      <c r="I103" s="2"/>
    </row>
    <row r="104" spans="1:9" ht="15" x14ac:dyDescent="0.25">
      <c r="A104" s="103">
        <v>19019</v>
      </c>
      <c r="B104" s="51" t="str">
        <f>IF($A104=0,"",VLOOKUP($A104,'BASE EQUIPO'!$A:$D,2))</f>
        <v>TRANSPORTE DE MATERIAL</v>
      </c>
      <c r="C104" s="52"/>
      <c r="D104" s="82"/>
      <c r="E104" s="78" t="str">
        <f>IF($A104=0,"",VLOOKUP($A104,'BASE EQUIPO'!$A:$D,3))</f>
        <v>GLOBAL</v>
      </c>
      <c r="F104" s="55">
        <v>1</v>
      </c>
      <c r="G104" s="83">
        <f>IF($A104=0,"",VLOOKUP($A104,'BASE EQUIPO'!$A:$D,4)*H101)</f>
        <v>1.8E-3</v>
      </c>
      <c r="H104" s="56">
        <f>IF($A104=0,"",ROUND(F104*G104,2))</f>
        <v>0</v>
      </c>
      <c r="I104" s="2"/>
    </row>
    <row r="105" spans="1:9" ht="15" x14ac:dyDescent="0.25">
      <c r="A105" s="103"/>
      <c r="B105" s="38" t="str">
        <f>IF($A105=0,"",VLOOKUP($A105,'BASE EQUIPO'!$A:$D,2))</f>
        <v/>
      </c>
      <c r="C105" s="2"/>
      <c r="D105" s="84"/>
      <c r="E105" s="78" t="str">
        <f>IF($A105=0,"",VLOOKUP($A105,'BASE EQUIPO'!$A:$D,3))</f>
        <v/>
      </c>
      <c r="F105" s="55"/>
      <c r="G105" s="55" t="str">
        <f>IF($A105=0,"",VLOOKUP($A105,'BASE EQUIPO'!$A:$D,4)*H102)</f>
        <v/>
      </c>
      <c r="H105" s="56" t="str">
        <f>IF($A105=0,"",ROUND(F105*G105,2))</f>
        <v/>
      </c>
      <c r="I105" s="2"/>
    </row>
    <row r="106" spans="1:9" x14ac:dyDescent="0.2">
      <c r="B106" s="57" t="str">
        <f>IF($A106=0,"",VLOOKUP($A106,'BASE EQUIPO'!$A:$D,2))</f>
        <v/>
      </c>
      <c r="C106" s="58"/>
      <c r="D106" s="85"/>
      <c r="E106" s="86" t="str">
        <f>IF($A106=0,"",VLOOKUP($A106,'BASE EQUIPO'!$A:$D,3))</f>
        <v/>
      </c>
      <c r="F106" s="59"/>
      <c r="G106" s="59" t="str">
        <f>IF($A106=0,"",VLOOKUP($A106,'BASE EQUIPO'!$A:$D,4)*H103)</f>
        <v/>
      </c>
      <c r="H106" s="60" t="str">
        <f>IF($A106=0,"",ROUND(F106*G106,2))</f>
        <v/>
      </c>
      <c r="I106" s="2"/>
    </row>
    <row r="107" spans="1:9" ht="15" thickBot="1" x14ac:dyDescent="0.25">
      <c r="B107" s="87" t="s">
        <v>1674</v>
      </c>
      <c r="C107" s="88"/>
      <c r="D107" s="89"/>
      <c r="E107" s="89"/>
      <c r="F107" s="89"/>
      <c r="G107" s="89"/>
      <c r="H107" s="90">
        <f>ROUND(SUM(H103:H106),2)</f>
        <v>0</v>
      </c>
      <c r="I107" s="2"/>
    </row>
    <row r="108" spans="1:9" ht="15.75" x14ac:dyDescent="0.25">
      <c r="B108" s="2"/>
      <c r="C108" s="2"/>
      <c r="D108" s="91" t="s">
        <v>1673</v>
      </c>
      <c r="E108" s="47"/>
      <c r="F108" s="47"/>
      <c r="G108" s="47"/>
      <c r="H108" s="92">
        <f>ROUND(SUM(H107,H101,H82,H72),2)</f>
        <v>0.35</v>
      </c>
      <c r="I108" s="2"/>
    </row>
    <row r="109" spans="1:9" ht="15.75" x14ac:dyDescent="0.25">
      <c r="A109" s="103">
        <v>40002</v>
      </c>
      <c r="B109" s="2"/>
      <c r="C109" s="2"/>
      <c r="D109" s="93" t="s">
        <v>1672</v>
      </c>
      <c r="E109" s="65"/>
      <c r="F109" s="65"/>
      <c r="G109" s="94">
        <f>IF($A109=0,"",VLOOKUP($A109,'BASE MATERIAL'!$M:$P,4))</f>
        <v>0</v>
      </c>
      <c r="H109" s="95">
        <f>IF($A109=0,"",ROUND(G109*H108,2))</f>
        <v>0</v>
      </c>
      <c r="I109" s="2"/>
    </row>
    <row r="110" spans="1:9" ht="15.75" x14ac:dyDescent="0.25">
      <c r="A110" s="103">
        <v>40003</v>
      </c>
      <c r="B110" s="2"/>
      <c r="C110" s="2"/>
      <c r="D110" s="93" t="s">
        <v>1671</v>
      </c>
      <c r="E110" s="65"/>
      <c r="F110" s="65"/>
      <c r="G110" s="94">
        <f>IF($A110=0,"",VLOOKUP($A110,'BASE MATERIAL'!$M:$P,4))</f>
        <v>0</v>
      </c>
      <c r="H110" s="95">
        <f>IF($A110=0,"",ROUND(G110*H108,2))</f>
        <v>0</v>
      </c>
      <c r="I110" s="2"/>
    </row>
    <row r="111" spans="1:9" ht="15.75" x14ac:dyDescent="0.25">
      <c r="B111" s="2"/>
      <c r="C111" s="2"/>
      <c r="D111" s="93" t="s">
        <v>1670</v>
      </c>
      <c r="E111" s="65"/>
      <c r="F111" s="65"/>
      <c r="G111" s="65"/>
      <c r="H111" s="96">
        <f>ROUND(SUM(H108:H110),2)</f>
        <v>0.35</v>
      </c>
      <c r="I111" s="2"/>
    </row>
    <row r="112" spans="1:9" ht="16.5" thickBot="1" x14ac:dyDescent="0.3">
      <c r="B112" s="25"/>
      <c r="C112" s="2"/>
      <c r="D112" s="97" t="s">
        <v>1650</v>
      </c>
      <c r="E112" s="88"/>
      <c r="F112" s="88"/>
      <c r="G112" s="88"/>
      <c r="H112" s="98">
        <f>ROUND(H111,2)</f>
        <v>0.35</v>
      </c>
      <c r="I112" s="2"/>
    </row>
    <row r="113" spans="1:15" ht="15" x14ac:dyDescent="0.2">
      <c r="B113" s="34" t="s">
        <v>1701</v>
      </c>
      <c r="C113" s="2"/>
      <c r="D113" s="3" t="str">
        <f>'1.1'!$D$1</f>
        <v>ESPOL</v>
      </c>
      <c r="E113" s="2"/>
      <c r="F113" s="2"/>
      <c r="H113" s="2" t="s">
        <v>108</v>
      </c>
      <c r="I113" s="2"/>
      <c r="L113" s="40">
        <f>A117</f>
        <v>1</v>
      </c>
      <c r="M113" s="1" t="str">
        <f>C118</f>
        <v xml:space="preserve">Replanteo y trazado de la edificación </v>
      </c>
      <c r="N113" s="2" t="str">
        <f>H117</f>
        <v>M2</v>
      </c>
      <c r="O113" s="2">
        <f>H168</f>
        <v>1.49</v>
      </c>
    </row>
    <row r="114" spans="1:15" ht="15" x14ac:dyDescent="0.2">
      <c r="B114" s="34" t="s">
        <v>1700</v>
      </c>
      <c r="C114" s="3">
        <f>'1.1'!$C$2</f>
        <v>0</v>
      </c>
      <c r="D114" s="2"/>
      <c r="E114" s="2"/>
      <c r="F114" s="2"/>
      <c r="G114" s="41" t="s">
        <v>1699</v>
      </c>
      <c r="H114" s="42"/>
      <c r="I114" s="2" t="s">
        <v>1698</v>
      </c>
    </row>
    <row r="115" spans="1:15" ht="15" x14ac:dyDescent="0.2">
      <c r="B115" s="34"/>
      <c r="C115" s="3">
        <f>'1.1'!$C$3</f>
        <v>0</v>
      </c>
      <c r="D115" s="2"/>
      <c r="E115" s="2"/>
      <c r="F115" s="2"/>
      <c r="G115" s="2"/>
      <c r="H115" s="2"/>
      <c r="I115" s="2"/>
    </row>
    <row r="116" spans="1:15" ht="15" x14ac:dyDescent="0.2">
      <c r="B116" s="34" t="s">
        <v>1697</v>
      </c>
      <c r="C116" s="3"/>
      <c r="D116" s="2"/>
      <c r="E116" s="2"/>
      <c r="F116" s="2"/>
      <c r="G116" s="2"/>
      <c r="H116" s="2"/>
      <c r="I116" s="2"/>
    </row>
    <row r="117" spans="1:15" ht="15" x14ac:dyDescent="0.25">
      <c r="A117" s="104">
        <v>1</v>
      </c>
      <c r="B117" s="2" t="s">
        <v>1586</v>
      </c>
      <c r="C117" s="36" t="s">
        <v>1703</v>
      </c>
      <c r="D117" s="2"/>
      <c r="G117" s="2" t="s">
        <v>1696</v>
      </c>
      <c r="H117" s="3" t="s">
        <v>915</v>
      </c>
      <c r="I117" s="2"/>
    </row>
    <row r="118" spans="1:15" ht="15" x14ac:dyDescent="0.25">
      <c r="A118" s="103"/>
      <c r="B118" s="1" t="s">
        <v>1585</v>
      </c>
      <c r="C118" s="36" t="s">
        <v>1453</v>
      </c>
      <c r="D118" s="2"/>
      <c r="E118" s="2"/>
      <c r="F118" s="2"/>
      <c r="G118" s="2"/>
      <c r="H118" s="2"/>
      <c r="I118" s="2"/>
    </row>
    <row r="119" spans="1:15" ht="15.75" thickBot="1" x14ac:dyDescent="0.3">
      <c r="A119" s="103"/>
      <c r="D119" s="2"/>
      <c r="E119" s="2"/>
      <c r="F119" s="2"/>
      <c r="G119" s="2"/>
      <c r="H119" s="2"/>
      <c r="I119" s="2"/>
    </row>
    <row r="120" spans="1:15" ht="15.75" thickBot="1" x14ac:dyDescent="0.3">
      <c r="A120" s="103"/>
      <c r="B120" s="43" t="s">
        <v>1695</v>
      </c>
      <c r="C120" s="44"/>
      <c r="D120" s="44"/>
      <c r="E120" s="44"/>
      <c r="F120" s="44"/>
      <c r="G120" s="44"/>
      <c r="H120" s="45"/>
      <c r="I120" s="2"/>
    </row>
    <row r="121" spans="1:15" ht="25.5" x14ac:dyDescent="0.25">
      <c r="A121" s="103"/>
      <c r="B121" s="46" t="s">
        <v>1409</v>
      </c>
      <c r="C121" s="47"/>
      <c r="D121" s="48" t="s">
        <v>1690</v>
      </c>
      <c r="E121" s="48" t="s">
        <v>1694</v>
      </c>
      <c r="F121" s="48" t="s">
        <v>1693</v>
      </c>
      <c r="G121" s="49" t="s">
        <v>1687</v>
      </c>
      <c r="H121" s="50" t="s">
        <v>1686</v>
      </c>
      <c r="I121" s="2"/>
    </row>
    <row r="122" spans="1:15" ht="15" x14ac:dyDescent="0.25">
      <c r="A122" s="103">
        <v>19015</v>
      </c>
      <c r="B122" s="51" t="str">
        <f>IF($A122=0,"",VLOOKUP($A122,'BASE EQUIPO'!$A:$D,2))</f>
        <v>HERRAMIENTA MENOR</v>
      </c>
      <c r="C122" s="52"/>
      <c r="D122" s="53">
        <v>1</v>
      </c>
      <c r="E122" s="53">
        <f>IF($A122=0,"",VLOOKUP($A122,'BASE EQUIPO'!$A:$D,4)*H138)</f>
        <v>2.1299999999999999E-2</v>
      </c>
      <c r="F122" s="53">
        <f t="shared" ref="F122:F127" si="10">IF($A122=0,"",ROUND(D122*E122,2))</f>
        <v>0.02</v>
      </c>
      <c r="G122" s="105">
        <v>1</v>
      </c>
      <c r="H122" s="54">
        <f t="shared" ref="H122:H127" si="11">IF($A122=0,"",ROUND(G122*F122,2))</f>
        <v>0.02</v>
      </c>
      <c r="I122" s="2"/>
    </row>
    <row r="123" spans="1:15" ht="15" x14ac:dyDescent="0.25">
      <c r="A123" s="103">
        <v>19007</v>
      </c>
      <c r="B123" s="38" t="str">
        <f>IF($A123=0,"",VLOOKUP($A123,'BASE EQUIPO'!$A:$D,2))</f>
        <v>TEODOLITO</v>
      </c>
      <c r="C123" s="2"/>
      <c r="D123" s="55">
        <v>1</v>
      </c>
      <c r="E123" s="55">
        <f>IF($A123=0,"",VLOOKUP($A123,'BASE EQUIPO'!$A:$D,4))</f>
        <v>10</v>
      </c>
      <c r="F123" s="55">
        <f t="shared" si="10"/>
        <v>10</v>
      </c>
      <c r="G123" s="106">
        <f>G132</f>
        <v>7.0000000000000007E-2</v>
      </c>
      <c r="H123" s="56">
        <f t="shared" si="11"/>
        <v>0.7</v>
      </c>
      <c r="I123" s="2"/>
    </row>
    <row r="124" spans="1:15" ht="15" x14ac:dyDescent="0.25">
      <c r="A124" s="103"/>
      <c r="B124" s="38" t="str">
        <f>IF($A124=0,"",VLOOKUP($A124,'BASE EQUIPO'!$A:$D,2))</f>
        <v/>
      </c>
      <c r="C124" s="2"/>
      <c r="D124" s="55"/>
      <c r="E124" s="55" t="str">
        <f>IF($A124=0,"",VLOOKUP($A124,'BASE EQUIPO'!$A:$D,4))</f>
        <v/>
      </c>
      <c r="F124" s="55" t="str">
        <f t="shared" si="10"/>
        <v/>
      </c>
      <c r="G124" s="106"/>
      <c r="H124" s="56" t="str">
        <f t="shared" si="11"/>
        <v/>
      </c>
      <c r="I124" s="2"/>
    </row>
    <row r="125" spans="1:15" ht="15" x14ac:dyDescent="0.25">
      <c r="A125" s="103"/>
      <c r="B125" s="38" t="str">
        <f>IF($A125=0,"",VLOOKUP($A125,'BASE EQUIPO'!$A:$D,2))</f>
        <v/>
      </c>
      <c r="C125" s="2"/>
      <c r="D125" s="55"/>
      <c r="E125" s="55" t="str">
        <f>IF($A125=0,"",VLOOKUP($A125,'BASE EQUIPO'!$A:$D,4))</f>
        <v/>
      </c>
      <c r="F125" s="55" t="str">
        <f t="shared" si="10"/>
        <v/>
      </c>
      <c r="G125" s="106"/>
      <c r="H125" s="56" t="str">
        <f t="shared" si="11"/>
        <v/>
      </c>
      <c r="I125" s="2"/>
    </row>
    <row r="126" spans="1:15" ht="15" x14ac:dyDescent="0.25">
      <c r="A126" s="103"/>
      <c r="B126" s="38" t="str">
        <f>IF($A126=0,"",VLOOKUP($A126,'BASE EQUIPO'!$A:$D,2))</f>
        <v/>
      </c>
      <c r="C126" s="2"/>
      <c r="D126" s="55"/>
      <c r="E126" s="55" t="str">
        <f>IF($A126=0,"",VLOOKUP($A126,'BASE EQUIPO'!$A:$D,4))</f>
        <v/>
      </c>
      <c r="F126" s="55" t="str">
        <f t="shared" si="10"/>
        <v/>
      </c>
      <c r="G126" s="106"/>
      <c r="H126" s="56" t="str">
        <f t="shared" si="11"/>
        <v/>
      </c>
      <c r="I126" s="2"/>
    </row>
    <row r="127" spans="1:15" ht="15" x14ac:dyDescent="0.25">
      <c r="A127" s="103"/>
      <c r="B127" s="57" t="str">
        <f>IF($A127=0,"",VLOOKUP($A127,'BASE EQUIPO'!$A:$D,2))</f>
        <v/>
      </c>
      <c r="C127" s="58"/>
      <c r="D127" s="59"/>
      <c r="E127" s="59" t="str">
        <f>IF($A127=0,"",VLOOKUP($A127,'BASE EQUIPO'!$A:$D,4))</f>
        <v/>
      </c>
      <c r="F127" s="59" t="str">
        <f t="shared" si="10"/>
        <v/>
      </c>
      <c r="G127" s="107"/>
      <c r="H127" s="60" t="str">
        <f t="shared" si="11"/>
        <v/>
      </c>
      <c r="I127" s="2"/>
    </row>
    <row r="128" spans="1:15" ht="15" x14ac:dyDescent="0.25">
      <c r="A128" s="103"/>
      <c r="B128" s="57" t="s">
        <v>1692</v>
      </c>
      <c r="C128" s="58"/>
      <c r="D128" s="61"/>
      <c r="E128" s="61"/>
      <c r="F128" s="61"/>
      <c r="G128" s="62"/>
      <c r="H128" s="60">
        <f>ROUND(SUM(H121:H127),2)</f>
        <v>0.72</v>
      </c>
      <c r="I128" s="2"/>
    </row>
    <row r="129" spans="1:16" ht="15" x14ac:dyDescent="0.25">
      <c r="A129" s="103"/>
      <c r="B129" s="38" t="s">
        <v>1503</v>
      </c>
      <c r="C129" s="2"/>
      <c r="D129" s="3"/>
      <c r="E129" s="3"/>
      <c r="F129" s="3"/>
      <c r="G129" s="63"/>
      <c r="H129" s="56"/>
      <c r="I129" s="2"/>
    </row>
    <row r="130" spans="1:16" ht="25.5" x14ac:dyDescent="0.25">
      <c r="A130" s="103"/>
      <c r="B130" s="64" t="s">
        <v>1691</v>
      </c>
      <c r="C130" s="65"/>
      <c r="D130" s="66" t="s">
        <v>1690</v>
      </c>
      <c r="E130" s="66" t="s">
        <v>1689</v>
      </c>
      <c r="F130" s="66" t="s">
        <v>1688</v>
      </c>
      <c r="G130" s="67" t="s">
        <v>1687</v>
      </c>
      <c r="H130" s="68" t="s">
        <v>1686</v>
      </c>
      <c r="I130" s="2"/>
    </row>
    <row r="131" spans="1:16" ht="15" x14ac:dyDescent="0.25">
      <c r="A131" s="103">
        <v>20007</v>
      </c>
      <c r="B131" s="69" t="str">
        <f>IF($A131=0,"",VLOOKUP($A131,'BASE M-OBRA'!$A:$D,2))</f>
        <v>TOPOGRAFO</v>
      </c>
      <c r="C131" s="2"/>
      <c r="D131" s="108">
        <v>1</v>
      </c>
      <c r="E131" s="70">
        <f>IF($A131=0,"",VLOOKUP($A131,'BASE M-OBRA'!$A:$D,4))</f>
        <v>3.02</v>
      </c>
      <c r="F131" s="55">
        <f t="shared" ref="F131:F137" si="12">IF($A131=0,"",ROUND(D131*E131,2))</f>
        <v>3.02</v>
      </c>
      <c r="G131" s="106">
        <f>IF($A131=0,"",ROUND(H131/F131,2))</f>
        <v>0.04</v>
      </c>
      <c r="H131" s="56">
        <f>IF($A131=0,"",ROUND(SUM(H132:H137)*'BASE M-OBRA'!$D$23,2))</f>
        <v>0.12</v>
      </c>
      <c r="I131" s="2"/>
    </row>
    <row r="132" spans="1:16" ht="15" x14ac:dyDescent="0.25">
      <c r="A132" s="103">
        <v>20010</v>
      </c>
      <c r="B132" s="69" t="str">
        <f>IF($A132=0,"",VLOOKUP($A132,'BASE M-OBRA'!$A:$D,2))</f>
        <v>CADENERO</v>
      </c>
      <c r="C132" s="2"/>
      <c r="D132" s="108">
        <v>2</v>
      </c>
      <c r="E132" s="70">
        <f>IF($A132=0,"",VLOOKUP($A132,'BASE M-OBRA'!$A:$D,4))</f>
        <v>2.82</v>
      </c>
      <c r="F132" s="55">
        <f t="shared" si="12"/>
        <v>5.64</v>
      </c>
      <c r="G132" s="106">
        <v>7.0000000000000007E-2</v>
      </c>
      <c r="H132" s="56">
        <f t="shared" ref="H132:H137" si="13">IF($A132=0,"",ROUND(G132*F132,2))</f>
        <v>0.39</v>
      </c>
      <c r="I132" s="2"/>
    </row>
    <row r="133" spans="1:16" ht="15" x14ac:dyDescent="0.25">
      <c r="A133" s="103">
        <v>20002</v>
      </c>
      <c r="B133" s="69" t="str">
        <f>IF($A133=0,"",VLOOKUP($A133,'BASE M-OBRA'!$A:$D,2))</f>
        <v>PEON</v>
      </c>
      <c r="C133" s="2"/>
      <c r="D133" s="108">
        <v>1</v>
      </c>
      <c r="E133" s="70">
        <f>IF($A133=0,"",VLOOKUP($A133,'BASE M-OBRA'!$A:$D,4))</f>
        <v>2.79</v>
      </c>
      <c r="F133" s="55">
        <f t="shared" si="12"/>
        <v>2.79</v>
      </c>
      <c r="G133" s="106">
        <f>+G132</f>
        <v>7.0000000000000007E-2</v>
      </c>
      <c r="H133" s="56">
        <f t="shared" si="13"/>
        <v>0.2</v>
      </c>
      <c r="I133" s="2"/>
    </row>
    <row r="134" spans="1:16" ht="15" x14ac:dyDescent="0.25">
      <c r="A134" s="103"/>
      <c r="B134" s="71" t="str">
        <f>IF($A134=0,"",VLOOKUP($A134,'BASE M-OBRA'!$A:$D,2))</f>
        <v/>
      </c>
      <c r="C134" s="2"/>
      <c r="D134" s="108"/>
      <c r="E134" s="70" t="str">
        <f>IF($A134=0,"",VLOOKUP($A134,'BASE M-OBRA'!$A:$D,4))</f>
        <v/>
      </c>
      <c r="F134" s="55" t="str">
        <f t="shared" si="12"/>
        <v/>
      </c>
      <c r="G134" s="106"/>
      <c r="H134" s="56" t="str">
        <f t="shared" si="13"/>
        <v/>
      </c>
      <c r="I134" s="2"/>
    </row>
    <row r="135" spans="1:16" ht="15" x14ac:dyDescent="0.25">
      <c r="A135" s="103"/>
      <c r="B135" s="72" t="str">
        <f>IF($A135=0,"",VLOOKUP($A135,'BASE M-OBRA'!$A:$D,2))</f>
        <v/>
      </c>
      <c r="C135" s="2"/>
      <c r="D135" s="108"/>
      <c r="E135" s="70" t="str">
        <f>IF($A135=0,"",VLOOKUP($A135,'BASE M-OBRA'!$A:$D,4))</f>
        <v/>
      </c>
      <c r="F135" s="55" t="str">
        <f t="shared" si="12"/>
        <v/>
      </c>
      <c r="G135" s="106"/>
      <c r="H135" s="56" t="str">
        <f t="shared" si="13"/>
        <v/>
      </c>
      <c r="I135" s="2"/>
    </row>
    <row r="136" spans="1:16" ht="15" x14ac:dyDescent="0.25">
      <c r="A136" s="103"/>
      <c r="B136" s="38" t="str">
        <f>IF($A136=0,"",VLOOKUP($A136,'BASE M-OBRA'!$A:$D,2))</f>
        <v/>
      </c>
      <c r="C136" s="2"/>
      <c r="D136" s="55"/>
      <c r="E136" s="55" t="str">
        <f>IF($A136=0,"",VLOOKUP($A136,'BASE M-OBRA'!$A:$D,4))</f>
        <v/>
      </c>
      <c r="F136" s="55" t="str">
        <f t="shared" si="12"/>
        <v/>
      </c>
      <c r="G136" s="106"/>
      <c r="H136" s="56" t="str">
        <f t="shared" si="13"/>
        <v/>
      </c>
      <c r="I136" s="2"/>
    </row>
    <row r="137" spans="1:16" ht="15" x14ac:dyDescent="0.25">
      <c r="A137" s="103"/>
      <c r="B137" s="57" t="str">
        <f>IF($A137=0,"",VLOOKUP($A137,'BASE M-OBRA'!$A:$D,2))</f>
        <v/>
      </c>
      <c r="C137" s="58"/>
      <c r="D137" s="59"/>
      <c r="E137" s="59" t="str">
        <f>IF($A137=0,"",VLOOKUP($A137,'BASE M-OBRA'!$A:$D,4))</f>
        <v/>
      </c>
      <c r="F137" s="59" t="str">
        <f t="shared" si="12"/>
        <v/>
      </c>
      <c r="G137" s="107"/>
      <c r="H137" s="60" t="str">
        <f t="shared" si="13"/>
        <v/>
      </c>
      <c r="I137" s="2"/>
    </row>
    <row r="138" spans="1:16" ht="15" x14ac:dyDescent="0.25">
      <c r="A138" s="103"/>
      <c r="B138" s="73" t="s">
        <v>1685</v>
      </c>
      <c r="C138" s="65"/>
      <c r="D138" s="74"/>
      <c r="E138" s="74"/>
      <c r="F138" s="74"/>
      <c r="G138" s="74"/>
      <c r="H138" s="75">
        <f>ROUND(SUM(H130:H137),2)</f>
        <v>0.71</v>
      </c>
      <c r="I138" s="2"/>
    </row>
    <row r="139" spans="1:16" ht="15" x14ac:dyDescent="0.25">
      <c r="A139" s="103"/>
      <c r="B139" s="38" t="s">
        <v>1684</v>
      </c>
      <c r="C139" s="2"/>
      <c r="D139" s="3"/>
      <c r="E139" s="3"/>
      <c r="F139" s="3"/>
      <c r="G139" s="3"/>
      <c r="H139" s="56"/>
      <c r="I139" s="2"/>
    </row>
    <row r="140" spans="1:16" ht="25.5" x14ac:dyDescent="0.25">
      <c r="A140" s="103"/>
      <c r="B140" s="64" t="s">
        <v>1409</v>
      </c>
      <c r="C140" s="65"/>
      <c r="D140" s="76"/>
      <c r="E140" s="66" t="s">
        <v>1408</v>
      </c>
      <c r="F140" s="66" t="s">
        <v>1679</v>
      </c>
      <c r="G140" s="66" t="s">
        <v>1683</v>
      </c>
      <c r="H140" s="68" t="s">
        <v>1675</v>
      </c>
      <c r="I140" s="2"/>
    </row>
    <row r="141" spans="1:16" ht="15" x14ac:dyDescent="0.25">
      <c r="A141" s="103">
        <v>11009</v>
      </c>
      <c r="B141" s="109" t="str">
        <f>IF($A141=0,"",VLOOKUP($A141,'BASE MATERIAL'!$A:$D,2))</f>
        <v>CUARTON</v>
      </c>
      <c r="C141" s="2"/>
      <c r="D141" s="77"/>
      <c r="E141" s="78" t="str">
        <f>IF($A141=0,"",VLOOKUP($A141,'BASE MATERIAL'!$A:$D,3))</f>
        <v>U</v>
      </c>
      <c r="F141" s="55">
        <v>0.01</v>
      </c>
      <c r="G141" s="55">
        <f>IF($A141=0,"",VLOOKUP($A141,'BASE MATERIAL'!$A:$D,4))</f>
        <v>2.42</v>
      </c>
      <c r="H141" s="56">
        <f t="shared" ref="H141:H155" si="14">IF($A141=0,"",ROUND(F141*G141,2))</f>
        <v>0.02</v>
      </c>
      <c r="I141" s="2"/>
      <c r="L141" s="2"/>
      <c r="M141" s="2"/>
      <c r="N141" s="39"/>
      <c r="O141" s="2"/>
      <c r="P141" s="2"/>
    </row>
    <row r="142" spans="1:16" ht="15" x14ac:dyDescent="0.25">
      <c r="A142" s="103">
        <v>11004</v>
      </c>
      <c r="B142" s="38" t="str">
        <f>IF($A142=0,"",VLOOKUP($A142,'BASE MATERIAL'!$A:$D,2))</f>
        <v>PIOLA</v>
      </c>
      <c r="C142" s="2"/>
      <c r="D142" s="77"/>
      <c r="E142" s="78" t="str">
        <f>IF($A142=0,"",VLOOKUP($A142,'BASE MATERIAL'!$A:$D,3))</f>
        <v>ML</v>
      </c>
      <c r="F142" s="55">
        <v>1</v>
      </c>
      <c r="G142" s="55">
        <f>IF($A142=0,"",VLOOKUP($A142,'BASE MATERIAL'!$A:$D,4))</f>
        <v>0.02</v>
      </c>
      <c r="H142" s="56">
        <f t="shared" si="14"/>
        <v>0.02</v>
      </c>
      <c r="I142" s="2"/>
      <c r="L142" s="2"/>
      <c r="M142" s="2"/>
      <c r="N142" s="39"/>
      <c r="O142" s="2"/>
      <c r="P142" s="2"/>
    </row>
    <row r="143" spans="1:16" ht="15" x14ac:dyDescent="0.25">
      <c r="A143" s="103">
        <v>4004</v>
      </c>
      <c r="B143" s="38" t="str">
        <f>IF($A143=0,"",VLOOKUP($A143,'BASE MATERIAL'!$A:$D,2))</f>
        <v>CAL</v>
      </c>
      <c r="C143" s="2"/>
      <c r="D143" s="77"/>
      <c r="E143" s="78" t="str">
        <f>IF($A143=0,"",VLOOKUP($A143,'BASE MATERIAL'!$A:$D,3))</f>
        <v>KG</v>
      </c>
      <c r="F143" s="55">
        <v>0.2</v>
      </c>
      <c r="G143" s="55">
        <f>IF($A143=0,"",VLOOKUP($A143,'BASE MATERIAL'!$A:$D,4))</f>
        <v>0.1</v>
      </c>
      <c r="H143" s="56">
        <f t="shared" si="14"/>
        <v>0.02</v>
      </c>
      <c r="I143" s="2"/>
      <c r="L143" s="2"/>
      <c r="M143" s="2"/>
      <c r="N143" s="39"/>
      <c r="O143" s="2"/>
      <c r="P143" s="2"/>
    </row>
    <row r="144" spans="1:16" ht="15" x14ac:dyDescent="0.25">
      <c r="A144" s="103"/>
      <c r="B144" s="38" t="str">
        <f>IF($A144=0,"",VLOOKUP($A144,'BASE MATERIAL'!$A:$D,2))</f>
        <v/>
      </c>
      <c r="C144" s="2"/>
      <c r="D144" s="77"/>
      <c r="E144" s="78" t="str">
        <f>IF($A144=0,"",VLOOKUP($A144,'BASE MATERIAL'!$A:$D,3))</f>
        <v/>
      </c>
      <c r="F144" s="55"/>
      <c r="G144" s="55" t="str">
        <f>IF($A144=0,"",VLOOKUP($A144,'BASE MATERIAL'!$A:$D,4))</f>
        <v/>
      </c>
      <c r="H144" s="56" t="str">
        <f t="shared" si="14"/>
        <v/>
      </c>
      <c r="I144" s="2"/>
      <c r="L144" s="2"/>
      <c r="M144" s="2"/>
      <c r="N144" s="39"/>
      <c r="O144" s="2"/>
      <c r="P144" s="2"/>
    </row>
    <row r="145" spans="1:16" ht="15" x14ac:dyDescent="0.25">
      <c r="A145" s="103"/>
      <c r="B145" s="38" t="str">
        <f>IF($A145=0,"",VLOOKUP($A145,'BASE MATERIAL'!$A:$D,2))</f>
        <v/>
      </c>
      <c r="C145" s="2"/>
      <c r="D145" s="77"/>
      <c r="E145" s="78" t="str">
        <f>IF($A145=0,"",VLOOKUP($A145,'BASE MATERIAL'!$A:$D,3))</f>
        <v/>
      </c>
      <c r="F145" s="55"/>
      <c r="G145" s="55" t="str">
        <f>IF($A145=0,"",VLOOKUP($A145,'BASE MATERIAL'!$A:$D,4))</f>
        <v/>
      </c>
      <c r="H145" s="56" t="str">
        <f t="shared" si="14"/>
        <v/>
      </c>
      <c r="I145" s="2"/>
      <c r="L145" s="2"/>
      <c r="M145" s="2"/>
      <c r="N145" s="39"/>
      <c r="O145" s="2"/>
      <c r="P145" s="2"/>
    </row>
    <row r="146" spans="1:16" ht="15" x14ac:dyDescent="0.25">
      <c r="A146" s="103"/>
      <c r="B146" s="38" t="str">
        <f>IF($A146=0,"",VLOOKUP($A146,'BASE MATERIAL'!$A:$D,2))</f>
        <v/>
      </c>
      <c r="C146" s="2"/>
      <c r="D146" s="77"/>
      <c r="E146" s="78" t="str">
        <f>IF($A146=0,"",VLOOKUP($A146,'BASE MATERIAL'!$A:$D,3))</f>
        <v/>
      </c>
      <c r="F146" s="55"/>
      <c r="G146" s="55" t="str">
        <f>IF($A146=0,"",VLOOKUP($A146,'BASE MATERIAL'!$A:$D,4))</f>
        <v/>
      </c>
      <c r="H146" s="56" t="str">
        <f t="shared" si="14"/>
        <v/>
      </c>
      <c r="I146" s="2"/>
      <c r="L146" s="2"/>
      <c r="M146" s="2"/>
      <c r="N146" s="39"/>
      <c r="O146" s="2"/>
      <c r="P146" s="2"/>
    </row>
    <row r="147" spans="1:16" ht="15" x14ac:dyDescent="0.25">
      <c r="A147" s="103"/>
      <c r="B147" s="38" t="str">
        <f>IF($A147=0,"",VLOOKUP($A147,'BASE MATERIAL'!$A:$D,2))</f>
        <v/>
      </c>
      <c r="C147" s="2"/>
      <c r="D147" s="77"/>
      <c r="E147" s="78" t="str">
        <f>IF($A147=0,"",VLOOKUP($A147,'BASE MATERIAL'!$A:$D,3))</f>
        <v/>
      </c>
      <c r="F147" s="55"/>
      <c r="G147" s="55" t="str">
        <f>IF($A147=0,"",VLOOKUP($A147,'BASE MATERIAL'!$A:$D,4))</f>
        <v/>
      </c>
      <c r="H147" s="56" t="str">
        <f t="shared" si="14"/>
        <v/>
      </c>
      <c r="I147" s="2"/>
      <c r="L147" s="2"/>
      <c r="M147" s="2"/>
      <c r="N147" s="39"/>
      <c r="O147" s="2"/>
      <c r="P147" s="2"/>
    </row>
    <row r="148" spans="1:16" ht="15" x14ac:dyDescent="0.25">
      <c r="A148" s="103"/>
      <c r="B148" s="38" t="str">
        <f>IF($A148=0,"",VLOOKUP($A148,'BASE MATERIAL'!$A:$D,2))</f>
        <v/>
      </c>
      <c r="C148" s="2"/>
      <c r="D148" s="77"/>
      <c r="E148" s="78" t="str">
        <f>IF($A148=0,"",VLOOKUP($A148,'BASE MATERIAL'!$A:$D,3))</f>
        <v/>
      </c>
      <c r="F148" s="55"/>
      <c r="G148" s="55" t="str">
        <f>IF($A148=0,"",VLOOKUP($A148,'BASE MATERIAL'!$A:$D,4))</f>
        <v/>
      </c>
      <c r="H148" s="56" t="str">
        <f t="shared" si="14"/>
        <v/>
      </c>
      <c r="I148" s="2"/>
      <c r="L148" s="2"/>
      <c r="M148" s="2"/>
      <c r="N148" s="39"/>
      <c r="O148" s="2"/>
      <c r="P148" s="2"/>
    </row>
    <row r="149" spans="1:16" ht="15" x14ac:dyDescent="0.25">
      <c r="A149" s="103"/>
      <c r="B149" s="38" t="str">
        <f>IF($A149=0,"",VLOOKUP($A149,'BASE MATERIAL'!$A:$D,2))</f>
        <v/>
      </c>
      <c r="C149" s="2"/>
      <c r="D149" s="77"/>
      <c r="E149" s="78" t="str">
        <f>IF($A149=0,"",VLOOKUP($A149,'BASE MATERIAL'!$A:$D,3))</f>
        <v/>
      </c>
      <c r="F149" s="55"/>
      <c r="G149" s="55" t="str">
        <f>IF($A149=0,"",VLOOKUP($A149,'BASE MATERIAL'!$A:$D,4))</f>
        <v/>
      </c>
      <c r="H149" s="56" t="str">
        <f t="shared" si="14"/>
        <v/>
      </c>
      <c r="I149" s="2"/>
    </row>
    <row r="150" spans="1:16" ht="15" x14ac:dyDescent="0.25">
      <c r="A150" s="103"/>
      <c r="B150" s="38" t="str">
        <f>IF($A150=0,"",VLOOKUP($A150,'BASE MATERIAL'!$A:$D,2))</f>
        <v/>
      </c>
      <c r="C150" s="2"/>
      <c r="D150" s="77"/>
      <c r="E150" s="78" t="str">
        <f>IF($A150=0,"",VLOOKUP($A150,'BASE MATERIAL'!$A:$D,3))</f>
        <v/>
      </c>
      <c r="F150" s="55"/>
      <c r="G150" s="55" t="str">
        <f>IF($A150=0,"",VLOOKUP($A150,'BASE MATERIAL'!$A:$D,4))</f>
        <v/>
      </c>
      <c r="H150" s="56" t="str">
        <f t="shared" si="14"/>
        <v/>
      </c>
      <c r="I150" s="2"/>
      <c r="L150" s="2"/>
      <c r="M150" s="2"/>
      <c r="N150" s="39"/>
      <c r="O150" s="2"/>
      <c r="P150" s="2"/>
    </row>
    <row r="151" spans="1:16" ht="15" x14ac:dyDescent="0.25">
      <c r="A151" s="103"/>
      <c r="B151" s="38" t="str">
        <f>IF($A151=0,"",VLOOKUP($A151,'BASE MATERIAL'!$A:$D,2))</f>
        <v/>
      </c>
      <c r="C151" s="2"/>
      <c r="D151" s="77"/>
      <c r="E151" s="78" t="str">
        <f>IF($A151=0,"",VLOOKUP($A151,'BASE MATERIAL'!$A:$D,3))</f>
        <v/>
      </c>
      <c r="F151" s="55"/>
      <c r="G151" s="55" t="str">
        <f>IF($A151=0,"",VLOOKUP($A151,'BASE MATERIAL'!$A:$D,4))</f>
        <v/>
      </c>
      <c r="H151" s="56" t="str">
        <f t="shared" si="14"/>
        <v/>
      </c>
      <c r="I151" s="2"/>
      <c r="L151" s="2"/>
      <c r="M151" s="2"/>
      <c r="N151" s="39"/>
      <c r="O151" s="2"/>
      <c r="P151" s="2"/>
    </row>
    <row r="152" spans="1:16" ht="15" x14ac:dyDescent="0.25">
      <c r="A152" s="103"/>
      <c r="B152" s="38" t="str">
        <f>IF($A152=0,"",VLOOKUP($A152,'BASE MATERIAL'!$A:$D,2))</f>
        <v/>
      </c>
      <c r="C152" s="2"/>
      <c r="D152" s="77"/>
      <c r="E152" s="78" t="str">
        <f>IF($A152=0,"",VLOOKUP($A152,'BASE MATERIAL'!$A:$D,3))</f>
        <v/>
      </c>
      <c r="F152" s="55"/>
      <c r="G152" s="55" t="str">
        <f>IF($A152=0,"",VLOOKUP($A152,'BASE MATERIAL'!$A:$D,4))</f>
        <v/>
      </c>
      <c r="H152" s="56" t="str">
        <f t="shared" si="14"/>
        <v/>
      </c>
      <c r="I152" s="2"/>
    </row>
    <row r="153" spans="1:16" ht="15" x14ac:dyDescent="0.25">
      <c r="A153" s="103"/>
      <c r="B153" s="38" t="str">
        <f>IF($A153=0,"",VLOOKUP($A153,'BASE MATERIAL'!$A:$D,2))</f>
        <v/>
      </c>
      <c r="C153" s="2"/>
      <c r="D153" s="77"/>
      <c r="E153" s="78" t="str">
        <f>IF($A153=0,"",VLOOKUP($A153,'BASE MATERIAL'!$A:$D,3))</f>
        <v/>
      </c>
      <c r="F153" s="55"/>
      <c r="G153" s="55" t="str">
        <f>IF($A153=0,"",VLOOKUP($A153,'BASE MATERIAL'!$A:$D,4))</f>
        <v/>
      </c>
      <c r="H153" s="56" t="str">
        <f t="shared" si="14"/>
        <v/>
      </c>
      <c r="I153" s="2"/>
    </row>
    <row r="154" spans="1:16" ht="15" x14ac:dyDescent="0.25">
      <c r="A154" s="103"/>
      <c r="B154" s="38" t="str">
        <f>IF($A154=0,"",VLOOKUP($A154,'BASE MATERIAL'!$A:$D,2))</f>
        <v/>
      </c>
      <c r="C154" s="2"/>
      <c r="D154" s="77"/>
      <c r="E154" s="78" t="str">
        <f>IF($A154=0,"",VLOOKUP($A154,'BASE MATERIAL'!$A:$D,3))</f>
        <v/>
      </c>
      <c r="F154" s="55"/>
      <c r="G154" s="55" t="str">
        <f>IF($A154=0,"",VLOOKUP($A154,'BASE MATERIAL'!$A:$D,4))</f>
        <v/>
      </c>
      <c r="H154" s="56" t="str">
        <f t="shared" si="14"/>
        <v/>
      </c>
      <c r="I154" s="2"/>
    </row>
    <row r="155" spans="1:16" ht="15" x14ac:dyDescent="0.25">
      <c r="A155" s="103"/>
      <c r="B155" s="38" t="str">
        <f>IF($A155=0,"",VLOOKUP($A155,'BASE MATERIAL'!$A:$D,2))</f>
        <v/>
      </c>
      <c r="C155" s="2"/>
      <c r="D155" s="77"/>
      <c r="E155" s="78" t="str">
        <f>IF($A155=0,"",VLOOKUP($A155,'BASE MATERIAL'!$A:$D,3))</f>
        <v/>
      </c>
      <c r="F155" s="55"/>
      <c r="G155" s="55" t="str">
        <f>IF($A155=0,"",VLOOKUP($A155,'BASE MATERIAL'!$A:$D,4))</f>
        <v/>
      </c>
      <c r="H155" s="56" t="str">
        <f t="shared" si="14"/>
        <v/>
      </c>
      <c r="I155" s="2"/>
    </row>
    <row r="156" spans="1:16" ht="15" x14ac:dyDescent="0.25">
      <c r="A156" s="103"/>
      <c r="B156" s="38" t="str">
        <f>IF($A156=0,"",VLOOKUP($A156,'BASE MATERIAL'!$A:$D,2))</f>
        <v/>
      </c>
      <c r="C156" s="2"/>
      <c r="D156" s="81" t="s">
        <v>1682</v>
      </c>
      <c r="E156" s="55" t="str">
        <f>IF($A156=0,"",VLOOKUP($A156,'BASE MATERIAL'!$A:$D,3))</f>
        <v/>
      </c>
      <c r="F156" s="55" t="s">
        <v>1682</v>
      </c>
      <c r="G156" s="55" t="str">
        <f>IF($A156=0,"",VLOOKUP($A156,'BASE MATERIAL'!$A:$D,4))</f>
        <v/>
      </c>
      <c r="H156" s="56" t="str">
        <f>IF($A156=0,"",ROUND(E156*F156,2))</f>
        <v/>
      </c>
      <c r="I156" s="2"/>
    </row>
    <row r="157" spans="1:16" ht="15" x14ac:dyDescent="0.25">
      <c r="A157" s="103"/>
      <c r="B157" s="73" t="s">
        <v>1681</v>
      </c>
      <c r="C157" s="65"/>
      <c r="D157" s="74"/>
      <c r="E157" s="74"/>
      <c r="F157" s="74"/>
      <c r="G157" s="74"/>
      <c r="H157" s="75">
        <f>ROUND(SUM(H140:H156),2)</f>
        <v>0.06</v>
      </c>
      <c r="I157" s="2"/>
    </row>
    <row r="158" spans="1:16" ht="15" x14ac:dyDescent="0.25">
      <c r="A158" s="103"/>
      <c r="B158" s="38" t="s">
        <v>1680</v>
      </c>
      <c r="C158" s="2"/>
      <c r="D158" s="3"/>
      <c r="E158" s="3"/>
      <c r="F158" s="3"/>
      <c r="G158" s="3"/>
      <c r="H158" s="56"/>
      <c r="I158" s="2"/>
    </row>
    <row r="159" spans="1:16" ht="25.5" x14ac:dyDescent="0.25">
      <c r="A159" s="103"/>
      <c r="B159" s="64" t="s">
        <v>1409</v>
      </c>
      <c r="C159" s="65"/>
      <c r="D159" s="76"/>
      <c r="E159" s="66" t="s">
        <v>1408</v>
      </c>
      <c r="F159" s="66" t="s">
        <v>1679</v>
      </c>
      <c r="G159" s="66" t="s">
        <v>1676</v>
      </c>
      <c r="H159" s="68" t="s">
        <v>1675</v>
      </c>
      <c r="I159" s="2"/>
    </row>
    <row r="160" spans="1:16" ht="15" x14ac:dyDescent="0.25">
      <c r="A160" s="103">
        <v>19019</v>
      </c>
      <c r="B160" s="51" t="str">
        <f>IF($A160=0,"",VLOOKUP($A160,'BASE EQUIPO'!$A:$D,2))</f>
        <v>TRANSPORTE DE MATERIAL</v>
      </c>
      <c r="C160" s="52"/>
      <c r="D160" s="82"/>
      <c r="E160" s="78" t="str">
        <f>IF($A160=0,"",VLOOKUP($A160,'BASE EQUIPO'!$A:$D,3))</f>
        <v>GLOBAL</v>
      </c>
      <c r="F160" s="55">
        <v>1</v>
      </c>
      <c r="G160" s="83">
        <f>IF($A160=0,"",VLOOKUP($A160,'BASE EQUIPO'!$A:$D,4)*H157)</f>
        <v>1.8E-3</v>
      </c>
      <c r="H160" s="56">
        <f>IF($A160=0,"",ROUND(F160*G160,2))</f>
        <v>0</v>
      </c>
      <c r="I160" s="2"/>
    </row>
    <row r="161" spans="1:9" ht="15" x14ac:dyDescent="0.25">
      <c r="A161" s="103"/>
      <c r="B161" s="38" t="str">
        <f>IF($A161=0,"",VLOOKUP($A161,'BASE EQUIPO'!$A:$D,2))</f>
        <v/>
      </c>
      <c r="C161" s="2"/>
      <c r="D161" s="84"/>
      <c r="E161" s="78" t="str">
        <f>IF($A161=0,"",VLOOKUP($A161,'BASE EQUIPO'!$A:$D,3))</f>
        <v/>
      </c>
      <c r="F161" s="55"/>
      <c r="G161" s="55" t="str">
        <f>IF($A161=0,"",VLOOKUP($A161,'BASE EQUIPO'!$A:$D,4)*H158)</f>
        <v/>
      </c>
      <c r="H161" s="56" t="str">
        <f>IF($A161=0,"",ROUND(F161*G161,2))</f>
        <v/>
      </c>
      <c r="I161" s="2"/>
    </row>
    <row r="162" spans="1:9" x14ac:dyDescent="0.2">
      <c r="B162" s="57" t="str">
        <f>IF($A162=0,"",VLOOKUP($A162,'BASE EQUIPO'!$A:$D,2))</f>
        <v/>
      </c>
      <c r="C162" s="58"/>
      <c r="D162" s="85"/>
      <c r="E162" s="86" t="str">
        <f>IF($A162=0,"",VLOOKUP($A162,'BASE EQUIPO'!$A:$D,3))</f>
        <v/>
      </c>
      <c r="F162" s="59"/>
      <c r="G162" s="59" t="str">
        <f>IF($A162=0,"",VLOOKUP($A162,'BASE EQUIPO'!$A:$D,4)*H159)</f>
        <v/>
      </c>
      <c r="H162" s="60" t="str">
        <f>IF($A162=0,"",ROUND(F162*G162,2))</f>
        <v/>
      </c>
      <c r="I162" s="2"/>
    </row>
    <row r="163" spans="1:9" ht="15" thickBot="1" x14ac:dyDescent="0.25">
      <c r="B163" s="87" t="s">
        <v>1674</v>
      </c>
      <c r="C163" s="88"/>
      <c r="D163" s="89"/>
      <c r="E163" s="89"/>
      <c r="F163" s="89"/>
      <c r="G163" s="89"/>
      <c r="H163" s="90">
        <f>ROUND(SUM(H159:H162),2)</f>
        <v>0</v>
      </c>
      <c r="I163" s="2"/>
    </row>
    <row r="164" spans="1:9" ht="15.75" x14ac:dyDescent="0.25">
      <c r="B164" s="2"/>
      <c r="C164" s="2"/>
      <c r="D164" s="91" t="s">
        <v>1673</v>
      </c>
      <c r="E164" s="47"/>
      <c r="F164" s="47"/>
      <c r="G164" s="47"/>
      <c r="H164" s="92">
        <f>ROUND(SUM(H163,H157,H138,H128),2)</f>
        <v>1.49</v>
      </c>
      <c r="I164" s="2"/>
    </row>
    <row r="165" spans="1:9" ht="15.75" x14ac:dyDescent="0.25">
      <c r="A165" s="103">
        <v>40002</v>
      </c>
      <c r="B165" s="2"/>
      <c r="C165" s="2"/>
      <c r="D165" s="93" t="s">
        <v>1672</v>
      </c>
      <c r="E165" s="65"/>
      <c r="F165" s="65"/>
      <c r="G165" s="94">
        <f>IF($A165=0,"",VLOOKUP($A165,'BASE MATERIAL'!$M:$P,4))</f>
        <v>0</v>
      </c>
      <c r="H165" s="95">
        <f>IF($A165=0,"",ROUND(G165*H164,2))</f>
        <v>0</v>
      </c>
      <c r="I165" s="2"/>
    </row>
    <row r="166" spans="1:9" ht="15.75" x14ac:dyDescent="0.25">
      <c r="A166" s="103">
        <v>40003</v>
      </c>
      <c r="B166" s="2"/>
      <c r="C166" s="2"/>
      <c r="D166" s="93" t="s">
        <v>1671</v>
      </c>
      <c r="E166" s="65"/>
      <c r="F166" s="65"/>
      <c r="G166" s="94">
        <f>IF($A166=0,"",VLOOKUP($A166,'BASE MATERIAL'!$M:$P,4))</f>
        <v>0</v>
      </c>
      <c r="H166" s="95">
        <f>IF($A166=0,"",ROUND(G166*H164,2))</f>
        <v>0</v>
      </c>
      <c r="I166" s="2"/>
    </row>
    <row r="167" spans="1:9" ht="15.75" x14ac:dyDescent="0.25">
      <c r="B167" s="2"/>
      <c r="C167" s="2"/>
      <c r="D167" s="93" t="s">
        <v>1670</v>
      </c>
      <c r="E167" s="65"/>
      <c r="F167" s="65"/>
      <c r="G167" s="65"/>
      <c r="H167" s="96">
        <f>ROUND(SUM(H164:H166),2)</f>
        <v>1.49</v>
      </c>
      <c r="I167" s="2"/>
    </row>
    <row r="168" spans="1:9" ht="16.5" thickBot="1" x14ac:dyDescent="0.3">
      <c r="B168" s="25"/>
      <c r="C168" s="2"/>
      <c r="D168" s="97" t="s">
        <v>1650</v>
      </c>
      <c r="E168" s="88"/>
      <c r="F168" s="88"/>
      <c r="G168" s="88"/>
      <c r="H168" s="98">
        <f>ROUND(H167,2)</f>
        <v>1.49</v>
      </c>
      <c r="I168" s="2"/>
    </row>
  </sheetData>
  <phoneticPr fontId="2" type="noConversion"/>
  <pageMargins left="0.75" right="0.75" top="0.8" bottom="0.79" header="0" footer="0"/>
  <pageSetup paperSize="9" scale="85" orientation="portrait" horizontalDpi="0" verticalDpi="0" r:id="rId1"/>
  <headerFooter alignWithMargins="0"/>
  <rowBreaks count="1" manualBreakCount="1">
    <brk id="56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AEC45-280E-4A8D-9696-3EB547B61052}">
  <sheetPr codeName="Hoja7"/>
  <dimension ref="A1:P504"/>
  <sheetViews>
    <sheetView topLeftCell="A265" workbookViewId="0"/>
  </sheetViews>
  <sheetFormatPr baseColWidth="10" defaultColWidth="11.42578125" defaultRowHeight="15" x14ac:dyDescent="0.25"/>
  <cols>
    <col min="1" max="1" width="7" style="103" bestFit="1" customWidth="1"/>
    <col min="2" max="2" width="12.140625" style="1" customWidth="1"/>
    <col min="3" max="3" width="27.42578125" style="1" customWidth="1"/>
    <col min="4" max="4" width="10.7109375" style="1" customWidth="1"/>
    <col min="5" max="5" width="12.140625" style="1" customWidth="1"/>
    <col min="6" max="6" width="13.28515625" style="1" customWidth="1"/>
    <col min="7" max="7" width="13.85546875" style="1" customWidth="1"/>
    <col min="8" max="8" width="12.42578125" style="1" customWidth="1"/>
    <col min="9" max="9" width="3.140625" style="1" bestFit="1" customWidth="1"/>
    <col min="10" max="10" width="3.5703125" style="1" customWidth="1"/>
    <col min="11" max="11" width="9.85546875" style="1" customWidth="1"/>
    <col min="12" max="12" width="11" style="1" customWidth="1"/>
    <col min="13" max="13" width="33.85546875" style="1" bestFit="1" customWidth="1"/>
    <col min="14" max="14" width="6" style="1" bestFit="1" customWidth="1"/>
    <col min="15" max="28" width="8.42578125" style="1" customWidth="1"/>
    <col min="29" max="16384" width="11.42578125" style="1"/>
  </cols>
  <sheetData>
    <row r="1" spans="1:15" ht="15.75" x14ac:dyDescent="0.25">
      <c r="B1" s="34" t="s">
        <v>1701</v>
      </c>
      <c r="C1" s="5"/>
      <c r="D1" s="157" t="str">
        <f>'1.1'!$D$1</f>
        <v>ESPOL</v>
      </c>
      <c r="E1" s="2"/>
      <c r="F1" s="2"/>
      <c r="H1" s="2" t="s">
        <v>108</v>
      </c>
      <c r="I1" s="2"/>
      <c r="L1" s="40">
        <f>A5</f>
        <v>4</v>
      </c>
      <c r="M1" s="1" t="str">
        <f>C6</f>
        <v>Corte de terraza (terreno rocoso)</v>
      </c>
      <c r="N1" s="2" t="str">
        <f>H5</f>
        <v>m3</v>
      </c>
      <c r="O1" s="2">
        <f>H56</f>
        <v>12.2</v>
      </c>
    </row>
    <row r="2" spans="1:15" s="4" customFormat="1" ht="15.75" x14ac:dyDescent="0.25">
      <c r="A2" s="103"/>
      <c r="B2" s="34" t="s">
        <v>1700</v>
      </c>
      <c r="C2" s="3">
        <f>'1.1'!$C$2</f>
        <v>0</v>
      </c>
      <c r="D2" s="5"/>
      <c r="E2" s="5"/>
      <c r="F2" s="5"/>
      <c r="G2" s="158" t="s">
        <v>1699</v>
      </c>
      <c r="H2" s="159"/>
      <c r="I2" s="5" t="s">
        <v>1698</v>
      </c>
    </row>
    <row r="3" spans="1:15" s="4" customFormat="1" ht="15.75" x14ac:dyDescent="0.25">
      <c r="A3" s="103"/>
      <c r="B3" s="34"/>
      <c r="C3" s="3">
        <f>'1.1'!$C$3</f>
        <v>0</v>
      </c>
      <c r="D3" s="5"/>
      <c r="E3" s="5"/>
      <c r="F3" s="5"/>
      <c r="G3" s="5"/>
      <c r="H3" s="5"/>
      <c r="I3" s="5"/>
    </row>
    <row r="4" spans="1:15" s="4" customFormat="1" ht="15.75" x14ac:dyDescent="0.25">
      <c r="A4" s="103"/>
      <c r="B4" s="34" t="s">
        <v>1697</v>
      </c>
      <c r="C4" s="3"/>
      <c r="D4" s="5"/>
      <c r="E4" s="5"/>
      <c r="F4" s="5"/>
      <c r="G4" s="5"/>
      <c r="H4" s="5"/>
      <c r="I4" s="5"/>
    </row>
    <row r="5" spans="1:15" x14ac:dyDescent="0.25">
      <c r="A5" s="104">
        <v>4</v>
      </c>
      <c r="B5" s="2" t="s">
        <v>1586</v>
      </c>
      <c r="C5" s="36" t="s">
        <v>872</v>
      </c>
      <c r="D5" s="5"/>
      <c r="E5" s="4"/>
      <c r="F5" s="4"/>
      <c r="G5" s="5" t="s">
        <v>1696</v>
      </c>
      <c r="H5" s="157" t="s">
        <v>1521</v>
      </c>
      <c r="I5" s="2"/>
    </row>
    <row r="6" spans="1:15" s="4" customFormat="1" x14ac:dyDescent="0.25">
      <c r="A6" s="103"/>
      <c r="B6" s="1" t="s">
        <v>1585</v>
      </c>
      <c r="C6" s="36" t="s">
        <v>873</v>
      </c>
      <c r="D6" s="5"/>
      <c r="E6" s="5"/>
      <c r="F6" s="5"/>
      <c r="G6" s="5"/>
      <c r="H6" s="5"/>
      <c r="I6" s="5"/>
    </row>
    <row r="7" spans="1:15" ht="15.75" thickBot="1" x14ac:dyDescent="0.3">
      <c r="D7" s="2"/>
      <c r="E7" s="2"/>
      <c r="F7" s="2"/>
      <c r="G7" s="2"/>
      <c r="H7" s="2"/>
      <c r="I7" s="2"/>
    </row>
    <row r="8" spans="1:15" ht="15.75" thickBot="1" x14ac:dyDescent="0.3">
      <c r="B8" s="43" t="s">
        <v>1695</v>
      </c>
      <c r="C8" s="44"/>
      <c r="D8" s="44"/>
      <c r="E8" s="44"/>
      <c r="F8" s="44"/>
      <c r="G8" s="44"/>
      <c r="H8" s="45"/>
      <c r="I8" s="2"/>
    </row>
    <row r="9" spans="1:15" ht="26.25" customHeight="1" x14ac:dyDescent="0.25">
      <c r="B9" s="46" t="s">
        <v>1409</v>
      </c>
      <c r="C9" s="47"/>
      <c r="D9" s="48" t="s">
        <v>1690</v>
      </c>
      <c r="E9" s="48" t="s">
        <v>1694</v>
      </c>
      <c r="F9" s="48" t="s">
        <v>1693</v>
      </c>
      <c r="G9" s="49" t="s">
        <v>1687</v>
      </c>
      <c r="H9" s="50" t="s">
        <v>1686</v>
      </c>
      <c r="I9" s="2"/>
    </row>
    <row r="10" spans="1:15" s="4" customFormat="1" x14ac:dyDescent="0.25">
      <c r="A10" s="103">
        <v>19015</v>
      </c>
      <c r="B10" s="51" t="str">
        <f>IF($A10=0,"",VLOOKUP($A10,'BASE EQUIPO'!$A:$D,2))</f>
        <v>HERRAMIENTA MENOR</v>
      </c>
      <c r="C10" s="52"/>
      <c r="D10" s="53">
        <v>1</v>
      </c>
      <c r="E10" s="53">
        <f>IF($A10=0,"",VLOOKUP($A10,'BASE EQUIPO'!$A:$D,4)*H26)+0.06</f>
        <v>0.15089999999999998</v>
      </c>
      <c r="F10" s="53">
        <f t="shared" ref="F10:F15" si="0">IF($A10=0,"",ROUND(D10*E10,2))</f>
        <v>0.15</v>
      </c>
      <c r="G10" s="105">
        <v>1</v>
      </c>
      <c r="H10" s="54">
        <f t="shared" ref="H10:H15" si="1">IF($A10=0,"",ROUND(G10*F10,2))</f>
        <v>0.15</v>
      </c>
      <c r="I10" s="5"/>
    </row>
    <row r="11" spans="1:15" s="185" customFormat="1" ht="14.25" x14ac:dyDescent="0.2">
      <c r="A11" s="180">
        <v>1</v>
      </c>
      <c r="B11" s="116" t="s">
        <v>222</v>
      </c>
      <c r="C11" s="181"/>
      <c r="D11" s="182">
        <v>2</v>
      </c>
      <c r="E11" s="182">
        <v>11</v>
      </c>
      <c r="F11" s="182">
        <f>IF($A11=0,"",ROUND(D11*E11,2))</f>
        <v>22</v>
      </c>
      <c r="G11" s="156">
        <v>0.11</v>
      </c>
      <c r="H11" s="183">
        <f>IF($A11=0,"",ROUND(G11*F11,2))</f>
        <v>2.42</v>
      </c>
      <c r="I11" s="184"/>
    </row>
    <row r="12" spans="1:15" s="4" customFormat="1" x14ac:dyDescent="0.25">
      <c r="A12" s="103">
        <v>19002</v>
      </c>
      <c r="B12" s="38" t="s">
        <v>221</v>
      </c>
      <c r="C12" s="2"/>
      <c r="D12" s="55">
        <v>2</v>
      </c>
      <c r="E12" s="55">
        <v>30</v>
      </c>
      <c r="F12" s="55">
        <f t="shared" si="0"/>
        <v>60</v>
      </c>
      <c r="G12" s="106">
        <v>0.11</v>
      </c>
      <c r="H12" s="56">
        <f t="shared" si="1"/>
        <v>6.6</v>
      </c>
      <c r="I12" s="5"/>
    </row>
    <row r="13" spans="1:15" s="4" customFormat="1" x14ac:dyDescent="0.25">
      <c r="A13" s="103"/>
      <c r="B13" s="38" t="str">
        <f>IF($A13=0,"",VLOOKUP($A13,'BASE EQUIPO'!$A:$D,2))</f>
        <v/>
      </c>
      <c r="C13" s="2"/>
      <c r="D13" s="55"/>
      <c r="E13" s="55" t="str">
        <f>IF($A13=0,"",VLOOKUP($A13,'BASE EQUIPO'!$A:$D,4))</f>
        <v/>
      </c>
      <c r="F13" s="55" t="str">
        <f t="shared" si="0"/>
        <v/>
      </c>
      <c r="G13" s="106"/>
      <c r="H13" s="56" t="str">
        <f t="shared" si="1"/>
        <v/>
      </c>
      <c r="I13" s="5"/>
    </row>
    <row r="14" spans="1:15" s="4" customFormat="1" x14ac:dyDescent="0.25">
      <c r="A14" s="103"/>
      <c r="B14" s="38" t="str">
        <f>IF($A14=0,"",VLOOKUP($A14,'BASE EQUIPO'!$A:$D,2))</f>
        <v/>
      </c>
      <c r="C14" s="2"/>
      <c r="D14" s="55"/>
      <c r="E14" s="55" t="str">
        <f>IF($A14=0,"",VLOOKUP($A14,'BASE EQUIPO'!$A:$D,4))</f>
        <v/>
      </c>
      <c r="F14" s="55" t="str">
        <f t="shared" si="0"/>
        <v/>
      </c>
      <c r="G14" s="106"/>
      <c r="H14" s="56" t="str">
        <f t="shared" si="1"/>
        <v/>
      </c>
      <c r="I14" s="5"/>
    </row>
    <row r="15" spans="1:15" s="4" customFormat="1" x14ac:dyDescent="0.25">
      <c r="A15" s="103"/>
      <c r="B15" s="57" t="str">
        <f>IF($A15=0,"",VLOOKUP($A15,'BASE EQUIPO'!$A:$D,2))</f>
        <v/>
      </c>
      <c r="C15" s="58"/>
      <c r="D15" s="59"/>
      <c r="E15" s="59" t="str">
        <f>IF($A15=0,"",VLOOKUP($A15,'BASE EQUIPO'!$A:$D,4))</f>
        <v/>
      </c>
      <c r="F15" s="59" t="str">
        <f t="shared" si="0"/>
        <v/>
      </c>
      <c r="G15" s="107"/>
      <c r="H15" s="60" t="str">
        <f t="shared" si="1"/>
        <v/>
      </c>
      <c r="I15" s="5"/>
    </row>
    <row r="16" spans="1:15" s="4" customFormat="1" x14ac:dyDescent="0.25">
      <c r="A16" s="103"/>
      <c r="B16" s="57" t="s">
        <v>1692</v>
      </c>
      <c r="C16" s="58"/>
      <c r="D16" s="61"/>
      <c r="E16" s="61"/>
      <c r="F16" s="61"/>
      <c r="G16" s="62"/>
      <c r="H16" s="60">
        <f>ROUND(SUM(H9:H15),2)</f>
        <v>9.17</v>
      </c>
      <c r="I16" s="5"/>
    </row>
    <row r="17" spans="1:16" s="4" customFormat="1" x14ac:dyDescent="0.25">
      <c r="A17" s="103"/>
      <c r="B17" s="38" t="s">
        <v>1503</v>
      </c>
      <c r="C17" s="2"/>
      <c r="D17" s="3"/>
      <c r="E17" s="3"/>
      <c r="F17" s="3"/>
      <c r="G17" s="63"/>
      <c r="H17" s="56"/>
      <c r="I17" s="5"/>
    </row>
    <row r="18" spans="1:16" ht="25.5" x14ac:dyDescent="0.25">
      <c r="B18" s="64" t="s">
        <v>1691</v>
      </c>
      <c r="C18" s="65"/>
      <c r="D18" s="66" t="s">
        <v>1690</v>
      </c>
      <c r="E18" s="66" t="s">
        <v>1689</v>
      </c>
      <c r="F18" s="66" t="s">
        <v>1688</v>
      </c>
      <c r="G18" s="67" t="s">
        <v>1687</v>
      </c>
      <c r="H18" s="68" t="s">
        <v>1686</v>
      </c>
      <c r="I18" s="2"/>
    </row>
    <row r="19" spans="1:16" s="4" customFormat="1" x14ac:dyDescent="0.25">
      <c r="A19" s="103"/>
      <c r="B19" s="69"/>
      <c r="C19" s="2"/>
      <c r="D19" s="108"/>
      <c r="E19" s="70"/>
      <c r="F19" s="55"/>
      <c r="G19" s="106"/>
      <c r="H19" s="56"/>
      <c r="I19" s="5"/>
    </row>
    <row r="20" spans="1:16" s="4" customFormat="1" x14ac:dyDescent="0.25">
      <c r="A20" s="103">
        <v>20002</v>
      </c>
      <c r="B20" s="69" t="str">
        <f>IF($A20=0,"",VLOOKUP($A20,'BASE M-OBRA'!$A:$D,2))</f>
        <v>PEON</v>
      </c>
      <c r="C20" s="2"/>
      <c r="D20" s="108">
        <v>6</v>
      </c>
      <c r="E20" s="70">
        <f>IF($A20=0,"",VLOOKUP($A20,'BASE M-OBRA'!$A:$D,4))</f>
        <v>2.79</v>
      </c>
      <c r="F20" s="55">
        <f t="shared" ref="F20:F25" si="2">IF($A20=0,"",ROUND(D20*E20,2))</f>
        <v>16.739999999999998</v>
      </c>
      <c r="G20" s="106">
        <v>0.105</v>
      </c>
      <c r="H20" s="56">
        <f t="shared" ref="H20:H25" si="3">IF($A20=0,"",ROUND(G20*F20,2))</f>
        <v>1.76</v>
      </c>
      <c r="I20" s="5"/>
    </row>
    <row r="21" spans="1:16" s="4" customFormat="1" x14ac:dyDescent="0.25">
      <c r="A21" s="103">
        <v>20012</v>
      </c>
      <c r="B21" s="69" t="str">
        <f>IF($A21=0,"",VLOOKUP($A21,'BASE M-OBRA'!$A:$D,2))</f>
        <v>OP.EQUIPO PESADO</v>
      </c>
      <c r="C21" s="2"/>
      <c r="D21" s="108">
        <v>4</v>
      </c>
      <c r="E21" s="70">
        <f>IF($A21=0,"",VLOOKUP($A21,'BASE M-OBRA'!$A:$D,4))</f>
        <v>3.02</v>
      </c>
      <c r="F21" s="55">
        <f t="shared" si="2"/>
        <v>12.08</v>
      </c>
      <c r="G21" s="106">
        <f>+G20</f>
        <v>0.105</v>
      </c>
      <c r="H21" s="56">
        <f t="shared" si="3"/>
        <v>1.27</v>
      </c>
      <c r="I21" s="5"/>
    </row>
    <row r="22" spans="1:16" s="4" customFormat="1" x14ac:dyDescent="0.25">
      <c r="A22" s="103"/>
      <c r="B22" s="71" t="str">
        <f>IF($A22=0,"",VLOOKUP($A22,'BASE M-OBRA'!$A:$D,2))</f>
        <v/>
      </c>
      <c r="C22" s="2"/>
      <c r="D22" s="108"/>
      <c r="E22" s="70" t="str">
        <f>IF($A22=0,"",VLOOKUP($A22,'BASE M-OBRA'!$A:$D,4))</f>
        <v/>
      </c>
      <c r="F22" s="55" t="str">
        <f t="shared" si="2"/>
        <v/>
      </c>
      <c r="G22" s="106"/>
      <c r="H22" s="56" t="str">
        <f t="shared" si="3"/>
        <v/>
      </c>
      <c r="I22" s="5"/>
    </row>
    <row r="23" spans="1:16" s="4" customFormat="1" x14ac:dyDescent="0.25">
      <c r="A23" s="103"/>
      <c r="B23" s="72" t="str">
        <f>IF($A23=0,"",VLOOKUP($A23,'BASE M-OBRA'!$A:$D,2))</f>
        <v/>
      </c>
      <c r="C23" s="2"/>
      <c r="D23" s="108"/>
      <c r="E23" s="70" t="str">
        <f>IF($A23=0,"",VLOOKUP($A23,'BASE M-OBRA'!$A:$D,4))</f>
        <v/>
      </c>
      <c r="F23" s="55" t="str">
        <f t="shared" si="2"/>
        <v/>
      </c>
      <c r="G23" s="106"/>
      <c r="H23" s="56" t="str">
        <f t="shared" si="3"/>
        <v/>
      </c>
      <c r="I23" s="5"/>
    </row>
    <row r="24" spans="1:16" s="4" customFormat="1" x14ac:dyDescent="0.25">
      <c r="A24" s="103"/>
      <c r="B24" s="38" t="str">
        <f>IF($A24=0,"",VLOOKUP($A24,'BASE M-OBRA'!$A:$D,2))</f>
        <v/>
      </c>
      <c r="C24" s="2"/>
      <c r="D24" s="55"/>
      <c r="E24" s="55" t="str">
        <f>IF($A24=0,"",VLOOKUP($A24,'BASE M-OBRA'!$A:$D,4))</f>
        <v/>
      </c>
      <c r="F24" s="55" t="str">
        <f t="shared" si="2"/>
        <v/>
      </c>
      <c r="G24" s="106"/>
      <c r="H24" s="56" t="str">
        <f t="shared" si="3"/>
        <v/>
      </c>
      <c r="I24" s="5"/>
    </row>
    <row r="25" spans="1:16" s="4" customFormat="1" x14ac:dyDescent="0.25">
      <c r="A25" s="103"/>
      <c r="B25" s="57" t="str">
        <f>IF($A25=0,"",VLOOKUP($A25,'BASE M-OBRA'!$A:$D,2))</f>
        <v/>
      </c>
      <c r="C25" s="58"/>
      <c r="D25" s="59"/>
      <c r="E25" s="59" t="str">
        <f>IF($A25=0,"",VLOOKUP($A25,'BASE M-OBRA'!$A:$D,4))</f>
        <v/>
      </c>
      <c r="F25" s="59" t="str">
        <f t="shared" si="2"/>
        <v/>
      </c>
      <c r="G25" s="107"/>
      <c r="H25" s="60" t="str">
        <f t="shared" si="3"/>
        <v/>
      </c>
      <c r="I25" s="5"/>
    </row>
    <row r="26" spans="1:16" s="4" customFormat="1" x14ac:dyDescent="0.25">
      <c r="A26" s="103"/>
      <c r="B26" s="73" t="s">
        <v>1685</v>
      </c>
      <c r="C26" s="65"/>
      <c r="D26" s="74"/>
      <c r="E26" s="74"/>
      <c r="F26" s="74"/>
      <c r="G26" s="74"/>
      <c r="H26" s="75">
        <f>ROUND(SUM(H18:H25),2)</f>
        <v>3.03</v>
      </c>
      <c r="I26" s="5"/>
    </row>
    <row r="27" spans="1:16" s="4" customFormat="1" x14ac:dyDescent="0.25">
      <c r="A27" s="103"/>
      <c r="B27" s="38" t="s">
        <v>1684</v>
      </c>
      <c r="C27" s="2"/>
      <c r="D27" s="3"/>
      <c r="E27" s="3"/>
      <c r="F27" s="3"/>
      <c r="G27" s="3"/>
      <c r="H27" s="56"/>
      <c r="I27" s="5"/>
    </row>
    <row r="28" spans="1:16" ht="25.5" x14ac:dyDescent="0.25">
      <c r="B28" s="64" t="s">
        <v>1409</v>
      </c>
      <c r="C28" s="65"/>
      <c r="D28" s="76"/>
      <c r="E28" s="66" t="s">
        <v>1408</v>
      </c>
      <c r="F28" s="66" t="s">
        <v>1679</v>
      </c>
      <c r="G28" s="66" t="s">
        <v>1683</v>
      </c>
      <c r="H28" s="68" t="s">
        <v>1675</v>
      </c>
      <c r="I28" s="2"/>
    </row>
    <row r="29" spans="1:16" s="4" customFormat="1" x14ac:dyDescent="0.25">
      <c r="A29" s="103"/>
      <c r="B29" s="37" t="str">
        <f>IF($A29=0,"",VLOOKUP($A29,'BASE MATERIAL'!$A:$D,2))</f>
        <v/>
      </c>
      <c r="C29" s="2"/>
      <c r="D29" s="77"/>
      <c r="E29" s="78" t="str">
        <f>IF($A29=0,"",VLOOKUP($A29,'BASE MATERIAL'!$A:$D,3))</f>
        <v/>
      </c>
      <c r="F29" s="55"/>
      <c r="G29" s="55" t="str">
        <f>IF($A29=0,"",VLOOKUP($A29,'BASE MATERIAL'!$A:$D,4))</f>
        <v/>
      </c>
      <c r="H29" s="56" t="str">
        <f t="shared" ref="H29:H43" si="4">IF($A29=0,"",ROUND(F29*G29,2))</f>
        <v/>
      </c>
      <c r="I29" s="5"/>
      <c r="L29" s="5"/>
      <c r="M29" s="5"/>
      <c r="N29" s="160"/>
      <c r="O29" s="5"/>
      <c r="P29" s="5"/>
    </row>
    <row r="30" spans="1:16" s="4" customFormat="1" x14ac:dyDescent="0.25">
      <c r="A30" s="103"/>
      <c r="B30" s="38" t="str">
        <f>IF($A30=0,"",VLOOKUP($A30,'BASE MATERIAL'!$A:$D,2))</f>
        <v/>
      </c>
      <c r="C30" s="2"/>
      <c r="D30" s="77"/>
      <c r="E30" s="78" t="str">
        <f>IF($A30=0,"",VLOOKUP($A30,'BASE MATERIAL'!$A:$D,3))</f>
        <v/>
      </c>
      <c r="F30" s="55"/>
      <c r="G30" s="55" t="str">
        <f>IF($A30=0,"",VLOOKUP($A30,'BASE MATERIAL'!$A:$D,4))</f>
        <v/>
      </c>
      <c r="H30" s="56" t="str">
        <f t="shared" si="4"/>
        <v/>
      </c>
      <c r="I30" s="5"/>
      <c r="L30" s="5"/>
      <c r="M30" s="5"/>
      <c r="N30" s="160"/>
      <c r="O30" s="5"/>
      <c r="P30" s="5"/>
    </row>
    <row r="31" spans="1:16" s="4" customFormat="1" x14ac:dyDescent="0.25">
      <c r="A31" s="103"/>
      <c r="B31" s="38" t="str">
        <f>IF($A31=0,"",VLOOKUP($A31,'BASE MATERIAL'!$A:$D,2))</f>
        <v/>
      </c>
      <c r="C31" s="2"/>
      <c r="D31" s="77"/>
      <c r="E31" s="78" t="str">
        <f>IF($A31=0,"",VLOOKUP($A31,'BASE MATERIAL'!$A:$D,3))</f>
        <v/>
      </c>
      <c r="F31" s="55"/>
      <c r="G31" s="55" t="str">
        <f>IF($A31=0,"",VLOOKUP($A31,'BASE MATERIAL'!$A:$D,4))</f>
        <v/>
      </c>
      <c r="H31" s="56" t="str">
        <f t="shared" si="4"/>
        <v/>
      </c>
      <c r="I31" s="5"/>
      <c r="L31" s="5"/>
      <c r="M31" s="5"/>
      <c r="N31" s="160"/>
      <c r="O31" s="5"/>
      <c r="P31" s="5"/>
    </row>
    <row r="32" spans="1:16" s="4" customFormat="1" x14ac:dyDescent="0.25">
      <c r="A32" s="103"/>
      <c r="B32" s="38" t="str">
        <f>IF($A32=0,"",VLOOKUP($A32,'BASE MATERIAL'!$A:$D,2))</f>
        <v/>
      </c>
      <c r="C32" s="2"/>
      <c r="D32" s="77"/>
      <c r="E32" s="78" t="str">
        <f>IF($A32=0,"",VLOOKUP($A32,'BASE MATERIAL'!$A:$D,3))</f>
        <v/>
      </c>
      <c r="F32" s="55"/>
      <c r="G32" s="55" t="str">
        <f>IF($A32=0,"",VLOOKUP($A32,'BASE MATERIAL'!$A:$D,4))</f>
        <v/>
      </c>
      <c r="H32" s="56" t="str">
        <f t="shared" si="4"/>
        <v/>
      </c>
      <c r="I32" s="5"/>
      <c r="L32" s="5"/>
      <c r="M32" s="5"/>
      <c r="N32" s="160"/>
      <c r="O32" s="5"/>
      <c r="P32" s="5"/>
    </row>
    <row r="33" spans="1:16" ht="14.25" x14ac:dyDescent="0.2">
      <c r="A33" s="4"/>
      <c r="B33" s="161" t="str">
        <f>IF($A33=0,"",VLOOKUP($A33,'BASE MATERIAL'!$A:$D,2))</f>
        <v/>
      </c>
      <c r="C33" s="5"/>
      <c r="D33" s="6"/>
      <c r="E33" s="162" t="str">
        <f>IF($A33=0,"",VLOOKUP($A33,'BASE MATERIAL'!$A:$D,3))</f>
        <v/>
      </c>
      <c r="F33" s="163"/>
      <c r="G33" s="163" t="str">
        <f>IF($A33=0,"",VLOOKUP($A33,'BASE MATERIAL'!$A:$D,4))</f>
        <v/>
      </c>
      <c r="H33" s="164" t="str">
        <f t="shared" si="4"/>
        <v/>
      </c>
      <c r="I33" s="2"/>
      <c r="L33" s="2"/>
      <c r="M33" s="2"/>
      <c r="N33" s="39"/>
      <c r="O33" s="2"/>
      <c r="P33" s="2"/>
    </row>
    <row r="34" spans="1:16" s="4" customFormat="1" ht="14.25" x14ac:dyDescent="0.2">
      <c r="A34" s="1"/>
      <c r="B34" s="38" t="str">
        <f>IF($A34=0,"",VLOOKUP($A34,'BASE MATERIAL'!$A:$D,2))</f>
        <v/>
      </c>
      <c r="C34" s="2"/>
      <c r="D34" s="77"/>
      <c r="E34" s="78" t="str">
        <f>IF($A34=0,"",VLOOKUP($A34,'BASE MATERIAL'!$A:$D,3))</f>
        <v/>
      </c>
      <c r="F34" s="55"/>
      <c r="G34" s="55" t="str">
        <f>IF($A34=0,"",VLOOKUP($A34,'BASE MATERIAL'!$A:$D,4))</f>
        <v/>
      </c>
      <c r="H34" s="56" t="str">
        <f t="shared" si="4"/>
        <v/>
      </c>
      <c r="I34" s="5"/>
      <c r="L34" s="5"/>
      <c r="M34" s="5"/>
      <c r="N34" s="160"/>
      <c r="O34" s="5"/>
      <c r="P34" s="5"/>
    </row>
    <row r="35" spans="1:16" ht="14.25" x14ac:dyDescent="0.2">
      <c r="A35" s="4"/>
      <c r="B35" s="161" t="str">
        <f>IF($A35=0,"",VLOOKUP($A35,'BASE MATERIAL'!$A:$D,2))</f>
        <v/>
      </c>
      <c r="C35" s="5"/>
      <c r="D35" s="6"/>
      <c r="E35" s="162" t="str">
        <f>IF($A35=0,"",VLOOKUP($A35,'BASE MATERIAL'!$A:$D,3))</f>
        <v/>
      </c>
      <c r="F35" s="163"/>
      <c r="G35" s="163" t="str">
        <f>IF($A35=0,"",VLOOKUP($A35,'BASE MATERIAL'!$A:$D,4))</f>
        <v/>
      </c>
      <c r="H35" s="164" t="str">
        <f t="shared" si="4"/>
        <v/>
      </c>
      <c r="I35" s="2"/>
      <c r="L35" s="2"/>
      <c r="M35" s="2"/>
      <c r="N35" s="39"/>
      <c r="O35" s="2"/>
      <c r="P35" s="2"/>
    </row>
    <row r="36" spans="1:16" s="4" customFormat="1" ht="14.25" x14ac:dyDescent="0.2">
      <c r="A36" s="1"/>
      <c r="B36" s="38" t="str">
        <f>IF($A36=0,"",VLOOKUP($A36,'BASE MATERIAL'!$A:$D,2))</f>
        <v/>
      </c>
      <c r="C36" s="2"/>
      <c r="D36" s="77"/>
      <c r="E36" s="78" t="str">
        <f>IF($A36=0,"",VLOOKUP($A36,'BASE MATERIAL'!$A:$D,3))</f>
        <v/>
      </c>
      <c r="F36" s="55"/>
      <c r="G36" s="55" t="str">
        <f>IF($A36=0,"",VLOOKUP($A36,'BASE MATERIAL'!$A:$D,4))</f>
        <v/>
      </c>
      <c r="H36" s="56" t="str">
        <f t="shared" si="4"/>
        <v/>
      </c>
      <c r="I36" s="5"/>
      <c r="L36" s="5"/>
      <c r="M36" s="5"/>
      <c r="N36" s="160"/>
      <c r="O36" s="5"/>
      <c r="P36" s="5"/>
    </row>
    <row r="37" spans="1:16" ht="14.25" x14ac:dyDescent="0.2">
      <c r="A37" s="4"/>
      <c r="B37" s="161" t="str">
        <f>IF($A37=0,"",VLOOKUP($A37,'BASE MATERIAL'!$A:$D,2))</f>
        <v/>
      </c>
      <c r="C37" s="5"/>
      <c r="D37" s="6"/>
      <c r="E37" s="162" t="str">
        <f>IF($A37=0,"",VLOOKUP($A37,'BASE MATERIAL'!$A:$D,3))</f>
        <v/>
      </c>
      <c r="F37" s="163"/>
      <c r="G37" s="163" t="str">
        <f>IF($A37=0,"",VLOOKUP($A37,'BASE MATERIAL'!$A:$D,4))</f>
        <v/>
      </c>
      <c r="H37" s="164" t="str">
        <f t="shared" si="4"/>
        <v/>
      </c>
      <c r="I37" s="2"/>
    </row>
    <row r="38" spans="1:16" s="4" customFormat="1" ht="14.25" x14ac:dyDescent="0.2">
      <c r="A38" s="1"/>
      <c r="B38" s="38" t="str">
        <f>IF($A38=0,"",VLOOKUP($A38,'BASE MATERIAL'!$A:$D,2))</f>
        <v/>
      </c>
      <c r="C38" s="2"/>
      <c r="D38" s="77"/>
      <c r="E38" s="78" t="str">
        <f>IF($A38=0,"",VLOOKUP($A38,'BASE MATERIAL'!$A:$D,3))</f>
        <v/>
      </c>
      <c r="F38" s="55"/>
      <c r="G38" s="55" t="str">
        <f>IF($A38=0,"",VLOOKUP($A38,'BASE MATERIAL'!$A:$D,4))</f>
        <v/>
      </c>
      <c r="H38" s="56" t="str">
        <f t="shared" si="4"/>
        <v/>
      </c>
      <c r="I38" s="5"/>
      <c r="L38" s="5"/>
      <c r="M38" s="5"/>
      <c r="N38" s="160"/>
      <c r="O38" s="5"/>
      <c r="P38" s="5"/>
    </row>
    <row r="39" spans="1:16" ht="14.25" x14ac:dyDescent="0.2">
      <c r="A39" s="4"/>
      <c r="B39" s="161" t="str">
        <f>IF($A39=0,"",VLOOKUP($A39,'BASE MATERIAL'!$A:$D,2))</f>
        <v/>
      </c>
      <c r="C39" s="5"/>
      <c r="D39" s="6"/>
      <c r="E39" s="162" t="str">
        <f>IF($A39=0,"",VLOOKUP($A39,'BASE MATERIAL'!$A:$D,3))</f>
        <v/>
      </c>
      <c r="F39" s="163"/>
      <c r="G39" s="163" t="str">
        <f>IF($A39=0,"",VLOOKUP($A39,'BASE MATERIAL'!$A:$D,4))</f>
        <v/>
      </c>
      <c r="H39" s="164" t="str">
        <f t="shared" si="4"/>
        <v/>
      </c>
      <c r="I39" s="2"/>
      <c r="L39" s="2"/>
      <c r="M39" s="2"/>
      <c r="N39" s="39"/>
      <c r="O39" s="2"/>
      <c r="P39" s="2"/>
    </row>
    <row r="40" spans="1:16" s="4" customFormat="1" ht="14.25" x14ac:dyDescent="0.2">
      <c r="A40" s="1"/>
      <c r="B40" s="38" t="str">
        <f>IF($A40=0,"",VLOOKUP($A40,'BASE MATERIAL'!$A:$D,2))</f>
        <v/>
      </c>
      <c r="C40" s="2"/>
      <c r="D40" s="77"/>
      <c r="E40" s="78" t="str">
        <f>IF($A40=0,"",VLOOKUP($A40,'BASE MATERIAL'!$A:$D,3))</f>
        <v/>
      </c>
      <c r="F40" s="55"/>
      <c r="G40" s="55" t="str">
        <f>IF($A40=0,"",VLOOKUP($A40,'BASE MATERIAL'!$A:$D,4))</f>
        <v/>
      </c>
      <c r="H40" s="56" t="str">
        <f t="shared" si="4"/>
        <v/>
      </c>
      <c r="I40" s="5"/>
    </row>
    <row r="41" spans="1:16" ht="14.25" x14ac:dyDescent="0.2">
      <c r="A41" s="4"/>
      <c r="B41" s="161" t="str">
        <f>IF($A41=0,"",VLOOKUP($A41,'BASE MATERIAL'!$A:$D,2))</f>
        <v/>
      </c>
      <c r="C41" s="5"/>
      <c r="D41" s="6"/>
      <c r="E41" s="162" t="str">
        <f>IF($A41=0,"",VLOOKUP($A41,'BASE MATERIAL'!$A:$D,3))</f>
        <v/>
      </c>
      <c r="F41" s="163"/>
      <c r="G41" s="163" t="str">
        <f>IF($A41=0,"",VLOOKUP($A41,'BASE MATERIAL'!$A:$D,4))</f>
        <v/>
      </c>
      <c r="H41" s="164" t="str">
        <f t="shared" si="4"/>
        <v/>
      </c>
      <c r="I41" s="2"/>
    </row>
    <row r="42" spans="1:16" s="4" customFormat="1" ht="14.25" x14ac:dyDescent="0.2">
      <c r="A42" s="1"/>
      <c r="B42" s="38" t="str">
        <f>IF($A42=0,"",VLOOKUP($A42,'BASE MATERIAL'!$A:$D,2))</f>
        <v/>
      </c>
      <c r="C42" s="2"/>
      <c r="D42" s="77"/>
      <c r="E42" s="78" t="str">
        <f>IF($A42=0,"",VLOOKUP($A42,'BASE MATERIAL'!$A:$D,3))</f>
        <v/>
      </c>
      <c r="F42" s="55"/>
      <c r="G42" s="55" t="str">
        <f>IF($A42=0,"",VLOOKUP($A42,'BASE MATERIAL'!$A:$D,4))</f>
        <v/>
      </c>
      <c r="H42" s="56" t="str">
        <f t="shared" si="4"/>
        <v/>
      </c>
      <c r="I42" s="5"/>
    </row>
    <row r="43" spans="1:16" ht="14.25" x14ac:dyDescent="0.2">
      <c r="A43" s="4"/>
      <c r="B43" s="161" t="str">
        <f>IF($A43=0,"",VLOOKUP($A43,'BASE MATERIAL'!$A:$D,2))</f>
        <v/>
      </c>
      <c r="C43" s="5"/>
      <c r="D43" s="6"/>
      <c r="E43" s="162" t="str">
        <f>IF($A43=0,"",VLOOKUP($A43,'BASE MATERIAL'!$A:$D,3))</f>
        <v/>
      </c>
      <c r="F43" s="163"/>
      <c r="G43" s="163" t="str">
        <f>IF($A43=0,"",VLOOKUP($A43,'BASE MATERIAL'!$A:$D,4))</f>
        <v/>
      </c>
      <c r="H43" s="164" t="str">
        <f t="shared" si="4"/>
        <v/>
      </c>
      <c r="I43" s="2"/>
    </row>
    <row r="44" spans="1:16" s="4" customFormat="1" ht="14.25" x14ac:dyDescent="0.2">
      <c r="A44" s="1"/>
      <c r="B44" s="38" t="str">
        <f>IF($A44=0,"",VLOOKUP($A44,'BASE MATERIAL'!$A:$D,2))</f>
        <v/>
      </c>
      <c r="C44" s="2"/>
      <c r="D44" s="81" t="s">
        <v>1682</v>
      </c>
      <c r="E44" s="55" t="str">
        <f>IF($A44=0,"",VLOOKUP($A44,'BASE MATERIAL'!$A:$D,3))</f>
        <v/>
      </c>
      <c r="F44" s="55" t="s">
        <v>1682</v>
      </c>
      <c r="G44" s="55" t="str">
        <f>IF($A44=0,"",VLOOKUP($A44,'BASE MATERIAL'!$A:$D,4))</f>
        <v/>
      </c>
      <c r="H44" s="56" t="str">
        <f>IF($A44=0,"",ROUND(E44*F44,2))</f>
        <v/>
      </c>
      <c r="I44" s="5"/>
    </row>
    <row r="45" spans="1:16" ht="14.25" x14ac:dyDescent="0.2">
      <c r="A45" s="4"/>
      <c r="B45" s="165" t="s">
        <v>1681</v>
      </c>
      <c r="C45" s="166"/>
      <c r="D45" s="167"/>
      <c r="E45" s="167"/>
      <c r="F45" s="167"/>
      <c r="G45" s="167"/>
      <c r="H45" s="168">
        <f>ROUND(SUM(H28:H44),2)</f>
        <v>0</v>
      </c>
      <c r="I45" s="2"/>
    </row>
    <row r="46" spans="1:16" s="4" customFormat="1" ht="14.25" x14ac:dyDescent="0.2">
      <c r="A46" s="1"/>
      <c r="B46" s="38" t="s">
        <v>1680</v>
      </c>
      <c r="C46" s="2"/>
      <c r="D46" s="3"/>
      <c r="E46" s="3"/>
      <c r="F46" s="3"/>
      <c r="G46" s="3"/>
      <c r="H46" s="56"/>
      <c r="I46" s="5"/>
    </row>
    <row r="47" spans="1:16" s="4" customFormat="1" ht="25.5" x14ac:dyDescent="0.2">
      <c r="B47" s="169" t="s">
        <v>1409</v>
      </c>
      <c r="C47" s="166"/>
      <c r="D47" s="170"/>
      <c r="E47" s="171" t="s">
        <v>1408</v>
      </c>
      <c r="F47" s="171" t="s">
        <v>1679</v>
      </c>
      <c r="G47" s="171" t="s">
        <v>1676</v>
      </c>
      <c r="H47" s="172" t="s">
        <v>1675</v>
      </c>
      <c r="I47" s="5"/>
    </row>
    <row r="48" spans="1:16" ht="14.25" x14ac:dyDescent="0.2">
      <c r="A48" s="4"/>
      <c r="B48" s="173"/>
      <c r="C48" s="174"/>
      <c r="D48" s="175"/>
      <c r="E48" s="162"/>
      <c r="F48" s="163"/>
      <c r="G48" s="176"/>
      <c r="H48" s="164" t="str">
        <f>IF($A48=0,"",ROUND(F48*G48,2))</f>
        <v/>
      </c>
      <c r="I48" s="2"/>
    </row>
    <row r="49" spans="1:15" s="4" customFormat="1" x14ac:dyDescent="0.25">
      <c r="A49" s="103"/>
      <c r="B49" s="38" t="str">
        <f>IF($A49=0,"",VLOOKUP($A49,'BASE EQUIPO'!$A:$D,2))</f>
        <v/>
      </c>
      <c r="C49" s="2"/>
      <c r="D49" s="84"/>
      <c r="E49" s="78" t="str">
        <f>IF($A49=0,"",VLOOKUP($A49,'BASE EQUIPO'!$A:$D,3))</f>
        <v/>
      </c>
      <c r="F49" s="55"/>
      <c r="G49" s="55" t="str">
        <f>IF($A49=0,"",VLOOKUP($A49,'BASE EQUIPO'!$A:$D,4)*H46)</f>
        <v/>
      </c>
      <c r="H49" s="56" t="str">
        <f>IF($A49=0,"",ROUND(F49*G49,2))</f>
        <v/>
      </c>
      <c r="I49" s="5"/>
    </row>
    <row r="50" spans="1:15" s="4" customFormat="1" x14ac:dyDescent="0.25">
      <c r="A50" s="103"/>
      <c r="B50" s="57" t="str">
        <f>IF($A50=0,"",VLOOKUP($A50,'BASE EQUIPO'!$A:$D,2))</f>
        <v/>
      </c>
      <c r="C50" s="58"/>
      <c r="D50" s="85"/>
      <c r="E50" s="86" t="str">
        <f>IF($A50=0,"",VLOOKUP($A50,'BASE EQUIPO'!$A:$D,3))</f>
        <v/>
      </c>
      <c r="F50" s="59"/>
      <c r="G50" s="59" t="str">
        <f>IF($A50=0,"",VLOOKUP($A50,'BASE EQUIPO'!$A:$D,4)*H47)</f>
        <v/>
      </c>
      <c r="H50" s="60" t="str">
        <f>IF($A50=0,"",ROUND(F50*G50,2))</f>
        <v/>
      </c>
      <c r="I50" s="5"/>
    </row>
    <row r="51" spans="1:15" s="4" customFormat="1" ht="15.75" thickBot="1" x14ac:dyDescent="0.3">
      <c r="A51" s="103"/>
      <c r="B51" s="87" t="s">
        <v>1674</v>
      </c>
      <c r="C51" s="88"/>
      <c r="D51" s="89"/>
      <c r="E51" s="89"/>
      <c r="F51" s="89"/>
      <c r="G51" s="89"/>
      <c r="H51" s="90">
        <f>ROUND(SUM(H47:H50),2)</f>
        <v>0</v>
      </c>
      <c r="I51" s="5"/>
    </row>
    <row r="52" spans="1:15" s="4" customFormat="1" ht="15.75" x14ac:dyDescent="0.25">
      <c r="A52" s="103"/>
      <c r="B52" s="2"/>
      <c r="C52" s="2"/>
      <c r="D52" s="91" t="s">
        <v>1673</v>
      </c>
      <c r="E52" s="177"/>
      <c r="F52" s="177"/>
      <c r="G52" s="177"/>
      <c r="H52" s="92">
        <f>ROUND(SUM(H51,H45,H26,H16),2)</f>
        <v>12.2</v>
      </c>
      <c r="I52" s="5"/>
      <c r="K52" s="7"/>
      <c r="L52" s="7"/>
    </row>
    <row r="53" spans="1:15" s="4" customFormat="1" ht="15.75" x14ac:dyDescent="0.25">
      <c r="A53" s="103">
        <v>40002</v>
      </c>
      <c r="B53" s="2"/>
      <c r="C53" s="2"/>
      <c r="D53" s="93" t="s">
        <v>1672</v>
      </c>
      <c r="E53" s="166"/>
      <c r="F53" s="166"/>
      <c r="G53" s="178">
        <f>IF($A53=0,"",VLOOKUP($A53,'BASE MATERIAL'!$M:$P,4))</f>
        <v>0</v>
      </c>
      <c r="H53" s="95">
        <f>IF($A53=0,"",ROUND(G53*H52,2))</f>
        <v>0</v>
      </c>
      <c r="I53" s="5"/>
      <c r="K53" s="7"/>
      <c r="L53" s="7"/>
    </row>
    <row r="54" spans="1:15" s="4" customFormat="1" ht="15.75" x14ac:dyDescent="0.25">
      <c r="A54" s="103">
        <v>40003</v>
      </c>
      <c r="B54" s="2"/>
      <c r="C54" s="2"/>
      <c r="D54" s="93" t="s">
        <v>1671</v>
      </c>
      <c r="E54" s="166"/>
      <c r="F54" s="166"/>
      <c r="G54" s="178">
        <f>IF($A54=0,"",VLOOKUP($A54,'BASE MATERIAL'!$M:$P,4))</f>
        <v>0</v>
      </c>
      <c r="H54" s="95">
        <f>IF($A54=0,"",ROUND(G54*H52,2))</f>
        <v>0</v>
      </c>
      <c r="I54" s="5"/>
      <c r="K54" s="7"/>
      <c r="L54" s="7"/>
    </row>
    <row r="55" spans="1:15" s="4" customFormat="1" ht="15.75" x14ac:dyDescent="0.25">
      <c r="A55" s="103"/>
      <c r="B55" s="2"/>
      <c r="C55" s="2"/>
      <c r="D55" s="93" t="s">
        <v>1670</v>
      </c>
      <c r="E55" s="166"/>
      <c r="F55" s="166"/>
      <c r="G55" s="166"/>
      <c r="H55" s="96">
        <f>ROUND(SUM(H52:H54),2)</f>
        <v>12.2</v>
      </c>
      <c r="I55" s="5"/>
      <c r="K55" s="7"/>
      <c r="L55" s="7"/>
    </row>
    <row r="56" spans="1:15" s="4" customFormat="1" ht="16.5" thickBot="1" x14ac:dyDescent="0.3">
      <c r="A56" s="103"/>
      <c r="B56" s="25"/>
      <c r="C56" s="5"/>
      <c r="D56" s="97" t="s">
        <v>1650</v>
      </c>
      <c r="E56" s="179"/>
      <c r="F56" s="179"/>
      <c r="G56" s="179"/>
      <c r="H56" s="98">
        <f>ROUND(H55,2)</f>
        <v>12.2</v>
      </c>
      <c r="I56" s="5"/>
      <c r="K56" s="7">
        <v>11.38</v>
      </c>
      <c r="L56" s="7"/>
    </row>
    <row r="57" spans="1:15" ht="15.75" x14ac:dyDescent="0.25">
      <c r="B57" s="34" t="s">
        <v>1701</v>
      </c>
      <c r="C57" s="5"/>
      <c r="D57" s="157" t="str">
        <f>$D$1</f>
        <v>ESPOL</v>
      </c>
      <c r="E57" s="2"/>
      <c r="F57" s="2"/>
      <c r="H57" s="2" t="s">
        <v>108</v>
      </c>
      <c r="I57" s="2"/>
      <c r="L57" s="40">
        <f>A61</f>
        <v>6</v>
      </c>
      <c r="M57" s="1" t="str">
        <f>C62</f>
        <v>Relleno y compactacion en terraza (material de sitio)</v>
      </c>
      <c r="N57" s="2" t="str">
        <f>H61</f>
        <v>m3</v>
      </c>
      <c r="O57" s="2">
        <f>H112</f>
        <v>6.82</v>
      </c>
    </row>
    <row r="58" spans="1:15" s="4" customFormat="1" ht="15.75" x14ac:dyDescent="0.25">
      <c r="A58" s="103"/>
      <c r="B58" s="34" t="s">
        <v>1700</v>
      </c>
      <c r="C58" s="3">
        <f>'1.1'!$C$2</f>
        <v>0</v>
      </c>
      <c r="D58" s="5"/>
      <c r="E58" s="5"/>
      <c r="F58" s="5"/>
      <c r="G58" s="158" t="s">
        <v>1699</v>
      </c>
      <c r="H58" s="159"/>
      <c r="I58" s="5" t="s">
        <v>1698</v>
      </c>
    </row>
    <row r="59" spans="1:15" s="4" customFormat="1" ht="15.75" x14ac:dyDescent="0.25">
      <c r="A59" s="103"/>
      <c r="B59" s="34"/>
      <c r="C59" s="3">
        <f>'1.1'!$C$3</f>
        <v>0</v>
      </c>
      <c r="D59" s="5"/>
      <c r="E59" s="5"/>
      <c r="F59" s="5"/>
      <c r="G59" s="5"/>
      <c r="H59" s="5"/>
      <c r="I59" s="5"/>
    </row>
    <row r="60" spans="1:15" s="4" customFormat="1" ht="15.75" x14ac:dyDescent="0.25">
      <c r="A60" s="103"/>
      <c r="B60" s="34" t="s">
        <v>1697</v>
      </c>
      <c r="C60" s="3"/>
      <c r="D60" s="5"/>
      <c r="E60" s="5"/>
      <c r="F60" s="5"/>
      <c r="G60" s="5"/>
      <c r="H60" s="5"/>
      <c r="I60" s="5"/>
    </row>
    <row r="61" spans="1:15" x14ac:dyDescent="0.25">
      <c r="A61" s="104">
        <v>6</v>
      </c>
      <c r="B61" s="2" t="s">
        <v>1586</v>
      </c>
      <c r="C61" s="36" t="s">
        <v>876</v>
      </c>
      <c r="D61" s="5"/>
      <c r="E61" s="4"/>
      <c r="F61" s="4"/>
      <c r="G61" s="5" t="s">
        <v>1696</v>
      </c>
      <c r="H61" s="157" t="s">
        <v>1521</v>
      </c>
      <c r="I61" s="2"/>
    </row>
    <row r="62" spans="1:15" s="4" customFormat="1" x14ac:dyDescent="0.25">
      <c r="A62" s="103"/>
      <c r="B62" s="1" t="s">
        <v>1585</v>
      </c>
      <c r="C62" s="36" t="s">
        <v>874</v>
      </c>
      <c r="D62" s="5"/>
      <c r="E62" s="5"/>
      <c r="F62" s="5"/>
      <c r="G62" s="5"/>
      <c r="H62" s="5"/>
      <c r="I62" s="5"/>
    </row>
    <row r="63" spans="1:15" ht="15.75" thickBot="1" x14ac:dyDescent="0.3">
      <c r="D63" s="2"/>
      <c r="E63" s="2"/>
      <c r="F63" s="2"/>
      <c r="G63" s="2"/>
      <c r="H63" s="2"/>
      <c r="I63" s="2"/>
    </row>
    <row r="64" spans="1:15" ht="15.75" thickBot="1" x14ac:dyDescent="0.3">
      <c r="B64" s="43" t="s">
        <v>1695</v>
      </c>
      <c r="C64" s="44"/>
      <c r="D64" s="44"/>
      <c r="E64" s="44"/>
      <c r="F64" s="44"/>
      <c r="G64" s="44"/>
      <c r="H64" s="45"/>
      <c r="I64" s="2"/>
    </row>
    <row r="65" spans="1:9" ht="26.25" customHeight="1" x14ac:dyDescent="0.25">
      <c r="B65" s="46" t="s">
        <v>1409</v>
      </c>
      <c r="C65" s="47"/>
      <c r="D65" s="48" t="s">
        <v>1690</v>
      </c>
      <c r="E65" s="48" t="s">
        <v>1694</v>
      </c>
      <c r="F65" s="48" t="s">
        <v>1693</v>
      </c>
      <c r="G65" s="49" t="s">
        <v>1687</v>
      </c>
      <c r="H65" s="50" t="s">
        <v>1686</v>
      </c>
      <c r="I65" s="2"/>
    </row>
    <row r="66" spans="1:9" s="4" customFormat="1" x14ac:dyDescent="0.25">
      <c r="A66" s="103">
        <v>19015</v>
      </c>
      <c r="B66" s="51" t="str">
        <f>IF($A66=0,"",VLOOKUP($A66,'BASE EQUIPO'!$A:$D,2))</f>
        <v>HERRAMIENTA MENOR</v>
      </c>
      <c r="C66" s="52"/>
      <c r="D66" s="53">
        <v>1</v>
      </c>
      <c r="E66" s="53">
        <f>IF($A66=0,"",VLOOKUP($A66,'BASE EQUIPO'!$A:$D,4)*H82)-0.02</f>
        <v>0.13270000000000001</v>
      </c>
      <c r="F66" s="53">
        <f t="shared" ref="F66:F71" si="5">IF($A66=0,"",ROUND(D66*E66,2))</f>
        <v>0.13</v>
      </c>
      <c r="G66" s="105">
        <v>1</v>
      </c>
      <c r="H66" s="54">
        <f t="shared" ref="H66:H71" si="6">IF($A66=0,"",ROUND(G66*F66,2))</f>
        <v>0.13</v>
      </c>
      <c r="I66" s="5"/>
    </row>
    <row r="67" spans="1:9" s="4" customFormat="1" x14ac:dyDescent="0.25">
      <c r="A67" s="103">
        <v>19029</v>
      </c>
      <c r="B67" s="38" t="str">
        <f>IF($A67=0,"",VLOOKUP($A67,'BASE EQUIPO'!$A:$D,2))</f>
        <v>COMPACTADOR PESADO (RODILLO MANUAL)</v>
      </c>
      <c r="C67" s="2"/>
      <c r="D67" s="55">
        <v>2</v>
      </c>
      <c r="E67" s="55">
        <f>IF($A67=0,"",VLOOKUP($A67,'BASE EQUIPO'!$A:$D,4))</f>
        <v>3.5</v>
      </c>
      <c r="F67" s="55">
        <f t="shared" si="5"/>
        <v>7</v>
      </c>
      <c r="G67" s="106">
        <v>0.185</v>
      </c>
      <c r="H67" s="56">
        <f t="shared" si="6"/>
        <v>1.3</v>
      </c>
      <c r="I67" s="5"/>
    </row>
    <row r="68" spans="1:9" s="4" customFormat="1" x14ac:dyDescent="0.25">
      <c r="A68" s="103"/>
      <c r="B68" s="38" t="str">
        <f>IF($A68=0,"",VLOOKUP($A68,'BASE EQUIPO'!$A:$D,2))</f>
        <v/>
      </c>
      <c r="C68" s="2"/>
      <c r="D68" s="55"/>
      <c r="E68" s="55" t="str">
        <f>IF($A68=0,"",VLOOKUP($A68,'BASE EQUIPO'!$A:$D,4))</f>
        <v/>
      </c>
      <c r="F68" s="55" t="str">
        <f t="shared" si="5"/>
        <v/>
      </c>
      <c r="G68" s="106"/>
      <c r="H68" s="56" t="str">
        <f t="shared" si="6"/>
        <v/>
      </c>
      <c r="I68" s="5"/>
    </row>
    <row r="69" spans="1:9" s="4" customFormat="1" x14ac:dyDescent="0.25">
      <c r="A69" s="103"/>
      <c r="B69" s="38" t="str">
        <f>IF($A69=0,"",VLOOKUP($A69,'BASE EQUIPO'!$A:$D,2))</f>
        <v/>
      </c>
      <c r="C69" s="2"/>
      <c r="D69" s="55"/>
      <c r="E69" s="55" t="str">
        <f>IF($A69=0,"",VLOOKUP($A69,'BASE EQUIPO'!$A:$D,4))</f>
        <v/>
      </c>
      <c r="F69" s="55" t="str">
        <f t="shared" si="5"/>
        <v/>
      </c>
      <c r="G69" s="106"/>
      <c r="H69" s="56" t="str">
        <f t="shared" si="6"/>
        <v/>
      </c>
      <c r="I69" s="5"/>
    </row>
    <row r="70" spans="1:9" s="4" customFormat="1" x14ac:dyDescent="0.25">
      <c r="A70" s="103"/>
      <c r="B70" s="38" t="str">
        <f>IF($A70=0,"",VLOOKUP($A70,'BASE EQUIPO'!$A:$D,2))</f>
        <v/>
      </c>
      <c r="C70" s="2"/>
      <c r="D70" s="55"/>
      <c r="E70" s="55" t="str">
        <f>IF($A70=0,"",VLOOKUP($A70,'BASE EQUIPO'!$A:$D,4))</f>
        <v/>
      </c>
      <c r="F70" s="55" t="str">
        <f t="shared" si="5"/>
        <v/>
      </c>
      <c r="G70" s="106"/>
      <c r="H70" s="56" t="str">
        <f t="shared" si="6"/>
        <v/>
      </c>
      <c r="I70" s="5"/>
    </row>
    <row r="71" spans="1:9" s="4" customFormat="1" x14ac:dyDescent="0.25">
      <c r="A71" s="103"/>
      <c r="B71" s="57" t="str">
        <f>IF($A71=0,"",VLOOKUP($A71,'BASE EQUIPO'!$A:$D,2))</f>
        <v/>
      </c>
      <c r="C71" s="58"/>
      <c r="D71" s="59"/>
      <c r="E71" s="59" t="str">
        <f>IF($A71=0,"",VLOOKUP($A71,'BASE EQUIPO'!$A:$D,4))</f>
        <v/>
      </c>
      <c r="F71" s="59" t="str">
        <f t="shared" si="5"/>
        <v/>
      </c>
      <c r="G71" s="107"/>
      <c r="H71" s="60" t="str">
        <f t="shared" si="6"/>
        <v/>
      </c>
      <c r="I71" s="5"/>
    </row>
    <row r="72" spans="1:9" s="4" customFormat="1" x14ac:dyDescent="0.25">
      <c r="A72" s="103"/>
      <c r="B72" s="57" t="s">
        <v>1692</v>
      </c>
      <c r="C72" s="58"/>
      <c r="D72" s="61"/>
      <c r="E72" s="61"/>
      <c r="F72" s="61"/>
      <c r="G72" s="62"/>
      <c r="H72" s="60">
        <f>ROUND(SUM(H65:H71),2)</f>
        <v>1.43</v>
      </c>
      <c r="I72" s="5"/>
    </row>
    <row r="73" spans="1:9" s="4" customFormat="1" x14ac:dyDescent="0.25">
      <c r="A73" s="103"/>
      <c r="B73" s="38" t="s">
        <v>1503</v>
      </c>
      <c r="C73" s="2"/>
      <c r="D73" s="3"/>
      <c r="E73" s="3"/>
      <c r="F73" s="3"/>
      <c r="G73" s="63"/>
      <c r="H73" s="56"/>
      <c r="I73" s="5"/>
    </row>
    <row r="74" spans="1:9" ht="26.25" customHeight="1" x14ac:dyDescent="0.25">
      <c r="B74" s="64" t="s">
        <v>1691</v>
      </c>
      <c r="C74" s="65"/>
      <c r="D74" s="66" t="s">
        <v>1690</v>
      </c>
      <c r="E74" s="66" t="s">
        <v>1689</v>
      </c>
      <c r="F74" s="66" t="s">
        <v>1688</v>
      </c>
      <c r="G74" s="67" t="s">
        <v>1687</v>
      </c>
      <c r="H74" s="68" t="s">
        <v>1686</v>
      </c>
      <c r="I74" s="2"/>
    </row>
    <row r="75" spans="1:9" s="4" customFormat="1" x14ac:dyDescent="0.25">
      <c r="A75" s="103">
        <v>20001</v>
      </c>
      <c r="B75" s="69" t="str">
        <f>IF($A75=0,"",VLOOKUP($A75,'BASE M-OBRA'!$A:$D,2))</f>
        <v>MAESTRO</v>
      </c>
      <c r="C75" s="2"/>
      <c r="D75" s="108">
        <v>1</v>
      </c>
      <c r="E75" s="70">
        <f>IF($A75=0,"",VLOOKUP($A75,'BASE M-OBRA'!$A:$D,4))</f>
        <v>3.02</v>
      </c>
      <c r="F75" s="55">
        <f t="shared" ref="F75:F81" si="7">IF($A75=0,"",ROUND(D75*E75,2))</f>
        <v>3.02</v>
      </c>
      <c r="G75" s="106">
        <f>IF($A75=0,"",ROUND(H75/F75,2))</f>
        <v>0.28000000000000003</v>
      </c>
      <c r="H75" s="56">
        <f>IF($A75=0,"",ROUND(SUM(H76:H81)*'BASE M-OBRA'!$D$23,2))</f>
        <v>0.85</v>
      </c>
      <c r="I75" s="5"/>
    </row>
    <row r="76" spans="1:9" s="4" customFormat="1" x14ac:dyDescent="0.25">
      <c r="A76" s="103">
        <v>20002</v>
      </c>
      <c r="B76" s="69" t="str">
        <f>IF($A76=0,"",VLOOKUP($A76,'BASE M-OBRA'!$A:$D,2))</f>
        <v>PEON</v>
      </c>
      <c r="C76" s="2"/>
      <c r="D76" s="108">
        <v>4</v>
      </c>
      <c r="E76" s="70">
        <f>IF($A76=0,"",VLOOKUP($A76,'BASE M-OBRA'!$A:$D,4))</f>
        <v>2.79</v>
      </c>
      <c r="F76" s="55">
        <f t="shared" si="7"/>
        <v>11.16</v>
      </c>
      <c r="G76" s="106">
        <v>0.38</v>
      </c>
      <c r="H76" s="56">
        <f t="shared" ref="H76:H81" si="8">IF($A76=0,"",ROUND(G76*F76,2))</f>
        <v>4.24</v>
      </c>
      <c r="I76" s="5"/>
    </row>
    <row r="77" spans="1:9" s="4" customFormat="1" x14ac:dyDescent="0.25">
      <c r="A77" s="103"/>
      <c r="B77" s="69" t="str">
        <f>IF($A77=0,"",VLOOKUP($A77,'BASE M-OBRA'!$A:$D,2))</f>
        <v/>
      </c>
      <c r="C77" s="2"/>
      <c r="D77" s="108"/>
      <c r="E77" s="70" t="str">
        <f>IF($A77=0,"",VLOOKUP($A77,'BASE M-OBRA'!$A:$D,4))</f>
        <v/>
      </c>
      <c r="F77" s="55" t="str">
        <f t="shared" si="7"/>
        <v/>
      </c>
      <c r="G77" s="106"/>
      <c r="H77" s="56" t="str">
        <f t="shared" si="8"/>
        <v/>
      </c>
      <c r="I77" s="5"/>
    </row>
    <row r="78" spans="1:9" s="4" customFormat="1" x14ac:dyDescent="0.25">
      <c r="A78" s="103"/>
      <c r="B78" s="71" t="str">
        <f>IF($A78=0,"",VLOOKUP($A78,'BASE M-OBRA'!$A:$D,2))</f>
        <v/>
      </c>
      <c r="C78" s="2"/>
      <c r="D78" s="108"/>
      <c r="E78" s="70" t="str">
        <f>IF($A78=0,"",VLOOKUP($A78,'BASE M-OBRA'!$A:$D,4))</f>
        <v/>
      </c>
      <c r="F78" s="55" t="str">
        <f t="shared" si="7"/>
        <v/>
      </c>
      <c r="G78" s="106"/>
      <c r="H78" s="56" t="str">
        <f t="shared" si="8"/>
        <v/>
      </c>
      <c r="I78" s="5"/>
    </row>
    <row r="79" spans="1:9" s="4" customFormat="1" x14ac:dyDescent="0.25">
      <c r="A79" s="103"/>
      <c r="B79" s="72" t="str">
        <f>IF($A79=0,"",VLOOKUP($A79,'BASE M-OBRA'!$A:$D,2))</f>
        <v/>
      </c>
      <c r="C79" s="2"/>
      <c r="D79" s="108"/>
      <c r="E79" s="70" t="str">
        <f>IF($A79=0,"",VLOOKUP($A79,'BASE M-OBRA'!$A:$D,4))</f>
        <v/>
      </c>
      <c r="F79" s="55" t="str">
        <f t="shared" si="7"/>
        <v/>
      </c>
      <c r="G79" s="106"/>
      <c r="H79" s="56" t="str">
        <f t="shared" si="8"/>
        <v/>
      </c>
      <c r="I79" s="5"/>
    </row>
    <row r="80" spans="1:9" s="4" customFormat="1" x14ac:dyDescent="0.25">
      <c r="A80" s="103"/>
      <c r="B80" s="38" t="str">
        <f>IF($A80=0,"",VLOOKUP($A80,'BASE M-OBRA'!$A:$D,2))</f>
        <v/>
      </c>
      <c r="C80" s="2"/>
      <c r="D80" s="55"/>
      <c r="E80" s="55" t="str">
        <f>IF($A80=0,"",VLOOKUP($A80,'BASE M-OBRA'!$A:$D,4))</f>
        <v/>
      </c>
      <c r="F80" s="55" t="str">
        <f t="shared" si="7"/>
        <v/>
      </c>
      <c r="G80" s="106"/>
      <c r="H80" s="56" t="str">
        <f t="shared" si="8"/>
        <v/>
      </c>
      <c r="I80" s="5"/>
    </row>
    <row r="81" spans="1:16" s="4" customFormat="1" x14ac:dyDescent="0.25">
      <c r="A81" s="103"/>
      <c r="B81" s="57" t="str">
        <f>IF($A81=0,"",VLOOKUP($A81,'BASE M-OBRA'!$A:$D,2))</f>
        <v/>
      </c>
      <c r="C81" s="58"/>
      <c r="D81" s="59"/>
      <c r="E81" s="59" t="str">
        <f>IF($A81=0,"",VLOOKUP($A81,'BASE M-OBRA'!$A:$D,4))</f>
        <v/>
      </c>
      <c r="F81" s="59" t="str">
        <f t="shared" si="7"/>
        <v/>
      </c>
      <c r="G81" s="107"/>
      <c r="H81" s="60" t="str">
        <f t="shared" si="8"/>
        <v/>
      </c>
      <c r="I81" s="5"/>
    </row>
    <row r="82" spans="1:16" s="4" customFormat="1" x14ac:dyDescent="0.25">
      <c r="A82" s="103"/>
      <c r="B82" s="73" t="s">
        <v>1685</v>
      </c>
      <c r="C82" s="65"/>
      <c r="D82" s="74"/>
      <c r="E82" s="74"/>
      <c r="F82" s="74"/>
      <c r="G82" s="74"/>
      <c r="H82" s="75">
        <f>ROUND(SUM(H74:H81),2)</f>
        <v>5.09</v>
      </c>
      <c r="I82" s="5"/>
    </row>
    <row r="83" spans="1:16" s="4" customFormat="1" x14ac:dyDescent="0.25">
      <c r="A83" s="103"/>
      <c r="B83" s="38" t="s">
        <v>1684</v>
      </c>
      <c r="C83" s="2"/>
      <c r="D83" s="3"/>
      <c r="E83" s="3"/>
      <c r="F83" s="3"/>
      <c r="G83" s="3"/>
      <c r="H83" s="56"/>
      <c r="I83" s="5"/>
    </row>
    <row r="84" spans="1:16" ht="26.25" customHeight="1" x14ac:dyDescent="0.25">
      <c r="B84" s="64" t="s">
        <v>1409</v>
      </c>
      <c r="C84" s="65"/>
      <c r="D84" s="76"/>
      <c r="E84" s="66" t="s">
        <v>1408</v>
      </c>
      <c r="F84" s="66" t="s">
        <v>1679</v>
      </c>
      <c r="G84" s="66" t="s">
        <v>1683</v>
      </c>
      <c r="H84" s="68" t="s">
        <v>1675</v>
      </c>
      <c r="I84" s="2"/>
    </row>
    <row r="85" spans="1:16" s="4" customFormat="1" x14ac:dyDescent="0.25">
      <c r="A85" s="103"/>
      <c r="B85" s="37" t="str">
        <f>IF($A85=0,"",VLOOKUP($A85,'BASE MATERIAL'!$A:$D,2))</f>
        <v/>
      </c>
      <c r="C85" s="2"/>
      <c r="D85" s="77"/>
      <c r="E85" s="78" t="str">
        <f>IF($A85=0,"",VLOOKUP($A85,'BASE MATERIAL'!$A:$D,3))</f>
        <v/>
      </c>
      <c r="F85" s="55"/>
      <c r="G85" s="55" t="str">
        <f>IF($A85=0,"",VLOOKUP($A85,'BASE MATERIAL'!$A:$D,4))</f>
        <v/>
      </c>
      <c r="H85" s="56" t="str">
        <f t="shared" ref="H85:H99" si="9">IF($A85=0,"",ROUND(F85*G85,2))</f>
        <v/>
      </c>
      <c r="I85" s="5"/>
      <c r="L85" s="5"/>
      <c r="M85" s="5"/>
      <c r="N85" s="160"/>
      <c r="O85" s="5"/>
      <c r="P85" s="5"/>
    </row>
    <row r="86" spans="1:16" s="4" customFormat="1" x14ac:dyDescent="0.25">
      <c r="A86" s="103">
        <v>5005</v>
      </c>
      <c r="B86" s="38" t="str">
        <f>IF($A86=0,"",VLOOKUP($A86,'BASE MATERIAL'!$A:$D,2))</f>
        <v>AGUA</v>
      </c>
      <c r="C86" s="2"/>
      <c r="D86" s="77"/>
      <c r="E86" s="78" t="str">
        <f>IF($A86=0,"",VLOOKUP($A86,'BASE MATERIAL'!$A:$D,3))</f>
        <v>LT</v>
      </c>
      <c r="F86" s="55">
        <v>150</v>
      </c>
      <c r="G86" s="80">
        <f>IF($A86=0,"",VLOOKUP($A86,'BASE MATERIAL'!$A:$D,4))</f>
        <v>2E-3</v>
      </c>
      <c r="H86" s="56">
        <f t="shared" si="9"/>
        <v>0.3</v>
      </c>
      <c r="I86" s="5"/>
      <c r="L86" s="5"/>
      <c r="M86" s="5"/>
      <c r="N86" s="160"/>
      <c r="O86" s="5"/>
      <c r="P86" s="5"/>
    </row>
    <row r="87" spans="1:16" s="4" customFormat="1" x14ac:dyDescent="0.25">
      <c r="A87" s="103"/>
      <c r="B87" s="38" t="str">
        <f>IF($A87=0,"",VLOOKUP($A87,'BASE MATERIAL'!$A:$D,2))</f>
        <v/>
      </c>
      <c r="C87" s="2"/>
      <c r="D87" s="77"/>
      <c r="E87" s="78" t="str">
        <f>IF($A87=0,"",VLOOKUP($A87,'BASE MATERIAL'!$A:$D,3))</f>
        <v/>
      </c>
      <c r="F87" s="55"/>
      <c r="G87" s="55" t="str">
        <f>IF($A87=0,"",VLOOKUP($A87,'BASE MATERIAL'!$A:$D,4))</f>
        <v/>
      </c>
      <c r="H87" s="56" t="str">
        <f t="shared" si="9"/>
        <v/>
      </c>
      <c r="I87" s="5"/>
      <c r="L87" s="5"/>
      <c r="M87" s="5"/>
      <c r="N87" s="160"/>
      <c r="O87" s="5"/>
      <c r="P87" s="5"/>
    </row>
    <row r="88" spans="1:16" s="4" customFormat="1" x14ac:dyDescent="0.25">
      <c r="A88" s="103"/>
      <c r="B88" s="38" t="str">
        <f>IF($A88=0,"",VLOOKUP($A88,'BASE MATERIAL'!$A:$D,2))</f>
        <v/>
      </c>
      <c r="C88" s="2"/>
      <c r="D88" s="77"/>
      <c r="E88" s="78" t="str">
        <f>IF($A88=0,"",VLOOKUP($A88,'BASE MATERIAL'!$A:$D,3))</f>
        <v/>
      </c>
      <c r="F88" s="55"/>
      <c r="G88" s="55" t="str">
        <f>IF($A88=0,"",VLOOKUP($A88,'BASE MATERIAL'!$A:$D,4))</f>
        <v/>
      </c>
      <c r="H88" s="56" t="str">
        <f t="shared" si="9"/>
        <v/>
      </c>
      <c r="I88" s="5"/>
      <c r="L88" s="5"/>
      <c r="M88" s="5"/>
      <c r="N88" s="160"/>
      <c r="O88" s="5"/>
      <c r="P88" s="5"/>
    </row>
    <row r="89" spans="1:16" s="4" customFormat="1" x14ac:dyDescent="0.25">
      <c r="A89" s="103"/>
      <c r="B89" s="38" t="str">
        <f>IF($A89=0,"",VLOOKUP($A89,'BASE MATERIAL'!$A:$D,2))</f>
        <v/>
      </c>
      <c r="C89" s="2"/>
      <c r="D89" s="77"/>
      <c r="E89" s="78" t="str">
        <f>IF($A89=0,"",VLOOKUP($A89,'BASE MATERIAL'!$A:$D,3))</f>
        <v/>
      </c>
      <c r="F89" s="55"/>
      <c r="G89" s="55" t="str">
        <f>IF($A89=0,"",VLOOKUP($A89,'BASE MATERIAL'!$A:$D,4))</f>
        <v/>
      </c>
      <c r="H89" s="56" t="str">
        <f t="shared" si="9"/>
        <v/>
      </c>
      <c r="I89" s="5"/>
      <c r="L89" s="5"/>
      <c r="M89" s="5"/>
      <c r="N89" s="160"/>
      <c r="O89" s="5"/>
      <c r="P89" s="5"/>
    </row>
    <row r="90" spans="1:16" s="4" customFormat="1" x14ac:dyDescent="0.25">
      <c r="A90" s="103"/>
      <c r="B90" s="38" t="str">
        <f>IF($A90=0,"",VLOOKUP($A90,'BASE MATERIAL'!$A:$D,2))</f>
        <v/>
      </c>
      <c r="C90" s="2"/>
      <c r="D90" s="77"/>
      <c r="E90" s="78" t="str">
        <f>IF($A90=0,"",VLOOKUP($A90,'BASE MATERIAL'!$A:$D,3))</f>
        <v/>
      </c>
      <c r="F90" s="55"/>
      <c r="G90" s="55" t="str">
        <f>IF($A90=0,"",VLOOKUP($A90,'BASE MATERIAL'!$A:$D,4))</f>
        <v/>
      </c>
      <c r="H90" s="56" t="str">
        <f t="shared" si="9"/>
        <v/>
      </c>
      <c r="I90" s="5"/>
      <c r="L90" s="5"/>
      <c r="M90" s="5"/>
      <c r="N90" s="160"/>
      <c r="O90" s="5"/>
      <c r="P90" s="5"/>
    </row>
    <row r="91" spans="1:16" s="4" customFormat="1" x14ac:dyDescent="0.25">
      <c r="A91" s="103"/>
      <c r="B91" s="38" t="str">
        <f>IF($A91=0,"",VLOOKUP($A91,'BASE MATERIAL'!$A:$D,2))</f>
        <v/>
      </c>
      <c r="C91" s="2"/>
      <c r="D91" s="77"/>
      <c r="E91" s="78" t="str">
        <f>IF($A91=0,"",VLOOKUP($A91,'BASE MATERIAL'!$A:$D,3))</f>
        <v/>
      </c>
      <c r="F91" s="55"/>
      <c r="G91" s="55" t="str">
        <f>IF($A91=0,"",VLOOKUP($A91,'BASE MATERIAL'!$A:$D,4))</f>
        <v/>
      </c>
      <c r="H91" s="56" t="str">
        <f t="shared" si="9"/>
        <v/>
      </c>
      <c r="I91" s="5"/>
      <c r="L91" s="5"/>
      <c r="M91" s="5"/>
      <c r="N91" s="160"/>
      <c r="O91" s="5"/>
      <c r="P91" s="5"/>
    </row>
    <row r="92" spans="1:16" s="4" customFormat="1" x14ac:dyDescent="0.25">
      <c r="A92" s="103"/>
      <c r="B92" s="38" t="str">
        <f>IF($A92=0,"",VLOOKUP($A92,'BASE MATERIAL'!$A:$D,2))</f>
        <v/>
      </c>
      <c r="C92" s="2"/>
      <c r="D92" s="77"/>
      <c r="E92" s="78" t="str">
        <f>IF($A92=0,"",VLOOKUP($A92,'BASE MATERIAL'!$A:$D,3))</f>
        <v/>
      </c>
      <c r="F92" s="55"/>
      <c r="G92" s="55" t="str">
        <f>IF($A92=0,"",VLOOKUP($A92,'BASE MATERIAL'!$A:$D,4))</f>
        <v/>
      </c>
      <c r="H92" s="56" t="str">
        <f t="shared" si="9"/>
        <v/>
      </c>
      <c r="I92" s="5"/>
      <c r="L92" s="5"/>
      <c r="M92" s="5"/>
      <c r="N92" s="160"/>
      <c r="O92" s="5"/>
      <c r="P92" s="5"/>
    </row>
    <row r="93" spans="1:16" s="4" customFormat="1" x14ac:dyDescent="0.25">
      <c r="A93" s="103"/>
      <c r="B93" s="38" t="str">
        <f>IF($A93=0,"",VLOOKUP($A93,'BASE MATERIAL'!$A:$D,2))</f>
        <v/>
      </c>
      <c r="C93" s="2"/>
      <c r="D93" s="77"/>
      <c r="E93" s="78" t="str">
        <f>IF($A93=0,"",VLOOKUP($A93,'BASE MATERIAL'!$A:$D,3))</f>
        <v/>
      </c>
      <c r="F93" s="55"/>
      <c r="G93" s="55" t="str">
        <f>IF($A93=0,"",VLOOKUP($A93,'BASE MATERIAL'!$A:$D,4))</f>
        <v/>
      </c>
      <c r="H93" s="56" t="str">
        <f t="shared" si="9"/>
        <v/>
      </c>
      <c r="I93" s="5"/>
    </row>
    <row r="94" spans="1:16" s="4" customFormat="1" x14ac:dyDescent="0.25">
      <c r="A94" s="103"/>
      <c r="B94" s="38" t="str">
        <f>IF($A94=0,"",VLOOKUP($A94,'BASE MATERIAL'!$A:$D,2))</f>
        <v/>
      </c>
      <c r="C94" s="2"/>
      <c r="D94" s="77"/>
      <c r="E94" s="78" t="str">
        <f>IF($A94=0,"",VLOOKUP($A94,'BASE MATERIAL'!$A:$D,3))</f>
        <v/>
      </c>
      <c r="F94" s="55"/>
      <c r="G94" s="55" t="str">
        <f>IF($A94=0,"",VLOOKUP($A94,'BASE MATERIAL'!$A:$D,4))</f>
        <v/>
      </c>
      <c r="H94" s="56" t="str">
        <f t="shared" si="9"/>
        <v/>
      </c>
      <c r="I94" s="5"/>
      <c r="L94" s="5"/>
      <c r="M94" s="5"/>
      <c r="N94" s="160"/>
      <c r="O94" s="5"/>
      <c r="P94" s="5"/>
    </row>
    <row r="95" spans="1:16" s="4" customFormat="1" x14ac:dyDescent="0.25">
      <c r="A95" s="103"/>
      <c r="B95" s="38" t="str">
        <f>IF($A95=0,"",VLOOKUP($A95,'BASE MATERIAL'!$A:$D,2))</f>
        <v/>
      </c>
      <c r="C95" s="2"/>
      <c r="D95" s="77"/>
      <c r="E95" s="78" t="str">
        <f>IF($A95=0,"",VLOOKUP($A95,'BASE MATERIAL'!$A:$D,3))</f>
        <v/>
      </c>
      <c r="F95" s="55"/>
      <c r="G95" s="55" t="str">
        <f>IF($A95=0,"",VLOOKUP($A95,'BASE MATERIAL'!$A:$D,4))</f>
        <v/>
      </c>
      <c r="H95" s="56" t="str">
        <f t="shared" si="9"/>
        <v/>
      </c>
      <c r="I95" s="5"/>
      <c r="L95" s="5"/>
      <c r="M95" s="5"/>
      <c r="N95" s="160"/>
      <c r="O95" s="5"/>
      <c r="P95" s="5"/>
    </row>
    <row r="96" spans="1:16" s="4" customFormat="1" x14ac:dyDescent="0.25">
      <c r="A96" s="103"/>
      <c r="B96" s="38" t="str">
        <f>IF($A96=0,"",VLOOKUP($A96,'BASE MATERIAL'!$A:$D,2))</f>
        <v/>
      </c>
      <c r="C96" s="2"/>
      <c r="D96" s="77"/>
      <c r="E96" s="78" t="str">
        <f>IF($A96=0,"",VLOOKUP($A96,'BASE MATERIAL'!$A:$D,3))</f>
        <v/>
      </c>
      <c r="F96" s="55"/>
      <c r="G96" s="55" t="str">
        <f>IF($A96=0,"",VLOOKUP($A96,'BASE MATERIAL'!$A:$D,4))</f>
        <v/>
      </c>
      <c r="H96" s="56" t="str">
        <f t="shared" si="9"/>
        <v/>
      </c>
      <c r="I96" s="5"/>
    </row>
    <row r="97" spans="1:9" s="4" customFormat="1" x14ac:dyDescent="0.25">
      <c r="A97" s="103"/>
      <c r="B97" s="38" t="str">
        <f>IF($A97=0,"",VLOOKUP($A97,'BASE MATERIAL'!$A:$D,2))</f>
        <v/>
      </c>
      <c r="C97" s="2"/>
      <c r="D97" s="77"/>
      <c r="E97" s="78" t="str">
        <f>IF($A97=0,"",VLOOKUP($A97,'BASE MATERIAL'!$A:$D,3))</f>
        <v/>
      </c>
      <c r="F97" s="55"/>
      <c r="G97" s="55" t="str">
        <f>IF($A97=0,"",VLOOKUP($A97,'BASE MATERIAL'!$A:$D,4))</f>
        <v/>
      </c>
      <c r="H97" s="56" t="str">
        <f t="shared" si="9"/>
        <v/>
      </c>
      <c r="I97" s="5"/>
    </row>
    <row r="98" spans="1:9" s="4" customFormat="1" x14ac:dyDescent="0.25">
      <c r="A98" s="103"/>
      <c r="B98" s="38" t="str">
        <f>IF($A98=0,"",VLOOKUP($A98,'BASE MATERIAL'!$A:$D,2))</f>
        <v/>
      </c>
      <c r="C98" s="2"/>
      <c r="D98" s="77"/>
      <c r="E98" s="78" t="str">
        <f>IF($A98=0,"",VLOOKUP($A98,'BASE MATERIAL'!$A:$D,3))</f>
        <v/>
      </c>
      <c r="F98" s="55"/>
      <c r="G98" s="55" t="str">
        <f>IF($A98=0,"",VLOOKUP($A98,'BASE MATERIAL'!$A:$D,4))</f>
        <v/>
      </c>
      <c r="H98" s="56" t="str">
        <f t="shared" si="9"/>
        <v/>
      </c>
      <c r="I98" s="5"/>
    </row>
    <row r="99" spans="1:9" s="4" customFormat="1" x14ac:dyDescent="0.25">
      <c r="A99" s="103"/>
      <c r="B99" s="38" t="str">
        <f>IF($A99=0,"",VLOOKUP($A99,'BASE MATERIAL'!$A:$D,2))</f>
        <v/>
      </c>
      <c r="C99" s="2"/>
      <c r="D99" s="77"/>
      <c r="E99" s="78" t="str">
        <f>IF($A99=0,"",VLOOKUP($A99,'BASE MATERIAL'!$A:$D,3))</f>
        <v/>
      </c>
      <c r="F99" s="55"/>
      <c r="G99" s="55" t="str">
        <f>IF($A99=0,"",VLOOKUP($A99,'BASE MATERIAL'!$A:$D,4))</f>
        <v/>
      </c>
      <c r="H99" s="56" t="str">
        <f t="shared" si="9"/>
        <v/>
      </c>
      <c r="I99" s="5"/>
    </row>
    <row r="100" spans="1:9" s="4" customFormat="1" x14ac:dyDescent="0.25">
      <c r="A100" s="103"/>
      <c r="B100" s="38" t="str">
        <f>IF($A100=0,"",VLOOKUP($A100,'BASE MATERIAL'!$A:$D,2))</f>
        <v/>
      </c>
      <c r="C100" s="2"/>
      <c r="D100" s="81" t="s">
        <v>1682</v>
      </c>
      <c r="E100" s="55" t="str">
        <f>IF($A100=0,"",VLOOKUP($A100,'BASE MATERIAL'!$A:$D,3))</f>
        <v/>
      </c>
      <c r="F100" s="55" t="s">
        <v>1682</v>
      </c>
      <c r="G100" s="55" t="str">
        <f>IF($A100=0,"",VLOOKUP($A100,'BASE MATERIAL'!$A:$D,4))</f>
        <v/>
      </c>
      <c r="H100" s="56" t="str">
        <f>IF($A100=0,"",ROUND(E100*F100,2))</f>
        <v/>
      </c>
      <c r="I100" s="5"/>
    </row>
    <row r="101" spans="1:9" s="4" customFormat="1" x14ac:dyDescent="0.25">
      <c r="A101" s="103"/>
      <c r="B101" s="73" t="s">
        <v>1681</v>
      </c>
      <c r="C101" s="65"/>
      <c r="D101" s="74"/>
      <c r="E101" s="74"/>
      <c r="F101" s="74"/>
      <c r="G101" s="74"/>
      <c r="H101" s="75">
        <f>ROUND(SUM(H84:H100),2)</f>
        <v>0.3</v>
      </c>
      <c r="I101" s="5"/>
    </row>
    <row r="102" spans="1:9" s="4" customFormat="1" x14ac:dyDescent="0.25">
      <c r="A102" s="103"/>
      <c r="B102" s="38" t="s">
        <v>1680</v>
      </c>
      <c r="C102" s="2"/>
      <c r="D102" s="3"/>
      <c r="E102" s="3"/>
      <c r="F102" s="3"/>
      <c r="G102" s="3"/>
      <c r="H102" s="56"/>
      <c r="I102" s="5"/>
    </row>
    <row r="103" spans="1:9" ht="26.25" customHeight="1" x14ac:dyDescent="0.25">
      <c r="B103" s="64" t="s">
        <v>1409</v>
      </c>
      <c r="C103" s="65"/>
      <c r="D103" s="76"/>
      <c r="E103" s="66" t="s">
        <v>1408</v>
      </c>
      <c r="F103" s="66" t="s">
        <v>1679</v>
      </c>
      <c r="G103" s="66" t="s">
        <v>1676</v>
      </c>
      <c r="H103" s="68" t="s">
        <v>1675</v>
      </c>
      <c r="I103" s="2"/>
    </row>
    <row r="104" spans="1:9" s="4" customFormat="1" x14ac:dyDescent="0.25">
      <c r="A104" s="103"/>
      <c r="B104" s="51" t="str">
        <f>IF($A104=0,"",VLOOKUP($A104,'BASE EQUIPO'!$A:$D,2))</f>
        <v/>
      </c>
      <c r="C104" s="52"/>
      <c r="D104" s="82"/>
      <c r="E104" s="78" t="str">
        <f>IF($A104=0,"",VLOOKUP($A104,'BASE EQUIPO'!$A:$D,3))</f>
        <v/>
      </c>
      <c r="F104" s="55"/>
      <c r="G104" s="83" t="str">
        <f>IF($A104=0,"",VLOOKUP($A104,'BASE EQUIPO'!$A:$D,4)*H101)</f>
        <v/>
      </c>
      <c r="H104" s="56" t="str">
        <f>IF($A104=0,"",ROUND(F104*G104,2))</f>
        <v/>
      </c>
      <c r="I104" s="5"/>
    </row>
    <row r="105" spans="1:9" s="4" customFormat="1" x14ac:dyDescent="0.25">
      <c r="A105" s="103"/>
      <c r="B105" s="38" t="str">
        <f>IF($A105=0,"",VLOOKUP($A105,'BASE EQUIPO'!$A:$D,2))</f>
        <v/>
      </c>
      <c r="C105" s="2"/>
      <c r="D105" s="84"/>
      <c r="E105" s="78" t="str">
        <f>IF($A105=0,"",VLOOKUP($A105,'BASE EQUIPO'!$A:$D,3))</f>
        <v/>
      </c>
      <c r="F105" s="55"/>
      <c r="G105" s="55" t="str">
        <f>IF($A105=0,"",VLOOKUP($A105,'BASE EQUIPO'!$A:$D,4)*H102)</f>
        <v/>
      </c>
      <c r="H105" s="56" t="str">
        <f>IF($A105=0,"",ROUND(F105*G105,2))</f>
        <v/>
      </c>
      <c r="I105" s="5"/>
    </row>
    <row r="106" spans="1:9" s="4" customFormat="1" x14ac:dyDescent="0.25">
      <c r="A106" s="103"/>
      <c r="B106" s="57" t="str">
        <f>IF($A106=0,"",VLOOKUP($A106,'BASE EQUIPO'!$A:$D,2))</f>
        <v/>
      </c>
      <c r="C106" s="58"/>
      <c r="D106" s="85"/>
      <c r="E106" s="86" t="str">
        <f>IF($A106=0,"",VLOOKUP($A106,'BASE EQUIPO'!$A:$D,3))</f>
        <v/>
      </c>
      <c r="F106" s="59"/>
      <c r="G106" s="59" t="str">
        <f>IF($A106=0,"",VLOOKUP($A106,'BASE EQUIPO'!$A:$D,4)*H103)</f>
        <v/>
      </c>
      <c r="H106" s="60" t="str">
        <f>IF($A106=0,"",ROUND(F106*G106,2))</f>
        <v/>
      </c>
      <c r="I106" s="5"/>
    </row>
    <row r="107" spans="1:9" s="4" customFormat="1" ht="15.75" thickBot="1" x14ac:dyDescent="0.3">
      <c r="A107" s="103"/>
      <c r="B107" s="87" t="s">
        <v>1674</v>
      </c>
      <c r="C107" s="88"/>
      <c r="D107" s="89"/>
      <c r="E107" s="89"/>
      <c r="F107" s="89"/>
      <c r="G107" s="89"/>
      <c r="H107" s="90">
        <f>ROUND(SUM(H103:H106),2)</f>
        <v>0</v>
      </c>
      <c r="I107" s="5"/>
    </row>
    <row r="108" spans="1:9" s="4" customFormat="1" ht="15.75" x14ac:dyDescent="0.25">
      <c r="A108" s="103"/>
      <c r="B108" s="2"/>
      <c r="C108" s="2"/>
      <c r="D108" s="91" t="s">
        <v>1673</v>
      </c>
      <c r="E108" s="177"/>
      <c r="F108" s="177"/>
      <c r="G108" s="177"/>
      <c r="H108" s="92">
        <f>ROUND(SUM(H107,H101,H82,H72),2)</f>
        <v>6.82</v>
      </c>
      <c r="I108" s="5"/>
    </row>
    <row r="109" spans="1:9" s="4" customFormat="1" ht="15.75" x14ac:dyDescent="0.25">
      <c r="A109" s="103">
        <v>40002</v>
      </c>
      <c r="B109" s="2"/>
      <c r="C109" s="2"/>
      <c r="D109" s="93" t="s">
        <v>1672</v>
      </c>
      <c r="E109" s="166"/>
      <c r="F109" s="166"/>
      <c r="G109" s="178">
        <f>IF($A109=0,"",VLOOKUP($A109,'BASE MATERIAL'!$M:$P,4))</f>
        <v>0</v>
      </c>
      <c r="H109" s="95">
        <f>IF($A109=0,"",ROUND(G109*H108,2))</f>
        <v>0</v>
      </c>
      <c r="I109" s="5"/>
    </row>
    <row r="110" spans="1:9" s="4" customFormat="1" ht="15.75" x14ac:dyDescent="0.25">
      <c r="A110" s="103">
        <v>40003</v>
      </c>
      <c r="B110" s="2"/>
      <c r="C110" s="2"/>
      <c r="D110" s="93" t="s">
        <v>1671</v>
      </c>
      <c r="E110" s="166"/>
      <c r="F110" s="166"/>
      <c r="G110" s="178">
        <f>IF($A110=0,"",VLOOKUP($A110,'BASE MATERIAL'!$M:$P,4))</f>
        <v>0</v>
      </c>
      <c r="H110" s="95">
        <f>IF($A110=0,"",ROUND(G110*H108,2))</f>
        <v>0</v>
      </c>
      <c r="I110" s="5"/>
    </row>
    <row r="111" spans="1:9" s="4" customFormat="1" ht="15.75" x14ac:dyDescent="0.25">
      <c r="A111" s="103"/>
      <c r="B111" s="2"/>
      <c r="C111" s="2"/>
      <c r="D111" s="93" t="s">
        <v>1670</v>
      </c>
      <c r="E111" s="166"/>
      <c r="F111" s="166"/>
      <c r="G111" s="166"/>
      <c r="H111" s="96">
        <f>ROUND(SUM(H108:H110),2)</f>
        <v>6.82</v>
      </c>
      <c r="I111" s="5"/>
    </row>
    <row r="112" spans="1:9" s="4" customFormat="1" ht="16.5" thickBot="1" x14ac:dyDescent="0.3">
      <c r="A112" s="103"/>
      <c r="B112" s="25"/>
      <c r="C112" s="5"/>
      <c r="D112" s="97" t="s">
        <v>1650</v>
      </c>
      <c r="E112" s="179"/>
      <c r="F112" s="179"/>
      <c r="G112" s="179"/>
      <c r="H112" s="98">
        <f>ROUND(H111,2)</f>
        <v>6.82</v>
      </c>
      <c r="I112" s="5"/>
    </row>
    <row r="113" spans="1:15" ht="15.75" x14ac:dyDescent="0.25">
      <c r="B113" s="34" t="s">
        <v>1701</v>
      </c>
      <c r="C113" s="2"/>
      <c r="D113" s="3" t="str">
        <f>$D$1</f>
        <v>ESPOL</v>
      </c>
      <c r="E113" s="2"/>
      <c r="F113" s="2"/>
      <c r="H113" s="2" t="s">
        <v>108</v>
      </c>
      <c r="I113" s="2"/>
      <c r="L113" s="40">
        <f>A117</f>
        <v>2</v>
      </c>
      <c r="M113" s="1" t="str">
        <f>C118</f>
        <v>Acopio de material sobrante en terraza</v>
      </c>
      <c r="N113" s="2" t="str">
        <f>H117</f>
        <v>m3</v>
      </c>
      <c r="O113" s="2">
        <f>H168</f>
        <v>1.75</v>
      </c>
    </row>
    <row r="114" spans="1:15" ht="15.75" x14ac:dyDescent="0.25">
      <c r="B114" s="34" t="s">
        <v>1700</v>
      </c>
      <c r="C114" s="3">
        <f>'1.1'!$C$2</f>
        <v>0</v>
      </c>
      <c r="D114" s="2"/>
      <c r="E114" s="2"/>
      <c r="F114" s="2"/>
      <c r="G114" s="41" t="s">
        <v>1699</v>
      </c>
      <c r="H114" s="42"/>
      <c r="I114" s="2" t="s">
        <v>1698</v>
      </c>
    </row>
    <row r="115" spans="1:15" ht="15.75" x14ac:dyDescent="0.25">
      <c r="B115" s="34"/>
      <c r="C115" s="3">
        <f>'1.1'!$C$3</f>
        <v>0</v>
      </c>
      <c r="D115" s="2"/>
      <c r="E115" s="2"/>
      <c r="F115" s="2"/>
      <c r="G115" s="2"/>
      <c r="H115" s="2"/>
      <c r="I115" s="2"/>
    </row>
    <row r="116" spans="1:15" ht="15.75" x14ac:dyDescent="0.25">
      <c r="B116" s="34" t="s">
        <v>1697</v>
      </c>
      <c r="C116" s="3"/>
      <c r="D116" s="2"/>
      <c r="E116" s="2"/>
      <c r="F116" s="2"/>
      <c r="G116" s="2"/>
      <c r="H116" s="2"/>
      <c r="I116" s="2"/>
    </row>
    <row r="117" spans="1:15" x14ac:dyDescent="0.25">
      <c r="A117" s="104">
        <v>2</v>
      </c>
      <c r="B117" s="2" t="s">
        <v>1586</v>
      </c>
      <c r="C117" s="101" t="s">
        <v>875</v>
      </c>
      <c r="D117" s="2"/>
      <c r="G117" s="2" t="s">
        <v>1696</v>
      </c>
      <c r="H117" s="3" t="s">
        <v>1521</v>
      </c>
      <c r="I117" s="2"/>
    </row>
    <row r="118" spans="1:15" x14ac:dyDescent="0.25">
      <c r="B118" s="1" t="s">
        <v>1585</v>
      </c>
      <c r="C118" s="36" t="s">
        <v>1720</v>
      </c>
      <c r="D118" s="2"/>
      <c r="E118" s="2"/>
      <c r="F118" s="2"/>
      <c r="G118" s="2"/>
      <c r="H118" s="2"/>
      <c r="I118" s="2"/>
    </row>
    <row r="119" spans="1:15" ht="15.75" thickBot="1" x14ac:dyDescent="0.3">
      <c r="D119" s="2"/>
      <c r="E119" s="2"/>
      <c r="F119" s="2"/>
      <c r="G119" s="2"/>
      <c r="H119" s="2"/>
      <c r="I119" s="2"/>
    </row>
    <row r="120" spans="1:15" ht="15.75" thickBot="1" x14ac:dyDescent="0.3">
      <c r="B120" s="43" t="s">
        <v>1695</v>
      </c>
      <c r="C120" s="44"/>
      <c r="D120" s="44"/>
      <c r="E120" s="44"/>
      <c r="F120" s="44"/>
      <c r="G120" s="44"/>
      <c r="H120" s="45"/>
      <c r="I120" s="2"/>
    </row>
    <row r="121" spans="1:15" ht="25.5" x14ac:dyDescent="0.25">
      <c r="B121" s="46" t="s">
        <v>1409</v>
      </c>
      <c r="C121" s="47"/>
      <c r="D121" s="48" t="s">
        <v>1690</v>
      </c>
      <c r="E121" s="48" t="s">
        <v>1694</v>
      </c>
      <c r="F121" s="48" t="s">
        <v>1693</v>
      </c>
      <c r="G121" s="49" t="s">
        <v>1687</v>
      </c>
      <c r="H121" s="50" t="s">
        <v>1686</v>
      </c>
      <c r="I121" s="2"/>
    </row>
    <row r="122" spans="1:15" x14ac:dyDescent="0.25">
      <c r="A122" s="103">
        <v>19015</v>
      </c>
      <c r="B122" s="51" t="str">
        <f>IF($A122=0,"",VLOOKUP($A122,'BASE EQUIPO'!$A:$D,2))</f>
        <v>HERRAMIENTA MENOR</v>
      </c>
      <c r="C122" s="52"/>
      <c r="D122" s="53">
        <v>1</v>
      </c>
      <c r="E122" s="53">
        <f>IF($A122=0,"",VLOOKUP($A122,'BASE EQUIPO'!$A:$D,4)*H138)</f>
        <v>1.0200000000000001E-2</v>
      </c>
      <c r="F122" s="53">
        <f t="shared" ref="F122:F127" si="10">IF($A122=0,"",ROUND(D122*E122,2))</f>
        <v>0.01</v>
      </c>
      <c r="G122" s="105">
        <v>1</v>
      </c>
      <c r="H122" s="54">
        <f t="shared" ref="H122:H127" si="11">IF($A122=0,"",ROUND(G122*F122,2))</f>
        <v>0.01</v>
      </c>
      <c r="I122" s="2"/>
    </row>
    <row r="123" spans="1:15" x14ac:dyDescent="0.25">
      <c r="A123" s="103">
        <v>19009</v>
      </c>
      <c r="B123" s="38" t="str">
        <f>IF($A123=0,"",VLOOKUP($A123,'BASE EQUIPO'!$A:$D,2))</f>
        <v>VOLQUETA 8M3</v>
      </c>
      <c r="C123" s="2"/>
      <c r="D123" s="55">
        <v>1</v>
      </c>
      <c r="E123" s="55">
        <f>IF($A123=0,"",VLOOKUP($A123,'BASE EQUIPO'!$A:$D,4))</f>
        <v>28</v>
      </c>
      <c r="F123" s="55">
        <f t="shared" si="10"/>
        <v>28</v>
      </c>
      <c r="G123" s="106">
        <v>0.05</v>
      </c>
      <c r="H123" s="56">
        <f t="shared" si="11"/>
        <v>1.4</v>
      </c>
      <c r="I123" s="2"/>
    </row>
    <row r="124" spans="1:15" x14ac:dyDescent="0.25">
      <c r="B124" s="38" t="str">
        <f>IF($A124=0,"",VLOOKUP($A124,'BASE EQUIPO'!$A:$D,2))</f>
        <v/>
      </c>
      <c r="C124" s="2"/>
      <c r="D124" s="55"/>
      <c r="E124" s="55" t="str">
        <f>IF($A124=0,"",VLOOKUP($A124,'BASE EQUIPO'!$A:$D,4))</f>
        <v/>
      </c>
      <c r="F124" s="55" t="str">
        <f t="shared" si="10"/>
        <v/>
      </c>
      <c r="G124" s="106"/>
      <c r="H124" s="56" t="str">
        <f t="shared" si="11"/>
        <v/>
      </c>
      <c r="I124" s="2"/>
    </row>
    <row r="125" spans="1:15" x14ac:dyDescent="0.25">
      <c r="B125" s="38" t="str">
        <f>IF($A125=0,"",VLOOKUP($A125,'BASE EQUIPO'!$A:$D,2))</f>
        <v/>
      </c>
      <c r="C125" s="2"/>
      <c r="D125" s="55"/>
      <c r="E125" s="55" t="str">
        <f>IF($A125=0,"",VLOOKUP($A125,'BASE EQUIPO'!$A:$D,4))</f>
        <v/>
      </c>
      <c r="F125" s="55" t="str">
        <f t="shared" si="10"/>
        <v/>
      </c>
      <c r="G125" s="106"/>
      <c r="H125" s="56" t="str">
        <f t="shared" si="11"/>
        <v/>
      </c>
      <c r="I125" s="2"/>
    </row>
    <row r="126" spans="1:15" x14ac:dyDescent="0.25">
      <c r="B126" s="38" t="str">
        <f>IF($A126=0,"",VLOOKUP($A126,'BASE EQUIPO'!$A:$D,2))</f>
        <v/>
      </c>
      <c r="C126" s="2"/>
      <c r="D126" s="55"/>
      <c r="E126" s="55" t="str">
        <f>IF($A126=0,"",VLOOKUP($A126,'BASE EQUIPO'!$A:$D,4))</f>
        <v/>
      </c>
      <c r="F126" s="55" t="str">
        <f t="shared" si="10"/>
        <v/>
      </c>
      <c r="G126" s="106"/>
      <c r="H126" s="56" t="str">
        <f t="shared" si="11"/>
        <v/>
      </c>
      <c r="I126" s="2"/>
    </row>
    <row r="127" spans="1:15" x14ac:dyDescent="0.25">
      <c r="B127" s="57" t="str">
        <f>IF($A127=0,"",VLOOKUP($A127,'BASE EQUIPO'!$A:$D,2))</f>
        <v/>
      </c>
      <c r="C127" s="58"/>
      <c r="D127" s="59"/>
      <c r="E127" s="59" t="str">
        <f>IF($A127=0,"",VLOOKUP($A127,'BASE EQUIPO'!$A:$D,4))</f>
        <v/>
      </c>
      <c r="F127" s="59" t="str">
        <f t="shared" si="10"/>
        <v/>
      </c>
      <c r="G127" s="107"/>
      <c r="H127" s="60" t="str">
        <f t="shared" si="11"/>
        <v/>
      </c>
      <c r="I127" s="2"/>
    </row>
    <row r="128" spans="1:15" x14ac:dyDescent="0.25">
      <c r="B128" s="57" t="s">
        <v>1692</v>
      </c>
      <c r="C128" s="58"/>
      <c r="D128" s="61"/>
      <c r="E128" s="61"/>
      <c r="F128" s="61"/>
      <c r="G128" s="62"/>
      <c r="H128" s="60">
        <f>ROUND(SUM(H121:H127),2)</f>
        <v>1.41</v>
      </c>
      <c r="I128" s="2"/>
    </row>
    <row r="129" spans="1:16" x14ac:dyDescent="0.25">
      <c r="B129" s="38" t="s">
        <v>1503</v>
      </c>
      <c r="C129" s="2"/>
      <c r="D129" s="3"/>
      <c r="E129" s="3"/>
      <c r="F129" s="3"/>
      <c r="G129" s="63"/>
      <c r="H129" s="56"/>
      <c r="I129" s="2"/>
    </row>
    <row r="130" spans="1:16" ht="25.5" x14ac:dyDescent="0.25">
      <c r="B130" s="64" t="s">
        <v>1691</v>
      </c>
      <c r="C130" s="65"/>
      <c r="D130" s="66" t="s">
        <v>1690</v>
      </c>
      <c r="E130" s="66" t="s">
        <v>1689</v>
      </c>
      <c r="F130" s="66" t="s">
        <v>1688</v>
      </c>
      <c r="G130" s="67" t="s">
        <v>1687</v>
      </c>
      <c r="H130" s="68" t="s">
        <v>1686</v>
      </c>
      <c r="I130" s="2"/>
    </row>
    <row r="131" spans="1:16" x14ac:dyDescent="0.25">
      <c r="A131" s="103">
        <v>20001</v>
      </c>
      <c r="B131" s="69" t="str">
        <f>IF($A131=0,"",VLOOKUP($A131,'BASE M-OBRA'!$A:$D,2))</f>
        <v>MAESTRO</v>
      </c>
      <c r="C131" s="2"/>
      <c r="D131" s="108">
        <v>1</v>
      </c>
      <c r="E131" s="70">
        <f>IF($A131=0,"",VLOOKUP($A131,'BASE M-OBRA'!$A:$D,4))</f>
        <v>3.02</v>
      </c>
      <c r="F131" s="55">
        <f t="shared" ref="F131:F137" si="12">IF($A131=0,"",ROUND(D131*E131,2))</f>
        <v>3.02</v>
      </c>
      <c r="G131" s="106">
        <f>IF($A131=0,"",ROUND(H131/F131,2))</f>
        <v>0.02</v>
      </c>
      <c r="H131" s="56">
        <f>IF($A131=0,"",ROUND(SUM(H132:H137)*'BASE M-OBRA'!$D$23,2))</f>
        <v>0.06</v>
      </c>
      <c r="I131" s="2"/>
    </row>
    <row r="132" spans="1:16" x14ac:dyDescent="0.25">
      <c r="A132" s="103">
        <v>20002</v>
      </c>
      <c r="B132" s="69" t="str">
        <f>IF($A132=0,"",VLOOKUP($A132,'BASE M-OBRA'!$A:$D,2))</f>
        <v>PEON</v>
      </c>
      <c r="C132" s="2"/>
      <c r="D132" s="108">
        <v>2</v>
      </c>
      <c r="E132" s="70">
        <f>IF($A132=0,"",VLOOKUP($A132,'BASE M-OBRA'!$A:$D,4))</f>
        <v>2.79</v>
      </c>
      <c r="F132" s="55">
        <f t="shared" si="12"/>
        <v>5.58</v>
      </c>
      <c r="G132" s="106">
        <f>+G123</f>
        <v>0.05</v>
      </c>
      <c r="H132" s="56">
        <f t="shared" ref="H132:H137" si="13">IF($A132=0,"",ROUND(G132*F132,2))</f>
        <v>0.28000000000000003</v>
      </c>
      <c r="I132" s="2"/>
    </row>
    <row r="133" spans="1:16" x14ac:dyDescent="0.25">
      <c r="B133" s="69" t="str">
        <f>IF($A133=0,"",VLOOKUP($A133,'BASE M-OBRA'!$A:$D,2))</f>
        <v/>
      </c>
      <c r="C133" s="2"/>
      <c r="D133" s="108"/>
      <c r="E133" s="70" t="str">
        <f>IF($A133=0,"",VLOOKUP($A133,'BASE M-OBRA'!$A:$D,4))</f>
        <v/>
      </c>
      <c r="F133" s="55" t="str">
        <f t="shared" si="12"/>
        <v/>
      </c>
      <c r="G133" s="106"/>
      <c r="H133" s="56" t="str">
        <f t="shared" si="13"/>
        <v/>
      </c>
      <c r="I133" s="2"/>
    </row>
    <row r="134" spans="1:16" x14ac:dyDescent="0.25">
      <c r="B134" s="71" t="str">
        <f>IF($A134=0,"",VLOOKUP($A134,'BASE M-OBRA'!$A:$D,2))</f>
        <v/>
      </c>
      <c r="C134" s="2"/>
      <c r="D134" s="108"/>
      <c r="E134" s="70" t="str">
        <f>IF($A134=0,"",VLOOKUP($A134,'BASE M-OBRA'!$A:$D,4))</f>
        <v/>
      </c>
      <c r="F134" s="55" t="str">
        <f t="shared" si="12"/>
        <v/>
      </c>
      <c r="G134" s="106"/>
      <c r="H134" s="56" t="str">
        <f t="shared" si="13"/>
        <v/>
      </c>
      <c r="I134" s="2"/>
    </row>
    <row r="135" spans="1:16" x14ac:dyDescent="0.25">
      <c r="B135" s="72" t="str">
        <f>IF($A135=0,"",VLOOKUP($A135,'BASE M-OBRA'!$A:$D,2))</f>
        <v/>
      </c>
      <c r="C135" s="2"/>
      <c r="D135" s="108"/>
      <c r="E135" s="70" t="str">
        <f>IF($A135=0,"",VLOOKUP($A135,'BASE M-OBRA'!$A:$D,4))</f>
        <v/>
      </c>
      <c r="F135" s="55" t="str">
        <f t="shared" si="12"/>
        <v/>
      </c>
      <c r="G135" s="106"/>
      <c r="H135" s="56" t="str">
        <f t="shared" si="13"/>
        <v/>
      </c>
      <c r="I135" s="2"/>
    </row>
    <row r="136" spans="1:16" x14ac:dyDescent="0.25">
      <c r="B136" s="38" t="str">
        <f>IF($A136=0,"",VLOOKUP($A136,'BASE M-OBRA'!$A:$D,2))</f>
        <v/>
      </c>
      <c r="C136" s="2"/>
      <c r="D136" s="55"/>
      <c r="E136" s="55" t="str">
        <f>IF($A136=0,"",VLOOKUP($A136,'BASE M-OBRA'!$A:$D,4))</f>
        <v/>
      </c>
      <c r="F136" s="55" t="str">
        <f t="shared" si="12"/>
        <v/>
      </c>
      <c r="G136" s="106"/>
      <c r="H136" s="56" t="str">
        <f t="shared" si="13"/>
        <v/>
      </c>
      <c r="I136" s="2"/>
    </row>
    <row r="137" spans="1:16" x14ac:dyDescent="0.25">
      <c r="B137" s="57" t="str">
        <f>IF($A137=0,"",VLOOKUP($A137,'BASE M-OBRA'!$A:$D,2))</f>
        <v/>
      </c>
      <c r="C137" s="58"/>
      <c r="D137" s="59"/>
      <c r="E137" s="59" t="str">
        <f>IF($A137=0,"",VLOOKUP($A137,'BASE M-OBRA'!$A:$D,4))</f>
        <v/>
      </c>
      <c r="F137" s="59" t="str">
        <f t="shared" si="12"/>
        <v/>
      </c>
      <c r="G137" s="107"/>
      <c r="H137" s="60" t="str">
        <f t="shared" si="13"/>
        <v/>
      </c>
      <c r="I137" s="2"/>
    </row>
    <row r="138" spans="1:16" x14ac:dyDescent="0.25">
      <c r="B138" s="73" t="s">
        <v>1685</v>
      </c>
      <c r="C138" s="65"/>
      <c r="D138" s="74"/>
      <c r="E138" s="74"/>
      <c r="F138" s="74"/>
      <c r="G138" s="74"/>
      <c r="H138" s="75">
        <f>ROUND(SUM(H130:H137),2)</f>
        <v>0.34</v>
      </c>
      <c r="I138" s="2"/>
    </row>
    <row r="139" spans="1:16" x14ac:dyDescent="0.25">
      <c r="B139" s="38" t="s">
        <v>1684</v>
      </c>
      <c r="C139" s="2"/>
      <c r="D139" s="3"/>
      <c r="E139" s="3"/>
      <c r="F139" s="3"/>
      <c r="G139" s="3"/>
      <c r="H139" s="56"/>
      <c r="I139" s="2"/>
    </row>
    <row r="140" spans="1:16" ht="25.5" x14ac:dyDescent="0.25">
      <c r="B140" s="64" t="s">
        <v>1409</v>
      </c>
      <c r="C140" s="65"/>
      <c r="D140" s="76"/>
      <c r="E140" s="66" t="s">
        <v>1408</v>
      </c>
      <c r="F140" s="66" t="s">
        <v>1679</v>
      </c>
      <c r="G140" s="66" t="s">
        <v>1683</v>
      </c>
      <c r="H140" s="68" t="s">
        <v>1675</v>
      </c>
      <c r="I140" s="2"/>
    </row>
    <row r="141" spans="1:16" x14ac:dyDescent="0.25">
      <c r="B141" s="109" t="str">
        <f>IF($A141=0,"",VLOOKUP($A141,'BASE MATERIAL'!$A:$D,2))</f>
        <v/>
      </c>
      <c r="C141" s="2"/>
      <c r="D141" s="77"/>
      <c r="E141" s="78" t="str">
        <f>IF($A141=0,"",VLOOKUP($A141,'BASE MATERIAL'!$A:$D,3))</f>
        <v/>
      </c>
      <c r="F141" s="55"/>
      <c r="G141" s="55" t="str">
        <f>IF($A141=0,"",VLOOKUP($A141,'BASE MATERIAL'!$A:$D,4))</f>
        <v/>
      </c>
      <c r="H141" s="56" t="str">
        <f t="shared" ref="H141:H155" si="14">IF($A141=0,"",ROUND(F141*G141,2))</f>
        <v/>
      </c>
      <c r="I141" s="2"/>
      <c r="L141" s="2"/>
      <c r="M141" s="2"/>
      <c r="N141" s="39"/>
      <c r="O141" s="2"/>
      <c r="P141" s="2"/>
    </row>
    <row r="142" spans="1:16" x14ac:dyDescent="0.25">
      <c r="B142" s="38" t="str">
        <f>IF($A142=0,"",VLOOKUP($A142,'BASE MATERIAL'!$A:$D,2))</f>
        <v/>
      </c>
      <c r="C142" s="2"/>
      <c r="D142" s="77"/>
      <c r="E142" s="78" t="str">
        <f>IF($A142=0,"",VLOOKUP($A142,'BASE MATERIAL'!$A:$D,3))</f>
        <v/>
      </c>
      <c r="F142" s="55"/>
      <c r="G142" s="55" t="str">
        <f>IF($A142=0,"",VLOOKUP($A142,'BASE MATERIAL'!$A:$D,4))</f>
        <v/>
      </c>
      <c r="H142" s="56" t="str">
        <f t="shared" si="14"/>
        <v/>
      </c>
      <c r="I142" s="2"/>
      <c r="L142" s="2"/>
      <c r="M142" s="2"/>
      <c r="N142" s="39"/>
      <c r="O142" s="2"/>
      <c r="P142" s="2"/>
    </row>
    <row r="143" spans="1:16" x14ac:dyDescent="0.25">
      <c r="B143" s="38" t="str">
        <f>IF($A143=0,"",VLOOKUP($A143,'BASE MATERIAL'!$A:$D,2))</f>
        <v/>
      </c>
      <c r="C143" s="2"/>
      <c r="D143" s="77"/>
      <c r="E143" s="78" t="str">
        <f>IF($A143=0,"",VLOOKUP($A143,'BASE MATERIAL'!$A:$D,3))</f>
        <v/>
      </c>
      <c r="F143" s="55"/>
      <c r="G143" s="55" t="str">
        <f>IF($A143=0,"",VLOOKUP($A143,'BASE MATERIAL'!$A:$D,4))</f>
        <v/>
      </c>
      <c r="H143" s="56" t="str">
        <f t="shared" si="14"/>
        <v/>
      </c>
      <c r="I143" s="2"/>
      <c r="L143" s="2"/>
      <c r="M143" s="2"/>
      <c r="N143" s="39"/>
      <c r="O143" s="2"/>
      <c r="P143" s="2"/>
    </row>
    <row r="144" spans="1:16" x14ac:dyDescent="0.25">
      <c r="B144" s="38" t="str">
        <f>IF($A144=0,"",VLOOKUP($A144,'BASE MATERIAL'!$A:$D,2))</f>
        <v/>
      </c>
      <c r="C144" s="2"/>
      <c r="D144" s="77"/>
      <c r="E144" s="78" t="str">
        <f>IF($A144=0,"",VLOOKUP($A144,'BASE MATERIAL'!$A:$D,3))</f>
        <v/>
      </c>
      <c r="F144" s="55"/>
      <c r="G144" s="55" t="str">
        <f>IF($A144=0,"",VLOOKUP($A144,'BASE MATERIAL'!$A:$D,4))</f>
        <v/>
      </c>
      <c r="H144" s="56" t="str">
        <f t="shared" si="14"/>
        <v/>
      </c>
      <c r="I144" s="2"/>
      <c r="L144" s="2"/>
      <c r="M144" s="2"/>
      <c r="N144" s="39"/>
      <c r="O144" s="2"/>
      <c r="P144" s="2"/>
    </row>
    <row r="145" spans="2:16" x14ac:dyDescent="0.25">
      <c r="B145" s="38" t="str">
        <f>IF($A145=0,"",VLOOKUP($A145,'BASE MATERIAL'!$A:$D,2))</f>
        <v/>
      </c>
      <c r="C145" s="2"/>
      <c r="D145" s="77"/>
      <c r="E145" s="78" t="str">
        <f>IF($A145=0,"",VLOOKUP($A145,'BASE MATERIAL'!$A:$D,3))</f>
        <v/>
      </c>
      <c r="F145" s="55"/>
      <c r="G145" s="55" t="str">
        <f>IF($A145=0,"",VLOOKUP($A145,'BASE MATERIAL'!$A:$D,4))</f>
        <v/>
      </c>
      <c r="H145" s="56" t="str">
        <f t="shared" si="14"/>
        <v/>
      </c>
      <c r="I145" s="2"/>
      <c r="L145" s="2"/>
      <c r="M145" s="2"/>
      <c r="N145" s="39"/>
      <c r="O145" s="2"/>
      <c r="P145" s="2"/>
    </row>
    <row r="146" spans="2:16" x14ac:dyDescent="0.25">
      <c r="B146" s="38" t="str">
        <f>IF($A146=0,"",VLOOKUP($A146,'BASE MATERIAL'!$A:$D,2))</f>
        <v/>
      </c>
      <c r="C146" s="2"/>
      <c r="D146" s="77"/>
      <c r="E146" s="78" t="str">
        <f>IF($A146=0,"",VLOOKUP($A146,'BASE MATERIAL'!$A:$D,3))</f>
        <v/>
      </c>
      <c r="F146" s="55"/>
      <c r="G146" s="55" t="str">
        <f>IF($A146=0,"",VLOOKUP($A146,'BASE MATERIAL'!$A:$D,4))</f>
        <v/>
      </c>
      <c r="H146" s="56" t="str">
        <f t="shared" si="14"/>
        <v/>
      </c>
      <c r="I146" s="2"/>
      <c r="L146" s="2"/>
      <c r="M146" s="2"/>
      <c r="N146" s="39"/>
      <c r="O146" s="2"/>
      <c r="P146" s="2"/>
    </row>
    <row r="147" spans="2:16" x14ac:dyDescent="0.25">
      <c r="B147" s="38" t="str">
        <f>IF($A147=0,"",VLOOKUP($A147,'BASE MATERIAL'!$A:$D,2))</f>
        <v/>
      </c>
      <c r="C147" s="2"/>
      <c r="D147" s="77"/>
      <c r="E147" s="78" t="str">
        <f>IF($A147=0,"",VLOOKUP($A147,'BASE MATERIAL'!$A:$D,3))</f>
        <v/>
      </c>
      <c r="F147" s="55"/>
      <c r="G147" s="55" t="str">
        <f>IF($A147=0,"",VLOOKUP($A147,'BASE MATERIAL'!$A:$D,4))</f>
        <v/>
      </c>
      <c r="H147" s="56" t="str">
        <f t="shared" si="14"/>
        <v/>
      </c>
      <c r="I147" s="2"/>
      <c r="L147" s="2"/>
      <c r="M147" s="2"/>
      <c r="N147" s="39"/>
      <c r="O147" s="2"/>
      <c r="P147" s="2"/>
    </row>
    <row r="148" spans="2:16" x14ac:dyDescent="0.25">
      <c r="B148" s="38" t="str">
        <f>IF($A148=0,"",VLOOKUP($A148,'BASE MATERIAL'!$A:$D,2))</f>
        <v/>
      </c>
      <c r="C148" s="2"/>
      <c r="D148" s="77"/>
      <c r="E148" s="78" t="str">
        <f>IF($A148=0,"",VLOOKUP($A148,'BASE MATERIAL'!$A:$D,3))</f>
        <v/>
      </c>
      <c r="F148" s="55"/>
      <c r="G148" s="55" t="str">
        <f>IF($A148=0,"",VLOOKUP($A148,'BASE MATERIAL'!$A:$D,4))</f>
        <v/>
      </c>
      <c r="H148" s="56" t="str">
        <f t="shared" si="14"/>
        <v/>
      </c>
      <c r="I148" s="2"/>
      <c r="L148" s="2"/>
      <c r="M148" s="2"/>
      <c r="N148" s="39"/>
      <c r="O148" s="2"/>
      <c r="P148" s="2"/>
    </row>
    <row r="149" spans="2:16" x14ac:dyDescent="0.25">
      <c r="B149" s="38" t="str">
        <f>IF($A149=0,"",VLOOKUP($A149,'BASE MATERIAL'!$A:$D,2))</f>
        <v/>
      </c>
      <c r="C149" s="2"/>
      <c r="D149" s="77"/>
      <c r="E149" s="78" t="str">
        <f>IF($A149=0,"",VLOOKUP($A149,'BASE MATERIAL'!$A:$D,3))</f>
        <v/>
      </c>
      <c r="F149" s="55"/>
      <c r="G149" s="55" t="str">
        <f>IF($A149=0,"",VLOOKUP($A149,'BASE MATERIAL'!$A:$D,4))</f>
        <v/>
      </c>
      <c r="H149" s="56" t="str">
        <f t="shared" si="14"/>
        <v/>
      </c>
      <c r="I149" s="2"/>
    </row>
    <row r="150" spans="2:16" x14ac:dyDescent="0.25">
      <c r="B150" s="38" t="str">
        <f>IF($A150=0,"",VLOOKUP($A150,'BASE MATERIAL'!$A:$D,2))</f>
        <v/>
      </c>
      <c r="C150" s="2"/>
      <c r="D150" s="77"/>
      <c r="E150" s="78" t="str">
        <f>IF($A150=0,"",VLOOKUP($A150,'BASE MATERIAL'!$A:$D,3))</f>
        <v/>
      </c>
      <c r="F150" s="55"/>
      <c r="G150" s="55" t="str">
        <f>IF($A150=0,"",VLOOKUP($A150,'BASE MATERIAL'!$A:$D,4))</f>
        <v/>
      </c>
      <c r="H150" s="56" t="str">
        <f t="shared" si="14"/>
        <v/>
      </c>
      <c r="I150" s="2"/>
      <c r="L150" s="2"/>
      <c r="M150" s="2"/>
      <c r="N150" s="39"/>
      <c r="O150" s="2"/>
      <c r="P150" s="2"/>
    </row>
    <row r="151" spans="2:16" x14ac:dyDescent="0.25">
      <c r="B151" s="38" t="str">
        <f>IF($A151=0,"",VLOOKUP($A151,'BASE MATERIAL'!$A:$D,2))</f>
        <v/>
      </c>
      <c r="C151" s="2"/>
      <c r="D151" s="77"/>
      <c r="E151" s="78" t="str">
        <f>IF($A151=0,"",VLOOKUP($A151,'BASE MATERIAL'!$A:$D,3))</f>
        <v/>
      </c>
      <c r="F151" s="55"/>
      <c r="G151" s="55" t="str">
        <f>IF($A151=0,"",VLOOKUP($A151,'BASE MATERIAL'!$A:$D,4))</f>
        <v/>
      </c>
      <c r="H151" s="56" t="str">
        <f t="shared" si="14"/>
        <v/>
      </c>
      <c r="I151" s="2"/>
      <c r="L151" s="2"/>
      <c r="M151" s="2"/>
      <c r="N151" s="39"/>
      <c r="O151" s="2"/>
      <c r="P151" s="2"/>
    </row>
    <row r="152" spans="2:16" x14ac:dyDescent="0.25">
      <c r="B152" s="38" t="str">
        <f>IF($A152=0,"",VLOOKUP($A152,'BASE MATERIAL'!$A:$D,2))</f>
        <v/>
      </c>
      <c r="C152" s="2"/>
      <c r="D152" s="77"/>
      <c r="E152" s="78" t="str">
        <f>IF($A152=0,"",VLOOKUP($A152,'BASE MATERIAL'!$A:$D,3))</f>
        <v/>
      </c>
      <c r="F152" s="55"/>
      <c r="G152" s="55" t="str">
        <f>IF($A152=0,"",VLOOKUP($A152,'BASE MATERIAL'!$A:$D,4))</f>
        <v/>
      </c>
      <c r="H152" s="56" t="str">
        <f t="shared" si="14"/>
        <v/>
      </c>
      <c r="I152" s="2"/>
    </row>
    <row r="153" spans="2:16" x14ac:dyDescent="0.25">
      <c r="B153" s="38" t="str">
        <f>IF($A153=0,"",VLOOKUP($A153,'BASE MATERIAL'!$A:$D,2))</f>
        <v/>
      </c>
      <c r="C153" s="2"/>
      <c r="D153" s="77"/>
      <c r="E153" s="78" t="str">
        <f>IF($A153=0,"",VLOOKUP($A153,'BASE MATERIAL'!$A:$D,3))</f>
        <v/>
      </c>
      <c r="F153" s="55"/>
      <c r="G153" s="55" t="str">
        <f>IF($A153=0,"",VLOOKUP($A153,'BASE MATERIAL'!$A:$D,4))</f>
        <v/>
      </c>
      <c r="H153" s="56" t="str">
        <f t="shared" si="14"/>
        <v/>
      </c>
      <c r="I153" s="2"/>
    </row>
    <row r="154" spans="2:16" x14ac:dyDescent="0.25">
      <c r="B154" s="38" t="str">
        <f>IF($A154=0,"",VLOOKUP($A154,'BASE MATERIAL'!$A:$D,2))</f>
        <v/>
      </c>
      <c r="C154" s="2"/>
      <c r="D154" s="77"/>
      <c r="E154" s="78" t="str">
        <f>IF($A154=0,"",VLOOKUP($A154,'BASE MATERIAL'!$A:$D,3))</f>
        <v/>
      </c>
      <c r="F154" s="55"/>
      <c r="G154" s="55" t="str">
        <f>IF($A154=0,"",VLOOKUP($A154,'BASE MATERIAL'!$A:$D,4))</f>
        <v/>
      </c>
      <c r="H154" s="56" t="str">
        <f t="shared" si="14"/>
        <v/>
      </c>
      <c r="I154" s="2"/>
    </row>
    <row r="155" spans="2:16" x14ac:dyDescent="0.25">
      <c r="B155" s="38" t="str">
        <f>IF($A155=0,"",VLOOKUP($A155,'BASE MATERIAL'!$A:$D,2))</f>
        <v/>
      </c>
      <c r="C155" s="2"/>
      <c r="D155" s="77"/>
      <c r="E155" s="78" t="str">
        <f>IF($A155=0,"",VLOOKUP($A155,'BASE MATERIAL'!$A:$D,3))</f>
        <v/>
      </c>
      <c r="F155" s="55"/>
      <c r="G155" s="55" t="str">
        <f>IF($A155=0,"",VLOOKUP($A155,'BASE MATERIAL'!$A:$D,4))</f>
        <v/>
      </c>
      <c r="H155" s="56" t="str">
        <f t="shared" si="14"/>
        <v/>
      </c>
      <c r="I155" s="2"/>
    </row>
    <row r="156" spans="2:16" x14ac:dyDescent="0.25">
      <c r="B156" s="38" t="str">
        <f>IF($A156=0,"",VLOOKUP($A156,'BASE MATERIAL'!$A:$D,2))</f>
        <v/>
      </c>
      <c r="C156" s="2"/>
      <c r="D156" s="81" t="s">
        <v>1682</v>
      </c>
      <c r="E156" s="55" t="str">
        <f>IF($A156=0,"",VLOOKUP($A156,'BASE MATERIAL'!$A:$D,3))</f>
        <v/>
      </c>
      <c r="F156" s="55" t="s">
        <v>1682</v>
      </c>
      <c r="G156" s="55" t="str">
        <f>IF($A156=0,"",VLOOKUP($A156,'BASE MATERIAL'!$A:$D,4))</f>
        <v/>
      </c>
      <c r="H156" s="56" t="str">
        <f>IF($A156=0,"",ROUND(E156*F156,2))</f>
        <v/>
      </c>
      <c r="I156" s="2"/>
    </row>
    <row r="157" spans="2:16" x14ac:dyDescent="0.25">
      <c r="B157" s="73" t="s">
        <v>1681</v>
      </c>
      <c r="C157" s="65"/>
      <c r="D157" s="74"/>
      <c r="E157" s="74"/>
      <c r="F157" s="74"/>
      <c r="G157" s="74"/>
      <c r="H157" s="75">
        <f>ROUND(SUM(H140:H156),2)</f>
        <v>0</v>
      </c>
      <c r="I157" s="2"/>
    </row>
    <row r="158" spans="2:16" x14ac:dyDescent="0.25">
      <c r="B158" s="38" t="s">
        <v>1680</v>
      </c>
      <c r="C158" s="2"/>
      <c r="D158" s="3"/>
      <c r="E158" s="3"/>
      <c r="F158" s="3"/>
      <c r="G158" s="3"/>
      <c r="H158" s="56"/>
      <c r="I158" s="2"/>
    </row>
    <row r="159" spans="2:16" ht="25.5" x14ac:dyDescent="0.25">
      <c r="B159" s="64" t="s">
        <v>1409</v>
      </c>
      <c r="C159" s="65"/>
      <c r="D159" s="76"/>
      <c r="E159" s="66" t="s">
        <v>1408</v>
      </c>
      <c r="F159" s="66" t="s">
        <v>1679</v>
      </c>
      <c r="G159" s="66" t="s">
        <v>1676</v>
      </c>
      <c r="H159" s="68" t="s">
        <v>1675</v>
      </c>
      <c r="I159" s="2"/>
    </row>
    <row r="160" spans="2:16" x14ac:dyDescent="0.25">
      <c r="B160" s="51" t="str">
        <f>IF($A160=0,"",VLOOKUP($A160,'BASE EQUIPO'!$A:$D,2))</f>
        <v/>
      </c>
      <c r="C160" s="52"/>
      <c r="D160" s="82"/>
      <c r="E160" s="78" t="str">
        <f>IF($A160=0,"",VLOOKUP($A160,'BASE EQUIPO'!$A:$D,3))</f>
        <v/>
      </c>
      <c r="F160" s="55"/>
      <c r="G160" s="83" t="str">
        <f>IF($A160=0,"",VLOOKUP($A160,'BASE EQUIPO'!$A:$D,4)*H157)</f>
        <v/>
      </c>
      <c r="H160" s="56" t="str">
        <f>IF($A160=0,"",ROUND(F160*G160,2))</f>
        <v/>
      </c>
      <c r="I160" s="2"/>
    </row>
    <row r="161" spans="1:15" x14ac:dyDescent="0.25">
      <c r="B161" s="38" t="str">
        <f>IF($A161=0,"",VLOOKUP($A161,'BASE EQUIPO'!$A:$D,2))</f>
        <v/>
      </c>
      <c r="C161" s="2"/>
      <c r="D161" s="84"/>
      <c r="E161" s="78" t="str">
        <f>IF($A161=0,"",VLOOKUP($A161,'BASE EQUIPO'!$A:$D,3))</f>
        <v/>
      </c>
      <c r="F161" s="55"/>
      <c r="G161" s="55" t="str">
        <f>IF($A161=0,"",VLOOKUP($A161,'BASE EQUIPO'!$A:$D,4)*H158)</f>
        <v/>
      </c>
      <c r="H161" s="56" t="str">
        <f>IF($A161=0,"",ROUND(F161*G161,2))</f>
        <v/>
      </c>
      <c r="I161" s="2"/>
    </row>
    <row r="162" spans="1:15" x14ac:dyDescent="0.25">
      <c r="B162" s="57" t="str">
        <f>IF($A162=0,"",VLOOKUP($A162,'BASE EQUIPO'!$A:$D,2))</f>
        <v/>
      </c>
      <c r="C162" s="58"/>
      <c r="D162" s="85"/>
      <c r="E162" s="86" t="str">
        <f>IF($A162=0,"",VLOOKUP($A162,'BASE EQUIPO'!$A:$D,3))</f>
        <v/>
      </c>
      <c r="F162" s="59"/>
      <c r="G162" s="59" t="str">
        <f>IF($A162=0,"",VLOOKUP($A162,'BASE EQUIPO'!$A:$D,4)*H159)</f>
        <v/>
      </c>
      <c r="H162" s="60" t="str">
        <f>IF($A162=0,"",ROUND(F162*G162,2))</f>
        <v/>
      </c>
      <c r="I162" s="2"/>
    </row>
    <row r="163" spans="1:15" ht="15.75" thickBot="1" x14ac:dyDescent="0.3">
      <c r="B163" s="87" t="s">
        <v>1674</v>
      </c>
      <c r="C163" s="88"/>
      <c r="D163" s="89"/>
      <c r="E163" s="89"/>
      <c r="F163" s="89"/>
      <c r="G163" s="89"/>
      <c r="H163" s="90">
        <f>ROUND(SUM(H159:H162),2)</f>
        <v>0</v>
      </c>
      <c r="I163" s="2"/>
    </row>
    <row r="164" spans="1:15" ht="15.75" x14ac:dyDescent="0.25">
      <c r="B164" s="2"/>
      <c r="C164" s="2"/>
      <c r="D164" s="91" t="s">
        <v>1673</v>
      </c>
      <c r="E164" s="47"/>
      <c r="F164" s="47"/>
      <c r="G164" s="47"/>
      <c r="H164" s="92">
        <f>ROUND(SUM(H163,H157,H138,H128),2)</f>
        <v>1.75</v>
      </c>
      <c r="I164" s="2"/>
    </row>
    <row r="165" spans="1:15" ht="15.75" x14ac:dyDescent="0.25">
      <c r="A165" s="103">
        <v>40002</v>
      </c>
      <c r="B165" s="2"/>
      <c r="C165" s="2"/>
      <c r="D165" s="93" t="s">
        <v>1672</v>
      </c>
      <c r="E165" s="65"/>
      <c r="F165" s="65"/>
      <c r="G165" s="94">
        <f>IF($A165=0,"",VLOOKUP($A165,'BASE MATERIAL'!$M:$P,4))</f>
        <v>0</v>
      </c>
      <c r="H165" s="95">
        <f>IF($A165=0,"",ROUND(G165*H164,2))</f>
        <v>0</v>
      </c>
      <c r="I165" s="2"/>
    </row>
    <row r="166" spans="1:15" ht="15.75" x14ac:dyDescent="0.25">
      <c r="A166" s="103">
        <v>40003</v>
      </c>
      <c r="B166" s="2"/>
      <c r="C166" s="2"/>
      <c r="D166" s="93" t="s">
        <v>1671</v>
      </c>
      <c r="E166" s="65"/>
      <c r="F166" s="65"/>
      <c r="G166" s="94">
        <f>IF($A166=0,"",VLOOKUP($A166,'BASE MATERIAL'!$M:$P,4))</f>
        <v>0</v>
      </c>
      <c r="H166" s="95">
        <f>IF($A166=0,"",ROUND(G166*H164,2))</f>
        <v>0</v>
      </c>
      <c r="I166" s="2"/>
    </row>
    <row r="167" spans="1:15" ht="15.75" x14ac:dyDescent="0.25">
      <c r="B167" s="2"/>
      <c r="C167" s="2"/>
      <c r="D167" s="93" t="s">
        <v>1670</v>
      </c>
      <c r="E167" s="65"/>
      <c r="F167" s="65"/>
      <c r="G167" s="65"/>
      <c r="H167" s="96">
        <f>ROUND(SUM(H164:H166),2)</f>
        <v>1.75</v>
      </c>
      <c r="I167" s="2"/>
    </row>
    <row r="168" spans="1:15" ht="16.5" thickBot="1" x14ac:dyDescent="0.3">
      <c r="B168" s="25"/>
      <c r="C168" s="2"/>
      <c r="D168" s="97" t="s">
        <v>1650</v>
      </c>
      <c r="E168" s="88"/>
      <c r="F168" s="88"/>
      <c r="G168" s="88"/>
      <c r="H168" s="98">
        <f>ROUND(H167,2)</f>
        <v>1.75</v>
      </c>
      <c r="I168" s="2"/>
    </row>
    <row r="169" spans="1:15" ht="15.75" x14ac:dyDescent="0.25">
      <c r="B169" s="34" t="s">
        <v>1701</v>
      </c>
      <c r="C169" s="5"/>
      <c r="D169" s="157" t="str">
        <f>'1.1'!$D$1</f>
        <v>ESPOL</v>
      </c>
      <c r="E169" s="2"/>
      <c r="F169" s="2"/>
      <c r="H169" s="2" t="s">
        <v>108</v>
      </c>
      <c r="I169" s="2"/>
      <c r="L169" s="40">
        <f>A173</f>
        <v>4</v>
      </c>
      <c r="M169" s="1" t="str">
        <f>C174</f>
        <v>Relleno compactado con material importado</v>
      </c>
      <c r="N169" s="2" t="str">
        <f>H173</f>
        <v>m3</v>
      </c>
      <c r="O169" s="2">
        <f>H224</f>
        <v>12.34</v>
      </c>
    </row>
    <row r="170" spans="1:15" s="4" customFormat="1" ht="15.75" x14ac:dyDescent="0.25">
      <c r="A170" s="103"/>
      <c r="B170" s="34" t="s">
        <v>1700</v>
      </c>
      <c r="C170" s="3">
        <f>'1.1'!$C$2</f>
        <v>0</v>
      </c>
      <c r="D170" s="5"/>
      <c r="E170" s="5"/>
      <c r="F170" s="5"/>
      <c r="G170" s="158" t="s">
        <v>1699</v>
      </c>
      <c r="H170" s="159"/>
      <c r="I170" s="5" t="s">
        <v>1698</v>
      </c>
    </row>
    <row r="171" spans="1:15" s="4" customFormat="1" ht="15.75" x14ac:dyDescent="0.25">
      <c r="A171" s="103"/>
      <c r="B171" s="34"/>
      <c r="C171" s="3">
        <f>'1.1'!$C$3</f>
        <v>0</v>
      </c>
      <c r="D171" s="5"/>
      <c r="E171" s="5"/>
      <c r="F171" s="5"/>
      <c r="G171" s="5"/>
      <c r="H171" s="5"/>
      <c r="I171" s="5"/>
    </row>
    <row r="172" spans="1:15" s="4" customFormat="1" ht="15.75" x14ac:dyDescent="0.25">
      <c r="A172" s="103"/>
      <c r="B172" s="34" t="s">
        <v>1697</v>
      </c>
      <c r="C172" s="3"/>
      <c r="D172" s="5"/>
      <c r="E172" s="5"/>
      <c r="F172" s="5"/>
      <c r="G172" s="5"/>
      <c r="H172" s="5"/>
      <c r="I172" s="5"/>
    </row>
    <row r="173" spans="1:15" x14ac:dyDescent="0.25">
      <c r="A173" s="104">
        <v>4</v>
      </c>
      <c r="B173" s="2" t="s">
        <v>1586</v>
      </c>
      <c r="C173" s="36" t="s">
        <v>656</v>
      </c>
      <c r="D173" s="5"/>
      <c r="E173" s="4"/>
      <c r="F173" s="4"/>
      <c r="G173" s="5" t="s">
        <v>1696</v>
      </c>
      <c r="H173" s="157" t="s">
        <v>1521</v>
      </c>
      <c r="I173" s="2"/>
    </row>
    <row r="174" spans="1:15" s="4" customFormat="1" x14ac:dyDescent="0.25">
      <c r="A174" s="103"/>
      <c r="B174" s="1" t="s">
        <v>1585</v>
      </c>
      <c r="C174" s="36" t="s">
        <v>1569</v>
      </c>
      <c r="D174" s="5"/>
      <c r="E174" s="5"/>
      <c r="F174" s="5"/>
      <c r="G174" s="5"/>
      <c r="H174" s="5"/>
      <c r="I174" s="5"/>
    </row>
    <row r="175" spans="1:15" ht="15.75" thickBot="1" x14ac:dyDescent="0.3">
      <c r="D175" s="2"/>
      <c r="E175" s="2"/>
      <c r="F175" s="2"/>
      <c r="G175" s="2"/>
      <c r="H175" s="2"/>
      <c r="I175" s="2"/>
    </row>
    <row r="176" spans="1:15" ht="15.75" thickBot="1" x14ac:dyDescent="0.3">
      <c r="B176" s="43" t="s">
        <v>1695</v>
      </c>
      <c r="C176" s="44"/>
      <c r="D176" s="44"/>
      <c r="E176" s="44"/>
      <c r="F176" s="44"/>
      <c r="G176" s="44"/>
      <c r="H176" s="45"/>
      <c r="I176" s="2"/>
    </row>
    <row r="177" spans="1:9" ht="26.25" customHeight="1" x14ac:dyDescent="0.25">
      <c r="B177" s="46" t="s">
        <v>1409</v>
      </c>
      <c r="C177" s="47"/>
      <c r="D177" s="48" t="s">
        <v>1690</v>
      </c>
      <c r="E177" s="48" t="s">
        <v>1694</v>
      </c>
      <c r="F177" s="48" t="s">
        <v>1693</v>
      </c>
      <c r="G177" s="49" t="s">
        <v>1687</v>
      </c>
      <c r="H177" s="50" t="s">
        <v>1686</v>
      </c>
      <c r="I177" s="2"/>
    </row>
    <row r="178" spans="1:9" s="4" customFormat="1" x14ac:dyDescent="0.25">
      <c r="A178" s="103">
        <v>19015</v>
      </c>
      <c r="B178" s="51" t="str">
        <f>IF($A178=0,"",VLOOKUP($A178,'BASE EQUIPO'!$A:$D,2))</f>
        <v>HERRAMIENTA MENOR</v>
      </c>
      <c r="C178" s="52"/>
      <c r="D178" s="53">
        <v>1</v>
      </c>
      <c r="E178" s="53">
        <f>IF($A178=0,"",VLOOKUP($A178,'BASE EQUIPO'!$A:$D,4)*H194)</f>
        <v>0.14070000000000002</v>
      </c>
      <c r="F178" s="53">
        <f t="shared" ref="F178:F183" si="15">IF($A178=0,"",ROUND(D178*E178,2))</f>
        <v>0.14000000000000001</v>
      </c>
      <c r="G178" s="105">
        <v>1</v>
      </c>
      <c r="H178" s="54">
        <f t="shared" ref="H178:H183" si="16">IF($A178=0,"",ROUND(G178*F178,2))</f>
        <v>0.14000000000000001</v>
      </c>
      <c r="I178" s="5"/>
    </row>
    <row r="179" spans="1:9" s="4" customFormat="1" x14ac:dyDescent="0.25">
      <c r="A179" s="103"/>
      <c r="B179" s="38"/>
      <c r="C179" s="2"/>
      <c r="D179" s="55"/>
      <c r="E179" s="55"/>
      <c r="F179" s="55"/>
      <c r="G179" s="106"/>
      <c r="H179" s="56"/>
      <c r="I179" s="5"/>
    </row>
    <row r="180" spans="1:9" s="4" customFormat="1" x14ac:dyDescent="0.25">
      <c r="A180" s="103">
        <v>19029</v>
      </c>
      <c r="B180" s="38" t="str">
        <f>IF($A180=0,"",VLOOKUP($A180,'BASE EQUIPO'!$A:$D,2))</f>
        <v>COMPACTADOR PESADO (RODILLO MANUAL)</v>
      </c>
      <c r="C180" s="2"/>
      <c r="D180" s="55">
        <v>1</v>
      </c>
      <c r="E180" s="55">
        <f>IF($A180=0,"",VLOOKUP($A180,'BASE EQUIPO'!$A:$D,4))</f>
        <v>3.5</v>
      </c>
      <c r="F180" s="55">
        <f t="shared" si="15"/>
        <v>3.5</v>
      </c>
      <c r="G180" s="106">
        <f>+G188*0.5</f>
        <v>0.17499999999999999</v>
      </c>
      <c r="H180" s="56">
        <f t="shared" si="16"/>
        <v>0.61</v>
      </c>
      <c r="I180" s="5"/>
    </row>
    <row r="181" spans="1:9" s="4" customFormat="1" x14ac:dyDescent="0.25">
      <c r="A181" s="103"/>
      <c r="B181" s="38" t="str">
        <f>IF($A181=0,"",VLOOKUP($A181,'BASE EQUIPO'!$A:$D,2))</f>
        <v/>
      </c>
      <c r="C181" s="2"/>
      <c r="D181" s="55"/>
      <c r="E181" s="55" t="str">
        <f>IF($A181=0,"",VLOOKUP($A181,'BASE EQUIPO'!$A:$D,4))</f>
        <v/>
      </c>
      <c r="F181" s="55" t="str">
        <f t="shared" si="15"/>
        <v/>
      </c>
      <c r="G181" s="106"/>
      <c r="H181" s="56" t="str">
        <f t="shared" si="16"/>
        <v/>
      </c>
      <c r="I181" s="5"/>
    </row>
    <row r="182" spans="1:9" s="4" customFormat="1" x14ac:dyDescent="0.25">
      <c r="A182" s="103"/>
      <c r="B182" s="38" t="str">
        <f>IF($A182=0,"",VLOOKUP($A182,'BASE EQUIPO'!$A:$D,2))</f>
        <v/>
      </c>
      <c r="C182" s="2"/>
      <c r="D182" s="55"/>
      <c r="E182" s="55" t="str">
        <f>IF($A182=0,"",VLOOKUP($A182,'BASE EQUIPO'!$A:$D,4))</f>
        <v/>
      </c>
      <c r="F182" s="55" t="str">
        <f t="shared" si="15"/>
        <v/>
      </c>
      <c r="G182" s="106"/>
      <c r="H182" s="56" t="str">
        <f t="shared" si="16"/>
        <v/>
      </c>
      <c r="I182" s="5"/>
    </row>
    <row r="183" spans="1:9" s="4" customFormat="1" x14ac:dyDescent="0.25">
      <c r="A183" s="103"/>
      <c r="B183" s="57" t="str">
        <f>IF($A183=0,"",VLOOKUP($A183,'BASE EQUIPO'!$A:$D,2))</f>
        <v/>
      </c>
      <c r="C183" s="58"/>
      <c r="D183" s="59"/>
      <c r="E183" s="59" t="str">
        <f>IF($A183=0,"",VLOOKUP($A183,'BASE EQUIPO'!$A:$D,4))</f>
        <v/>
      </c>
      <c r="F183" s="59" t="str">
        <f t="shared" si="15"/>
        <v/>
      </c>
      <c r="G183" s="107"/>
      <c r="H183" s="60" t="str">
        <f t="shared" si="16"/>
        <v/>
      </c>
      <c r="I183" s="5"/>
    </row>
    <row r="184" spans="1:9" s="4" customFormat="1" x14ac:dyDescent="0.25">
      <c r="A184" s="103"/>
      <c r="B184" s="57" t="s">
        <v>1692</v>
      </c>
      <c r="C184" s="58"/>
      <c r="D184" s="61"/>
      <c r="E184" s="61"/>
      <c r="F184" s="61"/>
      <c r="G184" s="62"/>
      <c r="H184" s="60">
        <f>ROUND(SUM(H177:H183),2)</f>
        <v>0.75</v>
      </c>
      <c r="I184" s="5"/>
    </row>
    <row r="185" spans="1:9" s="4" customFormat="1" x14ac:dyDescent="0.25">
      <c r="A185" s="103"/>
      <c r="B185" s="38" t="s">
        <v>1503</v>
      </c>
      <c r="C185" s="2"/>
      <c r="D185" s="3"/>
      <c r="E185" s="3"/>
      <c r="F185" s="3"/>
      <c r="G185" s="63"/>
      <c r="H185" s="56"/>
      <c r="I185" s="5"/>
    </row>
    <row r="186" spans="1:9" ht="26.25" customHeight="1" x14ac:dyDescent="0.25">
      <c r="B186" s="64" t="s">
        <v>1691</v>
      </c>
      <c r="C186" s="65"/>
      <c r="D186" s="66" t="s">
        <v>1690</v>
      </c>
      <c r="E186" s="66" t="s">
        <v>1689</v>
      </c>
      <c r="F186" s="66" t="s">
        <v>1688</v>
      </c>
      <c r="G186" s="67" t="s">
        <v>1687</v>
      </c>
      <c r="H186" s="68" t="s">
        <v>1686</v>
      </c>
      <c r="I186" s="2"/>
    </row>
    <row r="187" spans="1:9" s="4" customFormat="1" x14ac:dyDescent="0.25">
      <c r="A187" s="103">
        <v>20001</v>
      </c>
      <c r="B187" s="69" t="str">
        <f>IF($A187=0,"",VLOOKUP($A187,'BASE M-OBRA'!$A:$D,2))</f>
        <v>MAESTRO</v>
      </c>
      <c r="C187" s="2"/>
      <c r="D187" s="108">
        <v>1</v>
      </c>
      <c r="E187" s="70">
        <f>IF($A187=0,"",VLOOKUP($A187,'BASE M-OBRA'!$A:$D,4))</f>
        <v>3.02</v>
      </c>
      <c r="F187" s="55">
        <f t="shared" ref="F187:F193" si="17">IF($A187=0,"",ROUND(D187*E187,2))</f>
        <v>3.02</v>
      </c>
      <c r="G187" s="106">
        <f>IF($A187=0,"",ROUND(H187/F187,2))</f>
        <v>0.26</v>
      </c>
      <c r="H187" s="56">
        <f>IF($A187=0,"",ROUND(SUM(H188:H193)*'BASE M-OBRA'!$D$23,2))</f>
        <v>0.78</v>
      </c>
      <c r="I187" s="5"/>
    </row>
    <row r="188" spans="1:9" s="4" customFormat="1" x14ac:dyDescent="0.25">
      <c r="A188" s="103">
        <v>20002</v>
      </c>
      <c r="B188" s="69" t="str">
        <f>IF($A188=0,"",VLOOKUP($A188,'BASE M-OBRA'!$A:$D,2))</f>
        <v>PEON</v>
      </c>
      <c r="C188" s="2"/>
      <c r="D188" s="108">
        <v>4</v>
      </c>
      <c r="E188" s="70">
        <f>IF($A188=0,"",VLOOKUP($A188,'BASE M-OBRA'!$A:$D,4))</f>
        <v>2.79</v>
      </c>
      <c r="F188" s="55">
        <f t="shared" si="17"/>
        <v>11.16</v>
      </c>
      <c r="G188" s="106">
        <v>0.35</v>
      </c>
      <c r="H188" s="56">
        <f t="shared" ref="H188:H193" si="18">IF($A188=0,"",ROUND(G188*F188,2))</f>
        <v>3.91</v>
      </c>
      <c r="I188" s="5"/>
    </row>
    <row r="189" spans="1:9" s="4" customFormat="1" x14ac:dyDescent="0.25">
      <c r="A189" s="103"/>
      <c r="B189" s="69" t="str">
        <f>IF($A189=0,"",VLOOKUP($A189,'BASE M-OBRA'!$A:$D,2))</f>
        <v/>
      </c>
      <c r="C189" s="2"/>
      <c r="D189" s="108"/>
      <c r="E189" s="70" t="str">
        <f>IF($A189=0,"",VLOOKUP($A189,'BASE M-OBRA'!$A:$D,4))</f>
        <v/>
      </c>
      <c r="F189" s="55" t="str">
        <f t="shared" si="17"/>
        <v/>
      </c>
      <c r="G189" s="106"/>
      <c r="H189" s="56" t="str">
        <f t="shared" si="18"/>
        <v/>
      </c>
      <c r="I189" s="5"/>
    </row>
    <row r="190" spans="1:9" s="4" customFormat="1" x14ac:dyDescent="0.25">
      <c r="A190" s="103"/>
      <c r="B190" s="71" t="str">
        <f>IF($A190=0,"",VLOOKUP($A190,'BASE M-OBRA'!$A:$D,2))</f>
        <v/>
      </c>
      <c r="C190" s="2"/>
      <c r="D190" s="108"/>
      <c r="E190" s="70" t="str">
        <f>IF($A190=0,"",VLOOKUP($A190,'BASE M-OBRA'!$A:$D,4))</f>
        <v/>
      </c>
      <c r="F190" s="55" t="str">
        <f t="shared" si="17"/>
        <v/>
      </c>
      <c r="G190" s="106"/>
      <c r="H190" s="56" t="str">
        <f t="shared" si="18"/>
        <v/>
      </c>
      <c r="I190" s="5"/>
    </row>
    <row r="191" spans="1:9" s="4" customFormat="1" x14ac:dyDescent="0.25">
      <c r="A191" s="103"/>
      <c r="B191" s="72" t="str">
        <f>IF($A191=0,"",VLOOKUP($A191,'BASE M-OBRA'!$A:$D,2))</f>
        <v/>
      </c>
      <c r="C191" s="2"/>
      <c r="D191" s="108"/>
      <c r="E191" s="70" t="str">
        <f>IF($A191=0,"",VLOOKUP($A191,'BASE M-OBRA'!$A:$D,4))</f>
        <v/>
      </c>
      <c r="F191" s="55" t="str">
        <f t="shared" si="17"/>
        <v/>
      </c>
      <c r="G191" s="106"/>
      <c r="H191" s="56" t="str">
        <f t="shared" si="18"/>
        <v/>
      </c>
      <c r="I191" s="5"/>
    </row>
    <row r="192" spans="1:9" s="4" customFormat="1" x14ac:dyDescent="0.25">
      <c r="A192" s="103"/>
      <c r="B192" s="38" t="str">
        <f>IF($A192=0,"",VLOOKUP($A192,'BASE M-OBRA'!$A:$D,2))</f>
        <v/>
      </c>
      <c r="C192" s="2"/>
      <c r="D192" s="55"/>
      <c r="E192" s="55" t="str">
        <f>IF($A192=0,"",VLOOKUP($A192,'BASE M-OBRA'!$A:$D,4))</f>
        <v/>
      </c>
      <c r="F192" s="55" t="str">
        <f t="shared" si="17"/>
        <v/>
      </c>
      <c r="G192" s="106"/>
      <c r="H192" s="56" t="str">
        <f t="shared" si="18"/>
        <v/>
      </c>
      <c r="I192" s="5"/>
    </row>
    <row r="193" spans="1:16" s="4" customFormat="1" x14ac:dyDescent="0.25">
      <c r="A193" s="103"/>
      <c r="B193" s="57" t="str">
        <f>IF($A193=0,"",VLOOKUP($A193,'BASE M-OBRA'!$A:$D,2))</f>
        <v/>
      </c>
      <c r="C193" s="58"/>
      <c r="D193" s="59"/>
      <c r="E193" s="59" t="str">
        <f>IF($A193=0,"",VLOOKUP($A193,'BASE M-OBRA'!$A:$D,4))</f>
        <v/>
      </c>
      <c r="F193" s="59" t="str">
        <f t="shared" si="17"/>
        <v/>
      </c>
      <c r="G193" s="107"/>
      <c r="H193" s="60" t="str">
        <f t="shared" si="18"/>
        <v/>
      </c>
      <c r="I193" s="5"/>
    </row>
    <row r="194" spans="1:16" s="4" customFormat="1" x14ac:dyDescent="0.25">
      <c r="A194" s="103"/>
      <c r="B194" s="73" t="s">
        <v>1685</v>
      </c>
      <c r="C194" s="65"/>
      <c r="D194" s="74"/>
      <c r="E194" s="74"/>
      <c r="F194" s="74"/>
      <c r="G194" s="74"/>
      <c r="H194" s="75">
        <f>ROUND(SUM(H186:H193),2)</f>
        <v>4.6900000000000004</v>
      </c>
      <c r="I194" s="5"/>
    </row>
    <row r="195" spans="1:16" s="4" customFormat="1" x14ac:dyDescent="0.25">
      <c r="A195" s="103"/>
      <c r="B195" s="38" t="s">
        <v>1684</v>
      </c>
      <c r="C195" s="2"/>
      <c r="D195" s="3"/>
      <c r="E195" s="3"/>
      <c r="F195" s="3"/>
      <c r="G195" s="3"/>
      <c r="H195" s="56"/>
      <c r="I195" s="5"/>
    </row>
    <row r="196" spans="1:16" ht="26.25" customHeight="1" x14ac:dyDescent="0.25">
      <c r="B196" s="64" t="s">
        <v>1409</v>
      </c>
      <c r="C196" s="65"/>
      <c r="D196" s="76"/>
      <c r="E196" s="66" t="s">
        <v>1408</v>
      </c>
      <c r="F196" s="66" t="s">
        <v>1679</v>
      </c>
      <c r="G196" s="66" t="s">
        <v>1683</v>
      </c>
      <c r="H196" s="68" t="s">
        <v>1675</v>
      </c>
      <c r="I196" s="2"/>
    </row>
    <row r="197" spans="1:16" s="4" customFormat="1" x14ac:dyDescent="0.25">
      <c r="A197" s="103">
        <v>5001</v>
      </c>
      <c r="B197" s="37" t="str">
        <f>IF($A197=0,"",VLOOKUP($A197,'BASE MATERIAL'!$A:$D,2))</f>
        <v>CASCAJO MEDIO</v>
      </c>
      <c r="C197" s="2"/>
      <c r="D197" s="77"/>
      <c r="E197" s="78" t="str">
        <f>IF($A197=0,"",VLOOKUP($A197,'BASE MATERIAL'!$A:$D,3))</f>
        <v>M3</v>
      </c>
      <c r="F197" s="55">
        <v>1.2</v>
      </c>
      <c r="G197" s="55">
        <f>IF($A197=0,"",VLOOKUP($A197,'BASE MATERIAL'!$A:$D,4))</f>
        <v>5.5</v>
      </c>
      <c r="H197" s="56">
        <f t="shared" ref="H197:H211" si="19">IF($A197=0,"",ROUND(F197*G197,2))</f>
        <v>6.6</v>
      </c>
      <c r="I197" s="5"/>
      <c r="L197" s="5"/>
      <c r="M197" s="5"/>
      <c r="N197" s="160"/>
      <c r="O197" s="5"/>
      <c r="P197" s="5"/>
    </row>
    <row r="198" spans="1:16" s="4" customFormat="1" x14ac:dyDescent="0.25">
      <c r="A198" s="103">
        <v>5005</v>
      </c>
      <c r="B198" s="38" t="str">
        <f>IF($A198=0,"",VLOOKUP($A198,'BASE MATERIAL'!$A:$D,2))</f>
        <v>AGUA</v>
      </c>
      <c r="C198" s="2"/>
      <c r="D198" s="77"/>
      <c r="E198" s="78" t="str">
        <f>IF($A198=0,"",VLOOKUP($A198,'BASE MATERIAL'!$A:$D,3))</f>
        <v>LT</v>
      </c>
      <c r="F198" s="55">
        <v>150</v>
      </c>
      <c r="G198" s="80">
        <f>IF($A198=0,"",VLOOKUP($A198,'BASE MATERIAL'!$A:$D,4))</f>
        <v>2E-3</v>
      </c>
      <c r="H198" s="56">
        <f t="shared" si="19"/>
        <v>0.3</v>
      </c>
      <c r="I198" s="5"/>
      <c r="L198" s="5"/>
      <c r="M198" s="5"/>
      <c r="N198" s="160"/>
      <c r="O198" s="5"/>
      <c r="P198" s="5"/>
    </row>
    <row r="199" spans="1:16" s="4" customFormat="1" x14ac:dyDescent="0.25">
      <c r="A199" s="103"/>
      <c r="B199" s="38" t="str">
        <f>IF($A199=0,"",VLOOKUP($A199,'BASE MATERIAL'!$A:$D,2))</f>
        <v/>
      </c>
      <c r="C199" s="2"/>
      <c r="D199" s="77"/>
      <c r="E199" s="78" t="str">
        <f>IF($A199=0,"",VLOOKUP($A199,'BASE MATERIAL'!$A:$D,3))</f>
        <v/>
      </c>
      <c r="F199" s="55"/>
      <c r="G199" s="55" t="str">
        <f>IF($A199=0,"",VLOOKUP($A199,'BASE MATERIAL'!$A:$D,4))</f>
        <v/>
      </c>
      <c r="H199" s="56" t="str">
        <f t="shared" si="19"/>
        <v/>
      </c>
      <c r="I199" s="5"/>
      <c r="L199" s="5"/>
      <c r="M199" s="5"/>
      <c r="N199" s="160"/>
      <c r="O199" s="5"/>
      <c r="P199" s="5"/>
    </row>
    <row r="200" spans="1:16" s="4" customFormat="1" x14ac:dyDescent="0.25">
      <c r="A200" s="103"/>
      <c r="B200" s="38" t="str">
        <f>IF($A200=0,"",VLOOKUP($A200,'BASE MATERIAL'!$A:$D,2))</f>
        <v/>
      </c>
      <c r="C200" s="2"/>
      <c r="D200" s="77"/>
      <c r="E200" s="78" t="str">
        <f>IF($A200=0,"",VLOOKUP($A200,'BASE MATERIAL'!$A:$D,3))</f>
        <v/>
      </c>
      <c r="F200" s="55"/>
      <c r="G200" s="55" t="str">
        <f>IF($A200=0,"",VLOOKUP($A200,'BASE MATERIAL'!$A:$D,4))</f>
        <v/>
      </c>
      <c r="H200" s="56" t="str">
        <f t="shared" si="19"/>
        <v/>
      </c>
      <c r="I200" s="5"/>
      <c r="L200" s="5"/>
      <c r="M200" s="5"/>
      <c r="N200" s="160"/>
      <c r="O200" s="5"/>
      <c r="P200" s="5"/>
    </row>
    <row r="201" spans="1:16" ht="14.25" x14ac:dyDescent="0.2">
      <c r="A201" s="4"/>
      <c r="B201" s="161" t="str">
        <f>IF($A201=0,"",VLOOKUP($A201,'BASE MATERIAL'!$A:$D,2))</f>
        <v/>
      </c>
      <c r="C201" s="5"/>
      <c r="D201" s="6"/>
      <c r="E201" s="162" t="str">
        <f>IF($A201=0,"",VLOOKUP($A201,'BASE MATERIAL'!$A:$D,3))</f>
        <v/>
      </c>
      <c r="F201" s="163"/>
      <c r="G201" s="163" t="str">
        <f>IF($A201=0,"",VLOOKUP($A201,'BASE MATERIAL'!$A:$D,4))</f>
        <v/>
      </c>
      <c r="H201" s="164" t="str">
        <f t="shared" si="19"/>
        <v/>
      </c>
      <c r="I201" s="2"/>
      <c r="L201" s="2"/>
      <c r="M201" s="2"/>
      <c r="N201" s="39"/>
      <c r="O201" s="2"/>
      <c r="P201" s="2"/>
    </row>
    <row r="202" spans="1:16" s="4" customFormat="1" ht="14.25" x14ac:dyDescent="0.2">
      <c r="A202" s="1"/>
      <c r="B202" s="38" t="str">
        <f>IF($A202=0,"",VLOOKUP($A202,'BASE MATERIAL'!$A:$D,2))</f>
        <v/>
      </c>
      <c r="C202" s="2"/>
      <c r="D202" s="77"/>
      <c r="E202" s="78" t="str">
        <f>IF($A202=0,"",VLOOKUP($A202,'BASE MATERIAL'!$A:$D,3))</f>
        <v/>
      </c>
      <c r="F202" s="55"/>
      <c r="G202" s="55" t="str">
        <f>IF($A202=0,"",VLOOKUP($A202,'BASE MATERIAL'!$A:$D,4))</f>
        <v/>
      </c>
      <c r="H202" s="56" t="str">
        <f t="shared" si="19"/>
        <v/>
      </c>
      <c r="I202" s="5"/>
      <c r="L202" s="5"/>
      <c r="M202" s="5"/>
      <c r="N202" s="160"/>
      <c r="O202" s="5"/>
      <c r="P202" s="5"/>
    </row>
    <row r="203" spans="1:16" ht="14.25" x14ac:dyDescent="0.2">
      <c r="A203" s="4"/>
      <c r="B203" s="161" t="str">
        <f>IF($A203=0,"",VLOOKUP($A203,'BASE MATERIAL'!$A:$D,2))</f>
        <v/>
      </c>
      <c r="C203" s="5"/>
      <c r="D203" s="6"/>
      <c r="E203" s="162" t="str">
        <f>IF($A203=0,"",VLOOKUP($A203,'BASE MATERIAL'!$A:$D,3))</f>
        <v/>
      </c>
      <c r="F203" s="163"/>
      <c r="G203" s="163" t="str">
        <f>IF($A203=0,"",VLOOKUP($A203,'BASE MATERIAL'!$A:$D,4))</f>
        <v/>
      </c>
      <c r="H203" s="164" t="str">
        <f t="shared" si="19"/>
        <v/>
      </c>
      <c r="I203" s="2"/>
      <c r="L203" s="2"/>
      <c r="M203" s="2"/>
      <c r="N203" s="39"/>
      <c r="O203" s="2"/>
      <c r="P203" s="2"/>
    </row>
    <row r="204" spans="1:16" s="4" customFormat="1" ht="14.25" x14ac:dyDescent="0.2">
      <c r="A204" s="1"/>
      <c r="B204" s="38" t="str">
        <f>IF($A204=0,"",VLOOKUP($A204,'BASE MATERIAL'!$A:$D,2))</f>
        <v/>
      </c>
      <c r="C204" s="2"/>
      <c r="D204" s="77"/>
      <c r="E204" s="78" t="str">
        <f>IF($A204=0,"",VLOOKUP($A204,'BASE MATERIAL'!$A:$D,3))</f>
        <v/>
      </c>
      <c r="F204" s="55"/>
      <c r="G204" s="55" t="str">
        <f>IF($A204=0,"",VLOOKUP($A204,'BASE MATERIAL'!$A:$D,4))</f>
        <v/>
      </c>
      <c r="H204" s="56" t="str">
        <f t="shared" si="19"/>
        <v/>
      </c>
      <c r="I204" s="5"/>
      <c r="L204" s="5"/>
      <c r="M204" s="5"/>
      <c r="N204" s="160"/>
      <c r="O204" s="5"/>
      <c r="P204" s="5"/>
    </row>
    <row r="205" spans="1:16" ht="14.25" x14ac:dyDescent="0.2">
      <c r="A205" s="4"/>
      <c r="B205" s="161" t="str">
        <f>IF($A205=0,"",VLOOKUP($A205,'BASE MATERIAL'!$A:$D,2))</f>
        <v/>
      </c>
      <c r="C205" s="5"/>
      <c r="D205" s="6"/>
      <c r="E205" s="162" t="str">
        <f>IF($A205=0,"",VLOOKUP($A205,'BASE MATERIAL'!$A:$D,3))</f>
        <v/>
      </c>
      <c r="F205" s="163"/>
      <c r="G205" s="163" t="str">
        <f>IF($A205=0,"",VLOOKUP($A205,'BASE MATERIAL'!$A:$D,4))</f>
        <v/>
      </c>
      <c r="H205" s="164" t="str">
        <f t="shared" si="19"/>
        <v/>
      </c>
      <c r="I205" s="2"/>
    </row>
    <row r="206" spans="1:16" s="4" customFormat="1" ht="14.25" x14ac:dyDescent="0.2">
      <c r="A206" s="1"/>
      <c r="B206" s="38" t="str">
        <f>IF($A206=0,"",VLOOKUP($A206,'BASE MATERIAL'!$A:$D,2))</f>
        <v/>
      </c>
      <c r="C206" s="2"/>
      <c r="D206" s="77"/>
      <c r="E206" s="78" t="str">
        <f>IF($A206=0,"",VLOOKUP($A206,'BASE MATERIAL'!$A:$D,3))</f>
        <v/>
      </c>
      <c r="F206" s="55"/>
      <c r="G206" s="55" t="str">
        <f>IF($A206=0,"",VLOOKUP($A206,'BASE MATERIAL'!$A:$D,4))</f>
        <v/>
      </c>
      <c r="H206" s="56" t="str">
        <f t="shared" si="19"/>
        <v/>
      </c>
      <c r="I206" s="5"/>
      <c r="L206" s="5"/>
      <c r="M206" s="5"/>
      <c r="N206" s="160"/>
      <c r="O206" s="5"/>
      <c r="P206" s="5"/>
    </row>
    <row r="207" spans="1:16" ht="14.25" x14ac:dyDescent="0.2">
      <c r="A207" s="4"/>
      <c r="B207" s="161" t="str">
        <f>IF($A207=0,"",VLOOKUP($A207,'BASE MATERIAL'!$A:$D,2))</f>
        <v/>
      </c>
      <c r="C207" s="5"/>
      <c r="D207" s="6"/>
      <c r="E207" s="162" t="str">
        <f>IF($A207=0,"",VLOOKUP($A207,'BASE MATERIAL'!$A:$D,3))</f>
        <v/>
      </c>
      <c r="F207" s="163"/>
      <c r="G207" s="163" t="str">
        <f>IF($A207=0,"",VLOOKUP($A207,'BASE MATERIAL'!$A:$D,4))</f>
        <v/>
      </c>
      <c r="H207" s="164" t="str">
        <f t="shared" si="19"/>
        <v/>
      </c>
      <c r="I207" s="2"/>
      <c r="L207" s="2"/>
      <c r="M207" s="2"/>
      <c r="N207" s="39"/>
      <c r="O207" s="2"/>
      <c r="P207" s="2"/>
    </row>
    <row r="208" spans="1:16" s="4" customFormat="1" ht="14.25" x14ac:dyDescent="0.2">
      <c r="A208" s="1"/>
      <c r="B208" s="38" t="str">
        <f>IF($A208=0,"",VLOOKUP($A208,'BASE MATERIAL'!$A:$D,2))</f>
        <v/>
      </c>
      <c r="C208" s="2"/>
      <c r="D208" s="77"/>
      <c r="E208" s="78" t="str">
        <f>IF($A208=0,"",VLOOKUP($A208,'BASE MATERIAL'!$A:$D,3))</f>
        <v/>
      </c>
      <c r="F208" s="55"/>
      <c r="G208" s="55" t="str">
        <f>IF($A208=0,"",VLOOKUP($A208,'BASE MATERIAL'!$A:$D,4))</f>
        <v/>
      </c>
      <c r="H208" s="56" t="str">
        <f t="shared" si="19"/>
        <v/>
      </c>
      <c r="I208" s="5"/>
    </row>
    <row r="209" spans="1:9" ht="14.25" x14ac:dyDescent="0.2">
      <c r="A209" s="4"/>
      <c r="B209" s="161" t="str">
        <f>IF($A209=0,"",VLOOKUP($A209,'BASE MATERIAL'!$A:$D,2))</f>
        <v/>
      </c>
      <c r="C209" s="5"/>
      <c r="D209" s="6"/>
      <c r="E209" s="162" t="str">
        <f>IF($A209=0,"",VLOOKUP($A209,'BASE MATERIAL'!$A:$D,3))</f>
        <v/>
      </c>
      <c r="F209" s="163"/>
      <c r="G209" s="163" t="str">
        <f>IF($A209=0,"",VLOOKUP($A209,'BASE MATERIAL'!$A:$D,4))</f>
        <v/>
      </c>
      <c r="H209" s="164" t="str">
        <f t="shared" si="19"/>
        <v/>
      </c>
      <c r="I209" s="2"/>
    </row>
    <row r="210" spans="1:9" s="4" customFormat="1" ht="14.25" x14ac:dyDescent="0.2">
      <c r="A210" s="1"/>
      <c r="B210" s="38" t="str">
        <f>IF($A210=0,"",VLOOKUP($A210,'BASE MATERIAL'!$A:$D,2))</f>
        <v/>
      </c>
      <c r="C210" s="2"/>
      <c r="D210" s="77"/>
      <c r="E210" s="78" t="str">
        <f>IF($A210=0,"",VLOOKUP($A210,'BASE MATERIAL'!$A:$D,3))</f>
        <v/>
      </c>
      <c r="F210" s="55"/>
      <c r="G210" s="55" t="str">
        <f>IF($A210=0,"",VLOOKUP($A210,'BASE MATERIAL'!$A:$D,4))</f>
        <v/>
      </c>
      <c r="H210" s="56" t="str">
        <f t="shared" si="19"/>
        <v/>
      </c>
      <c r="I210" s="5"/>
    </row>
    <row r="211" spans="1:9" ht="14.25" x14ac:dyDescent="0.2">
      <c r="A211" s="4"/>
      <c r="B211" s="161" t="str">
        <f>IF($A211=0,"",VLOOKUP($A211,'BASE MATERIAL'!$A:$D,2))</f>
        <v/>
      </c>
      <c r="C211" s="5"/>
      <c r="D211" s="6"/>
      <c r="E211" s="162" t="str">
        <f>IF($A211=0,"",VLOOKUP($A211,'BASE MATERIAL'!$A:$D,3))</f>
        <v/>
      </c>
      <c r="F211" s="163"/>
      <c r="G211" s="163" t="str">
        <f>IF($A211=0,"",VLOOKUP($A211,'BASE MATERIAL'!$A:$D,4))</f>
        <v/>
      </c>
      <c r="H211" s="164" t="str">
        <f t="shared" si="19"/>
        <v/>
      </c>
      <c r="I211" s="2"/>
    </row>
    <row r="212" spans="1:9" s="4" customFormat="1" ht="14.25" x14ac:dyDescent="0.2">
      <c r="A212" s="1"/>
      <c r="B212" s="38" t="str">
        <f>IF($A212=0,"",VLOOKUP($A212,'BASE MATERIAL'!$A:$D,2))</f>
        <v/>
      </c>
      <c r="C212" s="2"/>
      <c r="D212" s="81" t="s">
        <v>1682</v>
      </c>
      <c r="E212" s="55" t="str">
        <f>IF($A212=0,"",VLOOKUP($A212,'BASE MATERIAL'!$A:$D,3))</f>
        <v/>
      </c>
      <c r="F212" s="55" t="s">
        <v>1682</v>
      </c>
      <c r="G212" s="55" t="str">
        <f>IF($A212=0,"",VLOOKUP($A212,'BASE MATERIAL'!$A:$D,4))</f>
        <v/>
      </c>
      <c r="H212" s="56" t="str">
        <f>IF($A212=0,"",ROUND(E212*F212,2))</f>
        <v/>
      </c>
      <c r="I212" s="5"/>
    </row>
    <row r="213" spans="1:9" ht="14.25" x14ac:dyDescent="0.2">
      <c r="A213" s="4"/>
      <c r="B213" s="165" t="s">
        <v>1681</v>
      </c>
      <c r="C213" s="166"/>
      <c r="D213" s="167"/>
      <c r="E213" s="167"/>
      <c r="F213" s="167"/>
      <c r="G213" s="167"/>
      <c r="H213" s="168">
        <f>ROUND(SUM(H196:H212),2)</f>
        <v>6.9</v>
      </c>
      <c r="I213" s="2"/>
    </row>
    <row r="214" spans="1:9" s="4" customFormat="1" ht="14.25" x14ac:dyDescent="0.2">
      <c r="A214" s="1"/>
      <c r="B214" s="38" t="s">
        <v>1680</v>
      </c>
      <c r="C214" s="2"/>
      <c r="D214" s="3"/>
      <c r="E214" s="3"/>
      <c r="F214" s="3"/>
      <c r="G214" s="3"/>
      <c r="H214" s="56"/>
      <c r="I214" s="5"/>
    </row>
    <row r="215" spans="1:9" s="4" customFormat="1" ht="25.5" x14ac:dyDescent="0.2">
      <c r="B215" s="169" t="s">
        <v>1409</v>
      </c>
      <c r="C215" s="166"/>
      <c r="D215" s="170"/>
      <c r="E215" s="171" t="s">
        <v>1408</v>
      </c>
      <c r="F215" s="171" t="s">
        <v>1679</v>
      </c>
      <c r="G215" s="171" t="s">
        <v>1676</v>
      </c>
      <c r="H215" s="172" t="s">
        <v>1675</v>
      </c>
      <c r="I215" s="5"/>
    </row>
    <row r="216" spans="1:9" ht="14.25" x14ac:dyDescent="0.2">
      <c r="A216" s="4"/>
      <c r="B216" s="173" t="str">
        <f>IF($A216=0,"",VLOOKUP($A216,'BASE EQUIPO'!$A:$D,2))</f>
        <v/>
      </c>
      <c r="C216" s="174"/>
      <c r="D216" s="175"/>
      <c r="E216" s="162" t="str">
        <f>IF($A216=0,"",VLOOKUP($A216,'BASE EQUIPO'!$A:$D,3))</f>
        <v/>
      </c>
      <c r="F216" s="163"/>
      <c r="G216" s="176" t="str">
        <f>IF($A216=0,"",VLOOKUP($A216,'BASE EQUIPO'!$A:$D,4)*H213)</f>
        <v/>
      </c>
      <c r="H216" s="164" t="str">
        <f>IF($A216=0,"",ROUND(F216*G216,2))</f>
        <v/>
      </c>
      <c r="I216" s="2"/>
    </row>
    <row r="217" spans="1:9" s="4" customFormat="1" x14ac:dyDescent="0.25">
      <c r="A217" s="103"/>
      <c r="B217" s="38" t="str">
        <f>IF($A217=0,"",VLOOKUP($A217,'BASE EQUIPO'!$A:$D,2))</f>
        <v/>
      </c>
      <c r="C217" s="2"/>
      <c r="D217" s="84"/>
      <c r="E217" s="78" t="str">
        <f>IF($A217=0,"",VLOOKUP($A217,'BASE EQUIPO'!$A:$D,3))</f>
        <v/>
      </c>
      <c r="F217" s="55"/>
      <c r="G217" s="55" t="str">
        <f>IF($A217=0,"",VLOOKUP($A217,'BASE EQUIPO'!$A:$D,4)*H214)</f>
        <v/>
      </c>
      <c r="H217" s="56" t="str">
        <f>IF($A217=0,"",ROUND(F217*G217,2))</f>
        <v/>
      </c>
      <c r="I217" s="5"/>
    </row>
    <row r="218" spans="1:9" s="4" customFormat="1" x14ac:dyDescent="0.25">
      <c r="A218" s="103"/>
      <c r="B218" s="57" t="str">
        <f>IF($A218=0,"",VLOOKUP($A218,'BASE EQUIPO'!$A:$D,2))</f>
        <v/>
      </c>
      <c r="C218" s="58"/>
      <c r="D218" s="85"/>
      <c r="E218" s="86" t="str">
        <f>IF($A218=0,"",VLOOKUP($A218,'BASE EQUIPO'!$A:$D,3))</f>
        <v/>
      </c>
      <c r="F218" s="59"/>
      <c r="G218" s="59" t="str">
        <f>IF($A218=0,"",VLOOKUP($A218,'BASE EQUIPO'!$A:$D,4)*H215)</f>
        <v/>
      </c>
      <c r="H218" s="60" t="str">
        <f>IF($A218=0,"",ROUND(F218*G218,2))</f>
        <v/>
      </c>
      <c r="I218" s="5"/>
    </row>
    <row r="219" spans="1:9" s="4" customFormat="1" ht="15.75" thickBot="1" x14ac:dyDescent="0.3">
      <c r="A219" s="103"/>
      <c r="B219" s="87" t="s">
        <v>1674</v>
      </c>
      <c r="C219" s="88"/>
      <c r="D219" s="89"/>
      <c r="E219" s="89"/>
      <c r="F219" s="89"/>
      <c r="G219" s="89"/>
      <c r="H219" s="90">
        <f>ROUND(SUM(H215:H218),2)</f>
        <v>0</v>
      </c>
      <c r="I219" s="5"/>
    </row>
    <row r="220" spans="1:9" s="4" customFormat="1" ht="15.75" x14ac:dyDescent="0.25">
      <c r="A220" s="103"/>
      <c r="B220" s="2"/>
      <c r="C220" s="2"/>
      <c r="D220" s="91" t="s">
        <v>1673</v>
      </c>
      <c r="E220" s="177"/>
      <c r="F220" s="177"/>
      <c r="G220" s="177"/>
      <c r="H220" s="92">
        <f>ROUND(SUM(H219,H213,H194,H184),2)</f>
        <v>12.34</v>
      </c>
      <c r="I220" s="5"/>
    </row>
    <row r="221" spans="1:9" s="4" customFormat="1" ht="15.75" x14ac:dyDescent="0.25">
      <c r="A221" s="103">
        <v>40002</v>
      </c>
      <c r="B221" s="2"/>
      <c r="C221" s="2"/>
      <c r="D221" s="93" t="s">
        <v>1672</v>
      </c>
      <c r="E221" s="166"/>
      <c r="F221" s="166"/>
      <c r="G221" s="178">
        <f>IF($A221=0,"",VLOOKUP($A221,'BASE MATERIAL'!$M:$P,4))</f>
        <v>0</v>
      </c>
      <c r="H221" s="95">
        <f>IF($A221=0,"",ROUND(G221*H220,2))</f>
        <v>0</v>
      </c>
      <c r="I221" s="5"/>
    </row>
    <row r="222" spans="1:9" s="4" customFormat="1" ht="15.75" x14ac:dyDescent="0.25">
      <c r="A222" s="103">
        <v>40003</v>
      </c>
      <c r="B222" s="2"/>
      <c r="C222" s="2"/>
      <c r="D222" s="93" t="s">
        <v>1671</v>
      </c>
      <c r="E222" s="166"/>
      <c r="F222" s="166"/>
      <c r="G222" s="178">
        <f>IF($A222=0,"",VLOOKUP($A222,'BASE MATERIAL'!$M:$P,4))</f>
        <v>0</v>
      </c>
      <c r="H222" s="95">
        <f>IF($A222=0,"",ROUND(G222*H220,2))</f>
        <v>0</v>
      </c>
      <c r="I222" s="5"/>
    </row>
    <row r="223" spans="1:9" s="4" customFormat="1" ht="15.75" x14ac:dyDescent="0.25">
      <c r="A223" s="103"/>
      <c r="B223" s="2"/>
      <c r="C223" s="2"/>
      <c r="D223" s="93" t="s">
        <v>1670</v>
      </c>
      <c r="E223" s="166"/>
      <c r="F223" s="166"/>
      <c r="G223" s="166"/>
      <c r="H223" s="96">
        <f>ROUND(SUM(H220:H222),2)</f>
        <v>12.34</v>
      </c>
      <c r="I223" s="5"/>
    </row>
    <row r="224" spans="1:9" s="4" customFormat="1" ht="16.5" thickBot="1" x14ac:dyDescent="0.3">
      <c r="A224" s="103"/>
      <c r="B224" s="25"/>
      <c r="C224" s="5"/>
      <c r="D224" s="97" t="s">
        <v>1650</v>
      </c>
      <c r="E224" s="179"/>
      <c r="F224" s="179"/>
      <c r="G224" s="179"/>
      <c r="H224" s="98">
        <f>ROUND(H223,2)</f>
        <v>12.34</v>
      </c>
      <c r="I224" s="5"/>
    </row>
    <row r="225" spans="1:15" ht="15.75" x14ac:dyDescent="0.25">
      <c r="B225" s="34" t="s">
        <v>1701</v>
      </c>
      <c r="C225" s="5"/>
      <c r="D225" s="157" t="str">
        <f>$D$1</f>
        <v>ESPOL</v>
      </c>
      <c r="E225" s="2"/>
      <c r="F225" s="2"/>
      <c r="H225" s="2" t="s">
        <v>108</v>
      </c>
      <c r="I225" s="2"/>
      <c r="L225" s="40">
        <f>A229</f>
        <v>3</v>
      </c>
      <c r="M225" s="1" t="str">
        <f>C230</f>
        <v xml:space="preserve">Excavación para cimientos </v>
      </c>
      <c r="N225" s="2" t="str">
        <f>H229</f>
        <v>m3</v>
      </c>
      <c r="O225" s="2">
        <f>H280</f>
        <v>4.04</v>
      </c>
    </row>
    <row r="226" spans="1:15" s="4" customFormat="1" ht="15.75" x14ac:dyDescent="0.25">
      <c r="A226" s="103"/>
      <c r="B226" s="34" t="s">
        <v>1700</v>
      </c>
      <c r="C226" s="3">
        <f>'1.1'!$C$2</f>
        <v>0</v>
      </c>
      <c r="D226" s="5"/>
      <c r="E226" s="5"/>
      <c r="F226" s="5"/>
      <c r="G226" s="158" t="s">
        <v>1699</v>
      </c>
      <c r="H226" s="159"/>
      <c r="I226" s="5" t="s">
        <v>1698</v>
      </c>
    </row>
    <row r="227" spans="1:15" s="4" customFormat="1" ht="15.75" x14ac:dyDescent="0.25">
      <c r="A227" s="103"/>
      <c r="B227" s="34"/>
      <c r="C227" s="3">
        <f>'1.1'!$C$3</f>
        <v>0</v>
      </c>
      <c r="D227" s="5"/>
      <c r="E227" s="5"/>
      <c r="F227" s="5"/>
      <c r="G227" s="5"/>
      <c r="H227" s="5"/>
      <c r="I227" s="5"/>
    </row>
    <row r="228" spans="1:15" s="4" customFormat="1" ht="15.75" x14ac:dyDescent="0.25">
      <c r="A228" s="103"/>
      <c r="B228" s="34" t="s">
        <v>1697</v>
      </c>
      <c r="C228" s="3"/>
      <c r="D228" s="5"/>
      <c r="E228" s="5"/>
      <c r="F228" s="5"/>
      <c r="G228" s="5"/>
      <c r="H228" s="5"/>
      <c r="I228" s="5"/>
    </row>
    <row r="229" spans="1:15" x14ac:dyDescent="0.25">
      <c r="A229" s="104">
        <v>3</v>
      </c>
      <c r="B229" s="2" t="s">
        <v>1586</v>
      </c>
      <c r="C229" s="101" t="s">
        <v>1706</v>
      </c>
      <c r="D229" s="5"/>
      <c r="E229" s="4"/>
      <c r="F229" s="4"/>
      <c r="G229" s="5" t="s">
        <v>1696</v>
      </c>
      <c r="H229" s="157" t="s">
        <v>1521</v>
      </c>
      <c r="I229" s="2"/>
    </row>
    <row r="230" spans="1:15" s="4" customFormat="1" x14ac:dyDescent="0.25">
      <c r="A230" s="103"/>
      <c r="B230" s="1" t="s">
        <v>1585</v>
      </c>
      <c r="C230" s="36" t="s">
        <v>1721</v>
      </c>
      <c r="D230" s="5"/>
      <c r="E230" s="5"/>
      <c r="F230" s="5"/>
      <c r="G230" s="5"/>
      <c r="H230" s="5"/>
      <c r="I230" s="5"/>
    </row>
    <row r="231" spans="1:15" ht="15.75" thickBot="1" x14ac:dyDescent="0.3">
      <c r="D231" s="2"/>
      <c r="E231" s="2"/>
      <c r="F231" s="2"/>
      <c r="G231" s="2"/>
      <c r="H231" s="2"/>
      <c r="I231" s="2"/>
    </row>
    <row r="232" spans="1:15" ht="15.75" thickBot="1" x14ac:dyDescent="0.3">
      <c r="B232" s="43" t="s">
        <v>1695</v>
      </c>
      <c r="C232" s="44"/>
      <c r="D232" s="44"/>
      <c r="E232" s="44"/>
      <c r="F232" s="44"/>
      <c r="G232" s="44"/>
      <c r="H232" s="45"/>
      <c r="I232" s="2"/>
    </row>
    <row r="233" spans="1:15" ht="25.5" x14ac:dyDescent="0.25">
      <c r="B233" s="46" t="s">
        <v>1409</v>
      </c>
      <c r="C233" s="47"/>
      <c r="D233" s="48" t="s">
        <v>1690</v>
      </c>
      <c r="E233" s="48" t="s">
        <v>1694</v>
      </c>
      <c r="F233" s="48" t="s">
        <v>1693</v>
      </c>
      <c r="G233" s="49" t="s">
        <v>1687</v>
      </c>
      <c r="H233" s="50" t="s">
        <v>1686</v>
      </c>
      <c r="I233" s="2"/>
    </row>
    <row r="234" spans="1:15" s="4" customFormat="1" x14ac:dyDescent="0.25">
      <c r="A234" s="103">
        <v>19015</v>
      </c>
      <c r="B234" s="51" t="str">
        <f>IF($A234=0,"",VLOOKUP($A234,'BASE EQUIPO'!$A:$D,2))</f>
        <v>HERRAMIENTA MENOR</v>
      </c>
      <c r="C234" s="52"/>
      <c r="D234" s="53">
        <v>1</v>
      </c>
      <c r="E234" s="53">
        <f>IF($A234=0,"",VLOOKUP($A234,'BASE EQUIPO'!$A:$D,4)*H250)</f>
        <v>2.6699999999999998E-2</v>
      </c>
      <c r="F234" s="53">
        <f t="shared" ref="F234:F239" si="20">IF($A234=0,"",ROUND(D234*E234,2))</f>
        <v>0.03</v>
      </c>
      <c r="G234" s="105">
        <v>1</v>
      </c>
      <c r="H234" s="54">
        <f t="shared" ref="H234:H239" si="21">IF($A234=0,"",ROUND(G234*F234,2))</f>
        <v>0.03</v>
      </c>
      <c r="I234" s="5"/>
    </row>
    <row r="235" spans="1:15" s="185" customFormat="1" ht="14.25" x14ac:dyDescent="0.2">
      <c r="A235" s="180">
        <v>1</v>
      </c>
      <c r="B235" s="116"/>
      <c r="C235" s="181"/>
      <c r="D235" s="182"/>
      <c r="E235" s="182"/>
      <c r="F235" s="182"/>
      <c r="G235" s="156"/>
      <c r="H235" s="183">
        <f t="shared" si="21"/>
        <v>0</v>
      </c>
      <c r="I235" s="184"/>
    </row>
    <row r="236" spans="1:15" s="4" customFormat="1" x14ac:dyDescent="0.25">
      <c r="A236" s="103">
        <v>19002</v>
      </c>
      <c r="B236" s="38" t="s">
        <v>221</v>
      </c>
      <c r="C236" s="2"/>
      <c r="D236" s="55">
        <v>2</v>
      </c>
      <c r="E236" s="55">
        <v>30</v>
      </c>
      <c r="F236" s="55">
        <f t="shared" si="20"/>
        <v>60</v>
      </c>
      <c r="G236" s="106">
        <v>5.1999999999999998E-2</v>
      </c>
      <c r="H236" s="56">
        <f t="shared" si="21"/>
        <v>3.12</v>
      </c>
      <c r="I236" s="5"/>
    </row>
    <row r="237" spans="1:15" s="4" customFormat="1" x14ac:dyDescent="0.25">
      <c r="A237" s="103"/>
      <c r="B237" s="38" t="str">
        <f>IF($A237=0,"",VLOOKUP($A237,'BASE EQUIPO'!$A:$D,2))</f>
        <v/>
      </c>
      <c r="C237" s="2"/>
      <c r="D237" s="55"/>
      <c r="E237" s="55" t="str">
        <f>IF($A237=0,"",VLOOKUP($A237,'BASE EQUIPO'!$A:$D,4))</f>
        <v/>
      </c>
      <c r="F237" s="55" t="str">
        <f t="shared" si="20"/>
        <v/>
      </c>
      <c r="G237" s="106"/>
      <c r="H237" s="56" t="str">
        <f t="shared" si="21"/>
        <v/>
      </c>
      <c r="I237" s="5"/>
    </row>
    <row r="238" spans="1:15" s="4" customFormat="1" x14ac:dyDescent="0.25">
      <c r="A238" s="103"/>
      <c r="B238" s="38" t="str">
        <f>IF($A238=0,"",VLOOKUP($A238,'BASE EQUIPO'!$A:$D,2))</f>
        <v/>
      </c>
      <c r="C238" s="2"/>
      <c r="D238" s="55"/>
      <c r="E238" s="55" t="str">
        <f>IF($A238=0,"",VLOOKUP($A238,'BASE EQUIPO'!$A:$D,4))</f>
        <v/>
      </c>
      <c r="F238" s="55" t="str">
        <f t="shared" si="20"/>
        <v/>
      </c>
      <c r="G238" s="106"/>
      <c r="H238" s="56" t="str">
        <f t="shared" si="21"/>
        <v/>
      </c>
      <c r="I238" s="5"/>
    </row>
    <row r="239" spans="1:15" s="4" customFormat="1" x14ac:dyDescent="0.25">
      <c r="A239" s="103"/>
      <c r="B239" s="57" t="str">
        <f>IF($A239=0,"",VLOOKUP($A239,'BASE EQUIPO'!$A:$D,2))</f>
        <v/>
      </c>
      <c r="C239" s="58"/>
      <c r="D239" s="59"/>
      <c r="E239" s="59" t="str">
        <f>IF($A239=0,"",VLOOKUP($A239,'BASE EQUIPO'!$A:$D,4))</f>
        <v/>
      </c>
      <c r="F239" s="59" t="str">
        <f t="shared" si="20"/>
        <v/>
      </c>
      <c r="G239" s="107"/>
      <c r="H239" s="60" t="str">
        <f t="shared" si="21"/>
        <v/>
      </c>
      <c r="I239" s="5"/>
    </row>
    <row r="240" spans="1:15" s="4" customFormat="1" x14ac:dyDescent="0.25">
      <c r="A240" s="103"/>
      <c r="B240" s="57" t="s">
        <v>1692</v>
      </c>
      <c r="C240" s="58"/>
      <c r="D240" s="61"/>
      <c r="E240" s="61"/>
      <c r="F240" s="61"/>
      <c r="G240" s="62"/>
      <c r="H240" s="60">
        <f>ROUND(SUM(H233:H239),2)</f>
        <v>3.15</v>
      </c>
      <c r="I240" s="5"/>
    </row>
    <row r="241" spans="1:16" s="4" customFormat="1" x14ac:dyDescent="0.25">
      <c r="A241" s="103"/>
      <c r="B241" s="38" t="s">
        <v>1503</v>
      </c>
      <c r="C241" s="2"/>
      <c r="D241" s="3"/>
      <c r="E241" s="3"/>
      <c r="F241" s="3"/>
      <c r="G241" s="63"/>
      <c r="H241" s="56"/>
      <c r="I241" s="5"/>
    </row>
    <row r="242" spans="1:16" ht="25.5" x14ac:dyDescent="0.25">
      <c r="B242" s="64" t="s">
        <v>1691</v>
      </c>
      <c r="C242" s="65"/>
      <c r="D242" s="66" t="s">
        <v>1690</v>
      </c>
      <c r="E242" s="66" t="s">
        <v>1689</v>
      </c>
      <c r="F242" s="66" t="s">
        <v>1688</v>
      </c>
      <c r="G242" s="67" t="s">
        <v>1687</v>
      </c>
      <c r="H242" s="68" t="s">
        <v>1686</v>
      </c>
      <c r="I242" s="2"/>
    </row>
    <row r="243" spans="1:16" s="4" customFormat="1" x14ac:dyDescent="0.25">
      <c r="A243" s="103"/>
      <c r="B243" s="69"/>
      <c r="C243" s="2"/>
      <c r="D243" s="108"/>
      <c r="E243" s="70"/>
      <c r="F243" s="55"/>
      <c r="G243" s="106"/>
      <c r="H243" s="56"/>
      <c r="I243" s="5"/>
    </row>
    <row r="244" spans="1:16" s="4" customFormat="1" x14ac:dyDescent="0.25">
      <c r="A244" s="103">
        <v>20002</v>
      </c>
      <c r="B244" s="69" t="str">
        <f>IF($A244=0,"",VLOOKUP($A244,'BASE M-OBRA'!$A:$D,2))</f>
        <v>PEON</v>
      </c>
      <c r="C244" s="2"/>
      <c r="D244" s="108">
        <v>4</v>
      </c>
      <c r="E244" s="70">
        <f>IF($A244=0,"",VLOOKUP($A244,'BASE M-OBRA'!$A:$D,4))</f>
        <v>2.79</v>
      </c>
      <c r="F244" s="55">
        <f t="shared" ref="F244:F249" si="22">IF($A244=0,"",ROUND(D244*E244,2))</f>
        <v>11.16</v>
      </c>
      <c r="G244" s="106">
        <f>G236</f>
        <v>5.1999999999999998E-2</v>
      </c>
      <c r="H244" s="56">
        <f t="shared" ref="H244:H249" si="23">IF($A244=0,"",ROUND(G244*F244,2))</f>
        <v>0.57999999999999996</v>
      </c>
      <c r="I244" s="5"/>
    </row>
    <row r="245" spans="1:16" s="4" customFormat="1" x14ac:dyDescent="0.25">
      <c r="A245" s="103">
        <v>20012</v>
      </c>
      <c r="B245" s="69" t="str">
        <f>IF($A245=0,"",VLOOKUP($A245,'BASE M-OBRA'!$A:$D,2))</f>
        <v>OP.EQUIPO PESADO</v>
      </c>
      <c r="C245" s="2"/>
      <c r="D245" s="108">
        <v>2</v>
      </c>
      <c r="E245" s="70">
        <f>IF($A245=0,"",VLOOKUP($A245,'BASE M-OBRA'!$A:$D,4))</f>
        <v>3.02</v>
      </c>
      <c r="F245" s="55">
        <f t="shared" si="22"/>
        <v>6.04</v>
      </c>
      <c r="G245" s="106">
        <f>+G244</f>
        <v>5.1999999999999998E-2</v>
      </c>
      <c r="H245" s="56">
        <f t="shared" si="23"/>
        <v>0.31</v>
      </c>
      <c r="I245" s="5"/>
    </row>
    <row r="246" spans="1:16" s="4" customFormat="1" x14ac:dyDescent="0.25">
      <c r="A246" s="103"/>
      <c r="B246" s="71" t="str">
        <f>IF($A246=0,"",VLOOKUP($A246,'BASE M-OBRA'!$A:$D,2))</f>
        <v/>
      </c>
      <c r="C246" s="2"/>
      <c r="D246" s="108"/>
      <c r="E246" s="70" t="str">
        <f>IF($A246=0,"",VLOOKUP($A246,'BASE M-OBRA'!$A:$D,4))</f>
        <v/>
      </c>
      <c r="F246" s="55" t="str">
        <f t="shared" si="22"/>
        <v/>
      </c>
      <c r="G246" s="106"/>
      <c r="H246" s="56" t="str">
        <f t="shared" si="23"/>
        <v/>
      </c>
      <c r="I246" s="5"/>
    </row>
    <row r="247" spans="1:16" s="4" customFormat="1" x14ac:dyDescent="0.25">
      <c r="A247" s="103"/>
      <c r="B247" s="72" t="str">
        <f>IF($A247=0,"",VLOOKUP($A247,'BASE M-OBRA'!$A:$D,2))</f>
        <v/>
      </c>
      <c r="C247" s="2"/>
      <c r="D247" s="108"/>
      <c r="E247" s="70" t="str">
        <f>IF($A247=0,"",VLOOKUP($A247,'BASE M-OBRA'!$A:$D,4))</f>
        <v/>
      </c>
      <c r="F247" s="55" t="str">
        <f t="shared" si="22"/>
        <v/>
      </c>
      <c r="G247" s="106"/>
      <c r="H247" s="56" t="str">
        <f t="shared" si="23"/>
        <v/>
      </c>
      <c r="I247" s="5"/>
    </row>
    <row r="248" spans="1:16" s="4" customFormat="1" x14ac:dyDescent="0.25">
      <c r="A248" s="103"/>
      <c r="B248" s="38" t="str">
        <f>IF($A248=0,"",VLOOKUP($A248,'BASE M-OBRA'!$A:$D,2))</f>
        <v/>
      </c>
      <c r="C248" s="2"/>
      <c r="D248" s="55"/>
      <c r="E248" s="55" t="str">
        <f>IF($A248=0,"",VLOOKUP($A248,'BASE M-OBRA'!$A:$D,4))</f>
        <v/>
      </c>
      <c r="F248" s="55" t="str">
        <f t="shared" si="22"/>
        <v/>
      </c>
      <c r="G248" s="106"/>
      <c r="H248" s="56" t="str">
        <f t="shared" si="23"/>
        <v/>
      </c>
      <c r="I248" s="5"/>
    </row>
    <row r="249" spans="1:16" s="4" customFormat="1" x14ac:dyDescent="0.25">
      <c r="A249" s="103"/>
      <c r="B249" s="57" t="str">
        <f>IF($A249=0,"",VLOOKUP($A249,'BASE M-OBRA'!$A:$D,2))</f>
        <v/>
      </c>
      <c r="C249" s="58"/>
      <c r="D249" s="59"/>
      <c r="E249" s="59" t="str">
        <f>IF($A249=0,"",VLOOKUP($A249,'BASE M-OBRA'!$A:$D,4))</f>
        <v/>
      </c>
      <c r="F249" s="59" t="str">
        <f t="shared" si="22"/>
        <v/>
      </c>
      <c r="G249" s="107"/>
      <c r="H249" s="60" t="str">
        <f t="shared" si="23"/>
        <v/>
      </c>
      <c r="I249" s="5"/>
    </row>
    <row r="250" spans="1:16" s="4" customFormat="1" x14ac:dyDescent="0.25">
      <c r="A250" s="103"/>
      <c r="B250" s="73" t="s">
        <v>1685</v>
      </c>
      <c r="C250" s="65"/>
      <c r="D250" s="74"/>
      <c r="E250" s="74"/>
      <c r="F250" s="74"/>
      <c r="G250" s="74"/>
      <c r="H250" s="75">
        <f>ROUND(SUM(H242:H249),2)</f>
        <v>0.89</v>
      </c>
      <c r="I250" s="5"/>
    </row>
    <row r="251" spans="1:16" s="4" customFormat="1" x14ac:dyDescent="0.25">
      <c r="A251" s="103"/>
      <c r="B251" s="38" t="s">
        <v>1684</v>
      </c>
      <c r="C251" s="2"/>
      <c r="D251" s="3"/>
      <c r="E251" s="3"/>
      <c r="F251" s="3"/>
      <c r="G251" s="3"/>
      <c r="H251" s="56"/>
      <c r="I251" s="5"/>
    </row>
    <row r="252" spans="1:16" ht="25.5" x14ac:dyDescent="0.25">
      <c r="B252" s="64" t="s">
        <v>1409</v>
      </c>
      <c r="C252" s="65"/>
      <c r="D252" s="76"/>
      <c r="E252" s="66" t="s">
        <v>1408</v>
      </c>
      <c r="F252" s="66" t="s">
        <v>1679</v>
      </c>
      <c r="G252" s="66" t="s">
        <v>1683</v>
      </c>
      <c r="H252" s="68" t="s">
        <v>1675</v>
      </c>
      <c r="I252" s="2"/>
    </row>
    <row r="253" spans="1:16" s="4" customFormat="1" x14ac:dyDescent="0.25">
      <c r="A253" s="103"/>
      <c r="B253" s="37" t="str">
        <f>IF($A253=0,"",VLOOKUP($A253,'BASE MATERIAL'!$A:$D,2))</f>
        <v/>
      </c>
      <c r="C253" s="2"/>
      <c r="D253" s="77"/>
      <c r="E253" s="78" t="str">
        <f>IF($A253=0,"",VLOOKUP($A253,'BASE MATERIAL'!$A:$D,3))</f>
        <v/>
      </c>
      <c r="F253" s="55"/>
      <c r="G253" s="55" t="str">
        <f>IF($A253=0,"",VLOOKUP($A253,'BASE MATERIAL'!$A:$D,4))</f>
        <v/>
      </c>
      <c r="H253" s="56" t="str">
        <f t="shared" ref="H253:H267" si="24">IF($A253=0,"",ROUND(F253*G253,2))</f>
        <v/>
      </c>
      <c r="I253" s="5"/>
      <c r="L253" s="5"/>
      <c r="M253" s="5"/>
      <c r="N253" s="160"/>
      <c r="O253" s="5"/>
      <c r="P253" s="5"/>
    </row>
    <row r="254" spans="1:16" s="4" customFormat="1" x14ac:dyDescent="0.25">
      <c r="A254" s="103"/>
      <c r="B254" s="38" t="str">
        <f>IF($A254=0,"",VLOOKUP($A254,'BASE MATERIAL'!$A:$D,2))</f>
        <v/>
      </c>
      <c r="C254" s="2"/>
      <c r="D254" s="77"/>
      <c r="E254" s="78" t="str">
        <f>IF($A254=0,"",VLOOKUP($A254,'BASE MATERIAL'!$A:$D,3))</f>
        <v/>
      </c>
      <c r="F254" s="55"/>
      <c r="G254" s="55" t="str">
        <f>IF($A254=0,"",VLOOKUP($A254,'BASE MATERIAL'!$A:$D,4))</f>
        <v/>
      </c>
      <c r="H254" s="56" t="str">
        <f t="shared" si="24"/>
        <v/>
      </c>
      <c r="I254" s="5"/>
      <c r="L254" s="5"/>
      <c r="M254" s="5"/>
      <c r="N254" s="160"/>
      <c r="O254" s="5"/>
      <c r="P254" s="5"/>
    </row>
    <row r="255" spans="1:16" s="4" customFormat="1" x14ac:dyDescent="0.25">
      <c r="A255" s="103"/>
      <c r="B255" s="38" t="str">
        <f>IF($A255=0,"",VLOOKUP($A255,'BASE MATERIAL'!$A:$D,2))</f>
        <v/>
      </c>
      <c r="C255" s="2"/>
      <c r="D255" s="77"/>
      <c r="E255" s="78" t="str">
        <f>IF($A255=0,"",VLOOKUP($A255,'BASE MATERIAL'!$A:$D,3))</f>
        <v/>
      </c>
      <c r="F255" s="55"/>
      <c r="G255" s="55" t="str">
        <f>IF($A255=0,"",VLOOKUP($A255,'BASE MATERIAL'!$A:$D,4))</f>
        <v/>
      </c>
      <c r="H255" s="56" t="str">
        <f t="shared" si="24"/>
        <v/>
      </c>
      <c r="I255" s="5"/>
      <c r="L255" s="5"/>
      <c r="M255" s="5"/>
      <c r="N255" s="160"/>
      <c r="O255" s="5"/>
      <c r="P255" s="5"/>
    </row>
    <row r="256" spans="1:16" s="4" customFormat="1" x14ac:dyDescent="0.25">
      <c r="A256" s="103"/>
      <c r="B256" s="38" t="str">
        <f>IF($A256=0,"",VLOOKUP($A256,'BASE MATERIAL'!$A:$D,2))</f>
        <v/>
      </c>
      <c r="C256" s="2"/>
      <c r="D256" s="77"/>
      <c r="E256" s="78" t="str">
        <f>IF($A256=0,"",VLOOKUP($A256,'BASE MATERIAL'!$A:$D,3))</f>
        <v/>
      </c>
      <c r="F256" s="55"/>
      <c r="G256" s="55" t="str">
        <f>IF($A256=0,"",VLOOKUP($A256,'BASE MATERIAL'!$A:$D,4))</f>
        <v/>
      </c>
      <c r="H256" s="56" t="str">
        <f t="shared" si="24"/>
        <v/>
      </c>
      <c r="I256" s="5"/>
      <c r="L256" s="5"/>
      <c r="M256" s="5"/>
      <c r="N256" s="160"/>
      <c r="O256" s="5"/>
      <c r="P256" s="5"/>
    </row>
    <row r="257" spans="1:16" ht="14.25" x14ac:dyDescent="0.2">
      <c r="A257" s="4"/>
      <c r="B257" s="161" t="str">
        <f>IF($A257=0,"",VLOOKUP($A257,'BASE MATERIAL'!$A:$D,2))</f>
        <v/>
      </c>
      <c r="C257" s="5"/>
      <c r="D257" s="6"/>
      <c r="E257" s="162" t="str">
        <f>IF($A257=0,"",VLOOKUP($A257,'BASE MATERIAL'!$A:$D,3))</f>
        <v/>
      </c>
      <c r="F257" s="163"/>
      <c r="G257" s="163" t="str">
        <f>IF($A257=0,"",VLOOKUP($A257,'BASE MATERIAL'!$A:$D,4))</f>
        <v/>
      </c>
      <c r="H257" s="164" t="str">
        <f t="shared" si="24"/>
        <v/>
      </c>
      <c r="I257" s="2"/>
      <c r="L257" s="2"/>
      <c r="M257" s="2"/>
      <c r="N257" s="39"/>
      <c r="O257" s="2"/>
      <c r="P257" s="2"/>
    </row>
    <row r="258" spans="1:16" s="4" customFormat="1" ht="14.25" x14ac:dyDescent="0.2">
      <c r="A258" s="1"/>
      <c r="B258" s="38" t="str">
        <f>IF($A258=0,"",VLOOKUP($A258,'BASE MATERIAL'!$A:$D,2))</f>
        <v/>
      </c>
      <c r="C258" s="2"/>
      <c r="D258" s="77"/>
      <c r="E258" s="78" t="str">
        <f>IF($A258=0,"",VLOOKUP($A258,'BASE MATERIAL'!$A:$D,3))</f>
        <v/>
      </c>
      <c r="F258" s="55"/>
      <c r="G258" s="55" t="str">
        <f>IF($A258=0,"",VLOOKUP($A258,'BASE MATERIAL'!$A:$D,4))</f>
        <v/>
      </c>
      <c r="H258" s="56" t="str">
        <f t="shared" si="24"/>
        <v/>
      </c>
      <c r="I258" s="5"/>
      <c r="L258" s="5"/>
      <c r="M258" s="5"/>
      <c r="N258" s="160"/>
      <c r="O258" s="5"/>
      <c r="P258" s="5"/>
    </row>
    <row r="259" spans="1:16" ht="14.25" x14ac:dyDescent="0.2">
      <c r="A259" s="4"/>
      <c r="B259" s="161" t="str">
        <f>IF($A259=0,"",VLOOKUP($A259,'BASE MATERIAL'!$A:$D,2))</f>
        <v/>
      </c>
      <c r="C259" s="5"/>
      <c r="D259" s="6"/>
      <c r="E259" s="162" t="str">
        <f>IF($A259=0,"",VLOOKUP($A259,'BASE MATERIAL'!$A:$D,3))</f>
        <v/>
      </c>
      <c r="F259" s="163"/>
      <c r="G259" s="163" t="str">
        <f>IF($A259=0,"",VLOOKUP($A259,'BASE MATERIAL'!$A:$D,4))</f>
        <v/>
      </c>
      <c r="H259" s="164" t="str">
        <f t="shared" si="24"/>
        <v/>
      </c>
      <c r="I259" s="2"/>
      <c r="L259" s="2"/>
      <c r="M259" s="2"/>
      <c r="N259" s="39"/>
      <c r="O259" s="2"/>
      <c r="P259" s="2"/>
    </row>
    <row r="260" spans="1:16" s="4" customFormat="1" ht="14.25" x14ac:dyDescent="0.2">
      <c r="A260" s="1"/>
      <c r="B260" s="38" t="str">
        <f>IF($A260=0,"",VLOOKUP($A260,'BASE MATERIAL'!$A:$D,2))</f>
        <v/>
      </c>
      <c r="C260" s="2"/>
      <c r="D260" s="77"/>
      <c r="E260" s="78" t="str">
        <f>IF($A260=0,"",VLOOKUP($A260,'BASE MATERIAL'!$A:$D,3))</f>
        <v/>
      </c>
      <c r="F260" s="55"/>
      <c r="G260" s="55" t="str">
        <f>IF($A260=0,"",VLOOKUP($A260,'BASE MATERIAL'!$A:$D,4))</f>
        <v/>
      </c>
      <c r="H260" s="56" t="str">
        <f t="shared" si="24"/>
        <v/>
      </c>
      <c r="I260" s="5"/>
      <c r="L260" s="5"/>
      <c r="M260" s="5"/>
      <c r="N260" s="160"/>
      <c r="O260" s="5"/>
      <c r="P260" s="5"/>
    </row>
    <row r="261" spans="1:16" ht="14.25" x14ac:dyDescent="0.2">
      <c r="A261" s="4"/>
      <c r="B261" s="161" t="str">
        <f>IF($A261=0,"",VLOOKUP($A261,'BASE MATERIAL'!$A:$D,2))</f>
        <v/>
      </c>
      <c r="C261" s="5"/>
      <c r="D261" s="6"/>
      <c r="E261" s="162" t="str">
        <f>IF($A261=0,"",VLOOKUP($A261,'BASE MATERIAL'!$A:$D,3))</f>
        <v/>
      </c>
      <c r="F261" s="163"/>
      <c r="G261" s="163" t="str">
        <f>IF($A261=0,"",VLOOKUP($A261,'BASE MATERIAL'!$A:$D,4))</f>
        <v/>
      </c>
      <c r="H261" s="164" t="str">
        <f t="shared" si="24"/>
        <v/>
      </c>
      <c r="I261" s="2"/>
    </row>
    <row r="262" spans="1:16" s="4" customFormat="1" ht="14.25" x14ac:dyDescent="0.2">
      <c r="A262" s="1"/>
      <c r="B262" s="38" t="str">
        <f>IF($A262=0,"",VLOOKUP($A262,'BASE MATERIAL'!$A:$D,2))</f>
        <v/>
      </c>
      <c r="C262" s="2"/>
      <c r="D262" s="77"/>
      <c r="E262" s="78" t="str">
        <f>IF($A262=0,"",VLOOKUP($A262,'BASE MATERIAL'!$A:$D,3))</f>
        <v/>
      </c>
      <c r="F262" s="55"/>
      <c r="G262" s="55" t="str">
        <f>IF($A262=0,"",VLOOKUP($A262,'BASE MATERIAL'!$A:$D,4))</f>
        <v/>
      </c>
      <c r="H262" s="56" t="str">
        <f t="shared" si="24"/>
        <v/>
      </c>
      <c r="I262" s="5"/>
      <c r="L262" s="5"/>
      <c r="M262" s="5"/>
      <c r="N262" s="160"/>
      <c r="O262" s="5"/>
      <c r="P262" s="5"/>
    </row>
    <row r="263" spans="1:16" ht="14.25" x14ac:dyDescent="0.2">
      <c r="A263" s="4"/>
      <c r="B263" s="161" t="str">
        <f>IF($A263=0,"",VLOOKUP($A263,'BASE MATERIAL'!$A:$D,2))</f>
        <v/>
      </c>
      <c r="C263" s="5"/>
      <c r="D263" s="6"/>
      <c r="E263" s="162" t="str">
        <f>IF($A263=0,"",VLOOKUP($A263,'BASE MATERIAL'!$A:$D,3))</f>
        <v/>
      </c>
      <c r="F263" s="163"/>
      <c r="G263" s="163" t="str">
        <f>IF($A263=0,"",VLOOKUP($A263,'BASE MATERIAL'!$A:$D,4))</f>
        <v/>
      </c>
      <c r="H263" s="164" t="str">
        <f t="shared" si="24"/>
        <v/>
      </c>
      <c r="I263" s="2"/>
      <c r="L263" s="2"/>
      <c r="M263" s="2"/>
      <c r="N263" s="39"/>
      <c r="O263" s="2"/>
      <c r="P263" s="2"/>
    </row>
    <row r="264" spans="1:16" s="4" customFormat="1" ht="14.25" x14ac:dyDescent="0.2">
      <c r="A264" s="1"/>
      <c r="B264" s="38" t="str">
        <f>IF($A264=0,"",VLOOKUP($A264,'BASE MATERIAL'!$A:$D,2))</f>
        <v/>
      </c>
      <c r="C264" s="2"/>
      <c r="D264" s="77"/>
      <c r="E264" s="78" t="str">
        <f>IF($A264=0,"",VLOOKUP($A264,'BASE MATERIAL'!$A:$D,3))</f>
        <v/>
      </c>
      <c r="F264" s="55"/>
      <c r="G264" s="55" t="str">
        <f>IF($A264=0,"",VLOOKUP($A264,'BASE MATERIAL'!$A:$D,4))</f>
        <v/>
      </c>
      <c r="H264" s="56" t="str">
        <f t="shared" si="24"/>
        <v/>
      </c>
      <c r="I264" s="5"/>
    </row>
    <row r="265" spans="1:16" ht="14.25" x14ac:dyDescent="0.2">
      <c r="A265" s="4"/>
      <c r="B265" s="161" t="str">
        <f>IF($A265=0,"",VLOOKUP($A265,'BASE MATERIAL'!$A:$D,2))</f>
        <v/>
      </c>
      <c r="C265" s="5"/>
      <c r="D265" s="6"/>
      <c r="E265" s="162" t="str">
        <f>IF($A265=0,"",VLOOKUP($A265,'BASE MATERIAL'!$A:$D,3))</f>
        <v/>
      </c>
      <c r="F265" s="163"/>
      <c r="G265" s="163" t="str">
        <f>IF($A265=0,"",VLOOKUP($A265,'BASE MATERIAL'!$A:$D,4))</f>
        <v/>
      </c>
      <c r="H265" s="164" t="str">
        <f t="shared" si="24"/>
        <v/>
      </c>
      <c r="I265" s="2"/>
    </row>
    <row r="266" spans="1:16" s="4" customFormat="1" ht="14.25" x14ac:dyDescent="0.2">
      <c r="A266" s="1"/>
      <c r="B266" s="38" t="str">
        <f>IF($A266=0,"",VLOOKUP($A266,'BASE MATERIAL'!$A:$D,2))</f>
        <v/>
      </c>
      <c r="C266" s="2"/>
      <c r="D266" s="77"/>
      <c r="E266" s="78" t="str">
        <f>IF($A266=0,"",VLOOKUP($A266,'BASE MATERIAL'!$A:$D,3))</f>
        <v/>
      </c>
      <c r="F266" s="55"/>
      <c r="G266" s="55" t="str">
        <f>IF($A266=0,"",VLOOKUP($A266,'BASE MATERIAL'!$A:$D,4))</f>
        <v/>
      </c>
      <c r="H266" s="56" t="str">
        <f t="shared" si="24"/>
        <v/>
      </c>
      <c r="I266" s="5"/>
    </row>
    <row r="267" spans="1:16" ht="14.25" x14ac:dyDescent="0.2">
      <c r="A267" s="4"/>
      <c r="B267" s="161" t="str">
        <f>IF($A267=0,"",VLOOKUP($A267,'BASE MATERIAL'!$A:$D,2))</f>
        <v/>
      </c>
      <c r="C267" s="5"/>
      <c r="D267" s="6"/>
      <c r="E267" s="162" t="str">
        <f>IF($A267=0,"",VLOOKUP($A267,'BASE MATERIAL'!$A:$D,3))</f>
        <v/>
      </c>
      <c r="F267" s="163"/>
      <c r="G267" s="163" t="str">
        <f>IF($A267=0,"",VLOOKUP($A267,'BASE MATERIAL'!$A:$D,4))</f>
        <v/>
      </c>
      <c r="H267" s="164" t="str">
        <f t="shared" si="24"/>
        <v/>
      </c>
      <c r="I267" s="2"/>
    </row>
    <row r="268" spans="1:16" s="4" customFormat="1" ht="14.25" x14ac:dyDescent="0.2">
      <c r="A268" s="1"/>
      <c r="B268" s="38" t="str">
        <f>IF($A268=0,"",VLOOKUP($A268,'BASE MATERIAL'!$A:$D,2))</f>
        <v/>
      </c>
      <c r="C268" s="2"/>
      <c r="D268" s="81" t="s">
        <v>1682</v>
      </c>
      <c r="E268" s="55" t="str">
        <f>IF($A268=0,"",VLOOKUP($A268,'BASE MATERIAL'!$A:$D,3))</f>
        <v/>
      </c>
      <c r="F268" s="55" t="s">
        <v>1682</v>
      </c>
      <c r="G268" s="55" t="str">
        <f>IF($A268=0,"",VLOOKUP($A268,'BASE MATERIAL'!$A:$D,4))</f>
        <v/>
      </c>
      <c r="H268" s="56" t="str">
        <f>IF($A268=0,"",ROUND(E268*F268,2))</f>
        <v/>
      </c>
      <c r="I268" s="5"/>
    </row>
    <row r="269" spans="1:16" ht="14.25" x14ac:dyDescent="0.2">
      <c r="A269" s="4"/>
      <c r="B269" s="165" t="s">
        <v>1681</v>
      </c>
      <c r="C269" s="166"/>
      <c r="D269" s="167"/>
      <c r="E269" s="167"/>
      <c r="F269" s="167"/>
      <c r="G269" s="167"/>
      <c r="H269" s="168">
        <f>ROUND(SUM(H252:H268),2)</f>
        <v>0</v>
      </c>
      <c r="I269" s="2"/>
    </row>
    <row r="270" spans="1:16" s="4" customFormat="1" ht="14.25" x14ac:dyDescent="0.2">
      <c r="A270" s="1"/>
      <c r="B270" s="38" t="s">
        <v>1680</v>
      </c>
      <c r="C270" s="2"/>
      <c r="D270" s="3"/>
      <c r="E270" s="3"/>
      <c r="F270" s="3"/>
      <c r="G270" s="3"/>
      <c r="H270" s="56"/>
      <c r="I270" s="5"/>
    </row>
    <row r="271" spans="1:16" s="4" customFormat="1" ht="25.5" x14ac:dyDescent="0.2">
      <c r="B271" s="169" t="s">
        <v>1409</v>
      </c>
      <c r="C271" s="166"/>
      <c r="D271" s="170"/>
      <c r="E271" s="171" t="s">
        <v>1408</v>
      </c>
      <c r="F271" s="171" t="s">
        <v>1679</v>
      </c>
      <c r="G271" s="171" t="s">
        <v>1676</v>
      </c>
      <c r="H271" s="172" t="s">
        <v>1675</v>
      </c>
      <c r="I271" s="5"/>
    </row>
    <row r="272" spans="1:16" ht="14.25" x14ac:dyDescent="0.2">
      <c r="A272" s="4"/>
      <c r="B272" s="173"/>
      <c r="C272" s="174"/>
      <c r="D272" s="175"/>
      <c r="E272" s="162"/>
      <c r="F272" s="163"/>
      <c r="G272" s="176"/>
      <c r="H272" s="164" t="str">
        <f>IF($A272=0,"",ROUND(F272*G272,2))</f>
        <v/>
      </c>
      <c r="I272" s="2"/>
    </row>
    <row r="273" spans="1:15" s="4" customFormat="1" x14ac:dyDescent="0.25">
      <c r="A273" s="103"/>
      <c r="B273" s="38" t="str">
        <f>IF($A273=0,"",VLOOKUP($A273,'BASE EQUIPO'!$A:$D,2))</f>
        <v/>
      </c>
      <c r="C273" s="2"/>
      <c r="D273" s="84"/>
      <c r="E273" s="78" t="str">
        <f>IF($A273=0,"",VLOOKUP($A273,'BASE EQUIPO'!$A:$D,3))</f>
        <v/>
      </c>
      <c r="F273" s="55"/>
      <c r="G273" s="55" t="str">
        <f>IF($A273=0,"",VLOOKUP($A273,'BASE EQUIPO'!$A:$D,4)*H270)</f>
        <v/>
      </c>
      <c r="H273" s="56" t="str">
        <f>IF($A273=0,"",ROUND(F273*G273,2))</f>
        <v/>
      </c>
      <c r="I273" s="5"/>
    </row>
    <row r="274" spans="1:15" s="4" customFormat="1" x14ac:dyDescent="0.25">
      <c r="A274" s="103"/>
      <c r="B274" s="57" t="str">
        <f>IF($A274=0,"",VLOOKUP($A274,'BASE EQUIPO'!$A:$D,2))</f>
        <v/>
      </c>
      <c r="C274" s="58"/>
      <c r="D274" s="85"/>
      <c r="E274" s="86" t="str">
        <f>IF($A274=0,"",VLOOKUP($A274,'BASE EQUIPO'!$A:$D,3))</f>
        <v/>
      </c>
      <c r="F274" s="59"/>
      <c r="G274" s="59" t="str">
        <f>IF($A274=0,"",VLOOKUP($A274,'BASE EQUIPO'!$A:$D,4)*H271)</f>
        <v/>
      </c>
      <c r="H274" s="60" t="str">
        <f>IF($A274=0,"",ROUND(F274*G274,2))</f>
        <v/>
      </c>
      <c r="I274" s="5"/>
    </row>
    <row r="275" spans="1:15" s="4" customFormat="1" ht="15.75" thickBot="1" x14ac:dyDescent="0.3">
      <c r="A275" s="103"/>
      <c r="B275" s="87" t="s">
        <v>1674</v>
      </c>
      <c r="C275" s="88"/>
      <c r="D275" s="89"/>
      <c r="E275" s="89"/>
      <c r="F275" s="89"/>
      <c r="G275" s="89"/>
      <c r="H275" s="90">
        <f>ROUND(SUM(H271:H274),2)</f>
        <v>0</v>
      </c>
      <c r="I275" s="5"/>
    </row>
    <row r="276" spans="1:15" s="4" customFormat="1" ht="15.75" x14ac:dyDescent="0.25">
      <c r="A276" s="103"/>
      <c r="B276" s="2"/>
      <c r="C276" s="2"/>
      <c r="D276" s="91" t="s">
        <v>1673</v>
      </c>
      <c r="E276" s="177"/>
      <c r="F276" s="177"/>
      <c r="G276" s="177"/>
      <c r="H276" s="92">
        <f>ROUND(SUM(H275,H269,H250,H240),2)</f>
        <v>4.04</v>
      </c>
      <c r="I276" s="5"/>
    </row>
    <row r="277" spans="1:15" s="4" customFormat="1" ht="15.75" x14ac:dyDescent="0.25">
      <c r="A277" s="103">
        <v>40002</v>
      </c>
      <c r="B277" s="2"/>
      <c r="C277" s="2"/>
      <c r="D277" s="93" t="s">
        <v>1672</v>
      </c>
      <c r="E277" s="166"/>
      <c r="F277" s="166"/>
      <c r="G277" s="178">
        <f>IF($A277=0,"",VLOOKUP($A277,'BASE MATERIAL'!$M:$P,4))</f>
        <v>0</v>
      </c>
      <c r="H277" s="95">
        <f>IF($A277=0,"",ROUND(G277*H276,2))</f>
        <v>0</v>
      </c>
      <c r="I277" s="5"/>
    </row>
    <row r="278" spans="1:15" s="4" customFormat="1" ht="15.75" x14ac:dyDescent="0.25">
      <c r="A278" s="103">
        <v>40003</v>
      </c>
      <c r="B278" s="2"/>
      <c r="C278" s="2"/>
      <c r="D278" s="93" t="s">
        <v>1671</v>
      </c>
      <c r="E278" s="166"/>
      <c r="F278" s="166"/>
      <c r="G278" s="178">
        <f>IF($A278=0,"",VLOOKUP($A278,'BASE MATERIAL'!$M:$P,4))</f>
        <v>0</v>
      </c>
      <c r="H278" s="95">
        <f>IF($A278=0,"",ROUND(G278*H276,2))</f>
        <v>0</v>
      </c>
      <c r="I278" s="5"/>
    </row>
    <row r="279" spans="1:15" s="4" customFormat="1" ht="15.75" x14ac:dyDescent="0.25">
      <c r="A279" s="103"/>
      <c r="B279" s="2"/>
      <c r="C279" s="2"/>
      <c r="D279" s="93" t="s">
        <v>1670</v>
      </c>
      <c r="E279" s="166"/>
      <c r="F279" s="166"/>
      <c r="G279" s="166"/>
      <c r="H279" s="96">
        <f>ROUND(SUM(H276:H278),2)</f>
        <v>4.04</v>
      </c>
      <c r="I279" s="5"/>
    </row>
    <row r="280" spans="1:15" s="4" customFormat="1" ht="16.5" thickBot="1" x14ac:dyDescent="0.3">
      <c r="A280" s="103"/>
      <c r="B280" s="25"/>
      <c r="C280" s="5"/>
      <c r="D280" s="97" t="s">
        <v>1650</v>
      </c>
      <c r="E280" s="179"/>
      <c r="F280" s="179"/>
      <c r="G280" s="179"/>
      <c r="H280" s="98">
        <f>ROUND(H279,2)</f>
        <v>4.04</v>
      </c>
      <c r="I280" s="5"/>
    </row>
    <row r="281" spans="1:15" ht="15.75" x14ac:dyDescent="0.25">
      <c r="B281" s="34" t="s">
        <v>1701</v>
      </c>
      <c r="C281" s="5"/>
      <c r="D281" s="157" t="str">
        <f>$D$1</f>
        <v>ESPOL</v>
      </c>
      <c r="E281" s="2"/>
      <c r="F281" s="2"/>
      <c r="H281" s="2" t="s">
        <v>108</v>
      </c>
      <c r="I281" s="2"/>
      <c r="L281" s="40">
        <f>A285</f>
        <v>6</v>
      </c>
      <c r="M281" s="1" t="str">
        <f>C286</f>
        <v>Relleno compactado con material sitio</v>
      </c>
      <c r="N281" s="2" t="str">
        <f>H285</f>
        <v>m3</v>
      </c>
      <c r="O281" s="2">
        <f>H336</f>
        <v>6.41</v>
      </c>
    </row>
    <row r="282" spans="1:15" s="4" customFormat="1" ht="15.75" x14ac:dyDescent="0.25">
      <c r="A282" s="103"/>
      <c r="B282" s="34" t="s">
        <v>1700</v>
      </c>
      <c r="C282" s="3">
        <f>'1.1'!$C$2</f>
        <v>0</v>
      </c>
      <c r="D282" s="5"/>
      <c r="E282" s="5"/>
      <c r="F282" s="5"/>
      <c r="G282" s="158" t="s">
        <v>1699</v>
      </c>
      <c r="H282" s="159"/>
      <c r="I282" s="5" t="s">
        <v>1698</v>
      </c>
    </row>
    <row r="283" spans="1:15" s="4" customFormat="1" ht="15.75" x14ac:dyDescent="0.25">
      <c r="A283" s="103"/>
      <c r="B283" s="34"/>
      <c r="C283" s="3">
        <f>'1.1'!$C$3</f>
        <v>0</v>
      </c>
      <c r="D283" s="5"/>
      <c r="E283" s="5"/>
      <c r="F283" s="5"/>
      <c r="G283" s="5"/>
      <c r="H283" s="5"/>
      <c r="I283" s="5"/>
    </row>
    <row r="284" spans="1:15" s="4" customFormat="1" ht="15.75" x14ac:dyDescent="0.25">
      <c r="A284" s="103"/>
      <c r="B284" s="34" t="s">
        <v>1697</v>
      </c>
      <c r="C284" s="3"/>
      <c r="D284" s="5"/>
      <c r="E284" s="5"/>
      <c r="F284" s="5"/>
      <c r="G284" s="5"/>
      <c r="H284" s="5"/>
      <c r="I284" s="5"/>
    </row>
    <row r="285" spans="1:15" x14ac:dyDescent="0.25">
      <c r="A285" s="104">
        <v>6</v>
      </c>
      <c r="B285" s="2" t="s">
        <v>1586</v>
      </c>
      <c r="C285" s="36" t="s">
        <v>1705</v>
      </c>
      <c r="D285" s="5"/>
      <c r="E285" s="4"/>
      <c r="F285" s="4"/>
      <c r="G285" s="5" t="s">
        <v>1696</v>
      </c>
      <c r="H285" s="157" t="s">
        <v>1521</v>
      </c>
      <c r="I285" s="2"/>
    </row>
    <row r="286" spans="1:15" s="4" customFormat="1" x14ac:dyDescent="0.25">
      <c r="A286" s="103"/>
      <c r="B286" s="1" t="s">
        <v>1585</v>
      </c>
      <c r="C286" s="36" t="s">
        <v>1568</v>
      </c>
      <c r="D286" s="5"/>
      <c r="E286" s="5"/>
      <c r="F286" s="5"/>
      <c r="G286" s="5"/>
      <c r="H286" s="5"/>
      <c r="I286" s="5"/>
    </row>
    <row r="287" spans="1:15" ht="15.75" thickBot="1" x14ac:dyDescent="0.3">
      <c r="D287" s="2"/>
      <c r="E287" s="2"/>
      <c r="F287" s="2"/>
      <c r="G287" s="2"/>
      <c r="H287" s="2"/>
      <c r="I287" s="2"/>
    </row>
    <row r="288" spans="1:15" ht="15.75" thickBot="1" x14ac:dyDescent="0.3">
      <c r="B288" s="43" t="s">
        <v>1695</v>
      </c>
      <c r="C288" s="44"/>
      <c r="D288" s="44"/>
      <c r="E288" s="44"/>
      <c r="F288" s="44"/>
      <c r="G288" s="44"/>
      <c r="H288" s="45"/>
      <c r="I288" s="2"/>
    </row>
    <row r="289" spans="1:9" ht="26.25" customHeight="1" x14ac:dyDescent="0.25">
      <c r="B289" s="46" t="s">
        <v>1409</v>
      </c>
      <c r="C289" s="47"/>
      <c r="D289" s="48" t="s">
        <v>1690</v>
      </c>
      <c r="E289" s="48" t="s">
        <v>1694</v>
      </c>
      <c r="F289" s="48" t="s">
        <v>1693</v>
      </c>
      <c r="G289" s="49" t="s">
        <v>1687</v>
      </c>
      <c r="H289" s="50" t="s">
        <v>1686</v>
      </c>
      <c r="I289" s="2"/>
    </row>
    <row r="290" spans="1:9" s="4" customFormat="1" x14ac:dyDescent="0.25">
      <c r="A290" s="103">
        <v>19015</v>
      </c>
      <c r="B290" s="51" t="str">
        <f>IF($A290=0,"",VLOOKUP($A290,'BASE EQUIPO'!$A:$D,2))</f>
        <v>HERRAMIENTA MENOR</v>
      </c>
      <c r="C290" s="52"/>
      <c r="D290" s="53">
        <v>1</v>
      </c>
      <c r="E290" s="53">
        <f>IF($A290=0,"",VLOOKUP($A290,'BASE EQUIPO'!$A:$D,4)*H306)-0.02</f>
        <v>0.12070000000000002</v>
      </c>
      <c r="F290" s="53">
        <f t="shared" ref="F290:F295" si="25">IF($A290=0,"",ROUND(D290*E290,2))</f>
        <v>0.12</v>
      </c>
      <c r="G290" s="105">
        <v>1</v>
      </c>
      <c r="H290" s="54">
        <f t="shared" ref="H290:H295" si="26">IF($A290=0,"",ROUND(G290*F290,2))</f>
        <v>0.12</v>
      </c>
      <c r="I290" s="5"/>
    </row>
    <row r="291" spans="1:9" s="4" customFormat="1" x14ac:dyDescent="0.25">
      <c r="A291" s="103">
        <v>19029</v>
      </c>
      <c r="B291" s="38" t="str">
        <f>IF($A291=0,"",VLOOKUP($A291,'BASE EQUIPO'!$A:$D,2))</f>
        <v>COMPACTADOR PESADO (RODILLO MANUAL)</v>
      </c>
      <c r="C291" s="2"/>
      <c r="D291" s="55">
        <v>2</v>
      </c>
      <c r="E291" s="55">
        <f>IF($A291=0,"",VLOOKUP($A291,'BASE EQUIPO'!$A:$D,4))</f>
        <v>3.5</v>
      </c>
      <c r="F291" s="55">
        <f t="shared" si="25"/>
        <v>7</v>
      </c>
      <c r="G291" s="106">
        <v>0.185</v>
      </c>
      <c r="H291" s="56">
        <f t="shared" si="26"/>
        <v>1.3</v>
      </c>
      <c r="I291" s="5"/>
    </row>
    <row r="292" spans="1:9" s="4" customFormat="1" x14ac:dyDescent="0.25">
      <c r="A292" s="103"/>
      <c r="B292" s="38" t="str">
        <f>IF($A292=0,"",VLOOKUP($A292,'BASE EQUIPO'!$A:$D,2))</f>
        <v/>
      </c>
      <c r="C292" s="2"/>
      <c r="D292" s="55"/>
      <c r="E292" s="55" t="str">
        <f>IF($A292=0,"",VLOOKUP($A292,'BASE EQUIPO'!$A:$D,4))</f>
        <v/>
      </c>
      <c r="F292" s="55" t="str">
        <f t="shared" si="25"/>
        <v/>
      </c>
      <c r="G292" s="106"/>
      <c r="H292" s="56" t="str">
        <f t="shared" si="26"/>
        <v/>
      </c>
      <c r="I292" s="5"/>
    </row>
    <row r="293" spans="1:9" s="4" customFormat="1" x14ac:dyDescent="0.25">
      <c r="A293" s="103"/>
      <c r="B293" s="38" t="str">
        <f>IF($A293=0,"",VLOOKUP($A293,'BASE EQUIPO'!$A:$D,2))</f>
        <v/>
      </c>
      <c r="C293" s="2"/>
      <c r="D293" s="55"/>
      <c r="E293" s="55" t="str">
        <f>IF($A293=0,"",VLOOKUP($A293,'BASE EQUIPO'!$A:$D,4))</f>
        <v/>
      </c>
      <c r="F293" s="55" t="str">
        <f t="shared" si="25"/>
        <v/>
      </c>
      <c r="G293" s="106"/>
      <c r="H293" s="56" t="str">
        <f t="shared" si="26"/>
        <v/>
      </c>
      <c r="I293" s="5"/>
    </row>
    <row r="294" spans="1:9" s="4" customFormat="1" x14ac:dyDescent="0.25">
      <c r="A294" s="103"/>
      <c r="B294" s="38" t="str">
        <f>IF($A294=0,"",VLOOKUP($A294,'BASE EQUIPO'!$A:$D,2))</f>
        <v/>
      </c>
      <c r="C294" s="2"/>
      <c r="D294" s="55"/>
      <c r="E294" s="55" t="str">
        <f>IF($A294=0,"",VLOOKUP($A294,'BASE EQUIPO'!$A:$D,4))</f>
        <v/>
      </c>
      <c r="F294" s="55" t="str">
        <f t="shared" si="25"/>
        <v/>
      </c>
      <c r="G294" s="106"/>
      <c r="H294" s="56" t="str">
        <f t="shared" si="26"/>
        <v/>
      </c>
      <c r="I294" s="5"/>
    </row>
    <row r="295" spans="1:9" s="4" customFormat="1" x14ac:dyDescent="0.25">
      <c r="A295" s="103"/>
      <c r="B295" s="57" t="str">
        <f>IF($A295=0,"",VLOOKUP($A295,'BASE EQUIPO'!$A:$D,2))</f>
        <v/>
      </c>
      <c r="C295" s="58"/>
      <c r="D295" s="59"/>
      <c r="E295" s="59" t="str">
        <f>IF($A295=0,"",VLOOKUP($A295,'BASE EQUIPO'!$A:$D,4))</f>
        <v/>
      </c>
      <c r="F295" s="59" t="str">
        <f t="shared" si="25"/>
        <v/>
      </c>
      <c r="G295" s="107"/>
      <c r="H295" s="60" t="str">
        <f t="shared" si="26"/>
        <v/>
      </c>
      <c r="I295" s="5"/>
    </row>
    <row r="296" spans="1:9" s="4" customFormat="1" x14ac:dyDescent="0.25">
      <c r="A296" s="103"/>
      <c r="B296" s="57" t="s">
        <v>1692</v>
      </c>
      <c r="C296" s="58"/>
      <c r="D296" s="61"/>
      <c r="E296" s="61"/>
      <c r="F296" s="61"/>
      <c r="G296" s="62"/>
      <c r="H296" s="60">
        <f>ROUND(SUM(H289:H295),2)</f>
        <v>1.42</v>
      </c>
      <c r="I296" s="5"/>
    </row>
    <row r="297" spans="1:9" s="4" customFormat="1" x14ac:dyDescent="0.25">
      <c r="A297" s="103"/>
      <c r="B297" s="38" t="s">
        <v>1503</v>
      </c>
      <c r="C297" s="2"/>
      <c r="D297" s="3"/>
      <c r="E297" s="3"/>
      <c r="F297" s="3"/>
      <c r="G297" s="63"/>
      <c r="H297" s="56"/>
      <c r="I297" s="5"/>
    </row>
    <row r="298" spans="1:9" ht="26.25" customHeight="1" x14ac:dyDescent="0.25">
      <c r="B298" s="64" t="s">
        <v>1691</v>
      </c>
      <c r="C298" s="65"/>
      <c r="D298" s="66" t="s">
        <v>1690</v>
      </c>
      <c r="E298" s="66" t="s">
        <v>1689</v>
      </c>
      <c r="F298" s="66" t="s">
        <v>1688</v>
      </c>
      <c r="G298" s="67" t="s">
        <v>1687</v>
      </c>
      <c r="H298" s="68" t="s">
        <v>1686</v>
      </c>
      <c r="I298" s="2"/>
    </row>
    <row r="299" spans="1:9" s="4" customFormat="1" x14ac:dyDescent="0.25">
      <c r="A299" s="103">
        <v>20001</v>
      </c>
      <c r="B299" s="69" t="str">
        <f>IF($A299=0,"",VLOOKUP($A299,'BASE M-OBRA'!$A:$D,2))</f>
        <v>MAESTRO</v>
      </c>
      <c r="C299" s="2"/>
      <c r="D299" s="108">
        <v>1</v>
      </c>
      <c r="E299" s="70">
        <f>IF($A299=0,"",VLOOKUP($A299,'BASE M-OBRA'!$A:$D,4))</f>
        <v>3.02</v>
      </c>
      <c r="F299" s="55">
        <f t="shared" ref="F299:F305" si="27">IF($A299=0,"",ROUND(D299*E299,2))</f>
        <v>3.02</v>
      </c>
      <c r="G299" s="106">
        <f>IF($A299=0,"",ROUND(H299/F299,2))</f>
        <v>0.26</v>
      </c>
      <c r="H299" s="56">
        <f>IF($A299=0,"",ROUND(SUM(H300:H305)*'BASE M-OBRA'!$D$23,2))</f>
        <v>0.78</v>
      </c>
      <c r="I299" s="5"/>
    </row>
    <row r="300" spans="1:9" s="4" customFormat="1" x14ac:dyDescent="0.25">
      <c r="A300" s="103">
        <v>20002</v>
      </c>
      <c r="B300" s="69" t="str">
        <f>IF($A300=0,"",VLOOKUP($A300,'BASE M-OBRA'!$A:$D,2))</f>
        <v>PEON</v>
      </c>
      <c r="C300" s="2"/>
      <c r="D300" s="108">
        <v>4</v>
      </c>
      <c r="E300" s="70">
        <f>IF($A300=0,"",VLOOKUP($A300,'BASE M-OBRA'!$A:$D,4))</f>
        <v>2.79</v>
      </c>
      <c r="F300" s="55">
        <f t="shared" si="27"/>
        <v>11.16</v>
      </c>
      <c r="G300" s="106">
        <v>0.35</v>
      </c>
      <c r="H300" s="56">
        <f t="shared" ref="H300:H305" si="28">IF($A300=0,"",ROUND(G300*F300,2))</f>
        <v>3.91</v>
      </c>
      <c r="I300" s="5"/>
    </row>
    <row r="301" spans="1:9" s="4" customFormat="1" x14ac:dyDescent="0.25">
      <c r="A301" s="103"/>
      <c r="B301" s="69" t="str">
        <f>IF($A301=0,"",VLOOKUP($A301,'BASE M-OBRA'!$A:$D,2))</f>
        <v/>
      </c>
      <c r="C301" s="2"/>
      <c r="D301" s="108"/>
      <c r="E301" s="70" t="str">
        <f>IF($A301=0,"",VLOOKUP($A301,'BASE M-OBRA'!$A:$D,4))</f>
        <v/>
      </c>
      <c r="F301" s="55" t="str">
        <f t="shared" si="27"/>
        <v/>
      </c>
      <c r="G301" s="106"/>
      <c r="H301" s="56" t="str">
        <f t="shared" si="28"/>
        <v/>
      </c>
      <c r="I301" s="5"/>
    </row>
    <row r="302" spans="1:9" s="4" customFormat="1" x14ac:dyDescent="0.25">
      <c r="A302" s="103"/>
      <c r="B302" s="71" t="str">
        <f>IF($A302=0,"",VLOOKUP($A302,'BASE M-OBRA'!$A:$D,2))</f>
        <v/>
      </c>
      <c r="C302" s="2"/>
      <c r="D302" s="108"/>
      <c r="E302" s="70" t="str">
        <f>IF($A302=0,"",VLOOKUP($A302,'BASE M-OBRA'!$A:$D,4))</f>
        <v/>
      </c>
      <c r="F302" s="55" t="str">
        <f t="shared" si="27"/>
        <v/>
      </c>
      <c r="G302" s="106"/>
      <c r="H302" s="56" t="str">
        <f t="shared" si="28"/>
        <v/>
      </c>
      <c r="I302" s="5"/>
    </row>
    <row r="303" spans="1:9" s="4" customFormat="1" x14ac:dyDescent="0.25">
      <c r="A303" s="103"/>
      <c r="B303" s="72" t="str">
        <f>IF($A303=0,"",VLOOKUP($A303,'BASE M-OBRA'!$A:$D,2))</f>
        <v/>
      </c>
      <c r="C303" s="2"/>
      <c r="D303" s="108"/>
      <c r="E303" s="70" t="str">
        <f>IF($A303=0,"",VLOOKUP($A303,'BASE M-OBRA'!$A:$D,4))</f>
        <v/>
      </c>
      <c r="F303" s="55" t="str">
        <f t="shared" si="27"/>
        <v/>
      </c>
      <c r="G303" s="106"/>
      <c r="H303" s="56" t="str">
        <f t="shared" si="28"/>
        <v/>
      </c>
      <c r="I303" s="5"/>
    </row>
    <row r="304" spans="1:9" s="4" customFormat="1" x14ac:dyDescent="0.25">
      <c r="A304" s="103"/>
      <c r="B304" s="38" t="str">
        <f>IF($A304=0,"",VLOOKUP($A304,'BASE M-OBRA'!$A:$D,2))</f>
        <v/>
      </c>
      <c r="C304" s="2"/>
      <c r="D304" s="55"/>
      <c r="E304" s="55" t="str">
        <f>IF($A304=0,"",VLOOKUP($A304,'BASE M-OBRA'!$A:$D,4))</f>
        <v/>
      </c>
      <c r="F304" s="55" t="str">
        <f t="shared" si="27"/>
        <v/>
      </c>
      <c r="G304" s="106"/>
      <c r="H304" s="56" t="str">
        <f t="shared" si="28"/>
        <v/>
      </c>
      <c r="I304" s="5"/>
    </row>
    <row r="305" spans="1:16" s="4" customFormat="1" x14ac:dyDescent="0.25">
      <c r="A305" s="103"/>
      <c r="B305" s="57" t="str">
        <f>IF($A305=0,"",VLOOKUP($A305,'BASE M-OBRA'!$A:$D,2))</f>
        <v/>
      </c>
      <c r="C305" s="58"/>
      <c r="D305" s="59"/>
      <c r="E305" s="59" t="str">
        <f>IF($A305=0,"",VLOOKUP($A305,'BASE M-OBRA'!$A:$D,4))</f>
        <v/>
      </c>
      <c r="F305" s="59" t="str">
        <f t="shared" si="27"/>
        <v/>
      </c>
      <c r="G305" s="107"/>
      <c r="H305" s="60" t="str">
        <f t="shared" si="28"/>
        <v/>
      </c>
      <c r="I305" s="5"/>
    </row>
    <row r="306" spans="1:16" s="4" customFormat="1" x14ac:dyDescent="0.25">
      <c r="A306" s="103"/>
      <c r="B306" s="73" t="s">
        <v>1685</v>
      </c>
      <c r="C306" s="65"/>
      <c r="D306" s="74"/>
      <c r="E306" s="74"/>
      <c r="F306" s="74"/>
      <c r="G306" s="74"/>
      <c r="H306" s="75">
        <f>ROUND(SUM(H298:H305),2)</f>
        <v>4.6900000000000004</v>
      </c>
      <c r="I306" s="5"/>
    </row>
    <row r="307" spans="1:16" s="4" customFormat="1" x14ac:dyDescent="0.25">
      <c r="A307" s="103"/>
      <c r="B307" s="38" t="s">
        <v>1684</v>
      </c>
      <c r="C307" s="2"/>
      <c r="D307" s="3"/>
      <c r="E307" s="3"/>
      <c r="F307" s="3"/>
      <c r="G307" s="3"/>
      <c r="H307" s="56"/>
      <c r="I307" s="5"/>
    </row>
    <row r="308" spans="1:16" ht="26.25" customHeight="1" x14ac:dyDescent="0.25">
      <c r="B308" s="64" t="s">
        <v>1409</v>
      </c>
      <c r="C308" s="65"/>
      <c r="D308" s="76"/>
      <c r="E308" s="66" t="s">
        <v>1408</v>
      </c>
      <c r="F308" s="66" t="s">
        <v>1679</v>
      </c>
      <c r="G308" s="66" t="s">
        <v>1683</v>
      </c>
      <c r="H308" s="68" t="s">
        <v>1675</v>
      </c>
      <c r="I308" s="2"/>
    </row>
    <row r="309" spans="1:16" s="4" customFormat="1" x14ac:dyDescent="0.25">
      <c r="A309" s="103"/>
      <c r="B309" s="37" t="str">
        <f>IF($A309=0,"",VLOOKUP($A309,'BASE MATERIAL'!$A:$D,2))</f>
        <v/>
      </c>
      <c r="C309" s="2"/>
      <c r="D309" s="77"/>
      <c r="E309" s="78" t="str">
        <f>IF($A309=0,"",VLOOKUP($A309,'BASE MATERIAL'!$A:$D,3))</f>
        <v/>
      </c>
      <c r="F309" s="55"/>
      <c r="G309" s="55" t="str">
        <f>IF($A309=0,"",VLOOKUP($A309,'BASE MATERIAL'!$A:$D,4))</f>
        <v/>
      </c>
      <c r="H309" s="56" t="str">
        <f t="shared" ref="H309:H323" si="29">IF($A309=0,"",ROUND(F309*G309,2))</f>
        <v/>
      </c>
      <c r="I309" s="5"/>
      <c r="L309" s="5"/>
      <c r="M309" s="5"/>
      <c r="N309" s="160"/>
      <c r="O309" s="5"/>
      <c r="P309" s="5"/>
    </row>
    <row r="310" spans="1:16" s="4" customFormat="1" x14ac:dyDescent="0.25">
      <c r="A310" s="103">
        <v>5005</v>
      </c>
      <c r="B310" s="38" t="str">
        <f>IF($A310=0,"",VLOOKUP($A310,'BASE MATERIAL'!$A:$D,2))</f>
        <v>AGUA</v>
      </c>
      <c r="C310" s="2"/>
      <c r="D310" s="77"/>
      <c r="E310" s="78" t="str">
        <f>IF($A310=0,"",VLOOKUP($A310,'BASE MATERIAL'!$A:$D,3))</f>
        <v>LT</v>
      </c>
      <c r="F310" s="55">
        <v>150</v>
      </c>
      <c r="G310" s="80">
        <f>IF($A310=0,"",VLOOKUP($A310,'BASE MATERIAL'!$A:$D,4))</f>
        <v>2E-3</v>
      </c>
      <c r="H310" s="56">
        <f t="shared" si="29"/>
        <v>0.3</v>
      </c>
      <c r="I310" s="5"/>
      <c r="L310" s="5"/>
      <c r="M310" s="5"/>
      <c r="N310" s="160"/>
      <c r="O310" s="5"/>
      <c r="P310" s="5"/>
    </row>
    <row r="311" spans="1:16" s="4" customFormat="1" x14ac:dyDescent="0.25">
      <c r="A311" s="103"/>
      <c r="B311" s="38" t="str">
        <f>IF($A311=0,"",VLOOKUP($A311,'BASE MATERIAL'!$A:$D,2))</f>
        <v/>
      </c>
      <c r="C311" s="2"/>
      <c r="D311" s="77"/>
      <c r="E311" s="78" t="str">
        <f>IF($A311=0,"",VLOOKUP($A311,'BASE MATERIAL'!$A:$D,3))</f>
        <v/>
      </c>
      <c r="F311" s="55"/>
      <c r="G311" s="55" t="str">
        <f>IF($A311=0,"",VLOOKUP($A311,'BASE MATERIAL'!$A:$D,4))</f>
        <v/>
      </c>
      <c r="H311" s="56" t="str">
        <f t="shared" si="29"/>
        <v/>
      </c>
      <c r="I311" s="5"/>
      <c r="L311" s="5"/>
      <c r="M311" s="5"/>
      <c r="N311" s="160"/>
      <c r="O311" s="5"/>
      <c r="P311" s="5"/>
    </row>
    <row r="312" spans="1:16" s="4" customFormat="1" x14ac:dyDescent="0.25">
      <c r="A312" s="103"/>
      <c r="B312" s="38" t="str">
        <f>IF($A312=0,"",VLOOKUP($A312,'BASE MATERIAL'!$A:$D,2))</f>
        <v/>
      </c>
      <c r="C312" s="2"/>
      <c r="D312" s="77"/>
      <c r="E312" s="78" t="str">
        <f>IF($A312=0,"",VLOOKUP($A312,'BASE MATERIAL'!$A:$D,3))</f>
        <v/>
      </c>
      <c r="F312" s="55"/>
      <c r="G312" s="55" t="str">
        <f>IF($A312=0,"",VLOOKUP($A312,'BASE MATERIAL'!$A:$D,4))</f>
        <v/>
      </c>
      <c r="H312" s="56" t="str">
        <f t="shared" si="29"/>
        <v/>
      </c>
      <c r="I312" s="5"/>
      <c r="L312" s="5"/>
      <c r="M312" s="5"/>
      <c r="N312" s="160"/>
      <c r="O312" s="5"/>
      <c r="P312" s="5"/>
    </row>
    <row r="313" spans="1:16" s="4" customFormat="1" x14ac:dyDescent="0.25">
      <c r="A313" s="103"/>
      <c r="B313" s="38" t="str">
        <f>IF($A313=0,"",VLOOKUP($A313,'BASE MATERIAL'!$A:$D,2))</f>
        <v/>
      </c>
      <c r="C313" s="2"/>
      <c r="D313" s="77"/>
      <c r="E313" s="78" t="str">
        <f>IF($A313=0,"",VLOOKUP($A313,'BASE MATERIAL'!$A:$D,3))</f>
        <v/>
      </c>
      <c r="F313" s="55"/>
      <c r="G313" s="55" t="str">
        <f>IF($A313=0,"",VLOOKUP($A313,'BASE MATERIAL'!$A:$D,4))</f>
        <v/>
      </c>
      <c r="H313" s="56" t="str">
        <f t="shared" si="29"/>
        <v/>
      </c>
      <c r="I313" s="5"/>
      <c r="L313" s="5"/>
      <c r="M313" s="5"/>
      <c r="N313" s="160"/>
      <c r="O313" s="5"/>
      <c r="P313" s="5"/>
    </row>
    <row r="314" spans="1:16" s="4" customFormat="1" x14ac:dyDescent="0.25">
      <c r="A314" s="103"/>
      <c r="B314" s="38" t="str">
        <f>IF($A314=0,"",VLOOKUP($A314,'BASE MATERIAL'!$A:$D,2))</f>
        <v/>
      </c>
      <c r="C314" s="2"/>
      <c r="D314" s="77"/>
      <c r="E314" s="78" t="str">
        <f>IF($A314=0,"",VLOOKUP($A314,'BASE MATERIAL'!$A:$D,3))</f>
        <v/>
      </c>
      <c r="F314" s="55"/>
      <c r="G314" s="55" t="str">
        <f>IF($A314=0,"",VLOOKUP($A314,'BASE MATERIAL'!$A:$D,4))</f>
        <v/>
      </c>
      <c r="H314" s="56" t="str">
        <f t="shared" si="29"/>
        <v/>
      </c>
      <c r="I314" s="5"/>
      <c r="L314" s="5"/>
      <c r="M314" s="5"/>
      <c r="N314" s="160"/>
      <c r="O314" s="5"/>
      <c r="P314" s="5"/>
    </row>
    <row r="315" spans="1:16" s="4" customFormat="1" x14ac:dyDescent="0.25">
      <c r="A315" s="103"/>
      <c r="B315" s="38" t="str">
        <f>IF($A315=0,"",VLOOKUP($A315,'BASE MATERIAL'!$A:$D,2))</f>
        <v/>
      </c>
      <c r="C315" s="2"/>
      <c r="D315" s="77"/>
      <c r="E315" s="78" t="str">
        <f>IF($A315=0,"",VLOOKUP($A315,'BASE MATERIAL'!$A:$D,3))</f>
        <v/>
      </c>
      <c r="F315" s="55"/>
      <c r="G315" s="55" t="str">
        <f>IF($A315=0,"",VLOOKUP($A315,'BASE MATERIAL'!$A:$D,4))</f>
        <v/>
      </c>
      <c r="H315" s="56" t="str">
        <f t="shared" si="29"/>
        <v/>
      </c>
      <c r="I315" s="5"/>
      <c r="L315" s="5"/>
      <c r="M315" s="5"/>
      <c r="N315" s="160"/>
      <c r="O315" s="5"/>
      <c r="P315" s="5"/>
    </row>
    <row r="316" spans="1:16" s="4" customFormat="1" x14ac:dyDescent="0.25">
      <c r="A316" s="103"/>
      <c r="B316" s="38" t="str">
        <f>IF($A316=0,"",VLOOKUP($A316,'BASE MATERIAL'!$A:$D,2))</f>
        <v/>
      </c>
      <c r="C316" s="2"/>
      <c r="D316" s="77"/>
      <c r="E316" s="78" t="str">
        <f>IF($A316=0,"",VLOOKUP($A316,'BASE MATERIAL'!$A:$D,3))</f>
        <v/>
      </c>
      <c r="F316" s="55"/>
      <c r="G316" s="55" t="str">
        <f>IF($A316=0,"",VLOOKUP($A316,'BASE MATERIAL'!$A:$D,4))</f>
        <v/>
      </c>
      <c r="H316" s="56" t="str">
        <f t="shared" si="29"/>
        <v/>
      </c>
      <c r="I316" s="5"/>
      <c r="L316" s="5"/>
      <c r="M316" s="5"/>
      <c r="N316" s="160"/>
      <c r="O316" s="5"/>
      <c r="P316" s="5"/>
    </row>
    <row r="317" spans="1:16" s="4" customFormat="1" x14ac:dyDescent="0.25">
      <c r="A317" s="103"/>
      <c r="B317" s="38" t="str">
        <f>IF($A317=0,"",VLOOKUP($A317,'BASE MATERIAL'!$A:$D,2))</f>
        <v/>
      </c>
      <c r="C317" s="2"/>
      <c r="D317" s="77"/>
      <c r="E317" s="78" t="str">
        <f>IF($A317=0,"",VLOOKUP($A317,'BASE MATERIAL'!$A:$D,3))</f>
        <v/>
      </c>
      <c r="F317" s="55"/>
      <c r="G317" s="55" t="str">
        <f>IF($A317=0,"",VLOOKUP($A317,'BASE MATERIAL'!$A:$D,4))</f>
        <v/>
      </c>
      <c r="H317" s="56" t="str">
        <f t="shared" si="29"/>
        <v/>
      </c>
      <c r="I317" s="5"/>
    </row>
    <row r="318" spans="1:16" s="4" customFormat="1" x14ac:dyDescent="0.25">
      <c r="A318" s="103"/>
      <c r="B318" s="38" t="str">
        <f>IF($A318=0,"",VLOOKUP($A318,'BASE MATERIAL'!$A:$D,2))</f>
        <v/>
      </c>
      <c r="C318" s="2"/>
      <c r="D318" s="77"/>
      <c r="E318" s="78" t="str">
        <f>IF($A318=0,"",VLOOKUP($A318,'BASE MATERIAL'!$A:$D,3))</f>
        <v/>
      </c>
      <c r="F318" s="55"/>
      <c r="G318" s="55" t="str">
        <f>IF($A318=0,"",VLOOKUP($A318,'BASE MATERIAL'!$A:$D,4))</f>
        <v/>
      </c>
      <c r="H318" s="56" t="str">
        <f t="shared" si="29"/>
        <v/>
      </c>
      <c r="I318" s="5"/>
      <c r="L318" s="5"/>
      <c r="M318" s="5"/>
      <c r="N318" s="160"/>
      <c r="O318" s="5"/>
      <c r="P318" s="5"/>
    </row>
    <row r="319" spans="1:16" s="4" customFormat="1" x14ac:dyDescent="0.25">
      <c r="A319" s="103"/>
      <c r="B319" s="38" t="str">
        <f>IF($A319=0,"",VLOOKUP($A319,'BASE MATERIAL'!$A:$D,2))</f>
        <v/>
      </c>
      <c r="C319" s="2"/>
      <c r="D319" s="77"/>
      <c r="E319" s="78" t="str">
        <f>IF($A319=0,"",VLOOKUP($A319,'BASE MATERIAL'!$A:$D,3))</f>
        <v/>
      </c>
      <c r="F319" s="55"/>
      <c r="G319" s="55" t="str">
        <f>IF($A319=0,"",VLOOKUP($A319,'BASE MATERIAL'!$A:$D,4))</f>
        <v/>
      </c>
      <c r="H319" s="56" t="str">
        <f t="shared" si="29"/>
        <v/>
      </c>
      <c r="I319" s="5"/>
      <c r="L319" s="5"/>
      <c r="M319" s="5"/>
      <c r="N319" s="160"/>
      <c r="O319" s="5"/>
      <c r="P319" s="5"/>
    </row>
    <row r="320" spans="1:16" s="4" customFormat="1" x14ac:dyDescent="0.25">
      <c r="A320" s="103"/>
      <c r="B320" s="38" t="str">
        <f>IF($A320=0,"",VLOOKUP($A320,'BASE MATERIAL'!$A:$D,2))</f>
        <v/>
      </c>
      <c r="C320" s="2"/>
      <c r="D320" s="77"/>
      <c r="E320" s="78" t="str">
        <f>IF($A320=0,"",VLOOKUP($A320,'BASE MATERIAL'!$A:$D,3))</f>
        <v/>
      </c>
      <c r="F320" s="55"/>
      <c r="G320" s="55" t="str">
        <f>IF($A320=0,"",VLOOKUP($A320,'BASE MATERIAL'!$A:$D,4))</f>
        <v/>
      </c>
      <c r="H320" s="56" t="str">
        <f t="shared" si="29"/>
        <v/>
      </c>
      <c r="I320" s="5"/>
    </row>
    <row r="321" spans="1:9" s="4" customFormat="1" x14ac:dyDescent="0.25">
      <c r="A321" s="103"/>
      <c r="B321" s="38" t="str">
        <f>IF($A321=0,"",VLOOKUP($A321,'BASE MATERIAL'!$A:$D,2))</f>
        <v/>
      </c>
      <c r="C321" s="2"/>
      <c r="D321" s="77"/>
      <c r="E321" s="78" t="str">
        <f>IF($A321=0,"",VLOOKUP($A321,'BASE MATERIAL'!$A:$D,3))</f>
        <v/>
      </c>
      <c r="F321" s="55"/>
      <c r="G321" s="55" t="str">
        <f>IF($A321=0,"",VLOOKUP($A321,'BASE MATERIAL'!$A:$D,4))</f>
        <v/>
      </c>
      <c r="H321" s="56" t="str">
        <f t="shared" si="29"/>
        <v/>
      </c>
      <c r="I321" s="5"/>
    </row>
    <row r="322" spans="1:9" s="4" customFormat="1" x14ac:dyDescent="0.25">
      <c r="A322" s="103"/>
      <c r="B322" s="38" t="str">
        <f>IF($A322=0,"",VLOOKUP($A322,'BASE MATERIAL'!$A:$D,2))</f>
        <v/>
      </c>
      <c r="C322" s="2"/>
      <c r="D322" s="77"/>
      <c r="E322" s="78" t="str">
        <f>IF($A322=0,"",VLOOKUP($A322,'BASE MATERIAL'!$A:$D,3))</f>
        <v/>
      </c>
      <c r="F322" s="55"/>
      <c r="G322" s="55" t="str">
        <f>IF($A322=0,"",VLOOKUP($A322,'BASE MATERIAL'!$A:$D,4))</f>
        <v/>
      </c>
      <c r="H322" s="56" t="str">
        <f t="shared" si="29"/>
        <v/>
      </c>
      <c r="I322" s="5"/>
    </row>
    <row r="323" spans="1:9" s="4" customFormat="1" x14ac:dyDescent="0.25">
      <c r="A323" s="103"/>
      <c r="B323" s="38" t="str">
        <f>IF($A323=0,"",VLOOKUP($A323,'BASE MATERIAL'!$A:$D,2))</f>
        <v/>
      </c>
      <c r="C323" s="2"/>
      <c r="D323" s="77"/>
      <c r="E323" s="78" t="str">
        <f>IF($A323=0,"",VLOOKUP($A323,'BASE MATERIAL'!$A:$D,3))</f>
        <v/>
      </c>
      <c r="F323" s="55"/>
      <c r="G323" s="55" t="str">
        <f>IF($A323=0,"",VLOOKUP($A323,'BASE MATERIAL'!$A:$D,4))</f>
        <v/>
      </c>
      <c r="H323" s="56" t="str">
        <f t="shared" si="29"/>
        <v/>
      </c>
      <c r="I323" s="5"/>
    </row>
    <row r="324" spans="1:9" s="4" customFormat="1" x14ac:dyDescent="0.25">
      <c r="A324" s="103"/>
      <c r="B324" s="38" t="str">
        <f>IF($A324=0,"",VLOOKUP($A324,'BASE MATERIAL'!$A:$D,2))</f>
        <v/>
      </c>
      <c r="C324" s="2"/>
      <c r="D324" s="81" t="s">
        <v>1682</v>
      </c>
      <c r="E324" s="55" t="str">
        <f>IF($A324=0,"",VLOOKUP($A324,'BASE MATERIAL'!$A:$D,3))</f>
        <v/>
      </c>
      <c r="F324" s="55" t="s">
        <v>1682</v>
      </c>
      <c r="G324" s="55" t="str">
        <f>IF($A324=0,"",VLOOKUP($A324,'BASE MATERIAL'!$A:$D,4))</f>
        <v/>
      </c>
      <c r="H324" s="56" t="str">
        <f>IF($A324=0,"",ROUND(E324*F324,2))</f>
        <v/>
      </c>
      <c r="I324" s="5"/>
    </row>
    <row r="325" spans="1:9" s="4" customFormat="1" x14ac:dyDescent="0.25">
      <c r="A325" s="103"/>
      <c r="B325" s="73" t="s">
        <v>1681</v>
      </c>
      <c r="C325" s="65"/>
      <c r="D325" s="74"/>
      <c r="E325" s="74"/>
      <c r="F325" s="74"/>
      <c r="G325" s="74"/>
      <c r="H325" s="75">
        <f>ROUND(SUM(H308:H324),2)</f>
        <v>0.3</v>
      </c>
      <c r="I325" s="5"/>
    </row>
    <row r="326" spans="1:9" s="4" customFormat="1" x14ac:dyDescent="0.25">
      <c r="A326" s="103"/>
      <c r="B326" s="38" t="s">
        <v>1680</v>
      </c>
      <c r="C326" s="2"/>
      <c r="D326" s="3"/>
      <c r="E326" s="3"/>
      <c r="F326" s="3"/>
      <c r="G326" s="3"/>
      <c r="H326" s="56"/>
      <c r="I326" s="5"/>
    </row>
    <row r="327" spans="1:9" ht="26.25" customHeight="1" x14ac:dyDescent="0.25">
      <c r="B327" s="64" t="s">
        <v>1409</v>
      </c>
      <c r="C327" s="65"/>
      <c r="D327" s="76"/>
      <c r="E327" s="66" t="s">
        <v>1408</v>
      </c>
      <c r="F327" s="66" t="s">
        <v>1679</v>
      </c>
      <c r="G327" s="66" t="s">
        <v>1676</v>
      </c>
      <c r="H327" s="68" t="s">
        <v>1675</v>
      </c>
      <c r="I327" s="2"/>
    </row>
    <row r="328" spans="1:9" s="4" customFormat="1" x14ac:dyDescent="0.25">
      <c r="A328" s="103"/>
      <c r="B328" s="51" t="str">
        <f>IF($A328=0,"",VLOOKUP($A328,'BASE EQUIPO'!$A:$D,2))</f>
        <v/>
      </c>
      <c r="C328" s="52"/>
      <c r="D328" s="82"/>
      <c r="E328" s="78" t="str">
        <f>IF($A328=0,"",VLOOKUP($A328,'BASE EQUIPO'!$A:$D,3))</f>
        <v/>
      </c>
      <c r="F328" s="55"/>
      <c r="G328" s="83" t="str">
        <f>IF($A328=0,"",VLOOKUP($A328,'BASE EQUIPO'!$A:$D,4)*H325)</f>
        <v/>
      </c>
      <c r="H328" s="56" t="str">
        <f>IF($A328=0,"",ROUND(F328*G328,2))</f>
        <v/>
      </c>
      <c r="I328" s="5"/>
    </row>
    <row r="329" spans="1:9" s="4" customFormat="1" x14ac:dyDescent="0.25">
      <c r="A329" s="103"/>
      <c r="B329" s="38" t="str">
        <f>IF($A329=0,"",VLOOKUP($A329,'BASE EQUIPO'!$A:$D,2))</f>
        <v/>
      </c>
      <c r="C329" s="2"/>
      <c r="D329" s="84"/>
      <c r="E329" s="78" t="str">
        <f>IF($A329=0,"",VLOOKUP($A329,'BASE EQUIPO'!$A:$D,3))</f>
        <v/>
      </c>
      <c r="F329" s="55"/>
      <c r="G329" s="55" t="str">
        <f>IF($A329=0,"",VLOOKUP($A329,'BASE EQUIPO'!$A:$D,4)*H326)</f>
        <v/>
      </c>
      <c r="H329" s="56" t="str">
        <f>IF($A329=0,"",ROUND(F329*G329,2))</f>
        <v/>
      </c>
      <c r="I329" s="5"/>
    </row>
    <row r="330" spans="1:9" s="4" customFormat="1" x14ac:dyDescent="0.25">
      <c r="A330" s="103"/>
      <c r="B330" s="57" t="str">
        <f>IF($A330=0,"",VLOOKUP($A330,'BASE EQUIPO'!$A:$D,2))</f>
        <v/>
      </c>
      <c r="C330" s="58"/>
      <c r="D330" s="85"/>
      <c r="E330" s="86" t="str">
        <f>IF($A330=0,"",VLOOKUP($A330,'BASE EQUIPO'!$A:$D,3))</f>
        <v/>
      </c>
      <c r="F330" s="59"/>
      <c r="G330" s="59" t="str">
        <f>IF($A330=0,"",VLOOKUP($A330,'BASE EQUIPO'!$A:$D,4)*H327)</f>
        <v/>
      </c>
      <c r="H330" s="60" t="str">
        <f>IF($A330=0,"",ROUND(F330*G330,2))</f>
        <v/>
      </c>
      <c r="I330" s="5"/>
    </row>
    <row r="331" spans="1:9" s="4" customFormat="1" ht="15.75" thickBot="1" x14ac:dyDescent="0.3">
      <c r="A331" s="103"/>
      <c r="B331" s="87" t="s">
        <v>1674</v>
      </c>
      <c r="C331" s="88"/>
      <c r="D331" s="89"/>
      <c r="E331" s="89"/>
      <c r="F331" s="89"/>
      <c r="G331" s="89"/>
      <c r="H331" s="90">
        <f>ROUND(SUM(H327:H330),2)</f>
        <v>0</v>
      </c>
      <c r="I331" s="5"/>
    </row>
    <row r="332" spans="1:9" s="4" customFormat="1" ht="15.75" x14ac:dyDescent="0.25">
      <c r="A332" s="103"/>
      <c r="B332" s="2"/>
      <c r="C332" s="2"/>
      <c r="D332" s="91" t="s">
        <v>1673</v>
      </c>
      <c r="E332" s="177"/>
      <c r="F332" s="177"/>
      <c r="G332" s="177"/>
      <c r="H332" s="92">
        <f>ROUND(SUM(H331,H325,H306,H296),2)</f>
        <v>6.41</v>
      </c>
      <c r="I332" s="5"/>
    </row>
    <row r="333" spans="1:9" s="4" customFormat="1" ht="15.75" x14ac:dyDescent="0.25">
      <c r="A333" s="103">
        <v>40002</v>
      </c>
      <c r="B333" s="2"/>
      <c r="C333" s="2"/>
      <c r="D333" s="93" t="s">
        <v>1672</v>
      </c>
      <c r="E333" s="166"/>
      <c r="F333" s="166"/>
      <c r="G333" s="178">
        <f>IF($A333=0,"",VLOOKUP($A333,'BASE MATERIAL'!$M:$P,4))</f>
        <v>0</v>
      </c>
      <c r="H333" s="95">
        <f>IF($A333=0,"",ROUND(G333*H332,2))</f>
        <v>0</v>
      </c>
      <c r="I333" s="5"/>
    </row>
    <row r="334" spans="1:9" s="4" customFormat="1" ht="15.75" x14ac:dyDescent="0.25">
      <c r="A334" s="103">
        <v>40003</v>
      </c>
      <c r="B334" s="2"/>
      <c r="C334" s="2"/>
      <c r="D334" s="93" t="s">
        <v>1671</v>
      </c>
      <c r="E334" s="166"/>
      <c r="F334" s="166"/>
      <c r="G334" s="178">
        <f>IF($A334=0,"",VLOOKUP($A334,'BASE MATERIAL'!$M:$P,4))</f>
        <v>0</v>
      </c>
      <c r="H334" s="95">
        <f>IF($A334=0,"",ROUND(G334*H332,2))</f>
        <v>0</v>
      </c>
      <c r="I334" s="5"/>
    </row>
    <row r="335" spans="1:9" s="4" customFormat="1" ht="15.75" x14ac:dyDescent="0.25">
      <c r="A335" s="103"/>
      <c r="B335" s="2"/>
      <c r="C335" s="2"/>
      <c r="D335" s="93" t="s">
        <v>1670</v>
      </c>
      <c r="E335" s="166"/>
      <c r="F335" s="166"/>
      <c r="G335" s="166"/>
      <c r="H335" s="96">
        <f>ROUND(SUM(H332:H334),2)</f>
        <v>6.41</v>
      </c>
      <c r="I335" s="5"/>
    </row>
    <row r="336" spans="1:9" s="4" customFormat="1" ht="16.5" thickBot="1" x14ac:dyDescent="0.3">
      <c r="A336" s="103"/>
      <c r="B336" s="25"/>
      <c r="C336" s="5"/>
      <c r="D336" s="97" t="s">
        <v>1650</v>
      </c>
      <c r="E336" s="179"/>
      <c r="F336" s="179"/>
      <c r="G336" s="179"/>
      <c r="H336" s="98">
        <f>ROUND(H335,2)</f>
        <v>6.41</v>
      </c>
      <c r="I336" s="5"/>
    </row>
    <row r="337" spans="1:15" ht="15.75" x14ac:dyDescent="0.25">
      <c r="B337" s="34" t="s">
        <v>1701</v>
      </c>
      <c r="C337" s="5"/>
      <c r="D337" s="157" t="str">
        <f>$D$1</f>
        <v>ESPOL</v>
      </c>
      <c r="E337" s="2"/>
      <c r="F337" s="2"/>
      <c r="H337" s="2" t="s">
        <v>108</v>
      </c>
      <c r="I337" s="2"/>
      <c r="L337" s="40">
        <f>A341</f>
        <v>6</v>
      </c>
      <c r="M337" s="1" t="str">
        <f>C342</f>
        <v>Excavacion manual</v>
      </c>
      <c r="N337" s="2" t="str">
        <f>H341</f>
        <v>m3</v>
      </c>
      <c r="O337" s="2">
        <f>H392</f>
        <v>4.8099999999999996</v>
      </c>
    </row>
    <row r="338" spans="1:15" s="4" customFormat="1" ht="15.75" x14ac:dyDescent="0.25">
      <c r="A338" s="103"/>
      <c r="B338" s="34" t="s">
        <v>1700</v>
      </c>
      <c r="C338" s="3">
        <f>'1.1'!$C$2</f>
        <v>0</v>
      </c>
      <c r="D338" s="5"/>
      <c r="E338" s="5"/>
      <c r="F338" s="5"/>
      <c r="G338" s="158" t="s">
        <v>1699</v>
      </c>
      <c r="H338" s="159"/>
      <c r="I338" s="5" t="s">
        <v>1698</v>
      </c>
    </row>
    <row r="339" spans="1:15" s="4" customFormat="1" ht="15.75" x14ac:dyDescent="0.25">
      <c r="A339" s="103"/>
      <c r="B339" s="34"/>
      <c r="C339" s="3">
        <f>'1.1'!$C$3</f>
        <v>0</v>
      </c>
      <c r="D339" s="5"/>
      <c r="E339" s="5"/>
      <c r="F339" s="5"/>
      <c r="G339" s="5"/>
      <c r="H339" s="5"/>
      <c r="I339" s="5"/>
    </row>
    <row r="340" spans="1:15" s="4" customFormat="1" ht="15.75" x14ac:dyDescent="0.25">
      <c r="A340" s="103"/>
      <c r="B340" s="34" t="s">
        <v>1697</v>
      </c>
      <c r="C340" s="3"/>
      <c r="D340" s="5"/>
      <c r="E340" s="5"/>
      <c r="F340" s="5"/>
      <c r="G340" s="5"/>
      <c r="H340" s="5"/>
      <c r="I340" s="5"/>
    </row>
    <row r="341" spans="1:15" x14ac:dyDescent="0.25">
      <c r="A341" s="104">
        <v>6</v>
      </c>
      <c r="B341" s="2" t="s">
        <v>1586</v>
      </c>
      <c r="C341" s="36" t="s">
        <v>1705</v>
      </c>
      <c r="D341" s="5"/>
      <c r="E341" s="4"/>
      <c r="F341" s="4"/>
      <c r="G341" s="5" t="s">
        <v>1696</v>
      </c>
      <c r="H341" s="157" t="s">
        <v>1521</v>
      </c>
      <c r="I341" s="2"/>
    </row>
    <row r="342" spans="1:15" s="4" customFormat="1" x14ac:dyDescent="0.25">
      <c r="A342" s="103"/>
      <c r="B342" s="1" t="s">
        <v>1585</v>
      </c>
      <c r="C342" s="36" t="s">
        <v>52</v>
      </c>
      <c r="D342" s="5"/>
      <c r="E342" s="5"/>
      <c r="F342" s="5"/>
      <c r="G342" s="5"/>
      <c r="H342" s="5"/>
      <c r="I342" s="5"/>
    </row>
    <row r="343" spans="1:15" ht="15.75" thickBot="1" x14ac:dyDescent="0.3">
      <c r="D343" s="2"/>
      <c r="E343" s="2"/>
      <c r="F343" s="2"/>
      <c r="G343" s="2"/>
      <c r="H343" s="2"/>
      <c r="I343" s="2"/>
    </row>
    <row r="344" spans="1:15" ht="15.75" thickBot="1" x14ac:dyDescent="0.3">
      <c r="B344" s="43" t="s">
        <v>1695</v>
      </c>
      <c r="C344" s="44"/>
      <c r="D344" s="44"/>
      <c r="E344" s="44"/>
      <c r="F344" s="44"/>
      <c r="G344" s="44"/>
      <c r="H344" s="45"/>
      <c r="I344" s="2"/>
    </row>
    <row r="345" spans="1:15" ht="26.25" customHeight="1" x14ac:dyDescent="0.25">
      <c r="B345" s="46" t="s">
        <v>1409</v>
      </c>
      <c r="C345" s="47"/>
      <c r="D345" s="48" t="s">
        <v>1690</v>
      </c>
      <c r="E345" s="48" t="s">
        <v>1694</v>
      </c>
      <c r="F345" s="48" t="s">
        <v>1693</v>
      </c>
      <c r="G345" s="49" t="s">
        <v>1687</v>
      </c>
      <c r="H345" s="50" t="s">
        <v>1686</v>
      </c>
      <c r="I345" s="2"/>
    </row>
    <row r="346" spans="1:15" s="4" customFormat="1" x14ac:dyDescent="0.25">
      <c r="A346" s="103">
        <v>19015</v>
      </c>
      <c r="B346" s="51" t="str">
        <f>IF($A346=0,"",VLOOKUP($A346,'BASE EQUIPO'!$A:$D,2))</f>
        <v>HERRAMIENTA MENOR</v>
      </c>
      <c r="C346" s="52"/>
      <c r="D346" s="53">
        <v>1</v>
      </c>
      <c r="E346" s="53">
        <f>IF($A346=0,"",VLOOKUP($A346,'BASE EQUIPO'!$A:$D,4)*H362)-0.02</f>
        <v>0.12070000000000002</v>
      </c>
      <c r="F346" s="53">
        <f t="shared" ref="F346:F351" si="30">IF($A346=0,"",ROUND(D346*E346,2))</f>
        <v>0.12</v>
      </c>
      <c r="G346" s="105">
        <v>1</v>
      </c>
      <c r="H346" s="54">
        <f t="shared" ref="H346:H351" si="31">IF($A346=0,"",ROUND(G346*F346,2))</f>
        <v>0.12</v>
      </c>
      <c r="I346" s="5"/>
    </row>
    <row r="347" spans="1:15" s="4" customFormat="1" x14ac:dyDescent="0.25">
      <c r="A347" s="103"/>
      <c r="B347" s="38" t="str">
        <f>IF($A347=0,"",VLOOKUP($A347,'BASE EQUIPO'!$A:$D,2))</f>
        <v/>
      </c>
      <c r="C347" s="2"/>
      <c r="D347" s="55"/>
      <c r="E347" s="55" t="str">
        <f>IF($A347=0,"",VLOOKUP($A347,'BASE EQUIPO'!$A:$D,4))</f>
        <v/>
      </c>
      <c r="F347" s="55" t="str">
        <f t="shared" si="30"/>
        <v/>
      </c>
      <c r="G347" s="106"/>
      <c r="H347" s="56" t="str">
        <f t="shared" si="31"/>
        <v/>
      </c>
      <c r="I347" s="5"/>
    </row>
    <row r="348" spans="1:15" s="4" customFormat="1" x14ac:dyDescent="0.25">
      <c r="A348" s="103"/>
      <c r="B348" s="38" t="str">
        <f>IF($A348=0,"",VLOOKUP($A348,'BASE EQUIPO'!$A:$D,2))</f>
        <v/>
      </c>
      <c r="C348" s="2"/>
      <c r="D348" s="55"/>
      <c r="E348" s="55" t="str">
        <f>IF($A348=0,"",VLOOKUP($A348,'BASE EQUIPO'!$A:$D,4))</f>
        <v/>
      </c>
      <c r="F348" s="55" t="str">
        <f t="shared" si="30"/>
        <v/>
      </c>
      <c r="G348" s="106"/>
      <c r="H348" s="56" t="str">
        <f t="shared" si="31"/>
        <v/>
      </c>
      <c r="I348" s="5"/>
    </row>
    <row r="349" spans="1:15" s="4" customFormat="1" x14ac:dyDescent="0.25">
      <c r="A349" s="103"/>
      <c r="B349" s="38" t="str">
        <f>IF($A349=0,"",VLOOKUP($A349,'BASE EQUIPO'!$A:$D,2))</f>
        <v/>
      </c>
      <c r="C349" s="2"/>
      <c r="D349" s="55"/>
      <c r="E349" s="55" t="str">
        <f>IF($A349=0,"",VLOOKUP($A349,'BASE EQUIPO'!$A:$D,4))</f>
        <v/>
      </c>
      <c r="F349" s="55" t="str">
        <f t="shared" si="30"/>
        <v/>
      </c>
      <c r="G349" s="106"/>
      <c r="H349" s="56" t="str">
        <f t="shared" si="31"/>
        <v/>
      </c>
      <c r="I349" s="5"/>
    </row>
    <row r="350" spans="1:15" s="4" customFormat="1" x14ac:dyDescent="0.25">
      <c r="A350" s="103"/>
      <c r="B350" s="38" t="str">
        <f>IF($A350=0,"",VLOOKUP($A350,'BASE EQUIPO'!$A:$D,2))</f>
        <v/>
      </c>
      <c r="C350" s="2"/>
      <c r="D350" s="55"/>
      <c r="E350" s="55" t="str">
        <f>IF($A350=0,"",VLOOKUP($A350,'BASE EQUIPO'!$A:$D,4))</f>
        <v/>
      </c>
      <c r="F350" s="55" t="str">
        <f t="shared" si="30"/>
        <v/>
      </c>
      <c r="G350" s="106"/>
      <c r="H350" s="56" t="str">
        <f t="shared" si="31"/>
        <v/>
      </c>
      <c r="I350" s="5"/>
    </row>
    <row r="351" spans="1:15" s="4" customFormat="1" x14ac:dyDescent="0.25">
      <c r="A351" s="103"/>
      <c r="B351" s="57" t="str">
        <f>IF($A351=0,"",VLOOKUP($A351,'BASE EQUIPO'!$A:$D,2))</f>
        <v/>
      </c>
      <c r="C351" s="58"/>
      <c r="D351" s="59"/>
      <c r="E351" s="59" t="str">
        <f>IF($A351=0,"",VLOOKUP($A351,'BASE EQUIPO'!$A:$D,4))</f>
        <v/>
      </c>
      <c r="F351" s="59" t="str">
        <f t="shared" si="30"/>
        <v/>
      </c>
      <c r="G351" s="107"/>
      <c r="H351" s="60" t="str">
        <f t="shared" si="31"/>
        <v/>
      </c>
      <c r="I351" s="5"/>
    </row>
    <row r="352" spans="1:15" s="4" customFormat="1" x14ac:dyDescent="0.25">
      <c r="A352" s="103"/>
      <c r="B352" s="57" t="s">
        <v>1692</v>
      </c>
      <c r="C352" s="58"/>
      <c r="D352" s="61"/>
      <c r="E352" s="61"/>
      <c r="F352" s="61"/>
      <c r="G352" s="62"/>
      <c r="H352" s="60">
        <f>ROUND(SUM(H345:H351),2)</f>
        <v>0.12</v>
      </c>
      <c r="I352" s="5"/>
    </row>
    <row r="353" spans="1:16" s="4" customFormat="1" x14ac:dyDescent="0.25">
      <c r="A353" s="103"/>
      <c r="B353" s="38" t="s">
        <v>1503</v>
      </c>
      <c r="C353" s="2"/>
      <c r="D353" s="3"/>
      <c r="E353" s="3"/>
      <c r="F353" s="3"/>
      <c r="G353" s="63"/>
      <c r="H353" s="56"/>
      <c r="I353" s="5"/>
    </row>
    <row r="354" spans="1:16" ht="26.25" customHeight="1" x14ac:dyDescent="0.25">
      <c r="B354" s="64" t="s">
        <v>1691</v>
      </c>
      <c r="C354" s="65"/>
      <c r="D354" s="66" t="s">
        <v>1690</v>
      </c>
      <c r="E354" s="66" t="s">
        <v>1689</v>
      </c>
      <c r="F354" s="66" t="s">
        <v>1688</v>
      </c>
      <c r="G354" s="67" t="s">
        <v>1687</v>
      </c>
      <c r="H354" s="68" t="s">
        <v>1686</v>
      </c>
      <c r="I354" s="2"/>
    </row>
    <row r="355" spans="1:16" s="4" customFormat="1" x14ac:dyDescent="0.25">
      <c r="A355" s="103">
        <v>20001</v>
      </c>
      <c r="B355" s="69" t="str">
        <f>IF($A355=0,"",VLOOKUP($A355,'BASE M-OBRA'!$A:$D,2))</f>
        <v>MAESTRO</v>
      </c>
      <c r="C355" s="2"/>
      <c r="D355" s="108">
        <v>1</v>
      </c>
      <c r="E355" s="70">
        <f>IF($A355=0,"",VLOOKUP($A355,'BASE M-OBRA'!$A:$D,4))</f>
        <v>3.02</v>
      </c>
      <c r="F355" s="55">
        <f t="shared" ref="F355:F361" si="32">IF($A355=0,"",ROUND(D355*E355,2))</f>
        <v>3.02</v>
      </c>
      <c r="G355" s="106">
        <f>IF($A355=0,"",ROUND(H355/F355,2))</f>
        <v>0.26</v>
      </c>
      <c r="H355" s="56">
        <f>IF($A355=0,"",ROUND(SUM(H356:H361)*'BASE M-OBRA'!$D$23,2))</f>
        <v>0.78</v>
      </c>
      <c r="I355" s="5"/>
    </row>
    <row r="356" spans="1:16" s="4" customFormat="1" x14ac:dyDescent="0.25">
      <c r="A356" s="103">
        <v>20002</v>
      </c>
      <c r="B356" s="69" t="str">
        <f>IF($A356=0,"",VLOOKUP($A356,'BASE M-OBRA'!$A:$D,2))</f>
        <v>PEON</v>
      </c>
      <c r="C356" s="2"/>
      <c r="D356" s="108">
        <v>4</v>
      </c>
      <c r="E356" s="70">
        <f>IF($A356=0,"",VLOOKUP($A356,'BASE M-OBRA'!$A:$D,4))</f>
        <v>2.79</v>
      </c>
      <c r="F356" s="55">
        <f t="shared" si="32"/>
        <v>11.16</v>
      </c>
      <c r="G356" s="106">
        <v>0.35</v>
      </c>
      <c r="H356" s="56">
        <f t="shared" ref="H356:H361" si="33">IF($A356=0,"",ROUND(G356*F356,2))</f>
        <v>3.91</v>
      </c>
      <c r="I356" s="5"/>
    </row>
    <row r="357" spans="1:16" s="4" customFormat="1" x14ac:dyDescent="0.25">
      <c r="A357" s="103"/>
      <c r="B357" s="69" t="str">
        <f>IF($A357=0,"",VLOOKUP($A357,'BASE M-OBRA'!$A:$D,2))</f>
        <v/>
      </c>
      <c r="C357" s="2"/>
      <c r="D357" s="108"/>
      <c r="E357" s="70" t="str">
        <f>IF($A357=0,"",VLOOKUP($A357,'BASE M-OBRA'!$A:$D,4))</f>
        <v/>
      </c>
      <c r="F357" s="55" t="str">
        <f t="shared" si="32"/>
        <v/>
      </c>
      <c r="G357" s="106"/>
      <c r="H357" s="56" t="str">
        <f t="shared" si="33"/>
        <v/>
      </c>
      <c r="I357" s="5"/>
    </row>
    <row r="358" spans="1:16" s="4" customFormat="1" x14ac:dyDescent="0.25">
      <c r="A358" s="103"/>
      <c r="B358" s="71" t="str">
        <f>IF($A358=0,"",VLOOKUP($A358,'BASE M-OBRA'!$A:$D,2))</f>
        <v/>
      </c>
      <c r="C358" s="2"/>
      <c r="D358" s="108"/>
      <c r="E358" s="70" t="str">
        <f>IF($A358=0,"",VLOOKUP($A358,'BASE M-OBRA'!$A:$D,4))</f>
        <v/>
      </c>
      <c r="F358" s="55" t="str">
        <f t="shared" si="32"/>
        <v/>
      </c>
      <c r="G358" s="106"/>
      <c r="H358" s="56" t="str">
        <f t="shared" si="33"/>
        <v/>
      </c>
      <c r="I358" s="5"/>
    </row>
    <row r="359" spans="1:16" s="4" customFormat="1" x14ac:dyDescent="0.25">
      <c r="A359" s="103"/>
      <c r="B359" s="72" t="str">
        <f>IF($A359=0,"",VLOOKUP($A359,'BASE M-OBRA'!$A:$D,2))</f>
        <v/>
      </c>
      <c r="C359" s="2"/>
      <c r="D359" s="108"/>
      <c r="E359" s="70" t="str">
        <f>IF($A359=0,"",VLOOKUP($A359,'BASE M-OBRA'!$A:$D,4))</f>
        <v/>
      </c>
      <c r="F359" s="55" t="str">
        <f t="shared" si="32"/>
        <v/>
      </c>
      <c r="G359" s="106"/>
      <c r="H359" s="56" t="str">
        <f t="shared" si="33"/>
        <v/>
      </c>
      <c r="I359" s="5"/>
    </row>
    <row r="360" spans="1:16" s="4" customFormat="1" x14ac:dyDescent="0.25">
      <c r="A360" s="103"/>
      <c r="B360" s="38" t="str">
        <f>IF($A360=0,"",VLOOKUP($A360,'BASE M-OBRA'!$A:$D,2))</f>
        <v/>
      </c>
      <c r="C360" s="2"/>
      <c r="D360" s="55"/>
      <c r="E360" s="55" t="str">
        <f>IF($A360=0,"",VLOOKUP($A360,'BASE M-OBRA'!$A:$D,4))</f>
        <v/>
      </c>
      <c r="F360" s="55" t="str">
        <f t="shared" si="32"/>
        <v/>
      </c>
      <c r="G360" s="106"/>
      <c r="H360" s="56" t="str">
        <f t="shared" si="33"/>
        <v/>
      </c>
      <c r="I360" s="5"/>
    </row>
    <row r="361" spans="1:16" s="4" customFormat="1" x14ac:dyDescent="0.25">
      <c r="A361" s="103"/>
      <c r="B361" s="57" t="str">
        <f>IF($A361=0,"",VLOOKUP($A361,'BASE M-OBRA'!$A:$D,2))</f>
        <v/>
      </c>
      <c r="C361" s="58"/>
      <c r="D361" s="59"/>
      <c r="E361" s="59" t="str">
        <f>IF($A361=0,"",VLOOKUP($A361,'BASE M-OBRA'!$A:$D,4))</f>
        <v/>
      </c>
      <c r="F361" s="59" t="str">
        <f t="shared" si="32"/>
        <v/>
      </c>
      <c r="G361" s="107"/>
      <c r="H361" s="60" t="str">
        <f t="shared" si="33"/>
        <v/>
      </c>
      <c r="I361" s="5"/>
    </row>
    <row r="362" spans="1:16" s="4" customFormat="1" x14ac:dyDescent="0.25">
      <c r="A362" s="103"/>
      <c r="B362" s="73" t="s">
        <v>1685</v>
      </c>
      <c r="C362" s="65"/>
      <c r="D362" s="74"/>
      <c r="E362" s="74"/>
      <c r="F362" s="74"/>
      <c r="G362" s="74"/>
      <c r="H362" s="75">
        <f>ROUND(SUM(H354:H361),2)</f>
        <v>4.6900000000000004</v>
      </c>
      <c r="I362" s="5"/>
    </row>
    <row r="363" spans="1:16" s="4" customFormat="1" x14ac:dyDescent="0.25">
      <c r="A363" s="103"/>
      <c r="B363" s="38" t="s">
        <v>1684</v>
      </c>
      <c r="C363" s="2"/>
      <c r="D363" s="3"/>
      <c r="E363" s="3"/>
      <c r="F363" s="3"/>
      <c r="G363" s="3"/>
      <c r="H363" s="56"/>
      <c r="I363" s="5"/>
    </row>
    <row r="364" spans="1:16" ht="26.25" customHeight="1" x14ac:dyDescent="0.25">
      <c r="B364" s="64" t="s">
        <v>1409</v>
      </c>
      <c r="C364" s="65"/>
      <c r="D364" s="76"/>
      <c r="E364" s="66" t="s">
        <v>1408</v>
      </c>
      <c r="F364" s="66" t="s">
        <v>1679</v>
      </c>
      <c r="G364" s="66" t="s">
        <v>1683</v>
      </c>
      <c r="H364" s="68" t="s">
        <v>1675</v>
      </c>
      <c r="I364" s="2"/>
    </row>
    <row r="365" spans="1:16" s="4" customFormat="1" x14ac:dyDescent="0.25">
      <c r="A365" s="103"/>
      <c r="B365" s="37" t="str">
        <f>IF($A365=0,"",VLOOKUP($A365,'BASE MATERIAL'!$A:$D,2))</f>
        <v/>
      </c>
      <c r="C365" s="2"/>
      <c r="D365" s="77"/>
      <c r="E365" s="78" t="str">
        <f>IF($A365=0,"",VLOOKUP($A365,'BASE MATERIAL'!$A:$D,3))</f>
        <v/>
      </c>
      <c r="F365" s="55"/>
      <c r="G365" s="55" t="str">
        <f>IF($A365=0,"",VLOOKUP($A365,'BASE MATERIAL'!$A:$D,4))</f>
        <v/>
      </c>
      <c r="H365" s="56" t="str">
        <f t="shared" ref="H365:H379" si="34">IF($A365=0,"",ROUND(F365*G365,2))</f>
        <v/>
      </c>
      <c r="I365" s="5"/>
      <c r="L365" s="5"/>
      <c r="M365" s="5"/>
      <c r="N365" s="160"/>
      <c r="O365" s="5"/>
      <c r="P365" s="5"/>
    </row>
    <row r="366" spans="1:16" s="4" customFormat="1" x14ac:dyDescent="0.25">
      <c r="A366" s="103"/>
      <c r="B366" s="38" t="str">
        <f>IF($A366=0,"",VLOOKUP($A366,'BASE MATERIAL'!$A:$D,2))</f>
        <v/>
      </c>
      <c r="C366" s="2"/>
      <c r="D366" s="77"/>
      <c r="E366" s="78" t="str">
        <f>IF($A366=0,"",VLOOKUP($A366,'BASE MATERIAL'!$A:$D,3))</f>
        <v/>
      </c>
      <c r="F366" s="55"/>
      <c r="G366" s="80" t="str">
        <f>IF($A366=0,"",VLOOKUP($A366,'BASE MATERIAL'!$A:$D,4))</f>
        <v/>
      </c>
      <c r="H366" s="56" t="str">
        <f t="shared" si="34"/>
        <v/>
      </c>
      <c r="I366" s="5"/>
      <c r="L366" s="5"/>
      <c r="M366" s="5"/>
      <c r="N366" s="160"/>
      <c r="O366" s="5"/>
      <c r="P366" s="5"/>
    </row>
    <row r="367" spans="1:16" s="4" customFormat="1" x14ac:dyDescent="0.25">
      <c r="A367" s="103"/>
      <c r="B367" s="38" t="str">
        <f>IF($A367=0,"",VLOOKUP($A367,'BASE MATERIAL'!$A:$D,2))</f>
        <v/>
      </c>
      <c r="C367" s="2"/>
      <c r="D367" s="77"/>
      <c r="E367" s="78" t="str">
        <f>IF($A367=0,"",VLOOKUP($A367,'BASE MATERIAL'!$A:$D,3))</f>
        <v/>
      </c>
      <c r="F367" s="55"/>
      <c r="G367" s="55" t="str">
        <f>IF($A367=0,"",VLOOKUP($A367,'BASE MATERIAL'!$A:$D,4))</f>
        <v/>
      </c>
      <c r="H367" s="56" t="str">
        <f t="shared" si="34"/>
        <v/>
      </c>
      <c r="I367" s="5"/>
      <c r="L367" s="5"/>
      <c r="M367" s="5"/>
      <c r="N367" s="160"/>
      <c r="O367" s="5"/>
      <c r="P367" s="5"/>
    </row>
    <row r="368" spans="1:16" s="4" customFormat="1" x14ac:dyDescent="0.25">
      <c r="A368" s="103"/>
      <c r="B368" s="38" t="str">
        <f>IF($A368=0,"",VLOOKUP($A368,'BASE MATERIAL'!$A:$D,2))</f>
        <v/>
      </c>
      <c r="C368" s="2"/>
      <c r="D368" s="77"/>
      <c r="E368" s="78" t="str">
        <f>IF($A368=0,"",VLOOKUP($A368,'BASE MATERIAL'!$A:$D,3))</f>
        <v/>
      </c>
      <c r="F368" s="55"/>
      <c r="G368" s="55" t="str">
        <f>IF($A368=0,"",VLOOKUP($A368,'BASE MATERIAL'!$A:$D,4))</f>
        <v/>
      </c>
      <c r="H368" s="56" t="str">
        <f t="shared" si="34"/>
        <v/>
      </c>
      <c r="I368" s="5"/>
      <c r="L368" s="5"/>
      <c r="M368" s="5"/>
      <c r="N368" s="160"/>
      <c r="O368" s="5"/>
      <c r="P368" s="5"/>
    </row>
    <row r="369" spans="1:16" s="4" customFormat="1" x14ac:dyDescent="0.25">
      <c r="A369" s="103"/>
      <c r="B369" s="38" t="str">
        <f>IF($A369=0,"",VLOOKUP($A369,'BASE MATERIAL'!$A:$D,2))</f>
        <v/>
      </c>
      <c r="C369" s="2"/>
      <c r="D369" s="77"/>
      <c r="E369" s="78" t="str">
        <f>IF($A369=0,"",VLOOKUP($A369,'BASE MATERIAL'!$A:$D,3))</f>
        <v/>
      </c>
      <c r="F369" s="55"/>
      <c r="G369" s="55" t="str">
        <f>IF($A369=0,"",VLOOKUP($A369,'BASE MATERIAL'!$A:$D,4))</f>
        <v/>
      </c>
      <c r="H369" s="56" t="str">
        <f t="shared" si="34"/>
        <v/>
      </c>
      <c r="I369" s="5"/>
      <c r="L369" s="5"/>
      <c r="M369" s="5"/>
      <c r="N369" s="160"/>
      <c r="O369" s="5"/>
      <c r="P369" s="5"/>
    </row>
    <row r="370" spans="1:16" s="4" customFormat="1" x14ac:dyDescent="0.25">
      <c r="A370" s="103"/>
      <c r="B370" s="38" t="str">
        <f>IF($A370=0,"",VLOOKUP($A370,'BASE MATERIAL'!$A:$D,2))</f>
        <v/>
      </c>
      <c r="C370" s="2"/>
      <c r="D370" s="77"/>
      <c r="E370" s="78" t="str">
        <f>IF($A370=0,"",VLOOKUP($A370,'BASE MATERIAL'!$A:$D,3))</f>
        <v/>
      </c>
      <c r="F370" s="55"/>
      <c r="G370" s="55" t="str">
        <f>IF($A370=0,"",VLOOKUP($A370,'BASE MATERIAL'!$A:$D,4))</f>
        <v/>
      </c>
      <c r="H370" s="56" t="str">
        <f t="shared" si="34"/>
        <v/>
      </c>
      <c r="I370" s="5"/>
      <c r="L370" s="5"/>
      <c r="M370" s="5"/>
      <c r="N370" s="160"/>
      <c r="O370" s="5"/>
      <c r="P370" s="5"/>
    </row>
    <row r="371" spans="1:16" s="4" customFormat="1" x14ac:dyDescent="0.25">
      <c r="A371" s="103"/>
      <c r="B371" s="38" t="str">
        <f>IF($A371=0,"",VLOOKUP($A371,'BASE MATERIAL'!$A:$D,2))</f>
        <v/>
      </c>
      <c r="C371" s="2"/>
      <c r="D371" s="77"/>
      <c r="E371" s="78" t="str">
        <f>IF($A371=0,"",VLOOKUP($A371,'BASE MATERIAL'!$A:$D,3))</f>
        <v/>
      </c>
      <c r="F371" s="55"/>
      <c r="G371" s="55" t="str">
        <f>IF($A371=0,"",VLOOKUP($A371,'BASE MATERIAL'!$A:$D,4))</f>
        <v/>
      </c>
      <c r="H371" s="56" t="str">
        <f t="shared" si="34"/>
        <v/>
      </c>
      <c r="I371" s="5"/>
      <c r="L371" s="5"/>
      <c r="M371" s="5"/>
      <c r="N371" s="160"/>
      <c r="O371" s="5"/>
      <c r="P371" s="5"/>
    </row>
    <row r="372" spans="1:16" s="4" customFormat="1" x14ac:dyDescent="0.25">
      <c r="A372" s="103"/>
      <c r="B372" s="38" t="str">
        <f>IF($A372=0,"",VLOOKUP($A372,'BASE MATERIAL'!$A:$D,2))</f>
        <v/>
      </c>
      <c r="C372" s="2"/>
      <c r="D372" s="77"/>
      <c r="E372" s="78" t="str">
        <f>IF($A372=0,"",VLOOKUP($A372,'BASE MATERIAL'!$A:$D,3))</f>
        <v/>
      </c>
      <c r="F372" s="55"/>
      <c r="G372" s="55" t="str">
        <f>IF($A372=0,"",VLOOKUP($A372,'BASE MATERIAL'!$A:$D,4))</f>
        <v/>
      </c>
      <c r="H372" s="56" t="str">
        <f t="shared" si="34"/>
        <v/>
      </c>
      <c r="I372" s="5"/>
      <c r="L372" s="5"/>
      <c r="M372" s="5"/>
      <c r="N372" s="160"/>
      <c r="O372" s="5"/>
      <c r="P372" s="5"/>
    </row>
    <row r="373" spans="1:16" s="4" customFormat="1" x14ac:dyDescent="0.25">
      <c r="A373" s="103"/>
      <c r="B373" s="38" t="str">
        <f>IF($A373=0,"",VLOOKUP($A373,'BASE MATERIAL'!$A:$D,2))</f>
        <v/>
      </c>
      <c r="C373" s="2"/>
      <c r="D373" s="77"/>
      <c r="E373" s="78" t="str">
        <f>IF($A373=0,"",VLOOKUP($A373,'BASE MATERIAL'!$A:$D,3))</f>
        <v/>
      </c>
      <c r="F373" s="55"/>
      <c r="G373" s="55" t="str">
        <f>IF($A373=0,"",VLOOKUP($A373,'BASE MATERIAL'!$A:$D,4))</f>
        <v/>
      </c>
      <c r="H373" s="56" t="str">
        <f t="shared" si="34"/>
        <v/>
      </c>
      <c r="I373" s="5"/>
    </row>
    <row r="374" spans="1:16" s="4" customFormat="1" x14ac:dyDescent="0.25">
      <c r="A374" s="103"/>
      <c r="B374" s="38" t="str">
        <f>IF($A374=0,"",VLOOKUP($A374,'BASE MATERIAL'!$A:$D,2))</f>
        <v/>
      </c>
      <c r="C374" s="2"/>
      <c r="D374" s="77"/>
      <c r="E374" s="78" t="str">
        <f>IF($A374=0,"",VLOOKUP($A374,'BASE MATERIAL'!$A:$D,3))</f>
        <v/>
      </c>
      <c r="F374" s="55"/>
      <c r="G374" s="55" t="str">
        <f>IF($A374=0,"",VLOOKUP($A374,'BASE MATERIAL'!$A:$D,4))</f>
        <v/>
      </c>
      <c r="H374" s="56" t="str">
        <f t="shared" si="34"/>
        <v/>
      </c>
      <c r="I374" s="5"/>
      <c r="L374" s="5"/>
      <c r="M374" s="5"/>
      <c r="N374" s="160"/>
      <c r="O374" s="5"/>
      <c r="P374" s="5"/>
    </row>
    <row r="375" spans="1:16" s="4" customFormat="1" x14ac:dyDescent="0.25">
      <c r="A375" s="103"/>
      <c r="B375" s="38" t="str">
        <f>IF($A375=0,"",VLOOKUP($A375,'BASE MATERIAL'!$A:$D,2))</f>
        <v/>
      </c>
      <c r="C375" s="2"/>
      <c r="D375" s="77"/>
      <c r="E375" s="78" t="str">
        <f>IF($A375=0,"",VLOOKUP($A375,'BASE MATERIAL'!$A:$D,3))</f>
        <v/>
      </c>
      <c r="F375" s="55"/>
      <c r="G375" s="55" t="str">
        <f>IF($A375=0,"",VLOOKUP($A375,'BASE MATERIAL'!$A:$D,4))</f>
        <v/>
      </c>
      <c r="H375" s="56" t="str">
        <f t="shared" si="34"/>
        <v/>
      </c>
      <c r="I375" s="5"/>
      <c r="L375" s="5"/>
      <c r="M375" s="5"/>
      <c r="N375" s="160"/>
      <c r="O375" s="5"/>
      <c r="P375" s="5"/>
    </row>
    <row r="376" spans="1:16" s="4" customFormat="1" x14ac:dyDescent="0.25">
      <c r="A376" s="103"/>
      <c r="B376" s="38" t="str">
        <f>IF($A376=0,"",VLOOKUP($A376,'BASE MATERIAL'!$A:$D,2))</f>
        <v/>
      </c>
      <c r="C376" s="2"/>
      <c r="D376" s="77"/>
      <c r="E376" s="78" t="str">
        <f>IF($A376=0,"",VLOOKUP($A376,'BASE MATERIAL'!$A:$D,3))</f>
        <v/>
      </c>
      <c r="F376" s="55"/>
      <c r="G376" s="55" t="str">
        <f>IF($A376=0,"",VLOOKUP($A376,'BASE MATERIAL'!$A:$D,4))</f>
        <v/>
      </c>
      <c r="H376" s="56" t="str">
        <f t="shared" si="34"/>
        <v/>
      </c>
      <c r="I376" s="5"/>
    </row>
    <row r="377" spans="1:16" s="4" customFormat="1" x14ac:dyDescent="0.25">
      <c r="A377" s="103"/>
      <c r="B377" s="38" t="str">
        <f>IF($A377=0,"",VLOOKUP($A377,'BASE MATERIAL'!$A:$D,2))</f>
        <v/>
      </c>
      <c r="C377" s="2"/>
      <c r="D377" s="77"/>
      <c r="E377" s="78" t="str">
        <f>IF($A377=0,"",VLOOKUP($A377,'BASE MATERIAL'!$A:$D,3))</f>
        <v/>
      </c>
      <c r="F377" s="55"/>
      <c r="G377" s="55" t="str">
        <f>IF($A377=0,"",VLOOKUP($A377,'BASE MATERIAL'!$A:$D,4))</f>
        <v/>
      </c>
      <c r="H377" s="56" t="str">
        <f t="shared" si="34"/>
        <v/>
      </c>
      <c r="I377" s="5"/>
    </row>
    <row r="378" spans="1:16" s="4" customFormat="1" x14ac:dyDescent="0.25">
      <c r="A378" s="103"/>
      <c r="B378" s="38" t="str">
        <f>IF($A378=0,"",VLOOKUP($A378,'BASE MATERIAL'!$A:$D,2))</f>
        <v/>
      </c>
      <c r="C378" s="2"/>
      <c r="D378" s="77"/>
      <c r="E378" s="78" t="str">
        <f>IF($A378=0,"",VLOOKUP($A378,'BASE MATERIAL'!$A:$D,3))</f>
        <v/>
      </c>
      <c r="F378" s="55"/>
      <c r="G378" s="55" t="str">
        <f>IF($A378=0,"",VLOOKUP($A378,'BASE MATERIAL'!$A:$D,4))</f>
        <v/>
      </c>
      <c r="H378" s="56" t="str">
        <f t="shared" si="34"/>
        <v/>
      </c>
      <c r="I378" s="5"/>
    </row>
    <row r="379" spans="1:16" s="4" customFormat="1" x14ac:dyDescent="0.25">
      <c r="A379" s="103"/>
      <c r="B379" s="38" t="str">
        <f>IF($A379=0,"",VLOOKUP($A379,'BASE MATERIAL'!$A:$D,2))</f>
        <v/>
      </c>
      <c r="C379" s="2"/>
      <c r="D379" s="77"/>
      <c r="E379" s="78" t="str">
        <f>IF($A379=0,"",VLOOKUP($A379,'BASE MATERIAL'!$A:$D,3))</f>
        <v/>
      </c>
      <c r="F379" s="55"/>
      <c r="G379" s="55" t="str">
        <f>IF($A379=0,"",VLOOKUP($A379,'BASE MATERIAL'!$A:$D,4))</f>
        <v/>
      </c>
      <c r="H379" s="56" t="str">
        <f t="shared" si="34"/>
        <v/>
      </c>
      <c r="I379" s="5"/>
    </row>
    <row r="380" spans="1:16" s="4" customFormat="1" x14ac:dyDescent="0.25">
      <c r="A380" s="103"/>
      <c r="B380" s="38" t="str">
        <f>IF($A380=0,"",VLOOKUP($A380,'BASE MATERIAL'!$A:$D,2))</f>
        <v/>
      </c>
      <c r="C380" s="2"/>
      <c r="D380" s="81" t="s">
        <v>1682</v>
      </c>
      <c r="E380" s="55" t="str">
        <f>IF($A380=0,"",VLOOKUP($A380,'BASE MATERIAL'!$A:$D,3))</f>
        <v/>
      </c>
      <c r="F380" s="55" t="s">
        <v>1682</v>
      </c>
      <c r="G380" s="55" t="str">
        <f>IF($A380=0,"",VLOOKUP($A380,'BASE MATERIAL'!$A:$D,4))</f>
        <v/>
      </c>
      <c r="H380" s="56" t="str">
        <f>IF($A380=0,"",ROUND(E380*F380,2))</f>
        <v/>
      </c>
      <c r="I380" s="5"/>
    </row>
    <row r="381" spans="1:16" s="4" customFormat="1" x14ac:dyDescent="0.25">
      <c r="A381" s="103"/>
      <c r="B381" s="73" t="s">
        <v>1681</v>
      </c>
      <c r="C381" s="65"/>
      <c r="D381" s="74"/>
      <c r="E381" s="74"/>
      <c r="F381" s="74"/>
      <c r="G381" s="74"/>
      <c r="H381" s="75">
        <f>ROUND(SUM(H364:H380),2)</f>
        <v>0</v>
      </c>
      <c r="I381" s="5"/>
    </row>
    <row r="382" spans="1:16" s="4" customFormat="1" x14ac:dyDescent="0.25">
      <c r="A382" s="103"/>
      <c r="B382" s="38" t="s">
        <v>1680</v>
      </c>
      <c r="C382" s="2"/>
      <c r="D382" s="3"/>
      <c r="E382" s="3"/>
      <c r="F382" s="3"/>
      <c r="G382" s="3"/>
      <c r="H382" s="56"/>
      <c r="I382" s="5"/>
    </row>
    <row r="383" spans="1:16" ht="26.25" customHeight="1" x14ac:dyDescent="0.25">
      <c r="B383" s="64" t="s">
        <v>1409</v>
      </c>
      <c r="C383" s="65"/>
      <c r="D383" s="76"/>
      <c r="E383" s="66" t="s">
        <v>1408</v>
      </c>
      <c r="F383" s="66" t="s">
        <v>1679</v>
      </c>
      <c r="G383" s="66" t="s">
        <v>1676</v>
      </c>
      <c r="H383" s="68" t="s">
        <v>1675</v>
      </c>
      <c r="I383" s="2"/>
    </row>
    <row r="384" spans="1:16" s="4" customFormat="1" x14ac:dyDescent="0.25">
      <c r="A384" s="103"/>
      <c r="B384" s="51" t="str">
        <f>IF($A384=0,"",VLOOKUP($A384,'BASE EQUIPO'!$A:$D,2))</f>
        <v/>
      </c>
      <c r="C384" s="52"/>
      <c r="D384" s="82"/>
      <c r="E384" s="78" t="str">
        <f>IF($A384=0,"",VLOOKUP($A384,'BASE EQUIPO'!$A:$D,3))</f>
        <v/>
      </c>
      <c r="F384" s="55"/>
      <c r="G384" s="83" t="str">
        <f>IF($A384=0,"",VLOOKUP($A384,'BASE EQUIPO'!$A:$D,4)*H381)</f>
        <v/>
      </c>
      <c r="H384" s="56" t="str">
        <f>IF($A384=0,"",ROUND(F384*G384,2))</f>
        <v/>
      </c>
      <c r="I384" s="5"/>
    </row>
    <row r="385" spans="1:15" s="4" customFormat="1" x14ac:dyDescent="0.25">
      <c r="A385" s="103"/>
      <c r="B385" s="38" t="str">
        <f>IF($A385=0,"",VLOOKUP($A385,'BASE EQUIPO'!$A:$D,2))</f>
        <v/>
      </c>
      <c r="C385" s="2"/>
      <c r="D385" s="84"/>
      <c r="E385" s="78" t="str">
        <f>IF($A385=0,"",VLOOKUP($A385,'BASE EQUIPO'!$A:$D,3))</f>
        <v/>
      </c>
      <c r="F385" s="55"/>
      <c r="G385" s="55" t="str">
        <f>IF($A385=0,"",VLOOKUP($A385,'BASE EQUIPO'!$A:$D,4)*H382)</f>
        <v/>
      </c>
      <c r="H385" s="56" t="str">
        <f>IF($A385=0,"",ROUND(F385*G385,2))</f>
        <v/>
      </c>
      <c r="I385" s="5"/>
    </row>
    <row r="386" spans="1:15" s="4" customFormat="1" x14ac:dyDescent="0.25">
      <c r="A386" s="103"/>
      <c r="B386" s="57" t="str">
        <f>IF($A386=0,"",VLOOKUP($A386,'BASE EQUIPO'!$A:$D,2))</f>
        <v/>
      </c>
      <c r="C386" s="58"/>
      <c r="D386" s="85"/>
      <c r="E386" s="86" t="str">
        <f>IF($A386=0,"",VLOOKUP($A386,'BASE EQUIPO'!$A:$D,3))</f>
        <v/>
      </c>
      <c r="F386" s="59"/>
      <c r="G386" s="59" t="str">
        <f>IF($A386=0,"",VLOOKUP($A386,'BASE EQUIPO'!$A:$D,4)*H383)</f>
        <v/>
      </c>
      <c r="H386" s="60" t="str">
        <f>IF($A386=0,"",ROUND(F386*G386,2))</f>
        <v/>
      </c>
      <c r="I386" s="5"/>
    </row>
    <row r="387" spans="1:15" s="4" customFormat="1" ht="15.75" thickBot="1" x14ac:dyDescent="0.3">
      <c r="A387" s="103"/>
      <c r="B387" s="87" t="s">
        <v>1674</v>
      </c>
      <c r="C387" s="88"/>
      <c r="D387" s="89"/>
      <c r="E387" s="89"/>
      <c r="F387" s="89"/>
      <c r="G387" s="89"/>
      <c r="H387" s="90">
        <f>ROUND(SUM(H383:H386),2)</f>
        <v>0</v>
      </c>
      <c r="I387" s="5"/>
    </row>
    <row r="388" spans="1:15" s="4" customFormat="1" ht="15.75" x14ac:dyDescent="0.25">
      <c r="A388" s="103"/>
      <c r="B388" s="2"/>
      <c r="C388" s="2"/>
      <c r="D388" s="91" t="s">
        <v>1673</v>
      </c>
      <c r="E388" s="177"/>
      <c r="F388" s="177"/>
      <c r="G388" s="177"/>
      <c r="H388" s="92">
        <f>ROUND(SUM(H387,H381,H362,H352),2)</f>
        <v>4.8099999999999996</v>
      </c>
      <c r="I388" s="5"/>
    </row>
    <row r="389" spans="1:15" s="4" customFormat="1" ht="15.75" x14ac:dyDescent="0.25">
      <c r="A389" s="103">
        <v>40002</v>
      </c>
      <c r="B389" s="2"/>
      <c r="C389" s="2"/>
      <c r="D389" s="93" t="s">
        <v>1672</v>
      </c>
      <c r="E389" s="166"/>
      <c r="F389" s="166"/>
      <c r="G389" s="178">
        <f>IF($A389=0,"",VLOOKUP($A389,'BASE MATERIAL'!$M:$P,4))</f>
        <v>0</v>
      </c>
      <c r="H389" s="95">
        <f>IF($A389=0,"",ROUND(G389*H388,2))</f>
        <v>0</v>
      </c>
      <c r="I389" s="5"/>
    </row>
    <row r="390" spans="1:15" s="4" customFormat="1" ht="15.75" x14ac:dyDescent="0.25">
      <c r="A390" s="103">
        <v>40003</v>
      </c>
      <c r="B390" s="2"/>
      <c r="C390" s="2"/>
      <c r="D390" s="93" t="s">
        <v>1671</v>
      </c>
      <c r="E390" s="166"/>
      <c r="F390" s="166"/>
      <c r="G390" s="178">
        <f>IF($A390=0,"",VLOOKUP($A390,'BASE MATERIAL'!$M:$P,4))</f>
        <v>0</v>
      </c>
      <c r="H390" s="95">
        <f>IF($A390=0,"",ROUND(G390*H388,2))</f>
        <v>0</v>
      </c>
      <c r="I390" s="5"/>
    </row>
    <row r="391" spans="1:15" s="4" customFormat="1" ht="15.75" x14ac:dyDescent="0.25">
      <c r="A391" s="103"/>
      <c r="B391" s="2"/>
      <c r="C391" s="2"/>
      <c r="D391" s="93" t="s">
        <v>1670</v>
      </c>
      <c r="E391" s="166"/>
      <c r="F391" s="166"/>
      <c r="G391" s="166"/>
      <c r="H391" s="96">
        <f>ROUND(SUM(H388:H390),2)</f>
        <v>4.8099999999999996</v>
      </c>
      <c r="I391" s="5"/>
    </row>
    <row r="392" spans="1:15" s="4" customFormat="1" ht="16.5" thickBot="1" x14ac:dyDescent="0.3">
      <c r="A392" s="103"/>
      <c r="B392" s="25"/>
      <c r="C392" s="5"/>
      <c r="D392" s="97" t="s">
        <v>1650</v>
      </c>
      <c r="E392" s="179"/>
      <c r="F392" s="179"/>
      <c r="G392" s="179"/>
      <c r="H392" s="98">
        <f>ROUND(H391,2)</f>
        <v>4.8099999999999996</v>
      </c>
      <c r="I392" s="5"/>
    </row>
    <row r="393" spans="1:15" ht="15.75" x14ac:dyDescent="0.25">
      <c r="B393" s="34" t="s">
        <v>1701</v>
      </c>
      <c r="C393" s="2"/>
      <c r="D393" s="3" t="str">
        <f>$D$1</f>
        <v>ESPOL</v>
      </c>
      <c r="E393" s="2"/>
      <c r="F393" s="2"/>
      <c r="H393" s="2" t="s">
        <v>108</v>
      </c>
      <c r="I393" s="2"/>
      <c r="L393" s="40">
        <f>A397</f>
        <v>2</v>
      </c>
      <c r="M393" s="1" t="str">
        <f>C398</f>
        <v>Desalojo</v>
      </c>
      <c r="N393" s="2" t="str">
        <f>H397</f>
        <v>m3</v>
      </c>
      <c r="O393" s="2">
        <f>H448</f>
        <v>3.83</v>
      </c>
    </row>
    <row r="394" spans="1:15" ht="15.75" x14ac:dyDescent="0.25">
      <c r="B394" s="34" t="s">
        <v>1700</v>
      </c>
      <c r="C394" s="3">
        <f>'1.1'!$C$2</f>
        <v>0</v>
      </c>
      <c r="D394" s="2"/>
      <c r="E394" s="2"/>
      <c r="F394" s="2"/>
      <c r="G394" s="41" t="s">
        <v>1699</v>
      </c>
      <c r="H394" s="42"/>
      <c r="I394" s="2" t="s">
        <v>1698</v>
      </c>
    </row>
    <row r="395" spans="1:15" ht="15.75" x14ac:dyDescent="0.25">
      <c r="B395" s="34"/>
      <c r="C395" s="3">
        <f>'1.1'!$C$3</f>
        <v>0</v>
      </c>
      <c r="D395" s="2"/>
      <c r="E395" s="2"/>
      <c r="F395" s="2"/>
      <c r="G395" s="2"/>
      <c r="H395" s="2"/>
      <c r="I395" s="2"/>
    </row>
    <row r="396" spans="1:15" ht="15.75" x14ac:dyDescent="0.25">
      <c r="B396" s="34" t="s">
        <v>1697</v>
      </c>
      <c r="C396" s="3"/>
      <c r="D396" s="2"/>
      <c r="E396" s="2"/>
      <c r="F396" s="2"/>
      <c r="G396" s="2"/>
      <c r="H396" s="2"/>
      <c r="I396" s="2"/>
    </row>
    <row r="397" spans="1:15" x14ac:dyDescent="0.25">
      <c r="A397" s="104">
        <v>2</v>
      </c>
      <c r="B397" s="2" t="s">
        <v>1586</v>
      </c>
      <c r="C397" s="101"/>
      <c r="D397" s="2"/>
      <c r="G397" s="2" t="s">
        <v>1696</v>
      </c>
      <c r="H397" s="3" t="s">
        <v>1521</v>
      </c>
      <c r="I397" s="2"/>
    </row>
    <row r="398" spans="1:15" x14ac:dyDescent="0.25">
      <c r="B398" s="1" t="s">
        <v>1585</v>
      </c>
      <c r="C398" s="36" t="s">
        <v>79</v>
      </c>
      <c r="D398" s="2"/>
      <c r="E398" s="2"/>
      <c r="F398" s="2"/>
      <c r="G398" s="2"/>
      <c r="H398" s="2"/>
      <c r="I398" s="2"/>
    </row>
    <row r="399" spans="1:15" ht="15.75" thickBot="1" x14ac:dyDescent="0.3">
      <c r="D399" s="2"/>
      <c r="E399" s="2"/>
      <c r="F399" s="2"/>
      <c r="G399" s="2"/>
      <c r="H399" s="2"/>
      <c r="I399" s="2"/>
    </row>
    <row r="400" spans="1:15" ht="15.75" thickBot="1" x14ac:dyDescent="0.3">
      <c r="B400" s="43" t="s">
        <v>1695</v>
      </c>
      <c r="C400" s="44"/>
      <c r="D400" s="44"/>
      <c r="E400" s="44"/>
      <c r="F400" s="44"/>
      <c r="G400" s="44"/>
      <c r="H400" s="45"/>
      <c r="I400" s="2"/>
    </row>
    <row r="401" spans="1:9" ht="25.5" x14ac:dyDescent="0.25">
      <c r="B401" s="46" t="s">
        <v>1409</v>
      </c>
      <c r="C401" s="47"/>
      <c r="D401" s="48" t="s">
        <v>1690</v>
      </c>
      <c r="E401" s="48" t="s">
        <v>1694</v>
      </c>
      <c r="F401" s="48" t="s">
        <v>1693</v>
      </c>
      <c r="G401" s="49" t="s">
        <v>1687</v>
      </c>
      <c r="H401" s="50" t="s">
        <v>1686</v>
      </c>
      <c r="I401" s="2"/>
    </row>
    <row r="402" spans="1:9" x14ac:dyDescent="0.25">
      <c r="A402" s="103">
        <v>19015</v>
      </c>
      <c r="B402" s="51" t="str">
        <f>IF($A402=0,"",VLOOKUP($A402,'BASE EQUIPO'!$A:$D,2))</f>
        <v>HERRAMIENTA MENOR</v>
      </c>
      <c r="C402" s="52"/>
      <c r="D402" s="53">
        <v>1</v>
      </c>
      <c r="E402" s="53">
        <f>IF($A402=0,"",VLOOKUP($A402,'BASE EQUIPO'!$A:$D,4)*H418)</f>
        <v>2.1899999999999999E-2</v>
      </c>
      <c r="F402" s="53">
        <f t="shared" ref="F402:F407" si="35">IF($A402=0,"",ROUND(D402*E402,2))</f>
        <v>0.02</v>
      </c>
      <c r="G402" s="105">
        <v>1</v>
      </c>
      <c r="H402" s="54">
        <f t="shared" ref="H402:H407" si="36">IF($A402=0,"",ROUND(G402*F402,2))</f>
        <v>0.02</v>
      </c>
      <c r="I402" s="2"/>
    </row>
    <row r="403" spans="1:9" x14ac:dyDescent="0.25">
      <c r="A403" s="103">
        <v>19009</v>
      </c>
      <c r="B403" s="38" t="str">
        <f>IF($A403=0,"",VLOOKUP($A403,'BASE EQUIPO'!$A:$D,2))</f>
        <v>VOLQUETA 8M3</v>
      </c>
      <c r="C403" s="2"/>
      <c r="D403" s="55">
        <v>1</v>
      </c>
      <c r="E403" s="55">
        <f>IF($A403=0,"",VLOOKUP($A403,'BASE EQUIPO'!$A:$D,4))</f>
        <v>28</v>
      </c>
      <c r="F403" s="55">
        <f t="shared" si="35"/>
        <v>28</v>
      </c>
      <c r="G403" s="106">
        <v>0.11</v>
      </c>
      <c r="H403" s="56">
        <f t="shared" si="36"/>
        <v>3.08</v>
      </c>
      <c r="I403" s="2"/>
    </row>
    <row r="404" spans="1:9" x14ac:dyDescent="0.25">
      <c r="B404" s="38" t="str">
        <f>IF($A404=0,"",VLOOKUP($A404,'BASE EQUIPO'!$A:$D,2))</f>
        <v/>
      </c>
      <c r="C404" s="2"/>
      <c r="D404" s="55"/>
      <c r="E404" s="55" t="str">
        <f>IF($A404=0,"",VLOOKUP($A404,'BASE EQUIPO'!$A:$D,4))</f>
        <v/>
      </c>
      <c r="F404" s="55" t="str">
        <f t="shared" si="35"/>
        <v/>
      </c>
      <c r="G404" s="106"/>
      <c r="H404" s="56" t="str">
        <f t="shared" si="36"/>
        <v/>
      </c>
      <c r="I404" s="2"/>
    </row>
    <row r="405" spans="1:9" x14ac:dyDescent="0.25">
      <c r="B405" s="38" t="str">
        <f>IF($A405=0,"",VLOOKUP($A405,'BASE EQUIPO'!$A:$D,2))</f>
        <v/>
      </c>
      <c r="C405" s="2"/>
      <c r="D405" s="55"/>
      <c r="E405" s="55" t="str">
        <f>IF($A405=0,"",VLOOKUP($A405,'BASE EQUIPO'!$A:$D,4))</f>
        <v/>
      </c>
      <c r="F405" s="55" t="str">
        <f t="shared" si="35"/>
        <v/>
      </c>
      <c r="G405" s="106"/>
      <c r="H405" s="56" t="str">
        <f t="shared" si="36"/>
        <v/>
      </c>
      <c r="I405" s="2"/>
    </row>
    <row r="406" spans="1:9" x14ac:dyDescent="0.25">
      <c r="B406" s="38" t="str">
        <f>IF($A406=0,"",VLOOKUP($A406,'BASE EQUIPO'!$A:$D,2))</f>
        <v/>
      </c>
      <c r="C406" s="2"/>
      <c r="D406" s="55"/>
      <c r="E406" s="55" t="str">
        <f>IF($A406=0,"",VLOOKUP($A406,'BASE EQUIPO'!$A:$D,4))</f>
        <v/>
      </c>
      <c r="F406" s="55" t="str">
        <f t="shared" si="35"/>
        <v/>
      </c>
      <c r="G406" s="106"/>
      <c r="H406" s="56" t="str">
        <f t="shared" si="36"/>
        <v/>
      </c>
      <c r="I406" s="2"/>
    </row>
    <row r="407" spans="1:9" x14ac:dyDescent="0.25">
      <c r="B407" s="57" t="str">
        <f>IF($A407=0,"",VLOOKUP($A407,'BASE EQUIPO'!$A:$D,2))</f>
        <v/>
      </c>
      <c r="C407" s="58"/>
      <c r="D407" s="59"/>
      <c r="E407" s="59" t="str">
        <f>IF($A407=0,"",VLOOKUP($A407,'BASE EQUIPO'!$A:$D,4))</f>
        <v/>
      </c>
      <c r="F407" s="59" t="str">
        <f t="shared" si="35"/>
        <v/>
      </c>
      <c r="G407" s="107"/>
      <c r="H407" s="60" t="str">
        <f t="shared" si="36"/>
        <v/>
      </c>
      <c r="I407" s="2"/>
    </row>
    <row r="408" spans="1:9" x14ac:dyDescent="0.25">
      <c r="B408" s="57" t="s">
        <v>1692</v>
      </c>
      <c r="C408" s="58"/>
      <c r="D408" s="61"/>
      <c r="E408" s="61"/>
      <c r="F408" s="61"/>
      <c r="G408" s="62"/>
      <c r="H408" s="60">
        <f>ROUND(SUM(H401:H407),2)</f>
        <v>3.1</v>
      </c>
      <c r="I408" s="2"/>
    </row>
    <row r="409" spans="1:9" x14ac:dyDescent="0.25">
      <c r="B409" s="38" t="s">
        <v>1503</v>
      </c>
      <c r="C409" s="2"/>
      <c r="D409" s="3"/>
      <c r="E409" s="3"/>
      <c r="F409" s="3"/>
      <c r="G409" s="63"/>
      <c r="H409" s="56"/>
      <c r="I409" s="2"/>
    </row>
    <row r="410" spans="1:9" ht="25.5" x14ac:dyDescent="0.25">
      <c r="B410" s="64" t="s">
        <v>1691</v>
      </c>
      <c r="C410" s="65"/>
      <c r="D410" s="66" t="s">
        <v>1690</v>
      </c>
      <c r="E410" s="66" t="s">
        <v>1689</v>
      </c>
      <c r="F410" s="66" t="s">
        <v>1688</v>
      </c>
      <c r="G410" s="67" t="s">
        <v>1687</v>
      </c>
      <c r="H410" s="68" t="s">
        <v>1686</v>
      </c>
      <c r="I410" s="2"/>
    </row>
    <row r="411" spans="1:9" x14ac:dyDescent="0.25">
      <c r="A411" s="103">
        <v>20001</v>
      </c>
      <c r="B411" s="69" t="str">
        <f>IF($A411=0,"",VLOOKUP($A411,'BASE M-OBRA'!$A:$D,2))</f>
        <v>MAESTRO</v>
      </c>
      <c r="C411" s="2"/>
      <c r="D411" s="108">
        <v>1</v>
      </c>
      <c r="E411" s="70">
        <f>IF($A411=0,"",VLOOKUP($A411,'BASE M-OBRA'!$A:$D,4))</f>
        <v>3.02</v>
      </c>
      <c r="F411" s="55">
        <f t="shared" ref="F411:F417" si="37">IF($A411=0,"",ROUND(D411*E411,2))</f>
        <v>3.02</v>
      </c>
      <c r="G411" s="106">
        <f>IF($A411=0,"",ROUND(H411/F411,2))</f>
        <v>0.04</v>
      </c>
      <c r="H411" s="56">
        <f>IF($A411=0,"",ROUND(SUM(H412:H417)*'BASE M-OBRA'!$D$23,2))</f>
        <v>0.12</v>
      </c>
      <c r="I411" s="2"/>
    </row>
    <row r="412" spans="1:9" x14ac:dyDescent="0.25">
      <c r="A412" s="103">
        <v>20002</v>
      </c>
      <c r="B412" s="69" t="str">
        <f>IF($A412=0,"",VLOOKUP($A412,'BASE M-OBRA'!$A:$D,2))</f>
        <v>PEON</v>
      </c>
      <c r="C412" s="2"/>
      <c r="D412" s="108">
        <v>2</v>
      </c>
      <c r="E412" s="70">
        <f>IF($A412=0,"",VLOOKUP($A412,'BASE M-OBRA'!$A:$D,4))</f>
        <v>2.79</v>
      </c>
      <c r="F412" s="55">
        <f t="shared" si="37"/>
        <v>5.58</v>
      </c>
      <c r="G412" s="106">
        <f>+G403</f>
        <v>0.11</v>
      </c>
      <c r="H412" s="56">
        <f t="shared" ref="H412:H417" si="38">IF($A412=0,"",ROUND(G412*F412,2))</f>
        <v>0.61</v>
      </c>
      <c r="I412" s="2"/>
    </row>
    <row r="413" spans="1:9" x14ac:dyDescent="0.25">
      <c r="B413" s="69" t="str">
        <f>IF($A413=0,"",VLOOKUP($A413,'BASE M-OBRA'!$A:$D,2))</f>
        <v/>
      </c>
      <c r="C413" s="2"/>
      <c r="D413" s="108"/>
      <c r="E413" s="70" t="str">
        <f>IF($A413=0,"",VLOOKUP($A413,'BASE M-OBRA'!$A:$D,4))</f>
        <v/>
      </c>
      <c r="F413" s="55" t="str">
        <f t="shared" si="37"/>
        <v/>
      </c>
      <c r="G413" s="106"/>
      <c r="H413" s="56" t="str">
        <f t="shared" si="38"/>
        <v/>
      </c>
      <c r="I413" s="2"/>
    </row>
    <row r="414" spans="1:9" x14ac:dyDescent="0.25">
      <c r="B414" s="71" t="str">
        <f>IF($A414=0,"",VLOOKUP($A414,'BASE M-OBRA'!$A:$D,2))</f>
        <v/>
      </c>
      <c r="C414" s="2"/>
      <c r="D414" s="108"/>
      <c r="E414" s="70" t="str">
        <f>IF($A414=0,"",VLOOKUP($A414,'BASE M-OBRA'!$A:$D,4))</f>
        <v/>
      </c>
      <c r="F414" s="55" t="str">
        <f t="shared" si="37"/>
        <v/>
      </c>
      <c r="G414" s="106"/>
      <c r="H414" s="56" t="str">
        <f t="shared" si="38"/>
        <v/>
      </c>
      <c r="I414" s="2"/>
    </row>
    <row r="415" spans="1:9" x14ac:dyDescent="0.25">
      <c r="B415" s="72" t="str">
        <f>IF($A415=0,"",VLOOKUP($A415,'BASE M-OBRA'!$A:$D,2))</f>
        <v/>
      </c>
      <c r="C415" s="2"/>
      <c r="D415" s="108"/>
      <c r="E415" s="70" t="str">
        <f>IF($A415=0,"",VLOOKUP($A415,'BASE M-OBRA'!$A:$D,4))</f>
        <v/>
      </c>
      <c r="F415" s="55" t="str">
        <f t="shared" si="37"/>
        <v/>
      </c>
      <c r="G415" s="106"/>
      <c r="H415" s="56" t="str">
        <f t="shared" si="38"/>
        <v/>
      </c>
      <c r="I415" s="2"/>
    </row>
    <row r="416" spans="1:9" x14ac:dyDescent="0.25">
      <c r="B416" s="38" t="str">
        <f>IF($A416=0,"",VLOOKUP($A416,'BASE M-OBRA'!$A:$D,2))</f>
        <v/>
      </c>
      <c r="C416" s="2"/>
      <c r="D416" s="55"/>
      <c r="E416" s="55" t="str">
        <f>IF($A416=0,"",VLOOKUP($A416,'BASE M-OBRA'!$A:$D,4))</f>
        <v/>
      </c>
      <c r="F416" s="55" t="str">
        <f t="shared" si="37"/>
        <v/>
      </c>
      <c r="G416" s="106"/>
      <c r="H416" s="56" t="str">
        <f t="shared" si="38"/>
        <v/>
      </c>
      <c r="I416" s="2"/>
    </row>
    <row r="417" spans="2:16" x14ac:dyDescent="0.25">
      <c r="B417" s="57" t="str">
        <f>IF($A417=0,"",VLOOKUP($A417,'BASE M-OBRA'!$A:$D,2))</f>
        <v/>
      </c>
      <c r="C417" s="58"/>
      <c r="D417" s="59"/>
      <c r="E417" s="59" t="str">
        <f>IF($A417=0,"",VLOOKUP($A417,'BASE M-OBRA'!$A:$D,4))</f>
        <v/>
      </c>
      <c r="F417" s="59" t="str">
        <f t="shared" si="37"/>
        <v/>
      </c>
      <c r="G417" s="107"/>
      <c r="H417" s="60" t="str">
        <f t="shared" si="38"/>
        <v/>
      </c>
      <c r="I417" s="2"/>
    </row>
    <row r="418" spans="2:16" x14ac:dyDescent="0.25">
      <c r="B418" s="73" t="s">
        <v>1685</v>
      </c>
      <c r="C418" s="65"/>
      <c r="D418" s="74"/>
      <c r="E418" s="74"/>
      <c r="F418" s="74"/>
      <c r="G418" s="74"/>
      <c r="H418" s="75">
        <f>ROUND(SUM(H410:H417),2)</f>
        <v>0.73</v>
      </c>
      <c r="I418" s="2"/>
    </row>
    <row r="419" spans="2:16" x14ac:dyDescent="0.25">
      <c r="B419" s="38" t="s">
        <v>1684</v>
      </c>
      <c r="C419" s="2"/>
      <c r="D419" s="3"/>
      <c r="E419" s="3"/>
      <c r="F419" s="3"/>
      <c r="G419" s="3"/>
      <c r="H419" s="56"/>
      <c r="I419" s="2"/>
    </row>
    <row r="420" spans="2:16" ht="25.5" x14ac:dyDescent="0.25">
      <c r="B420" s="64" t="s">
        <v>1409</v>
      </c>
      <c r="C420" s="65"/>
      <c r="D420" s="76"/>
      <c r="E420" s="66" t="s">
        <v>1408</v>
      </c>
      <c r="F420" s="66" t="s">
        <v>1679</v>
      </c>
      <c r="G420" s="66" t="s">
        <v>1683</v>
      </c>
      <c r="H420" s="68" t="s">
        <v>1675</v>
      </c>
      <c r="I420" s="2"/>
    </row>
    <row r="421" spans="2:16" x14ac:dyDescent="0.25">
      <c r="B421" s="109" t="str">
        <f>IF($A421=0,"",VLOOKUP($A421,'BASE MATERIAL'!$A:$D,2))</f>
        <v/>
      </c>
      <c r="C421" s="2"/>
      <c r="D421" s="77"/>
      <c r="E421" s="78" t="str">
        <f>IF($A421=0,"",VLOOKUP($A421,'BASE MATERIAL'!$A:$D,3))</f>
        <v/>
      </c>
      <c r="F421" s="55"/>
      <c r="G421" s="55" t="str">
        <f>IF($A421=0,"",VLOOKUP($A421,'BASE MATERIAL'!$A:$D,4))</f>
        <v/>
      </c>
      <c r="H421" s="56" t="str">
        <f t="shared" ref="H421:H435" si="39">IF($A421=0,"",ROUND(F421*G421,2))</f>
        <v/>
      </c>
      <c r="I421" s="2"/>
      <c r="L421" s="2"/>
      <c r="M421" s="2"/>
      <c r="N421" s="39"/>
      <c r="O421" s="2"/>
      <c r="P421" s="2"/>
    </row>
    <row r="422" spans="2:16" x14ac:dyDescent="0.25">
      <c r="B422" s="38" t="str">
        <f>IF($A422=0,"",VLOOKUP($A422,'BASE MATERIAL'!$A:$D,2))</f>
        <v/>
      </c>
      <c r="C422" s="2"/>
      <c r="D422" s="77"/>
      <c r="E422" s="78" t="str">
        <f>IF($A422=0,"",VLOOKUP($A422,'BASE MATERIAL'!$A:$D,3))</f>
        <v/>
      </c>
      <c r="F422" s="55"/>
      <c r="G422" s="55" t="str">
        <f>IF($A422=0,"",VLOOKUP($A422,'BASE MATERIAL'!$A:$D,4))</f>
        <v/>
      </c>
      <c r="H422" s="56" t="str">
        <f t="shared" si="39"/>
        <v/>
      </c>
      <c r="I422" s="2"/>
      <c r="L422" s="2"/>
      <c r="M422" s="2"/>
      <c r="N422" s="39"/>
      <c r="O422" s="2"/>
      <c r="P422" s="2"/>
    </row>
    <row r="423" spans="2:16" x14ac:dyDescent="0.25">
      <c r="B423" s="38" t="str">
        <f>IF($A423=0,"",VLOOKUP($A423,'BASE MATERIAL'!$A:$D,2))</f>
        <v/>
      </c>
      <c r="C423" s="2"/>
      <c r="D423" s="77"/>
      <c r="E423" s="78" t="str">
        <f>IF($A423=0,"",VLOOKUP($A423,'BASE MATERIAL'!$A:$D,3))</f>
        <v/>
      </c>
      <c r="F423" s="55"/>
      <c r="G423" s="55" t="str">
        <f>IF($A423=0,"",VLOOKUP($A423,'BASE MATERIAL'!$A:$D,4))</f>
        <v/>
      </c>
      <c r="H423" s="56" t="str">
        <f t="shared" si="39"/>
        <v/>
      </c>
      <c r="I423" s="2"/>
      <c r="L423" s="2"/>
      <c r="M423" s="2"/>
      <c r="N423" s="39"/>
      <c r="O423" s="2"/>
      <c r="P423" s="2"/>
    </row>
    <row r="424" spans="2:16" x14ac:dyDescent="0.25">
      <c r="B424" s="38" t="str">
        <f>IF($A424=0,"",VLOOKUP($A424,'BASE MATERIAL'!$A:$D,2))</f>
        <v/>
      </c>
      <c r="C424" s="2"/>
      <c r="D424" s="77"/>
      <c r="E424" s="78" t="str">
        <f>IF($A424=0,"",VLOOKUP($A424,'BASE MATERIAL'!$A:$D,3))</f>
        <v/>
      </c>
      <c r="F424" s="55"/>
      <c r="G424" s="55" t="str">
        <f>IF($A424=0,"",VLOOKUP($A424,'BASE MATERIAL'!$A:$D,4))</f>
        <v/>
      </c>
      <c r="H424" s="56" t="str">
        <f t="shared" si="39"/>
        <v/>
      </c>
      <c r="I424" s="2"/>
      <c r="L424" s="2"/>
      <c r="M424" s="2"/>
      <c r="N424" s="39"/>
      <c r="O424" s="2"/>
      <c r="P424" s="2"/>
    </row>
    <row r="425" spans="2:16" x14ac:dyDescent="0.25">
      <c r="B425" s="38" t="str">
        <f>IF($A425=0,"",VLOOKUP($A425,'BASE MATERIAL'!$A:$D,2))</f>
        <v/>
      </c>
      <c r="C425" s="2"/>
      <c r="D425" s="77"/>
      <c r="E425" s="78" t="str">
        <f>IF($A425=0,"",VLOOKUP($A425,'BASE MATERIAL'!$A:$D,3))</f>
        <v/>
      </c>
      <c r="F425" s="55"/>
      <c r="G425" s="55" t="str">
        <f>IF($A425=0,"",VLOOKUP($A425,'BASE MATERIAL'!$A:$D,4))</f>
        <v/>
      </c>
      <c r="H425" s="56" t="str">
        <f t="shared" si="39"/>
        <v/>
      </c>
      <c r="I425" s="2"/>
      <c r="L425" s="2"/>
      <c r="M425" s="2"/>
      <c r="N425" s="39"/>
      <c r="O425" s="2"/>
      <c r="P425" s="2"/>
    </row>
    <row r="426" spans="2:16" x14ac:dyDescent="0.25">
      <c r="B426" s="38" t="str">
        <f>IF($A426=0,"",VLOOKUP($A426,'BASE MATERIAL'!$A:$D,2))</f>
        <v/>
      </c>
      <c r="C426" s="2"/>
      <c r="D426" s="77"/>
      <c r="E426" s="78" t="str">
        <f>IF($A426=0,"",VLOOKUP($A426,'BASE MATERIAL'!$A:$D,3))</f>
        <v/>
      </c>
      <c r="F426" s="55"/>
      <c r="G426" s="55" t="str">
        <f>IF($A426=0,"",VLOOKUP($A426,'BASE MATERIAL'!$A:$D,4))</f>
        <v/>
      </c>
      <c r="H426" s="56" t="str">
        <f t="shared" si="39"/>
        <v/>
      </c>
      <c r="I426" s="2"/>
      <c r="L426" s="2"/>
      <c r="M426" s="2"/>
      <c r="N426" s="39"/>
      <c r="O426" s="2"/>
      <c r="P426" s="2"/>
    </row>
    <row r="427" spans="2:16" x14ac:dyDescent="0.25">
      <c r="B427" s="38" t="str">
        <f>IF($A427=0,"",VLOOKUP($A427,'BASE MATERIAL'!$A:$D,2))</f>
        <v/>
      </c>
      <c r="C427" s="2"/>
      <c r="D427" s="77"/>
      <c r="E427" s="78" t="str">
        <f>IF($A427=0,"",VLOOKUP($A427,'BASE MATERIAL'!$A:$D,3))</f>
        <v/>
      </c>
      <c r="F427" s="55"/>
      <c r="G427" s="55" t="str">
        <f>IF($A427=0,"",VLOOKUP($A427,'BASE MATERIAL'!$A:$D,4))</f>
        <v/>
      </c>
      <c r="H427" s="56" t="str">
        <f t="shared" si="39"/>
        <v/>
      </c>
      <c r="I427" s="2"/>
      <c r="L427" s="2"/>
      <c r="M427" s="2"/>
      <c r="N427" s="39"/>
      <c r="O427" s="2"/>
      <c r="P427" s="2"/>
    </row>
    <row r="428" spans="2:16" x14ac:dyDescent="0.25">
      <c r="B428" s="38" t="str">
        <f>IF($A428=0,"",VLOOKUP($A428,'BASE MATERIAL'!$A:$D,2))</f>
        <v/>
      </c>
      <c r="C428" s="2"/>
      <c r="D428" s="77"/>
      <c r="E428" s="78" t="str">
        <f>IF($A428=0,"",VLOOKUP($A428,'BASE MATERIAL'!$A:$D,3))</f>
        <v/>
      </c>
      <c r="F428" s="55"/>
      <c r="G428" s="55" t="str">
        <f>IF($A428=0,"",VLOOKUP($A428,'BASE MATERIAL'!$A:$D,4))</f>
        <v/>
      </c>
      <c r="H428" s="56" t="str">
        <f t="shared" si="39"/>
        <v/>
      </c>
      <c r="I428" s="2"/>
      <c r="L428" s="2"/>
      <c r="M428" s="2"/>
      <c r="N428" s="39"/>
      <c r="O428" s="2"/>
      <c r="P428" s="2"/>
    </row>
    <row r="429" spans="2:16" x14ac:dyDescent="0.25">
      <c r="B429" s="38" t="str">
        <f>IF($A429=0,"",VLOOKUP($A429,'BASE MATERIAL'!$A:$D,2))</f>
        <v/>
      </c>
      <c r="C429" s="2"/>
      <c r="D429" s="77"/>
      <c r="E429" s="78" t="str">
        <f>IF($A429=0,"",VLOOKUP($A429,'BASE MATERIAL'!$A:$D,3))</f>
        <v/>
      </c>
      <c r="F429" s="55"/>
      <c r="G429" s="55" t="str">
        <f>IF($A429=0,"",VLOOKUP($A429,'BASE MATERIAL'!$A:$D,4))</f>
        <v/>
      </c>
      <c r="H429" s="56" t="str">
        <f t="shared" si="39"/>
        <v/>
      </c>
      <c r="I429" s="2"/>
    </row>
    <row r="430" spans="2:16" x14ac:dyDescent="0.25">
      <c r="B430" s="38" t="str">
        <f>IF($A430=0,"",VLOOKUP($A430,'BASE MATERIAL'!$A:$D,2))</f>
        <v/>
      </c>
      <c r="C430" s="2"/>
      <c r="D430" s="77"/>
      <c r="E430" s="78" t="str">
        <f>IF($A430=0,"",VLOOKUP($A430,'BASE MATERIAL'!$A:$D,3))</f>
        <v/>
      </c>
      <c r="F430" s="55"/>
      <c r="G430" s="55" t="str">
        <f>IF($A430=0,"",VLOOKUP($A430,'BASE MATERIAL'!$A:$D,4))</f>
        <v/>
      </c>
      <c r="H430" s="56" t="str">
        <f t="shared" si="39"/>
        <v/>
      </c>
      <c r="I430" s="2"/>
      <c r="L430" s="2"/>
      <c r="M430" s="2"/>
      <c r="N430" s="39"/>
      <c r="O430" s="2"/>
      <c r="P430" s="2"/>
    </row>
    <row r="431" spans="2:16" x14ac:dyDescent="0.25">
      <c r="B431" s="38" t="str">
        <f>IF($A431=0,"",VLOOKUP($A431,'BASE MATERIAL'!$A:$D,2))</f>
        <v/>
      </c>
      <c r="C431" s="2"/>
      <c r="D431" s="77"/>
      <c r="E431" s="78" t="str">
        <f>IF($A431=0,"",VLOOKUP($A431,'BASE MATERIAL'!$A:$D,3))</f>
        <v/>
      </c>
      <c r="F431" s="55"/>
      <c r="G431" s="55" t="str">
        <f>IF($A431=0,"",VLOOKUP($A431,'BASE MATERIAL'!$A:$D,4))</f>
        <v/>
      </c>
      <c r="H431" s="56" t="str">
        <f t="shared" si="39"/>
        <v/>
      </c>
      <c r="I431" s="2"/>
      <c r="L431" s="2"/>
      <c r="M431" s="2"/>
      <c r="N431" s="39"/>
      <c r="O431" s="2"/>
      <c r="P431" s="2"/>
    </row>
    <row r="432" spans="2:16" x14ac:dyDescent="0.25">
      <c r="B432" s="38" t="str">
        <f>IF($A432=0,"",VLOOKUP($A432,'BASE MATERIAL'!$A:$D,2))</f>
        <v/>
      </c>
      <c r="C432" s="2"/>
      <c r="D432" s="77"/>
      <c r="E432" s="78" t="str">
        <f>IF($A432=0,"",VLOOKUP($A432,'BASE MATERIAL'!$A:$D,3))</f>
        <v/>
      </c>
      <c r="F432" s="55"/>
      <c r="G432" s="55" t="str">
        <f>IF($A432=0,"",VLOOKUP($A432,'BASE MATERIAL'!$A:$D,4))</f>
        <v/>
      </c>
      <c r="H432" s="56" t="str">
        <f t="shared" si="39"/>
        <v/>
      </c>
      <c r="I432" s="2"/>
    </row>
    <row r="433" spans="1:9" x14ac:dyDescent="0.25">
      <c r="B433" s="38" t="str">
        <f>IF($A433=0,"",VLOOKUP($A433,'BASE MATERIAL'!$A:$D,2))</f>
        <v/>
      </c>
      <c r="C433" s="2"/>
      <c r="D433" s="77"/>
      <c r="E433" s="78" t="str">
        <f>IF($A433=0,"",VLOOKUP($A433,'BASE MATERIAL'!$A:$D,3))</f>
        <v/>
      </c>
      <c r="F433" s="55"/>
      <c r="G433" s="55" t="str">
        <f>IF($A433=0,"",VLOOKUP($A433,'BASE MATERIAL'!$A:$D,4))</f>
        <v/>
      </c>
      <c r="H433" s="56" t="str">
        <f t="shared" si="39"/>
        <v/>
      </c>
      <c r="I433" s="2"/>
    </row>
    <row r="434" spans="1:9" x14ac:dyDescent="0.25">
      <c r="B434" s="38" t="str">
        <f>IF($A434=0,"",VLOOKUP($A434,'BASE MATERIAL'!$A:$D,2))</f>
        <v/>
      </c>
      <c r="C434" s="2"/>
      <c r="D434" s="77"/>
      <c r="E434" s="78" t="str">
        <f>IF($A434=0,"",VLOOKUP($A434,'BASE MATERIAL'!$A:$D,3))</f>
        <v/>
      </c>
      <c r="F434" s="55"/>
      <c r="G434" s="55" t="str">
        <f>IF($A434=0,"",VLOOKUP($A434,'BASE MATERIAL'!$A:$D,4))</f>
        <v/>
      </c>
      <c r="H434" s="56" t="str">
        <f t="shared" si="39"/>
        <v/>
      </c>
      <c r="I434" s="2"/>
    </row>
    <row r="435" spans="1:9" x14ac:dyDescent="0.25">
      <c r="B435" s="38" t="str">
        <f>IF($A435=0,"",VLOOKUP($A435,'BASE MATERIAL'!$A:$D,2))</f>
        <v/>
      </c>
      <c r="C435" s="2"/>
      <c r="D435" s="77"/>
      <c r="E435" s="78" t="str">
        <f>IF($A435=0,"",VLOOKUP($A435,'BASE MATERIAL'!$A:$D,3))</f>
        <v/>
      </c>
      <c r="F435" s="55"/>
      <c r="G435" s="55" t="str">
        <f>IF($A435=0,"",VLOOKUP($A435,'BASE MATERIAL'!$A:$D,4))</f>
        <v/>
      </c>
      <c r="H435" s="56" t="str">
        <f t="shared" si="39"/>
        <v/>
      </c>
      <c r="I435" s="2"/>
    </row>
    <row r="436" spans="1:9" x14ac:dyDescent="0.25">
      <c r="B436" s="38" t="str">
        <f>IF($A436=0,"",VLOOKUP($A436,'BASE MATERIAL'!$A:$D,2))</f>
        <v/>
      </c>
      <c r="C436" s="2"/>
      <c r="D436" s="81" t="s">
        <v>1682</v>
      </c>
      <c r="E436" s="55" t="str">
        <f>IF($A436=0,"",VLOOKUP($A436,'BASE MATERIAL'!$A:$D,3))</f>
        <v/>
      </c>
      <c r="F436" s="55" t="s">
        <v>1682</v>
      </c>
      <c r="G436" s="55" t="str">
        <f>IF($A436=0,"",VLOOKUP($A436,'BASE MATERIAL'!$A:$D,4))</f>
        <v/>
      </c>
      <c r="H436" s="56" t="str">
        <f>IF($A436=0,"",ROUND(E436*F436,2))</f>
        <v/>
      </c>
      <c r="I436" s="2"/>
    </row>
    <row r="437" spans="1:9" x14ac:dyDescent="0.25">
      <c r="B437" s="73" t="s">
        <v>1681</v>
      </c>
      <c r="C437" s="65"/>
      <c r="D437" s="74"/>
      <c r="E437" s="74"/>
      <c r="F437" s="74"/>
      <c r="G437" s="74"/>
      <c r="H437" s="75">
        <f>ROUND(SUM(H420:H436),2)</f>
        <v>0</v>
      </c>
      <c r="I437" s="2"/>
    </row>
    <row r="438" spans="1:9" x14ac:dyDescent="0.25">
      <c r="B438" s="38" t="s">
        <v>1680</v>
      </c>
      <c r="C438" s="2"/>
      <c r="D438" s="3"/>
      <c r="E438" s="3"/>
      <c r="F438" s="3"/>
      <c r="G438" s="3"/>
      <c r="H438" s="56"/>
      <c r="I438" s="2"/>
    </row>
    <row r="439" spans="1:9" ht="25.5" x14ac:dyDescent="0.25">
      <c r="B439" s="64" t="s">
        <v>1409</v>
      </c>
      <c r="C439" s="65"/>
      <c r="D439" s="76"/>
      <c r="E439" s="66" t="s">
        <v>1408</v>
      </c>
      <c r="F439" s="66" t="s">
        <v>1679</v>
      </c>
      <c r="G439" s="66" t="s">
        <v>1676</v>
      </c>
      <c r="H439" s="68" t="s">
        <v>1675</v>
      </c>
      <c r="I439" s="2"/>
    </row>
    <row r="440" spans="1:9" x14ac:dyDescent="0.25">
      <c r="B440" s="51" t="str">
        <f>IF($A440=0,"",VLOOKUP($A440,'BASE EQUIPO'!$A:$D,2))</f>
        <v/>
      </c>
      <c r="C440" s="52"/>
      <c r="D440" s="82"/>
      <c r="E440" s="78" t="str">
        <f>IF($A440=0,"",VLOOKUP($A440,'BASE EQUIPO'!$A:$D,3))</f>
        <v/>
      </c>
      <c r="F440" s="55"/>
      <c r="G440" s="83" t="str">
        <f>IF($A440=0,"",VLOOKUP($A440,'BASE EQUIPO'!$A:$D,4)*H437)</f>
        <v/>
      </c>
      <c r="H440" s="56" t="str">
        <f>IF($A440=0,"",ROUND(F440*G440,2))</f>
        <v/>
      </c>
      <c r="I440" s="2"/>
    </row>
    <row r="441" spans="1:9" x14ac:dyDescent="0.25">
      <c r="B441" s="38" t="str">
        <f>IF($A441=0,"",VLOOKUP($A441,'BASE EQUIPO'!$A:$D,2))</f>
        <v/>
      </c>
      <c r="C441" s="2"/>
      <c r="D441" s="84"/>
      <c r="E441" s="78" t="str">
        <f>IF($A441=0,"",VLOOKUP($A441,'BASE EQUIPO'!$A:$D,3))</f>
        <v/>
      </c>
      <c r="F441" s="55"/>
      <c r="G441" s="55" t="str">
        <f>IF($A441=0,"",VLOOKUP($A441,'BASE EQUIPO'!$A:$D,4)*H438)</f>
        <v/>
      </c>
      <c r="H441" s="56" t="str">
        <f>IF($A441=0,"",ROUND(F441*G441,2))</f>
        <v/>
      </c>
      <c r="I441" s="2"/>
    </row>
    <row r="442" spans="1:9" x14ac:dyDescent="0.25">
      <c r="B442" s="57" t="str">
        <f>IF($A442=0,"",VLOOKUP($A442,'BASE EQUIPO'!$A:$D,2))</f>
        <v/>
      </c>
      <c r="C442" s="58"/>
      <c r="D442" s="85"/>
      <c r="E442" s="86" t="str">
        <f>IF($A442=0,"",VLOOKUP($A442,'BASE EQUIPO'!$A:$D,3))</f>
        <v/>
      </c>
      <c r="F442" s="59"/>
      <c r="G442" s="59" t="str">
        <f>IF($A442=0,"",VLOOKUP($A442,'BASE EQUIPO'!$A:$D,4)*H439)</f>
        <v/>
      </c>
      <c r="H442" s="60" t="str">
        <f>IF($A442=0,"",ROUND(F442*G442,2))</f>
        <v/>
      </c>
      <c r="I442" s="2"/>
    </row>
    <row r="443" spans="1:9" ht="15.75" thickBot="1" x14ac:dyDescent="0.3">
      <c r="B443" s="87" t="s">
        <v>1674</v>
      </c>
      <c r="C443" s="88"/>
      <c r="D443" s="89"/>
      <c r="E443" s="89"/>
      <c r="F443" s="89"/>
      <c r="G443" s="89"/>
      <c r="H443" s="90">
        <f>ROUND(SUM(H439:H442),2)</f>
        <v>0</v>
      </c>
      <c r="I443" s="2"/>
    </row>
    <row r="444" spans="1:9" ht="15.75" x14ac:dyDescent="0.25">
      <c r="B444" s="2"/>
      <c r="C444" s="2"/>
      <c r="D444" s="91" t="s">
        <v>1673</v>
      </c>
      <c r="E444" s="47"/>
      <c r="F444" s="47"/>
      <c r="G444" s="47"/>
      <c r="H444" s="92">
        <f>ROUND(SUM(H443,H437,H418,H408),2)</f>
        <v>3.83</v>
      </c>
      <c r="I444" s="2"/>
    </row>
    <row r="445" spans="1:9" ht="15.75" x14ac:dyDescent="0.25">
      <c r="A445" s="103">
        <v>40002</v>
      </c>
      <c r="B445" s="2"/>
      <c r="C445" s="2"/>
      <c r="D445" s="93" t="s">
        <v>1672</v>
      </c>
      <c r="E445" s="65"/>
      <c r="F445" s="65"/>
      <c r="G445" s="94">
        <f>IF($A445=0,"",VLOOKUP($A445,'BASE MATERIAL'!$M:$P,4))</f>
        <v>0</v>
      </c>
      <c r="H445" s="95">
        <f>IF($A445=0,"",ROUND(G445*H444,2))</f>
        <v>0</v>
      </c>
      <c r="I445" s="2"/>
    </row>
    <row r="446" spans="1:9" ht="15.75" x14ac:dyDescent="0.25">
      <c r="A446" s="103">
        <v>40003</v>
      </c>
      <c r="B446" s="2"/>
      <c r="C446" s="2"/>
      <c r="D446" s="93" t="s">
        <v>1671</v>
      </c>
      <c r="E446" s="65"/>
      <c r="F446" s="65"/>
      <c r="G446" s="94">
        <f>IF($A446=0,"",VLOOKUP($A446,'BASE MATERIAL'!$M:$P,4))</f>
        <v>0</v>
      </c>
      <c r="H446" s="95">
        <f>IF($A446=0,"",ROUND(G446*H444,2))</f>
        <v>0</v>
      </c>
      <c r="I446" s="2"/>
    </row>
    <row r="447" spans="1:9" ht="15.75" x14ac:dyDescent="0.25">
      <c r="B447" s="2"/>
      <c r="C447" s="2"/>
      <c r="D447" s="93" t="s">
        <v>1670</v>
      </c>
      <c r="E447" s="65"/>
      <c r="F447" s="65"/>
      <c r="G447" s="65"/>
      <c r="H447" s="96">
        <f>ROUND(SUM(H444:H446),2)</f>
        <v>3.83</v>
      </c>
      <c r="I447" s="2"/>
    </row>
    <row r="448" spans="1:9" ht="16.5" thickBot="1" x14ac:dyDescent="0.3">
      <c r="B448" s="25"/>
      <c r="C448" s="2"/>
      <c r="D448" s="97" t="s">
        <v>1650</v>
      </c>
      <c r="E448" s="88"/>
      <c r="F448" s="88"/>
      <c r="G448" s="88"/>
      <c r="H448" s="98">
        <f>ROUND(H447,2)</f>
        <v>3.83</v>
      </c>
      <c r="I448" s="2"/>
    </row>
    <row r="449" spans="1:15" ht="15.75" x14ac:dyDescent="0.25">
      <c r="B449" s="34" t="s">
        <v>1701</v>
      </c>
      <c r="C449" s="5"/>
      <c r="D449" s="157" t="str">
        <f>$D$1</f>
        <v>ESPOL</v>
      </c>
      <c r="E449" s="2"/>
      <c r="F449" s="2"/>
      <c r="H449" s="2" t="s">
        <v>108</v>
      </c>
      <c r="I449" s="2"/>
      <c r="L449" s="40">
        <f>A453</f>
        <v>7</v>
      </c>
      <c r="M449" s="1" t="str">
        <f>C454</f>
        <v>Pruebas y ensayos de compactacion de terrenos / proctor modificado</v>
      </c>
      <c r="N449" s="2" t="str">
        <f>H453</f>
        <v>Global</v>
      </c>
      <c r="O449" s="2">
        <f>H504</f>
        <v>950</v>
      </c>
    </row>
    <row r="450" spans="1:15" s="4" customFormat="1" ht="15.75" x14ac:dyDescent="0.25">
      <c r="A450" s="103"/>
      <c r="B450" s="34" t="s">
        <v>1700</v>
      </c>
      <c r="C450" s="3">
        <f>'1.1'!$C$2</f>
        <v>0</v>
      </c>
      <c r="D450" s="5"/>
      <c r="E450" s="5"/>
      <c r="F450" s="5"/>
      <c r="G450" s="158" t="s">
        <v>1699</v>
      </c>
      <c r="H450" s="159"/>
      <c r="I450" s="5" t="s">
        <v>1698</v>
      </c>
    </row>
    <row r="451" spans="1:15" s="4" customFormat="1" ht="15.75" x14ac:dyDescent="0.25">
      <c r="A451" s="103"/>
      <c r="B451" s="34"/>
      <c r="C451" s="3">
        <f>'1.1'!$C$3</f>
        <v>0</v>
      </c>
      <c r="D451" s="5"/>
      <c r="E451" s="5"/>
      <c r="F451" s="5"/>
      <c r="G451" s="5"/>
      <c r="H451" s="5"/>
      <c r="I451" s="5"/>
    </row>
    <row r="452" spans="1:15" s="4" customFormat="1" ht="15.75" x14ac:dyDescent="0.25">
      <c r="A452" s="103"/>
      <c r="B452" s="34" t="s">
        <v>1697</v>
      </c>
      <c r="C452" s="3"/>
      <c r="D452" s="5"/>
      <c r="E452" s="5"/>
      <c r="F452" s="5"/>
      <c r="G452" s="5"/>
      <c r="H452" s="5"/>
      <c r="I452" s="5"/>
    </row>
    <row r="453" spans="1:15" x14ac:dyDescent="0.25">
      <c r="A453" s="104">
        <v>7</v>
      </c>
      <c r="B453" s="2" t="s">
        <v>1586</v>
      </c>
      <c r="C453" s="36" t="s">
        <v>1704</v>
      </c>
      <c r="D453" s="5"/>
      <c r="E453" s="4"/>
      <c r="F453" s="4"/>
      <c r="G453" s="5" t="s">
        <v>1696</v>
      </c>
      <c r="H453" s="157" t="s">
        <v>1566</v>
      </c>
      <c r="I453" s="2"/>
    </row>
    <row r="454" spans="1:15" s="4" customFormat="1" x14ac:dyDescent="0.25">
      <c r="A454" s="103"/>
      <c r="B454" s="1" t="s">
        <v>1585</v>
      </c>
      <c r="C454" s="36" t="s">
        <v>1567</v>
      </c>
      <c r="D454" s="5"/>
      <c r="E454" s="5"/>
      <c r="F454" s="5"/>
      <c r="G454" s="5"/>
      <c r="H454" s="5"/>
      <c r="I454" s="5"/>
    </row>
    <row r="455" spans="1:15" ht="15.75" thickBot="1" x14ac:dyDescent="0.3">
      <c r="D455" s="2"/>
      <c r="E455" s="2"/>
      <c r="F455" s="2"/>
      <c r="G455" s="2"/>
      <c r="H455" s="2"/>
      <c r="I455" s="2"/>
    </row>
    <row r="456" spans="1:15" ht="15.75" thickBot="1" x14ac:dyDescent="0.3">
      <c r="B456" s="43" t="s">
        <v>1695</v>
      </c>
      <c r="C456" s="44"/>
      <c r="D456" s="44"/>
      <c r="E456" s="44"/>
      <c r="F456" s="44"/>
      <c r="G456" s="44"/>
      <c r="H456" s="45"/>
      <c r="I456" s="2"/>
    </row>
    <row r="457" spans="1:15" ht="26.25" customHeight="1" x14ac:dyDescent="0.25">
      <c r="B457" s="46" t="s">
        <v>1409</v>
      </c>
      <c r="C457" s="47"/>
      <c r="D457" s="48" t="s">
        <v>1690</v>
      </c>
      <c r="E457" s="48" t="s">
        <v>1694</v>
      </c>
      <c r="F457" s="48" t="s">
        <v>1693</v>
      </c>
      <c r="G457" s="49" t="s">
        <v>1687</v>
      </c>
      <c r="H457" s="50" t="s">
        <v>1686</v>
      </c>
      <c r="I457" s="2"/>
    </row>
    <row r="458" spans="1:15" s="4" customFormat="1" x14ac:dyDescent="0.25">
      <c r="A458" s="103"/>
      <c r="B458" s="51" t="str">
        <f>IF($A458=0,"",VLOOKUP($A458,'BASE EQUIPO'!$A:$D,2))</f>
        <v/>
      </c>
      <c r="C458" s="52"/>
      <c r="D458" s="53"/>
      <c r="E458" s="53" t="str">
        <f>IF($A458=0,"",VLOOKUP($A458,'BASE EQUIPO'!$A:$D,4)*H474)</f>
        <v/>
      </c>
      <c r="F458" s="53" t="str">
        <f t="shared" ref="F458:F463" si="40">IF($A458=0,"",ROUND(D458*E458,2))</f>
        <v/>
      </c>
      <c r="G458" s="105"/>
      <c r="H458" s="54" t="str">
        <f t="shared" ref="H458:H463" si="41">IF($A458=0,"",ROUND(G458*F458,2))</f>
        <v/>
      </c>
      <c r="I458" s="5"/>
    </row>
    <row r="459" spans="1:15" s="4" customFormat="1" x14ac:dyDescent="0.25">
      <c r="A459" s="103"/>
      <c r="B459" s="38" t="str">
        <f>IF($A459=0,"",VLOOKUP($A459,'BASE EQUIPO'!$A:$D,2))</f>
        <v/>
      </c>
      <c r="C459" s="2"/>
      <c r="D459" s="55"/>
      <c r="E459" s="55" t="str">
        <f>IF($A459=0,"",VLOOKUP($A459,'BASE EQUIPO'!$A:$D,4))</f>
        <v/>
      </c>
      <c r="F459" s="55" t="str">
        <f t="shared" si="40"/>
        <v/>
      </c>
      <c r="G459" s="106"/>
      <c r="H459" s="56" t="str">
        <f t="shared" si="41"/>
        <v/>
      </c>
      <c r="I459" s="5"/>
    </row>
    <row r="460" spans="1:15" s="4" customFormat="1" x14ac:dyDescent="0.25">
      <c r="A460" s="103"/>
      <c r="B460" s="38" t="str">
        <f>IF($A460=0,"",VLOOKUP($A460,'BASE EQUIPO'!$A:$D,2))</f>
        <v/>
      </c>
      <c r="C460" s="2"/>
      <c r="D460" s="55"/>
      <c r="E460" s="55" t="str">
        <f>IF($A460=0,"",VLOOKUP($A460,'BASE EQUIPO'!$A:$D,4))</f>
        <v/>
      </c>
      <c r="F460" s="55" t="str">
        <f t="shared" si="40"/>
        <v/>
      </c>
      <c r="G460" s="106"/>
      <c r="H460" s="56" t="str">
        <f t="shared" si="41"/>
        <v/>
      </c>
      <c r="I460" s="5"/>
    </row>
    <row r="461" spans="1:15" s="4" customFormat="1" x14ac:dyDescent="0.25">
      <c r="A461" s="103"/>
      <c r="B461" s="38" t="str">
        <f>IF($A461=0,"",VLOOKUP($A461,'BASE EQUIPO'!$A:$D,2))</f>
        <v/>
      </c>
      <c r="C461" s="2"/>
      <c r="D461" s="55"/>
      <c r="E461" s="55" t="str">
        <f>IF($A461=0,"",VLOOKUP($A461,'BASE EQUIPO'!$A:$D,4))</f>
        <v/>
      </c>
      <c r="F461" s="55" t="str">
        <f t="shared" si="40"/>
        <v/>
      </c>
      <c r="G461" s="106"/>
      <c r="H461" s="56" t="str">
        <f t="shared" si="41"/>
        <v/>
      </c>
      <c r="I461" s="5"/>
    </row>
    <row r="462" spans="1:15" s="4" customFormat="1" x14ac:dyDescent="0.25">
      <c r="A462" s="103"/>
      <c r="B462" s="38" t="str">
        <f>IF($A462=0,"",VLOOKUP($A462,'BASE EQUIPO'!$A:$D,2))</f>
        <v/>
      </c>
      <c r="C462" s="2"/>
      <c r="D462" s="55"/>
      <c r="E462" s="55" t="str">
        <f>IF($A462=0,"",VLOOKUP($A462,'BASE EQUIPO'!$A:$D,4))</f>
        <v/>
      </c>
      <c r="F462" s="55" t="str">
        <f t="shared" si="40"/>
        <v/>
      </c>
      <c r="G462" s="106"/>
      <c r="H462" s="56" t="str">
        <f t="shared" si="41"/>
        <v/>
      </c>
      <c r="I462" s="5"/>
    </row>
    <row r="463" spans="1:15" s="4" customFormat="1" x14ac:dyDescent="0.25">
      <c r="A463" s="103"/>
      <c r="B463" s="57" t="str">
        <f>IF($A463=0,"",VLOOKUP($A463,'BASE EQUIPO'!$A:$D,2))</f>
        <v/>
      </c>
      <c r="C463" s="58"/>
      <c r="D463" s="59"/>
      <c r="E463" s="59" t="str">
        <f>IF($A463=0,"",VLOOKUP($A463,'BASE EQUIPO'!$A:$D,4))</f>
        <v/>
      </c>
      <c r="F463" s="59" t="str">
        <f t="shared" si="40"/>
        <v/>
      </c>
      <c r="G463" s="107"/>
      <c r="H463" s="60" t="str">
        <f t="shared" si="41"/>
        <v/>
      </c>
      <c r="I463" s="5"/>
    </row>
    <row r="464" spans="1:15" s="4" customFormat="1" x14ac:dyDescent="0.25">
      <c r="A464" s="103"/>
      <c r="B464" s="57" t="s">
        <v>1692</v>
      </c>
      <c r="C464" s="58"/>
      <c r="D464" s="61"/>
      <c r="E464" s="61"/>
      <c r="F464" s="61"/>
      <c r="G464" s="62"/>
      <c r="H464" s="60">
        <f>ROUND(SUM(H457:H463),2)</f>
        <v>0</v>
      </c>
      <c r="I464" s="5"/>
    </row>
    <row r="465" spans="1:16" s="4" customFormat="1" x14ac:dyDescent="0.25">
      <c r="A465" s="103"/>
      <c r="B465" s="38" t="s">
        <v>1503</v>
      </c>
      <c r="C465" s="2"/>
      <c r="D465" s="3"/>
      <c r="E465" s="3"/>
      <c r="F465" s="3"/>
      <c r="G465" s="63"/>
      <c r="H465" s="56"/>
      <c r="I465" s="5"/>
    </row>
    <row r="466" spans="1:16" ht="26.25" customHeight="1" x14ac:dyDescent="0.25">
      <c r="B466" s="64" t="s">
        <v>1691</v>
      </c>
      <c r="C466" s="65"/>
      <c r="D466" s="66" t="s">
        <v>1690</v>
      </c>
      <c r="E466" s="66" t="s">
        <v>1689</v>
      </c>
      <c r="F466" s="66" t="s">
        <v>1688</v>
      </c>
      <c r="G466" s="67" t="s">
        <v>1687</v>
      </c>
      <c r="H466" s="68" t="s">
        <v>1686</v>
      </c>
      <c r="I466" s="2"/>
    </row>
    <row r="467" spans="1:16" s="4" customFormat="1" x14ac:dyDescent="0.25">
      <c r="A467" s="103"/>
      <c r="B467" s="69" t="str">
        <f>IF($A467=0,"",VLOOKUP($A467,'BASE M-OBRA'!$A:$D,2))</f>
        <v/>
      </c>
      <c r="C467" s="2"/>
      <c r="D467" s="108"/>
      <c r="E467" s="70" t="str">
        <f>IF($A467=0,"",VLOOKUP($A467,'BASE M-OBRA'!$A:$D,4))</f>
        <v/>
      </c>
      <c r="F467" s="55" t="str">
        <f t="shared" ref="F467:F473" si="42">IF($A467=0,"",ROUND(D467*E467,2))</f>
        <v/>
      </c>
      <c r="G467" s="106" t="str">
        <f>IF($A467=0,"",ROUND(H467/F467,2))</f>
        <v/>
      </c>
      <c r="H467" s="56" t="str">
        <f>IF($A467=0,"",ROUND(SUM(H468:H473)*'BASE M-OBRA'!$D$23,2))</f>
        <v/>
      </c>
      <c r="I467" s="5"/>
    </row>
    <row r="468" spans="1:16" s="4" customFormat="1" x14ac:dyDescent="0.25">
      <c r="A468" s="103"/>
      <c r="B468" s="69" t="str">
        <f>IF($A468=0,"",VLOOKUP($A468,'BASE M-OBRA'!$A:$D,2))</f>
        <v/>
      </c>
      <c r="C468" s="2"/>
      <c r="D468" s="108"/>
      <c r="E468" s="70" t="str">
        <f>IF($A468=0,"",VLOOKUP($A468,'BASE M-OBRA'!$A:$D,4))</f>
        <v/>
      </c>
      <c r="F468" s="55" t="str">
        <f t="shared" si="42"/>
        <v/>
      </c>
      <c r="G468" s="106"/>
      <c r="H468" s="56" t="str">
        <f t="shared" ref="H468:H473" si="43">IF($A468=0,"",ROUND(G468*F468,2))</f>
        <v/>
      </c>
      <c r="I468" s="5"/>
    </row>
    <row r="469" spans="1:16" s="4" customFormat="1" x14ac:dyDescent="0.25">
      <c r="A469" s="103"/>
      <c r="B469" s="69" t="str">
        <f>IF($A469=0,"",VLOOKUP($A469,'BASE M-OBRA'!$A:$D,2))</f>
        <v/>
      </c>
      <c r="C469" s="2"/>
      <c r="D469" s="108"/>
      <c r="E469" s="70" t="str">
        <f>IF($A469=0,"",VLOOKUP($A469,'BASE M-OBRA'!$A:$D,4))</f>
        <v/>
      </c>
      <c r="F469" s="55" t="str">
        <f t="shared" si="42"/>
        <v/>
      </c>
      <c r="G469" s="106"/>
      <c r="H469" s="56" t="str">
        <f t="shared" si="43"/>
        <v/>
      </c>
      <c r="I469" s="5"/>
    </row>
    <row r="470" spans="1:16" s="4" customFormat="1" x14ac:dyDescent="0.25">
      <c r="A470" s="103"/>
      <c r="B470" s="71" t="str">
        <f>IF($A470=0,"",VLOOKUP($A470,'BASE M-OBRA'!$A:$D,2))</f>
        <v/>
      </c>
      <c r="C470" s="2"/>
      <c r="D470" s="108"/>
      <c r="E470" s="70" t="str">
        <f>IF($A470=0,"",VLOOKUP($A470,'BASE M-OBRA'!$A:$D,4))</f>
        <v/>
      </c>
      <c r="F470" s="55" t="str">
        <f t="shared" si="42"/>
        <v/>
      </c>
      <c r="G470" s="106"/>
      <c r="H470" s="56" t="str">
        <f t="shared" si="43"/>
        <v/>
      </c>
      <c r="I470" s="5"/>
    </row>
    <row r="471" spans="1:16" s="4" customFormat="1" x14ac:dyDescent="0.25">
      <c r="A471" s="103"/>
      <c r="B471" s="72" t="str">
        <f>IF($A471=0,"",VLOOKUP($A471,'BASE M-OBRA'!$A:$D,2))</f>
        <v/>
      </c>
      <c r="C471" s="2"/>
      <c r="D471" s="108"/>
      <c r="E471" s="70" t="str">
        <f>IF($A471=0,"",VLOOKUP($A471,'BASE M-OBRA'!$A:$D,4))</f>
        <v/>
      </c>
      <c r="F471" s="55" t="str">
        <f t="shared" si="42"/>
        <v/>
      </c>
      <c r="G471" s="106"/>
      <c r="H471" s="56" t="str">
        <f t="shared" si="43"/>
        <v/>
      </c>
      <c r="I471" s="5"/>
    </row>
    <row r="472" spans="1:16" s="4" customFormat="1" x14ac:dyDescent="0.25">
      <c r="A472" s="103"/>
      <c r="B472" s="38" t="str">
        <f>IF($A472=0,"",VLOOKUP($A472,'BASE M-OBRA'!$A:$D,2))</f>
        <v/>
      </c>
      <c r="C472" s="2"/>
      <c r="D472" s="55"/>
      <c r="E472" s="55" t="str">
        <f>IF($A472=0,"",VLOOKUP($A472,'BASE M-OBRA'!$A:$D,4))</f>
        <v/>
      </c>
      <c r="F472" s="55" t="str">
        <f t="shared" si="42"/>
        <v/>
      </c>
      <c r="G472" s="106"/>
      <c r="H472" s="56" t="str">
        <f t="shared" si="43"/>
        <v/>
      </c>
      <c r="I472" s="5"/>
    </row>
    <row r="473" spans="1:16" s="4" customFormat="1" x14ac:dyDescent="0.25">
      <c r="A473" s="103"/>
      <c r="B473" s="57" t="str">
        <f>IF($A473=0,"",VLOOKUP($A473,'BASE M-OBRA'!$A:$D,2))</f>
        <v/>
      </c>
      <c r="C473" s="58"/>
      <c r="D473" s="59"/>
      <c r="E473" s="59" t="str">
        <f>IF($A473=0,"",VLOOKUP($A473,'BASE M-OBRA'!$A:$D,4))</f>
        <v/>
      </c>
      <c r="F473" s="59" t="str">
        <f t="shared" si="42"/>
        <v/>
      </c>
      <c r="G473" s="107"/>
      <c r="H473" s="60" t="str">
        <f t="shared" si="43"/>
        <v/>
      </c>
      <c r="I473" s="5"/>
    </row>
    <row r="474" spans="1:16" s="4" customFormat="1" x14ac:dyDescent="0.25">
      <c r="A474" s="103"/>
      <c r="B474" s="73" t="s">
        <v>1685</v>
      </c>
      <c r="C474" s="65"/>
      <c r="D474" s="74"/>
      <c r="E474" s="74"/>
      <c r="F474" s="74"/>
      <c r="G474" s="74"/>
      <c r="H474" s="75">
        <f>ROUND(SUM(H466:H473),2)</f>
        <v>0</v>
      </c>
      <c r="I474" s="5"/>
    </row>
    <row r="475" spans="1:16" s="4" customFormat="1" x14ac:dyDescent="0.25">
      <c r="A475" s="103"/>
      <c r="B475" s="38" t="s">
        <v>1684</v>
      </c>
      <c r="C475" s="2"/>
      <c r="D475" s="3"/>
      <c r="E475" s="3"/>
      <c r="F475" s="3"/>
      <c r="G475" s="3"/>
      <c r="H475" s="56"/>
      <c r="I475" s="5"/>
    </row>
    <row r="476" spans="1:16" ht="26.25" customHeight="1" x14ac:dyDescent="0.25">
      <c r="B476" s="64" t="s">
        <v>1409</v>
      </c>
      <c r="C476" s="65"/>
      <c r="D476" s="76"/>
      <c r="E476" s="66" t="s">
        <v>1408</v>
      </c>
      <c r="F476" s="66" t="s">
        <v>1679</v>
      </c>
      <c r="G476" s="66" t="s">
        <v>1683</v>
      </c>
      <c r="H476" s="68" t="s">
        <v>1675</v>
      </c>
      <c r="I476" s="2"/>
    </row>
    <row r="477" spans="1:16" s="4" customFormat="1" x14ac:dyDescent="0.25">
      <c r="A477" s="103">
        <v>14024</v>
      </c>
      <c r="B477" s="37" t="str">
        <f>IF($A477=0,"",VLOOKUP($A477,'BASE MATERIAL'!$A:$D,2))</f>
        <v>PRUEBAS Y ENSAYOS DE COMPACTACION</v>
      </c>
      <c r="C477" s="2"/>
      <c r="D477" s="77"/>
      <c r="E477" s="78" t="str">
        <f>IF($A477=0,"",VLOOKUP($A477,'BASE MATERIAL'!$A:$D,3))</f>
        <v>GLOBAL</v>
      </c>
      <c r="F477" s="55">
        <v>1</v>
      </c>
      <c r="G477" s="55">
        <v>950</v>
      </c>
      <c r="H477" s="56">
        <f t="shared" ref="H477:H491" si="44">IF($A477=0,"",ROUND(F477*G477,2))</f>
        <v>950</v>
      </c>
      <c r="I477" s="5"/>
      <c r="L477" s="5"/>
      <c r="M477" s="5"/>
      <c r="N477" s="160"/>
      <c r="O477" s="5"/>
      <c r="P477" s="5"/>
    </row>
    <row r="478" spans="1:16" s="4" customFormat="1" x14ac:dyDescent="0.25">
      <c r="A478" s="103"/>
      <c r="B478" s="38" t="str">
        <f>IF($A478=0,"",VLOOKUP($A478,'BASE MATERIAL'!$A:$D,2))</f>
        <v/>
      </c>
      <c r="C478" s="2"/>
      <c r="D478" s="77"/>
      <c r="E478" s="78" t="str">
        <f>IF($A478=0,"",VLOOKUP($A478,'BASE MATERIAL'!$A:$D,3))</f>
        <v/>
      </c>
      <c r="F478" s="55"/>
      <c r="G478" s="80" t="str">
        <f>IF($A478=0,"",VLOOKUP($A478,'BASE MATERIAL'!$A:$D,4))</f>
        <v/>
      </c>
      <c r="H478" s="56" t="str">
        <f t="shared" si="44"/>
        <v/>
      </c>
      <c r="I478" s="5"/>
      <c r="L478" s="5"/>
      <c r="M478" s="5"/>
      <c r="N478" s="160"/>
      <c r="O478" s="5"/>
      <c r="P478" s="5"/>
    </row>
    <row r="479" spans="1:16" s="4" customFormat="1" x14ac:dyDescent="0.25">
      <c r="A479" s="103"/>
      <c r="B479" s="38" t="str">
        <f>IF($A479=0,"",VLOOKUP($A479,'BASE MATERIAL'!$A:$D,2))</f>
        <v/>
      </c>
      <c r="C479" s="2"/>
      <c r="D479" s="77"/>
      <c r="E479" s="78" t="str">
        <f>IF($A479=0,"",VLOOKUP($A479,'BASE MATERIAL'!$A:$D,3))</f>
        <v/>
      </c>
      <c r="F479" s="55"/>
      <c r="G479" s="55" t="str">
        <f>IF($A479=0,"",VLOOKUP($A479,'BASE MATERIAL'!$A:$D,4))</f>
        <v/>
      </c>
      <c r="H479" s="56" t="str">
        <f t="shared" si="44"/>
        <v/>
      </c>
      <c r="I479" s="5"/>
      <c r="L479" s="5"/>
      <c r="M479" s="5"/>
      <c r="N479" s="160"/>
      <c r="O479" s="5"/>
      <c r="P479" s="5"/>
    </row>
    <row r="480" spans="1:16" s="4" customFormat="1" x14ac:dyDescent="0.25">
      <c r="A480" s="103"/>
      <c r="B480" s="38" t="str">
        <f>IF($A480=0,"",VLOOKUP($A480,'BASE MATERIAL'!$A:$D,2))</f>
        <v/>
      </c>
      <c r="C480" s="2"/>
      <c r="D480" s="77"/>
      <c r="E480" s="78" t="str">
        <f>IF($A480=0,"",VLOOKUP($A480,'BASE MATERIAL'!$A:$D,3))</f>
        <v/>
      </c>
      <c r="F480" s="55"/>
      <c r="G480" s="55" t="str">
        <f>IF($A480=0,"",VLOOKUP($A480,'BASE MATERIAL'!$A:$D,4))</f>
        <v/>
      </c>
      <c r="H480" s="56" t="str">
        <f t="shared" si="44"/>
        <v/>
      </c>
      <c r="I480" s="5"/>
      <c r="L480" s="5"/>
      <c r="M480" s="5"/>
      <c r="N480" s="160"/>
      <c r="O480" s="5"/>
      <c r="P480" s="5"/>
    </row>
    <row r="481" spans="1:16" ht="14.25" x14ac:dyDescent="0.2">
      <c r="A481" s="4"/>
      <c r="B481" s="161" t="str">
        <f>IF($A481=0,"",VLOOKUP($A481,'BASE MATERIAL'!$A:$D,2))</f>
        <v/>
      </c>
      <c r="C481" s="5"/>
      <c r="D481" s="6"/>
      <c r="E481" s="162" t="str">
        <f>IF($A481=0,"",VLOOKUP($A481,'BASE MATERIAL'!$A:$D,3))</f>
        <v/>
      </c>
      <c r="F481" s="163"/>
      <c r="G481" s="163" t="str">
        <f>IF($A481=0,"",VLOOKUP($A481,'BASE MATERIAL'!$A:$D,4))</f>
        <v/>
      </c>
      <c r="H481" s="164" t="str">
        <f t="shared" si="44"/>
        <v/>
      </c>
      <c r="I481" s="2"/>
      <c r="L481" s="2"/>
      <c r="M481" s="2"/>
      <c r="N481" s="39"/>
      <c r="O481" s="2"/>
      <c r="P481" s="2"/>
    </row>
    <row r="482" spans="1:16" s="4" customFormat="1" ht="14.25" x14ac:dyDescent="0.2">
      <c r="A482" s="1"/>
      <c r="B482" s="38" t="str">
        <f>IF($A482=0,"",VLOOKUP($A482,'BASE MATERIAL'!$A:$D,2))</f>
        <v/>
      </c>
      <c r="C482" s="2"/>
      <c r="D482" s="77"/>
      <c r="E482" s="78" t="str">
        <f>IF($A482=0,"",VLOOKUP($A482,'BASE MATERIAL'!$A:$D,3))</f>
        <v/>
      </c>
      <c r="F482" s="55"/>
      <c r="G482" s="55" t="str">
        <f>IF($A482=0,"",VLOOKUP($A482,'BASE MATERIAL'!$A:$D,4))</f>
        <v/>
      </c>
      <c r="H482" s="56" t="str">
        <f t="shared" si="44"/>
        <v/>
      </c>
      <c r="I482" s="5"/>
      <c r="L482" s="5"/>
      <c r="M482" s="5"/>
      <c r="N482" s="160"/>
      <c r="O482" s="5"/>
      <c r="P482" s="5"/>
    </row>
    <row r="483" spans="1:16" ht="14.25" x14ac:dyDescent="0.2">
      <c r="A483" s="4"/>
      <c r="B483" s="161" t="str">
        <f>IF($A483=0,"",VLOOKUP($A483,'BASE MATERIAL'!$A:$D,2))</f>
        <v/>
      </c>
      <c r="C483" s="5"/>
      <c r="D483" s="6"/>
      <c r="E483" s="162" t="str">
        <f>IF($A483=0,"",VLOOKUP($A483,'BASE MATERIAL'!$A:$D,3))</f>
        <v/>
      </c>
      <c r="F483" s="163"/>
      <c r="G483" s="163" t="str">
        <f>IF($A483=0,"",VLOOKUP($A483,'BASE MATERIAL'!$A:$D,4))</f>
        <v/>
      </c>
      <c r="H483" s="164" t="str">
        <f t="shared" si="44"/>
        <v/>
      </c>
      <c r="I483" s="2"/>
      <c r="L483" s="2"/>
      <c r="M483" s="2"/>
      <c r="N483" s="39"/>
      <c r="O483" s="2"/>
      <c r="P483" s="2"/>
    </row>
    <row r="484" spans="1:16" s="4" customFormat="1" ht="14.25" x14ac:dyDescent="0.2">
      <c r="A484" s="1"/>
      <c r="B484" s="38" t="str">
        <f>IF($A484=0,"",VLOOKUP($A484,'BASE MATERIAL'!$A:$D,2))</f>
        <v/>
      </c>
      <c r="C484" s="2"/>
      <c r="D484" s="77"/>
      <c r="E484" s="78" t="str">
        <f>IF($A484=0,"",VLOOKUP($A484,'BASE MATERIAL'!$A:$D,3))</f>
        <v/>
      </c>
      <c r="F484" s="55"/>
      <c r="G484" s="55" t="str">
        <f>IF($A484=0,"",VLOOKUP($A484,'BASE MATERIAL'!$A:$D,4))</f>
        <v/>
      </c>
      <c r="H484" s="56" t="str">
        <f t="shared" si="44"/>
        <v/>
      </c>
      <c r="I484" s="5"/>
      <c r="L484" s="5"/>
      <c r="M484" s="5"/>
      <c r="N484" s="160"/>
      <c r="O484" s="5"/>
      <c r="P484" s="5"/>
    </row>
    <row r="485" spans="1:16" ht="14.25" x14ac:dyDescent="0.2">
      <c r="A485" s="4"/>
      <c r="B485" s="161" t="str">
        <f>IF($A485=0,"",VLOOKUP($A485,'BASE MATERIAL'!$A:$D,2))</f>
        <v/>
      </c>
      <c r="C485" s="5"/>
      <c r="D485" s="6"/>
      <c r="E485" s="162" t="str">
        <f>IF($A485=0,"",VLOOKUP($A485,'BASE MATERIAL'!$A:$D,3))</f>
        <v/>
      </c>
      <c r="F485" s="163"/>
      <c r="G485" s="163" t="str">
        <f>IF($A485=0,"",VLOOKUP($A485,'BASE MATERIAL'!$A:$D,4))</f>
        <v/>
      </c>
      <c r="H485" s="164" t="str">
        <f t="shared" si="44"/>
        <v/>
      </c>
      <c r="I485" s="2"/>
    </row>
    <row r="486" spans="1:16" s="4" customFormat="1" ht="14.25" x14ac:dyDescent="0.2">
      <c r="A486" s="1"/>
      <c r="B486" s="38" t="str">
        <f>IF($A486=0,"",VLOOKUP($A486,'BASE MATERIAL'!$A:$D,2))</f>
        <v/>
      </c>
      <c r="C486" s="2"/>
      <c r="D486" s="77"/>
      <c r="E486" s="78" t="str">
        <f>IF($A486=0,"",VLOOKUP($A486,'BASE MATERIAL'!$A:$D,3))</f>
        <v/>
      </c>
      <c r="F486" s="55"/>
      <c r="G486" s="55" t="str">
        <f>IF($A486=0,"",VLOOKUP($A486,'BASE MATERIAL'!$A:$D,4))</f>
        <v/>
      </c>
      <c r="H486" s="56" t="str">
        <f t="shared" si="44"/>
        <v/>
      </c>
      <c r="I486" s="5"/>
      <c r="L486" s="5"/>
      <c r="M486" s="5"/>
      <c r="N486" s="160"/>
      <c r="O486" s="5"/>
      <c r="P486" s="5"/>
    </row>
    <row r="487" spans="1:16" ht="14.25" x14ac:dyDescent="0.2">
      <c r="A487" s="4"/>
      <c r="B487" s="161" t="str">
        <f>IF($A487=0,"",VLOOKUP($A487,'BASE MATERIAL'!$A:$D,2))</f>
        <v/>
      </c>
      <c r="C487" s="5"/>
      <c r="D487" s="6"/>
      <c r="E487" s="162" t="str">
        <f>IF($A487=0,"",VLOOKUP($A487,'BASE MATERIAL'!$A:$D,3))</f>
        <v/>
      </c>
      <c r="F487" s="163"/>
      <c r="G487" s="163" t="str">
        <f>IF($A487=0,"",VLOOKUP($A487,'BASE MATERIAL'!$A:$D,4))</f>
        <v/>
      </c>
      <c r="H487" s="164" t="str">
        <f t="shared" si="44"/>
        <v/>
      </c>
      <c r="I487" s="2"/>
      <c r="L487" s="2"/>
      <c r="M487" s="2"/>
      <c r="N487" s="39"/>
      <c r="O487" s="2"/>
      <c r="P487" s="2"/>
    </row>
    <row r="488" spans="1:16" s="4" customFormat="1" ht="14.25" x14ac:dyDescent="0.2">
      <c r="A488" s="1"/>
      <c r="B488" s="38" t="str">
        <f>IF($A488=0,"",VLOOKUP($A488,'BASE MATERIAL'!$A:$D,2))</f>
        <v/>
      </c>
      <c r="C488" s="2"/>
      <c r="D488" s="77"/>
      <c r="E488" s="78" t="str">
        <f>IF($A488=0,"",VLOOKUP($A488,'BASE MATERIAL'!$A:$D,3))</f>
        <v/>
      </c>
      <c r="F488" s="55"/>
      <c r="G488" s="55" t="str">
        <f>IF($A488=0,"",VLOOKUP($A488,'BASE MATERIAL'!$A:$D,4))</f>
        <v/>
      </c>
      <c r="H488" s="56" t="str">
        <f t="shared" si="44"/>
        <v/>
      </c>
      <c r="I488" s="5"/>
    </row>
    <row r="489" spans="1:16" ht="14.25" x14ac:dyDescent="0.2">
      <c r="A489" s="4"/>
      <c r="B489" s="161" t="str">
        <f>IF($A489=0,"",VLOOKUP($A489,'BASE MATERIAL'!$A:$D,2))</f>
        <v/>
      </c>
      <c r="C489" s="5"/>
      <c r="D489" s="6"/>
      <c r="E489" s="162" t="str">
        <f>IF($A489=0,"",VLOOKUP($A489,'BASE MATERIAL'!$A:$D,3))</f>
        <v/>
      </c>
      <c r="F489" s="163"/>
      <c r="G489" s="163" t="str">
        <f>IF($A489=0,"",VLOOKUP($A489,'BASE MATERIAL'!$A:$D,4))</f>
        <v/>
      </c>
      <c r="H489" s="164" t="str">
        <f t="shared" si="44"/>
        <v/>
      </c>
      <c r="I489" s="2"/>
    </row>
    <row r="490" spans="1:16" s="4" customFormat="1" ht="14.25" x14ac:dyDescent="0.2">
      <c r="A490" s="1"/>
      <c r="B490" s="38" t="str">
        <f>IF($A490=0,"",VLOOKUP($A490,'BASE MATERIAL'!$A:$D,2))</f>
        <v/>
      </c>
      <c r="C490" s="2"/>
      <c r="D490" s="77"/>
      <c r="E490" s="78" t="str">
        <f>IF($A490=0,"",VLOOKUP($A490,'BASE MATERIAL'!$A:$D,3))</f>
        <v/>
      </c>
      <c r="F490" s="55"/>
      <c r="G490" s="55" t="str">
        <f>IF($A490=0,"",VLOOKUP($A490,'BASE MATERIAL'!$A:$D,4))</f>
        <v/>
      </c>
      <c r="H490" s="56" t="str">
        <f t="shared" si="44"/>
        <v/>
      </c>
      <c r="I490" s="5"/>
    </row>
    <row r="491" spans="1:16" ht="14.25" x14ac:dyDescent="0.2">
      <c r="A491" s="4"/>
      <c r="B491" s="161" t="str">
        <f>IF($A491=0,"",VLOOKUP($A491,'BASE MATERIAL'!$A:$D,2))</f>
        <v/>
      </c>
      <c r="C491" s="5"/>
      <c r="D491" s="6"/>
      <c r="E491" s="162" t="str">
        <f>IF($A491=0,"",VLOOKUP($A491,'BASE MATERIAL'!$A:$D,3))</f>
        <v/>
      </c>
      <c r="F491" s="163"/>
      <c r="G491" s="163" t="str">
        <f>IF($A491=0,"",VLOOKUP($A491,'BASE MATERIAL'!$A:$D,4))</f>
        <v/>
      </c>
      <c r="H491" s="164" t="str">
        <f t="shared" si="44"/>
        <v/>
      </c>
      <c r="I491" s="2"/>
    </row>
    <row r="492" spans="1:16" s="4" customFormat="1" ht="14.25" x14ac:dyDescent="0.2">
      <c r="A492" s="1"/>
      <c r="B492" s="38" t="str">
        <f>IF($A492=0,"",VLOOKUP($A492,'BASE MATERIAL'!$A:$D,2))</f>
        <v/>
      </c>
      <c r="C492" s="2"/>
      <c r="D492" s="81" t="s">
        <v>1682</v>
      </c>
      <c r="E492" s="55" t="str">
        <f>IF($A492=0,"",VLOOKUP($A492,'BASE MATERIAL'!$A:$D,3))</f>
        <v/>
      </c>
      <c r="F492" s="55" t="s">
        <v>1682</v>
      </c>
      <c r="G492" s="55" t="str">
        <f>IF($A492=0,"",VLOOKUP($A492,'BASE MATERIAL'!$A:$D,4))</f>
        <v/>
      </c>
      <c r="H492" s="56" t="str">
        <f>IF($A492=0,"",ROUND(E492*F492,2))</f>
        <v/>
      </c>
      <c r="I492" s="5"/>
    </row>
    <row r="493" spans="1:16" ht="14.25" x14ac:dyDescent="0.2">
      <c r="A493" s="4"/>
      <c r="B493" s="165" t="s">
        <v>1681</v>
      </c>
      <c r="C493" s="166"/>
      <c r="D493" s="167"/>
      <c r="E493" s="167"/>
      <c r="F493" s="167"/>
      <c r="G493" s="167"/>
      <c r="H493" s="168">
        <f>ROUND(SUM(H476:H492),2)</f>
        <v>950</v>
      </c>
      <c r="I493" s="2"/>
    </row>
    <row r="494" spans="1:16" s="4" customFormat="1" ht="14.25" x14ac:dyDescent="0.2">
      <c r="A494" s="1"/>
      <c r="B494" s="38" t="s">
        <v>1680</v>
      </c>
      <c r="C494" s="2"/>
      <c r="D494" s="3"/>
      <c r="E494" s="3"/>
      <c r="F494" s="3"/>
      <c r="G494" s="3"/>
      <c r="H494" s="56"/>
      <c r="I494" s="5"/>
    </row>
    <row r="495" spans="1:16" s="4" customFormat="1" ht="26.25" customHeight="1" x14ac:dyDescent="0.2">
      <c r="B495" s="169" t="s">
        <v>1409</v>
      </c>
      <c r="C495" s="166"/>
      <c r="D495" s="170"/>
      <c r="E495" s="171" t="s">
        <v>1408</v>
      </c>
      <c r="F495" s="171" t="s">
        <v>1679</v>
      </c>
      <c r="G495" s="171" t="s">
        <v>1676</v>
      </c>
      <c r="H495" s="172" t="s">
        <v>1675</v>
      </c>
      <c r="I495" s="5"/>
    </row>
    <row r="496" spans="1:16" ht="14.25" x14ac:dyDescent="0.2">
      <c r="A496" s="4"/>
      <c r="B496" s="173" t="str">
        <f>IF($A496=0,"",VLOOKUP($A496,'BASE EQUIPO'!$A:$D,2))</f>
        <v/>
      </c>
      <c r="C496" s="174"/>
      <c r="D496" s="175"/>
      <c r="E496" s="162" t="str">
        <f>IF($A496=0,"",VLOOKUP($A496,'BASE EQUIPO'!$A:$D,3))</f>
        <v/>
      </c>
      <c r="F496" s="163"/>
      <c r="G496" s="176" t="str">
        <f>IF($A496=0,"",VLOOKUP($A496,'BASE EQUIPO'!$A:$D,4)*H493)</f>
        <v/>
      </c>
      <c r="H496" s="164" t="str">
        <f>IF($A496=0,"",ROUND(F496*G496,2))</f>
        <v/>
      </c>
      <c r="I496" s="2"/>
    </row>
    <row r="497" spans="1:9" s="4" customFormat="1" x14ac:dyDescent="0.25">
      <c r="A497" s="103"/>
      <c r="B497" s="38" t="str">
        <f>IF($A497=0,"",VLOOKUP($A497,'BASE EQUIPO'!$A:$D,2))</f>
        <v/>
      </c>
      <c r="C497" s="2"/>
      <c r="D497" s="84"/>
      <c r="E497" s="78" t="str">
        <f>IF($A497=0,"",VLOOKUP($A497,'BASE EQUIPO'!$A:$D,3))</f>
        <v/>
      </c>
      <c r="F497" s="55"/>
      <c r="G497" s="55" t="str">
        <f>IF($A497=0,"",VLOOKUP($A497,'BASE EQUIPO'!$A:$D,4)*H494)</f>
        <v/>
      </c>
      <c r="H497" s="56" t="str">
        <f>IF($A497=0,"",ROUND(F497*G497,2))</f>
        <v/>
      </c>
      <c r="I497" s="5"/>
    </row>
    <row r="498" spans="1:9" s="4" customFormat="1" x14ac:dyDescent="0.25">
      <c r="A498" s="103"/>
      <c r="B498" s="57" t="str">
        <f>IF($A498=0,"",VLOOKUP($A498,'BASE EQUIPO'!$A:$D,2))</f>
        <v/>
      </c>
      <c r="C498" s="58"/>
      <c r="D498" s="85"/>
      <c r="E498" s="86" t="str">
        <f>IF($A498=0,"",VLOOKUP($A498,'BASE EQUIPO'!$A:$D,3))</f>
        <v/>
      </c>
      <c r="F498" s="59"/>
      <c r="G498" s="59" t="str">
        <f>IF($A498=0,"",VLOOKUP($A498,'BASE EQUIPO'!$A:$D,4)*H495)</f>
        <v/>
      </c>
      <c r="H498" s="60" t="str">
        <f>IF($A498=0,"",ROUND(F498*G498,2))</f>
        <v/>
      </c>
      <c r="I498" s="5"/>
    </row>
    <row r="499" spans="1:9" s="4" customFormat="1" ht="15.75" thickBot="1" x14ac:dyDescent="0.3">
      <c r="A499" s="103"/>
      <c r="B499" s="87" t="s">
        <v>1674</v>
      </c>
      <c r="C499" s="88"/>
      <c r="D499" s="89"/>
      <c r="E499" s="89"/>
      <c r="F499" s="89"/>
      <c r="G499" s="89"/>
      <c r="H499" s="90">
        <f>ROUND(SUM(H495:H498),2)</f>
        <v>0</v>
      </c>
      <c r="I499" s="5"/>
    </row>
    <row r="500" spans="1:9" s="4" customFormat="1" ht="15.75" x14ac:dyDescent="0.25">
      <c r="A500" s="103"/>
      <c r="B500" s="2"/>
      <c r="C500" s="2"/>
      <c r="D500" s="91" t="s">
        <v>1673</v>
      </c>
      <c r="E500" s="177"/>
      <c r="F500" s="177"/>
      <c r="G500" s="177"/>
      <c r="H500" s="92">
        <f>ROUND(SUM(H499,H493,H474,H464),2)</f>
        <v>950</v>
      </c>
      <c r="I500" s="5"/>
    </row>
    <row r="501" spans="1:9" s="4" customFormat="1" ht="15.75" x14ac:dyDescent="0.25">
      <c r="A501" s="103">
        <v>40002</v>
      </c>
      <c r="B501" s="2"/>
      <c r="C501" s="2"/>
      <c r="D501" s="93" t="s">
        <v>1672</v>
      </c>
      <c r="E501" s="166"/>
      <c r="F501" s="166"/>
      <c r="G501" s="178">
        <f>IF($A501=0,"",VLOOKUP($A501,'BASE MATERIAL'!$M:$P,4))</f>
        <v>0</v>
      </c>
      <c r="H501" s="95">
        <f>IF($A501=0,"",ROUND(G501*H500,2))</f>
        <v>0</v>
      </c>
      <c r="I501" s="5"/>
    </row>
    <row r="502" spans="1:9" s="4" customFormat="1" ht="15.75" x14ac:dyDescent="0.25">
      <c r="A502" s="103">
        <v>40003</v>
      </c>
      <c r="B502" s="2"/>
      <c r="C502" s="2"/>
      <c r="D502" s="93" t="s">
        <v>1671</v>
      </c>
      <c r="E502" s="166"/>
      <c r="F502" s="166"/>
      <c r="G502" s="178">
        <f>IF($A502=0,"",VLOOKUP($A502,'BASE MATERIAL'!$M:$P,4))</f>
        <v>0</v>
      </c>
      <c r="H502" s="95">
        <f>IF($A502=0,"",ROUND(G502*H500,2))</f>
        <v>0</v>
      </c>
      <c r="I502" s="5"/>
    </row>
    <row r="503" spans="1:9" s="4" customFormat="1" ht="15.75" x14ac:dyDescent="0.25">
      <c r="A503" s="103"/>
      <c r="B503" s="2"/>
      <c r="C503" s="2"/>
      <c r="D503" s="93" t="s">
        <v>1670</v>
      </c>
      <c r="E503" s="166"/>
      <c r="F503" s="166"/>
      <c r="G503" s="166"/>
      <c r="H503" s="96">
        <f>ROUND(SUM(H500:H502),2)</f>
        <v>950</v>
      </c>
      <c r="I503" s="5"/>
    </row>
    <row r="504" spans="1:9" s="4" customFormat="1" ht="16.5" thickBot="1" x14ac:dyDescent="0.3">
      <c r="A504" s="103"/>
      <c r="B504" s="25"/>
      <c r="C504" s="5"/>
      <c r="D504" s="97" t="s">
        <v>1650</v>
      </c>
      <c r="E504" s="179"/>
      <c r="F504" s="179"/>
      <c r="G504" s="179"/>
      <c r="H504" s="98">
        <f>ROUND(H503,2)</f>
        <v>950</v>
      </c>
      <c r="I504" s="5"/>
    </row>
  </sheetData>
  <phoneticPr fontId="2" type="noConversion"/>
  <pageMargins left="0.78740157480314965" right="0.78740157480314965" top="0.78740157480314965" bottom="0.78740157480314965" header="0" footer="0"/>
  <pageSetup paperSize="9" scale="85" orientation="portrait" r:id="rId1"/>
  <headerFooter alignWithMargins="0"/>
  <rowBreaks count="3" manualBreakCount="3">
    <brk id="224" max="16383" man="1"/>
    <brk id="280" max="16383" man="1"/>
    <brk id="448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B4F0D-A5C9-4458-877F-CAA384A6040D}">
  <sheetPr codeName="Hoja8"/>
  <dimension ref="A1:P112"/>
  <sheetViews>
    <sheetView workbookViewId="0"/>
  </sheetViews>
  <sheetFormatPr baseColWidth="10" defaultColWidth="11.42578125" defaultRowHeight="15" x14ac:dyDescent="0.25"/>
  <cols>
    <col min="1" max="1" width="7.42578125" style="103" bestFit="1" customWidth="1"/>
    <col min="2" max="2" width="12.140625" style="1" customWidth="1"/>
    <col min="3" max="3" width="26.28515625" style="1" customWidth="1"/>
    <col min="4" max="4" width="10.7109375" style="1" customWidth="1"/>
    <col min="5" max="5" width="12.140625" style="1" customWidth="1"/>
    <col min="6" max="6" width="13.28515625" style="1" customWidth="1"/>
    <col min="7" max="7" width="13.85546875" style="1" customWidth="1"/>
    <col min="8" max="8" width="12.42578125" style="1" customWidth="1"/>
    <col min="9" max="9" width="3.140625" style="1" bestFit="1" customWidth="1"/>
    <col min="10" max="10" width="3.5703125" style="1" customWidth="1"/>
    <col min="11" max="11" width="8.42578125" style="1" customWidth="1"/>
    <col min="12" max="12" width="5.140625" style="1" bestFit="1" customWidth="1"/>
    <col min="13" max="13" width="33.85546875" style="1" bestFit="1" customWidth="1"/>
    <col min="14" max="14" width="6" style="1" bestFit="1" customWidth="1"/>
    <col min="15" max="28" width="8.42578125" style="1" customWidth="1"/>
    <col min="29" max="16384" width="11.42578125" style="1"/>
  </cols>
  <sheetData>
    <row r="1" spans="1:15" ht="15.75" x14ac:dyDescent="0.25">
      <c r="B1" s="34" t="s">
        <v>1701</v>
      </c>
      <c r="C1" s="2"/>
      <c r="D1" s="3" t="str">
        <f>'1.1'!$D$1</f>
        <v>ESPOL</v>
      </c>
      <c r="E1" s="2"/>
      <c r="F1" s="2"/>
      <c r="H1" s="2" t="s">
        <v>108</v>
      </c>
      <c r="I1" s="2"/>
      <c r="L1" s="40">
        <f>A5</f>
        <v>1</v>
      </c>
      <c r="M1" s="1" t="str">
        <f>C6</f>
        <v>Replantillo hormigon simple</v>
      </c>
      <c r="N1" s="2" t="str">
        <f>H5</f>
        <v>m3</v>
      </c>
      <c r="O1" s="2">
        <f>H56</f>
        <v>113.61</v>
      </c>
    </row>
    <row r="2" spans="1:15" ht="15.75" x14ac:dyDescent="0.25">
      <c r="B2" s="34" t="s">
        <v>1700</v>
      </c>
      <c r="C2" s="3">
        <f>'1.1'!$C$2</f>
        <v>0</v>
      </c>
      <c r="D2" s="2"/>
      <c r="E2" s="2"/>
      <c r="F2" s="2"/>
      <c r="G2" s="41" t="s">
        <v>1699</v>
      </c>
      <c r="H2" s="42"/>
      <c r="I2" s="2" t="s">
        <v>1698</v>
      </c>
    </row>
    <row r="3" spans="1:15" ht="15.75" x14ac:dyDescent="0.25">
      <c r="B3" s="34"/>
      <c r="C3" s="3">
        <f>'1.1'!$C$3</f>
        <v>0</v>
      </c>
      <c r="D3" s="2"/>
      <c r="E3" s="2"/>
      <c r="F3" s="2"/>
      <c r="G3" s="2"/>
      <c r="H3" s="2"/>
      <c r="I3" s="2"/>
    </row>
    <row r="4" spans="1:15" ht="15.75" x14ac:dyDescent="0.25">
      <c r="B4" s="34" t="s">
        <v>1697</v>
      </c>
      <c r="C4" s="3"/>
      <c r="D4" s="2"/>
      <c r="E4" s="2"/>
      <c r="F4" s="2"/>
      <c r="G4" s="2"/>
      <c r="H4" s="2"/>
      <c r="I4" s="2"/>
    </row>
    <row r="5" spans="1:15" x14ac:dyDescent="0.25">
      <c r="A5" s="104">
        <v>1</v>
      </c>
      <c r="B5" s="2" t="s">
        <v>1586</v>
      </c>
      <c r="C5" s="36" t="s">
        <v>1565</v>
      </c>
      <c r="D5" s="2"/>
      <c r="G5" s="2" t="s">
        <v>1696</v>
      </c>
      <c r="H5" s="3" t="s">
        <v>1521</v>
      </c>
      <c r="I5" s="2"/>
    </row>
    <row r="6" spans="1:15" x14ac:dyDescent="0.25">
      <c r="B6" s="1" t="s">
        <v>1585</v>
      </c>
      <c r="C6" s="36" t="s">
        <v>109</v>
      </c>
      <c r="D6" s="2"/>
      <c r="E6" s="2"/>
      <c r="F6" s="2"/>
      <c r="G6" s="2"/>
      <c r="H6" s="2"/>
      <c r="I6" s="2"/>
    </row>
    <row r="7" spans="1:15" ht="15.75" thickBot="1" x14ac:dyDescent="0.3">
      <c r="D7" s="2"/>
      <c r="E7" s="2"/>
      <c r="F7" s="2"/>
      <c r="G7" s="2"/>
      <c r="H7" s="2"/>
      <c r="I7" s="2"/>
    </row>
    <row r="8" spans="1:15" ht="15.75" thickBot="1" x14ac:dyDescent="0.3">
      <c r="B8" s="43" t="s">
        <v>1695</v>
      </c>
      <c r="C8" s="44"/>
      <c r="D8" s="44"/>
      <c r="E8" s="44"/>
      <c r="F8" s="44"/>
      <c r="G8" s="44"/>
      <c r="H8" s="45"/>
      <c r="I8" s="2"/>
    </row>
    <row r="9" spans="1:15" ht="25.5" x14ac:dyDescent="0.25">
      <c r="B9" s="46" t="s">
        <v>1409</v>
      </c>
      <c r="C9" s="47"/>
      <c r="D9" s="48" t="s">
        <v>1690</v>
      </c>
      <c r="E9" s="48" t="s">
        <v>1694</v>
      </c>
      <c r="F9" s="48" t="s">
        <v>1693</v>
      </c>
      <c r="G9" s="49" t="s">
        <v>1687</v>
      </c>
      <c r="H9" s="50" t="s">
        <v>1686</v>
      </c>
      <c r="I9" s="2"/>
    </row>
    <row r="10" spans="1:15" x14ac:dyDescent="0.25">
      <c r="A10" s="103">
        <v>19015</v>
      </c>
      <c r="B10" s="51" t="str">
        <f>IF($A10=0,"",VLOOKUP($A10,'BASE EQUIPO'!$A:$D,2))</f>
        <v>HERRAMIENTA MENOR</v>
      </c>
      <c r="C10" s="52"/>
      <c r="D10" s="53">
        <v>1</v>
      </c>
      <c r="E10" s="53">
        <f>IF($A10=0,"",VLOOKUP($A10,'BASE EQUIPO'!$A:$D,4)*H26)</f>
        <v>1.2522</v>
      </c>
      <c r="F10" s="53">
        <f t="shared" ref="F10:F15" si="0">IF($A10=0,"",ROUND(D10*E10,2))</f>
        <v>1.25</v>
      </c>
      <c r="G10" s="105">
        <v>1</v>
      </c>
      <c r="H10" s="54">
        <f t="shared" ref="H10:H15" si="1">IF($A10=0,"",ROUND(G10*F10,2))</f>
        <v>1.25</v>
      </c>
      <c r="I10" s="2"/>
    </row>
    <row r="11" spans="1:15" x14ac:dyDescent="0.25">
      <c r="A11" s="103">
        <v>19003</v>
      </c>
      <c r="B11" s="38" t="str">
        <f>IF($A11=0,"",VLOOKUP($A11,'BASE EQUIPO'!$A:$D,2))</f>
        <v>CONCRETERA</v>
      </c>
      <c r="C11" s="2"/>
      <c r="D11" s="55">
        <v>1</v>
      </c>
      <c r="E11" s="55">
        <f>IF($A11=0,"",VLOOKUP($A11,'BASE EQUIPO'!$A:$D,4))</f>
        <v>3.5</v>
      </c>
      <c r="F11" s="55">
        <f t="shared" si="0"/>
        <v>3.5</v>
      </c>
      <c r="G11" s="106">
        <f>+G20*0.5</f>
        <v>0.77500000000000002</v>
      </c>
      <c r="H11" s="56">
        <f t="shared" si="1"/>
        <v>2.71</v>
      </c>
      <c r="I11" s="2"/>
    </row>
    <row r="12" spans="1:15" x14ac:dyDescent="0.25">
      <c r="B12" s="38" t="str">
        <f>IF($A12=0,"",VLOOKUP($A12,'BASE EQUIPO'!$A:$D,2))</f>
        <v/>
      </c>
      <c r="C12" s="2"/>
      <c r="D12" s="55"/>
      <c r="E12" s="55" t="str">
        <f>IF($A12=0,"",VLOOKUP($A12,'BASE EQUIPO'!$A:$D,4))</f>
        <v/>
      </c>
      <c r="F12" s="55" t="str">
        <f t="shared" si="0"/>
        <v/>
      </c>
      <c r="G12" s="106"/>
      <c r="H12" s="56" t="str">
        <f t="shared" si="1"/>
        <v/>
      </c>
      <c r="I12" s="2"/>
    </row>
    <row r="13" spans="1:15" x14ac:dyDescent="0.25">
      <c r="B13" s="38" t="str">
        <f>IF($A13=0,"",VLOOKUP($A13,'BASE EQUIPO'!$A:$D,2))</f>
        <v/>
      </c>
      <c r="C13" s="2"/>
      <c r="D13" s="55"/>
      <c r="E13" s="55" t="str">
        <f>IF($A13=0,"",VLOOKUP($A13,'BASE EQUIPO'!$A:$D,4))</f>
        <v/>
      </c>
      <c r="F13" s="55" t="str">
        <f t="shared" si="0"/>
        <v/>
      </c>
      <c r="G13" s="106"/>
      <c r="H13" s="56" t="str">
        <f t="shared" si="1"/>
        <v/>
      </c>
      <c r="I13" s="2"/>
    </row>
    <row r="14" spans="1:15" x14ac:dyDescent="0.25">
      <c r="B14" s="38" t="str">
        <f>IF($A14=0,"",VLOOKUP($A14,'BASE EQUIPO'!$A:$D,2))</f>
        <v/>
      </c>
      <c r="C14" s="2"/>
      <c r="D14" s="55"/>
      <c r="E14" s="55" t="str">
        <f>IF($A14=0,"",VLOOKUP($A14,'BASE EQUIPO'!$A:$D,4))</f>
        <v/>
      </c>
      <c r="F14" s="55" t="str">
        <f t="shared" si="0"/>
        <v/>
      </c>
      <c r="G14" s="106"/>
      <c r="H14" s="56" t="str">
        <f t="shared" si="1"/>
        <v/>
      </c>
      <c r="I14" s="2"/>
    </row>
    <row r="15" spans="1:15" x14ac:dyDescent="0.25">
      <c r="B15" s="57" t="str">
        <f>IF($A15=0,"",VLOOKUP($A15,'BASE EQUIPO'!$A:$D,2))</f>
        <v/>
      </c>
      <c r="C15" s="58"/>
      <c r="D15" s="59"/>
      <c r="E15" s="59" t="str">
        <f>IF($A15=0,"",VLOOKUP($A15,'BASE EQUIPO'!$A:$D,4))</f>
        <v/>
      </c>
      <c r="F15" s="59" t="str">
        <f t="shared" si="0"/>
        <v/>
      </c>
      <c r="G15" s="107"/>
      <c r="H15" s="60" t="str">
        <f t="shared" si="1"/>
        <v/>
      </c>
      <c r="I15" s="2"/>
    </row>
    <row r="16" spans="1:15" x14ac:dyDescent="0.25">
      <c r="B16" s="57" t="s">
        <v>1692</v>
      </c>
      <c r="C16" s="58"/>
      <c r="D16" s="61"/>
      <c r="E16" s="61"/>
      <c r="F16" s="61"/>
      <c r="G16" s="62"/>
      <c r="H16" s="60">
        <f>ROUND(SUM(H9:H15),2)</f>
        <v>3.96</v>
      </c>
      <c r="I16" s="2"/>
    </row>
    <row r="17" spans="1:16" x14ac:dyDescent="0.25">
      <c r="B17" s="38" t="s">
        <v>1503</v>
      </c>
      <c r="C17" s="2"/>
      <c r="D17" s="3"/>
      <c r="E17" s="3"/>
      <c r="F17" s="3"/>
      <c r="G17" s="63"/>
      <c r="H17" s="56"/>
      <c r="I17" s="2"/>
    </row>
    <row r="18" spans="1:16" ht="25.5" x14ac:dyDescent="0.25">
      <c r="B18" s="64" t="s">
        <v>1691</v>
      </c>
      <c r="C18" s="65"/>
      <c r="D18" s="66" t="s">
        <v>1690</v>
      </c>
      <c r="E18" s="66" t="s">
        <v>1689</v>
      </c>
      <c r="F18" s="66" t="s">
        <v>1688</v>
      </c>
      <c r="G18" s="67" t="s">
        <v>1687</v>
      </c>
      <c r="H18" s="68" t="s">
        <v>1686</v>
      </c>
      <c r="I18" s="2"/>
    </row>
    <row r="19" spans="1:16" x14ac:dyDescent="0.25">
      <c r="A19" s="103">
        <v>20001</v>
      </c>
      <c r="B19" s="69" t="str">
        <f>IF($A19=0,"",VLOOKUP($A19,'BASE M-OBRA'!$A:$D,2))</f>
        <v>MAESTRO</v>
      </c>
      <c r="C19" s="2"/>
      <c r="D19" s="108">
        <v>1</v>
      </c>
      <c r="E19" s="70">
        <f>IF($A19=0,"",VLOOKUP($A19,'BASE M-OBRA'!$A:$D,4))</f>
        <v>3.02</v>
      </c>
      <c r="F19" s="55">
        <f t="shared" ref="F19:F25" si="2">IF($A19=0,"",ROUND(D19*E19,2))</f>
        <v>3.02</v>
      </c>
      <c r="G19" s="106">
        <f>IF($A19=0,"",ROUND(H19/F19,2))</f>
        <v>2.2999999999999998</v>
      </c>
      <c r="H19" s="56">
        <f>IF($A19=0,"",ROUND(SUM(H20:H25)*'BASE M-OBRA'!$D$23,2))</f>
        <v>6.96</v>
      </c>
      <c r="I19" s="2"/>
    </row>
    <row r="20" spans="1:16" x14ac:dyDescent="0.25">
      <c r="A20" s="103">
        <v>20002</v>
      </c>
      <c r="B20" s="69" t="str">
        <f>IF($A20=0,"",VLOOKUP($A20,'BASE M-OBRA'!$A:$D,2))</f>
        <v>PEON</v>
      </c>
      <c r="C20" s="2"/>
      <c r="D20" s="108">
        <v>4</v>
      </c>
      <c r="E20" s="70">
        <f>IF($A20=0,"",VLOOKUP($A20,'BASE M-OBRA'!$A:$D,4))</f>
        <v>2.79</v>
      </c>
      <c r="F20" s="55">
        <f t="shared" si="2"/>
        <v>11.16</v>
      </c>
      <c r="G20" s="106">
        <v>1.55</v>
      </c>
      <c r="H20" s="56">
        <f t="shared" ref="H20:H25" si="3">IF($A20=0,"",ROUND(G20*F20,2))</f>
        <v>17.3</v>
      </c>
      <c r="I20" s="2"/>
    </row>
    <row r="21" spans="1:16" x14ac:dyDescent="0.25">
      <c r="A21" s="103">
        <v>20003</v>
      </c>
      <c r="B21" s="69" t="str">
        <f>IF($A21=0,"",VLOOKUP($A21,'BASE M-OBRA'!$A:$D,2))</f>
        <v>ALBAÑIL</v>
      </c>
      <c r="C21" s="2"/>
      <c r="D21" s="108">
        <v>2</v>
      </c>
      <c r="E21" s="70">
        <f>IF($A21=0,"",VLOOKUP($A21,'BASE M-OBRA'!$A:$D,4))</f>
        <v>2.82</v>
      </c>
      <c r="F21" s="55">
        <f t="shared" si="2"/>
        <v>5.64</v>
      </c>
      <c r="G21" s="106">
        <f>+G20</f>
        <v>1.55</v>
      </c>
      <c r="H21" s="56">
        <f t="shared" si="3"/>
        <v>8.74</v>
      </c>
      <c r="I21" s="2"/>
    </row>
    <row r="22" spans="1:16" x14ac:dyDescent="0.25">
      <c r="A22" s="103">
        <v>20004</v>
      </c>
      <c r="B22" s="71" t="str">
        <f>IF($A22=0,"",VLOOKUP($A22,'BASE M-OBRA'!$A:$D,2))</f>
        <v>CARPINTERO</v>
      </c>
      <c r="C22" s="2"/>
      <c r="D22" s="108">
        <v>2</v>
      </c>
      <c r="E22" s="70">
        <f>IF($A22=0,"",VLOOKUP($A22,'BASE M-OBRA'!$A:$D,4))</f>
        <v>2.82</v>
      </c>
      <c r="F22" s="55">
        <f t="shared" si="2"/>
        <v>5.64</v>
      </c>
      <c r="G22" s="106">
        <f>+G21</f>
        <v>1.55</v>
      </c>
      <c r="H22" s="56">
        <f t="shared" si="3"/>
        <v>8.74</v>
      </c>
      <c r="I22" s="2"/>
    </row>
    <row r="23" spans="1:16" x14ac:dyDescent="0.25">
      <c r="B23" s="72" t="str">
        <f>IF($A23=0,"",VLOOKUP($A23,'BASE M-OBRA'!$A:$D,2))</f>
        <v/>
      </c>
      <c r="C23" s="2"/>
      <c r="D23" s="108"/>
      <c r="E23" s="70" t="str">
        <f>IF($A23=0,"",VLOOKUP($A23,'BASE M-OBRA'!$A:$D,4))</f>
        <v/>
      </c>
      <c r="F23" s="55" t="str">
        <f t="shared" si="2"/>
        <v/>
      </c>
      <c r="G23" s="106"/>
      <c r="H23" s="56" t="str">
        <f t="shared" si="3"/>
        <v/>
      </c>
      <c r="I23" s="2"/>
    </row>
    <row r="24" spans="1:16" x14ac:dyDescent="0.25">
      <c r="B24" s="38" t="str">
        <f>IF($A24=0,"",VLOOKUP($A24,'BASE M-OBRA'!$A:$D,2))</f>
        <v/>
      </c>
      <c r="C24" s="2"/>
      <c r="D24" s="55"/>
      <c r="E24" s="55" t="str">
        <f>IF($A24=0,"",VLOOKUP($A24,'BASE M-OBRA'!$A:$D,4))</f>
        <v/>
      </c>
      <c r="F24" s="55" t="str">
        <f t="shared" si="2"/>
        <v/>
      </c>
      <c r="G24" s="106"/>
      <c r="H24" s="56" t="str">
        <f t="shared" si="3"/>
        <v/>
      </c>
      <c r="I24" s="2"/>
    </row>
    <row r="25" spans="1:16" x14ac:dyDescent="0.25">
      <c r="B25" s="57" t="str">
        <f>IF($A25=0,"",VLOOKUP($A25,'BASE M-OBRA'!$A:$D,2))</f>
        <v/>
      </c>
      <c r="C25" s="58"/>
      <c r="D25" s="59"/>
      <c r="E25" s="59" t="str">
        <f>IF($A25=0,"",VLOOKUP($A25,'BASE M-OBRA'!$A:$D,4))</f>
        <v/>
      </c>
      <c r="F25" s="59" t="str">
        <f t="shared" si="2"/>
        <v/>
      </c>
      <c r="G25" s="107"/>
      <c r="H25" s="60" t="str">
        <f t="shared" si="3"/>
        <v/>
      </c>
      <c r="I25" s="2"/>
    </row>
    <row r="26" spans="1:16" x14ac:dyDescent="0.25">
      <c r="B26" s="73" t="s">
        <v>1685</v>
      </c>
      <c r="C26" s="65"/>
      <c r="D26" s="74"/>
      <c r="E26" s="74"/>
      <c r="F26" s="74"/>
      <c r="G26" s="74"/>
      <c r="H26" s="75">
        <f>ROUND(SUM(H18:H25),2)</f>
        <v>41.74</v>
      </c>
      <c r="I26" s="2"/>
    </row>
    <row r="27" spans="1:16" x14ac:dyDescent="0.25">
      <c r="B27" s="38" t="s">
        <v>1684</v>
      </c>
      <c r="C27" s="2"/>
      <c r="D27" s="3"/>
      <c r="E27" s="3"/>
      <c r="F27" s="3"/>
      <c r="G27" s="3"/>
      <c r="H27" s="56"/>
      <c r="I27" s="2"/>
    </row>
    <row r="28" spans="1:16" ht="25.5" x14ac:dyDescent="0.25">
      <c r="B28" s="64" t="s">
        <v>1409</v>
      </c>
      <c r="C28" s="65"/>
      <c r="D28" s="76"/>
      <c r="E28" s="66" t="s">
        <v>1408</v>
      </c>
      <c r="F28" s="66" t="s">
        <v>1679</v>
      </c>
      <c r="G28" s="66" t="s">
        <v>1683</v>
      </c>
      <c r="H28" s="68" t="s">
        <v>1675</v>
      </c>
      <c r="I28" s="2"/>
    </row>
    <row r="29" spans="1:16" x14ac:dyDescent="0.25">
      <c r="A29" s="103">
        <v>11010</v>
      </c>
      <c r="B29" s="26" t="str">
        <f>IF($A29=0,"",VLOOKUP($A29,'BASE MATERIAL'!$A:$D,2))</f>
        <v>TIRA</v>
      </c>
      <c r="C29" s="2"/>
      <c r="D29" s="77"/>
      <c r="E29" s="78" t="str">
        <f>IF($A29=0,"",VLOOKUP($A29,'BASE MATERIAL'!$A:$D,3))</f>
        <v>U</v>
      </c>
      <c r="F29" s="55">
        <v>2.25</v>
      </c>
      <c r="G29" s="55">
        <f>IF($A29=0,"",VLOOKUP($A29,'BASE MATERIAL'!$A:$D,4))</f>
        <v>1.5</v>
      </c>
      <c r="H29" s="56">
        <f t="shared" ref="H29:H43" si="4">IF($A29=0,"",ROUND(F29*G29,2))</f>
        <v>3.38</v>
      </c>
      <c r="I29" s="2"/>
      <c r="L29" s="2"/>
      <c r="M29" s="2"/>
      <c r="N29" s="39"/>
      <c r="O29" s="2"/>
      <c r="P29" s="2"/>
    </row>
    <row r="30" spans="1:16" x14ac:dyDescent="0.25">
      <c r="A30" s="103">
        <v>11007</v>
      </c>
      <c r="B30" s="38" t="str">
        <f>IF($A30=0,"",VLOOKUP($A30,'BASE MATERIAL'!$A:$D,2))</f>
        <v>CLAVO 2 1/2"</v>
      </c>
      <c r="C30" s="2"/>
      <c r="D30" s="77"/>
      <c r="E30" s="78" t="str">
        <f>IF($A30=0,"",VLOOKUP($A30,'BASE MATERIAL'!$A:$D,3))</f>
        <v>KG</v>
      </c>
      <c r="F30" s="55">
        <v>0.75</v>
      </c>
      <c r="G30" s="55">
        <f>IF($A30=0,"",VLOOKUP($A30,'BASE MATERIAL'!$A:$D,4))</f>
        <v>2.6520000000000001</v>
      </c>
      <c r="H30" s="56">
        <f t="shared" si="4"/>
        <v>1.99</v>
      </c>
      <c r="I30" s="2"/>
      <c r="L30" s="2"/>
      <c r="M30" s="2"/>
      <c r="N30" s="39"/>
      <c r="O30" s="2"/>
      <c r="P30" s="2"/>
    </row>
    <row r="31" spans="1:16" x14ac:dyDescent="0.25">
      <c r="A31" s="103">
        <v>4001</v>
      </c>
      <c r="B31" s="38" t="str">
        <f>IF($A31=0,"",VLOOKUP($A31,'BASE MATERIAL'!$A:$D,2))</f>
        <v>CEMENTO</v>
      </c>
      <c r="C31" s="2"/>
      <c r="D31" s="77"/>
      <c r="E31" s="78" t="str">
        <f>IF($A31=0,"",VLOOKUP($A31,'BASE MATERIAL'!$A:$D,3))</f>
        <v>SACO</v>
      </c>
      <c r="F31" s="55">
        <v>6</v>
      </c>
      <c r="G31" s="55">
        <f>IF($A31=0,"",VLOOKUP($A31,'BASE MATERIAL'!$A:$D,4))</f>
        <v>7.09</v>
      </c>
      <c r="H31" s="56">
        <f t="shared" si="4"/>
        <v>42.54</v>
      </c>
      <c r="I31" s="2"/>
      <c r="L31" s="2"/>
      <c r="M31" s="2"/>
      <c r="N31" s="39"/>
      <c r="O31" s="2"/>
      <c r="P31" s="2"/>
    </row>
    <row r="32" spans="1:16" x14ac:dyDescent="0.25">
      <c r="A32" s="103">
        <v>5004</v>
      </c>
      <c r="B32" s="38" t="str">
        <f>IF($A32=0,"",VLOOKUP($A32,'BASE MATERIAL'!$A:$D,2))</f>
        <v>ARENA</v>
      </c>
      <c r="C32" s="2"/>
      <c r="D32" s="77"/>
      <c r="E32" s="78" t="str">
        <f>IF($A32=0,"",VLOOKUP($A32,'BASE MATERIAL'!$A:$D,3))</f>
        <v>M3</v>
      </c>
      <c r="F32" s="55">
        <f>ROUND(F31*0.032*3,2)</f>
        <v>0.57999999999999996</v>
      </c>
      <c r="G32" s="55">
        <f>IF($A32=0,"",VLOOKUP($A32,'BASE MATERIAL'!$A:$D,4))</f>
        <v>12.276249999999999</v>
      </c>
      <c r="H32" s="56">
        <f t="shared" si="4"/>
        <v>7.12</v>
      </c>
      <c r="I32" s="2"/>
      <c r="L32" s="2"/>
      <c r="M32" s="2"/>
      <c r="N32" s="39"/>
      <c r="O32" s="2"/>
      <c r="P32" s="2"/>
    </row>
    <row r="33" spans="1:16" x14ac:dyDescent="0.25">
      <c r="A33" s="103">
        <v>5002</v>
      </c>
      <c r="B33" s="38" t="str">
        <f>IF($A33=0,"",VLOOKUP($A33,'BASE MATERIAL'!$A:$D,2))</f>
        <v>PIEDRA 3-4</v>
      </c>
      <c r="C33" s="2"/>
      <c r="D33" s="77"/>
      <c r="E33" s="78" t="str">
        <f>IF($A33=0,"",VLOOKUP($A33,'BASE MATERIAL'!$A:$D,3))</f>
        <v>M3</v>
      </c>
      <c r="F33" s="55">
        <f>ROUND(F31*0.032*4,2)</f>
        <v>0.77</v>
      </c>
      <c r="G33" s="55">
        <f>IF($A33=0,"",VLOOKUP($A33,'BASE MATERIAL'!$A:$D,4))</f>
        <v>13.75</v>
      </c>
      <c r="H33" s="56">
        <f t="shared" si="4"/>
        <v>10.59</v>
      </c>
      <c r="I33" s="2"/>
      <c r="L33" s="2"/>
      <c r="M33" s="2"/>
      <c r="N33" s="39"/>
      <c r="O33" s="2"/>
      <c r="P33" s="2"/>
    </row>
    <row r="34" spans="1:16" x14ac:dyDescent="0.25">
      <c r="A34" s="103">
        <v>5005</v>
      </c>
      <c r="B34" s="38" t="str">
        <f>IF($A34=0,"",VLOOKUP($A34,'BASE MATERIAL'!$A:$D,2))</f>
        <v>AGUA</v>
      </c>
      <c r="C34" s="2"/>
      <c r="D34" s="77"/>
      <c r="E34" s="78" t="str">
        <f>IF($A34=0,"",VLOOKUP($A34,'BASE MATERIAL'!$A:$D,3))</f>
        <v>LT</v>
      </c>
      <c r="F34" s="55">
        <f>26*F31</f>
        <v>156</v>
      </c>
      <c r="G34" s="80">
        <f>IF($A34=0,"",VLOOKUP($A34,'BASE MATERIAL'!$A:$D,4))</f>
        <v>2E-3</v>
      </c>
      <c r="H34" s="56">
        <f t="shared" si="4"/>
        <v>0.31</v>
      </c>
      <c r="I34" s="2"/>
      <c r="L34" s="2"/>
      <c r="M34" s="2"/>
      <c r="N34" s="39"/>
      <c r="O34" s="2"/>
      <c r="P34" s="2"/>
    </row>
    <row r="35" spans="1:16" x14ac:dyDescent="0.25">
      <c r="B35" s="38" t="str">
        <f>IF($A35=0,"",VLOOKUP($A35,'BASE MATERIAL'!$A:$D,2))</f>
        <v/>
      </c>
      <c r="C35" s="2"/>
      <c r="D35" s="77"/>
      <c r="E35" s="78" t="str">
        <f>IF($A35=0,"",VLOOKUP($A35,'BASE MATERIAL'!$A:$D,3))</f>
        <v/>
      </c>
      <c r="F35" s="55"/>
      <c r="G35" s="55" t="str">
        <f>IF($A35=0,"",VLOOKUP($A35,'BASE MATERIAL'!$A:$D,4))</f>
        <v/>
      </c>
      <c r="H35" s="56" t="str">
        <f t="shared" si="4"/>
        <v/>
      </c>
      <c r="I35" s="2"/>
      <c r="L35" s="2"/>
      <c r="M35" s="2"/>
      <c r="N35" s="39"/>
      <c r="O35" s="2"/>
      <c r="P35" s="2"/>
    </row>
    <row r="36" spans="1:16" x14ac:dyDescent="0.25">
      <c r="B36" s="38" t="str">
        <f>IF($A36=0,"",VLOOKUP($A36,'BASE MATERIAL'!$A:$D,2))</f>
        <v/>
      </c>
      <c r="C36" s="2"/>
      <c r="D36" s="77"/>
      <c r="E36" s="78" t="str">
        <f>IF($A36=0,"",VLOOKUP($A36,'BASE MATERIAL'!$A:$D,3))</f>
        <v/>
      </c>
      <c r="F36" s="55"/>
      <c r="G36" s="55" t="str">
        <f>IF($A36=0,"",VLOOKUP($A36,'BASE MATERIAL'!$A:$D,4))</f>
        <v/>
      </c>
      <c r="H36" s="56" t="str">
        <f t="shared" si="4"/>
        <v/>
      </c>
      <c r="I36" s="2"/>
      <c r="L36" s="2"/>
      <c r="M36" s="2"/>
      <c r="N36" s="39"/>
      <c r="O36" s="2"/>
      <c r="P36" s="2"/>
    </row>
    <row r="37" spans="1:16" x14ac:dyDescent="0.25">
      <c r="B37" s="38" t="str">
        <f>IF($A37=0,"",VLOOKUP($A37,'BASE MATERIAL'!$A:$D,2))</f>
        <v/>
      </c>
      <c r="C37" s="2"/>
      <c r="D37" s="77"/>
      <c r="E37" s="78" t="str">
        <f>IF($A37=0,"",VLOOKUP($A37,'BASE MATERIAL'!$A:$D,3))</f>
        <v/>
      </c>
      <c r="F37" s="55"/>
      <c r="G37" s="55" t="str">
        <f>IF($A37=0,"",VLOOKUP($A37,'BASE MATERIAL'!$A:$D,4))</f>
        <v/>
      </c>
      <c r="H37" s="56" t="str">
        <f t="shared" si="4"/>
        <v/>
      </c>
      <c r="I37" s="2"/>
    </row>
    <row r="38" spans="1:16" x14ac:dyDescent="0.25">
      <c r="B38" s="38" t="str">
        <f>IF($A38=0,"",VLOOKUP($A38,'BASE MATERIAL'!$A:$D,2))</f>
        <v/>
      </c>
      <c r="C38" s="2"/>
      <c r="D38" s="77"/>
      <c r="E38" s="78" t="str">
        <f>IF($A38=0,"",VLOOKUP($A38,'BASE MATERIAL'!$A:$D,3))</f>
        <v/>
      </c>
      <c r="F38" s="55"/>
      <c r="G38" s="55" t="str">
        <f>IF($A38=0,"",VLOOKUP($A38,'BASE MATERIAL'!$A:$D,4))</f>
        <v/>
      </c>
      <c r="H38" s="56" t="str">
        <f t="shared" si="4"/>
        <v/>
      </c>
      <c r="I38" s="2"/>
      <c r="L38" s="2"/>
      <c r="M38" s="2"/>
      <c r="N38" s="39"/>
      <c r="O38" s="2"/>
      <c r="P38" s="2"/>
    </row>
    <row r="39" spans="1:16" x14ac:dyDescent="0.25">
      <c r="B39" s="38" t="str">
        <f>IF($A39=0,"",VLOOKUP($A39,'BASE MATERIAL'!$A:$D,2))</f>
        <v/>
      </c>
      <c r="C39" s="2"/>
      <c r="D39" s="77"/>
      <c r="E39" s="78" t="str">
        <f>IF($A39=0,"",VLOOKUP($A39,'BASE MATERIAL'!$A:$D,3))</f>
        <v/>
      </c>
      <c r="F39" s="55"/>
      <c r="G39" s="55" t="str">
        <f>IF($A39=0,"",VLOOKUP($A39,'BASE MATERIAL'!$A:$D,4))</f>
        <v/>
      </c>
      <c r="H39" s="56" t="str">
        <f t="shared" si="4"/>
        <v/>
      </c>
      <c r="I39" s="2"/>
      <c r="L39" s="2"/>
      <c r="M39" s="2"/>
      <c r="N39" s="39"/>
      <c r="O39" s="2"/>
      <c r="P39" s="2"/>
    </row>
    <row r="40" spans="1:16" x14ac:dyDescent="0.25">
      <c r="B40" s="38" t="str">
        <f>IF($A40=0,"",VLOOKUP($A40,'BASE MATERIAL'!$A:$D,2))</f>
        <v/>
      </c>
      <c r="C40" s="2"/>
      <c r="D40" s="77"/>
      <c r="E40" s="78" t="str">
        <f>IF($A40=0,"",VLOOKUP($A40,'BASE MATERIAL'!$A:$D,3))</f>
        <v/>
      </c>
      <c r="F40" s="55"/>
      <c r="G40" s="55" t="str">
        <f>IF($A40=0,"",VLOOKUP($A40,'BASE MATERIAL'!$A:$D,4))</f>
        <v/>
      </c>
      <c r="H40" s="56" t="str">
        <f t="shared" si="4"/>
        <v/>
      </c>
      <c r="I40" s="2"/>
    </row>
    <row r="41" spans="1:16" x14ac:dyDescent="0.25">
      <c r="B41" s="38" t="str">
        <f>IF($A41=0,"",VLOOKUP($A41,'BASE MATERIAL'!$A:$D,2))</f>
        <v/>
      </c>
      <c r="C41" s="2"/>
      <c r="D41" s="77"/>
      <c r="E41" s="78" t="str">
        <f>IF($A41=0,"",VLOOKUP($A41,'BASE MATERIAL'!$A:$D,3))</f>
        <v/>
      </c>
      <c r="F41" s="55"/>
      <c r="G41" s="55" t="str">
        <f>IF($A41=0,"",VLOOKUP($A41,'BASE MATERIAL'!$A:$D,4))</f>
        <v/>
      </c>
      <c r="H41" s="56" t="str">
        <f t="shared" si="4"/>
        <v/>
      </c>
      <c r="I41" s="2"/>
    </row>
    <row r="42" spans="1:16" x14ac:dyDescent="0.25">
      <c r="B42" s="38" t="str">
        <f>IF($A42=0,"",VLOOKUP($A42,'BASE MATERIAL'!$A:$D,2))</f>
        <v/>
      </c>
      <c r="C42" s="2"/>
      <c r="D42" s="77"/>
      <c r="E42" s="78" t="str">
        <f>IF($A42=0,"",VLOOKUP($A42,'BASE MATERIAL'!$A:$D,3))</f>
        <v/>
      </c>
      <c r="F42" s="55"/>
      <c r="G42" s="55" t="str">
        <f>IF($A42=0,"",VLOOKUP($A42,'BASE MATERIAL'!$A:$D,4))</f>
        <v/>
      </c>
      <c r="H42" s="56" t="str">
        <f t="shared" si="4"/>
        <v/>
      </c>
      <c r="I42" s="2"/>
    </row>
    <row r="43" spans="1:16" x14ac:dyDescent="0.25">
      <c r="B43" s="38" t="str">
        <f>IF($A43=0,"",VLOOKUP($A43,'BASE MATERIAL'!$A:$D,2))</f>
        <v/>
      </c>
      <c r="C43" s="2"/>
      <c r="D43" s="77"/>
      <c r="E43" s="78" t="str">
        <f>IF($A43=0,"",VLOOKUP($A43,'BASE MATERIAL'!$A:$D,3))</f>
        <v/>
      </c>
      <c r="F43" s="55"/>
      <c r="G43" s="55" t="str">
        <f>IF($A43=0,"",VLOOKUP($A43,'BASE MATERIAL'!$A:$D,4))</f>
        <v/>
      </c>
      <c r="H43" s="56" t="str">
        <f t="shared" si="4"/>
        <v/>
      </c>
      <c r="I43" s="2"/>
    </row>
    <row r="44" spans="1:16" x14ac:dyDescent="0.25">
      <c r="B44" s="38" t="str">
        <f>IF($A44=0,"",VLOOKUP($A44,'BASE MATERIAL'!$A:$D,2))</f>
        <v/>
      </c>
      <c r="C44" s="2"/>
      <c r="D44" s="81" t="s">
        <v>1682</v>
      </c>
      <c r="E44" s="55" t="str">
        <f>IF($A44=0,"",VLOOKUP($A44,'BASE MATERIAL'!$A:$D,3))</f>
        <v/>
      </c>
      <c r="F44" s="55" t="s">
        <v>1682</v>
      </c>
      <c r="G44" s="55" t="str">
        <f>IF($A44=0,"",VLOOKUP($A44,'BASE MATERIAL'!$A:$D,4))</f>
        <v/>
      </c>
      <c r="H44" s="56" t="str">
        <f>IF($A44=0,"",ROUND(E44*F44,2))</f>
        <v/>
      </c>
      <c r="I44" s="2"/>
    </row>
    <row r="45" spans="1:16" x14ac:dyDescent="0.25">
      <c r="B45" s="73" t="s">
        <v>1681</v>
      </c>
      <c r="C45" s="65"/>
      <c r="D45" s="74"/>
      <c r="E45" s="74"/>
      <c r="F45" s="74"/>
      <c r="G45" s="74"/>
      <c r="H45" s="75">
        <f>ROUND(SUM(H28:H44),2)</f>
        <v>65.930000000000007</v>
      </c>
      <c r="I45" s="2"/>
    </row>
    <row r="46" spans="1:16" x14ac:dyDescent="0.25">
      <c r="B46" s="38" t="s">
        <v>1680</v>
      </c>
      <c r="C46" s="2"/>
      <c r="D46" s="3"/>
      <c r="E46" s="3"/>
      <c r="F46" s="3"/>
      <c r="G46" s="3"/>
      <c r="H46" s="56"/>
      <c r="I46" s="2"/>
    </row>
    <row r="47" spans="1:16" ht="25.5" x14ac:dyDescent="0.25">
      <c r="B47" s="64" t="s">
        <v>1409</v>
      </c>
      <c r="C47" s="65"/>
      <c r="D47" s="76"/>
      <c r="E47" s="66" t="s">
        <v>1408</v>
      </c>
      <c r="F47" s="66" t="s">
        <v>1679</v>
      </c>
      <c r="G47" s="66" t="s">
        <v>1676</v>
      </c>
      <c r="H47" s="68" t="s">
        <v>1675</v>
      </c>
      <c r="I47" s="2"/>
    </row>
    <row r="48" spans="1:16" x14ac:dyDescent="0.25">
      <c r="A48" s="103">
        <v>19019</v>
      </c>
      <c r="B48" s="51" t="str">
        <f>IF($A48=0,"",VLOOKUP($A48,'BASE EQUIPO'!$A:$D,2))</f>
        <v>TRANSPORTE DE MATERIAL</v>
      </c>
      <c r="C48" s="52"/>
      <c r="D48" s="82"/>
      <c r="E48" s="78" t="str">
        <f>IF($A48=0,"",VLOOKUP($A48,'BASE EQUIPO'!$A:$D,3))</f>
        <v>GLOBAL</v>
      </c>
      <c r="F48" s="55">
        <v>1</v>
      </c>
      <c r="G48" s="83">
        <f>IF($A48=0,"",VLOOKUP($A48,'BASE EQUIPO'!$A:$D,4)*H45)</f>
        <v>1.9779000000000002</v>
      </c>
      <c r="H48" s="56">
        <f>IF($A48=0,"",ROUND(F48*G48,2))</f>
        <v>1.98</v>
      </c>
      <c r="I48" s="2"/>
    </row>
    <row r="49" spans="1:15" x14ac:dyDescent="0.25">
      <c r="B49" s="38" t="str">
        <f>IF($A49=0,"",VLOOKUP($A49,'BASE EQUIPO'!$A:$D,2))</f>
        <v/>
      </c>
      <c r="C49" s="2"/>
      <c r="D49" s="84"/>
      <c r="E49" s="78" t="str">
        <f>IF($A49=0,"",VLOOKUP($A49,'BASE EQUIPO'!$A:$D,3))</f>
        <v/>
      </c>
      <c r="F49" s="55"/>
      <c r="G49" s="55" t="str">
        <f>IF($A49=0,"",VLOOKUP($A49,'BASE EQUIPO'!$A:$D,4)*H46)</f>
        <v/>
      </c>
      <c r="H49" s="56" t="str">
        <f>IF($A49=0,"",ROUND(F49*G49,2))</f>
        <v/>
      </c>
      <c r="I49" s="2"/>
    </row>
    <row r="50" spans="1:15" x14ac:dyDescent="0.25">
      <c r="B50" s="57" t="str">
        <f>IF($A50=0,"",VLOOKUP($A50,'BASE EQUIPO'!$A:$D,2))</f>
        <v/>
      </c>
      <c r="C50" s="58"/>
      <c r="D50" s="85"/>
      <c r="E50" s="86" t="str">
        <f>IF($A50=0,"",VLOOKUP($A50,'BASE EQUIPO'!$A:$D,3))</f>
        <v/>
      </c>
      <c r="F50" s="59"/>
      <c r="G50" s="59" t="str">
        <f>IF($A50=0,"",VLOOKUP($A50,'BASE EQUIPO'!$A:$D,4)*H47)</f>
        <v/>
      </c>
      <c r="H50" s="60" t="str">
        <f>IF($A50=0,"",ROUND(F50*G50,2))</f>
        <v/>
      </c>
      <c r="I50" s="2"/>
    </row>
    <row r="51" spans="1:15" ht="15.75" thickBot="1" x14ac:dyDescent="0.3">
      <c r="B51" s="87" t="s">
        <v>1674</v>
      </c>
      <c r="C51" s="88"/>
      <c r="D51" s="89"/>
      <c r="E51" s="89"/>
      <c r="F51" s="89"/>
      <c r="G51" s="89"/>
      <c r="H51" s="90">
        <f>ROUND(SUM(H47:H50),2)</f>
        <v>1.98</v>
      </c>
      <c r="I51" s="2"/>
    </row>
    <row r="52" spans="1:15" ht="15.75" x14ac:dyDescent="0.25">
      <c r="B52" s="2"/>
      <c r="C52" s="2"/>
      <c r="D52" s="91" t="s">
        <v>1673</v>
      </c>
      <c r="E52" s="47"/>
      <c r="F52" s="47"/>
      <c r="G52" s="47"/>
      <c r="H52" s="92">
        <f>ROUND(SUM(H51,H45,H26,H16),2)</f>
        <v>113.61</v>
      </c>
      <c r="I52" s="2"/>
    </row>
    <row r="53" spans="1:15" ht="15.75" x14ac:dyDescent="0.25">
      <c r="A53" s="103">
        <v>40002</v>
      </c>
      <c r="B53" s="2"/>
      <c r="C53" s="2"/>
      <c r="D53" s="93" t="s">
        <v>1672</v>
      </c>
      <c r="E53" s="65"/>
      <c r="F53" s="65"/>
      <c r="G53" s="94">
        <f>IF($A53=0,"",VLOOKUP($A53,'BASE MATERIAL'!$M:$P,4))</f>
        <v>0</v>
      </c>
      <c r="H53" s="95">
        <f>IF($A53=0,"",ROUND(G53*H52,2))</f>
        <v>0</v>
      </c>
      <c r="I53" s="2"/>
    </row>
    <row r="54" spans="1:15" ht="15.75" x14ac:dyDescent="0.25">
      <c r="A54" s="103">
        <v>40003</v>
      </c>
      <c r="B54" s="2"/>
      <c r="C54" s="2"/>
      <c r="D54" s="93" t="s">
        <v>1671</v>
      </c>
      <c r="E54" s="65"/>
      <c r="F54" s="65"/>
      <c r="G54" s="94">
        <f>IF($A54=0,"",VLOOKUP($A54,'BASE MATERIAL'!$M:$P,4))</f>
        <v>0</v>
      </c>
      <c r="H54" s="95">
        <f>IF($A54=0,"",ROUND(G54*H52,2))</f>
        <v>0</v>
      </c>
      <c r="I54" s="2"/>
    </row>
    <row r="55" spans="1:15" ht="15.75" x14ac:dyDescent="0.25">
      <c r="B55" s="2"/>
      <c r="C55" s="2"/>
      <c r="D55" s="93" t="s">
        <v>1670</v>
      </c>
      <c r="E55" s="65"/>
      <c r="F55" s="65"/>
      <c r="G55" s="65"/>
      <c r="H55" s="96">
        <f>ROUND(SUM(H52:H54),2)</f>
        <v>113.61</v>
      </c>
      <c r="I55" s="2"/>
    </row>
    <row r="56" spans="1:15" ht="16.5" thickBot="1" x14ac:dyDescent="0.3">
      <c r="B56" s="25"/>
      <c r="C56" s="2"/>
      <c r="D56" s="97" t="s">
        <v>1650</v>
      </c>
      <c r="E56" s="88"/>
      <c r="F56" s="88"/>
      <c r="G56" s="88"/>
      <c r="H56" s="98">
        <f>ROUND(H55,2)</f>
        <v>113.61</v>
      </c>
      <c r="I56" s="2"/>
    </row>
    <row r="57" spans="1:15" ht="15.75" x14ac:dyDescent="0.25">
      <c r="B57" s="34" t="s">
        <v>1701</v>
      </c>
      <c r="C57" s="2"/>
      <c r="D57" s="3" t="str">
        <f>$D$1</f>
        <v>ESPOL</v>
      </c>
      <c r="E57" s="2"/>
      <c r="F57" s="2"/>
      <c r="H57" s="2" t="s">
        <v>108</v>
      </c>
      <c r="I57" s="2"/>
      <c r="L57" s="40">
        <f>A61</f>
        <v>2</v>
      </c>
      <c r="M57" s="1" t="str">
        <f>C62</f>
        <v>Muros de h. ciclopeo en estructuras</v>
      </c>
      <c r="N57" s="2" t="str">
        <f>H61</f>
        <v>m3</v>
      </c>
      <c r="O57" s="2">
        <f>H112</f>
        <v>141.35</v>
      </c>
    </row>
    <row r="58" spans="1:15" ht="15.75" x14ac:dyDescent="0.25">
      <c r="B58" s="34" t="s">
        <v>1700</v>
      </c>
      <c r="C58" s="3">
        <f>'1.1'!$C$2</f>
        <v>0</v>
      </c>
      <c r="D58" s="2"/>
      <c r="E58" s="2"/>
      <c r="F58" s="2"/>
      <c r="G58" s="41" t="s">
        <v>1699</v>
      </c>
      <c r="H58" s="42"/>
      <c r="I58" s="2" t="s">
        <v>1698</v>
      </c>
    </row>
    <row r="59" spans="1:15" ht="15.75" x14ac:dyDescent="0.25">
      <c r="B59" s="34"/>
      <c r="C59" s="3">
        <f>'1.1'!$C$3</f>
        <v>0</v>
      </c>
      <c r="D59" s="2"/>
      <c r="E59" s="2"/>
      <c r="F59" s="2"/>
      <c r="G59" s="2"/>
      <c r="H59" s="2"/>
      <c r="I59" s="2"/>
    </row>
    <row r="60" spans="1:15" ht="15.75" x14ac:dyDescent="0.25">
      <c r="B60" s="34" t="s">
        <v>1697</v>
      </c>
      <c r="C60" s="3"/>
      <c r="D60" s="2"/>
      <c r="E60" s="2"/>
      <c r="F60" s="2"/>
      <c r="G60" s="2"/>
      <c r="H60" s="2"/>
      <c r="I60" s="2"/>
    </row>
    <row r="61" spans="1:15" x14ac:dyDescent="0.25">
      <c r="A61" s="104">
        <v>2</v>
      </c>
      <c r="B61" s="2" t="s">
        <v>1586</v>
      </c>
      <c r="C61" s="36" t="s">
        <v>1564</v>
      </c>
      <c r="D61" s="2"/>
      <c r="G61" s="2" t="s">
        <v>1696</v>
      </c>
      <c r="H61" s="3" t="s">
        <v>1521</v>
      </c>
      <c r="I61" s="2"/>
    </row>
    <row r="62" spans="1:15" x14ac:dyDescent="0.25">
      <c r="B62" s="1" t="s">
        <v>1585</v>
      </c>
      <c r="C62" s="36" t="s">
        <v>586</v>
      </c>
      <c r="D62" s="2"/>
      <c r="E62" s="2"/>
      <c r="F62" s="2"/>
      <c r="G62" s="2"/>
      <c r="H62" s="2"/>
      <c r="I62" s="2"/>
    </row>
    <row r="63" spans="1:15" ht="15.75" thickBot="1" x14ac:dyDescent="0.3">
      <c r="D63" s="2"/>
      <c r="E63" s="2"/>
      <c r="F63" s="2"/>
      <c r="G63" s="2"/>
      <c r="H63" s="2"/>
      <c r="I63" s="2"/>
    </row>
    <row r="64" spans="1:15" ht="15.75" thickBot="1" x14ac:dyDescent="0.3">
      <c r="B64" s="43" t="s">
        <v>1695</v>
      </c>
      <c r="C64" s="44"/>
      <c r="D64" s="44"/>
      <c r="E64" s="44"/>
      <c r="F64" s="44"/>
      <c r="G64" s="44"/>
      <c r="H64" s="45"/>
      <c r="I64" s="2"/>
    </row>
    <row r="65" spans="1:9" ht="25.5" x14ac:dyDescent="0.25">
      <c r="B65" s="46" t="s">
        <v>1409</v>
      </c>
      <c r="C65" s="47"/>
      <c r="D65" s="48" t="s">
        <v>1690</v>
      </c>
      <c r="E65" s="48" t="s">
        <v>1694</v>
      </c>
      <c r="F65" s="48" t="s">
        <v>1693</v>
      </c>
      <c r="G65" s="49" t="s">
        <v>1687</v>
      </c>
      <c r="H65" s="50" t="s">
        <v>1686</v>
      </c>
      <c r="I65" s="2"/>
    </row>
    <row r="66" spans="1:9" x14ac:dyDescent="0.25">
      <c r="A66" s="103">
        <v>19015</v>
      </c>
      <c r="B66" s="51" t="str">
        <f>IF($A66=0,"",VLOOKUP($A66,'BASE EQUIPO'!$A:$D,2))</f>
        <v>HERRAMIENTA MENOR</v>
      </c>
      <c r="C66" s="52"/>
      <c r="D66" s="53">
        <v>1</v>
      </c>
      <c r="E66" s="53">
        <f>IF($A66=0,"",VLOOKUP($A66,'BASE EQUIPO'!$A:$D,4)*H82)-0.06</f>
        <v>1.5575999999999999</v>
      </c>
      <c r="F66" s="53">
        <f t="shared" ref="F66:F71" si="5">IF($A66=0,"",ROUND(D66*E66,2))</f>
        <v>1.56</v>
      </c>
      <c r="G66" s="105">
        <v>1</v>
      </c>
      <c r="H66" s="54">
        <f t="shared" ref="H66:H71" si="6">IF($A66=0,"",ROUND(G66*F66,2))</f>
        <v>1.56</v>
      </c>
      <c r="I66" s="2"/>
    </row>
    <row r="67" spans="1:9" x14ac:dyDescent="0.25">
      <c r="A67" s="103">
        <v>19003</v>
      </c>
      <c r="B67" s="38" t="str">
        <f>IF($A67=0,"",VLOOKUP($A67,'BASE EQUIPO'!$A:$D,2))</f>
        <v>CONCRETERA</v>
      </c>
      <c r="C67" s="2"/>
      <c r="D67" s="55">
        <v>1</v>
      </c>
      <c r="E67" s="55">
        <f>IF($A67=0,"",VLOOKUP($A67,'BASE EQUIPO'!$A:$D,4))</f>
        <v>3.5</v>
      </c>
      <c r="F67" s="55">
        <f t="shared" si="5"/>
        <v>3.5</v>
      </c>
      <c r="G67" s="106">
        <f>+G76*0.25</f>
        <v>0.2</v>
      </c>
      <c r="H67" s="56">
        <f t="shared" si="6"/>
        <v>0.7</v>
      </c>
      <c r="I67" s="2"/>
    </row>
    <row r="68" spans="1:9" x14ac:dyDescent="0.25">
      <c r="B68" s="38" t="str">
        <f>IF($A68=0,"",VLOOKUP($A68,'BASE EQUIPO'!$A:$D,2))</f>
        <v/>
      </c>
      <c r="C68" s="2"/>
      <c r="D68" s="55"/>
      <c r="E68" s="55" t="str">
        <f>IF($A68=0,"",VLOOKUP($A68,'BASE EQUIPO'!$A:$D,4))</f>
        <v/>
      </c>
      <c r="F68" s="55" t="str">
        <f t="shared" si="5"/>
        <v/>
      </c>
      <c r="G68" s="106"/>
      <c r="H68" s="56" t="str">
        <f t="shared" si="6"/>
        <v/>
      </c>
      <c r="I68" s="2"/>
    </row>
    <row r="69" spans="1:9" x14ac:dyDescent="0.25">
      <c r="B69" s="38" t="str">
        <f>IF($A69=0,"",VLOOKUP($A69,'BASE EQUIPO'!$A:$D,2))</f>
        <v/>
      </c>
      <c r="C69" s="2"/>
      <c r="D69" s="55"/>
      <c r="E69" s="55" t="str">
        <f>IF($A69=0,"",VLOOKUP($A69,'BASE EQUIPO'!$A:$D,4))</f>
        <v/>
      </c>
      <c r="F69" s="55" t="str">
        <f t="shared" si="5"/>
        <v/>
      </c>
      <c r="G69" s="106"/>
      <c r="H69" s="56" t="str">
        <f t="shared" si="6"/>
        <v/>
      </c>
      <c r="I69" s="2"/>
    </row>
    <row r="70" spans="1:9" x14ac:dyDescent="0.25">
      <c r="B70" s="38" t="str">
        <f>IF($A70=0,"",VLOOKUP($A70,'BASE EQUIPO'!$A:$D,2))</f>
        <v/>
      </c>
      <c r="C70" s="2"/>
      <c r="D70" s="55"/>
      <c r="E70" s="55" t="str">
        <f>IF($A70=0,"",VLOOKUP($A70,'BASE EQUIPO'!$A:$D,4))</f>
        <v/>
      </c>
      <c r="F70" s="55" t="str">
        <f t="shared" si="5"/>
        <v/>
      </c>
      <c r="G70" s="106"/>
      <c r="H70" s="56" t="str">
        <f t="shared" si="6"/>
        <v/>
      </c>
      <c r="I70" s="2"/>
    </row>
    <row r="71" spans="1:9" x14ac:dyDescent="0.25">
      <c r="B71" s="57" t="str">
        <f>IF($A71=0,"",VLOOKUP($A71,'BASE EQUIPO'!$A:$D,2))</f>
        <v/>
      </c>
      <c r="C71" s="58"/>
      <c r="D71" s="59"/>
      <c r="E71" s="59" t="str">
        <f>IF($A71=0,"",VLOOKUP($A71,'BASE EQUIPO'!$A:$D,4))</f>
        <v/>
      </c>
      <c r="F71" s="59" t="str">
        <f t="shared" si="5"/>
        <v/>
      </c>
      <c r="G71" s="107"/>
      <c r="H71" s="60" t="str">
        <f t="shared" si="6"/>
        <v/>
      </c>
      <c r="I71" s="2"/>
    </row>
    <row r="72" spans="1:9" x14ac:dyDescent="0.25">
      <c r="B72" s="57" t="s">
        <v>1692</v>
      </c>
      <c r="C72" s="58"/>
      <c r="D72" s="61"/>
      <c r="E72" s="61"/>
      <c r="F72" s="61"/>
      <c r="G72" s="62"/>
      <c r="H72" s="60">
        <f>ROUND(SUM(H65:H71),2)</f>
        <v>2.2599999999999998</v>
      </c>
      <c r="I72" s="2"/>
    </row>
    <row r="73" spans="1:9" x14ac:dyDescent="0.25">
      <c r="B73" s="38" t="s">
        <v>1503</v>
      </c>
      <c r="C73" s="2"/>
      <c r="D73" s="3"/>
      <c r="E73" s="3"/>
      <c r="F73" s="3"/>
      <c r="G73" s="63"/>
      <c r="H73" s="56"/>
      <c r="I73" s="2"/>
    </row>
    <row r="74" spans="1:9" ht="25.5" x14ac:dyDescent="0.25">
      <c r="B74" s="64" t="s">
        <v>1691</v>
      </c>
      <c r="C74" s="65"/>
      <c r="D74" s="66" t="s">
        <v>1690</v>
      </c>
      <c r="E74" s="66" t="s">
        <v>1689</v>
      </c>
      <c r="F74" s="66" t="s">
        <v>1688</v>
      </c>
      <c r="G74" s="67" t="s">
        <v>1687</v>
      </c>
      <c r="H74" s="68" t="s">
        <v>1686</v>
      </c>
      <c r="I74" s="2"/>
    </row>
    <row r="75" spans="1:9" x14ac:dyDescent="0.25">
      <c r="A75" s="103">
        <v>20001</v>
      </c>
      <c r="B75" s="69" t="str">
        <f>IF($A75=0,"",VLOOKUP($A75,'BASE M-OBRA'!$A:$D,2))</f>
        <v>MAESTRO</v>
      </c>
      <c r="C75" s="2"/>
      <c r="D75" s="108">
        <v>1</v>
      </c>
      <c r="E75" s="70">
        <f>IF($A75=0,"",VLOOKUP($A75,'BASE M-OBRA'!$A:$D,4))</f>
        <v>3.02</v>
      </c>
      <c r="F75" s="55">
        <f t="shared" ref="F75:F81" si="7">IF($A75=0,"",ROUND(D75*E75,2))</f>
        <v>3.02</v>
      </c>
      <c r="G75" s="106">
        <f>IF($A75=0,"",ROUND(H75/F75,2))</f>
        <v>2.98</v>
      </c>
      <c r="H75" s="56">
        <f>IF($A75=0,"",ROUND(SUM(H76:H81)*'BASE M-OBRA'!$D$23,2))</f>
        <v>8.99</v>
      </c>
      <c r="I75" s="2"/>
    </row>
    <row r="76" spans="1:9" x14ac:dyDescent="0.25">
      <c r="A76" s="103">
        <v>20002</v>
      </c>
      <c r="B76" s="69" t="str">
        <f>IF($A76=0,"",VLOOKUP($A76,'BASE M-OBRA'!$A:$D,2))</f>
        <v>PEON</v>
      </c>
      <c r="C76" s="2"/>
      <c r="D76" s="108">
        <v>8</v>
      </c>
      <c r="E76" s="70">
        <f>IF($A76=0,"",VLOOKUP($A76,'BASE M-OBRA'!$A:$D,4))</f>
        <v>2.79</v>
      </c>
      <c r="F76" s="55">
        <f t="shared" si="7"/>
        <v>22.32</v>
      </c>
      <c r="G76" s="106">
        <v>0.8</v>
      </c>
      <c r="H76" s="56">
        <f t="shared" ref="H76:H81" si="8">IF($A76=0,"",ROUND(G76*F76,2))</f>
        <v>17.86</v>
      </c>
      <c r="I76" s="2"/>
    </row>
    <row r="77" spans="1:9" x14ac:dyDescent="0.25">
      <c r="A77" s="103">
        <v>20003</v>
      </c>
      <c r="B77" s="69" t="str">
        <f>IF($A77=0,"",VLOOKUP($A77,'BASE M-OBRA'!$A:$D,2))</f>
        <v>ALBAÑIL</v>
      </c>
      <c r="C77" s="2"/>
      <c r="D77" s="108">
        <v>2</v>
      </c>
      <c r="E77" s="70">
        <f>IF($A77=0,"",VLOOKUP($A77,'BASE M-OBRA'!$A:$D,4))</f>
        <v>2.82</v>
      </c>
      <c r="F77" s="55">
        <f t="shared" si="7"/>
        <v>5.64</v>
      </c>
      <c r="G77" s="106">
        <f>+G76</f>
        <v>0.8</v>
      </c>
      <c r="H77" s="56">
        <f t="shared" si="8"/>
        <v>4.51</v>
      </c>
      <c r="I77" s="2"/>
    </row>
    <row r="78" spans="1:9" x14ac:dyDescent="0.25">
      <c r="A78" s="103">
        <v>20004</v>
      </c>
      <c r="B78" s="71" t="str">
        <f>IF($A78=0,"",VLOOKUP($A78,'BASE M-OBRA'!$A:$D,2))</f>
        <v>CARPINTERO</v>
      </c>
      <c r="C78" s="2"/>
      <c r="D78" s="108">
        <v>2</v>
      </c>
      <c r="E78" s="70">
        <f>IF($A78=0,"",VLOOKUP($A78,'BASE M-OBRA'!$A:$D,4))</f>
        <v>2.82</v>
      </c>
      <c r="F78" s="55">
        <f t="shared" si="7"/>
        <v>5.64</v>
      </c>
      <c r="G78" s="106">
        <v>4</v>
      </c>
      <c r="H78" s="56">
        <f t="shared" si="8"/>
        <v>22.56</v>
      </c>
      <c r="I78" s="2"/>
    </row>
    <row r="79" spans="1:9" x14ac:dyDescent="0.25">
      <c r="B79" s="72" t="str">
        <f>IF($A79=0,"",VLOOKUP($A79,'BASE M-OBRA'!$A:$D,2))</f>
        <v/>
      </c>
      <c r="C79" s="2"/>
      <c r="D79" s="108"/>
      <c r="E79" s="70" t="str">
        <f>IF($A79=0,"",VLOOKUP($A79,'BASE M-OBRA'!$A:$D,4))</f>
        <v/>
      </c>
      <c r="F79" s="55" t="str">
        <f t="shared" si="7"/>
        <v/>
      </c>
      <c r="G79" s="106"/>
      <c r="H79" s="56" t="str">
        <f t="shared" si="8"/>
        <v/>
      </c>
      <c r="I79" s="2"/>
    </row>
    <row r="80" spans="1:9" x14ac:dyDescent="0.25">
      <c r="B80" s="38" t="str">
        <f>IF($A80=0,"",VLOOKUP($A80,'BASE M-OBRA'!$A:$D,2))</f>
        <v/>
      </c>
      <c r="C80" s="2"/>
      <c r="D80" s="55"/>
      <c r="E80" s="55" t="str">
        <f>IF($A80=0,"",VLOOKUP($A80,'BASE M-OBRA'!$A:$D,4))</f>
        <v/>
      </c>
      <c r="F80" s="55" t="str">
        <f t="shared" si="7"/>
        <v/>
      </c>
      <c r="G80" s="106"/>
      <c r="H80" s="56" t="str">
        <f t="shared" si="8"/>
        <v/>
      </c>
      <c r="I80" s="2"/>
    </row>
    <row r="81" spans="1:16" x14ac:dyDescent="0.25">
      <c r="B81" s="57" t="str">
        <f>IF($A81=0,"",VLOOKUP($A81,'BASE M-OBRA'!$A:$D,2))</f>
        <v/>
      </c>
      <c r="C81" s="58"/>
      <c r="D81" s="59"/>
      <c r="E81" s="59" t="str">
        <f>IF($A81=0,"",VLOOKUP($A81,'BASE M-OBRA'!$A:$D,4))</f>
        <v/>
      </c>
      <c r="F81" s="59" t="str">
        <f t="shared" si="7"/>
        <v/>
      </c>
      <c r="G81" s="107"/>
      <c r="H81" s="60" t="str">
        <f t="shared" si="8"/>
        <v/>
      </c>
      <c r="I81" s="2"/>
    </row>
    <row r="82" spans="1:16" x14ac:dyDescent="0.25">
      <c r="B82" s="73" t="s">
        <v>1685</v>
      </c>
      <c r="C82" s="65"/>
      <c r="D82" s="74"/>
      <c r="E82" s="74"/>
      <c r="F82" s="74"/>
      <c r="G82" s="74"/>
      <c r="H82" s="75">
        <f>ROUND(SUM(H74:H81),2)</f>
        <v>53.92</v>
      </c>
      <c r="I82" s="2"/>
    </row>
    <row r="83" spans="1:16" x14ac:dyDescent="0.25">
      <c r="B83" s="38" t="s">
        <v>1684</v>
      </c>
      <c r="C83" s="2"/>
      <c r="D83" s="3"/>
      <c r="E83" s="3"/>
      <c r="F83" s="3"/>
      <c r="G83" s="3"/>
      <c r="H83" s="56"/>
      <c r="I83" s="2"/>
    </row>
    <row r="84" spans="1:16" ht="25.5" x14ac:dyDescent="0.25">
      <c r="B84" s="64" t="s">
        <v>1409</v>
      </c>
      <c r="C84" s="65"/>
      <c r="D84" s="76"/>
      <c r="E84" s="66" t="s">
        <v>1408</v>
      </c>
      <c r="F84" s="66" t="s">
        <v>1679</v>
      </c>
      <c r="G84" s="66" t="s">
        <v>1683</v>
      </c>
      <c r="H84" s="68" t="s">
        <v>1675</v>
      </c>
      <c r="I84" s="2"/>
    </row>
    <row r="85" spans="1:16" x14ac:dyDescent="0.25">
      <c r="A85" s="103">
        <v>11008</v>
      </c>
      <c r="B85" s="109" t="str">
        <f>IF($A85=0,"",VLOOKUP($A85,'BASE MATERIAL'!$A:$D,2))</f>
        <v>TABLA</v>
      </c>
      <c r="C85" s="2"/>
      <c r="D85" s="77"/>
      <c r="E85" s="78" t="str">
        <f>IF($A85=0,"",VLOOKUP($A85,'BASE MATERIAL'!$A:$D,3))</f>
        <v>U</v>
      </c>
      <c r="F85" s="55">
        <f>ROUND(10*5/(4*3),2)</f>
        <v>4.17</v>
      </c>
      <c r="G85" s="55">
        <f>IF($A85=0,"",VLOOKUP($A85,'BASE MATERIAL'!$A:$D,4))</f>
        <v>3.5</v>
      </c>
      <c r="H85" s="56">
        <f t="shared" ref="H85:H99" si="9">IF($A85=0,"",ROUND(F85*G85,2))</f>
        <v>14.6</v>
      </c>
      <c r="I85" s="2"/>
      <c r="L85" s="2"/>
      <c r="M85" s="2"/>
      <c r="N85" s="39"/>
      <c r="O85" s="2"/>
      <c r="P85" s="2"/>
    </row>
    <row r="86" spans="1:16" x14ac:dyDescent="0.25">
      <c r="A86" s="103">
        <v>11009</v>
      </c>
      <c r="B86" s="38" t="str">
        <f>IF($A86=0,"",VLOOKUP($A86,'BASE MATERIAL'!$A:$D,2))</f>
        <v>CUARTON</v>
      </c>
      <c r="C86" s="2"/>
      <c r="D86" s="77"/>
      <c r="E86" s="78" t="str">
        <f>IF($A86=0,"",VLOOKUP($A86,'BASE MATERIAL'!$A:$D,3))</f>
        <v>U</v>
      </c>
      <c r="F86" s="55">
        <f>ROUND(10*8/(4*3),2)</f>
        <v>6.67</v>
      </c>
      <c r="G86" s="55">
        <f>IF($A86=0,"",VLOOKUP($A86,'BASE MATERIAL'!$A:$D,4))</f>
        <v>2.42</v>
      </c>
      <c r="H86" s="56">
        <f t="shared" si="9"/>
        <v>16.14</v>
      </c>
      <c r="I86" s="2"/>
      <c r="L86" s="2"/>
      <c r="M86" s="2"/>
      <c r="N86" s="39"/>
      <c r="O86" s="2"/>
      <c r="P86" s="2"/>
    </row>
    <row r="87" spans="1:16" x14ac:dyDescent="0.25">
      <c r="A87" s="103">
        <v>11010</v>
      </c>
      <c r="B87" s="38" t="str">
        <f>IF($A87=0,"",VLOOKUP($A87,'BASE MATERIAL'!$A:$D,2))</f>
        <v>TIRA</v>
      </c>
      <c r="C87" s="2"/>
      <c r="D87" s="77"/>
      <c r="E87" s="78" t="str">
        <f>IF($A87=0,"",VLOOKUP($A87,'BASE MATERIAL'!$A:$D,3))</f>
        <v>U</v>
      </c>
      <c r="F87" s="55">
        <f>ROUND(10*4/(4*3),2)</f>
        <v>3.33</v>
      </c>
      <c r="G87" s="55">
        <f>IF($A87=0,"",VLOOKUP($A87,'BASE MATERIAL'!$A:$D,4))</f>
        <v>1.5</v>
      </c>
      <c r="H87" s="56">
        <f t="shared" si="9"/>
        <v>5</v>
      </c>
      <c r="I87" s="2"/>
      <c r="L87" s="2"/>
      <c r="M87" s="2"/>
      <c r="N87" s="39"/>
      <c r="O87" s="2"/>
      <c r="P87" s="2"/>
    </row>
    <row r="88" spans="1:16" x14ac:dyDescent="0.25">
      <c r="A88" s="103">
        <v>11007</v>
      </c>
      <c r="B88" s="38" t="str">
        <f>IF($A88=0,"",VLOOKUP($A88,'BASE MATERIAL'!$A:$D,2))</f>
        <v>CLAVO 2 1/2"</v>
      </c>
      <c r="C88" s="2"/>
      <c r="D88" s="77"/>
      <c r="E88" s="78" t="str">
        <f>IF($A88=0,"",VLOOKUP($A88,'BASE MATERIAL'!$A:$D,3))</f>
        <v>KG</v>
      </c>
      <c r="F88" s="55">
        <f>ROUND(10*56/(178*1.5),2)</f>
        <v>2.1</v>
      </c>
      <c r="G88" s="55">
        <f>IF($A88=0,"",VLOOKUP($A88,'BASE MATERIAL'!$A:$D,4))</f>
        <v>2.6520000000000001</v>
      </c>
      <c r="H88" s="56">
        <f t="shared" si="9"/>
        <v>5.57</v>
      </c>
      <c r="I88" s="2"/>
      <c r="L88" s="2"/>
      <c r="M88" s="2"/>
      <c r="N88" s="39"/>
      <c r="O88" s="2"/>
      <c r="P88" s="2"/>
    </row>
    <row r="89" spans="1:16" x14ac:dyDescent="0.25">
      <c r="A89" s="103">
        <v>4001</v>
      </c>
      <c r="B89" s="38" t="str">
        <f>IF($A89=0,"",VLOOKUP($A89,'BASE MATERIAL'!$A:$D,2))</f>
        <v>CEMENTO</v>
      </c>
      <c r="C89" s="2"/>
      <c r="D89" s="77"/>
      <c r="E89" s="78" t="str">
        <f>IF($A89=0,"",VLOOKUP($A89,'BASE MATERIAL'!$A:$D,3))</f>
        <v>SACO</v>
      </c>
      <c r="F89" s="55">
        <f>ROUND(6*0.6,2)</f>
        <v>3.6</v>
      </c>
      <c r="G89" s="55">
        <f>IF($A89=0,"",VLOOKUP($A89,'BASE MATERIAL'!$A:$D,4))</f>
        <v>7.09</v>
      </c>
      <c r="H89" s="56">
        <f t="shared" si="9"/>
        <v>25.52</v>
      </c>
      <c r="I89" s="2"/>
      <c r="L89" s="2"/>
      <c r="M89" s="2"/>
      <c r="N89" s="39"/>
      <c r="O89" s="2"/>
      <c r="P89" s="2"/>
    </row>
    <row r="90" spans="1:16" x14ac:dyDescent="0.25">
      <c r="A90" s="103">
        <v>5004</v>
      </c>
      <c r="B90" s="38" t="str">
        <f>IF($A90=0,"",VLOOKUP($A90,'BASE MATERIAL'!$A:$D,2))</f>
        <v>ARENA</v>
      </c>
      <c r="C90" s="2"/>
      <c r="D90" s="77"/>
      <c r="E90" s="78" t="str">
        <f>IF($A90=0,"",VLOOKUP($A90,'BASE MATERIAL'!$A:$D,3))</f>
        <v>M3</v>
      </c>
      <c r="F90" s="55">
        <f>ROUND(F89*0.4*0.4*0.2*3,2)</f>
        <v>0.35</v>
      </c>
      <c r="G90" s="55">
        <f>IF($A90=0,"",VLOOKUP($A90,'BASE MATERIAL'!$A:$D,4))</f>
        <v>12.276249999999999</v>
      </c>
      <c r="H90" s="56">
        <f t="shared" si="9"/>
        <v>4.3</v>
      </c>
      <c r="I90" s="2"/>
      <c r="L90" s="2"/>
      <c r="M90" s="2"/>
      <c r="N90" s="39"/>
      <c r="O90" s="2"/>
      <c r="P90" s="2"/>
    </row>
    <row r="91" spans="1:16" x14ac:dyDescent="0.25">
      <c r="A91" s="103">
        <v>5002</v>
      </c>
      <c r="B91" s="38" t="str">
        <f>IF($A91=0,"",VLOOKUP($A91,'BASE MATERIAL'!$A:$D,2))</f>
        <v>PIEDRA 3-4</v>
      </c>
      <c r="C91" s="2"/>
      <c r="D91" s="77"/>
      <c r="E91" s="78" t="str">
        <f>IF($A91=0,"",VLOOKUP($A91,'BASE MATERIAL'!$A:$D,3))</f>
        <v>M3</v>
      </c>
      <c r="F91" s="55">
        <f>ROUND(F89*0.4*0.4*0.2*4,2)</f>
        <v>0.46</v>
      </c>
      <c r="G91" s="55">
        <f>IF($A91=0,"",VLOOKUP($A91,'BASE MATERIAL'!$A:$D,4))</f>
        <v>13.75</v>
      </c>
      <c r="H91" s="56">
        <f t="shared" si="9"/>
        <v>6.33</v>
      </c>
      <c r="I91" s="2"/>
      <c r="L91" s="2"/>
      <c r="M91" s="2"/>
      <c r="N91" s="39"/>
      <c r="O91" s="2"/>
      <c r="P91" s="2"/>
    </row>
    <row r="92" spans="1:16" x14ac:dyDescent="0.25">
      <c r="A92" s="103">
        <v>5005</v>
      </c>
      <c r="B92" s="38" t="str">
        <f>IF($A92=0,"",VLOOKUP($A92,'BASE MATERIAL'!$A:$D,2))</f>
        <v>AGUA</v>
      </c>
      <c r="C92" s="2"/>
      <c r="D92" s="77"/>
      <c r="E92" s="78" t="str">
        <f>IF($A92=0,"",VLOOKUP($A92,'BASE MATERIAL'!$A:$D,3))</f>
        <v>LT</v>
      </c>
      <c r="F92" s="55">
        <f>26*F89</f>
        <v>93.600000000000009</v>
      </c>
      <c r="G92" s="80">
        <f>IF($A92=0,"",VLOOKUP($A92,'BASE MATERIAL'!$A:$D,4))</f>
        <v>2E-3</v>
      </c>
      <c r="H92" s="56">
        <f t="shared" si="9"/>
        <v>0.19</v>
      </c>
      <c r="I92" s="2"/>
      <c r="L92" s="2"/>
      <c r="M92" s="2"/>
      <c r="N92" s="39"/>
      <c r="O92" s="2"/>
      <c r="P92" s="2"/>
    </row>
    <row r="93" spans="1:16" x14ac:dyDescent="0.25">
      <c r="A93" s="103">
        <v>5003</v>
      </c>
      <c r="B93" s="38" t="str">
        <f>IF($A93=0,"",VLOOKUP($A93,'BASE MATERIAL'!$A:$D,2))</f>
        <v>PIEDRA BASE</v>
      </c>
      <c r="C93" s="2"/>
      <c r="D93" s="77"/>
      <c r="E93" s="78" t="str">
        <f>IF($A93=0,"",VLOOKUP($A93,'BASE MATERIAL'!$A:$D,3))</f>
        <v>M3</v>
      </c>
      <c r="F93" s="55">
        <v>0.4</v>
      </c>
      <c r="G93" s="55">
        <f>IF($A93=0,"",VLOOKUP($A93,'BASE MATERIAL'!$A:$D,4))</f>
        <v>12.6</v>
      </c>
      <c r="H93" s="56">
        <f t="shared" si="9"/>
        <v>5.04</v>
      </c>
      <c r="I93" s="2"/>
    </row>
    <row r="94" spans="1:16" x14ac:dyDescent="0.25">
      <c r="B94" s="38" t="str">
        <f>IF($A94=0,"",VLOOKUP($A94,'BASE MATERIAL'!$A:$D,2))</f>
        <v/>
      </c>
      <c r="C94" s="2"/>
      <c r="D94" s="77"/>
      <c r="E94" s="78" t="str">
        <f>IF($A94=0,"",VLOOKUP($A94,'BASE MATERIAL'!$A:$D,3))</f>
        <v/>
      </c>
      <c r="F94" s="55"/>
      <c r="G94" s="55" t="str">
        <f>IF($A94=0,"",VLOOKUP($A94,'BASE MATERIAL'!$A:$D,4))</f>
        <v/>
      </c>
      <c r="H94" s="56" t="str">
        <f t="shared" si="9"/>
        <v/>
      </c>
      <c r="I94" s="2"/>
      <c r="L94" s="2"/>
      <c r="M94" s="2"/>
      <c r="N94" s="39"/>
      <c r="O94" s="2"/>
      <c r="P94" s="2"/>
    </row>
    <row r="95" spans="1:16" x14ac:dyDescent="0.25">
      <c r="B95" s="38" t="str">
        <f>IF($A95=0,"",VLOOKUP($A95,'BASE MATERIAL'!$A:$D,2))</f>
        <v/>
      </c>
      <c r="C95" s="2"/>
      <c r="D95" s="77"/>
      <c r="E95" s="78" t="str">
        <f>IF($A95=0,"",VLOOKUP($A95,'BASE MATERIAL'!$A:$D,3))</f>
        <v/>
      </c>
      <c r="F95" s="55"/>
      <c r="G95" s="55" t="str">
        <f>IF($A95=0,"",VLOOKUP($A95,'BASE MATERIAL'!$A:$D,4))</f>
        <v/>
      </c>
      <c r="H95" s="56" t="str">
        <f t="shared" si="9"/>
        <v/>
      </c>
      <c r="I95" s="2"/>
      <c r="L95" s="2"/>
      <c r="M95" s="2"/>
      <c r="N95" s="39"/>
      <c r="O95" s="2"/>
      <c r="P95" s="2"/>
    </row>
    <row r="96" spans="1:16" x14ac:dyDescent="0.25">
      <c r="B96" s="38" t="str">
        <f>IF($A96=0,"",VLOOKUP($A96,'BASE MATERIAL'!$A:$D,2))</f>
        <v/>
      </c>
      <c r="C96" s="2"/>
      <c r="D96" s="77"/>
      <c r="E96" s="78" t="str">
        <f>IF($A96=0,"",VLOOKUP($A96,'BASE MATERIAL'!$A:$D,3))</f>
        <v/>
      </c>
      <c r="F96" s="55"/>
      <c r="G96" s="55" t="str">
        <f>IF($A96=0,"",VLOOKUP($A96,'BASE MATERIAL'!$A:$D,4))</f>
        <v/>
      </c>
      <c r="H96" s="56" t="str">
        <f t="shared" si="9"/>
        <v/>
      </c>
      <c r="I96" s="2"/>
    </row>
    <row r="97" spans="1:9" x14ac:dyDescent="0.25">
      <c r="B97" s="38" t="str">
        <f>IF($A97=0,"",VLOOKUP($A97,'BASE MATERIAL'!$A:$D,2))</f>
        <v/>
      </c>
      <c r="C97" s="2"/>
      <c r="D97" s="77"/>
      <c r="E97" s="78" t="str">
        <f>IF($A97=0,"",VLOOKUP($A97,'BASE MATERIAL'!$A:$D,3))</f>
        <v/>
      </c>
      <c r="F97" s="55"/>
      <c r="G97" s="55" t="str">
        <f>IF($A97=0,"",VLOOKUP($A97,'BASE MATERIAL'!$A:$D,4))</f>
        <v/>
      </c>
      <c r="H97" s="56" t="str">
        <f t="shared" si="9"/>
        <v/>
      </c>
      <c r="I97" s="2"/>
    </row>
    <row r="98" spans="1:9" x14ac:dyDescent="0.25">
      <c r="B98" s="38" t="str">
        <f>IF($A98=0,"",VLOOKUP($A98,'BASE MATERIAL'!$A:$D,2))</f>
        <v/>
      </c>
      <c r="C98" s="2"/>
      <c r="D98" s="77"/>
      <c r="E98" s="78" t="str">
        <f>IF($A98=0,"",VLOOKUP($A98,'BASE MATERIAL'!$A:$D,3))</f>
        <v/>
      </c>
      <c r="F98" s="55"/>
      <c r="G98" s="55" t="str">
        <f>IF($A98=0,"",VLOOKUP($A98,'BASE MATERIAL'!$A:$D,4))</f>
        <v/>
      </c>
      <c r="H98" s="56" t="str">
        <f t="shared" si="9"/>
        <v/>
      </c>
      <c r="I98" s="2"/>
    </row>
    <row r="99" spans="1:9" x14ac:dyDescent="0.25">
      <c r="B99" s="38" t="str">
        <f>IF($A99=0,"",VLOOKUP($A99,'BASE MATERIAL'!$A:$D,2))</f>
        <v/>
      </c>
      <c r="C99" s="2"/>
      <c r="D99" s="77"/>
      <c r="E99" s="78" t="str">
        <f>IF($A99=0,"",VLOOKUP($A99,'BASE MATERIAL'!$A:$D,3))</f>
        <v/>
      </c>
      <c r="F99" s="55"/>
      <c r="G99" s="55" t="str">
        <f>IF($A99=0,"",VLOOKUP($A99,'BASE MATERIAL'!$A:$D,4))</f>
        <v/>
      </c>
      <c r="H99" s="56" t="str">
        <f t="shared" si="9"/>
        <v/>
      </c>
      <c r="I99" s="2"/>
    </row>
    <row r="100" spans="1:9" x14ac:dyDescent="0.25">
      <c r="B100" s="38" t="str">
        <f>IF($A100=0,"",VLOOKUP($A100,'BASE MATERIAL'!$A:$D,2))</f>
        <v/>
      </c>
      <c r="C100" s="2"/>
      <c r="D100" s="81" t="s">
        <v>1682</v>
      </c>
      <c r="E100" s="55" t="str">
        <f>IF($A100=0,"",VLOOKUP($A100,'BASE MATERIAL'!$A:$D,3))</f>
        <v/>
      </c>
      <c r="F100" s="55" t="s">
        <v>1682</v>
      </c>
      <c r="G100" s="55" t="str">
        <f>IF($A100=0,"",VLOOKUP($A100,'BASE MATERIAL'!$A:$D,4))</f>
        <v/>
      </c>
      <c r="H100" s="56" t="str">
        <f>IF($A100=0,"",ROUND(E100*F100,2))</f>
        <v/>
      </c>
      <c r="I100" s="2"/>
    </row>
    <row r="101" spans="1:9" x14ac:dyDescent="0.25">
      <c r="B101" s="73" t="s">
        <v>1681</v>
      </c>
      <c r="C101" s="65"/>
      <c r="D101" s="74"/>
      <c r="E101" s="74"/>
      <c r="F101" s="74"/>
      <c r="G101" s="74"/>
      <c r="H101" s="75">
        <f>ROUND(SUM(H84:H100),2)</f>
        <v>82.69</v>
      </c>
      <c r="I101" s="2"/>
    </row>
    <row r="102" spans="1:9" x14ac:dyDescent="0.25">
      <c r="B102" s="38" t="s">
        <v>1680</v>
      </c>
      <c r="C102" s="2"/>
      <c r="D102" s="3"/>
      <c r="E102" s="3"/>
      <c r="F102" s="3"/>
      <c r="G102" s="3"/>
      <c r="H102" s="56"/>
      <c r="I102" s="2"/>
    </row>
    <row r="103" spans="1:9" ht="25.5" x14ac:dyDescent="0.25">
      <c r="B103" s="64" t="s">
        <v>1409</v>
      </c>
      <c r="C103" s="65"/>
      <c r="D103" s="76"/>
      <c r="E103" s="66" t="s">
        <v>1408</v>
      </c>
      <c r="F103" s="66" t="s">
        <v>1679</v>
      </c>
      <c r="G103" s="66" t="s">
        <v>1676</v>
      </c>
      <c r="H103" s="68" t="s">
        <v>1675</v>
      </c>
      <c r="I103" s="2"/>
    </row>
    <row r="104" spans="1:9" x14ac:dyDescent="0.25">
      <c r="A104" s="103">
        <v>19019</v>
      </c>
      <c r="B104" s="51" t="str">
        <f>IF($A104=0,"",VLOOKUP($A104,'BASE EQUIPO'!$A:$D,2))</f>
        <v>TRANSPORTE DE MATERIAL</v>
      </c>
      <c r="C104" s="52"/>
      <c r="D104" s="82"/>
      <c r="E104" s="78" t="str">
        <f>IF($A104=0,"",VLOOKUP($A104,'BASE EQUIPO'!$A:$D,3))</f>
        <v>GLOBAL</v>
      </c>
      <c r="F104" s="55">
        <v>1</v>
      </c>
      <c r="G104" s="83">
        <f>IF($A104=0,"",VLOOKUP($A104,'BASE EQUIPO'!$A:$D,4)*H101)</f>
        <v>2.4806999999999997</v>
      </c>
      <c r="H104" s="56">
        <f>IF($A104=0,"",ROUND(F104*G104,2))</f>
        <v>2.48</v>
      </c>
      <c r="I104" s="2"/>
    </row>
    <row r="105" spans="1:9" x14ac:dyDescent="0.25">
      <c r="B105" s="38" t="str">
        <f>IF($A105=0,"",VLOOKUP($A105,'BASE EQUIPO'!$A:$D,2))</f>
        <v/>
      </c>
      <c r="C105" s="2"/>
      <c r="D105" s="84"/>
      <c r="E105" s="78" t="str">
        <f>IF($A105=0,"",VLOOKUP($A105,'BASE EQUIPO'!$A:$D,3))</f>
        <v/>
      </c>
      <c r="F105" s="55"/>
      <c r="G105" s="55" t="str">
        <f>IF($A105=0,"",VLOOKUP($A105,'BASE EQUIPO'!$A:$D,4)*H102)</f>
        <v/>
      </c>
      <c r="H105" s="56" t="str">
        <f>IF($A105=0,"",ROUND(F105*G105,2))</f>
        <v/>
      </c>
      <c r="I105" s="2"/>
    </row>
    <row r="106" spans="1:9" x14ac:dyDescent="0.25">
      <c r="B106" s="57" t="str">
        <f>IF($A106=0,"",VLOOKUP($A106,'BASE EQUIPO'!$A:$D,2))</f>
        <v/>
      </c>
      <c r="C106" s="58"/>
      <c r="D106" s="85"/>
      <c r="E106" s="86" t="str">
        <f>IF($A106=0,"",VLOOKUP($A106,'BASE EQUIPO'!$A:$D,3))</f>
        <v/>
      </c>
      <c r="F106" s="59"/>
      <c r="G106" s="59" t="str">
        <f>IF($A106=0,"",VLOOKUP($A106,'BASE EQUIPO'!$A:$D,4)*H103)</f>
        <v/>
      </c>
      <c r="H106" s="60" t="str">
        <f>IF($A106=0,"",ROUND(F106*G106,2))</f>
        <v/>
      </c>
      <c r="I106" s="2"/>
    </row>
    <row r="107" spans="1:9" ht="15.75" thickBot="1" x14ac:dyDescent="0.3">
      <c r="B107" s="87" t="s">
        <v>1674</v>
      </c>
      <c r="C107" s="88"/>
      <c r="D107" s="89"/>
      <c r="E107" s="89"/>
      <c r="F107" s="89"/>
      <c r="G107" s="89"/>
      <c r="H107" s="90">
        <f>ROUND(SUM(H103:H106),2)</f>
        <v>2.48</v>
      </c>
      <c r="I107" s="2"/>
    </row>
    <row r="108" spans="1:9" ht="15.75" x14ac:dyDescent="0.25">
      <c r="B108" s="2"/>
      <c r="C108" s="2"/>
      <c r="D108" s="91" t="s">
        <v>1673</v>
      </c>
      <c r="E108" s="47"/>
      <c r="F108" s="47"/>
      <c r="G108" s="47"/>
      <c r="H108" s="92">
        <f>ROUND(SUM(H107,H101,H82,H72),2)</f>
        <v>141.35</v>
      </c>
      <c r="I108" s="2"/>
    </row>
    <row r="109" spans="1:9" ht="15.75" x14ac:dyDescent="0.25">
      <c r="A109" s="103">
        <v>40002</v>
      </c>
      <c r="B109" s="2"/>
      <c r="C109" s="2"/>
      <c r="D109" s="93" t="s">
        <v>1672</v>
      </c>
      <c r="E109" s="65"/>
      <c r="F109" s="65"/>
      <c r="G109" s="94">
        <f>IF($A109=0,"",VLOOKUP($A109,'BASE MATERIAL'!$M:$P,4))</f>
        <v>0</v>
      </c>
      <c r="H109" s="95">
        <f>IF($A109=0,"",ROUND(G109*H108,2))</f>
        <v>0</v>
      </c>
      <c r="I109" s="2"/>
    </row>
    <row r="110" spans="1:9" ht="15.75" x14ac:dyDescent="0.25">
      <c r="A110" s="103">
        <v>40003</v>
      </c>
      <c r="B110" s="2"/>
      <c r="C110" s="2"/>
      <c r="D110" s="93" t="s">
        <v>1671</v>
      </c>
      <c r="E110" s="65"/>
      <c r="F110" s="65"/>
      <c r="G110" s="94">
        <f>IF($A110=0,"",VLOOKUP($A110,'BASE MATERIAL'!$M:$P,4))</f>
        <v>0</v>
      </c>
      <c r="H110" s="95">
        <f>IF($A110=0,"",ROUND(G110*H108,2))</f>
        <v>0</v>
      </c>
      <c r="I110" s="2"/>
    </row>
    <row r="111" spans="1:9" ht="15.75" x14ac:dyDescent="0.25">
      <c r="B111" s="2"/>
      <c r="C111" s="2"/>
      <c r="D111" s="93" t="s">
        <v>1670</v>
      </c>
      <c r="E111" s="65"/>
      <c r="F111" s="65"/>
      <c r="G111" s="65"/>
      <c r="H111" s="96">
        <f>ROUND(SUM(H108:H110),2)</f>
        <v>141.35</v>
      </c>
      <c r="I111" s="2"/>
    </row>
    <row r="112" spans="1:9" ht="16.5" thickBot="1" x14ac:dyDescent="0.3">
      <c r="B112" s="25"/>
      <c r="C112" s="2"/>
      <c r="D112" s="97" t="s">
        <v>1650</v>
      </c>
      <c r="E112" s="88"/>
      <c r="F112" s="88"/>
      <c r="G112" s="88"/>
      <c r="H112" s="98">
        <f>ROUND(H111,2)</f>
        <v>141.35</v>
      </c>
      <c r="I112" s="2"/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810-0710-4148-A71F-4D3F12BA2782}">
  <sheetPr codeName="Hoja9"/>
  <dimension ref="A1:P1064"/>
  <sheetViews>
    <sheetView workbookViewId="0">
      <selection activeCell="M1" sqref="M1"/>
    </sheetView>
  </sheetViews>
  <sheetFormatPr baseColWidth="10" defaultColWidth="11.42578125" defaultRowHeight="15" x14ac:dyDescent="0.25"/>
  <cols>
    <col min="1" max="1" width="7.42578125" style="103" bestFit="1" customWidth="1"/>
    <col min="2" max="2" width="12.140625" style="1" customWidth="1"/>
    <col min="3" max="3" width="26.28515625" style="1" customWidth="1"/>
    <col min="4" max="4" width="10.7109375" style="1" customWidth="1"/>
    <col min="5" max="5" width="12.140625" style="1" customWidth="1"/>
    <col min="6" max="6" width="13.28515625" style="1" customWidth="1"/>
    <col min="7" max="7" width="13.85546875" style="1" customWidth="1"/>
    <col min="8" max="8" width="12.42578125" style="1" customWidth="1"/>
    <col min="9" max="9" width="3.140625" style="1" bestFit="1" customWidth="1"/>
    <col min="10" max="10" width="3.5703125" style="1" customWidth="1"/>
    <col min="11" max="11" width="8.42578125" style="1" customWidth="1"/>
    <col min="12" max="12" width="6.85546875" style="1" customWidth="1"/>
    <col min="13" max="13" width="33.85546875" style="1" bestFit="1" customWidth="1"/>
    <col min="14" max="14" width="6" style="1" bestFit="1" customWidth="1"/>
    <col min="15" max="28" width="8.42578125" style="1" customWidth="1"/>
    <col min="29" max="16384" width="11.42578125" style="1"/>
  </cols>
  <sheetData>
    <row r="1" spans="1:15" ht="15.75" x14ac:dyDescent="0.25">
      <c r="B1" s="34" t="s">
        <v>1701</v>
      </c>
      <c r="C1" s="2"/>
      <c r="D1" s="3" t="str">
        <f>'1.1'!$D$1</f>
        <v>ESPOL</v>
      </c>
      <c r="E1" s="2"/>
      <c r="F1" s="2"/>
      <c r="H1" s="2" t="s">
        <v>108</v>
      </c>
      <c r="I1" s="2"/>
      <c r="L1" s="40" t="e">
        <f>#REF!</f>
        <v>#REF!</v>
      </c>
      <c r="M1" s="1" t="e">
        <f>#REF!</f>
        <v>#REF!</v>
      </c>
      <c r="N1" s="2" t="e">
        <f>#REF!</f>
        <v>#REF!</v>
      </c>
      <c r="O1" s="2" t="e">
        <f>#REF!</f>
        <v>#REF!</v>
      </c>
    </row>
    <row r="2" spans="1:15" ht="15.75" x14ac:dyDescent="0.25">
      <c r="B2" s="34" t="s">
        <v>1700</v>
      </c>
      <c r="C2" s="3">
        <f>'1.1'!$C$2</f>
        <v>0</v>
      </c>
      <c r="D2" s="2"/>
      <c r="E2" s="2"/>
      <c r="F2" s="2"/>
      <c r="G2" s="41" t="s">
        <v>1699</v>
      </c>
      <c r="H2" s="42"/>
      <c r="I2" s="2" t="s">
        <v>1698</v>
      </c>
    </row>
    <row r="3" spans="1:15" ht="15.75" x14ac:dyDescent="0.25">
      <c r="B3" s="34"/>
      <c r="C3" s="3">
        <f>'1.1'!$C$3</f>
        <v>0</v>
      </c>
      <c r="D3" s="2"/>
      <c r="E3" s="2"/>
      <c r="F3" s="2"/>
      <c r="G3" s="2"/>
      <c r="H3" s="2"/>
      <c r="I3" s="2"/>
    </row>
    <row r="4" spans="1:15" ht="15.75" x14ac:dyDescent="0.25">
      <c r="B4" s="34" t="s">
        <v>1697</v>
      </c>
      <c r="C4" s="3"/>
      <c r="D4" s="2"/>
      <c r="E4" s="2"/>
      <c r="F4" s="2"/>
      <c r="G4" s="2"/>
      <c r="H4" s="2"/>
      <c r="I4" s="2"/>
    </row>
    <row r="5" spans="1:15" x14ac:dyDescent="0.25">
      <c r="A5" s="104">
        <v>2</v>
      </c>
      <c r="B5" s="2" t="s">
        <v>1586</v>
      </c>
      <c r="C5" s="36" t="s">
        <v>1563</v>
      </c>
      <c r="D5" s="2"/>
      <c r="G5" s="2" t="s">
        <v>1696</v>
      </c>
      <c r="H5" s="3" t="s">
        <v>1521</v>
      </c>
      <c r="I5" s="2"/>
    </row>
    <row r="6" spans="1:15" x14ac:dyDescent="0.25">
      <c r="B6" s="1" t="s">
        <v>1585</v>
      </c>
      <c r="C6" s="36" t="s">
        <v>649</v>
      </c>
      <c r="D6" s="2"/>
      <c r="E6" s="2"/>
      <c r="F6" s="2"/>
      <c r="G6" s="2"/>
      <c r="H6" s="2"/>
      <c r="I6" s="2"/>
    </row>
    <row r="7" spans="1:15" ht="15.75" thickBot="1" x14ac:dyDescent="0.3">
      <c r="D7" s="2"/>
      <c r="E7" s="2"/>
      <c r="F7" s="2"/>
      <c r="G7" s="2"/>
      <c r="H7" s="2"/>
      <c r="I7" s="2"/>
    </row>
    <row r="8" spans="1:15" ht="15.75" thickBot="1" x14ac:dyDescent="0.3">
      <c r="B8" s="43" t="s">
        <v>1695</v>
      </c>
      <c r="C8" s="44"/>
      <c r="D8" s="44"/>
      <c r="E8" s="44"/>
      <c r="F8" s="44"/>
      <c r="G8" s="44"/>
      <c r="H8" s="45"/>
      <c r="I8" s="2"/>
    </row>
    <row r="9" spans="1:15" ht="25.5" x14ac:dyDescent="0.25">
      <c r="B9" s="46" t="s">
        <v>1409</v>
      </c>
      <c r="C9" s="47"/>
      <c r="D9" s="48" t="s">
        <v>1690</v>
      </c>
      <c r="E9" s="48" t="s">
        <v>1694</v>
      </c>
      <c r="F9" s="48" t="s">
        <v>1693</v>
      </c>
      <c r="G9" s="49" t="s">
        <v>1687</v>
      </c>
      <c r="H9" s="50" t="s">
        <v>1686</v>
      </c>
      <c r="I9" s="2"/>
    </row>
    <row r="10" spans="1:15" x14ac:dyDescent="0.25">
      <c r="A10" s="103">
        <v>19015</v>
      </c>
      <c r="B10" s="51" t="str">
        <f>IF($A10=0,"",VLOOKUP($A10,'BASE EQUIPO'!$A:$D,2))</f>
        <v>HERRAMIENTA MENOR</v>
      </c>
      <c r="C10" s="52"/>
      <c r="D10" s="53">
        <v>1</v>
      </c>
      <c r="E10" s="53">
        <f>IF($A10=0,"",VLOOKUP($A10,'BASE EQUIPO'!$A:$D,4)*H26)</f>
        <v>2.6840999999999999</v>
      </c>
      <c r="F10" s="53">
        <f t="shared" ref="F10:F15" si="0">IF($A10=0,"",ROUND(D10*E10,2))</f>
        <v>2.68</v>
      </c>
      <c r="G10" s="105">
        <v>1</v>
      </c>
      <c r="H10" s="54">
        <f t="shared" ref="H10:H15" si="1">IF($A10=0,"",ROUND(G10*F10,2))</f>
        <v>2.68</v>
      </c>
      <c r="I10" s="2"/>
    </row>
    <row r="11" spans="1:15" x14ac:dyDescent="0.25">
      <c r="A11" s="103">
        <v>19003</v>
      </c>
      <c r="B11" s="38" t="str">
        <f>IF($A11=0,"",VLOOKUP($A11,'BASE EQUIPO'!$A:$D,2))</f>
        <v>CONCRETERA</v>
      </c>
      <c r="C11" s="2"/>
      <c r="D11" s="55">
        <v>1</v>
      </c>
      <c r="E11" s="55">
        <f>IF($A11=0,"",VLOOKUP($A11,'BASE EQUIPO'!$A:$D,4))</f>
        <v>3.5</v>
      </c>
      <c r="F11" s="55">
        <f t="shared" si="0"/>
        <v>3.5</v>
      </c>
      <c r="G11" s="106">
        <f>+G20*0.5</f>
        <v>0.35</v>
      </c>
      <c r="H11" s="56">
        <f t="shared" si="1"/>
        <v>1.23</v>
      </c>
      <c r="I11" s="2"/>
    </row>
    <row r="12" spans="1:15" x14ac:dyDescent="0.25">
      <c r="A12" s="103">
        <v>19008</v>
      </c>
      <c r="B12" s="38" t="str">
        <f>IF($A12=0,"",VLOOKUP($A12,'BASE EQUIPO'!$A:$D,2))</f>
        <v>VIBRADOR</v>
      </c>
      <c r="C12" s="2"/>
      <c r="D12" s="55">
        <v>1</v>
      </c>
      <c r="E12" s="55">
        <f>IF($A12=0,"",VLOOKUP($A12,'BASE EQUIPO'!$A:$D,4))</f>
        <v>2.5</v>
      </c>
      <c r="F12" s="55">
        <f t="shared" si="0"/>
        <v>2.5</v>
      </c>
      <c r="G12" s="106">
        <f>+G20*0.5</f>
        <v>0.35</v>
      </c>
      <c r="H12" s="56">
        <f t="shared" si="1"/>
        <v>0.88</v>
      </c>
      <c r="I12" s="2"/>
    </row>
    <row r="13" spans="1:15" x14ac:dyDescent="0.25">
      <c r="B13" s="38" t="str">
        <f>IF($A13=0,"",VLOOKUP($A13,'BASE EQUIPO'!$A:$D,2))</f>
        <v/>
      </c>
      <c r="C13" s="2"/>
      <c r="D13" s="55"/>
      <c r="E13" s="55" t="str">
        <f>IF($A13=0,"",VLOOKUP($A13,'BASE EQUIPO'!$A:$D,4))</f>
        <v/>
      </c>
      <c r="F13" s="55" t="str">
        <f t="shared" si="0"/>
        <v/>
      </c>
      <c r="G13" s="106"/>
      <c r="H13" s="56" t="str">
        <f t="shared" si="1"/>
        <v/>
      </c>
      <c r="I13" s="2"/>
    </row>
    <row r="14" spans="1:15" x14ac:dyDescent="0.25">
      <c r="B14" s="38" t="str">
        <f>IF($A14=0,"",VLOOKUP($A14,'BASE EQUIPO'!$A:$D,2))</f>
        <v/>
      </c>
      <c r="C14" s="2"/>
      <c r="D14" s="55"/>
      <c r="E14" s="55" t="str">
        <f>IF($A14=0,"",VLOOKUP($A14,'BASE EQUIPO'!$A:$D,4))</f>
        <v/>
      </c>
      <c r="F14" s="55" t="str">
        <f t="shared" si="0"/>
        <v/>
      </c>
      <c r="G14" s="106"/>
      <c r="H14" s="56" t="str">
        <f t="shared" si="1"/>
        <v/>
      </c>
      <c r="I14" s="2"/>
    </row>
    <row r="15" spans="1:15" x14ac:dyDescent="0.25">
      <c r="B15" s="57" t="str">
        <f>IF($A15=0,"",VLOOKUP($A15,'BASE EQUIPO'!$A:$D,2))</f>
        <v/>
      </c>
      <c r="C15" s="58"/>
      <c r="D15" s="59"/>
      <c r="E15" s="59" t="str">
        <f>IF($A15=0,"",VLOOKUP($A15,'BASE EQUIPO'!$A:$D,4))</f>
        <v/>
      </c>
      <c r="F15" s="59" t="str">
        <f t="shared" si="0"/>
        <v/>
      </c>
      <c r="G15" s="107"/>
      <c r="H15" s="60" t="str">
        <f t="shared" si="1"/>
        <v/>
      </c>
      <c r="I15" s="2"/>
    </row>
    <row r="16" spans="1:15" x14ac:dyDescent="0.25">
      <c r="B16" s="57" t="s">
        <v>1692</v>
      </c>
      <c r="C16" s="58"/>
      <c r="D16" s="61"/>
      <c r="E16" s="61"/>
      <c r="F16" s="61"/>
      <c r="G16" s="62"/>
      <c r="H16" s="60">
        <f>ROUND(SUM(H9:H15),2)</f>
        <v>4.79</v>
      </c>
      <c r="I16" s="2"/>
    </row>
    <row r="17" spans="1:16" x14ac:dyDescent="0.25">
      <c r="B17" s="38" t="s">
        <v>1503</v>
      </c>
      <c r="C17" s="2"/>
      <c r="D17" s="3"/>
      <c r="E17" s="3"/>
      <c r="F17" s="3"/>
      <c r="G17" s="63"/>
      <c r="H17" s="56"/>
      <c r="I17" s="2"/>
    </row>
    <row r="18" spans="1:16" ht="25.5" x14ac:dyDescent="0.25">
      <c r="B18" s="64" t="s">
        <v>1691</v>
      </c>
      <c r="C18" s="65"/>
      <c r="D18" s="66" t="s">
        <v>1690</v>
      </c>
      <c r="E18" s="66" t="s">
        <v>1689</v>
      </c>
      <c r="F18" s="66" t="s">
        <v>1688</v>
      </c>
      <c r="G18" s="67" t="s">
        <v>1687</v>
      </c>
      <c r="H18" s="68" t="s">
        <v>1686</v>
      </c>
      <c r="I18" s="2"/>
    </row>
    <row r="19" spans="1:16" x14ac:dyDescent="0.25">
      <c r="A19" s="103">
        <v>20001</v>
      </c>
      <c r="B19" s="69" t="str">
        <f>IF($A19=0,"",VLOOKUP($A19,'BASE M-OBRA'!$A:$D,2))</f>
        <v>MAESTRO</v>
      </c>
      <c r="C19" s="2"/>
      <c r="D19" s="108">
        <v>1</v>
      </c>
      <c r="E19" s="70">
        <f>IF($A19=0,"",VLOOKUP($A19,'BASE M-OBRA'!$A:$D,4))</f>
        <v>3.02</v>
      </c>
      <c r="F19" s="55">
        <f t="shared" ref="F19:F25" si="2">IF($A19=0,"",ROUND(D19*E19,2))</f>
        <v>3.02</v>
      </c>
      <c r="G19" s="106">
        <f>IF($A19=0,"",ROUND(H19/F19,2))</f>
        <v>4.9400000000000004</v>
      </c>
      <c r="H19" s="56">
        <f>IF($A19=0,"",ROUND(SUM(H20:H25)*'BASE M-OBRA'!$D$23,2))</f>
        <v>14.91</v>
      </c>
      <c r="I19" s="2"/>
    </row>
    <row r="20" spans="1:16" x14ac:dyDescent="0.25">
      <c r="A20" s="103">
        <v>20002</v>
      </c>
      <c r="B20" s="69" t="str">
        <f>IF($A20=0,"",VLOOKUP($A20,'BASE M-OBRA'!$A:$D,2))</f>
        <v>PEON</v>
      </c>
      <c r="C20" s="2"/>
      <c r="D20" s="108">
        <v>8</v>
      </c>
      <c r="E20" s="70">
        <f>IF($A20=0,"",VLOOKUP($A20,'BASE M-OBRA'!$A:$D,4))</f>
        <v>2.79</v>
      </c>
      <c r="F20" s="55">
        <f t="shared" si="2"/>
        <v>22.32</v>
      </c>
      <c r="G20" s="106">
        <v>0.7</v>
      </c>
      <c r="H20" s="56">
        <f t="shared" ref="H20:H25" si="3">IF($A20=0,"",ROUND(G20*F20,2))</f>
        <v>15.62</v>
      </c>
      <c r="I20" s="2"/>
      <c r="K20" s="1">
        <f>(8.94*0+22.37)/1.2</f>
        <v>18.641666666666669</v>
      </c>
      <c r="L20" s="2">
        <f>H20+H21</f>
        <v>19.57</v>
      </c>
    </row>
    <row r="21" spans="1:16" x14ac:dyDescent="0.25">
      <c r="A21" s="103">
        <v>20003</v>
      </c>
      <c r="B21" s="69" t="str">
        <f>IF($A21=0,"",VLOOKUP($A21,'BASE M-OBRA'!$A:$D,2))</f>
        <v>ALBAÑIL</v>
      </c>
      <c r="C21" s="2"/>
      <c r="D21" s="108">
        <v>2</v>
      </c>
      <c r="E21" s="70">
        <f>IF($A21=0,"",VLOOKUP($A21,'BASE M-OBRA'!$A:$D,4))</f>
        <v>2.82</v>
      </c>
      <c r="F21" s="55">
        <f t="shared" si="2"/>
        <v>5.64</v>
      </c>
      <c r="G21" s="106">
        <f>+G20</f>
        <v>0.7</v>
      </c>
      <c r="H21" s="56">
        <f t="shared" si="3"/>
        <v>3.95</v>
      </c>
      <c r="I21" s="2"/>
    </row>
    <row r="22" spans="1:16" x14ac:dyDescent="0.25">
      <c r="A22" s="103">
        <v>20004</v>
      </c>
      <c r="B22" s="71" t="str">
        <f>IF($A22=0,"",VLOOKUP($A22,'BASE M-OBRA'!$A:$D,2))</f>
        <v>CARPINTERO</v>
      </c>
      <c r="C22" s="2"/>
      <c r="D22" s="108">
        <v>2</v>
      </c>
      <c r="E22" s="70">
        <f>IF($A22=0,"",VLOOKUP($A22,'BASE M-OBRA'!$A:$D,4))</f>
        <v>2.82</v>
      </c>
      <c r="F22" s="55">
        <f t="shared" si="2"/>
        <v>5.64</v>
      </c>
      <c r="G22" s="106">
        <v>6</v>
      </c>
      <c r="H22" s="56">
        <f t="shared" si="3"/>
        <v>33.840000000000003</v>
      </c>
      <c r="I22" s="2"/>
      <c r="K22" s="1">
        <f>(1.58*0+5.66)*K29/1.2</f>
        <v>33.016666666666673</v>
      </c>
    </row>
    <row r="23" spans="1:16" x14ac:dyDescent="0.25">
      <c r="A23" s="103">
        <v>20005</v>
      </c>
      <c r="B23" s="72" t="str">
        <f>IF($A23=0,"",VLOOKUP($A23,'BASE M-OBRA'!$A:$D,2))</f>
        <v>FIERRERO</v>
      </c>
      <c r="C23" s="2"/>
      <c r="D23" s="108">
        <v>2</v>
      </c>
      <c r="E23" s="70">
        <f>IF($A23=0,"",VLOOKUP($A23,'BASE M-OBRA'!$A:$D,4))</f>
        <v>2.82</v>
      </c>
      <c r="F23" s="55">
        <f t="shared" si="2"/>
        <v>5.64</v>
      </c>
      <c r="G23" s="106">
        <v>3.75</v>
      </c>
      <c r="H23" s="56">
        <f t="shared" si="3"/>
        <v>21.15</v>
      </c>
      <c r="I23" s="2"/>
      <c r="K23" s="1">
        <f>+F38*0.3/1.2</f>
        <v>21.25</v>
      </c>
    </row>
    <row r="24" spans="1:16" x14ac:dyDescent="0.25">
      <c r="B24" s="38" t="str">
        <f>IF($A24=0,"",VLOOKUP($A24,'BASE M-OBRA'!$A:$D,2))</f>
        <v/>
      </c>
      <c r="C24" s="2"/>
      <c r="D24" s="55"/>
      <c r="E24" s="55" t="str">
        <f>IF($A24=0,"",VLOOKUP($A24,'BASE M-OBRA'!$A:$D,4))</f>
        <v/>
      </c>
      <c r="F24" s="55" t="str">
        <f t="shared" si="2"/>
        <v/>
      </c>
      <c r="G24" s="106"/>
      <c r="H24" s="56" t="str">
        <f t="shared" si="3"/>
        <v/>
      </c>
      <c r="I24" s="2"/>
    </row>
    <row r="25" spans="1:16" x14ac:dyDescent="0.25">
      <c r="B25" s="57" t="str">
        <f>IF($A25=0,"",VLOOKUP($A25,'BASE M-OBRA'!$A:$D,2))</f>
        <v/>
      </c>
      <c r="C25" s="58"/>
      <c r="D25" s="59"/>
      <c r="E25" s="59" t="str">
        <f>IF($A25=0,"",VLOOKUP($A25,'BASE M-OBRA'!$A:$D,4))</f>
        <v/>
      </c>
      <c r="F25" s="59" t="str">
        <f t="shared" si="2"/>
        <v/>
      </c>
      <c r="G25" s="107"/>
      <c r="H25" s="60" t="str">
        <f t="shared" si="3"/>
        <v/>
      </c>
      <c r="I25" s="2"/>
    </row>
    <row r="26" spans="1:16" x14ac:dyDescent="0.25">
      <c r="B26" s="73" t="s">
        <v>1685</v>
      </c>
      <c r="C26" s="65"/>
      <c r="D26" s="74"/>
      <c r="E26" s="74"/>
      <c r="F26" s="74"/>
      <c r="G26" s="74"/>
      <c r="H26" s="75">
        <f>ROUND(SUM(H18:H25),2)</f>
        <v>89.47</v>
      </c>
      <c r="I26" s="2"/>
      <c r="K26" s="1">
        <f>SUM(K19:K25)</f>
        <v>72.908333333333346</v>
      </c>
    </row>
    <row r="27" spans="1:16" x14ac:dyDescent="0.25">
      <c r="B27" s="38" t="s">
        <v>1684</v>
      </c>
      <c r="C27" s="2"/>
      <c r="D27" s="3"/>
      <c r="E27" s="3"/>
      <c r="F27" s="3"/>
      <c r="G27" s="3"/>
      <c r="H27" s="56"/>
      <c r="I27" s="2"/>
    </row>
    <row r="28" spans="1:16" ht="25.5" x14ac:dyDescent="0.25">
      <c r="B28" s="64" t="s">
        <v>1409</v>
      </c>
      <c r="C28" s="65"/>
      <c r="D28" s="76"/>
      <c r="E28" s="66" t="s">
        <v>1408</v>
      </c>
      <c r="F28" s="66" t="s">
        <v>1679</v>
      </c>
      <c r="G28" s="66" t="s">
        <v>1683</v>
      </c>
      <c r="H28" s="68" t="s">
        <v>1675</v>
      </c>
      <c r="I28" s="2"/>
    </row>
    <row r="29" spans="1:16" x14ac:dyDescent="0.25">
      <c r="A29" s="103">
        <v>11008</v>
      </c>
      <c r="B29" s="37" t="str">
        <f>IF($A29=0,"",VLOOKUP($A29,'BASE MATERIAL'!$A:$D,2))</f>
        <v>TABLA</v>
      </c>
      <c r="C29" s="2"/>
      <c r="D29" s="77"/>
      <c r="E29" s="78" t="str">
        <f>IF($A29=0,"",VLOOKUP($A29,'BASE MATERIAL'!$A:$D,3))</f>
        <v>U</v>
      </c>
      <c r="F29" s="55">
        <f>ROUND(7*5/(4*3),2)</f>
        <v>2.92</v>
      </c>
      <c r="G29" s="55">
        <f>IF($A29=0,"",VLOOKUP($A29,'BASE MATERIAL'!$A:$D,4))</f>
        <v>3.5</v>
      </c>
      <c r="H29" s="56">
        <f t="shared" ref="H29:H43" si="4">IF($A29=0,"",ROUND(F29*G29,2))</f>
        <v>10.220000000000001</v>
      </c>
      <c r="I29" s="2"/>
      <c r="K29" s="1">
        <v>7</v>
      </c>
      <c r="L29" s="2"/>
      <c r="M29" s="2"/>
      <c r="N29" s="39"/>
      <c r="O29" s="2"/>
      <c r="P29" s="2"/>
    </row>
    <row r="30" spans="1:16" x14ac:dyDescent="0.25">
      <c r="A30" s="103">
        <v>11009</v>
      </c>
      <c r="B30" s="38" t="str">
        <f>IF($A30=0,"",VLOOKUP($A30,'BASE MATERIAL'!$A:$D,2))</f>
        <v>CUARTON</v>
      </c>
      <c r="C30" s="2"/>
      <c r="D30" s="77"/>
      <c r="E30" s="78" t="str">
        <f>IF($A30=0,"",VLOOKUP($A30,'BASE MATERIAL'!$A:$D,3))</f>
        <v>U</v>
      </c>
      <c r="F30" s="55">
        <f>ROUND(7*8/(4*3),2)</f>
        <v>4.67</v>
      </c>
      <c r="G30" s="55">
        <f>IF($A30=0,"",VLOOKUP($A30,'BASE MATERIAL'!$A:$D,4))</f>
        <v>2.42</v>
      </c>
      <c r="H30" s="56">
        <f t="shared" si="4"/>
        <v>11.3</v>
      </c>
      <c r="I30" s="2"/>
      <c r="L30" s="2"/>
      <c r="M30" s="2"/>
      <c r="N30" s="39"/>
      <c r="O30" s="2"/>
      <c r="P30" s="2"/>
    </row>
    <row r="31" spans="1:16" x14ac:dyDescent="0.25">
      <c r="A31" s="103">
        <v>11007</v>
      </c>
      <c r="B31" s="38" t="str">
        <f>IF($A31=0,"",VLOOKUP($A31,'BASE MATERIAL'!$A:$D,2))</f>
        <v>CLAVO 2 1/2"</v>
      </c>
      <c r="C31" s="2"/>
      <c r="D31" s="77"/>
      <c r="E31" s="78" t="str">
        <f>IF($A31=0,"",VLOOKUP($A31,'BASE MATERIAL'!$A:$D,3))</f>
        <v>KG</v>
      </c>
      <c r="F31" s="55">
        <f>ROUND(7*56/(178*1.5),2)</f>
        <v>1.47</v>
      </c>
      <c r="G31" s="55">
        <f>IF($A31=0,"",VLOOKUP($A31,'BASE MATERIAL'!$A:$D,4))</f>
        <v>2.6520000000000001</v>
      </c>
      <c r="H31" s="56">
        <f t="shared" si="4"/>
        <v>3.9</v>
      </c>
      <c r="I31" s="2"/>
      <c r="L31" s="2"/>
      <c r="M31" s="2"/>
      <c r="N31" s="39"/>
      <c r="O31" s="2"/>
      <c r="P31" s="2"/>
    </row>
    <row r="32" spans="1:16" x14ac:dyDescent="0.25">
      <c r="A32" s="103">
        <v>11010</v>
      </c>
      <c r="B32" s="38" t="str">
        <f>IF($A32=0,"",VLOOKUP($A32,'BASE MATERIAL'!$A:$D,2))</f>
        <v>TIRA</v>
      </c>
      <c r="C32" s="2"/>
      <c r="D32" s="77"/>
      <c r="E32" s="78" t="str">
        <f>IF($A32=0,"",VLOOKUP($A32,'BASE MATERIAL'!$A:$D,3))</f>
        <v>U</v>
      </c>
      <c r="F32" s="55">
        <f>ROUND(7*4/(4*3),2)</f>
        <v>2.33</v>
      </c>
      <c r="G32" s="55">
        <f>IF($A32=0,"",VLOOKUP($A32,'BASE MATERIAL'!$A:$D,4))</f>
        <v>1.5</v>
      </c>
      <c r="H32" s="56">
        <f t="shared" si="4"/>
        <v>3.5</v>
      </c>
      <c r="I32" s="2"/>
      <c r="L32" s="2"/>
      <c r="M32" s="2"/>
      <c r="N32" s="39"/>
      <c r="O32" s="2"/>
      <c r="P32" s="2"/>
    </row>
    <row r="33" spans="1:16" x14ac:dyDescent="0.25">
      <c r="A33" s="103">
        <v>4001</v>
      </c>
      <c r="B33" s="38" t="str">
        <f>IF($A33=0,"",VLOOKUP($A33,'BASE MATERIAL'!$A:$D,2))</f>
        <v>CEMENTO</v>
      </c>
      <c r="C33" s="2"/>
      <c r="D33" s="77"/>
      <c r="E33" s="78" t="str">
        <f>IF($A33=0,"",VLOOKUP($A33,'BASE MATERIAL'!$A:$D,3))</f>
        <v>SACO</v>
      </c>
      <c r="F33" s="55">
        <f>7*1.03</f>
        <v>7.21</v>
      </c>
      <c r="G33" s="55">
        <f>IF($A33=0,"",VLOOKUP($A33,'BASE MATERIAL'!$A:$D,4))</f>
        <v>7.09</v>
      </c>
      <c r="H33" s="56">
        <f>IF($A33=0,"",ROUND(F33*G33,2))</f>
        <v>51.12</v>
      </c>
      <c r="I33" s="2"/>
      <c r="L33" s="2"/>
      <c r="M33" s="2"/>
      <c r="N33" s="39"/>
      <c r="O33" s="2"/>
      <c r="P33" s="2"/>
    </row>
    <row r="34" spans="1:16" x14ac:dyDescent="0.25">
      <c r="A34" s="103">
        <v>5004</v>
      </c>
      <c r="B34" s="38" t="str">
        <f>IF($A34=0,"",VLOOKUP($A34,'BASE MATERIAL'!$A:$D,2))</f>
        <v>ARENA</v>
      </c>
      <c r="C34" s="2"/>
      <c r="D34" s="77"/>
      <c r="E34" s="78" t="str">
        <f>IF($A34=0,"",VLOOKUP($A34,'BASE MATERIAL'!$A:$D,3))</f>
        <v>M3</v>
      </c>
      <c r="F34" s="55">
        <f>ROUND(F33*0.032*2,2)</f>
        <v>0.46</v>
      </c>
      <c r="G34" s="80">
        <f>IF($A34=0,"",VLOOKUP($A34,'BASE MATERIAL'!$A:$D,4))</f>
        <v>12.276249999999999</v>
      </c>
      <c r="H34" s="56">
        <f>IF($A34=0,"",ROUND(F34*G34,2))</f>
        <v>5.65</v>
      </c>
      <c r="I34" s="2"/>
    </row>
    <row r="35" spans="1:16" x14ac:dyDescent="0.25">
      <c r="A35" s="103">
        <v>5002</v>
      </c>
      <c r="B35" s="38" t="str">
        <f>IF($A35=0,"",VLOOKUP($A35,'BASE MATERIAL'!$A:$D,2))</f>
        <v>PIEDRA 3-4</v>
      </c>
      <c r="C35" s="2"/>
      <c r="D35" s="77"/>
      <c r="E35" s="78" t="str">
        <f>IF($A35=0,"",VLOOKUP($A35,'BASE MATERIAL'!$A:$D,3))</f>
        <v>M3</v>
      </c>
      <c r="F35" s="55">
        <f>ROUND(F33*0.032*3,2)</f>
        <v>0.69</v>
      </c>
      <c r="G35" s="80">
        <f>IF($A35=0,"",VLOOKUP($A35,'BASE MATERIAL'!$A:$D,4))</f>
        <v>13.75</v>
      </c>
      <c r="H35" s="56">
        <f>IF($A35=0,"",ROUND(F35*G35,2))</f>
        <v>9.49</v>
      </c>
      <c r="I35" s="2"/>
      <c r="L35" s="2"/>
      <c r="M35" s="2"/>
      <c r="N35" s="39"/>
      <c r="O35" s="2"/>
      <c r="P35" s="2"/>
    </row>
    <row r="36" spans="1:16" x14ac:dyDescent="0.25">
      <c r="A36" s="103">
        <v>5005</v>
      </c>
      <c r="B36" s="38" t="str">
        <f>IF($A36=0,"",VLOOKUP($A36,'BASE MATERIAL'!$A:$D,2))</f>
        <v>AGUA</v>
      </c>
      <c r="C36" s="2"/>
      <c r="D36" s="77"/>
      <c r="E36" s="78" t="str">
        <f>IF($A36=0,"",VLOOKUP($A36,'BASE MATERIAL'!$A:$D,3))</f>
        <v>LT</v>
      </c>
      <c r="F36" s="55">
        <f>26*F33</f>
        <v>187.46</v>
      </c>
      <c r="G36" s="55">
        <f>IF($A36=0,"",VLOOKUP($A36,'BASE MATERIAL'!$A:$D,4))</f>
        <v>2E-3</v>
      </c>
      <c r="H36" s="56">
        <f>IF($A36=0,"",ROUND(F36*G36,2))</f>
        <v>0.37</v>
      </c>
      <c r="I36" s="2"/>
      <c r="L36" s="2"/>
      <c r="M36" s="2"/>
      <c r="N36" s="39"/>
      <c r="O36" s="2"/>
      <c r="P36" s="2"/>
    </row>
    <row r="37" spans="1:16" x14ac:dyDescent="0.25">
      <c r="B37" s="38" t="str">
        <f>IF($A37=0,"",VLOOKUP($A37,'BASE MATERIAL'!$A:$D,2))</f>
        <v/>
      </c>
      <c r="C37" s="2"/>
      <c r="D37" s="77"/>
      <c r="E37" s="78" t="str">
        <f>IF($A37=0,"",VLOOKUP($A37,'BASE MATERIAL'!$A:$D,3))</f>
        <v/>
      </c>
      <c r="F37" s="55"/>
      <c r="G37" s="55" t="str">
        <f>IF($A37=0,"",VLOOKUP($A37,'BASE MATERIAL'!$A:$D,4))</f>
        <v/>
      </c>
      <c r="H37" s="56" t="str">
        <f t="shared" si="4"/>
        <v/>
      </c>
      <c r="I37" s="2"/>
      <c r="L37" s="2"/>
      <c r="M37" s="2"/>
      <c r="N37" s="39"/>
      <c r="O37" s="2"/>
      <c r="P37" s="2"/>
    </row>
    <row r="38" spans="1:16" x14ac:dyDescent="0.25">
      <c r="A38" s="103">
        <v>1001</v>
      </c>
      <c r="B38" s="38" t="str">
        <f>IF($A38=0,"",VLOOKUP($A38,'BASE MATERIAL'!$A:$D,2))</f>
        <v>HIERRO</v>
      </c>
      <c r="C38" s="2"/>
      <c r="D38" s="77"/>
      <c r="E38" s="78" t="str">
        <f>IF($A38=0,"",VLOOKUP($A38,'BASE MATERIAL'!$A:$D,3))</f>
        <v>KG</v>
      </c>
      <c r="F38" s="55">
        <v>85</v>
      </c>
      <c r="G38" s="55">
        <f>IF($A38=0,"",VLOOKUP($A38,'BASE MATERIAL'!$A:$D,4))</f>
        <v>1.17</v>
      </c>
      <c r="H38" s="56">
        <f t="shared" si="4"/>
        <v>99.45</v>
      </c>
      <c r="I38" s="2"/>
      <c r="L38" s="2"/>
      <c r="M38" s="2"/>
      <c r="N38" s="39"/>
      <c r="O38" s="2"/>
      <c r="P38" s="2"/>
    </row>
    <row r="39" spans="1:16" x14ac:dyDescent="0.25">
      <c r="A39" s="103">
        <v>11002</v>
      </c>
      <c r="B39" s="38" t="str">
        <f>IF($A39=0,"",VLOOKUP($A39,'BASE MATERIAL'!$A:$D,2))</f>
        <v>ALAMBRE #18 RECOCIDO</v>
      </c>
      <c r="C39" s="2"/>
      <c r="D39" s="77"/>
      <c r="E39" s="78" t="str">
        <f>IF($A39=0,"",VLOOKUP($A39,'BASE MATERIAL'!$A:$D,3))</f>
        <v>KG</v>
      </c>
      <c r="F39" s="55">
        <f>+F38*0.03</f>
        <v>2.5499999999999998</v>
      </c>
      <c r="G39" s="55">
        <f>IF($A39=0,"",VLOOKUP($A39,'BASE MATERIAL'!$A:$D,4))</f>
        <v>1.87</v>
      </c>
      <c r="H39" s="56">
        <f t="shared" si="4"/>
        <v>4.7699999999999996</v>
      </c>
      <c r="I39" s="2"/>
      <c r="L39" s="2"/>
      <c r="M39" s="2"/>
      <c r="N39" s="39"/>
      <c r="O39" s="2"/>
      <c r="P39" s="2"/>
    </row>
    <row r="40" spans="1:16" x14ac:dyDescent="0.25">
      <c r="B40" s="38" t="str">
        <f>IF($A40=0,"",VLOOKUP($A40,'BASE MATERIAL'!$A:$D,2))</f>
        <v/>
      </c>
      <c r="C40" s="2"/>
      <c r="D40" s="77"/>
      <c r="E40" s="78" t="str">
        <f>IF($A40=0,"",VLOOKUP($A40,'BASE MATERIAL'!$A:$D,3))</f>
        <v/>
      </c>
      <c r="F40" s="55"/>
      <c r="G40" s="55" t="str">
        <f>IF($A40=0,"",VLOOKUP($A40,'BASE MATERIAL'!$A:$D,4))</f>
        <v/>
      </c>
      <c r="H40" s="56" t="str">
        <f t="shared" si="4"/>
        <v/>
      </c>
      <c r="I40" s="2"/>
    </row>
    <row r="41" spans="1:16" x14ac:dyDescent="0.25">
      <c r="B41" s="38" t="str">
        <f>IF($A41=0,"",VLOOKUP($A41,'BASE MATERIAL'!$A:$D,2))</f>
        <v/>
      </c>
      <c r="C41" s="2"/>
      <c r="D41" s="77"/>
      <c r="E41" s="78" t="str">
        <f>IF($A41=0,"",VLOOKUP($A41,'BASE MATERIAL'!$A:$D,3))</f>
        <v/>
      </c>
      <c r="F41" s="55"/>
      <c r="G41" s="55" t="str">
        <f>IF($A41=0,"",VLOOKUP($A41,'BASE MATERIAL'!$A:$D,4))</f>
        <v/>
      </c>
      <c r="H41" s="56" t="str">
        <f t="shared" si="4"/>
        <v/>
      </c>
      <c r="I41" s="2"/>
    </row>
    <row r="42" spans="1:16" x14ac:dyDescent="0.25">
      <c r="B42" s="38" t="str">
        <f>IF($A42=0,"",VLOOKUP($A42,'BASE MATERIAL'!$A:$D,2))</f>
        <v/>
      </c>
      <c r="C42" s="2"/>
      <c r="D42" s="77"/>
      <c r="E42" s="78" t="str">
        <f>IF($A42=0,"",VLOOKUP($A42,'BASE MATERIAL'!$A:$D,3))</f>
        <v/>
      </c>
      <c r="F42" s="55"/>
      <c r="G42" s="55" t="str">
        <f>IF($A42=0,"",VLOOKUP($A42,'BASE MATERIAL'!$A:$D,4))</f>
        <v/>
      </c>
      <c r="H42" s="56" t="str">
        <f t="shared" si="4"/>
        <v/>
      </c>
      <c r="I42" s="2"/>
    </row>
    <row r="43" spans="1:16" x14ac:dyDescent="0.25">
      <c r="B43" s="38" t="str">
        <f>IF($A43=0,"",VLOOKUP($A43,'BASE MATERIAL'!$A:$D,2))</f>
        <v/>
      </c>
      <c r="C43" s="2"/>
      <c r="D43" s="77"/>
      <c r="E43" s="78" t="str">
        <f>IF($A43=0,"",VLOOKUP($A43,'BASE MATERIAL'!$A:$D,3))</f>
        <v/>
      </c>
      <c r="F43" s="55"/>
      <c r="G43" s="55" t="str">
        <f>IF($A43=0,"",VLOOKUP($A43,'BASE MATERIAL'!$A:$D,4))</f>
        <v/>
      </c>
      <c r="H43" s="56" t="str">
        <f t="shared" si="4"/>
        <v/>
      </c>
      <c r="I43" s="2"/>
    </row>
    <row r="44" spans="1:16" x14ac:dyDescent="0.25">
      <c r="B44" s="38" t="str">
        <f>IF($A44=0,"",VLOOKUP($A44,'BASE MATERIAL'!$A:$D,2))</f>
        <v/>
      </c>
      <c r="C44" s="2"/>
      <c r="D44" s="81" t="s">
        <v>1682</v>
      </c>
      <c r="E44" s="55" t="str">
        <f>IF($A44=0,"",VLOOKUP($A44,'BASE MATERIAL'!$A:$D,3))</f>
        <v/>
      </c>
      <c r="F44" s="55" t="s">
        <v>1682</v>
      </c>
      <c r="G44" s="55" t="str">
        <f>IF($A44=0,"",VLOOKUP($A44,'BASE MATERIAL'!$A:$D,4))</f>
        <v/>
      </c>
      <c r="H44" s="56" t="str">
        <f>IF($A44=0,"",ROUND(E44*F44,2))</f>
        <v/>
      </c>
      <c r="I44" s="2"/>
    </row>
    <row r="45" spans="1:16" x14ac:dyDescent="0.25">
      <c r="B45" s="73" t="s">
        <v>1681</v>
      </c>
      <c r="C45" s="65"/>
      <c r="D45" s="74"/>
      <c r="E45" s="74"/>
      <c r="F45" s="74"/>
      <c r="G45" s="74"/>
      <c r="H45" s="75">
        <f>ROUND(SUM(H28:H44),2)</f>
        <v>199.77</v>
      </c>
      <c r="I45" s="2"/>
    </row>
    <row r="46" spans="1:16" x14ac:dyDescent="0.25">
      <c r="B46" s="38" t="s">
        <v>1680</v>
      </c>
      <c r="C46" s="2"/>
      <c r="D46" s="3"/>
      <c r="E46" s="3"/>
      <c r="F46" s="3"/>
      <c r="G46" s="3"/>
      <c r="H46" s="56"/>
      <c r="I46" s="2"/>
    </row>
    <row r="47" spans="1:16" ht="25.5" x14ac:dyDescent="0.25">
      <c r="B47" s="64" t="s">
        <v>1409</v>
      </c>
      <c r="C47" s="65"/>
      <c r="D47" s="76"/>
      <c r="E47" s="66" t="s">
        <v>1408</v>
      </c>
      <c r="F47" s="66" t="s">
        <v>1679</v>
      </c>
      <c r="G47" s="66" t="s">
        <v>1676</v>
      </c>
      <c r="H47" s="68" t="s">
        <v>1675</v>
      </c>
      <c r="I47" s="2"/>
    </row>
    <row r="48" spans="1:16" x14ac:dyDescent="0.25">
      <c r="A48" s="103">
        <v>19019</v>
      </c>
      <c r="B48" s="51" t="str">
        <f>IF($A48=0,"",VLOOKUP($A48,'BASE EQUIPO'!$A:$D,2))</f>
        <v>TRANSPORTE DE MATERIAL</v>
      </c>
      <c r="C48" s="52"/>
      <c r="D48" s="82"/>
      <c r="E48" s="78" t="str">
        <f>IF($A48=0,"",VLOOKUP($A48,'BASE EQUIPO'!$A:$D,3))</f>
        <v>GLOBAL</v>
      </c>
      <c r="F48" s="55">
        <v>1</v>
      </c>
      <c r="G48" s="83">
        <f>IF($A48=0,"",VLOOKUP($A48,'BASE EQUIPO'!$A:$D,4)*H45)+0.23</f>
        <v>6.2231000000000005</v>
      </c>
      <c r="H48" s="56">
        <f>IF($A48=0,"",ROUND(F48*G48,2))</f>
        <v>6.22</v>
      </c>
      <c r="I48" s="2"/>
    </row>
    <row r="49" spans="1:15" x14ac:dyDescent="0.25">
      <c r="B49" s="38" t="str">
        <f>IF($A49=0,"",VLOOKUP($A49,'BASE EQUIPO'!$A:$D,2))</f>
        <v/>
      </c>
      <c r="C49" s="2"/>
      <c r="D49" s="84"/>
      <c r="E49" s="78" t="str">
        <f>IF($A49=0,"",VLOOKUP($A49,'BASE EQUIPO'!$A:$D,3))</f>
        <v/>
      </c>
      <c r="F49" s="55"/>
      <c r="G49" s="55" t="str">
        <f>IF($A49=0,"",VLOOKUP($A49,'BASE EQUIPO'!$A:$D,4)*H46)</f>
        <v/>
      </c>
      <c r="H49" s="56" t="str">
        <f>IF($A49=0,"",ROUND(F49*G49,2))</f>
        <v/>
      </c>
      <c r="I49" s="2"/>
    </row>
    <row r="50" spans="1:15" x14ac:dyDescent="0.25">
      <c r="B50" s="57" t="str">
        <f>IF($A50=0,"",VLOOKUP($A50,'BASE EQUIPO'!$A:$D,2))</f>
        <v/>
      </c>
      <c r="C50" s="58"/>
      <c r="D50" s="85"/>
      <c r="E50" s="86" t="str">
        <f>IF($A50=0,"",VLOOKUP($A50,'BASE EQUIPO'!$A:$D,3))</f>
        <v/>
      </c>
      <c r="F50" s="59"/>
      <c r="G50" s="59" t="str">
        <f>IF($A50=0,"",VLOOKUP($A50,'BASE EQUIPO'!$A:$D,4)*H47)</f>
        <v/>
      </c>
      <c r="H50" s="60" t="str">
        <f>IF($A50=0,"",ROUND(F50*G50,2))</f>
        <v/>
      </c>
      <c r="I50" s="2"/>
    </row>
    <row r="51" spans="1:15" ht="15.75" thickBot="1" x14ac:dyDescent="0.3">
      <c r="B51" s="87" t="s">
        <v>1674</v>
      </c>
      <c r="C51" s="88"/>
      <c r="D51" s="89"/>
      <c r="E51" s="89"/>
      <c r="F51" s="89"/>
      <c r="G51" s="89"/>
      <c r="H51" s="90">
        <f>ROUND(SUM(H47:H50),2)</f>
        <v>6.22</v>
      </c>
      <c r="I51" s="2"/>
    </row>
    <row r="52" spans="1:15" ht="15.75" x14ac:dyDescent="0.25">
      <c r="B52" s="2"/>
      <c r="C52" s="2"/>
      <c r="D52" s="91" t="s">
        <v>1673</v>
      </c>
      <c r="E52" s="47"/>
      <c r="F52" s="47"/>
      <c r="G52" s="47"/>
      <c r="H52" s="92">
        <f>ROUND(SUM(H51,H45,H26,H16),2)</f>
        <v>300.25</v>
      </c>
      <c r="I52" s="2"/>
    </row>
    <row r="53" spans="1:15" ht="15.75" x14ac:dyDescent="0.25">
      <c r="A53" s="103">
        <v>40002</v>
      </c>
      <c r="B53" s="2"/>
      <c r="C53" s="2"/>
      <c r="D53" s="93" t="s">
        <v>1672</v>
      </c>
      <c r="E53" s="65"/>
      <c r="F53" s="65"/>
      <c r="G53" s="94">
        <f>IF($A53=0,"",VLOOKUP($A53,'BASE MATERIAL'!$M:$P,4))</f>
        <v>0</v>
      </c>
      <c r="H53" s="95">
        <f>IF($A53=0,"",ROUND(G53*H52,2))</f>
        <v>0</v>
      </c>
      <c r="I53" s="2"/>
    </row>
    <row r="54" spans="1:15" ht="15.75" x14ac:dyDescent="0.25">
      <c r="A54" s="103">
        <v>40003</v>
      </c>
      <c r="B54" s="2"/>
      <c r="C54" s="2"/>
      <c r="D54" s="93" t="s">
        <v>1671</v>
      </c>
      <c r="E54" s="65"/>
      <c r="F54" s="65"/>
      <c r="G54" s="94">
        <f>IF($A54=0,"",VLOOKUP($A54,'BASE MATERIAL'!$M:$P,4))</f>
        <v>0</v>
      </c>
      <c r="H54" s="95">
        <f>IF($A54=0,"",ROUND(G54*H52,2))</f>
        <v>0</v>
      </c>
      <c r="I54" s="2"/>
    </row>
    <row r="55" spans="1:15" ht="15.75" x14ac:dyDescent="0.25">
      <c r="B55" s="2"/>
      <c r="C55" s="2"/>
      <c r="D55" s="93" t="s">
        <v>1670</v>
      </c>
      <c r="E55" s="65"/>
      <c r="F55" s="65"/>
      <c r="G55" s="65"/>
      <c r="H55" s="96">
        <f>ROUND(SUM(H52:H54),2)</f>
        <v>300.25</v>
      </c>
      <c r="I55" s="2"/>
    </row>
    <row r="56" spans="1:15" ht="16.5" thickBot="1" x14ac:dyDescent="0.3">
      <c r="B56" s="25"/>
      <c r="C56" s="2"/>
      <c r="D56" s="97" t="s">
        <v>1650</v>
      </c>
      <c r="E56" s="88"/>
      <c r="F56" s="88"/>
      <c r="G56" s="88"/>
      <c r="H56" s="98">
        <f>ROUND(H55,2)</f>
        <v>300.25</v>
      </c>
      <c r="I56" s="2"/>
    </row>
    <row r="57" spans="1:15" ht="15.75" x14ac:dyDescent="0.25">
      <c r="B57" s="34" t="s">
        <v>1701</v>
      </c>
      <c r="C57" s="2"/>
      <c r="D57" s="3" t="str">
        <f>$D$1</f>
        <v>ESPOL</v>
      </c>
      <c r="E57" s="2"/>
      <c r="F57" s="2"/>
      <c r="H57" s="2" t="s">
        <v>108</v>
      </c>
      <c r="I57" s="2"/>
      <c r="L57" s="40">
        <f>A61</f>
        <v>3</v>
      </c>
      <c r="M57" s="1" t="str">
        <f>C62</f>
        <v>Zapata y Vigas de cimentacion</v>
      </c>
      <c r="N57" s="2" t="str">
        <f>H61</f>
        <v>m3</v>
      </c>
      <c r="O57" s="2">
        <f>H112</f>
        <v>375.27</v>
      </c>
    </row>
    <row r="58" spans="1:15" ht="15.75" x14ac:dyDescent="0.25">
      <c r="B58" s="34" t="s">
        <v>1700</v>
      </c>
      <c r="C58" s="3">
        <f>'1.1'!$C$2</f>
        <v>0</v>
      </c>
      <c r="D58" s="2"/>
      <c r="E58" s="2"/>
      <c r="F58" s="2"/>
      <c r="G58" s="41" t="s">
        <v>1699</v>
      </c>
      <c r="H58" s="42"/>
      <c r="I58" s="2" t="s">
        <v>1698</v>
      </c>
    </row>
    <row r="59" spans="1:15" ht="15.75" x14ac:dyDescent="0.25">
      <c r="B59" s="34"/>
      <c r="C59" s="3">
        <f>'1.1'!$C$3</f>
        <v>0</v>
      </c>
      <c r="D59" s="2"/>
      <c r="E59" s="2"/>
      <c r="F59" s="2"/>
      <c r="G59" s="2"/>
      <c r="H59" s="2"/>
      <c r="I59" s="2"/>
    </row>
    <row r="60" spans="1:15" ht="15.75" x14ac:dyDescent="0.25">
      <c r="B60" s="34" t="s">
        <v>1697</v>
      </c>
      <c r="C60" s="3"/>
      <c r="D60" s="2"/>
      <c r="E60" s="2"/>
      <c r="F60" s="2"/>
      <c r="G60" s="2"/>
      <c r="H60" s="2"/>
      <c r="I60" s="2"/>
    </row>
    <row r="61" spans="1:15" x14ac:dyDescent="0.25">
      <c r="A61" s="104">
        <v>3</v>
      </c>
      <c r="B61" s="2" t="s">
        <v>1586</v>
      </c>
      <c r="C61" s="36" t="s">
        <v>1562</v>
      </c>
      <c r="D61" s="2"/>
      <c r="G61" s="2" t="s">
        <v>1696</v>
      </c>
      <c r="H61" s="3" t="s">
        <v>1521</v>
      </c>
      <c r="I61" s="2"/>
    </row>
    <row r="62" spans="1:15" x14ac:dyDescent="0.25">
      <c r="B62" s="1" t="s">
        <v>1585</v>
      </c>
      <c r="C62" s="36" t="s">
        <v>638</v>
      </c>
      <c r="D62" s="2"/>
      <c r="E62" s="2"/>
      <c r="F62" s="2"/>
      <c r="G62" s="2"/>
      <c r="H62" s="2"/>
      <c r="I62" s="2"/>
    </row>
    <row r="63" spans="1:15" ht="15.75" thickBot="1" x14ac:dyDescent="0.3">
      <c r="D63" s="2"/>
      <c r="E63" s="2"/>
      <c r="F63" s="2"/>
      <c r="G63" s="2"/>
      <c r="H63" s="2"/>
      <c r="I63" s="2"/>
    </row>
    <row r="64" spans="1:15" ht="15.75" thickBot="1" x14ac:dyDescent="0.3">
      <c r="B64" s="43" t="s">
        <v>1695</v>
      </c>
      <c r="C64" s="44"/>
      <c r="D64" s="44"/>
      <c r="E64" s="44"/>
      <c r="F64" s="44"/>
      <c r="G64" s="44"/>
      <c r="H64" s="45"/>
      <c r="I64" s="2"/>
    </row>
    <row r="65" spans="1:12" ht="25.5" x14ac:dyDescent="0.25">
      <c r="B65" s="46" t="s">
        <v>1409</v>
      </c>
      <c r="C65" s="47"/>
      <c r="D65" s="48" t="s">
        <v>1690</v>
      </c>
      <c r="E65" s="48" t="s">
        <v>1694</v>
      </c>
      <c r="F65" s="48" t="s">
        <v>1693</v>
      </c>
      <c r="G65" s="49" t="s">
        <v>1687</v>
      </c>
      <c r="H65" s="50" t="s">
        <v>1686</v>
      </c>
      <c r="I65" s="2"/>
    </row>
    <row r="66" spans="1:12" x14ac:dyDescent="0.25">
      <c r="A66" s="103">
        <v>19015</v>
      </c>
      <c r="B66" s="51" t="str">
        <f>IF($A66=0,"",VLOOKUP($A66,'BASE EQUIPO'!$A:$D,2))</f>
        <v>HERRAMIENTA MENOR</v>
      </c>
      <c r="C66" s="52"/>
      <c r="D66" s="53">
        <v>1</v>
      </c>
      <c r="E66" s="53">
        <f>IF($A66=0,"",VLOOKUP($A66,'BASE EQUIPO'!$A:$D,4)*H82)</f>
        <v>2.9693999999999998</v>
      </c>
      <c r="F66" s="53">
        <f t="shared" ref="F66:F71" si="5">IF($A66=0,"",ROUND(D66*E66,2))</f>
        <v>2.97</v>
      </c>
      <c r="G66" s="105">
        <v>1</v>
      </c>
      <c r="H66" s="54">
        <f t="shared" ref="H66:H71" si="6">IF($A66=0,"",ROUND(G66*F66,2))</f>
        <v>2.97</v>
      </c>
      <c r="I66" s="2"/>
    </row>
    <row r="67" spans="1:12" x14ac:dyDescent="0.25">
      <c r="A67" s="103">
        <v>19003</v>
      </c>
      <c r="B67" s="38" t="str">
        <f>IF($A67=0,"",VLOOKUP($A67,'BASE EQUIPO'!$A:$D,2))</f>
        <v>CONCRETERA</v>
      </c>
      <c r="C67" s="2"/>
      <c r="D67" s="55">
        <v>1</v>
      </c>
      <c r="E67" s="55">
        <f>IF($A67=0,"",VLOOKUP($A67,'BASE EQUIPO'!$A:$D,4))</f>
        <v>3.5</v>
      </c>
      <c r="F67" s="55">
        <f t="shared" si="5"/>
        <v>3.5</v>
      </c>
      <c r="G67" s="106">
        <f>+G76*0.5</f>
        <v>0.32500000000000001</v>
      </c>
      <c r="H67" s="56">
        <f t="shared" si="6"/>
        <v>1.1399999999999999</v>
      </c>
      <c r="I67" s="2"/>
    </row>
    <row r="68" spans="1:12" x14ac:dyDescent="0.25">
      <c r="A68" s="103">
        <v>19008</v>
      </c>
      <c r="B68" s="38" t="str">
        <f>IF($A68=0,"",VLOOKUP($A68,'BASE EQUIPO'!$A:$D,2))</f>
        <v>VIBRADOR</v>
      </c>
      <c r="C68" s="2"/>
      <c r="D68" s="55">
        <v>1</v>
      </c>
      <c r="E68" s="55">
        <f>IF($A68=0,"",VLOOKUP($A68,'BASE EQUIPO'!$A:$D,4))</f>
        <v>2.5</v>
      </c>
      <c r="F68" s="55">
        <f t="shared" si="5"/>
        <v>2.5</v>
      </c>
      <c r="G68" s="106">
        <f>+G76*0.5</f>
        <v>0.32500000000000001</v>
      </c>
      <c r="H68" s="56">
        <f t="shared" si="6"/>
        <v>0.81</v>
      </c>
      <c r="I68" s="2"/>
    </row>
    <row r="69" spans="1:12" x14ac:dyDescent="0.25">
      <c r="B69" s="38" t="str">
        <f>IF($A69=0,"",VLOOKUP($A69,'BASE EQUIPO'!$A:$D,2))</f>
        <v/>
      </c>
      <c r="C69" s="2"/>
      <c r="D69" s="55"/>
      <c r="E69" s="55" t="str">
        <f>IF($A69=0,"",VLOOKUP($A69,'BASE EQUIPO'!$A:$D,4))</f>
        <v/>
      </c>
      <c r="F69" s="55" t="str">
        <f t="shared" si="5"/>
        <v/>
      </c>
      <c r="G69" s="106"/>
      <c r="H69" s="56" t="str">
        <f t="shared" si="6"/>
        <v/>
      </c>
      <c r="I69" s="2"/>
    </row>
    <row r="70" spans="1:12" x14ac:dyDescent="0.25">
      <c r="B70" s="38" t="str">
        <f>IF($A70=0,"",VLOOKUP($A70,'BASE EQUIPO'!$A:$D,2))</f>
        <v/>
      </c>
      <c r="C70" s="2"/>
      <c r="D70" s="55"/>
      <c r="E70" s="55" t="str">
        <f>IF($A70=0,"",VLOOKUP($A70,'BASE EQUIPO'!$A:$D,4))</f>
        <v/>
      </c>
      <c r="F70" s="55" t="str">
        <f t="shared" si="5"/>
        <v/>
      </c>
      <c r="G70" s="106"/>
      <c r="H70" s="56" t="str">
        <f t="shared" si="6"/>
        <v/>
      </c>
      <c r="I70" s="2"/>
    </row>
    <row r="71" spans="1:12" x14ac:dyDescent="0.25">
      <c r="B71" s="57" t="str">
        <f>IF($A71=0,"",VLOOKUP($A71,'BASE EQUIPO'!$A:$D,2))</f>
        <v/>
      </c>
      <c r="C71" s="58"/>
      <c r="D71" s="59"/>
      <c r="E71" s="59" t="str">
        <f>IF($A71=0,"",VLOOKUP($A71,'BASE EQUIPO'!$A:$D,4))</f>
        <v/>
      </c>
      <c r="F71" s="59" t="str">
        <f t="shared" si="5"/>
        <v/>
      </c>
      <c r="G71" s="107"/>
      <c r="H71" s="60" t="str">
        <f t="shared" si="6"/>
        <v/>
      </c>
      <c r="I71" s="2"/>
    </row>
    <row r="72" spans="1:12" x14ac:dyDescent="0.25">
      <c r="B72" s="57" t="s">
        <v>1692</v>
      </c>
      <c r="C72" s="58"/>
      <c r="D72" s="61"/>
      <c r="E72" s="61"/>
      <c r="F72" s="61"/>
      <c r="G72" s="62"/>
      <c r="H72" s="60">
        <f>ROUND(SUM(H65:H71),2)</f>
        <v>4.92</v>
      </c>
      <c r="I72" s="2"/>
    </row>
    <row r="73" spans="1:12" x14ac:dyDescent="0.25">
      <c r="B73" s="38" t="s">
        <v>1503</v>
      </c>
      <c r="C73" s="2"/>
      <c r="D73" s="3"/>
      <c r="E73" s="3"/>
      <c r="F73" s="3"/>
      <c r="G73" s="63"/>
      <c r="H73" s="56"/>
      <c r="I73" s="2"/>
    </row>
    <row r="74" spans="1:12" ht="25.5" x14ac:dyDescent="0.25">
      <c r="B74" s="64" t="s">
        <v>1691</v>
      </c>
      <c r="C74" s="65"/>
      <c r="D74" s="66" t="s">
        <v>1690</v>
      </c>
      <c r="E74" s="66" t="s">
        <v>1689</v>
      </c>
      <c r="F74" s="66" t="s">
        <v>1688</v>
      </c>
      <c r="G74" s="67" t="s">
        <v>1687</v>
      </c>
      <c r="H74" s="68" t="s">
        <v>1686</v>
      </c>
      <c r="I74" s="2"/>
    </row>
    <row r="75" spans="1:12" x14ac:dyDescent="0.25">
      <c r="A75" s="103">
        <v>20001</v>
      </c>
      <c r="B75" s="69" t="str">
        <f>IF($A75=0,"",VLOOKUP($A75,'BASE M-OBRA'!$A:$D,2))</f>
        <v>MAESTRO</v>
      </c>
      <c r="C75" s="2"/>
      <c r="D75" s="108">
        <v>1</v>
      </c>
      <c r="E75" s="70">
        <f>IF($A75=0,"",VLOOKUP($A75,'BASE M-OBRA'!$A:$D,4))</f>
        <v>3.02</v>
      </c>
      <c r="F75" s="55">
        <f t="shared" ref="F75:F81" si="7">IF($A75=0,"",ROUND(D75*E75,2))</f>
        <v>3.02</v>
      </c>
      <c r="G75" s="106">
        <f>IF($A75=0,"",ROUND(H75/F75,2))</f>
        <v>5.46</v>
      </c>
      <c r="H75" s="56">
        <f>IF($A75=0,"",ROUND(SUM(H76:H81)*'BASE M-OBRA'!$D$23,2))</f>
        <v>16.5</v>
      </c>
      <c r="I75" s="2"/>
    </row>
    <row r="76" spans="1:12" x14ac:dyDescent="0.25">
      <c r="A76" s="103">
        <v>20002</v>
      </c>
      <c r="B76" s="69" t="str">
        <f>IF($A76=0,"",VLOOKUP($A76,'BASE M-OBRA'!$A:$D,2))</f>
        <v>PEON</v>
      </c>
      <c r="C76" s="2"/>
      <c r="D76" s="108">
        <v>8</v>
      </c>
      <c r="E76" s="70">
        <f>IF($A76=0,"",VLOOKUP($A76,'BASE M-OBRA'!$A:$D,4))</f>
        <v>2.79</v>
      </c>
      <c r="F76" s="55">
        <f t="shared" si="7"/>
        <v>22.32</v>
      </c>
      <c r="G76" s="106">
        <v>0.65</v>
      </c>
      <c r="H76" s="56">
        <f t="shared" ref="H76:H81" si="8">IF($A76=0,"",ROUND(G76*F76,2))</f>
        <v>14.51</v>
      </c>
      <c r="I76" s="2"/>
      <c r="K76" s="1">
        <f>(8.94*0+22.37)/1.2</f>
        <v>18.641666666666669</v>
      </c>
      <c r="L76" s="2">
        <f>H76+H77</f>
        <v>18.18</v>
      </c>
    </row>
    <row r="77" spans="1:12" x14ac:dyDescent="0.25">
      <c r="A77" s="103">
        <v>20003</v>
      </c>
      <c r="B77" s="69" t="str">
        <f>IF($A77=0,"",VLOOKUP($A77,'BASE M-OBRA'!$A:$D,2))</f>
        <v>ALBAÑIL</v>
      </c>
      <c r="C77" s="2"/>
      <c r="D77" s="108">
        <v>2</v>
      </c>
      <c r="E77" s="70">
        <f>IF($A77=0,"",VLOOKUP($A77,'BASE M-OBRA'!$A:$D,4))</f>
        <v>2.82</v>
      </c>
      <c r="F77" s="55">
        <f t="shared" si="7"/>
        <v>5.64</v>
      </c>
      <c r="G77" s="106">
        <f>+G76</f>
        <v>0.65</v>
      </c>
      <c r="H77" s="56">
        <f t="shared" si="8"/>
        <v>3.67</v>
      </c>
      <c r="I77" s="2"/>
    </row>
    <row r="78" spans="1:12" x14ac:dyDescent="0.25">
      <c r="A78" s="103">
        <v>20004</v>
      </c>
      <c r="B78" s="71" t="str">
        <f>IF($A78=0,"",VLOOKUP($A78,'BASE M-OBRA'!$A:$D,2))</f>
        <v>CARPINTERO</v>
      </c>
      <c r="C78" s="2"/>
      <c r="D78" s="108">
        <v>2</v>
      </c>
      <c r="E78" s="70">
        <f>IF($A78=0,"",VLOOKUP($A78,'BASE M-OBRA'!$A:$D,4))</f>
        <v>2.82</v>
      </c>
      <c r="F78" s="55">
        <f t="shared" si="7"/>
        <v>5.64</v>
      </c>
      <c r="G78" s="106">
        <v>6</v>
      </c>
      <c r="H78" s="56">
        <f t="shared" si="8"/>
        <v>33.840000000000003</v>
      </c>
      <c r="I78" s="2"/>
      <c r="K78" s="1">
        <f>(1.58*0+5.66)*K85/1.2</f>
        <v>47.166666666666671</v>
      </c>
    </row>
    <row r="79" spans="1:12" x14ac:dyDescent="0.25">
      <c r="A79" s="103">
        <v>20005</v>
      </c>
      <c r="B79" s="72" t="str">
        <f>IF($A79=0,"",VLOOKUP($A79,'BASE M-OBRA'!$A:$D,2))</f>
        <v>FIERRERO</v>
      </c>
      <c r="C79" s="2"/>
      <c r="D79" s="108">
        <v>2</v>
      </c>
      <c r="E79" s="70">
        <f>IF($A79=0,"",VLOOKUP($A79,'BASE M-OBRA'!$A:$D,4))</f>
        <v>2.82</v>
      </c>
      <c r="F79" s="55">
        <f t="shared" si="7"/>
        <v>5.64</v>
      </c>
      <c r="G79" s="106">
        <v>5.4</v>
      </c>
      <c r="H79" s="56">
        <f t="shared" si="8"/>
        <v>30.46</v>
      </c>
      <c r="I79" s="2"/>
      <c r="K79" s="1">
        <f>+F94*0.3/1.2</f>
        <v>29.749999999999996</v>
      </c>
    </row>
    <row r="80" spans="1:12" x14ac:dyDescent="0.25">
      <c r="B80" s="38" t="str">
        <f>IF($A80=0,"",VLOOKUP($A80,'BASE M-OBRA'!$A:$D,2))</f>
        <v/>
      </c>
      <c r="C80" s="2"/>
      <c r="D80" s="55"/>
      <c r="E80" s="55" t="str">
        <f>IF($A80=0,"",VLOOKUP($A80,'BASE M-OBRA'!$A:$D,4))</f>
        <v/>
      </c>
      <c r="F80" s="55" t="str">
        <f t="shared" si="7"/>
        <v/>
      </c>
      <c r="G80" s="106"/>
      <c r="H80" s="56" t="str">
        <f t="shared" si="8"/>
        <v/>
      </c>
      <c r="I80" s="2"/>
    </row>
    <row r="81" spans="1:16" x14ac:dyDescent="0.25">
      <c r="B81" s="57" t="str">
        <f>IF($A81=0,"",VLOOKUP($A81,'BASE M-OBRA'!$A:$D,2))</f>
        <v/>
      </c>
      <c r="C81" s="58"/>
      <c r="D81" s="59"/>
      <c r="E81" s="59" t="str">
        <f>IF($A81=0,"",VLOOKUP($A81,'BASE M-OBRA'!$A:$D,4))</f>
        <v/>
      </c>
      <c r="F81" s="59" t="str">
        <f t="shared" si="7"/>
        <v/>
      </c>
      <c r="G81" s="107"/>
      <c r="H81" s="60" t="str">
        <f t="shared" si="8"/>
        <v/>
      </c>
      <c r="I81" s="2"/>
    </row>
    <row r="82" spans="1:16" x14ac:dyDescent="0.25">
      <c r="B82" s="73" t="s">
        <v>1685</v>
      </c>
      <c r="C82" s="65"/>
      <c r="D82" s="74"/>
      <c r="E82" s="74"/>
      <c r="F82" s="74"/>
      <c r="G82" s="74"/>
      <c r="H82" s="75">
        <f>ROUND(SUM(H74:H81),2)</f>
        <v>98.98</v>
      </c>
      <c r="I82" s="2"/>
    </row>
    <row r="83" spans="1:16" x14ac:dyDescent="0.25">
      <c r="B83" s="38" t="s">
        <v>1684</v>
      </c>
      <c r="C83" s="2"/>
      <c r="D83" s="3"/>
      <c r="E83" s="3"/>
      <c r="F83" s="3"/>
      <c r="G83" s="3"/>
      <c r="H83" s="56"/>
      <c r="I83" s="2"/>
    </row>
    <row r="84" spans="1:16" ht="25.5" x14ac:dyDescent="0.25">
      <c r="B84" s="64" t="s">
        <v>1409</v>
      </c>
      <c r="C84" s="65"/>
      <c r="D84" s="76"/>
      <c r="E84" s="66" t="s">
        <v>1408</v>
      </c>
      <c r="F84" s="66" t="s">
        <v>1679</v>
      </c>
      <c r="G84" s="66" t="s">
        <v>1683</v>
      </c>
      <c r="H84" s="68" t="s">
        <v>1675</v>
      </c>
      <c r="I84" s="2"/>
    </row>
    <row r="85" spans="1:16" x14ac:dyDescent="0.25">
      <c r="A85" s="103">
        <v>11008</v>
      </c>
      <c r="B85" s="37" t="str">
        <f>IF($A85=0,"",VLOOKUP($A85,'BASE MATERIAL'!$A:$D,2))</f>
        <v>TABLA</v>
      </c>
      <c r="C85" s="2"/>
      <c r="D85" s="77"/>
      <c r="E85" s="78" t="str">
        <f>IF($A85=0,"",VLOOKUP($A85,'BASE MATERIAL'!$A:$D,3))</f>
        <v>U</v>
      </c>
      <c r="F85" s="55">
        <f>ROUND(10*5/(4*3),2)</f>
        <v>4.17</v>
      </c>
      <c r="G85" s="55">
        <f>IF($A85=0,"",VLOOKUP($A85,'BASE MATERIAL'!$A:$D,4))</f>
        <v>3.5</v>
      </c>
      <c r="H85" s="56">
        <f t="shared" ref="H85:H99" si="9">IF($A85=0,"",ROUND(F85*G85,2))</f>
        <v>14.6</v>
      </c>
      <c r="I85" s="2"/>
      <c r="K85" s="1">
        <f>0.25*2/(0.25*0.2)</f>
        <v>10</v>
      </c>
      <c r="L85" s="2"/>
      <c r="M85" s="2"/>
      <c r="N85" s="39"/>
      <c r="O85" s="2"/>
      <c r="P85" s="2"/>
    </row>
    <row r="86" spans="1:16" x14ac:dyDescent="0.25">
      <c r="A86" s="103">
        <v>11009</v>
      </c>
      <c r="B86" s="38" t="str">
        <f>IF($A86=0,"",VLOOKUP($A86,'BASE MATERIAL'!$A:$D,2))</f>
        <v>CUARTON</v>
      </c>
      <c r="C86" s="2"/>
      <c r="D86" s="77"/>
      <c r="E86" s="78" t="str">
        <f>IF($A86=0,"",VLOOKUP($A86,'BASE MATERIAL'!$A:$D,3))</f>
        <v>U</v>
      </c>
      <c r="F86" s="55">
        <f>ROUND(10*8/(4*3),2)</f>
        <v>6.67</v>
      </c>
      <c r="G86" s="55">
        <f>IF($A86=0,"",VLOOKUP($A86,'BASE MATERIAL'!$A:$D,4))</f>
        <v>2.42</v>
      </c>
      <c r="H86" s="56">
        <f t="shared" si="9"/>
        <v>16.14</v>
      </c>
      <c r="I86" s="2"/>
      <c r="L86" s="2"/>
      <c r="M86" s="2"/>
      <c r="N86" s="39"/>
      <c r="O86" s="2"/>
      <c r="P86" s="2"/>
    </row>
    <row r="87" spans="1:16" x14ac:dyDescent="0.25">
      <c r="A87" s="103">
        <v>11007</v>
      </c>
      <c r="B87" s="38" t="str">
        <f>IF($A87=0,"",VLOOKUP($A87,'BASE MATERIAL'!$A:$D,2))</f>
        <v>CLAVO 2 1/2"</v>
      </c>
      <c r="C87" s="2"/>
      <c r="D87" s="77"/>
      <c r="E87" s="78" t="str">
        <f>IF($A87=0,"",VLOOKUP($A87,'BASE MATERIAL'!$A:$D,3))</f>
        <v>KG</v>
      </c>
      <c r="F87" s="55">
        <f>ROUND(10*56/(178*1.5),2)</f>
        <v>2.1</v>
      </c>
      <c r="G87" s="55">
        <f>IF($A87=0,"",VLOOKUP($A87,'BASE MATERIAL'!$A:$D,4))</f>
        <v>2.6520000000000001</v>
      </c>
      <c r="H87" s="56">
        <f t="shared" si="9"/>
        <v>5.57</v>
      </c>
      <c r="I87" s="2"/>
      <c r="L87" s="2"/>
      <c r="M87" s="2"/>
      <c r="N87" s="39"/>
      <c r="O87" s="2"/>
      <c r="P87" s="2"/>
    </row>
    <row r="88" spans="1:16" x14ac:dyDescent="0.25">
      <c r="A88" s="103">
        <v>11010</v>
      </c>
      <c r="B88" s="38" t="str">
        <f>IF($A88=0,"",VLOOKUP($A88,'BASE MATERIAL'!$A:$D,2))</f>
        <v>TIRA</v>
      </c>
      <c r="C88" s="2"/>
      <c r="D88" s="77"/>
      <c r="E88" s="78" t="str">
        <f>IF($A88=0,"",VLOOKUP($A88,'BASE MATERIAL'!$A:$D,3))</f>
        <v>U</v>
      </c>
      <c r="F88" s="55">
        <f>ROUND(10*4/(4*3),2)</f>
        <v>3.33</v>
      </c>
      <c r="G88" s="55">
        <f>IF($A88=0,"",VLOOKUP($A88,'BASE MATERIAL'!$A:$D,4))</f>
        <v>1.5</v>
      </c>
      <c r="H88" s="56">
        <f t="shared" si="9"/>
        <v>5</v>
      </c>
      <c r="I88" s="2"/>
      <c r="L88" s="2"/>
      <c r="M88" s="2"/>
      <c r="N88" s="39"/>
      <c r="O88" s="2"/>
      <c r="P88" s="2"/>
    </row>
    <row r="89" spans="1:16" x14ac:dyDescent="0.25">
      <c r="A89" s="103">
        <v>4001</v>
      </c>
      <c r="B89" s="38" t="str">
        <f>IF($A89=0,"",VLOOKUP($A89,'BASE MATERIAL'!$A:$D,2))</f>
        <v>CEMENTO</v>
      </c>
      <c r="C89" s="2"/>
      <c r="D89" s="77"/>
      <c r="E89" s="78" t="str">
        <f>IF($A89=0,"",VLOOKUP($A89,'BASE MATERIAL'!$A:$D,3))</f>
        <v>SACO</v>
      </c>
      <c r="F89" s="55">
        <f>8*1.03</f>
        <v>8.24</v>
      </c>
      <c r="G89" s="55">
        <f>IF($A89=0,"",VLOOKUP($A89,'BASE MATERIAL'!$A:$D,4))</f>
        <v>7.09</v>
      </c>
      <c r="H89" s="56">
        <f t="shared" ref="H89:H96" si="10">IF($A89=0,"",ROUND(F89*G89,2))</f>
        <v>58.42</v>
      </c>
      <c r="I89" s="2"/>
      <c r="L89" s="2"/>
      <c r="M89" s="2"/>
      <c r="N89" s="39"/>
      <c r="O89" s="2"/>
      <c r="P89" s="2"/>
    </row>
    <row r="90" spans="1:16" x14ac:dyDescent="0.25">
      <c r="A90" s="103">
        <v>5004</v>
      </c>
      <c r="B90" s="38" t="str">
        <f>IF($A90=0,"",VLOOKUP($A90,'BASE MATERIAL'!$A:$D,2))</f>
        <v>ARENA</v>
      </c>
      <c r="C90" s="2"/>
      <c r="D90" s="77"/>
      <c r="E90" s="78" t="str">
        <f>IF($A90=0,"",VLOOKUP($A90,'BASE MATERIAL'!$A:$D,3))</f>
        <v>M3</v>
      </c>
      <c r="F90" s="55">
        <f>ROUND(F89*0.032*2,2)</f>
        <v>0.53</v>
      </c>
      <c r="G90" s="55">
        <f>IF($A90=0,"",VLOOKUP($A90,'BASE MATERIAL'!$A:$D,4))</f>
        <v>12.276249999999999</v>
      </c>
      <c r="H90" s="56">
        <f t="shared" si="10"/>
        <v>6.51</v>
      </c>
      <c r="I90" s="2"/>
    </row>
    <row r="91" spans="1:16" x14ac:dyDescent="0.25">
      <c r="A91" s="103">
        <v>5002</v>
      </c>
      <c r="B91" s="38" t="str">
        <f>IF($A91=0,"",VLOOKUP($A91,'BASE MATERIAL'!$A:$D,2))</f>
        <v>PIEDRA 3-4</v>
      </c>
      <c r="C91" s="2"/>
      <c r="D91" s="77"/>
      <c r="E91" s="78" t="str">
        <f>IF($A91=0,"",VLOOKUP($A91,'BASE MATERIAL'!$A:$D,3))</f>
        <v>M3</v>
      </c>
      <c r="F91" s="55">
        <f>ROUND(F89*0.032*3,2)</f>
        <v>0.79</v>
      </c>
      <c r="G91" s="55">
        <f>IF($A91=0,"",VLOOKUP($A91,'BASE MATERIAL'!$A:$D,4))</f>
        <v>13.75</v>
      </c>
      <c r="H91" s="56">
        <f t="shared" si="10"/>
        <v>10.86</v>
      </c>
      <c r="I91" s="2"/>
      <c r="L91" s="2"/>
      <c r="M91" s="2"/>
      <c r="N91" s="39"/>
      <c r="O91" s="2"/>
      <c r="P91" s="2"/>
    </row>
    <row r="92" spans="1:16" x14ac:dyDescent="0.25">
      <c r="A92" s="103">
        <v>5005</v>
      </c>
      <c r="B92" s="38" t="str">
        <f>IF($A92=0,"",VLOOKUP($A92,'BASE MATERIAL'!$A:$D,2))</f>
        <v>AGUA</v>
      </c>
      <c r="C92" s="2"/>
      <c r="D92" s="77"/>
      <c r="E92" s="78" t="str">
        <f>IF($A92=0,"",VLOOKUP($A92,'BASE MATERIAL'!$A:$D,3))</f>
        <v>LT</v>
      </c>
      <c r="F92" s="55">
        <f>26*F89</f>
        <v>214.24</v>
      </c>
      <c r="G92" s="112">
        <f>IF($A92=0,"",VLOOKUP($A92,'BASE MATERIAL'!$A:$D,4))</f>
        <v>2E-3</v>
      </c>
      <c r="H92" s="56">
        <f t="shared" si="10"/>
        <v>0.43</v>
      </c>
      <c r="I92" s="2"/>
      <c r="L92" s="2"/>
      <c r="M92" s="2"/>
      <c r="N92" s="39"/>
      <c r="O92" s="2"/>
      <c r="P92" s="2"/>
    </row>
    <row r="93" spans="1:16" x14ac:dyDescent="0.25">
      <c r="B93" s="38" t="str">
        <f>IF($A93=0,"",VLOOKUP($A93,'BASE MATERIAL'!$A:$D,2))</f>
        <v/>
      </c>
      <c r="C93" s="2"/>
      <c r="D93" s="77"/>
      <c r="E93" s="78" t="str">
        <f>IF($A93=0,"",VLOOKUP($A93,'BASE MATERIAL'!$A:$D,3))</f>
        <v/>
      </c>
      <c r="F93" s="55"/>
      <c r="G93" s="55" t="str">
        <f>IF($A93=0,"",VLOOKUP($A93,'BASE MATERIAL'!$A:$D,4))</f>
        <v/>
      </c>
      <c r="H93" s="56" t="str">
        <f t="shared" si="10"/>
        <v/>
      </c>
      <c r="I93" s="2"/>
      <c r="L93" s="2"/>
      <c r="M93" s="2"/>
      <c r="N93" s="39"/>
      <c r="O93" s="2"/>
      <c r="P93" s="2"/>
    </row>
    <row r="94" spans="1:16" x14ac:dyDescent="0.25">
      <c r="A94" s="103">
        <v>1001</v>
      </c>
      <c r="B94" s="38" t="str">
        <f>IF($A94=0,"",VLOOKUP($A94,'BASE MATERIAL'!$A:$D,2))</f>
        <v>HIERRO</v>
      </c>
      <c r="C94" s="2"/>
      <c r="D94" s="77"/>
      <c r="E94" s="78" t="str">
        <f>IF($A94=0,"",VLOOKUP($A94,'BASE MATERIAL'!$A:$D,3))</f>
        <v>KG</v>
      </c>
      <c r="F94" s="55">
        <v>119</v>
      </c>
      <c r="G94" s="55">
        <f>IF($A94=0,"",VLOOKUP($A94,'BASE MATERIAL'!$A:$D,4))</f>
        <v>1.17</v>
      </c>
      <c r="H94" s="56">
        <f t="shared" si="10"/>
        <v>139.22999999999999</v>
      </c>
      <c r="I94" s="2"/>
      <c r="L94" s="2"/>
      <c r="M94" s="2"/>
      <c r="N94" s="39"/>
      <c r="O94" s="2"/>
      <c r="P94" s="2"/>
    </row>
    <row r="95" spans="1:16" x14ac:dyDescent="0.25">
      <c r="A95" s="103">
        <v>11002</v>
      </c>
      <c r="B95" s="38" t="str">
        <f>IF($A95=0,"",VLOOKUP($A95,'BASE MATERIAL'!$A:$D,2))</f>
        <v>ALAMBRE #18 RECOCIDO</v>
      </c>
      <c r="C95" s="2"/>
      <c r="D95" s="77"/>
      <c r="E95" s="78" t="str">
        <f>IF($A95=0,"",VLOOKUP($A95,'BASE MATERIAL'!$A:$D,3))</f>
        <v>KG</v>
      </c>
      <c r="F95" s="55">
        <f>+F94*0.03</f>
        <v>3.57</v>
      </c>
      <c r="G95" s="55">
        <f>IF($A95=0,"",VLOOKUP($A95,'BASE MATERIAL'!$A:$D,4))</f>
        <v>1.87</v>
      </c>
      <c r="H95" s="56">
        <f t="shared" si="10"/>
        <v>6.68</v>
      </c>
      <c r="I95" s="2"/>
      <c r="L95" s="2"/>
      <c r="M95" s="2"/>
      <c r="N95" s="39"/>
      <c r="O95" s="2"/>
      <c r="P95" s="2"/>
    </row>
    <row r="96" spans="1:16" x14ac:dyDescent="0.25">
      <c r="B96" s="38" t="str">
        <f>IF($A96=0,"",VLOOKUP($A96,'BASE MATERIAL'!$A:$D,2))</f>
        <v/>
      </c>
      <c r="C96" s="2"/>
      <c r="D96" s="77"/>
      <c r="E96" s="78" t="str">
        <f>IF($A96=0,"",VLOOKUP($A96,'BASE MATERIAL'!$A:$D,3))</f>
        <v/>
      </c>
      <c r="F96" s="55"/>
      <c r="G96" s="55" t="str">
        <f>IF($A96=0,"",VLOOKUP($A96,'BASE MATERIAL'!$A:$D,4))</f>
        <v/>
      </c>
      <c r="H96" s="56" t="str">
        <f t="shared" si="10"/>
        <v/>
      </c>
      <c r="I96" s="2"/>
    </row>
    <row r="97" spans="1:9" x14ac:dyDescent="0.25">
      <c r="B97" s="38" t="str">
        <f>IF($A97=0,"",VLOOKUP($A97,'BASE MATERIAL'!$A:$D,2))</f>
        <v/>
      </c>
      <c r="C97" s="2"/>
      <c r="D97" s="77"/>
      <c r="E97" s="78" t="str">
        <f>IF($A97=0,"",VLOOKUP($A97,'BASE MATERIAL'!$A:$D,3))</f>
        <v/>
      </c>
      <c r="F97" s="55"/>
      <c r="G97" s="55" t="str">
        <f>IF($A97=0,"",VLOOKUP($A97,'BASE MATERIAL'!$A:$D,4))</f>
        <v/>
      </c>
      <c r="H97" s="56" t="str">
        <f t="shared" si="9"/>
        <v/>
      </c>
      <c r="I97" s="2"/>
    </row>
    <row r="98" spans="1:9" x14ac:dyDescent="0.25">
      <c r="B98" s="38" t="str">
        <f>IF($A98=0,"",VLOOKUP($A98,'BASE MATERIAL'!$A:$D,2))</f>
        <v/>
      </c>
      <c r="C98" s="2"/>
      <c r="D98" s="77"/>
      <c r="E98" s="78" t="str">
        <f>IF($A98=0,"",VLOOKUP($A98,'BASE MATERIAL'!$A:$D,3))</f>
        <v/>
      </c>
      <c r="F98" s="55"/>
      <c r="G98" s="55" t="str">
        <f>IF($A98=0,"",VLOOKUP($A98,'BASE MATERIAL'!$A:$D,4))</f>
        <v/>
      </c>
      <c r="H98" s="56" t="str">
        <f t="shared" si="9"/>
        <v/>
      </c>
      <c r="I98" s="2"/>
    </row>
    <row r="99" spans="1:9" x14ac:dyDescent="0.25">
      <c r="B99" s="38" t="str">
        <f>IF($A99=0,"",VLOOKUP($A99,'BASE MATERIAL'!$A:$D,2))</f>
        <v/>
      </c>
      <c r="C99" s="2"/>
      <c r="D99" s="77"/>
      <c r="E99" s="78" t="str">
        <f>IF($A99=0,"",VLOOKUP($A99,'BASE MATERIAL'!$A:$D,3))</f>
        <v/>
      </c>
      <c r="F99" s="55"/>
      <c r="G99" s="55" t="str">
        <f>IF($A99=0,"",VLOOKUP($A99,'BASE MATERIAL'!$A:$D,4))</f>
        <v/>
      </c>
      <c r="H99" s="56" t="str">
        <f t="shared" si="9"/>
        <v/>
      </c>
      <c r="I99" s="2"/>
    </row>
    <row r="100" spans="1:9" x14ac:dyDescent="0.25">
      <c r="B100" s="38" t="str">
        <f>IF($A100=0,"",VLOOKUP($A100,'BASE MATERIAL'!$A:$D,2))</f>
        <v/>
      </c>
      <c r="C100" s="2"/>
      <c r="D100" s="81" t="s">
        <v>1682</v>
      </c>
      <c r="E100" s="55" t="str">
        <f>IF($A100=0,"",VLOOKUP($A100,'BASE MATERIAL'!$A:$D,3))</f>
        <v/>
      </c>
      <c r="F100" s="55" t="s">
        <v>1682</v>
      </c>
      <c r="G100" s="55" t="str">
        <f>IF($A100=0,"",VLOOKUP($A100,'BASE MATERIAL'!$A:$D,4))</f>
        <v/>
      </c>
      <c r="H100" s="56" t="str">
        <f>IF($A100=0,"",ROUND(E100*F100,2))</f>
        <v/>
      </c>
      <c r="I100" s="2"/>
    </row>
    <row r="101" spans="1:9" x14ac:dyDescent="0.25">
      <c r="B101" s="73" t="s">
        <v>1681</v>
      </c>
      <c r="C101" s="65"/>
      <c r="D101" s="74"/>
      <c r="E101" s="74"/>
      <c r="F101" s="74"/>
      <c r="G101" s="74"/>
      <c r="H101" s="75">
        <f>ROUND(SUM(H84:H100),2)</f>
        <v>263.44</v>
      </c>
      <c r="I101" s="2"/>
    </row>
    <row r="102" spans="1:9" x14ac:dyDescent="0.25">
      <c r="B102" s="38" t="s">
        <v>1680</v>
      </c>
      <c r="C102" s="2"/>
      <c r="D102" s="3"/>
      <c r="E102" s="3"/>
      <c r="F102" s="3"/>
      <c r="G102" s="3"/>
      <c r="H102" s="56"/>
      <c r="I102" s="2"/>
    </row>
    <row r="103" spans="1:9" ht="25.5" x14ac:dyDescent="0.25">
      <c r="B103" s="64" t="s">
        <v>1409</v>
      </c>
      <c r="C103" s="65"/>
      <c r="D103" s="76"/>
      <c r="E103" s="66" t="s">
        <v>1408</v>
      </c>
      <c r="F103" s="66" t="s">
        <v>1679</v>
      </c>
      <c r="G103" s="66" t="s">
        <v>1676</v>
      </c>
      <c r="H103" s="68" t="s">
        <v>1675</v>
      </c>
      <c r="I103" s="2"/>
    </row>
    <row r="104" spans="1:9" x14ac:dyDescent="0.25">
      <c r="A104" s="103">
        <v>19019</v>
      </c>
      <c r="B104" s="51" t="str">
        <f>IF($A104=0,"",VLOOKUP($A104,'BASE EQUIPO'!$A:$D,2))</f>
        <v>TRANSPORTE DE MATERIAL</v>
      </c>
      <c r="C104" s="52"/>
      <c r="D104" s="82"/>
      <c r="E104" s="78" t="str">
        <f>IF($A104=0,"",VLOOKUP($A104,'BASE EQUIPO'!$A:$D,3))</f>
        <v>GLOBAL</v>
      </c>
      <c r="F104" s="55">
        <v>1</v>
      </c>
      <c r="G104" s="83">
        <f>IF($A104=0,"",VLOOKUP($A104,'BASE EQUIPO'!$A:$D,4)*H101)+0.03</f>
        <v>7.9332000000000003</v>
      </c>
      <c r="H104" s="56">
        <f>IF($A104=0,"",ROUND(F104*G104,2))</f>
        <v>7.93</v>
      </c>
      <c r="I104" s="2"/>
    </row>
    <row r="105" spans="1:9" x14ac:dyDescent="0.25">
      <c r="B105" s="38" t="str">
        <f>IF($A105=0,"",VLOOKUP($A105,'BASE EQUIPO'!$A:$D,2))</f>
        <v/>
      </c>
      <c r="C105" s="2"/>
      <c r="D105" s="84"/>
      <c r="E105" s="78" t="str">
        <f>IF($A105=0,"",VLOOKUP($A105,'BASE EQUIPO'!$A:$D,3))</f>
        <v/>
      </c>
      <c r="F105" s="55"/>
      <c r="G105" s="55" t="str">
        <f>IF($A105=0,"",VLOOKUP($A105,'BASE EQUIPO'!$A:$D,4)*H102)</f>
        <v/>
      </c>
      <c r="H105" s="56" t="str">
        <f>IF($A105=0,"",ROUND(F105*G105,2))</f>
        <v/>
      </c>
      <c r="I105" s="2"/>
    </row>
    <row r="106" spans="1:9" x14ac:dyDescent="0.25">
      <c r="B106" s="57" t="str">
        <f>IF($A106=0,"",VLOOKUP($A106,'BASE EQUIPO'!$A:$D,2))</f>
        <v/>
      </c>
      <c r="C106" s="58"/>
      <c r="D106" s="85"/>
      <c r="E106" s="86" t="str">
        <f>IF($A106=0,"",VLOOKUP($A106,'BASE EQUIPO'!$A:$D,3))</f>
        <v/>
      </c>
      <c r="F106" s="59"/>
      <c r="G106" s="59" t="str">
        <f>IF($A106=0,"",VLOOKUP($A106,'BASE EQUIPO'!$A:$D,4)*H103)</f>
        <v/>
      </c>
      <c r="H106" s="60" t="str">
        <f>IF($A106=0,"",ROUND(F106*G106,2))</f>
        <v/>
      </c>
      <c r="I106" s="2"/>
    </row>
    <row r="107" spans="1:9" ht="15.75" thickBot="1" x14ac:dyDescent="0.3">
      <c r="B107" s="87" t="s">
        <v>1674</v>
      </c>
      <c r="C107" s="88"/>
      <c r="D107" s="89"/>
      <c r="E107" s="89"/>
      <c r="F107" s="89"/>
      <c r="G107" s="89"/>
      <c r="H107" s="90">
        <f>ROUND(SUM(H103:H106),2)</f>
        <v>7.93</v>
      </c>
      <c r="I107" s="2"/>
    </row>
    <row r="108" spans="1:9" ht="15.75" x14ac:dyDescent="0.25">
      <c r="B108" s="2"/>
      <c r="C108" s="2"/>
      <c r="D108" s="91" t="s">
        <v>1673</v>
      </c>
      <c r="E108" s="47"/>
      <c r="F108" s="47"/>
      <c r="G108" s="47"/>
      <c r="H108" s="92">
        <f>ROUND(SUM(H107,H101,H82,H72),2)</f>
        <v>375.27</v>
      </c>
      <c r="I108" s="2"/>
    </row>
    <row r="109" spans="1:9" ht="15.75" x14ac:dyDescent="0.25">
      <c r="A109" s="103">
        <v>40002</v>
      </c>
      <c r="B109" s="2"/>
      <c r="C109" s="2"/>
      <c r="D109" s="93" t="s">
        <v>1672</v>
      </c>
      <c r="E109" s="65"/>
      <c r="F109" s="65"/>
      <c r="G109" s="94">
        <f>IF($A109=0,"",VLOOKUP($A109,'BASE MATERIAL'!$M:$P,4))</f>
        <v>0</v>
      </c>
      <c r="H109" s="95">
        <f>IF($A109=0,"",ROUND(G109*H108,2))</f>
        <v>0</v>
      </c>
      <c r="I109" s="2"/>
    </row>
    <row r="110" spans="1:9" ht="15.75" x14ac:dyDescent="0.25">
      <c r="A110" s="103">
        <v>40003</v>
      </c>
      <c r="B110" s="2"/>
      <c r="C110" s="2"/>
      <c r="D110" s="93" t="s">
        <v>1671</v>
      </c>
      <c r="E110" s="65"/>
      <c r="F110" s="65"/>
      <c r="G110" s="94">
        <f>IF($A110=0,"",VLOOKUP($A110,'BASE MATERIAL'!$M:$P,4))</f>
        <v>0</v>
      </c>
      <c r="H110" s="95">
        <f>IF($A110=0,"",ROUND(G110*H108,2))</f>
        <v>0</v>
      </c>
      <c r="I110" s="2"/>
    </row>
    <row r="111" spans="1:9" ht="15.75" x14ac:dyDescent="0.25">
      <c r="B111" s="2"/>
      <c r="C111" s="2"/>
      <c r="D111" s="93" t="s">
        <v>1670</v>
      </c>
      <c r="E111" s="65"/>
      <c r="F111" s="65"/>
      <c r="G111" s="65"/>
      <c r="H111" s="96">
        <f>ROUND(SUM(H108:H110),2)</f>
        <v>375.27</v>
      </c>
      <c r="I111" s="2"/>
    </row>
    <row r="112" spans="1:9" ht="16.5" thickBot="1" x14ac:dyDescent="0.3">
      <c r="B112" s="25"/>
      <c r="C112" s="2"/>
      <c r="D112" s="97" t="s">
        <v>1650</v>
      </c>
      <c r="E112" s="88"/>
      <c r="F112" s="88"/>
      <c r="G112" s="88"/>
      <c r="H112" s="98">
        <f>ROUND(H111,2)</f>
        <v>375.27</v>
      </c>
      <c r="I112" s="2"/>
    </row>
    <row r="113" spans="1:15" ht="15.75" x14ac:dyDescent="0.25">
      <c r="B113" s="34" t="s">
        <v>1701</v>
      </c>
      <c r="C113" s="2"/>
      <c r="D113" s="3" t="str">
        <f>$D$1</f>
        <v>ESPOL</v>
      </c>
      <c r="E113" s="2"/>
      <c r="F113" s="2"/>
      <c r="H113" s="2" t="s">
        <v>108</v>
      </c>
      <c r="I113" s="2"/>
      <c r="L113" s="40">
        <f>A117</f>
        <v>3</v>
      </c>
      <c r="M113" s="1" t="str">
        <f>C118</f>
        <v>Plintos de cimentacion</v>
      </c>
      <c r="N113" s="2" t="str">
        <f>H117</f>
        <v>m3</v>
      </c>
      <c r="O113" s="2">
        <f>H168</f>
        <v>263.99</v>
      </c>
    </row>
    <row r="114" spans="1:15" ht="15.75" x14ac:dyDescent="0.25">
      <c r="B114" s="34" t="s">
        <v>1700</v>
      </c>
      <c r="C114" s="3">
        <f>'1.1'!$C$2</f>
        <v>0</v>
      </c>
      <c r="D114" s="2"/>
      <c r="E114" s="2"/>
      <c r="F114" s="2"/>
      <c r="G114" s="41" t="s">
        <v>1699</v>
      </c>
      <c r="H114" s="42"/>
      <c r="I114" s="2" t="s">
        <v>1698</v>
      </c>
    </row>
    <row r="115" spans="1:15" ht="15.75" x14ac:dyDescent="0.25">
      <c r="B115" s="34"/>
      <c r="C115" s="3">
        <f>'1.1'!$C$3</f>
        <v>0</v>
      </c>
      <c r="D115" s="2"/>
      <c r="E115" s="2"/>
      <c r="F115" s="2"/>
      <c r="G115" s="2"/>
      <c r="H115" s="2"/>
      <c r="I115" s="2"/>
    </row>
    <row r="116" spans="1:15" ht="15.75" x14ac:dyDescent="0.25">
      <c r="B116" s="34" t="s">
        <v>1697</v>
      </c>
      <c r="C116" s="3"/>
      <c r="D116" s="2"/>
      <c r="E116" s="2"/>
      <c r="F116" s="2"/>
      <c r="G116" s="2"/>
      <c r="H116" s="2"/>
      <c r="I116" s="2"/>
    </row>
    <row r="117" spans="1:15" x14ac:dyDescent="0.25">
      <c r="A117" s="104">
        <v>3</v>
      </c>
      <c r="B117" s="2" t="s">
        <v>1586</v>
      </c>
      <c r="C117" s="36" t="s">
        <v>1562</v>
      </c>
      <c r="D117" s="2"/>
      <c r="G117" s="2" t="s">
        <v>1696</v>
      </c>
      <c r="H117" s="3" t="s">
        <v>1521</v>
      </c>
      <c r="I117" s="2"/>
    </row>
    <row r="118" spans="1:15" x14ac:dyDescent="0.25">
      <c r="B118" s="1" t="s">
        <v>1585</v>
      </c>
      <c r="C118" s="36" t="s">
        <v>1389</v>
      </c>
      <c r="D118" s="2"/>
      <c r="E118" s="2"/>
      <c r="F118" s="2"/>
      <c r="G118" s="2"/>
      <c r="H118" s="2"/>
      <c r="I118" s="2"/>
    </row>
    <row r="119" spans="1:15" ht="15.75" thickBot="1" x14ac:dyDescent="0.3">
      <c r="D119" s="2"/>
      <c r="E119" s="2"/>
      <c r="F119" s="2"/>
      <c r="G119" s="2"/>
      <c r="H119" s="2"/>
      <c r="I119" s="2"/>
    </row>
    <row r="120" spans="1:15" ht="15.75" thickBot="1" x14ac:dyDescent="0.3">
      <c r="B120" s="43" t="s">
        <v>1695</v>
      </c>
      <c r="C120" s="44"/>
      <c r="D120" s="44"/>
      <c r="E120" s="44"/>
      <c r="F120" s="44"/>
      <c r="G120" s="44"/>
      <c r="H120" s="45"/>
      <c r="I120" s="2"/>
    </row>
    <row r="121" spans="1:15" ht="25.5" x14ac:dyDescent="0.25">
      <c r="B121" s="46" t="s">
        <v>1409</v>
      </c>
      <c r="C121" s="47"/>
      <c r="D121" s="48" t="s">
        <v>1690</v>
      </c>
      <c r="E121" s="48" t="s">
        <v>1694</v>
      </c>
      <c r="F121" s="48" t="s">
        <v>1693</v>
      </c>
      <c r="G121" s="49" t="s">
        <v>1687</v>
      </c>
      <c r="H121" s="50" t="s">
        <v>1686</v>
      </c>
      <c r="I121" s="2"/>
    </row>
    <row r="122" spans="1:15" x14ac:dyDescent="0.25">
      <c r="A122" s="103">
        <v>19015</v>
      </c>
      <c r="B122" s="51" t="str">
        <f>IF($A122=0,"",VLOOKUP($A122,'BASE EQUIPO'!$A:$D,2))</f>
        <v>HERRAMIENTA MENOR</v>
      </c>
      <c r="C122" s="52"/>
      <c r="D122" s="53">
        <v>1</v>
      </c>
      <c r="E122" s="53">
        <f>IF($A122=0,"",VLOOKUP($A122,'BASE EQUIPO'!$A:$D,4)*H138)</f>
        <v>2.085</v>
      </c>
      <c r="F122" s="53">
        <f t="shared" ref="F122:F127" si="11">IF($A122=0,"",ROUND(D122*E122,2))</f>
        <v>2.09</v>
      </c>
      <c r="G122" s="105">
        <v>1</v>
      </c>
      <c r="H122" s="54">
        <f t="shared" ref="H122:H127" si="12">IF($A122=0,"",ROUND(G122*F122,2))</f>
        <v>2.09</v>
      </c>
      <c r="I122" s="2"/>
    </row>
    <row r="123" spans="1:15" x14ac:dyDescent="0.25">
      <c r="A123" s="103">
        <v>19003</v>
      </c>
      <c r="B123" s="38" t="str">
        <f>IF($A123=0,"",VLOOKUP($A123,'BASE EQUIPO'!$A:$D,2))</f>
        <v>CONCRETERA</v>
      </c>
      <c r="C123" s="2"/>
      <c r="D123" s="55">
        <v>1</v>
      </c>
      <c r="E123" s="55">
        <f>IF($A123=0,"",VLOOKUP($A123,'BASE EQUIPO'!$A:$D,4))</f>
        <v>3.5</v>
      </c>
      <c r="F123" s="55">
        <f t="shared" si="11"/>
        <v>3.5</v>
      </c>
      <c r="G123" s="106">
        <f>+G132*0.5</f>
        <v>0.35</v>
      </c>
      <c r="H123" s="56">
        <f t="shared" si="12"/>
        <v>1.23</v>
      </c>
      <c r="I123" s="2"/>
    </row>
    <row r="124" spans="1:15" x14ac:dyDescent="0.25">
      <c r="A124" s="103">
        <v>19008</v>
      </c>
      <c r="B124" s="38" t="str">
        <f>IF($A124=0,"",VLOOKUP($A124,'BASE EQUIPO'!$A:$D,2))</f>
        <v>VIBRADOR</v>
      </c>
      <c r="C124" s="2"/>
      <c r="D124" s="55">
        <v>1</v>
      </c>
      <c r="E124" s="55">
        <f>IF($A124=0,"",VLOOKUP($A124,'BASE EQUIPO'!$A:$D,4))</f>
        <v>2.5</v>
      </c>
      <c r="F124" s="55">
        <f t="shared" si="11"/>
        <v>2.5</v>
      </c>
      <c r="G124" s="106">
        <f>+G132*0.5</f>
        <v>0.35</v>
      </c>
      <c r="H124" s="56">
        <f t="shared" si="12"/>
        <v>0.88</v>
      </c>
      <c r="I124" s="2"/>
    </row>
    <row r="125" spans="1:15" x14ac:dyDescent="0.25">
      <c r="B125" s="38" t="str">
        <f>IF($A125=0,"",VLOOKUP($A125,'BASE EQUIPO'!$A:$D,2))</f>
        <v/>
      </c>
      <c r="C125" s="2"/>
      <c r="D125" s="55"/>
      <c r="E125" s="55" t="str">
        <f>IF($A125=0,"",VLOOKUP($A125,'BASE EQUIPO'!$A:$D,4))</f>
        <v/>
      </c>
      <c r="F125" s="55" t="str">
        <f t="shared" si="11"/>
        <v/>
      </c>
      <c r="G125" s="106"/>
      <c r="H125" s="56" t="str">
        <f t="shared" si="12"/>
        <v/>
      </c>
      <c r="I125" s="2"/>
    </row>
    <row r="126" spans="1:15" x14ac:dyDescent="0.25">
      <c r="B126" s="38" t="str">
        <f>IF($A126=0,"",VLOOKUP($A126,'BASE EQUIPO'!$A:$D,2))</f>
        <v/>
      </c>
      <c r="C126" s="2"/>
      <c r="D126" s="55"/>
      <c r="E126" s="55" t="str">
        <f>IF($A126=0,"",VLOOKUP($A126,'BASE EQUIPO'!$A:$D,4))</f>
        <v/>
      </c>
      <c r="F126" s="55" t="str">
        <f t="shared" si="11"/>
        <v/>
      </c>
      <c r="G126" s="106"/>
      <c r="H126" s="56" t="str">
        <f t="shared" si="12"/>
        <v/>
      </c>
      <c r="I126" s="2"/>
    </row>
    <row r="127" spans="1:15" x14ac:dyDescent="0.25">
      <c r="B127" s="57" t="str">
        <f>IF($A127=0,"",VLOOKUP($A127,'BASE EQUIPO'!$A:$D,2))</f>
        <v/>
      </c>
      <c r="C127" s="58"/>
      <c r="D127" s="59"/>
      <c r="E127" s="59" t="str">
        <f>IF($A127=0,"",VLOOKUP($A127,'BASE EQUIPO'!$A:$D,4))</f>
        <v/>
      </c>
      <c r="F127" s="59" t="str">
        <f t="shared" si="11"/>
        <v/>
      </c>
      <c r="G127" s="107"/>
      <c r="H127" s="60" t="str">
        <f t="shared" si="12"/>
        <v/>
      </c>
      <c r="I127" s="2"/>
    </row>
    <row r="128" spans="1:15" x14ac:dyDescent="0.25">
      <c r="B128" s="57" t="s">
        <v>1692</v>
      </c>
      <c r="C128" s="58"/>
      <c r="D128" s="61"/>
      <c r="E128" s="61"/>
      <c r="F128" s="61"/>
      <c r="G128" s="62"/>
      <c r="H128" s="60">
        <f>ROUND(SUM(H121:H127),2)</f>
        <v>4.2</v>
      </c>
      <c r="I128" s="2"/>
    </row>
    <row r="129" spans="1:16" x14ac:dyDescent="0.25">
      <c r="B129" s="38" t="s">
        <v>1503</v>
      </c>
      <c r="C129" s="2"/>
      <c r="D129" s="3"/>
      <c r="E129" s="3"/>
      <c r="F129" s="3"/>
      <c r="G129" s="63"/>
      <c r="H129" s="56"/>
      <c r="I129" s="2"/>
    </row>
    <row r="130" spans="1:16" ht="25.5" x14ac:dyDescent="0.25">
      <c r="B130" s="64" t="s">
        <v>1691</v>
      </c>
      <c r="C130" s="65"/>
      <c r="D130" s="66" t="s">
        <v>1690</v>
      </c>
      <c r="E130" s="66" t="s">
        <v>1689</v>
      </c>
      <c r="F130" s="66" t="s">
        <v>1688</v>
      </c>
      <c r="G130" s="67" t="s">
        <v>1687</v>
      </c>
      <c r="H130" s="68" t="s">
        <v>1686</v>
      </c>
      <c r="I130" s="2"/>
    </row>
    <row r="131" spans="1:16" x14ac:dyDescent="0.25">
      <c r="A131" s="103">
        <v>20001</v>
      </c>
      <c r="B131" s="69" t="str">
        <f>IF($A131=0,"",VLOOKUP($A131,'BASE M-OBRA'!$A:$D,2))</f>
        <v>MAESTRO</v>
      </c>
      <c r="C131" s="2"/>
      <c r="D131" s="108">
        <v>1</v>
      </c>
      <c r="E131" s="70">
        <f>IF($A131=0,"",VLOOKUP($A131,'BASE M-OBRA'!$A:$D,4))</f>
        <v>3.02</v>
      </c>
      <c r="F131" s="55">
        <f t="shared" ref="F131:F137" si="13">IF($A131=0,"",ROUND(D131*E131,2))</f>
        <v>3.02</v>
      </c>
      <c r="G131" s="106">
        <f>IF($A131=0,"",ROUND(H131/F131,2))</f>
        <v>3.83</v>
      </c>
      <c r="H131" s="56">
        <f>IF($A131=0,"",ROUND(SUM(H132:H137)*'BASE M-OBRA'!$D$23,2))</f>
        <v>11.58</v>
      </c>
      <c r="I131" s="2"/>
    </row>
    <row r="132" spans="1:16" x14ac:dyDescent="0.25">
      <c r="A132" s="103">
        <v>20002</v>
      </c>
      <c r="B132" s="69" t="str">
        <f>IF($A132=0,"",VLOOKUP($A132,'BASE M-OBRA'!$A:$D,2))</f>
        <v>PEON</v>
      </c>
      <c r="C132" s="2"/>
      <c r="D132" s="108">
        <v>8</v>
      </c>
      <c r="E132" s="70">
        <f>IF($A132=0,"",VLOOKUP($A132,'BASE M-OBRA'!$A:$D,4))</f>
        <v>2.79</v>
      </c>
      <c r="F132" s="55">
        <f t="shared" si="13"/>
        <v>22.32</v>
      </c>
      <c r="G132" s="106">
        <v>0.7</v>
      </c>
      <c r="H132" s="56">
        <f t="shared" ref="H132:H137" si="14">IF($A132=0,"",ROUND(G132*F132,2))</f>
        <v>15.62</v>
      </c>
      <c r="I132" s="2"/>
      <c r="K132" s="1">
        <f>(8.94*0+22.37)/1.2</f>
        <v>18.641666666666669</v>
      </c>
      <c r="L132" s="2">
        <f>H132+H133</f>
        <v>19.57</v>
      </c>
    </row>
    <row r="133" spans="1:16" x14ac:dyDescent="0.25">
      <c r="A133" s="103">
        <v>20003</v>
      </c>
      <c r="B133" s="69" t="str">
        <f>IF($A133=0,"",VLOOKUP($A133,'BASE M-OBRA'!$A:$D,2))</f>
        <v>ALBAÑIL</v>
      </c>
      <c r="C133" s="2"/>
      <c r="D133" s="108">
        <v>2</v>
      </c>
      <c r="E133" s="70">
        <f>IF($A133=0,"",VLOOKUP($A133,'BASE M-OBRA'!$A:$D,4))</f>
        <v>2.82</v>
      </c>
      <c r="F133" s="55">
        <f t="shared" si="13"/>
        <v>5.64</v>
      </c>
      <c r="G133" s="106">
        <f>+G132</f>
        <v>0.7</v>
      </c>
      <c r="H133" s="56">
        <f t="shared" si="14"/>
        <v>3.95</v>
      </c>
      <c r="I133" s="2"/>
    </row>
    <row r="134" spans="1:16" x14ac:dyDescent="0.25">
      <c r="A134" s="103">
        <v>20004</v>
      </c>
      <c r="B134" s="71" t="str">
        <f>IF($A134=0,"",VLOOKUP($A134,'BASE M-OBRA'!$A:$D,2))</f>
        <v>CARPINTERO</v>
      </c>
      <c r="C134" s="2"/>
      <c r="D134" s="108">
        <v>2</v>
      </c>
      <c r="E134" s="70">
        <f>IF($A134=0,"",VLOOKUP($A134,'BASE M-OBRA'!$A:$D,4))</f>
        <v>2.82</v>
      </c>
      <c r="F134" s="55">
        <f t="shared" si="13"/>
        <v>5.64</v>
      </c>
      <c r="G134" s="106">
        <v>3.3</v>
      </c>
      <c r="H134" s="56">
        <f t="shared" si="14"/>
        <v>18.61</v>
      </c>
      <c r="I134" s="2"/>
      <c r="K134" s="1">
        <f>(1.58*0+5.66)*K141/1.2</f>
        <v>18.866666666666667</v>
      </c>
    </row>
    <row r="135" spans="1:16" x14ac:dyDescent="0.25">
      <c r="A135" s="103">
        <v>20005</v>
      </c>
      <c r="B135" s="72" t="str">
        <f>IF($A135=0,"",VLOOKUP($A135,'BASE M-OBRA'!$A:$D,2))</f>
        <v>FIERRERO</v>
      </c>
      <c r="C135" s="2"/>
      <c r="D135" s="108">
        <v>2</v>
      </c>
      <c r="E135" s="70">
        <f>IF($A135=0,"",VLOOKUP($A135,'BASE M-OBRA'!$A:$D,4))</f>
        <v>2.82</v>
      </c>
      <c r="F135" s="55">
        <f t="shared" si="13"/>
        <v>5.64</v>
      </c>
      <c r="G135" s="106">
        <v>3.5</v>
      </c>
      <c r="H135" s="56">
        <f t="shared" si="14"/>
        <v>19.739999999999998</v>
      </c>
      <c r="I135" s="2"/>
      <c r="K135" s="1">
        <f>+F150*0.3/1.2</f>
        <v>18.75</v>
      </c>
    </row>
    <row r="136" spans="1:16" x14ac:dyDescent="0.25">
      <c r="B136" s="38" t="str">
        <f>IF($A136=0,"",VLOOKUP($A136,'BASE M-OBRA'!$A:$D,2))</f>
        <v/>
      </c>
      <c r="C136" s="2"/>
      <c r="D136" s="55"/>
      <c r="E136" s="55" t="str">
        <f>IF($A136=0,"",VLOOKUP($A136,'BASE M-OBRA'!$A:$D,4))</f>
        <v/>
      </c>
      <c r="F136" s="55" t="str">
        <f t="shared" si="13"/>
        <v/>
      </c>
      <c r="G136" s="106"/>
      <c r="H136" s="56" t="str">
        <f t="shared" si="14"/>
        <v/>
      </c>
      <c r="I136" s="2"/>
    </row>
    <row r="137" spans="1:16" x14ac:dyDescent="0.25">
      <c r="B137" s="57" t="str">
        <f>IF($A137=0,"",VLOOKUP($A137,'BASE M-OBRA'!$A:$D,2))</f>
        <v/>
      </c>
      <c r="C137" s="58"/>
      <c r="D137" s="59"/>
      <c r="E137" s="59" t="str">
        <f>IF($A137=0,"",VLOOKUP($A137,'BASE M-OBRA'!$A:$D,4))</f>
        <v/>
      </c>
      <c r="F137" s="59" t="str">
        <f t="shared" si="13"/>
        <v/>
      </c>
      <c r="G137" s="107"/>
      <c r="H137" s="60" t="str">
        <f t="shared" si="14"/>
        <v/>
      </c>
      <c r="I137" s="2"/>
    </row>
    <row r="138" spans="1:16" x14ac:dyDescent="0.25">
      <c r="B138" s="73" t="s">
        <v>1685</v>
      </c>
      <c r="C138" s="65"/>
      <c r="D138" s="74"/>
      <c r="E138" s="74"/>
      <c r="F138" s="74"/>
      <c r="G138" s="74"/>
      <c r="H138" s="75">
        <f>ROUND(SUM(H130:H137),2)</f>
        <v>69.5</v>
      </c>
      <c r="I138" s="2"/>
    </row>
    <row r="139" spans="1:16" x14ac:dyDescent="0.25">
      <c r="B139" s="38" t="s">
        <v>1684</v>
      </c>
      <c r="C139" s="2"/>
      <c r="D139" s="3"/>
      <c r="E139" s="3"/>
      <c r="F139" s="3"/>
      <c r="G139" s="3"/>
      <c r="H139" s="56"/>
      <c r="I139" s="2"/>
    </row>
    <row r="140" spans="1:16" ht="25.5" x14ac:dyDescent="0.25">
      <c r="B140" s="64" t="s">
        <v>1409</v>
      </c>
      <c r="C140" s="65"/>
      <c r="D140" s="76"/>
      <c r="E140" s="66" t="s">
        <v>1408</v>
      </c>
      <c r="F140" s="66" t="s">
        <v>1679</v>
      </c>
      <c r="G140" s="66" t="s">
        <v>1683</v>
      </c>
      <c r="H140" s="68" t="s">
        <v>1675</v>
      </c>
      <c r="I140" s="2"/>
    </row>
    <row r="141" spans="1:16" x14ac:dyDescent="0.25">
      <c r="A141" s="103">
        <v>11008</v>
      </c>
      <c r="B141" s="37" t="str">
        <f>IF($A141=0,"",VLOOKUP($A141,'BASE MATERIAL'!$A:$D,2))</f>
        <v>TABLA</v>
      </c>
      <c r="C141" s="2"/>
      <c r="D141" s="77"/>
      <c r="E141" s="78" t="str">
        <f>IF($A141=0,"",VLOOKUP($A141,'BASE MATERIAL'!$A:$D,3))</f>
        <v>U</v>
      </c>
      <c r="F141" s="55">
        <f>ROUND(4*5/(4*3),2)</f>
        <v>1.67</v>
      </c>
      <c r="G141" s="55">
        <f>IF($A141=0,"",VLOOKUP($A141,'BASE MATERIAL'!$A:$D,4))</f>
        <v>3.5</v>
      </c>
      <c r="H141" s="56">
        <f t="shared" ref="H141:H148" si="15">IF($A141=0,"",ROUND(F141*G141,2))</f>
        <v>5.85</v>
      </c>
      <c r="I141" s="2"/>
      <c r="K141" s="1">
        <f>0.2*4*1/(1*0.2)</f>
        <v>4</v>
      </c>
      <c r="L141" s="2"/>
      <c r="M141" s="2"/>
      <c r="N141" s="39"/>
      <c r="O141" s="2"/>
      <c r="P141" s="2"/>
    </row>
    <row r="142" spans="1:16" x14ac:dyDescent="0.25">
      <c r="A142" s="103">
        <v>11009</v>
      </c>
      <c r="B142" s="38" t="str">
        <f>IF($A142=0,"",VLOOKUP($A142,'BASE MATERIAL'!$A:$D,2))</f>
        <v>CUARTON</v>
      </c>
      <c r="C142" s="2"/>
      <c r="D142" s="77"/>
      <c r="E142" s="78" t="str">
        <f>IF($A142=0,"",VLOOKUP($A142,'BASE MATERIAL'!$A:$D,3))</f>
        <v>U</v>
      </c>
      <c r="F142" s="55">
        <f>ROUND(4*8/(4*3),2)</f>
        <v>2.67</v>
      </c>
      <c r="G142" s="55">
        <f>IF($A142=0,"",VLOOKUP($A142,'BASE MATERIAL'!$A:$D,4))</f>
        <v>2.42</v>
      </c>
      <c r="H142" s="56">
        <f t="shared" si="15"/>
        <v>6.46</v>
      </c>
      <c r="I142" s="2"/>
      <c r="L142" s="2"/>
      <c r="M142" s="2"/>
      <c r="N142" s="39"/>
      <c r="O142" s="2"/>
      <c r="P142" s="2"/>
    </row>
    <row r="143" spans="1:16" x14ac:dyDescent="0.25">
      <c r="A143" s="103">
        <v>11007</v>
      </c>
      <c r="B143" s="38" t="str">
        <f>IF($A143=0,"",VLOOKUP($A143,'BASE MATERIAL'!$A:$D,2))</f>
        <v>CLAVO 2 1/2"</v>
      </c>
      <c r="C143" s="2"/>
      <c r="D143" s="77"/>
      <c r="E143" s="78" t="str">
        <f>IF($A143=0,"",VLOOKUP($A143,'BASE MATERIAL'!$A:$D,3))</f>
        <v>KG</v>
      </c>
      <c r="F143" s="55">
        <f>ROUND(4*56/(178*1.5),2)</f>
        <v>0.84</v>
      </c>
      <c r="G143" s="55">
        <f>IF($A143=0,"",VLOOKUP($A143,'BASE MATERIAL'!$A:$D,4))</f>
        <v>2.6520000000000001</v>
      </c>
      <c r="H143" s="56">
        <f t="shared" si="15"/>
        <v>2.23</v>
      </c>
      <c r="I143" s="2"/>
      <c r="L143" s="2"/>
      <c r="M143" s="2"/>
      <c r="N143" s="39"/>
      <c r="O143" s="2"/>
      <c r="P143" s="2"/>
    </row>
    <row r="144" spans="1:16" x14ac:dyDescent="0.25">
      <c r="A144" s="103">
        <v>11010</v>
      </c>
      <c r="B144" s="38" t="str">
        <f>IF($A144=0,"",VLOOKUP($A144,'BASE MATERIAL'!$A:$D,2))</f>
        <v>TIRA</v>
      </c>
      <c r="C144" s="2"/>
      <c r="D144" s="77"/>
      <c r="E144" s="78" t="str">
        <f>IF($A144=0,"",VLOOKUP($A144,'BASE MATERIAL'!$A:$D,3))</f>
        <v>U</v>
      </c>
      <c r="F144" s="55">
        <f>ROUND(4*4/(4*3),2)</f>
        <v>1.33</v>
      </c>
      <c r="G144" s="55">
        <f>IF($A144=0,"",VLOOKUP($A144,'BASE MATERIAL'!$A:$D,4))</f>
        <v>1.5</v>
      </c>
      <c r="H144" s="56">
        <f t="shared" si="15"/>
        <v>2</v>
      </c>
      <c r="I144" s="2"/>
      <c r="L144" s="2"/>
      <c r="M144" s="2"/>
      <c r="N144" s="39"/>
      <c r="O144" s="2"/>
      <c r="P144" s="2"/>
    </row>
    <row r="145" spans="1:16" x14ac:dyDescent="0.25">
      <c r="A145" s="103">
        <v>4001</v>
      </c>
      <c r="B145" s="38" t="str">
        <f>IF($A145=0,"",VLOOKUP($A145,'BASE MATERIAL'!$A:$D,2))</f>
        <v>CEMENTO</v>
      </c>
      <c r="C145" s="2"/>
      <c r="D145" s="77"/>
      <c r="E145" s="78" t="str">
        <f>IF($A145=0,"",VLOOKUP($A145,'BASE MATERIAL'!$A:$D,3))</f>
        <v>SACO</v>
      </c>
      <c r="F145" s="55">
        <f>8*1.03</f>
        <v>8.24</v>
      </c>
      <c r="G145" s="55">
        <f>IF($A145=0,"",VLOOKUP($A145,'BASE MATERIAL'!$A:$D,4))</f>
        <v>7.09</v>
      </c>
      <c r="H145" s="56">
        <f t="shared" si="15"/>
        <v>58.42</v>
      </c>
      <c r="I145" s="2"/>
      <c r="L145" s="2"/>
      <c r="M145" s="2"/>
      <c r="N145" s="39"/>
      <c r="O145" s="2"/>
      <c r="P145" s="2"/>
    </row>
    <row r="146" spans="1:16" x14ac:dyDescent="0.25">
      <c r="A146" s="103">
        <v>5004</v>
      </c>
      <c r="B146" s="38" t="str">
        <f>IF($A146=0,"",VLOOKUP($A146,'BASE MATERIAL'!$A:$D,2))</f>
        <v>ARENA</v>
      </c>
      <c r="C146" s="2"/>
      <c r="D146" s="77"/>
      <c r="E146" s="78" t="str">
        <f>IF($A146=0,"",VLOOKUP($A146,'BASE MATERIAL'!$A:$D,3))</f>
        <v>M3</v>
      </c>
      <c r="F146" s="55">
        <f>ROUND(F145*0.032*2,2)</f>
        <v>0.53</v>
      </c>
      <c r="G146" s="55">
        <f>IF($A146=0,"",VLOOKUP($A146,'BASE MATERIAL'!$A:$D,4))</f>
        <v>12.276249999999999</v>
      </c>
      <c r="H146" s="56">
        <f t="shared" si="15"/>
        <v>6.51</v>
      </c>
      <c r="I146" s="2"/>
    </row>
    <row r="147" spans="1:16" x14ac:dyDescent="0.25">
      <c r="A147" s="103">
        <v>5002</v>
      </c>
      <c r="B147" s="38" t="str">
        <f>IF($A147=0,"",VLOOKUP($A147,'BASE MATERIAL'!$A:$D,2))</f>
        <v>PIEDRA 3-4</v>
      </c>
      <c r="C147" s="2"/>
      <c r="D147" s="77"/>
      <c r="E147" s="78" t="str">
        <f>IF($A147=0,"",VLOOKUP($A147,'BASE MATERIAL'!$A:$D,3))</f>
        <v>M3</v>
      </c>
      <c r="F147" s="55">
        <f>ROUND(F145*0.032*3,2)</f>
        <v>0.79</v>
      </c>
      <c r="G147" s="55">
        <f>IF($A147=0,"",VLOOKUP($A147,'BASE MATERIAL'!$A:$D,4))</f>
        <v>13.75</v>
      </c>
      <c r="H147" s="56">
        <f t="shared" si="15"/>
        <v>10.86</v>
      </c>
      <c r="I147" s="2"/>
      <c r="L147" s="2"/>
      <c r="M147" s="2"/>
      <c r="N147" s="39"/>
      <c r="O147" s="2"/>
      <c r="P147" s="2"/>
    </row>
    <row r="148" spans="1:16" x14ac:dyDescent="0.25">
      <c r="A148" s="103">
        <v>5005</v>
      </c>
      <c r="B148" s="38" t="str">
        <f>IF($A148=0,"",VLOOKUP($A148,'BASE MATERIAL'!$A:$D,2))</f>
        <v>AGUA</v>
      </c>
      <c r="C148" s="2"/>
      <c r="D148" s="77"/>
      <c r="E148" s="78" t="str">
        <f>IF($A148=0,"",VLOOKUP($A148,'BASE MATERIAL'!$A:$D,3))</f>
        <v>LT</v>
      </c>
      <c r="F148" s="55">
        <f>26*F145</f>
        <v>214.24</v>
      </c>
      <c r="G148" s="112">
        <f>IF($A148=0,"",VLOOKUP($A148,'BASE MATERIAL'!$A:$D,4))</f>
        <v>2E-3</v>
      </c>
      <c r="H148" s="56">
        <f t="shared" si="15"/>
        <v>0.43</v>
      </c>
      <c r="I148" s="2"/>
      <c r="L148" s="2"/>
      <c r="M148" s="2"/>
      <c r="N148" s="39"/>
      <c r="O148" s="2"/>
      <c r="P148" s="2"/>
    </row>
    <row r="149" spans="1:16" x14ac:dyDescent="0.25">
      <c r="B149" s="38" t="str">
        <f>IF($A149=0,"",VLOOKUP($A149,'BASE MATERIAL'!$A:$D,2))</f>
        <v/>
      </c>
      <c r="C149" s="2"/>
      <c r="D149" s="77"/>
      <c r="E149" s="78" t="str">
        <f>IF($A149=0,"",VLOOKUP($A149,'BASE MATERIAL'!$A:$D,3))</f>
        <v/>
      </c>
      <c r="F149" s="55"/>
      <c r="G149" s="55" t="str">
        <f>IF($A149=0,"",VLOOKUP($A149,'BASE MATERIAL'!$A:$D,4))</f>
        <v/>
      </c>
      <c r="H149" s="56" t="str">
        <f t="shared" ref="H149:H155" si="16">IF($A149=0,"",ROUND(F149*G149,2))</f>
        <v/>
      </c>
      <c r="I149" s="2"/>
      <c r="L149" s="2"/>
      <c r="M149" s="2"/>
      <c r="N149" s="39"/>
      <c r="O149" s="2"/>
      <c r="P149" s="2"/>
    </row>
    <row r="150" spans="1:16" x14ac:dyDescent="0.25">
      <c r="A150" s="103">
        <v>1001</v>
      </c>
      <c r="B150" s="38" t="str">
        <f>IF($A150=0,"",VLOOKUP($A150,'BASE MATERIAL'!$A:$D,2))</f>
        <v>HIERRO</v>
      </c>
      <c r="C150" s="2"/>
      <c r="D150" s="77"/>
      <c r="E150" s="78" t="str">
        <f>IF($A150=0,"",VLOOKUP($A150,'BASE MATERIAL'!$A:$D,3))</f>
        <v>KG</v>
      </c>
      <c r="F150" s="55">
        <v>75</v>
      </c>
      <c r="G150" s="55">
        <f>IF($A150=0,"",VLOOKUP($A150,'BASE MATERIAL'!$A:$D,4))</f>
        <v>1.17</v>
      </c>
      <c r="H150" s="56">
        <f t="shared" si="16"/>
        <v>87.75</v>
      </c>
      <c r="I150" s="2"/>
      <c r="L150" s="2"/>
      <c r="M150" s="2"/>
      <c r="N150" s="39"/>
      <c r="O150" s="2"/>
      <c r="P150" s="2"/>
    </row>
    <row r="151" spans="1:16" x14ac:dyDescent="0.25">
      <c r="A151" s="103">
        <v>11002</v>
      </c>
      <c r="B151" s="38" t="str">
        <f>IF($A151=0,"",VLOOKUP($A151,'BASE MATERIAL'!$A:$D,2))</f>
        <v>ALAMBRE #18 RECOCIDO</v>
      </c>
      <c r="C151" s="2"/>
      <c r="D151" s="77"/>
      <c r="E151" s="78" t="str">
        <f>IF($A151=0,"",VLOOKUP($A151,'BASE MATERIAL'!$A:$D,3))</f>
        <v>KG</v>
      </c>
      <c r="F151" s="55">
        <f>+F150*0.03</f>
        <v>2.25</v>
      </c>
      <c r="G151" s="55">
        <f>IF($A151=0,"",VLOOKUP($A151,'BASE MATERIAL'!$A:$D,4))</f>
        <v>1.87</v>
      </c>
      <c r="H151" s="56">
        <f t="shared" si="16"/>
        <v>4.21</v>
      </c>
      <c r="I151" s="2"/>
      <c r="L151" s="2"/>
      <c r="M151" s="2"/>
      <c r="N151" s="39"/>
      <c r="O151" s="2"/>
      <c r="P151" s="2"/>
    </row>
    <row r="152" spans="1:16" x14ac:dyDescent="0.25">
      <c r="B152" s="38" t="str">
        <f>IF($A152=0,"",VLOOKUP($A152,'BASE MATERIAL'!$A:$D,2))</f>
        <v/>
      </c>
      <c r="C152" s="2"/>
      <c r="D152" s="77"/>
      <c r="E152" s="78" t="str">
        <f>IF($A152=0,"",VLOOKUP($A152,'BASE MATERIAL'!$A:$D,3))</f>
        <v/>
      </c>
      <c r="F152" s="55"/>
      <c r="G152" s="55" t="str">
        <f>IF($A152=0,"",VLOOKUP($A152,'BASE MATERIAL'!$A:$D,4))</f>
        <v/>
      </c>
      <c r="H152" s="56" t="str">
        <f t="shared" si="16"/>
        <v/>
      </c>
      <c r="I152" s="2"/>
    </row>
    <row r="153" spans="1:16" x14ac:dyDescent="0.25">
      <c r="B153" s="38" t="str">
        <f>IF($A153=0,"",VLOOKUP($A153,'BASE MATERIAL'!$A:$D,2))</f>
        <v/>
      </c>
      <c r="C153" s="2"/>
      <c r="D153" s="77"/>
      <c r="E153" s="78" t="str">
        <f>IF($A153=0,"",VLOOKUP($A153,'BASE MATERIAL'!$A:$D,3))</f>
        <v/>
      </c>
      <c r="F153" s="55"/>
      <c r="G153" s="55" t="str">
        <f>IF($A153=0,"",VLOOKUP($A153,'BASE MATERIAL'!$A:$D,4))</f>
        <v/>
      </c>
      <c r="H153" s="56" t="str">
        <f t="shared" si="16"/>
        <v/>
      </c>
      <c r="I153" s="2"/>
    </row>
    <row r="154" spans="1:16" x14ac:dyDescent="0.25">
      <c r="B154" s="38" t="str">
        <f>IF($A154=0,"",VLOOKUP($A154,'BASE MATERIAL'!$A:$D,2))</f>
        <v/>
      </c>
      <c r="C154" s="2"/>
      <c r="D154" s="77"/>
      <c r="E154" s="78" t="str">
        <f>IF($A154=0,"",VLOOKUP($A154,'BASE MATERIAL'!$A:$D,3))</f>
        <v/>
      </c>
      <c r="F154" s="55"/>
      <c r="G154" s="55" t="str">
        <f>IF($A154=0,"",VLOOKUP($A154,'BASE MATERIAL'!$A:$D,4))</f>
        <v/>
      </c>
      <c r="H154" s="56" t="str">
        <f t="shared" si="16"/>
        <v/>
      </c>
      <c r="I154" s="2"/>
    </row>
    <row r="155" spans="1:16" x14ac:dyDescent="0.25">
      <c r="B155" s="38" t="str">
        <f>IF($A155=0,"",VLOOKUP($A155,'BASE MATERIAL'!$A:$D,2))</f>
        <v/>
      </c>
      <c r="C155" s="2"/>
      <c r="D155" s="77"/>
      <c r="E155" s="78" t="str">
        <f>IF($A155=0,"",VLOOKUP($A155,'BASE MATERIAL'!$A:$D,3))</f>
        <v/>
      </c>
      <c r="F155" s="55"/>
      <c r="G155" s="55" t="str">
        <f>IF($A155=0,"",VLOOKUP($A155,'BASE MATERIAL'!$A:$D,4))</f>
        <v/>
      </c>
      <c r="H155" s="56" t="str">
        <f t="shared" si="16"/>
        <v/>
      </c>
      <c r="I155" s="2"/>
    </row>
    <row r="156" spans="1:16" x14ac:dyDescent="0.25">
      <c r="B156" s="38" t="str">
        <f>IF($A156=0,"",VLOOKUP($A156,'BASE MATERIAL'!$A:$D,2))</f>
        <v/>
      </c>
      <c r="C156" s="2"/>
      <c r="D156" s="81" t="s">
        <v>1682</v>
      </c>
      <c r="E156" s="55" t="str">
        <f>IF($A156=0,"",VLOOKUP($A156,'BASE MATERIAL'!$A:$D,3))</f>
        <v/>
      </c>
      <c r="F156" s="55" t="s">
        <v>1682</v>
      </c>
      <c r="G156" s="55" t="str">
        <f>IF($A156=0,"",VLOOKUP($A156,'BASE MATERIAL'!$A:$D,4))</f>
        <v/>
      </c>
      <c r="H156" s="56" t="str">
        <f>IF($A156=0,"",ROUND(E156*F156,2))</f>
        <v/>
      </c>
      <c r="I156" s="2"/>
    </row>
    <row r="157" spans="1:16" x14ac:dyDescent="0.25">
      <c r="B157" s="73" t="s">
        <v>1681</v>
      </c>
      <c r="C157" s="65"/>
      <c r="D157" s="74"/>
      <c r="E157" s="74"/>
      <c r="F157" s="74"/>
      <c r="G157" s="74"/>
      <c r="H157" s="75">
        <f>ROUND(SUM(H140:H156),2)</f>
        <v>184.72</v>
      </c>
      <c r="I157" s="2"/>
    </row>
    <row r="158" spans="1:16" x14ac:dyDescent="0.25">
      <c r="B158" s="38" t="s">
        <v>1680</v>
      </c>
      <c r="C158" s="2"/>
      <c r="D158" s="3"/>
      <c r="E158" s="3"/>
      <c r="F158" s="3"/>
      <c r="G158" s="3"/>
      <c r="H158" s="56"/>
      <c r="I158" s="2"/>
    </row>
    <row r="159" spans="1:16" ht="25.5" x14ac:dyDescent="0.25">
      <c r="B159" s="64" t="s">
        <v>1409</v>
      </c>
      <c r="C159" s="65"/>
      <c r="D159" s="76"/>
      <c r="E159" s="66" t="s">
        <v>1408</v>
      </c>
      <c r="F159" s="66" t="s">
        <v>1679</v>
      </c>
      <c r="G159" s="66" t="s">
        <v>1676</v>
      </c>
      <c r="H159" s="68" t="s">
        <v>1675</v>
      </c>
      <c r="I159" s="2"/>
    </row>
    <row r="160" spans="1:16" x14ac:dyDescent="0.25">
      <c r="A160" s="103">
        <v>19019</v>
      </c>
      <c r="B160" s="51" t="str">
        <f>IF($A160=0,"",VLOOKUP($A160,'BASE EQUIPO'!$A:$D,2))</f>
        <v>TRANSPORTE DE MATERIAL</v>
      </c>
      <c r="C160" s="52"/>
      <c r="D160" s="82"/>
      <c r="E160" s="78" t="str">
        <f>IF($A160=0,"",VLOOKUP($A160,'BASE EQUIPO'!$A:$D,3))</f>
        <v>GLOBAL</v>
      </c>
      <c r="F160" s="55">
        <v>1</v>
      </c>
      <c r="G160" s="83">
        <f>IF($A160=0,"",VLOOKUP($A160,'BASE EQUIPO'!$A:$D,4)*H157)+0.03</f>
        <v>5.5716000000000001</v>
      </c>
      <c r="H160" s="56">
        <f>IF($A160=0,"",ROUND(F160*G160,2))</f>
        <v>5.57</v>
      </c>
      <c r="I160" s="2"/>
    </row>
    <row r="161" spans="1:15" x14ac:dyDescent="0.25">
      <c r="B161" s="38" t="str">
        <f>IF($A161=0,"",VLOOKUP($A161,'BASE EQUIPO'!$A:$D,2))</f>
        <v/>
      </c>
      <c r="C161" s="2"/>
      <c r="D161" s="84"/>
      <c r="E161" s="78" t="str">
        <f>IF($A161=0,"",VLOOKUP($A161,'BASE EQUIPO'!$A:$D,3))</f>
        <v/>
      </c>
      <c r="F161" s="55"/>
      <c r="G161" s="55" t="str">
        <f>IF($A161=0,"",VLOOKUP($A161,'BASE EQUIPO'!$A:$D,4)*H158)</f>
        <v/>
      </c>
      <c r="H161" s="56" t="str">
        <f>IF($A161=0,"",ROUND(F161*G161,2))</f>
        <v/>
      </c>
      <c r="I161" s="2"/>
    </row>
    <row r="162" spans="1:15" x14ac:dyDescent="0.25">
      <c r="B162" s="57" t="str">
        <f>IF($A162=0,"",VLOOKUP($A162,'BASE EQUIPO'!$A:$D,2))</f>
        <v/>
      </c>
      <c r="C162" s="58"/>
      <c r="D162" s="85"/>
      <c r="E162" s="86" t="str">
        <f>IF($A162=0,"",VLOOKUP($A162,'BASE EQUIPO'!$A:$D,3))</f>
        <v/>
      </c>
      <c r="F162" s="59"/>
      <c r="G162" s="59" t="str">
        <f>IF($A162=0,"",VLOOKUP($A162,'BASE EQUIPO'!$A:$D,4)*H159)</f>
        <v/>
      </c>
      <c r="H162" s="60" t="str">
        <f>IF($A162=0,"",ROUND(F162*G162,2))</f>
        <v/>
      </c>
      <c r="I162" s="2"/>
    </row>
    <row r="163" spans="1:15" ht="15.75" thickBot="1" x14ac:dyDescent="0.3">
      <c r="B163" s="87" t="s">
        <v>1674</v>
      </c>
      <c r="C163" s="88"/>
      <c r="D163" s="89"/>
      <c r="E163" s="89"/>
      <c r="F163" s="89"/>
      <c r="G163" s="89"/>
      <c r="H163" s="90">
        <f>ROUND(SUM(H159:H162),2)</f>
        <v>5.57</v>
      </c>
      <c r="I163" s="2"/>
    </row>
    <row r="164" spans="1:15" ht="15.75" x14ac:dyDescent="0.25">
      <c r="B164" s="2"/>
      <c r="C164" s="2"/>
      <c r="D164" s="91" t="s">
        <v>1673</v>
      </c>
      <c r="E164" s="47"/>
      <c r="F164" s="47"/>
      <c r="G164" s="47"/>
      <c r="H164" s="92">
        <f>ROUND(SUM(H163,H157,H138,H128),2)</f>
        <v>263.99</v>
      </c>
      <c r="I164" s="2"/>
    </row>
    <row r="165" spans="1:15" ht="15.75" x14ac:dyDescent="0.25">
      <c r="A165" s="103">
        <v>40002</v>
      </c>
      <c r="B165" s="2"/>
      <c r="C165" s="2"/>
      <c r="D165" s="93" t="s">
        <v>1672</v>
      </c>
      <c r="E165" s="65"/>
      <c r="F165" s="65"/>
      <c r="G165" s="94">
        <f>IF($A165=0,"",VLOOKUP($A165,'BASE MATERIAL'!$M:$P,4))</f>
        <v>0</v>
      </c>
      <c r="H165" s="95">
        <f>IF($A165=0,"",ROUND(G165*H164,2))</f>
        <v>0</v>
      </c>
      <c r="I165" s="2"/>
    </row>
    <row r="166" spans="1:15" ht="15.75" x14ac:dyDescent="0.25">
      <c r="A166" s="103">
        <v>40003</v>
      </c>
      <c r="B166" s="2"/>
      <c r="C166" s="2"/>
      <c r="D166" s="93" t="s">
        <v>1671</v>
      </c>
      <c r="E166" s="65"/>
      <c r="F166" s="65"/>
      <c r="G166" s="94">
        <f>IF($A166=0,"",VLOOKUP($A166,'BASE MATERIAL'!$M:$P,4))</f>
        <v>0</v>
      </c>
      <c r="H166" s="95">
        <f>IF($A166=0,"",ROUND(G166*H164,2))</f>
        <v>0</v>
      </c>
      <c r="I166" s="2"/>
    </row>
    <row r="167" spans="1:15" ht="15.75" x14ac:dyDescent="0.25">
      <c r="B167" s="2"/>
      <c r="C167" s="2"/>
      <c r="D167" s="93" t="s">
        <v>1670</v>
      </c>
      <c r="E167" s="65"/>
      <c r="F167" s="65"/>
      <c r="G167" s="65"/>
      <c r="H167" s="96">
        <f>ROUND(SUM(H164:H166),2)</f>
        <v>263.99</v>
      </c>
      <c r="I167" s="2"/>
    </row>
    <row r="168" spans="1:15" ht="16.5" thickBot="1" x14ac:dyDescent="0.3">
      <c r="B168" s="25"/>
      <c r="C168" s="2"/>
      <c r="D168" s="97" t="s">
        <v>1650</v>
      </c>
      <c r="E168" s="88"/>
      <c r="F168" s="88"/>
      <c r="G168" s="88"/>
      <c r="H168" s="98">
        <f>ROUND(H167,2)</f>
        <v>263.99</v>
      </c>
      <c r="I168" s="2"/>
    </row>
    <row r="169" spans="1:15" ht="15.75" x14ac:dyDescent="0.25">
      <c r="B169" s="34" t="s">
        <v>1701</v>
      </c>
      <c r="C169" s="2"/>
      <c r="D169" s="3" t="str">
        <f>$D$1</f>
        <v>ESPOL</v>
      </c>
      <c r="E169" s="2"/>
      <c r="F169" s="2"/>
      <c r="H169" s="2" t="s">
        <v>108</v>
      </c>
      <c r="I169" s="2"/>
      <c r="L169" s="40">
        <f>A173</f>
        <v>3</v>
      </c>
      <c r="M169" s="1" t="str">
        <f>C174</f>
        <v>Riostras de cimentacion</v>
      </c>
      <c r="N169" s="2" t="str">
        <f>H173</f>
        <v>m3</v>
      </c>
      <c r="O169" s="2">
        <f>H224</f>
        <v>410.9</v>
      </c>
    </row>
    <row r="170" spans="1:15" ht="15.75" x14ac:dyDescent="0.25">
      <c r="B170" s="34" t="s">
        <v>1700</v>
      </c>
      <c r="C170" s="3">
        <f>'1.1'!$C$2</f>
        <v>0</v>
      </c>
      <c r="D170" s="2"/>
      <c r="E170" s="2"/>
      <c r="F170" s="2"/>
      <c r="G170" s="41" t="s">
        <v>1699</v>
      </c>
      <c r="H170" s="42"/>
      <c r="I170" s="2" t="s">
        <v>1698</v>
      </c>
    </row>
    <row r="171" spans="1:15" ht="15.75" x14ac:dyDescent="0.25">
      <c r="B171" s="34"/>
      <c r="C171" s="3">
        <f>'1.1'!$C$3</f>
        <v>0</v>
      </c>
      <c r="D171" s="2"/>
      <c r="E171" s="2"/>
      <c r="F171" s="2"/>
      <c r="G171" s="2"/>
      <c r="H171" s="2"/>
      <c r="I171" s="2"/>
    </row>
    <row r="172" spans="1:15" ht="15.75" x14ac:dyDescent="0.25">
      <c r="B172" s="34" t="s">
        <v>1697</v>
      </c>
      <c r="C172" s="3"/>
      <c r="D172" s="2"/>
      <c r="E172" s="2"/>
      <c r="F172" s="2"/>
      <c r="G172" s="2"/>
      <c r="H172" s="2"/>
      <c r="I172" s="2"/>
    </row>
    <row r="173" spans="1:15" x14ac:dyDescent="0.25">
      <c r="A173" s="104">
        <v>3</v>
      </c>
      <c r="B173" s="2" t="s">
        <v>1586</v>
      </c>
      <c r="C173" s="36" t="s">
        <v>584</v>
      </c>
      <c r="D173" s="2"/>
      <c r="G173" s="2" t="s">
        <v>1696</v>
      </c>
      <c r="H173" s="3" t="s">
        <v>1521</v>
      </c>
      <c r="I173" s="2"/>
    </row>
    <row r="174" spans="1:15" x14ac:dyDescent="0.25">
      <c r="B174" s="1" t="s">
        <v>1585</v>
      </c>
      <c r="C174" s="36" t="s">
        <v>639</v>
      </c>
      <c r="D174" s="2"/>
      <c r="E174" s="2"/>
      <c r="F174" s="2"/>
      <c r="G174" s="2"/>
      <c r="H174" s="2"/>
      <c r="I174" s="2"/>
    </row>
    <row r="175" spans="1:15" ht="15.75" thickBot="1" x14ac:dyDescent="0.3">
      <c r="D175" s="2"/>
      <c r="E175" s="2"/>
      <c r="F175" s="2"/>
      <c r="G175" s="2"/>
      <c r="H175" s="2"/>
      <c r="I175" s="2"/>
    </row>
    <row r="176" spans="1:15" ht="15.75" thickBot="1" x14ac:dyDescent="0.3">
      <c r="B176" s="43" t="s">
        <v>1695</v>
      </c>
      <c r="C176" s="44"/>
      <c r="D176" s="44"/>
      <c r="E176" s="44"/>
      <c r="F176" s="44"/>
      <c r="G176" s="44"/>
      <c r="H176" s="45"/>
      <c r="I176" s="2"/>
    </row>
    <row r="177" spans="1:12" ht="25.5" x14ac:dyDescent="0.25">
      <c r="B177" s="46" t="s">
        <v>1409</v>
      </c>
      <c r="C177" s="47"/>
      <c r="D177" s="48" t="s">
        <v>1690</v>
      </c>
      <c r="E177" s="48" t="s">
        <v>1694</v>
      </c>
      <c r="F177" s="48" t="s">
        <v>1693</v>
      </c>
      <c r="G177" s="49" t="s">
        <v>1687</v>
      </c>
      <c r="H177" s="50" t="s">
        <v>1686</v>
      </c>
      <c r="I177" s="2"/>
    </row>
    <row r="178" spans="1:12" x14ac:dyDescent="0.25">
      <c r="A178" s="103">
        <v>19015</v>
      </c>
      <c r="B178" s="51" t="str">
        <f>IF($A178=0,"",VLOOKUP($A178,'BASE EQUIPO'!$A:$D,2))</f>
        <v>HERRAMIENTA MENOR</v>
      </c>
      <c r="C178" s="52"/>
      <c r="D178" s="53">
        <v>1</v>
      </c>
      <c r="E178" s="53">
        <f>IF($A178=0,"",VLOOKUP($A178,'BASE EQUIPO'!$A:$D,4)*H194)</f>
        <v>3.5979000000000001</v>
      </c>
      <c r="F178" s="53">
        <f t="shared" ref="F178:F183" si="17">IF($A178=0,"",ROUND(D178*E178,2))</f>
        <v>3.6</v>
      </c>
      <c r="G178" s="105">
        <v>1</v>
      </c>
      <c r="H178" s="54">
        <f t="shared" ref="H178:H183" si="18">IF($A178=0,"",ROUND(G178*F178,2))</f>
        <v>3.6</v>
      </c>
      <c r="I178" s="2"/>
    </row>
    <row r="179" spans="1:12" x14ac:dyDescent="0.25">
      <c r="A179" s="103">
        <v>19003</v>
      </c>
      <c r="B179" s="38" t="str">
        <f>IF($A179=0,"",VLOOKUP($A179,'BASE EQUIPO'!$A:$D,2))</f>
        <v>CONCRETERA</v>
      </c>
      <c r="C179" s="2"/>
      <c r="D179" s="55">
        <v>1</v>
      </c>
      <c r="E179" s="55">
        <f>IF($A179=0,"",VLOOKUP($A179,'BASE EQUIPO'!$A:$D,4))</f>
        <v>3.5</v>
      </c>
      <c r="F179" s="55">
        <f t="shared" si="17"/>
        <v>3.5</v>
      </c>
      <c r="G179" s="106">
        <f>+G188*0.5</f>
        <v>0.35</v>
      </c>
      <c r="H179" s="56">
        <f t="shared" si="18"/>
        <v>1.23</v>
      </c>
      <c r="I179" s="2"/>
    </row>
    <row r="180" spans="1:12" x14ac:dyDescent="0.25">
      <c r="A180" s="103">
        <v>19008</v>
      </c>
      <c r="B180" s="38" t="str">
        <f>IF($A180=0,"",VLOOKUP($A180,'BASE EQUIPO'!$A:$D,2))</f>
        <v>VIBRADOR</v>
      </c>
      <c r="C180" s="2"/>
      <c r="D180" s="55">
        <v>1</v>
      </c>
      <c r="E180" s="55">
        <f>IF($A180=0,"",VLOOKUP($A180,'BASE EQUIPO'!$A:$D,4))</f>
        <v>2.5</v>
      </c>
      <c r="F180" s="55">
        <f t="shared" si="17"/>
        <v>2.5</v>
      </c>
      <c r="G180" s="106">
        <f>+G188*0.5</f>
        <v>0.35</v>
      </c>
      <c r="H180" s="56">
        <f t="shared" si="18"/>
        <v>0.88</v>
      </c>
      <c r="I180" s="2"/>
    </row>
    <row r="181" spans="1:12" x14ac:dyDescent="0.25">
      <c r="B181" s="38" t="str">
        <f>IF($A181=0,"",VLOOKUP($A181,'BASE EQUIPO'!$A:$D,2))</f>
        <v/>
      </c>
      <c r="C181" s="2"/>
      <c r="D181" s="55"/>
      <c r="E181" s="55" t="str">
        <f>IF($A181=0,"",VLOOKUP($A181,'BASE EQUIPO'!$A:$D,4))</f>
        <v/>
      </c>
      <c r="F181" s="55" t="str">
        <f t="shared" si="17"/>
        <v/>
      </c>
      <c r="G181" s="106"/>
      <c r="H181" s="56" t="str">
        <f t="shared" si="18"/>
        <v/>
      </c>
      <c r="I181" s="2"/>
    </row>
    <row r="182" spans="1:12" x14ac:dyDescent="0.25">
      <c r="B182" s="38" t="str">
        <f>IF($A182=0,"",VLOOKUP($A182,'BASE EQUIPO'!$A:$D,2))</f>
        <v/>
      </c>
      <c r="C182" s="2"/>
      <c r="D182" s="55"/>
      <c r="E182" s="55" t="str">
        <f>IF($A182=0,"",VLOOKUP($A182,'BASE EQUIPO'!$A:$D,4))</f>
        <v/>
      </c>
      <c r="F182" s="55" t="str">
        <f t="shared" si="17"/>
        <v/>
      </c>
      <c r="G182" s="106"/>
      <c r="H182" s="56" t="str">
        <f t="shared" si="18"/>
        <v/>
      </c>
      <c r="I182" s="2"/>
    </row>
    <row r="183" spans="1:12" x14ac:dyDescent="0.25">
      <c r="B183" s="57" t="str">
        <f>IF($A183=0,"",VLOOKUP($A183,'BASE EQUIPO'!$A:$D,2))</f>
        <v/>
      </c>
      <c r="C183" s="58"/>
      <c r="D183" s="59"/>
      <c r="E183" s="59" t="str">
        <f>IF($A183=0,"",VLOOKUP($A183,'BASE EQUIPO'!$A:$D,4))</f>
        <v/>
      </c>
      <c r="F183" s="59" t="str">
        <f t="shared" si="17"/>
        <v/>
      </c>
      <c r="G183" s="107"/>
      <c r="H183" s="60" t="str">
        <f t="shared" si="18"/>
        <v/>
      </c>
      <c r="I183" s="2"/>
    </row>
    <row r="184" spans="1:12" x14ac:dyDescent="0.25">
      <c r="B184" s="57" t="s">
        <v>1692</v>
      </c>
      <c r="C184" s="58"/>
      <c r="D184" s="61"/>
      <c r="E184" s="61"/>
      <c r="F184" s="61"/>
      <c r="G184" s="62"/>
      <c r="H184" s="60">
        <f>ROUND(SUM(H177:H183),2)</f>
        <v>5.71</v>
      </c>
      <c r="I184" s="2"/>
    </row>
    <row r="185" spans="1:12" x14ac:dyDescent="0.25">
      <c r="B185" s="38" t="s">
        <v>1503</v>
      </c>
      <c r="C185" s="2"/>
      <c r="D185" s="3"/>
      <c r="E185" s="3"/>
      <c r="F185" s="3"/>
      <c r="G185" s="63"/>
      <c r="H185" s="56"/>
      <c r="I185" s="2"/>
    </row>
    <row r="186" spans="1:12" ht="25.5" x14ac:dyDescent="0.25">
      <c r="B186" s="64" t="s">
        <v>1691</v>
      </c>
      <c r="C186" s="65"/>
      <c r="D186" s="66" t="s">
        <v>1690</v>
      </c>
      <c r="E186" s="66" t="s">
        <v>1689</v>
      </c>
      <c r="F186" s="66" t="s">
        <v>1688</v>
      </c>
      <c r="G186" s="67" t="s">
        <v>1687</v>
      </c>
      <c r="H186" s="68" t="s">
        <v>1686</v>
      </c>
      <c r="I186" s="2"/>
    </row>
    <row r="187" spans="1:12" x14ac:dyDescent="0.25">
      <c r="A187" s="103">
        <v>20001</v>
      </c>
      <c r="B187" s="69" t="str">
        <f>IF($A187=0,"",VLOOKUP($A187,'BASE M-OBRA'!$A:$D,2))</f>
        <v>MAESTRO</v>
      </c>
      <c r="C187" s="2"/>
      <c r="D187" s="108">
        <v>1</v>
      </c>
      <c r="E187" s="70">
        <f>IF($A187=0,"",VLOOKUP($A187,'BASE M-OBRA'!$A:$D,4))</f>
        <v>3.02</v>
      </c>
      <c r="F187" s="55">
        <f t="shared" ref="F187:F193" si="19">IF($A187=0,"",ROUND(D187*E187,2))</f>
        <v>3.02</v>
      </c>
      <c r="G187" s="106">
        <f>IF($A187=0,"",ROUND(H187/F187,2))</f>
        <v>6.62</v>
      </c>
      <c r="H187" s="56">
        <f>IF($A187=0,"",ROUND(SUM(H188:H193)*'BASE M-OBRA'!$D$23,2))</f>
        <v>19.989999999999998</v>
      </c>
      <c r="I187" s="2"/>
    </row>
    <row r="188" spans="1:12" x14ac:dyDescent="0.25">
      <c r="A188" s="103">
        <v>20002</v>
      </c>
      <c r="B188" s="69" t="str">
        <f>IF($A188=0,"",VLOOKUP($A188,'BASE M-OBRA'!$A:$D,2))</f>
        <v>PEON</v>
      </c>
      <c r="C188" s="2"/>
      <c r="D188" s="108">
        <v>8</v>
      </c>
      <c r="E188" s="70">
        <f>IF($A188=0,"",VLOOKUP($A188,'BASE M-OBRA'!$A:$D,4))</f>
        <v>2.79</v>
      </c>
      <c r="F188" s="55">
        <f t="shared" si="19"/>
        <v>22.32</v>
      </c>
      <c r="G188" s="106">
        <v>0.7</v>
      </c>
      <c r="H188" s="56">
        <f t="shared" ref="H188:H193" si="20">IF($A188=0,"",ROUND(G188*F188,2))</f>
        <v>15.62</v>
      </c>
      <c r="I188" s="2"/>
      <c r="K188" s="1">
        <f>(8.94*0+22.37)/1.2</f>
        <v>18.641666666666669</v>
      </c>
      <c r="L188" s="2">
        <f>H188+H189</f>
        <v>19.57</v>
      </c>
    </row>
    <row r="189" spans="1:12" x14ac:dyDescent="0.25">
      <c r="A189" s="103">
        <v>20003</v>
      </c>
      <c r="B189" s="69" t="str">
        <f>IF($A189=0,"",VLOOKUP($A189,'BASE M-OBRA'!$A:$D,2))</f>
        <v>ALBAÑIL</v>
      </c>
      <c r="C189" s="2"/>
      <c r="D189" s="108">
        <v>2</v>
      </c>
      <c r="E189" s="70">
        <f>IF($A189=0,"",VLOOKUP($A189,'BASE M-OBRA'!$A:$D,4))</f>
        <v>2.82</v>
      </c>
      <c r="F189" s="55">
        <f t="shared" si="19"/>
        <v>5.64</v>
      </c>
      <c r="G189" s="106">
        <f>+G188</f>
        <v>0.7</v>
      </c>
      <c r="H189" s="56">
        <f t="shared" si="20"/>
        <v>3.95</v>
      </c>
      <c r="I189" s="2"/>
    </row>
    <row r="190" spans="1:12" x14ac:dyDescent="0.25">
      <c r="A190" s="103">
        <v>20004</v>
      </c>
      <c r="B190" s="71" t="str">
        <f>IF($A190=0,"",VLOOKUP($A190,'BASE M-OBRA'!$A:$D,2))</f>
        <v>CARPINTERO</v>
      </c>
      <c r="C190" s="2"/>
      <c r="D190" s="108">
        <v>2</v>
      </c>
      <c r="E190" s="70">
        <f>IF($A190=0,"",VLOOKUP($A190,'BASE M-OBRA'!$A:$D,4))</f>
        <v>2.82</v>
      </c>
      <c r="F190" s="55">
        <f t="shared" si="19"/>
        <v>5.64</v>
      </c>
      <c r="G190" s="106">
        <v>8.5</v>
      </c>
      <c r="H190" s="56">
        <f t="shared" si="20"/>
        <v>47.94</v>
      </c>
      <c r="I190" s="2"/>
      <c r="K190" s="1">
        <f>(1.58*0+5.66)*K197/1.2</f>
        <v>47.166666666666671</v>
      </c>
    </row>
    <row r="191" spans="1:12" x14ac:dyDescent="0.25">
      <c r="A191" s="103">
        <v>20005</v>
      </c>
      <c r="B191" s="72" t="str">
        <f>IF($A191=0,"",VLOOKUP($A191,'BASE M-OBRA'!$A:$D,2))</f>
        <v>FIERRERO</v>
      </c>
      <c r="C191" s="2"/>
      <c r="D191" s="108">
        <v>2</v>
      </c>
      <c r="E191" s="70">
        <f>IF($A191=0,"",VLOOKUP($A191,'BASE M-OBRA'!$A:$D,4))</f>
        <v>2.82</v>
      </c>
      <c r="F191" s="55">
        <f t="shared" si="19"/>
        <v>5.64</v>
      </c>
      <c r="G191" s="106">
        <v>5.75</v>
      </c>
      <c r="H191" s="56">
        <f t="shared" si="20"/>
        <v>32.43</v>
      </c>
      <c r="I191" s="2"/>
      <c r="K191" s="1">
        <f>+F206*0.3/1.2</f>
        <v>32.5</v>
      </c>
    </row>
    <row r="192" spans="1:12" x14ac:dyDescent="0.25">
      <c r="B192" s="38" t="str">
        <f>IF($A192=0,"",VLOOKUP($A192,'BASE M-OBRA'!$A:$D,2))</f>
        <v/>
      </c>
      <c r="C192" s="2"/>
      <c r="D192" s="55"/>
      <c r="E192" s="55" t="str">
        <f>IF($A192=0,"",VLOOKUP($A192,'BASE M-OBRA'!$A:$D,4))</f>
        <v/>
      </c>
      <c r="F192" s="55" t="str">
        <f t="shared" si="19"/>
        <v/>
      </c>
      <c r="G192" s="106"/>
      <c r="H192" s="56" t="str">
        <f t="shared" si="20"/>
        <v/>
      </c>
      <c r="I192" s="2"/>
    </row>
    <row r="193" spans="1:16" x14ac:dyDescent="0.25">
      <c r="B193" s="57" t="str">
        <f>IF($A193=0,"",VLOOKUP($A193,'BASE M-OBRA'!$A:$D,2))</f>
        <v/>
      </c>
      <c r="C193" s="58"/>
      <c r="D193" s="59"/>
      <c r="E193" s="59" t="str">
        <f>IF($A193=0,"",VLOOKUP($A193,'BASE M-OBRA'!$A:$D,4))</f>
        <v/>
      </c>
      <c r="F193" s="59" t="str">
        <f t="shared" si="19"/>
        <v/>
      </c>
      <c r="G193" s="107"/>
      <c r="H193" s="60" t="str">
        <f t="shared" si="20"/>
        <v/>
      </c>
      <c r="I193" s="2"/>
    </row>
    <row r="194" spans="1:16" x14ac:dyDescent="0.25">
      <c r="B194" s="73" t="s">
        <v>1685</v>
      </c>
      <c r="C194" s="65"/>
      <c r="D194" s="74"/>
      <c r="E194" s="74"/>
      <c r="F194" s="74"/>
      <c r="G194" s="74"/>
      <c r="H194" s="75">
        <f>ROUND(SUM(H186:H193),2)</f>
        <v>119.93</v>
      </c>
      <c r="I194" s="2"/>
      <c r="K194" s="1">
        <f>SUM(K187:K193)</f>
        <v>98.308333333333337</v>
      </c>
    </row>
    <row r="195" spans="1:16" x14ac:dyDescent="0.25">
      <c r="B195" s="38" t="s">
        <v>1684</v>
      </c>
      <c r="C195" s="2"/>
      <c r="D195" s="3"/>
      <c r="E195" s="3"/>
      <c r="F195" s="3"/>
      <c r="G195" s="3"/>
      <c r="H195" s="56"/>
      <c r="I195" s="2"/>
    </row>
    <row r="196" spans="1:16" ht="25.5" x14ac:dyDescent="0.25">
      <c r="B196" s="64" t="s">
        <v>1409</v>
      </c>
      <c r="C196" s="65"/>
      <c r="D196" s="76"/>
      <c r="E196" s="66" t="s">
        <v>1408</v>
      </c>
      <c r="F196" s="66" t="s">
        <v>1679</v>
      </c>
      <c r="G196" s="66" t="s">
        <v>1683</v>
      </c>
      <c r="H196" s="68" t="s">
        <v>1675</v>
      </c>
      <c r="I196" s="2"/>
    </row>
    <row r="197" spans="1:16" x14ac:dyDescent="0.25">
      <c r="A197" s="103">
        <v>11008</v>
      </c>
      <c r="B197" s="37" t="str">
        <f>IF($A197=0,"",VLOOKUP($A197,'BASE MATERIAL'!$A:$D,2))</f>
        <v>TABLA</v>
      </c>
      <c r="C197" s="2"/>
      <c r="D197" s="77"/>
      <c r="E197" s="78" t="str">
        <f>IF($A197=0,"",VLOOKUP($A197,'BASE MATERIAL'!$A:$D,3))</f>
        <v>U</v>
      </c>
      <c r="F197" s="55">
        <f>ROUND(10*5/(4*3),2)</f>
        <v>4.17</v>
      </c>
      <c r="G197" s="55">
        <f>IF($A197=0,"",VLOOKUP($A197,'BASE MATERIAL'!$A:$D,4))</f>
        <v>3.5</v>
      </c>
      <c r="H197" s="56">
        <f t="shared" ref="H197:H211" si="21">IF($A197=0,"",ROUND(F197*G197,2))</f>
        <v>14.6</v>
      </c>
      <c r="I197" s="2"/>
      <c r="K197" s="1">
        <f>(0.3*2)/(0.2*0.3)</f>
        <v>10</v>
      </c>
      <c r="L197" s="2"/>
      <c r="M197" s="2"/>
      <c r="N197" s="39"/>
      <c r="O197" s="2"/>
      <c r="P197" s="2"/>
    </row>
    <row r="198" spans="1:16" x14ac:dyDescent="0.25">
      <c r="A198" s="103">
        <v>11009</v>
      </c>
      <c r="B198" s="38" t="str">
        <f>IF($A198=0,"",VLOOKUP($A198,'BASE MATERIAL'!$A:$D,2))</f>
        <v>CUARTON</v>
      </c>
      <c r="C198" s="2"/>
      <c r="D198" s="77"/>
      <c r="E198" s="78" t="str">
        <f>IF($A198=0,"",VLOOKUP($A198,'BASE MATERIAL'!$A:$D,3))</f>
        <v>U</v>
      </c>
      <c r="F198" s="55">
        <f>ROUND(10*8/(4*3),2)</f>
        <v>6.67</v>
      </c>
      <c r="G198" s="55">
        <f>IF($A198=0,"",VLOOKUP($A198,'BASE MATERIAL'!$A:$D,4))</f>
        <v>2.42</v>
      </c>
      <c r="H198" s="56">
        <f t="shared" si="21"/>
        <v>16.14</v>
      </c>
      <c r="I198" s="2"/>
      <c r="L198" s="2"/>
      <c r="M198" s="2"/>
      <c r="N198" s="39"/>
      <c r="O198" s="2"/>
      <c r="P198" s="2"/>
    </row>
    <row r="199" spans="1:16" x14ac:dyDescent="0.25">
      <c r="A199" s="103">
        <v>11007</v>
      </c>
      <c r="B199" s="38" t="str">
        <f>IF($A199=0,"",VLOOKUP($A199,'BASE MATERIAL'!$A:$D,2))</f>
        <v>CLAVO 2 1/2"</v>
      </c>
      <c r="C199" s="2"/>
      <c r="D199" s="77"/>
      <c r="E199" s="78" t="str">
        <f>IF($A199=0,"",VLOOKUP($A199,'BASE MATERIAL'!$A:$D,3))</f>
        <v>KG</v>
      </c>
      <c r="F199" s="55">
        <f>ROUND(10*56/(178*1.5),2)</f>
        <v>2.1</v>
      </c>
      <c r="G199" s="55">
        <f>IF($A199=0,"",VLOOKUP($A199,'BASE MATERIAL'!$A:$D,4))</f>
        <v>2.6520000000000001</v>
      </c>
      <c r="H199" s="56">
        <f t="shared" si="21"/>
        <v>5.57</v>
      </c>
      <c r="I199" s="2"/>
      <c r="L199" s="2"/>
      <c r="M199" s="2"/>
      <c r="N199" s="39"/>
      <c r="O199" s="2"/>
      <c r="P199" s="2"/>
    </row>
    <row r="200" spans="1:16" x14ac:dyDescent="0.25">
      <c r="A200" s="103">
        <v>11010</v>
      </c>
      <c r="B200" s="38" t="str">
        <f>IF($A200=0,"",VLOOKUP($A200,'BASE MATERIAL'!$A:$D,2))</f>
        <v>TIRA</v>
      </c>
      <c r="C200" s="2"/>
      <c r="D200" s="77"/>
      <c r="E200" s="78" t="str">
        <f>IF($A200=0,"",VLOOKUP($A200,'BASE MATERIAL'!$A:$D,3))</f>
        <v>U</v>
      </c>
      <c r="F200" s="55">
        <f>ROUND(10*4/(4*3),2)</f>
        <v>3.33</v>
      </c>
      <c r="G200" s="55">
        <f>IF($A200=0,"",VLOOKUP($A200,'BASE MATERIAL'!$A:$D,4))</f>
        <v>1.5</v>
      </c>
      <c r="H200" s="56">
        <f t="shared" si="21"/>
        <v>5</v>
      </c>
      <c r="I200" s="2"/>
      <c r="L200" s="2"/>
      <c r="M200" s="2"/>
      <c r="N200" s="39"/>
      <c r="O200" s="2"/>
      <c r="P200" s="2"/>
    </row>
    <row r="201" spans="1:16" x14ac:dyDescent="0.25">
      <c r="A201" s="103">
        <v>4001</v>
      </c>
      <c r="B201" s="38" t="str">
        <f>IF($A201=0,"",VLOOKUP($A201,'BASE MATERIAL'!$A:$D,2))</f>
        <v>CEMENTO</v>
      </c>
      <c r="C201" s="2"/>
      <c r="D201" s="77"/>
      <c r="E201" s="78" t="str">
        <f>IF($A201=0,"",VLOOKUP($A201,'BASE MATERIAL'!$A:$D,3))</f>
        <v>SACO</v>
      </c>
      <c r="F201" s="55">
        <f>8*1.03</f>
        <v>8.24</v>
      </c>
      <c r="G201" s="55">
        <f>IF($A201=0,"",VLOOKUP($A201,'BASE MATERIAL'!$A:$D,4))</f>
        <v>7.09</v>
      </c>
      <c r="H201" s="56">
        <f t="shared" ref="H201:H207" si="22">IF($A201=0,"",ROUND(F201*G201,2))</f>
        <v>58.42</v>
      </c>
      <c r="I201" s="2"/>
      <c r="L201" s="2"/>
      <c r="M201" s="2"/>
      <c r="N201" s="39"/>
      <c r="O201" s="2"/>
      <c r="P201" s="2"/>
    </row>
    <row r="202" spans="1:16" x14ac:dyDescent="0.25">
      <c r="A202" s="103">
        <v>5004</v>
      </c>
      <c r="B202" s="38" t="str">
        <f>IF($A202=0,"",VLOOKUP($A202,'BASE MATERIAL'!$A:$D,2))</f>
        <v>ARENA</v>
      </c>
      <c r="C202" s="2"/>
      <c r="D202" s="77"/>
      <c r="E202" s="78" t="str">
        <f>IF($A202=0,"",VLOOKUP($A202,'BASE MATERIAL'!$A:$D,3))</f>
        <v>M3</v>
      </c>
      <c r="F202" s="55">
        <f>ROUND(F201*0.032*2,2)</f>
        <v>0.53</v>
      </c>
      <c r="G202" s="55">
        <f>IF($A202=0,"",VLOOKUP($A202,'BASE MATERIAL'!$A:$D,4))</f>
        <v>12.276249999999999</v>
      </c>
      <c r="H202" s="56">
        <f t="shared" si="22"/>
        <v>6.51</v>
      </c>
      <c r="I202" s="2"/>
    </row>
    <row r="203" spans="1:16" x14ac:dyDescent="0.25">
      <c r="A203" s="103">
        <v>5002</v>
      </c>
      <c r="B203" s="38" t="str">
        <f>IF($A203=0,"",VLOOKUP($A203,'BASE MATERIAL'!$A:$D,2))</f>
        <v>PIEDRA 3-4</v>
      </c>
      <c r="C203" s="2"/>
      <c r="D203" s="77"/>
      <c r="E203" s="78" t="str">
        <f>IF($A203=0,"",VLOOKUP($A203,'BASE MATERIAL'!$A:$D,3))</f>
        <v>M3</v>
      </c>
      <c r="F203" s="55">
        <f>ROUND(F201*0.032*3,2)</f>
        <v>0.79</v>
      </c>
      <c r="G203" s="55">
        <f>IF($A203=0,"",VLOOKUP($A203,'BASE MATERIAL'!$A:$D,4))</f>
        <v>13.75</v>
      </c>
      <c r="H203" s="56">
        <f t="shared" si="22"/>
        <v>10.86</v>
      </c>
      <c r="I203" s="2"/>
      <c r="L203" s="2"/>
      <c r="M203" s="2"/>
      <c r="N203" s="39"/>
      <c r="O203" s="2"/>
      <c r="P203" s="2"/>
    </row>
    <row r="204" spans="1:16" x14ac:dyDescent="0.25">
      <c r="A204" s="103">
        <v>5005</v>
      </c>
      <c r="B204" s="38" t="str">
        <f>IF($A204=0,"",VLOOKUP($A204,'BASE MATERIAL'!$A:$D,2))</f>
        <v>AGUA</v>
      </c>
      <c r="C204" s="2"/>
      <c r="D204" s="77"/>
      <c r="E204" s="78" t="str">
        <f>IF($A204=0,"",VLOOKUP($A204,'BASE MATERIAL'!$A:$D,3))</f>
        <v>LT</v>
      </c>
      <c r="F204" s="55">
        <f>26*F201</f>
        <v>214.24</v>
      </c>
      <c r="G204" s="112">
        <f>IF($A204=0,"",VLOOKUP($A204,'BASE MATERIAL'!$A:$D,4))</f>
        <v>2E-3</v>
      </c>
      <c r="H204" s="56">
        <f t="shared" si="22"/>
        <v>0.43</v>
      </c>
      <c r="I204" s="2"/>
      <c r="L204" s="2"/>
      <c r="M204" s="2"/>
      <c r="N204" s="39"/>
      <c r="O204" s="2"/>
      <c r="P204" s="2"/>
    </row>
    <row r="205" spans="1:16" x14ac:dyDescent="0.25">
      <c r="B205" s="38" t="str">
        <f>IF($A205=0,"",VLOOKUP($A205,'BASE MATERIAL'!$A:$D,2))</f>
        <v/>
      </c>
      <c r="C205" s="2"/>
      <c r="D205" s="77"/>
      <c r="E205" s="78" t="str">
        <f>IF($A205=0,"",VLOOKUP($A205,'BASE MATERIAL'!$A:$D,3))</f>
        <v/>
      </c>
      <c r="F205" s="55"/>
      <c r="G205" s="55" t="str">
        <f>IF($A205=0,"",VLOOKUP($A205,'BASE MATERIAL'!$A:$D,4))</f>
        <v/>
      </c>
      <c r="H205" s="56" t="str">
        <f t="shared" si="22"/>
        <v/>
      </c>
      <c r="I205" s="2"/>
      <c r="L205" s="2"/>
      <c r="M205" s="2"/>
      <c r="N205" s="39"/>
      <c r="O205" s="2"/>
      <c r="P205" s="2"/>
    </row>
    <row r="206" spans="1:16" x14ac:dyDescent="0.25">
      <c r="A206" s="103">
        <v>1001</v>
      </c>
      <c r="B206" s="38" t="str">
        <f>IF($A206=0,"",VLOOKUP($A206,'BASE MATERIAL'!$A:$D,2))</f>
        <v>HIERRO</v>
      </c>
      <c r="C206" s="2"/>
      <c r="D206" s="77"/>
      <c r="E206" s="78" t="str">
        <f>IF($A206=0,"",VLOOKUP($A206,'BASE MATERIAL'!$A:$D,3))</f>
        <v>KG</v>
      </c>
      <c r="F206" s="55">
        <v>130</v>
      </c>
      <c r="G206" s="55">
        <f>IF($A206=0,"",VLOOKUP($A206,'BASE MATERIAL'!$A:$D,4))</f>
        <v>1.17</v>
      </c>
      <c r="H206" s="56">
        <f t="shared" si="22"/>
        <v>152.1</v>
      </c>
      <c r="I206" s="2"/>
      <c r="L206" s="2"/>
      <c r="M206" s="2"/>
      <c r="N206" s="39"/>
      <c r="O206" s="2"/>
      <c r="P206" s="2"/>
    </row>
    <row r="207" spans="1:16" x14ac:dyDescent="0.25">
      <c r="A207" s="103">
        <v>11002</v>
      </c>
      <c r="B207" s="38" t="str">
        <f>IF($A207=0,"",VLOOKUP($A207,'BASE MATERIAL'!$A:$D,2))</f>
        <v>ALAMBRE #18 RECOCIDO</v>
      </c>
      <c r="C207" s="2"/>
      <c r="D207" s="77"/>
      <c r="E207" s="78" t="str">
        <f>IF($A207=0,"",VLOOKUP($A207,'BASE MATERIAL'!$A:$D,3))</f>
        <v>KG</v>
      </c>
      <c r="F207" s="55">
        <f>+F206*0.03</f>
        <v>3.9</v>
      </c>
      <c r="G207" s="55">
        <f>IF($A207=0,"",VLOOKUP($A207,'BASE MATERIAL'!$A:$D,4))</f>
        <v>1.87</v>
      </c>
      <c r="H207" s="56">
        <f t="shared" si="22"/>
        <v>7.29</v>
      </c>
      <c r="I207" s="2"/>
      <c r="L207" s="2"/>
      <c r="M207" s="2"/>
      <c r="N207" s="39"/>
      <c r="O207" s="2"/>
      <c r="P207" s="2"/>
    </row>
    <row r="208" spans="1:16" x14ac:dyDescent="0.25">
      <c r="B208" s="38" t="str">
        <f>IF($A208=0,"",VLOOKUP($A208,'BASE MATERIAL'!$A:$D,2))</f>
        <v/>
      </c>
      <c r="C208" s="2"/>
      <c r="D208" s="77"/>
      <c r="E208" s="78" t="str">
        <f>IF($A208=0,"",VLOOKUP($A208,'BASE MATERIAL'!$A:$D,3))</f>
        <v/>
      </c>
      <c r="F208" s="55"/>
      <c r="G208" s="55" t="str">
        <f>IF($A208=0,"",VLOOKUP($A208,'BASE MATERIAL'!$A:$D,4))</f>
        <v/>
      </c>
      <c r="H208" s="56" t="str">
        <f t="shared" si="21"/>
        <v/>
      </c>
      <c r="I208" s="2"/>
    </row>
    <row r="209" spans="1:9" x14ac:dyDescent="0.25">
      <c r="B209" s="38" t="str">
        <f>IF($A209=0,"",VLOOKUP($A209,'BASE MATERIAL'!$A:$D,2))</f>
        <v/>
      </c>
      <c r="C209" s="2"/>
      <c r="D209" s="77"/>
      <c r="E209" s="78" t="str">
        <f>IF($A209=0,"",VLOOKUP($A209,'BASE MATERIAL'!$A:$D,3))</f>
        <v/>
      </c>
      <c r="F209" s="55"/>
      <c r="G209" s="55" t="str">
        <f>IF($A209=0,"",VLOOKUP($A209,'BASE MATERIAL'!$A:$D,4))</f>
        <v/>
      </c>
      <c r="H209" s="56" t="str">
        <f t="shared" si="21"/>
        <v/>
      </c>
      <c r="I209" s="2"/>
    </row>
    <row r="210" spans="1:9" x14ac:dyDescent="0.25">
      <c r="B210" s="38" t="str">
        <f>IF($A210=0,"",VLOOKUP($A210,'BASE MATERIAL'!$A:$D,2))</f>
        <v/>
      </c>
      <c r="C210" s="2"/>
      <c r="D210" s="77"/>
      <c r="E210" s="78" t="str">
        <f>IF($A210=0,"",VLOOKUP($A210,'BASE MATERIAL'!$A:$D,3))</f>
        <v/>
      </c>
      <c r="F210" s="55"/>
      <c r="G210" s="55" t="str">
        <f>IF($A210=0,"",VLOOKUP($A210,'BASE MATERIAL'!$A:$D,4))</f>
        <v/>
      </c>
      <c r="H210" s="56" t="str">
        <f t="shared" si="21"/>
        <v/>
      </c>
      <c r="I210" s="2"/>
    </row>
    <row r="211" spans="1:9" x14ac:dyDescent="0.25">
      <c r="B211" s="38" t="str">
        <f>IF($A211=0,"",VLOOKUP($A211,'BASE MATERIAL'!$A:$D,2))</f>
        <v/>
      </c>
      <c r="C211" s="2"/>
      <c r="D211" s="77"/>
      <c r="E211" s="78" t="str">
        <f>IF($A211=0,"",VLOOKUP($A211,'BASE MATERIAL'!$A:$D,3))</f>
        <v/>
      </c>
      <c r="F211" s="55"/>
      <c r="G211" s="55" t="str">
        <f>IF($A211=0,"",VLOOKUP($A211,'BASE MATERIAL'!$A:$D,4))</f>
        <v/>
      </c>
      <c r="H211" s="56" t="str">
        <f t="shared" si="21"/>
        <v/>
      </c>
      <c r="I211" s="2"/>
    </row>
    <row r="212" spans="1:9" x14ac:dyDescent="0.25">
      <c r="B212" s="38" t="str">
        <f>IF($A212=0,"",VLOOKUP($A212,'BASE MATERIAL'!$A:$D,2))</f>
        <v/>
      </c>
      <c r="C212" s="2"/>
      <c r="D212" s="81" t="s">
        <v>1682</v>
      </c>
      <c r="E212" s="55" t="str">
        <f>IF($A212=0,"",VLOOKUP($A212,'BASE MATERIAL'!$A:$D,3))</f>
        <v/>
      </c>
      <c r="F212" s="55" t="s">
        <v>1682</v>
      </c>
      <c r="G212" s="55" t="str">
        <f>IF($A212=0,"",VLOOKUP($A212,'BASE MATERIAL'!$A:$D,4))</f>
        <v/>
      </c>
      <c r="H212" s="56" t="str">
        <f>IF($A212=0,"",ROUND(E212*F212,2))</f>
        <v/>
      </c>
      <c r="I212" s="2"/>
    </row>
    <row r="213" spans="1:9" x14ac:dyDescent="0.25">
      <c r="B213" s="73" t="s">
        <v>1681</v>
      </c>
      <c r="C213" s="65"/>
      <c r="D213" s="74"/>
      <c r="E213" s="74"/>
      <c r="F213" s="74"/>
      <c r="G213" s="74"/>
      <c r="H213" s="75">
        <f>ROUND(SUM(H196:H212),2)</f>
        <v>276.92</v>
      </c>
      <c r="I213" s="2"/>
    </row>
    <row r="214" spans="1:9" x14ac:dyDescent="0.25">
      <c r="B214" s="38" t="s">
        <v>1680</v>
      </c>
      <c r="C214" s="2"/>
      <c r="D214" s="3"/>
      <c r="E214" s="3"/>
      <c r="F214" s="3"/>
      <c r="G214" s="3"/>
      <c r="H214" s="56"/>
      <c r="I214" s="2"/>
    </row>
    <row r="215" spans="1:9" ht="25.5" x14ac:dyDescent="0.25">
      <c r="B215" s="64" t="s">
        <v>1409</v>
      </c>
      <c r="C215" s="65"/>
      <c r="D215" s="76"/>
      <c r="E215" s="66" t="s">
        <v>1408</v>
      </c>
      <c r="F215" s="66" t="s">
        <v>1679</v>
      </c>
      <c r="G215" s="66" t="s">
        <v>1676</v>
      </c>
      <c r="H215" s="68" t="s">
        <v>1675</v>
      </c>
      <c r="I215" s="2"/>
    </row>
    <row r="216" spans="1:9" x14ac:dyDescent="0.25">
      <c r="A216" s="103">
        <v>19019</v>
      </c>
      <c r="B216" s="51" t="str">
        <f>IF($A216=0,"",VLOOKUP($A216,'BASE EQUIPO'!$A:$D,2))</f>
        <v>TRANSPORTE DE MATERIAL</v>
      </c>
      <c r="C216" s="52"/>
      <c r="D216" s="82"/>
      <c r="E216" s="78" t="str">
        <f>IF($A216=0,"",VLOOKUP($A216,'BASE EQUIPO'!$A:$D,3))</f>
        <v>GLOBAL</v>
      </c>
      <c r="F216" s="55">
        <v>1</v>
      </c>
      <c r="G216" s="83">
        <f>IF($A216=0,"",VLOOKUP($A216,'BASE EQUIPO'!$A:$D,4)*H213)+0.03</f>
        <v>8.3376000000000001</v>
      </c>
      <c r="H216" s="56">
        <f>IF($A216=0,"",ROUND(F216*G216,2))</f>
        <v>8.34</v>
      </c>
      <c r="I216" s="2"/>
    </row>
    <row r="217" spans="1:9" x14ac:dyDescent="0.25">
      <c r="B217" s="38" t="str">
        <f>IF($A217=0,"",VLOOKUP($A217,'BASE EQUIPO'!$A:$D,2))</f>
        <v/>
      </c>
      <c r="C217" s="2"/>
      <c r="D217" s="84"/>
      <c r="E217" s="78" t="str">
        <f>IF($A217=0,"",VLOOKUP($A217,'BASE EQUIPO'!$A:$D,3))</f>
        <v/>
      </c>
      <c r="F217" s="55"/>
      <c r="G217" s="55" t="str">
        <f>IF($A217=0,"",VLOOKUP($A217,'BASE EQUIPO'!$A:$D,4)*H214)</f>
        <v/>
      </c>
      <c r="H217" s="56" t="str">
        <f>IF($A217=0,"",ROUND(F217*G217,2))</f>
        <v/>
      </c>
      <c r="I217" s="2"/>
    </row>
    <row r="218" spans="1:9" x14ac:dyDescent="0.25">
      <c r="B218" s="57" t="str">
        <f>IF($A218=0,"",VLOOKUP($A218,'BASE EQUIPO'!$A:$D,2))</f>
        <v/>
      </c>
      <c r="C218" s="58"/>
      <c r="D218" s="85"/>
      <c r="E218" s="86" t="str">
        <f>IF($A218=0,"",VLOOKUP($A218,'BASE EQUIPO'!$A:$D,3))</f>
        <v/>
      </c>
      <c r="F218" s="59"/>
      <c r="G218" s="59" t="str">
        <f>IF($A218=0,"",VLOOKUP($A218,'BASE EQUIPO'!$A:$D,4)*H215)</f>
        <v/>
      </c>
      <c r="H218" s="60" t="str">
        <f>IF($A218=0,"",ROUND(F218*G218,2))</f>
        <v/>
      </c>
      <c r="I218" s="2"/>
    </row>
    <row r="219" spans="1:9" ht="15.75" thickBot="1" x14ac:dyDescent="0.3">
      <c r="B219" s="87" t="s">
        <v>1674</v>
      </c>
      <c r="C219" s="88"/>
      <c r="D219" s="89"/>
      <c r="E219" s="89"/>
      <c r="F219" s="89"/>
      <c r="G219" s="89"/>
      <c r="H219" s="90">
        <f>ROUND(SUM(H215:H218),2)</f>
        <v>8.34</v>
      </c>
      <c r="I219" s="2"/>
    </row>
    <row r="220" spans="1:9" ht="15.75" x14ac:dyDescent="0.25">
      <c r="B220" s="2"/>
      <c r="C220" s="2"/>
      <c r="D220" s="91" t="s">
        <v>1673</v>
      </c>
      <c r="E220" s="47"/>
      <c r="F220" s="47"/>
      <c r="G220" s="47"/>
      <c r="H220" s="92">
        <f>ROUND(SUM(H219,H213,H194,H184),2)</f>
        <v>410.9</v>
      </c>
      <c r="I220" s="2"/>
    </row>
    <row r="221" spans="1:9" ht="15.75" x14ac:dyDescent="0.25">
      <c r="A221" s="103">
        <v>40002</v>
      </c>
      <c r="B221" s="2"/>
      <c r="C221" s="2"/>
      <c r="D221" s="93" t="s">
        <v>1672</v>
      </c>
      <c r="E221" s="65"/>
      <c r="F221" s="65"/>
      <c r="G221" s="94">
        <f>IF($A221=0,"",VLOOKUP($A221,'BASE MATERIAL'!$M:$P,4))</f>
        <v>0</v>
      </c>
      <c r="H221" s="95">
        <f>IF($A221=0,"",ROUND(G221*H220,2))</f>
        <v>0</v>
      </c>
      <c r="I221" s="2"/>
    </row>
    <row r="222" spans="1:9" ht="15.75" x14ac:dyDescent="0.25">
      <c r="A222" s="103">
        <v>40003</v>
      </c>
      <c r="B222" s="2"/>
      <c r="C222" s="2"/>
      <c r="D222" s="93" t="s">
        <v>1671</v>
      </c>
      <c r="E222" s="65"/>
      <c r="F222" s="65"/>
      <c r="G222" s="94">
        <f>IF($A222=0,"",VLOOKUP($A222,'BASE MATERIAL'!$M:$P,4))</f>
        <v>0</v>
      </c>
      <c r="H222" s="95">
        <f>IF($A222=0,"",ROUND(G222*H220,2))</f>
        <v>0</v>
      </c>
      <c r="I222" s="2"/>
    </row>
    <row r="223" spans="1:9" ht="15.75" x14ac:dyDescent="0.25">
      <c r="B223" s="2"/>
      <c r="C223" s="2"/>
      <c r="D223" s="93" t="s">
        <v>1670</v>
      </c>
      <c r="E223" s="65"/>
      <c r="F223" s="65"/>
      <c r="G223" s="65"/>
      <c r="H223" s="96">
        <f>ROUND(SUM(H220:H222),2)</f>
        <v>410.9</v>
      </c>
      <c r="I223" s="2"/>
    </row>
    <row r="224" spans="1:9" ht="16.5" thickBot="1" x14ac:dyDescent="0.3">
      <c r="B224" s="25"/>
      <c r="C224" s="2"/>
      <c r="D224" s="97" t="s">
        <v>1650</v>
      </c>
      <c r="E224" s="88"/>
      <c r="F224" s="88"/>
      <c r="G224" s="88"/>
      <c r="H224" s="98">
        <f>ROUND(H223,2)</f>
        <v>410.9</v>
      </c>
      <c r="I224" s="2"/>
    </row>
    <row r="225" spans="1:15" ht="15.75" x14ac:dyDescent="0.25">
      <c r="B225" s="34" t="s">
        <v>1701</v>
      </c>
      <c r="C225" s="2"/>
      <c r="D225" s="3" t="str">
        <f>$D$1</f>
        <v>ESPOL</v>
      </c>
      <c r="E225" s="2"/>
      <c r="F225" s="2"/>
      <c r="H225" s="2" t="s">
        <v>108</v>
      </c>
      <c r="I225" s="2"/>
      <c r="L225" s="40">
        <f>A229</f>
        <v>6</v>
      </c>
      <c r="M225" s="1" t="str">
        <f>C230</f>
        <v>Columnas planta baja (20x35)</v>
      </c>
      <c r="N225" s="2" t="str">
        <f>H229</f>
        <v>m3</v>
      </c>
      <c r="O225" s="2">
        <f>H280</f>
        <v>537.64</v>
      </c>
    </row>
    <row r="226" spans="1:15" ht="15.75" x14ac:dyDescent="0.25">
      <c r="B226" s="34" t="s">
        <v>1700</v>
      </c>
      <c r="C226" s="3">
        <f>'1.1'!$C$2</f>
        <v>0</v>
      </c>
      <c r="D226" s="2"/>
      <c r="E226" s="2"/>
      <c r="F226" s="2"/>
      <c r="G226" s="41" t="s">
        <v>1699</v>
      </c>
      <c r="H226" s="42"/>
      <c r="I226" s="2" t="s">
        <v>1698</v>
      </c>
    </row>
    <row r="227" spans="1:15" ht="15.75" x14ac:dyDescent="0.25">
      <c r="B227" s="34"/>
      <c r="C227" s="3">
        <f>'1.1'!$C$3</f>
        <v>0</v>
      </c>
      <c r="D227" s="2"/>
      <c r="E227" s="2"/>
      <c r="F227" s="2"/>
      <c r="G227" s="2"/>
      <c r="H227" s="2"/>
      <c r="I227" s="2"/>
    </row>
    <row r="228" spans="1:15" ht="15.75" x14ac:dyDescent="0.25">
      <c r="B228" s="34" t="s">
        <v>1697</v>
      </c>
      <c r="C228" s="3"/>
      <c r="D228" s="2"/>
      <c r="E228" s="2"/>
      <c r="F228" s="2"/>
      <c r="G228" s="2"/>
      <c r="H228" s="2"/>
      <c r="I228" s="2"/>
    </row>
    <row r="229" spans="1:15" x14ac:dyDescent="0.25">
      <c r="A229" s="104">
        <v>6</v>
      </c>
      <c r="B229" s="2" t="s">
        <v>1586</v>
      </c>
      <c r="C229" s="36" t="s">
        <v>585</v>
      </c>
      <c r="D229" s="2"/>
      <c r="G229" s="2" t="s">
        <v>1696</v>
      </c>
      <c r="H229" s="3" t="s">
        <v>1521</v>
      </c>
      <c r="I229" s="2"/>
    </row>
    <row r="230" spans="1:15" x14ac:dyDescent="0.25">
      <c r="B230" s="1" t="s">
        <v>1585</v>
      </c>
      <c r="C230" s="36" t="s">
        <v>2024</v>
      </c>
      <c r="D230" s="2"/>
      <c r="E230" s="2"/>
      <c r="F230" s="2"/>
      <c r="G230" s="2"/>
      <c r="H230" s="2"/>
      <c r="I230" s="2"/>
    </row>
    <row r="231" spans="1:15" ht="15.75" thickBot="1" x14ac:dyDescent="0.3">
      <c r="D231" s="2"/>
      <c r="E231" s="2"/>
      <c r="F231" s="2"/>
      <c r="G231" s="2"/>
      <c r="H231" s="2"/>
      <c r="I231" s="2"/>
    </row>
    <row r="232" spans="1:15" ht="15.75" thickBot="1" x14ac:dyDescent="0.3">
      <c r="B232" s="43" t="s">
        <v>1695</v>
      </c>
      <c r="C232" s="44"/>
      <c r="D232" s="44"/>
      <c r="E232" s="44"/>
      <c r="F232" s="44"/>
      <c r="G232" s="44"/>
      <c r="H232" s="45"/>
      <c r="I232" s="2"/>
    </row>
    <row r="233" spans="1:15" ht="25.5" x14ac:dyDescent="0.25">
      <c r="B233" s="46" t="s">
        <v>1409</v>
      </c>
      <c r="C233" s="47"/>
      <c r="D233" s="48" t="s">
        <v>1690</v>
      </c>
      <c r="E233" s="48" t="s">
        <v>1694</v>
      </c>
      <c r="F233" s="48" t="s">
        <v>1693</v>
      </c>
      <c r="G233" s="49" t="s">
        <v>1687</v>
      </c>
      <c r="H233" s="50" t="s">
        <v>1686</v>
      </c>
      <c r="I233" s="2"/>
    </row>
    <row r="234" spans="1:15" x14ac:dyDescent="0.25">
      <c r="A234" s="103">
        <v>19015</v>
      </c>
      <c r="B234" s="51" t="str">
        <f>IF($A234=0,"",VLOOKUP($A234,'BASE EQUIPO'!$A:$D,2))</f>
        <v>HERRAMIENTA MENOR</v>
      </c>
      <c r="C234" s="52"/>
      <c r="D234" s="53">
        <v>1</v>
      </c>
      <c r="E234" s="53">
        <f>IF($A234=0,"",VLOOKUP($A234,'BASE EQUIPO'!$A:$D,4)*H250)</f>
        <v>5.9190000000000005</v>
      </c>
      <c r="F234" s="53">
        <f t="shared" ref="F234:F239" si="23">IF($A234=0,"",ROUND(D234*E234,2))</f>
        <v>5.92</v>
      </c>
      <c r="G234" s="105">
        <v>1</v>
      </c>
      <c r="H234" s="54">
        <f t="shared" ref="H234:H239" si="24">IF($A234=0,"",ROUND(G234*F234,2))</f>
        <v>5.92</v>
      </c>
      <c r="I234" s="2"/>
    </row>
    <row r="235" spans="1:15" x14ac:dyDescent="0.25">
      <c r="A235" s="103">
        <v>19003</v>
      </c>
      <c r="B235" s="38" t="str">
        <f>IF($A235=0,"",VLOOKUP($A235,'BASE EQUIPO'!$A:$D,2))</f>
        <v>CONCRETERA</v>
      </c>
      <c r="C235" s="2"/>
      <c r="D235" s="55">
        <v>1</v>
      </c>
      <c r="E235" s="55">
        <f>IF($A235=0,"",VLOOKUP($A235,'BASE EQUIPO'!$A:$D,4))</f>
        <v>3.5</v>
      </c>
      <c r="F235" s="55">
        <f t="shared" si="23"/>
        <v>3.5</v>
      </c>
      <c r="G235" s="106">
        <f>+G244*0.5</f>
        <v>0.55000000000000004</v>
      </c>
      <c r="H235" s="56">
        <f t="shared" si="24"/>
        <v>1.93</v>
      </c>
      <c r="I235" s="2"/>
    </row>
    <row r="236" spans="1:15" x14ac:dyDescent="0.25">
      <c r="A236" s="103">
        <v>19008</v>
      </c>
      <c r="B236" s="38" t="str">
        <f>IF($A236=0,"",VLOOKUP($A236,'BASE EQUIPO'!$A:$D,2))</f>
        <v>VIBRADOR</v>
      </c>
      <c r="C236" s="2"/>
      <c r="D236" s="55">
        <v>1</v>
      </c>
      <c r="E236" s="55">
        <f>IF($A236=0,"",VLOOKUP($A236,'BASE EQUIPO'!$A:$D,4))</f>
        <v>2.5</v>
      </c>
      <c r="F236" s="55">
        <f t="shared" si="23"/>
        <v>2.5</v>
      </c>
      <c r="G236" s="106">
        <f>+G245*0.5</f>
        <v>0.55000000000000004</v>
      </c>
      <c r="H236" s="56">
        <f t="shared" si="24"/>
        <v>1.38</v>
      </c>
      <c r="I236" s="2"/>
    </row>
    <row r="237" spans="1:15" x14ac:dyDescent="0.25">
      <c r="B237" s="38" t="str">
        <f>IF($A237=0,"",VLOOKUP($A237,'BASE EQUIPO'!$A:$D,2))</f>
        <v/>
      </c>
      <c r="C237" s="2"/>
      <c r="D237" s="55"/>
      <c r="E237" s="55" t="str">
        <f>IF($A237=0,"",VLOOKUP($A237,'BASE EQUIPO'!$A:$D,4))</f>
        <v/>
      </c>
      <c r="F237" s="55" t="str">
        <f>IF($A237=0,"",ROUND(D237*E237,2))</f>
        <v/>
      </c>
      <c r="G237" s="106"/>
      <c r="H237" s="56" t="str">
        <f>IF($A237=0,"",ROUND(G237*F237,2))</f>
        <v/>
      </c>
      <c r="I237" s="2"/>
    </row>
    <row r="238" spans="1:15" x14ac:dyDescent="0.25">
      <c r="B238" s="38" t="str">
        <f>IF($A238=0,"",VLOOKUP($A238,'BASE EQUIPO'!$A:$D,2))</f>
        <v/>
      </c>
      <c r="C238" s="2"/>
      <c r="D238" s="55"/>
      <c r="E238" s="55" t="str">
        <f>IF($A238=0,"",VLOOKUP($A238,'BASE EQUIPO'!$A:$D,4))</f>
        <v/>
      </c>
      <c r="F238" s="55" t="str">
        <f t="shared" si="23"/>
        <v/>
      </c>
      <c r="G238" s="106"/>
      <c r="H238" s="56" t="str">
        <f t="shared" si="24"/>
        <v/>
      </c>
      <c r="I238" s="2"/>
    </row>
    <row r="239" spans="1:15" x14ac:dyDescent="0.25">
      <c r="B239" s="57" t="str">
        <f>IF($A239=0,"",VLOOKUP($A239,'BASE EQUIPO'!$A:$D,2))</f>
        <v/>
      </c>
      <c r="C239" s="58"/>
      <c r="D239" s="59"/>
      <c r="E239" s="59" t="str">
        <f>IF($A239=0,"",VLOOKUP($A239,'BASE EQUIPO'!$A:$D,4))</f>
        <v/>
      </c>
      <c r="F239" s="59" t="str">
        <f t="shared" si="23"/>
        <v/>
      </c>
      <c r="G239" s="107"/>
      <c r="H239" s="60" t="str">
        <f t="shared" si="24"/>
        <v/>
      </c>
      <c r="I239" s="2"/>
    </row>
    <row r="240" spans="1:15" x14ac:dyDescent="0.25">
      <c r="B240" s="57" t="s">
        <v>1692</v>
      </c>
      <c r="C240" s="58"/>
      <c r="D240" s="61"/>
      <c r="E240" s="61"/>
      <c r="F240" s="61"/>
      <c r="G240" s="62"/>
      <c r="H240" s="60">
        <f>ROUND(SUM(H233:H239),2)</f>
        <v>9.23</v>
      </c>
      <c r="I240" s="2"/>
    </row>
    <row r="241" spans="1:16" x14ac:dyDescent="0.25">
      <c r="B241" s="38" t="s">
        <v>1503</v>
      </c>
      <c r="C241" s="2"/>
      <c r="D241" s="3"/>
      <c r="E241" s="3"/>
      <c r="F241" s="3"/>
      <c r="G241" s="63"/>
      <c r="H241" s="56"/>
      <c r="I241" s="2"/>
    </row>
    <row r="242" spans="1:16" ht="25.5" x14ac:dyDescent="0.25">
      <c r="B242" s="64" t="s">
        <v>1691</v>
      </c>
      <c r="C242" s="65"/>
      <c r="D242" s="66" t="s">
        <v>1690</v>
      </c>
      <c r="E242" s="66" t="s">
        <v>1689</v>
      </c>
      <c r="F242" s="66" t="s">
        <v>1688</v>
      </c>
      <c r="G242" s="67" t="s">
        <v>1687</v>
      </c>
      <c r="H242" s="68" t="s">
        <v>1686</v>
      </c>
      <c r="I242" s="2"/>
    </row>
    <row r="243" spans="1:16" x14ac:dyDescent="0.25">
      <c r="A243" s="103">
        <v>20001</v>
      </c>
      <c r="B243" s="69" t="str">
        <f>IF($A243=0,"",VLOOKUP($A243,'BASE M-OBRA'!$A:$D,2))</f>
        <v>MAESTRO</v>
      </c>
      <c r="C243" s="2"/>
      <c r="D243" s="108">
        <v>1</v>
      </c>
      <c r="E243" s="70">
        <f>IF($A243=0,"",VLOOKUP($A243,'BASE M-OBRA'!$A:$D,4))</f>
        <v>3.02</v>
      </c>
      <c r="F243" s="55">
        <f t="shared" ref="F243:F249" si="25">IF($A243=0,"",ROUND(D243*E243,2))</f>
        <v>3.02</v>
      </c>
      <c r="G243" s="106">
        <f>IF($A243=0,"",ROUND(H243/F243,2))</f>
        <v>10.89</v>
      </c>
      <c r="H243" s="56">
        <f>IF($A243=0,"",ROUND(SUM(H244:H249)*'BASE M-OBRA'!$D$23,2))</f>
        <v>32.880000000000003</v>
      </c>
      <c r="I243" s="2"/>
    </row>
    <row r="244" spans="1:16" x14ac:dyDescent="0.25">
      <c r="A244" s="103">
        <v>20002</v>
      </c>
      <c r="B244" s="69" t="str">
        <f>IF($A244=0,"",VLOOKUP($A244,'BASE M-OBRA'!$A:$D,2))</f>
        <v>PEON</v>
      </c>
      <c r="C244" s="2"/>
      <c r="D244" s="108">
        <v>8</v>
      </c>
      <c r="E244" s="70">
        <f>IF($A244=0,"",VLOOKUP($A244,'BASE M-OBRA'!$A:$D,4))</f>
        <v>2.79</v>
      </c>
      <c r="F244" s="55">
        <f t="shared" si="25"/>
        <v>22.32</v>
      </c>
      <c r="G244" s="106">
        <v>1.1000000000000001</v>
      </c>
      <c r="H244" s="56">
        <f t="shared" ref="H244:H249" si="26">IF($A244=0,"",ROUND(G244*F244,2))</f>
        <v>24.55</v>
      </c>
      <c r="I244" s="2"/>
      <c r="K244" s="1">
        <f>(8.94*0+39.48)/1.2</f>
        <v>32.9</v>
      </c>
      <c r="L244" s="2">
        <f>H244+H245</f>
        <v>30.75</v>
      </c>
    </row>
    <row r="245" spans="1:16" x14ac:dyDescent="0.25">
      <c r="A245" s="103">
        <v>20003</v>
      </c>
      <c r="B245" s="69" t="str">
        <f>IF($A245=0,"",VLOOKUP($A245,'BASE M-OBRA'!$A:$D,2))</f>
        <v>ALBAÑIL</v>
      </c>
      <c r="C245" s="2"/>
      <c r="D245" s="108">
        <v>2</v>
      </c>
      <c r="E245" s="70">
        <f>IF($A245=0,"",VLOOKUP($A245,'BASE M-OBRA'!$A:$D,4))</f>
        <v>2.82</v>
      </c>
      <c r="F245" s="55">
        <f t="shared" si="25"/>
        <v>5.64</v>
      </c>
      <c r="G245" s="106">
        <f>+G244</f>
        <v>1.1000000000000001</v>
      </c>
      <c r="H245" s="56">
        <f t="shared" si="26"/>
        <v>6.2</v>
      </c>
      <c r="I245" s="2"/>
    </row>
    <row r="246" spans="1:16" x14ac:dyDescent="0.25">
      <c r="A246" s="103">
        <v>20004</v>
      </c>
      <c r="B246" s="71" t="str">
        <f>IF($A246=0,"",VLOOKUP($A246,'BASE M-OBRA'!$A:$D,2))</f>
        <v>CARPINTERO</v>
      </c>
      <c r="C246" s="2"/>
      <c r="D246" s="108">
        <v>2</v>
      </c>
      <c r="E246" s="70">
        <f>IF($A246=0,"",VLOOKUP($A246,'BASE M-OBRA'!$A:$D,4))</f>
        <v>2.82</v>
      </c>
      <c r="F246" s="55">
        <f t="shared" si="25"/>
        <v>5.64</v>
      </c>
      <c r="G246" s="106">
        <v>17</v>
      </c>
      <c r="H246" s="56">
        <f t="shared" si="26"/>
        <v>95.88</v>
      </c>
      <c r="I246" s="2"/>
      <c r="K246" s="1">
        <f>(3.17*0+7.19)*K253/1.2</f>
        <v>94.154761904761926</v>
      </c>
    </row>
    <row r="247" spans="1:16" x14ac:dyDescent="0.25">
      <c r="A247" s="103">
        <v>20005</v>
      </c>
      <c r="B247" s="72" t="str">
        <f>IF($A247=0,"",VLOOKUP($A247,'BASE M-OBRA'!$A:$D,2))</f>
        <v>FIERRERO</v>
      </c>
      <c r="C247" s="2"/>
      <c r="D247" s="108">
        <v>2</v>
      </c>
      <c r="E247" s="70">
        <f>IF($A247=0,"",VLOOKUP($A247,'BASE M-OBRA'!$A:$D,4))</f>
        <v>2.82</v>
      </c>
      <c r="F247" s="55">
        <f t="shared" si="25"/>
        <v>5.64</v>
      </c>
      <c r="G247" s="106">
        <v>6.7</v>
      </c>
      <c r="H247" s="56">
        <f t="shared" si="26"/>
        <v>37.79</v>
      </c>
      <c r="I247" s="2"/>
      <c r="K247" s="1">
        <f>+F262*0.31/1.2</f>
        <v>37.975000000000001</v>
      </c>
    </row>
    <row r="248" spans="1:16" x14ac:dyDescent="0.25">
      <c r="B248" s="38" t="str">
        <f>IF($A248=0,"",VLOOKUP($A248,'BASE M-OBRA'!$A:$D,2))</f>
        <v/>
      </c>
      <c r="C248" s="2"/>
      <c r="D248" s="55"/>
      <c r="E248" s="55" t="str">
        <f>IF($A248=0,"",VLOOKUP($A248,'BASE M-OBRA'!$A:$D,4))</f>
        <v/>
      </c>
      <c r="F248" s="55" t="str">
        <f t="shared" si="25"/>
        <v/>
      </c>
      <c r="G248" s="106"/>
      <c r="H248" s="56" t="str">
        <f t="shared" si="26"/>
        <v/>
      </c>
      <c r="I248" s="2"/>
    </row>
    <row r="249" spans="1:16" x14ac:dyDescent="0.25">
      <c r="B249" s="57" t="str">
        <f>IF($A249=0,"",VLOOKUP($A249,'BASE M-OBRA'!$A:$D,2))</f>
        <v/>
      </c>
      <c r="C249" s="58"/>
      <c r="D249" s="59"/>
      <c r="E249" s="59" t="str">
        <f>IF($A249=0,"",VLOOKUP($A249,'BASE M-OBRA'!$A:$D,4))</f>
        <v/>
      </c>
      <c r="F249" s="59" t="str">
        <f t="shared" si="25"/>
        <v/>
      </c>
      <c r="G249" s="107"/>
      <c r="H249" s="60" t="str">
        <f t="shared" si="26"/>
        <v/>
      </c>
      <c r="I249" s="2"/>
    </row>
    <row r="250" spans="1:16" x14ac:dyDescent="0.25">
      <c r="B250" s="73" t="s">
        <v>1685</v>
      </c>
      <c r="C250" s="65"/>
      <c r="D250" s="74"/>
      <c r="E250" s="74"/>
      <c r="F250" s="74"/>
      <c r="G250" s="74"/>
      <c r="H250" s="75">
        <f>ROUND(SUM(H242:H249),2)</f>
        <v>197.3</v>
      </c>
      <c r="I250" s="2"/>
      <c r="K250" s="1">
        <f>SUM(K244:K249)</f>
        <v>165.02976190476193</v>
      </c>
    </row>
    <row r="251" spans="1:16" x14ac:dyDescent="0.25">
      <c r="B251" s="38" t="s">
        <v>1684</v>
      </c>
      <c r="C251" s="2"/>
      <c r="D251" s="3"/>
      <c r="E251" s="3"/>
      <c r="F251" s="3"/>
      <c r="G251" s="3"/>
      <c r="H251" s="56"/>
      <c r="I251" s="2"/>
    </row>
    <row r="252" spans="1:16" ht="25.5" x14ac:dyDescent="0.25">
      <c r="B252" s="64" t="s">
        <v>1409</v>
      </c>
      <c r="C252" s="65"/>
      <c r="D252" s="76"/>
      <c r="E252" s="66" t="s">
        <v>1408</v>
      </c>
      <c r="F252" s="66" t="s">
        <v>1679</v>
      </c>
      <c r="G252" s="66" t="s">
        <v>1683</v>
      </c>
      <c r="H252" s="68" t="s">
        <v>1675</v>
      </c>
      <c r="I252" s="2"/>
    </row>
    <row r="253" spans="1:16" x14ac:dyDescent="0.25">
      <c r="A253" s="103">
        <v>11008</v>
      </c>
      <c r="B253" s="37" t="str">
        <f>IF($A253=0,"",VLOOKUP($A253,'BASE MATERIAL'!$A:$D,2))</f>
        <v>TABLA</v>
      </c>
      <c r="C253" s="2"/>
      <c r="D253" s="77"/>
      <c r="E253" s="78" t="str">
        <f>IF($A253=0,"",VLOOKUP($A253,'BASE MATERIAL'!$A:$D,3))</f>
        <v>U</v>
      </c>
      <c r="F253" s="55">
        <f>ROUND(K253*5/(4*3),2)</f>
        <v>6.55</v>
      </c>
      <c r="G253" s="55">
        <f>IF($A253=0,"",VLOOKUP($A253,'BASE MATERIAL'!$A:$D,4))</f>
        <v>3.5</v>
      </c>
      <c r="H253" s="56">
        <f t="shared" ref="H253:H267" si="27">IF($A253=0,"",ROUND(F253*G253,2))</f>
        <v>22.93</v>
      </c>
      <c r="I253" s="2"/>
      <c r="K253" s="1">
        <f>(0.2*2+0.35*2)/(0.2*0.35)</f>
        <v>15.714285714285717</v>
      </c>
      <c r="L253" s="2"/>
      <c r="M253" s="2"/>
      <c r="N253" s="39"/>
      <c r="O253" s="2"/>
      <c r="P253" s="2"/>
    </row>
    <row r="254" spans="1:16" x14ac:dyDescent="0.25">
      <c r="A254" s="103">
        <v>11009</v>
      </c>
      <c r="B254" s="38" t="str">
        <f>IF($A254=0,"",VLOOKUP($A254,'BASE MATERIAL'!$A:$D,2))</f>
        <v>CUARTON</v>
      </c>
      <c r="C254" s="2"/>
      <c r="D254" s="77"/>
      <c r="E254" s="78" t="str">
        <f>IF($A254=0,"",VLOOKUP($A254,'BASE MATERIAL'!$A:$D,3))</f>
        <v>U</v>
      </c>
      <c r="F254" s="55">
        <f>ROUND(K253*8/(4*3),2)</f>
        <v>10.48</v>
      </c>
      <c r="G254" s="55">
        <f>IF($A254=0,"",VLOOKUP($A254,'BASE MATERIAL'!$A:$D,4))</f>
        <v>2.42</v>
      </c>
      <c r="H254" s="56">
        <f t="shared" si="27"/>
        <v>25.36</v>
      </c>
      <c r="I254" s="2"/>
      <c r="L254" s="2"/>
      <c r="M254" s="2"/>
      <c r="N254" s="39"/>
      <c r="O254" s="2"/>
      <c r="P254" s="2"/>
    </row>
    <row r="255" spans="1:16" x14ac:dyDescent="0.25">
      <c r="A255" s="103">
        <v>11007</v>
      </c>
      <c r="B255" s="38" t="str">
        <f>IF($A255=0,"",VLOOKUP($A255,'BASE MATERIAL'!$A:$D,2))</f>
        <v>CLAVO 2 1/2"</v>
      </c>
      <c r="C255" s="2"/>
      <c r="D255" s="77"/>
      <c r="E255" s="78" t="str">
        <f>IF($A255=0,"",VLOOKUP($A255,'BASE MATERIAL'!$A:$D,3))</f>
        <v>KG</v>
      </c>
      <c r="F255" s="55">
        <f>ROUND(K253*56/(178*1.5),2)</f>
        <v>3.3</v>
      </c>
      <c r="G255" s="55">
        <f>IF($A255=0,"",VLOOKUP($A255,'BASE MATERIAL'!$A:$D,4))</f>
        <v>2.6520000000000001</v>
      </c>
      <c r="H255" s="56">
        <f t="shared" si="27"/>
        <v>8.75</v>
      </c>
      <c r="I255" s="2"/>
      <c r="L255" s="2"/>
      <c r="M255" s="2"/>
      <c r="N255" s="39"/>
      <c r="O255" s="2"/>
      <c r="P255" s="2"/>
    </row>
    <row r="256" spans="1:16" x14ac:dyDescent="0.25">
      <c r="A256" s="103">
        <v>11010</v>
      </c>
      <c r="B256" s="38" t="str">
        <f>IF($A256=0,"",VLOOKUP($A256,'BASE MATERIAL'!$A:$D,2))</f>
        <v>TIRA</v>
      </c>
      <c r="C256" s="2"/>
      <c r="D256" s="77"/>
      <c r="E256" s="78" t="str">
        <f>IF($A256=0,"",VLOOKUP($A256,'BASE MATERIAL'!$A:$D,3))</f>
        <v>U</v>
      </c>
      <c r="F256" s="55">
        <f>ROUND(K253*4/(4*3),2)</f>
        <v>5.24</v>
      </c>
      <c r="G256" s="55">
        <f>IF($A256=0,"",VLOOKUP($A256,'BASE MATERIAL'!$A:$D,4))</f>
        <v>1.5</v>
      </c>
      <c r="H256" s="56">
        <f t="shared" si="27"/>
        <v>7.86</v>
      </c>
      <c r="I256" s="2"/>
      <c r="L256" s="2"/>
      <c r="M256" s="2"/>
      <c r="N256" s="39"/>
      <c r="O256" s="2"/>
      <c r="P256" s="2"/>
    </row>
    <row r="257" spans="1:16" x14ac:dyDescent="0.25">
      <c r="A257" s="103">
        <v>4001</v>
      </c>
      <c r="B257" s="38" t="str">
        <f>IF($A257=0,"",VLOOKUP($A257,'BASE MATERIAL'!$A:$D,2))</f>
        <v>CEMENTO</v>
      </c>
      <c r="C257" s="2"/>
      <c r="D257" s="77"/>
      <c r="E257" s="78" t="str">
        <f>IF($A257=0,"",VLOOKUP($A257,'BASE MATERIAL'!$A:$D,3))</f>
        <v>SACO</v>
      </c>
      <c r="F257" s="55">
        <f>8*1.03</f>
        <v>8.24</v>
      </c>
      <c r="G257" s="55">
        <f>IF($A257=0,"",VLOOKUP($A257,'BASE MATERIAL'!$A:$D,4))</f>
        <v>7.09</v>
      </c>
      <c r="H257" s="56">
        <f t="shared" si="27"/>
        <v>58.42</v>
      </c>
      <c r="I257" s="2"/>
      <c r="L257" s="2"/>
      <c r="M257" s="2"/>
      <c r="N257" s="39"/>
      <c r="O257" s="2"/>
      <c r="P257" s="2"/>
    </row>
    <row r="258" spans="1:16" x14ac:dyDescent="0.25">
      <c r="A258" s="103">
        <v>5004</v>
      </c>
      <c r="B258" s="38" t="str">
        <f>IF($A258=0,"",VLOOKUP($A258,'BASE MATERIAL'!$A:$D,2))</f>
        <v>ARENA</v>
      </c>
      <c r="C258" s="2"/>
      <c r="D258" s="77"/>
      <c r="E258" s="78" t="str">
        <f>IF($A258=0,"",VLOOKUP($A258,'BASE MATERIAL'!$A:$D,3))</f>
        <v>M3</v>
      </c>
      <c r="F258" s="55">
        <f>ROUND(F257*0.032*2,2)</f>
        <v>0.53</v>
      </c>
      <c r="G258" s="55">
        <f>IF($A258=0,"",VLOOKUP($A258,'BASE MATERIAL'!$A:$D,4))</f>
        <v>12.276249999999999</v>
      </c>
      <c r="H258" s="56">
        <f t="shared" si="27"/>
        <v>6.51</v>
      </c>
      <c r="I258" s="2"/>
    </row>
    <row r="259" spans="1:16" x14ac:dyDescent="0.25">
      <c r="A259" s="103">
        <v>5002</v>
      </c>
      <c r="B259" s="38" t="str">
        <f>IF($A259=0,"",VLOOKUP($A259,'BASE MATERIAL'!$A:$D,2))</f>
        <v>PIEDRA 3-4</v>
      </c>
      <c r="C259" s="2"/>
      <c r="D259" s="77"/>
      <c r="E259" s="78" t="str">
        <f>IF($A259=0,"",VLOOKUP($A259,'BASE MATERIAL'!$A:$D,3))</f>
        <v>M3</v>
      </c>
      <c r="F259" s="55">
        <f>ROUND(F257*0.032*3,2)</f>
        <v>0.79</v>
      </c>
      <c r="G259" s="55">
        <f>IF($A259=0,"",VLOOKUP($A259,'BASE MATERIAL'!$A:$D,4))</f>
        <v>13.75</v>
      </c>
      <c r="H259" s="56">
        <f t="shared" si="27"/>
        <v>10.86</v>
      </c>
      <c r="I259" s="2"/>
      <c r="L259" s="2"/>
      <c r="M259" s="2"/>
      <c r="N259" s="39"/>
      <c r="O259" s="2"/>
      <c r="P259" s="2"/>
    </row>
    <row r="260" spans="1:16" x14ac:dyDescent="0.25">
      <c r="A260" s="103">
        <v>5005</v>
      </c>
      <c r="B260" s="38" t="str">
        <f>IF($A260=0,"",VLOOKUP($A260,'BASE MATERIAL'!$A:$D,2))</f>
        <v>AGUA</v>
      </c>
      <c r="C260" s="2"/>
      <c r="D260" s="77"/>
      <c r="E260" s="78" t="str">
        <f>IF($A260=0,"",VLOOKUP($A260,'BASE MATERIAL'!$A:$D,3))</f>
        <v>LT</v>
      </c>
      <c r="F260" s="55">
        <f>26*F257</f>
        <v>214.24</v>
      </c>
      <c r="G260" s="112">
        <f>IF($A260=0,"",VLOOKUP($A260,'BASE MATERIAL'!$A:$D,4))</f>
        <v>2E-3</v>
      </c>
      <c r="H260" s="56">
        <f t="shared" si="27"/>
        <v>0.43</v>
      </c>
      <c r="I260" s="2"/>
      <c r="L260" s="2"/>
      <c r="M260" s="2"/>
      <c r="N260" s="39"/>
      <c r="O260" s="2"/>
      <c r="P260" s="2"/>
    </row>
    <row r="261" spans="1:16" x14ac:dyDescent="0.25">
      <c r="B261" s="38" t="str">
        <f>IF($A261=0,"",VLOOKUP($A261,'BASE MATERIAL'!$A:$D,2))</f>
        <v/>
      </c>
      <c r="C261" s="2"/>
      <c r="D261" s="77"/>
      <c r="E261" s="78" t="str">
        <f>IF($A261=0,"",VLOOKUP($A261,'BASE MATERIAL'!$A:$D,3))</f>
        <v/>
      </c>
      <c r="F261" s="55"/>
      <c r="G261" s="55" t="str">
        <f>IF($A261=0,"",VLOOKUP($A261,'BASE MATERIAL'!$A:$D,4))</f>
        <v/>
      </c>
      <c r="H261" s="56" t="str">
        <f t="shared" si="27"/>
        <v/>
      </c>
      <c r="I261" s="2"/>
      <c r="L261" s="2"/>
      <c r="M261" s="2"/>
      <c r="N261" s="39"/>
      <c r="O261" s="2"/>
      <c r="P261" s="2"/>
    </row>
    <row r="262" spans="1:16" x14ac:dyDescent="0.25">
      <c r="A262" s="103">
        <v>1001</v>
      </c>
      <c r="B262" s="38" t="str">
        <f>IF($A262=0,"",VLOOKUP($A262,'BASE MATERIAL'!$A:$D,2))</f>
        <v>HIERRO</v>
      </c>
      <c r="C262" s="2"/>
      <c r="D262" s="77"/>
      <c r="E262" s="78" t="str">
        <f>IF($A262=0,"",VLOOKUP($A262,'BASE MATERIAL'!$A:$D,3))</f>
        <v>KG</v>
      </c>
      <c r="F262" s="55">
        <f>140*1.05</f>
        <v>147</v>
      </c>
      <c r="G262" s="55">
        <f>IF($A262=0,"",VLOOKUP($A262,'BASE MATERIAL'!$A:$D,4))</f>
        <v>1.17</v>
      </c>
      <c r="H262" s="56">
        <f t="shared" si="27"/>
        <v>171.99</v>
      </c>
      <c r="I262" s="2"/>
      <c r="K262" s="1">
        <f>4*1.5</f>
        <v>6</v>
      </c>
      <c r="L262" s="2"/>
      <c r="M262" s="2"/>
      <c r="N262" s="39"/>
      <c r="O262" s="2"/>
      <c r="P262" s="2"/>
    </row>
    <row r="263" spans="1:16" x14ac:dyDescent="0.25">
      <c r="A263" s="103">
        <v>11002</v>
      </c>
      <c r="B263" s="38" t="str">
        <f>IF($A263=0,"",VLOOKUP($A263,'BASE MATERIAL'!$A:$D,2))</f>
        <v>ALAMBRE #18 RECOCIDO</v>
      </c>
      <c r="C263" s="2"/>
      <c r="D263" s="77"/>
      <c r="E263" s="78" t="str">
        <f>IF($A263=0,"",VLOOKUP($A263,'BASE MATERIAL'!$A:$D,3))</f>
        <v>KG</v>
      </c>
      <c r="F263" s="55">
        <f>+F262*0.03</f>
        <v>4.41</v>
      </c>
      <c r="G263" s="55">
        <f>IF($A263=0,"",VLOOKUP($A263,'BASE MATERIAL'!$A:$D,4))</f>
        <v>1.87</v>
      </c>
      <c r="H263" s="56">
        <f t="shared" si="27"/>
        <v>8.25</v>
      </c>
      <c r="I263" s="2"/>
      <c r="K263" s="1">
        <f>2*0.888</f>
        <v>1.776</v>
      </c>
      <c r="L263" s="2"/>
      <c r="M263" s="2"/>
      <c r="N263" s="39"/>
      <c r="O263" s="2"/>
      <c r="P263" s="2"/>
    </row>
    <row r="264" spans="1:16" x14ac:dyDescent="0.25">
      <c r="B264" s="38" t="str">
        <f>IF($A264=0,"",VLOOKUP($A264,'BASE MATERIAL'!$A:$D,2))</f>
        <v/>
      </c>
      <c r="C264" s="2"/>
      <c r="D264" s="77"/>
      <c r="E264" s="78" t="str">
        <f>IF($A264=0,"",VLOOKUP($A264,'BASE MATERIAL'!$A:$D,3))</f>
        <v/>
      </c>
      <c r="F264" s="55"/>
      <c r="G264" s="55" t="str">
        <f>IF($A264=0,"",VLOOKUP($A264,'BASE MATERIAL'!$A:$D,4))</f>
        <v/>
      </c>
      <c r="H264" s="56" t="str">
        <f t="shared" si="27"/>
        <v/>
      </c>
      <c r="I264" s="2"/>
      <c r="K264" s="1">
        <f>11*L264*0.394</f>
        <v>5.9809200000000002</v>
      </c>
      <c r="L264" s="1">
        <f>0.49*2+0.2*2</f>
        <v>1.38</v>
      </c>
    </row>
    <row r="265" spans="1:16" x14ac:dyDescent="0.25">
      <c r="B265" s="38" t="str">
        <f>IF($A265=0,"",VLOOKUP($A265,'BASE MATERIAL'!$A:$D,2))</f>
        <v/>
      </c>
      <c r="C265" s="2"/>
      <c r="D265" s="77"/>
      <c r="E265" s="78" t="str">
        <f>IF($A265=0,"",VLOOKUP($A265,'BASE MATERIAL'!$A:$D,3))</f>
        <v/>
      </c>
      <c r="F265" s="55"/>
      <c r="G265" s="55" t="str">
        <f>IF($A265=0,"",VLOOKUP($A265,'BASE MATERIAL'!$A:$D,4))</f>
        <v/>
      </c>
      <c r="H265" s="56" t="str">
        <f t="shared" si="27"/>
        <v/>
      </c>
      <c r="I265" s="2"/>
      <c r="K265" s="1">
        <f>SUM(K262:K264)</f>
        <v>13.756920000000001</v>
      </c>
    </row>
    <row r="266" spans="1:16" x14ac:dyDescent="0.25">
      <c r="B266" s="38" t="str">
        <f>IF($A266=0,"",VLOOKUP($A266,'BASE MATERIAL'!$A:$D,2))</f>
        <v/>
      </c>
      <c r="C266" s="2"/>
      <c r="D266" s="77"/>
      <c r="E266" s="78" t="str">
        <f>IF($A266=0,"",VLOOKUP($A266,'BASE MATERIAL'!$A:$D,3))</f>
        <v/>
      </c>
      <c r="F266" s="55"/>
      <c r="G266" s="55" t="str">
        <f>IF($A266=0,"",VLOOKUP($A266,'BASE MATERIAL'!$A:$D,4))</f>
        <v/>
      </c>
      <c r="H266" s="56" t="str">
        <f t="shared" si="27"/>
        <v/>
      </c>
      <c r="I266" s="2"/>
      <c r="K266" s="1">
        <f>+K265/(0.2*0.49)</f>
        <v>140.37673469387755</v>
      </c>
    </row>
    <row r="267" spans="1:16" x14ac:dyDescent="0.25">
      <c r="B267" s="38" t="str">
        <f>IF($A267=0,"",VLOOKUP($A267,'BASE MATERIAL'!$A:$D,2))</f>
        <v/>
      </c>
      <c r="C267" s="2"/>
      <c r="D267" s="77"/>
      <c r="E267" s="78" t="str">
        <f>IF($A267=0,"",VLOOKUP($A267,'BASE MATERIAL'!$A:$D,3))</f>
        <v/>
      </c>
      <c r="F267" s="55"/>
      <c r="G267" s="55" t="str">
        <f>IF($A267=0,"",VLOOKUP($A267,'BASE MATERIAL'!$A:$D,4))</f>
        <v/>
      </c>
      <c r="H267" s="56" t="str">
        <f t="shared" si="27"/>
        <v/>
      </c>
      <c r="I267" s="2"/>
    </row>
    <row r="268" spans="1:16" x14ac:dyDescent="0.25">
      <c r="B268" s="38" t="str">
        <f>IF($A268=0,"",VLOOKUP($A268,'BASE MATERIAL'!$A:$D,2))</f>
        <v/>
      </c>
      <c r="C268" s="2"/>
      <c r="D268" s="81" t="s">
        <v>1682</v>
      </c>
      <c r="E268" s="55" t="str">
        <f>IF($A268=0,"",VLOOKUP($A268,'BASE MATERIAL'!$A:$D,3))</f>
        <v/>
      </c>
      <c r="F268" s="55" t="s">
        <v>1682</v>
      </c>
      <c r="G268" s="55" t="str">
        <f>IF($A268=0,"",VLOOKUP($A268,'BASE MATERIAL'!$A:$D,4))</f>
        <v/>
      </c>
      <c r="H268" s="56" t="str">
        <f>IF($A268=0,"",ROUND(E268*F268,2))</f>
        <v/>
      </c>
      <c r="I268" s="2"/>
    </row>
    <row r="269" spans="1:16" x14ac:dyDescent="0.25">
      <c r="B269" s="73" t="s">
        <v>1681</v>
      </c>
      <c r="C269" s="65"/>
      <c r="D269" s="74"/>
      <c r="E269" s="74"/>
      <c r="F269" s="74"/>
      <c r="G269" s="74"/>
      <c r="H269" s="75">
        <f>ROUND(SUM(H252:H268),2)</f>
        <v>321.36</v>
      </c>
      <c r="I269" s="2"/>
    </row>
    <row r="270" spans="1:16" x14ac:dyDescent="0.25">
      <c r="B270" s="38" t="s">
        <v>1680</v>
      </c>
      <c r="C270" s="2"/>
      <c r="D270" s="3"/>
      <c r="E270" s="3"/>
      <c r="F270" s="3"/>
      <c r="G270" s="3"/>
      <c r="H270" s="56"/>
      <c r="I270" s="2"/>
    </row>
    <row r="271" spans="1:16" ht="25.5" x14ac:dyDescent="0.25">
      <c r="B271" s="64" t="s">
        <v>1409</v>
      </c>
      <c r="C271" s="65"/>
      <c r="D271" s="76"/>
      <c r="E271" s="66" t="s">
        <v>1408</v>
      </c>
      <c r="F271" s="66" t="s">
        <v>1679</v>
      </c>
      <c r="G271" s="66" t="s">
        <v>1676</v>
      </c>
      <c r="H271" s="68" t="s">
        <v>1675</v>
      </c>
      <c r="I271" s="2"/>
    </row>
    <row r="272" spans="1:16" x14ac:dyDescent="0.25">
      <c r="A272" s="103">
        <v>19019</v>
      </c>
      <c r="B272" s="51" t="str">
        <f>IF($A272=0,"",VLOOKUP($A272,'BASE EQUIPO'!$A:$D,2))</f>
        <v>TRANSPORTE DE MATERIAL</v>
      </c>
      <c r="C272" s="52"/>
      <c r="D272" s="82"/>
      <c r="E272" s="78" t="str">
        <f>IF($A272=0,"",VLOOKUP($A272,'BASE EQUIPO'!$A:$D,3))</f>
        <v>GLOBAL</v>
      </c>
      <c r="F272" s="55">
        <v>1</v>
      </c>
      <c r="G272" s="83">
        <f>IF($A272=0,"",VLOOKUP($A272,'BASE EQUIPO'!$A:$D,4)*H269)+0.11</f>
        <v>9.7507999999999999</v>
      </c>
      <c r="H272" s="56">
        <f>IF($A272=0,"",ROUND(F272*G272,2))</f>
        <v>9.75</v>
      </c>
      <c r="I272" s="2"/>
    </row>
    <row r="273" spans="1:15" x14ac:dyDescent="0.25">
      <c r="B273" s="38" t="str">
        <f>IF($A273=0,"",VLOOKUP($A273,'BASE EQUIPO'!$A:$D,2))</f>
        <v/>
      </c>
      <c r="C273" s="2"/>
      <c r="D273" s="84"/>
      <c r="E273" s="78" t="str">
        <f>IF($A273=0,"",VLOOKUP($A273,'BASE EQUIPO'!$A:$D,3))</f>
        <v/>
      </c>
      <c r="F273" s="55"/>
      <c r="G273" s="55" t="str">
        <f>IF($A273=0,"",VLOOKUP($A273,'BASE EQUIPO'!$A:$D,4)*H270)</f>
        <v/>
      </c>
      <c r="H273" s="56" t="str">
        <f>IF($A273=0,"",ROUND(F273*G273,2))</f>
        <v/>
      </c>
      <c r="I273" s="2"/>
    </row>
    <row r="274" spans="1:15" x14ac:dyDescent="0.25">
      <c r="B274" s="57" t="str">
        <f>IF($A274=0,"",VLOOKUP($A274,'BASE EQUIPO'!$A:$D,2))</f>
        <v/>
      </c>
      <c r="C274" s="58"/>
      <c r="D274" s="85"/>
      <c r="E274" s="86" t="str">
        <f>IF($A274=0,"",VLOOKUP($A274,'BASE EQUIPO'!$A:$D,3))</f>
        <v/>
      </c>
      <c r="F274" s="59"/>
      <c r="G274" s="59" t="str">
        <f>IF($A274=0,"",VLOOKUP($A274,'BASE EQUIPO'!$A:$D,4)*H271)</f>
        <v/>
      </c>
      <c r="H274" s="60" t="str">
        <f>IF($A274=0,"",ROUND(F274*G274,2))</f>
        <v/>
      </c>
      <c r="I274" s="2"/>
    </row>
    <row r="275" spans="1:15" ht="15.75" thickBot="1" x14ac:dyDescent="0.3">
      <c r="B275" s="87" t="s">
        <v>1674</v>
      </c>
      <c r="C275" s="88"/>
      <c r="D275" s="89"/>
      <c r="E275" s="89"/>
      <c r="F275" s="89"/>
      <c r="G275" s="89"/>
      <c r="H275" s="90">
        <f>ROUND(SUM(H271:H274),2)</f>
        <v>9.75</v>
      </c>
      <c r="I275" s="2"/>
    </row>
    <row r="276" spans="1:15" ht="15.75" x14ac:dyDescent="0.25">
      <c r="B276" s="2"/>
      <c r="C276" s="2"/>
      <c r="D276" s="91" t="s">
        <v>1673</v>
      </c>
      <c r="E276" s="47"/>
      <c r="F276" s="47"/>
      <c r="G276" s="47"/>
      <c r="H276" s="92">
        <f>ROUND(SUM(H275,H269,H250,H240),2)</f>
        <v>537.64</v>
      </c>
      <c r="I276" s="2"/>
    </row>
    <row r="277" spans="1:15" ht="15.75" x14ac:dyDescent="0.25">
      <c r="A277" s="103">
        <v>40002</v>
      </c>
      <c r="B277" s="2"/>
      <c r="C277" s="2"/>
      <c r="D277" s="93" t="s">
        <v>1672</v>
      </c>
      <c r="E277" s="65"/>
      <c r="F277" s="65"/>
      <c r="G277" s="94">
        <f>IF($A277=0,"",VLOOKUP($A277,'BASE MATERIAL'!$M:$P,4))</f>
        <v>0</v>
      </c>
      <c r="H277" s="95">
        <f>IF($A277=0,"",ROUND(G277*H276,2))</f>
        <v>0</v>
      </c>
      <c r="I277" s="2"/>
    </row>
    <row r="278" spans="1:15" ht="15.75" x14ac:dyDescent="0.25">
      <c r="A278" s="103">
        <v>40003</v>
      </c>
      <c r="B278" s="2"/>
      <c r="C278" s="2"/>
      <c r="D278" s="93" t="s">
        <v>1671</v>
      </c>
      <c r="E278" s="65"/>
      <c r="F278" s="65"/>
      <c r="G278" s="94">
        <f>IF($A278=0,"",VLOOKUP($A278,'BASE MATERIAL'!$M:$P,4))</f>
        <v>0</v>
      </c>
      <c r="H278" s="95">
        <f>IF($A278=0,"",ROUND(G278*H276,2))</f>
        <v>0</v>
      </c>
      <c r="I278" s="2"/>
    </row>
    <row r="279" spans="1:15" ht="15.75" x14ac:dyDescent="0.25">
      <c r="B279" s="2"/>
      <c r="C279" s="2"/>
      <c r="D279" s="93" t="s">
        <v>1670</v>
      </c>
      <c r="E279" s="65"/>
      <c r="F279" s="65"/>
      <c r="G279" s="65"/>
      <c r="H279" s="96">
        <f>ROUND(SUM(H276:H278),2)</f>
        <v>537.64</v>
      </c>
      <c r="I279" s="2"/>
    </row>
    <row r="280" spans="1:15" ht="16.5" thickBot="1" x14ac:dyDescent="0.3">
      <c r="B280" s="25"/>
      <c r="C280" s="2"/>
      <c r="D280" s="97" t="s">
        <v>1650</v>
      </c>
      <c r="E280" s="88"/>
      <c r="F280" s="88"/>
      <c r="G280" s="88"/>
      <c r="H280" s="98">
        <f>ROUND(H279,2)</f>
        <v>537.64</v>
      </c>
      <c r="I280" s="2"/>
    </row>
    <row r="281" spans="1:15" ht="15.75" x14ac:dyDescent="0.25">
      <c r="B281" s="34" t="s">
        <v>1701</v>
      </c>
      <c r="C281" s="2"/>
      <c r="D281" s="3" t="str">
        <f>$D$1</f>
        <v>ESPOL</v>
      </c>
      <c r="E281" s="2"/>
      <c r="F281" s="2"/>
      <c r="H281" s="2" t="s">
        <v>108</v>
      </c>
      <c r="I281" s="2"/>
      <c r="L281" s="40">
        <f>A285</f>
        <v>6</v>
      </c>
      <c r="M281" s="1" t="str">
        <f>C286</f>
        <v>Columnas planta alta (20x30)</v>
      </c>
      <c r="N281" s="2" t="str">
        <f>H285</f>
        <v>m3</v>
      </c>
      <c r="O281" s="2">
        <f>H336</f>
        <v>531.85</v>
      </c>
    </row>
    <row r="282" spans="1:15" ht="15.75" x14ac:dyDescent="0.25">
      <c r="B282" s="34" t="s">
        <v>1700</v>
      </c>
      <c r="C282" s="3">
        <f>'1.1'!$C$2</f>
        <v>0</v>
      </c>
      <c r="D282" s="2"/>
      <c r="E282" s="2"/>
      <c r="F282" s="2"/>
      <c r="G282" s="41" t="s">
        <v>1699</v>
      </c>
      <c r="H282" s="42"/>
      <c r="I282" s="2" t="s">
        <v>1698</v>
      </c>
    </row>
    <row r="283" spans="1:15" ht="15.75" x14ac:dyDescent="0.25">
      <c r="B283" s="34"/>
      <c r="C283" s="3">
        <f>'1.1'!$C$3</f>
        <v>0</v>
      </c>
      <c r="D283" s="2"/>
      <c r="E283" s="2"/>
      <c r="F283" s="2"/>
      <c r="G283" s="2"/>
      <c r="H283" s="2"/>
      <c r="I283" s="2"/>
    </row>
    <row r="284" spans="1:15" ht="15.75" x14ac:dyDescent="0.25">
      <c r="B284" s="34" t="s">
        <v>1697</v>
      </c>
      <c r="C284" s="3"/>
      <c r="D284" s="2"/>
      <c r="E284" s="2"/>
      <c r="F284" s="2"/>
      <c r="G284" s="2"/>
      <c r="H284" s="2"/>
      <c r="I284" s="2"/>
    </row>
    <row r="285" spans="1:15" x14ac:dyDescent="0.25">
      <c r="A285" s="104">
        <v>6</v>
      </c>
      <c r="B285" s="2" t="s">
        <v>1586</v>
      </c>
      <c r="C285" s="36" t="s">
        <v>585</v>
      </c>
      <c r="D285" s="2"/>
      <c r="G285" s="2" t="s">
        <v>1696</v>
      </c>
      <c r="H285" s="3" t="s">
        <v>1521</v>
      </c>
      <c r="I285" s="2"/>
    </row>
    <row r="286" spans="1:15" x14ac:dyDescent="0.25">
      <c r="B286" s="1" t="s">
        <v>1585</v>
      </c>
      <c r="C286" s="36" t="s">
        <v>2025</v>
      </c>
      <c r="D286" s="2"/>
      <c r="E286" s="2"/>
      <c r="F286" s="2"/>
      <c r="G286" s="2"/>
      <c r="H286" s="2"/>
      <c r="I286" s="2"/>
    </row>
    <row r="287" spans="1:15" ht="15.75" thickBot="1" x14ac:dyDescent="0.3">
      <c r="D287" s="2"/>
      <c r="E287" s="2"/>
      <c r="F287" s="2"/>
      <c r="G287" s="2"/>
      <c r="H287" s="2"/>
      <c r="I287" s="2"/>
    </row>
    <row r="288" spans="1:15" ht="15.75" thickBot="1" x14ac:dyDescent="0.3">
      <c r="B288" s="43" t="s">
        <v>1695</v>
      </c>
      <c r="C288" s="44"/>
      <c r="D288" s="44"/>
      <c r="E288" s="44"/>
      <c r="F288" s="44"/>
      <c r="G288" s="44"/>
      <c r="H288" s="45"/>
      <c r="I288" s="2"/>
    </row>
    <row r="289" spans="1:12" ht="25.5" x14ac:dyDescent="0.25">
      <c r="B289" s="46" t="s">
        <v>1409</v>
      </c>
      <c r="C289" s="47"/>
      <c r="D289" s="48" t="s">
        <v>1690</v>
      </c>
      <c r="E289" s="48" t="s">
        <v>1694</v>
      </c>
      <c r="F289" s="48" t="s">
        <v>1693</v>
      </c>
      <c r="G289" s="49" t="s">
        <v>1687</v>
      </c>
      <c r="H289" s="50" t="s">
        <v>1686</v>
      </c>
      <c r="I289" s="2"/>
    </row>
    <row r="290" spans="1:12" x14ac:dyDescent="0.25">
      <c r="A290" s="103">
        <v>19015</v>
      </c>
      <c r="B290" s="51" t="str">
        <f>IF($A290=0,"",VLOOKUP($A290,'BASE EQUIPO'!$A:$D,2))</f>
        <v>HERRAMIENTA MENOR</v>
      </c>
      <c r="C290" s="52"/>
      <c r="D290" s="53">
        <v>1</v>
      </c>
      <c r="E290" s="53">
        <f>IF($A290=0,"",VLOOKUP($A290,'BASE EQUIPO'!$A:$D,4)*H306)</f>
        <v>5.5229999999999997</v>
      </c>
      <c r="F290" s="53">
        <f t="shared" ref="F290:F295" si="28">IF($A290=0,"",ROUND(D290*E290,2))</f>
        <v>5.52</v>
      </c>
      <c r="G290" s="105">
        <v>1</v>
      </c>
      <c r="H290" s="54">
        <f t="shared" ref="H290:H295" si="29">IF($A290=0,"",ROUND(G290*F290,2))</f>
        <v>5.52</v>
      </c>
      <c r="I290" s="2"/>
    </row>
    <row r="291" spans="1:12" x14ac:dyDescent="0.25">
      <c r="A291" s="103">
        <v>19003</v>
      </c>
      <c r="B291" s="38" t="str">
        <f>IF($A291=0,"",VLOOKUP($A291,'BASE EQUIPO'!$A:$D,2))</f>
        <v>CONCRETERA</v>
      </c>
      <c r="C291" s="2"/>
      <c r="D291" s="55">
        <v>1</v>
      </c>
      <c r="E291" s="55">
        <f>IF($A291=0,"",VLOOKUP($A291,'BASE EQUIPO'!$A:$D,4))</f>
        <v>3.5</v>
      </c>
      <c r="F291" s="55">
        <f t="shared" si="28"/>
        <v>3.5</v>
      </c>
      <c r="G291" s="106">
        <f>+G300*0.5</f>
        <v>0.55000000000000004</v>
      </c>
      <c r="H291" s="56">
        <f t="shared" si="29"/>
        <v>1.93</v>
      </c>
      <c r="I291" s="2"/>
    </row>
    <row r="292" spans="1:12" x14ac:dyDescent="0.25">
      <c r="A292" s="103">
        <v>19008</v>
      </c>
      <c r="B292" s="38" t="str">
        <f>IF($A292=0,"",VLOOKUP($A292,'BASE EQUIPO'!$A:$D,2))</f>
        <v>VIBRADOR</v>
      </c>
      <c r="C292" s="2"/>
      <c r="D292" s="55">
        <v>1</v>
      </c>
      <c r="E292" s="55">
        <f>IF($A292=0,"",VLOOKUP($A292,'BASE EQUIPO'!$A:$D,4))</f>
        <v>2.5</v>
      </c>
      <c r="F292" s="55">
        <f t="shared" si="28"/>
        <v>2.5</v>
      </c>
      <c r="G292" s="106">
        <f>+G301*0.5</f>
        <v>0.55000000000000004</v>
      </c>
      <c r="H292" s="56">
        <f t="shared" si="29"/>
        <v>1.38</v>
      </c>
      <c r="I292" s="2"/>
    </row>
    <row r="293" spans="1:12" x14ac:dyDescent="0.25">
      <c r="B293" s="38" t="str">
        <f>IF($A293=0,"",VLOOKUP($A293,'BASE EQUIPO'!$A:$D,2))</f>
        <v/>
      </c>
      <c r="C293" s="2"/>
      <c r="D293" s="55"/>
      <c r="E293" s="55" t="str">
        <f>IF($A293=0,"",VLOOKUP($A293,'BASE EQUIPO'!$A:$D,4))</f>
        <v/>
      </c>
      <c r="F293" s="55" t="str">
        <f t="shared" si="28"/>
        <v/>
      </c>
      <c r="G293" s="106"/>
      <c r="H293" s="56" t="str">
        <f t="shared" si="29"/>
        <v/>
      </c>
      <c r="I293" s="2"/>
    </row>
    <row r="294" spans="1:12" x14ac:dyDescent="0.25">
      <c r="B294" s="38" t="str">
        <f>IF($A294=0,"",VLOOKUP($A294,'BASE EQUIPO'!$A:$D,2))</f>
        <v/>
      </c>
      <c r="C294" s="2"/>
      <c r="D294" s="55"/>
      <c r="E294" s="55" t="str">
        <f>IF($A294=0,"",VLOOKUP($A294,'BASE EQUIPO'!$A:$D,4))</f>
        <v/>
      </c>
      <c r="F294" s="55" t="str">
        <f t="shared" si="28"/>
        <v/>
      </c>
      <c r="G294" s="106"/>
      <c r="H294" s="56" t="str">
        <f t="shared" si="29"/>
        <v/>
      </c>
      <c r="I294" s="2"/>
    </row>
    <row r="295" spans="1:12" x14ac:dyDescent="0.25">
      <c r="B295" s="57" t="str">
        <f>IF($A295=0,"",VLOOKUP($A295,'BASE EQUIPO'!$A:$D,2))</f>
        <v/>
      </c>
      <c r="C295" s="58"/>
      <c r="D295" s="59"/>
      <c r="E295" s="59" t="str">
        <f>IF($A295=0,"",VLOOKUP($A295,'BASE EQUIPO'!$A:$D,4))</f>
        <v/>
      </c>
      <c r="F295" s="59" t="str">
        <f t="shared" si="28"/>
        <v/>
      </c>
      <c r="G295" s="107"/>
      <c r="H295" s="60" t="str">
        <f t="shared" si="29"/>
        <v/>
      </c>
      <c r="I295" s="2"/>
    </row>
    <row r="296" spans="1:12" x14ac:dyDescent="0.25">
      <c r="B296" s="57" t="s">
        <v>1692</v>
      </c>
      <c r="C296" s="58"/>
      <c r="D296" s="61"/>
      <c r="E296" s="61"/>
      <c r="F296" s="61"/>
      <c r="G296" s="62"/>
      <c r="H296" s="60">
        <f>ROUND(SUM(H289:H295),2)</f>
        <v>8.83</v>
      </c>
      <c r="I296" s="2"/>
    </row>
    <row r="297" spans="1:12" x14ac:dyDescent="0.25">
      <c r="B297" s="38" t="s">
        <v>1503</v>
      </c>
      <c r="C297" s="2"/>
      <c r="D297" s="3"/>
      <c r="E297" s="3"/>
      <c r="F297" s="3"/>
      <c r="G297" s="63"/>
      <c r="H297" s="56"/>
      <c r="I297" s="2"/>
    </row>
    <row r="298" spans="1:12" ht="25.5" x14ac:dyDescent="0.25">
      <c r="B298" s="64" t="s">
        <v>1691</v>
      </c>
      <c r="C298" s="65"/>
      <c r="D298" s="66" t="s">
        <v>1690</v>
      </c>
      <c r="E298" s="66" t="s">
        <v>1689</v>
      </c>
      <c r="F298" s="66" t="s">
        <v>1688</v>
      </c>
      <c r="G298" s="67" t="s">
        <v>1687</v>
      </c>
      <c r="H298" s="68" t="s">
        <v>1686</v>
      </c>
      <c r="I298" s="2"/>
    </row>
    <row r="299" spans="1:12" x14ac:dyDescent="0.25">
      <c r="A299" s="103">
        <v>20001</v>
      </c>
      <c r="B299" s="69" t="str">
        <f>IF($A299=0,"",VLOOKUP($A299,'BASE M-OBRA'!$A:$D,2))</f>
        <v>MAESTRO</v>
      </c>
      <c r="C299" s="2"/>
      <c r="D299" s="108">
        <v>1</v>
      </c>
      <c r="E299" s="70">
        <f>IF($A299=0,"",VLOOKUP($A299,'BASE M-OBRA'!$A:$D,4))</f>
        <v>3.02</v>
      </c>
      <c r="F299" s="55">
        <f t="shared" ref="F299:F305" si="30">IF($A299=0,"",ROUND(D299*E299,2))</f>
        <v>3.02</v>
      </c>
      <c r="G299" s="106">
        <f>IF($A299=0,"",ROUND(H299/F299,2))</f>
        <v>10.16</v>
      </c>
      <c r="H299" s="56">
        <f>IF($A299=0,"",ROUND(SUM(H300:H305)*'BASE M-OBRA'!$D$23,2))</f>
        <v>30.68</v>
      </c>
      <c r="I299" s="2"/>
    </row>
    <row r="300" spans="1:12" x14ac:dyDescent="0.25">
      <c r="A300" s="103">
        <v>20002</v>
      </c>
      <c r="B300" s="69" t="str">
        <f>IF($A300=0,"",VLOOKUP($A300,'BASE M-OBRA'!$A:$D,2))</f>
        <v>PEON</v>
      </c>
      <c r="C300" s="2"/>
      <c r="D300" s="108">
        <v>8</v>
      </c>
      <c r="E300" s="70">
        <f>IF($A300=0,"",VLOOKUP($A300,'BASE M-OBRA'!$A:$D,4))</f>
        <v>2.79</v>
      </c>
      <c r="F300" s="55">
        <f t="shared" si="30"/>
        <v>22.32</v>
      </c>
      <c r="G300" s="106">
        <v>1.1000000000000001</v>
      </c>
      <c r="H300" s="56">
        <f t="shared" ref="H300:H305" si="31">IF($A300=0,"",ROUND(G300*F300,2))</f>
        <v>24.55</v>
      </c>
      <c r="I300" s="2"/>
      <c r="K300" s="1">
        <f>(8.94*0+39.48)/1.2</f>
        <v>32.9</v>
      </c>
      <c r="L300" s="2">
        <f>H300+H301</f>
        <v>30.75</v>
      </c>
    </row>
    <row r="301" spans="1:12" x14ac:dyDescent="0.25">
      <c r="A301" s="103">
        <v>20003</v>
      </c>
      <c r="B301" s="69" t="str">
        <f>IF($A301=0,"",VLOOKUP($A301,'BASE M-OBRA'!$A:$D,2))</f>
        <v>ALBAÑIL</v>
      </c>
      <c r="C301" s="2"/>
      <c r="D301" s="108">
        <v>2</v>
      </c>
      <c r="E301" s="70">
        <f>IF($A301=0,"",VLOOKUP($A301,'BASE M-OBRA'!$A:$D,4))</f>
        <v>2.82</v>
      </c>
      <c r="F301" s="55">
        <f t="shared" si="30"/>
        <v>5.64</v>
      </c>
      <c r="G301" s="106">
        <f>+G300</f>
        <v>1.1000000000000001</v>
      </c>
      <c r="H301" s="56">
        <f t="shared" si="31"/>
        <v>6.2</v>
      </c>
      <c r="I301" s="2"/>
    </row>
    <row r="302" spans="1:12" x14ac:dyDescent="0.25">
      <c r="A302" s="103">
        <v>20004</v>
      </c>
      <c r="B302" s="71" t="str">
        <f>IF($A302=0,"",VLOOKUP($A302,'BASE M-OBRA'!$A:$D,2))</f>
        <v>CARPINTERO</v>
      </c>
      <c r="C302" s="2"/>
      <c r="D302" s="108">
        <v>2</v>
      </c>
      <c r="E302" s="70">
        <f>IF($A302=0,"",VLOOKUP($A302,'BASE M-OBRA'!$A:$D,4))</f>
        <v>2.82</v>
      </c>
      <c r="F302" s="55">
        <f t="shared" si="30"/>
        <v>5.64</v>
      </c>
      <c r="G302" s="106">
        <v>15</v>
      </c>
      <c r="H302" s="56">
        <f t="shared" si="31"/>
        <v>84.6</v>
      </c>
      <c r="I302" s="2"/>
      <c r="K302" s="1">
        <f>(3.17*0+7.19)*K309/1.2</f>
        <v>99.861111111111128</v>
      </c>
    </row>
    <row r="303" spans="1:12" x14ac:dyDescent="0.25">
      <c r="A303" s="103">
        <v>20005</v>
      </c>
      <c r="B303" s="72" t="str">
        <f>IF($A303=0,"",VLOOKUP($A303,'BASE M-OBRA'!$A:$D,2))</f>
        <v>FIERRERO</v>
      </c>
      <c r="C303" s="2"/>
      <c r="D303" s="108">
        <v>2</v>
      </c>
      <c r="E303" s="70">
        <f>IF($A303=0,"",VLOOKUP($A303,'BASE M-OBRA'!$A:$D,4))</f>
        <v>2.82</v>
      </c>
      <c r="F303" s="55">
        <f t="shared" si="30"/>
        <v>5.64</v>
      </c>
      <c r="G303" s="106">
        <v>6.75</v>
      </c>
      <c r="H303" s="56">
        <f t="shared" si="31"/>
        <v>38.07</v>
      </c>
      <c r="I303" s="2"/>
      <c r="K303" s="1">
        <f>+F318*0.31/1.2</f>
        <v>38.75</v>
      </c>
    </row>
    <row r="304" spans="1:12" x14ac:dyDescent="0.25">
      <c r="B304" s="38" t="str">
        <f>IF($A304=0,"",VLOOKUP($A304,'BASE M-OBRA'!$A:$D,2))</f>
        <v/>
      </c>
      <c r="C304" s="2"/>
      <c r="D304" s="55"/>
      <c r="E304" s="55" t="str">
        <f>IF($A304=0,"",VLOOKUP($A304,'BASE M-OBRA'!$A:$D,4))</f>
        <v/>
      </c>
      <c r="F304" s="55" t="str">
        <f t="shared" si="30"/>
        <v/>
      </c>
      <c r="G304" s="106"/>
      <c r="H304" s="56" t="str">
        <f t="shared" si="31"/>
        <v/>
      </c>
      <c r="I304" s="2"/>
    </row>
    <row r="305" spans="1:16" x14ac:dyDescent="0.25">
      <c r="B305" s="57" t="str">
        <f>IF($A305=0,"",VLOOKUP($A305,'BASE M-OBRA'!$A:$D,2))</f>
        <v/>
      </c>
      <c r="C305" s="58"/>
      <c r="D305" s="59"/>
      <c r="E305" s="59" t="str">
        <f>IF($A305=0,"",VLOOKUP($A305,'BASE M-OBRA'!$A:$D,4))</f>
        <v/>
      </c>
      <c r="F305" s="59" t="str">
        <f t="shared" si="30"/>
        <v/>
      </c>
      <c r="G305" s="107"/>
      <c r="H305" s="60" t="str">
        <f t="shared" si="31"/>
        <v/>
      </c>
      <c r="I305" s="2"/>
    </row>
    <row r="306" spans="1:16" x14ac:dyDescent="0.25">
      <c r="B306" s="73" t="s">
        <v>1685</v>
      </c>
      <c r="C306" s="65"/>
      <c r="D306" s="74"/>
      <c r="E306" s="74"/>
      <c r="F306" s="74"/>
      <c r="G306" s="74"/>
      <c r="H306" s="75">
        <f>ROUND(SUM(H298:H305),2)</f>
        <v>184.1</v>
      </c>
      <c r="I306" s="2"/>
      <c r="K306" s="1">
        <f>SUM(K300:K305)</f>
        <v>171.51111111111112</v>
      </c>
    </row>
    <row r="307" spans="1:16" x14ac:dyDescent="0.25">
      <c r="B307" s="38" t="s">
        <v>1684</v>
      </c>
      <c r="C307" s="2"/>
      <c r="D307" s="3"/>
      <c r="E307" s="3"/>
      <c r="F307" s="3"/>
      <c r="G307" s="3"/>
      <c r="H307" s="56"/>
      <c r="I307" s="2"/>
    </row>
    <row r="308" spans="1:16" ht="25.5" x14ac:dyDescent="0.25">
      <c r="B308" s="64" t="s">
        <v>1409</v>
      </c>
      <c r="C308" s="65"/>
      <c r="D308" s="76"/>
      <c r="E308" s="66" t="s">
        <v>1408</v>
      </c>
      <c r="F308" s="66" t="s">
        <v>1679</v>
      </c>
      <c r="G308" s="66" t="s">
        <v>1683</v>
      </c>
      <c r="H308" s="68" t="s">
        <v>1675</v>
      </c>
      <c r="I308" s="2"/>
    </row>
    <row r="309" spans="1:16" x14ac:dyDescent="0.25">
      <c r="A309" s="103">
        <v>11008</v>
      </c>
      <c r="B309" s="37" t="str">
        <f>IF($A309=0,"",VLOOKUP($A309,'BASE MATERIAL'!$A:$D,2))</f>
        <v>TABLA</v>
      </c>
      <c r="C309" s="2"/>
      <c r="D309" s="77"/>
      <c r="E309" s="78" t="str">
        <f>IF($A309=0,"",VLOOKUP($A309,'BASE MATERIAL'!$A:$D,3))</f>
        <v>U</v>
      </c>
      <c r="F309" s="55">
        <f>ROUND(K309*5/(4*3),2)</f>
        <v>6.94</v>
      </c>
      <c r="G309" s="55">
        <f>IF($A309=0,"",VLOOKUP($A309,'BASE MATERIAL'!$A:$D,4))</f>
        <v>3.5</v>
      </c>
      <c r="H309" s="56">
        <f t="shared" ref="H309:H316" si="32">IF($A309=0,"",ROUND(F309*G309,2))</f>
        <v>24.29</v>
      </c>
      <c r="I309" s="2"/>
      <c r="K309" s="1">
        <f>(0.2*2+0.3*2)/(0.2*0.3)</f>
        <v>16.666666666666668</v>
      </c>
      <c r="L309" s="2"/>
      <c r="M309" s="2"/>
      <c r="N309" s="39"/>
      <c r="O309" s="2"/>
      <c r="P309" s="2"/>
    </row>
    <row r="310" spans="1:16" x14ac:dyDescent="0.25">
      <c r="A310" s="103">
        <v>11009</v>
      </c>
      <c r="B310" s="38" t="str">
        <f>IF($A310=0,"",VLOOKUP($A310,'BASE MATERIAL'!$A:$D,2))</f>
        <v>CUARTON</v>
      </c>
      <c r="C310" s="2"/>
      <c r="D310" s="77"/>
      <c r="E310" s="78" t="str">
        <f>IF($A310=0,"",VLOOKUP($A310,'BASE MATERIAL'!$A:$D,3))</f>
        <v>U</v>
      </c>
      <c r="F310" s="55">
        <f>ROUND(K309*8/(4*3),2)</f>
        <v>11.11</v>
      </c>
      <c r="G310" s="55">
        <f>IF($A310=0,"",VLOOKUP($A310,'BASE MATERIAL'!$A:$D,4))</f>
        <v>2.42</v>
      </c>
      <c r="H310" s="56">
        <f t="shared" si="32"/>
        <v>26.89</v>
      </c>
      <c r="I310" s="2"/>
      <c r="L310" s="2"/>
      <c r="M310" s="2"/>
      <c r="N310" s="39"/>
      <c r="O310" s="2"/>
      <c r="P310" s="2"/>
    </row>
    <row r="311" spans="1:16" x14ac:dyDescent="0.25">
      <c r="A311" s="103">
        <v>11007</v>
      </c>
      <c r="B311" s="38" t="str">
        <f>IF($A311=0,"",VLOOKUP($A311,'BASE MATERIAL'!$A:$D,2))</f>
        <v>CLAVO 2 1/2"</v>
      </c>
      <c r="C311" s="2"/>
      <c r="D311" s="77"/>
      <c r="E311" s="78" t="str">
        <f>IF($A311=0,"",VLOOKUP($A311,'BASE MATERIAL'!$A:$D,3))</f>
        <v>KG</v>
      </c>
      <c r="F311" s="55">
        <f>ROUND(K309*56/(178*1.5),2)</f>
        <v>3.5</v>
      </c>
      <c r="G311" s="55">
        <f>IF($A311=0,"",VLOOKUP($A311,'BASE MATERIAL'!$A:$D,4))</f>
        <v>2.6520000000000001</v>
      </c>
      <c r="H311" s="56">
        <f t="shared" si="32"/>
        <v>9.2799999999999994</v>
      </c>
      <c r="I311" s="2"/>
      <c r="L311" s="2"/>
      <c r="M311" s="2"/>
      <c r="N311" s="39"/>
      <c r="O311" s="2"/>
      <c r="P311" s="2"/>
    </row>
    <row r="312" spans="1:16" x14ac:dyDescent="0.25">
      <c r="A312" s="103">
        <v>11010</v>
      </c>
      <c r="B312" s="38" t="str">
        <f>IF($A312=0,"",VLOOKUP($A312,'BASE MATERIAL'!$A:$D,2))</f>
        <v>TIRA</v>
      </c>
      <c r="C312" s="2"/>
      <c r="D312" s="77"/>
      <c r="E312" s="78" t="str">
        <f>IF($A312=0,"",VLOOKUP($A312,'BASE MATERIAL'!$A:$D,3))</f>
        <v>U</v>
      </c>
      <c r="F312" s="55">
        <f>ROUND(K309*4/(4*3),2)</f>
        <v>5.56</v>
      </c>
      <c r="G312" s="55">
        <f>IF($A312=0,"",VLOOKUP($A312,'BASE MATERIAL'!$A:$D,4))</f>
        <v>1.5</v>
      </c>
      <c r="H312" s="56">
        <f t="shared" si="32"/>
        <v>8.34</v>
      </c>
      <c r="I312" s="2"/>
      <c r="L312" s="2"/>
      <c r="M312" s="2"/>
      <c r="N312" s="39"/>
      <c r="O312" s="2"/>
      <c r="P312" s="2"/>
    </row>
    <row r="313" spans="1:16" x14ac:dyDescent="0.25">
      <c r="A313" s="103">
        <v>4001</v>
      </c>
      <c r="B313" s="38" t="str">
        <f>IF($A313=0,"",VLOOKUP($A313,'BASE MATERIAL'!$A:$D,2))</f>
        <v>CEMENTO</v>
      </c>
      <c r="C313" s="2"/>
      <c r="D313" s="77"/>
      <c r="E313" s="78" t="str">
        <f>IF($A313=0,"",VLOOKUP($A313,'BASE MATERIAL'!$A:$D,3))</f>
        <v>SACO</v>
      </c>
      <c r="F313" s="55">
        <f>8*1.03</f>
        <v>8.24</v>
      </c>
      <c r="G313" s="55">
        <f>IF($A313=0,"",VLOOKUP($A313,'BASE MATERIAL'!$A:$D,4))</f>
        <v>7.09</v>
      </c>
      <c r="H313" s="56">
        <f t="shared" si="32"/>
        <v>58.42</v>
      </c>
      <c r="I313" s="2"/>
      <c r="L313" s="2"/>
      <c r="M313" s="2"/>
      <c r="N313" s="39"/>
      <c r="O313" s="2"/>
      <c r="P313" s="2"/>
    </row>
    <row r="314" spans="1:16" x14ac:dyDescent="0.25">
      <c r="A314" s="103">
        <v>5004</v>
      </c>
      <c r="B314" s="38" t="str">
        <f>IF($A314=0,"",VLOOKUP($A314,'BASE MATERIAL'!$A:$D,2))</f>
        <v>ARENA</v>
      </c>
      <c r="C314" s="2"/>
      <c r="D314" s="77"/>
      <c r="E314" s="78" t="str">
        <f>IF($A314=0,"",VLOOKUP($A314,'BASE MATERIAL'!$A:$D,3))</f>
        <v>M3</v>
      </c>
      <c r="F314" s="55">
        <f>ROUND(F313*0.032*2,2)</f>
        <v>0.53</v>
      </c>
      <c r="G314" s="55">
        <f>IF($A314=0,"",VLOOKUP($A314,'BASE MATERIAL'!$A:$D,4))</f>
        <v>12.276249999999999</v>
      </c>
      <c r="H314" s="56">
        <f t="shared" si="32"/>
        <v>6.51</v>
      </c>
      <c r="I314" s="2"/>
    </row>
    <row r="315" spans="1:16" x14ac:dyDescent="0.25">
      <c r="A315" s="103">
        <v>5002</v>
      </c>
      <c r="B315" s="38" t="str">
        <f>IF($A315=0,"",VLOOKUP($A315,'BASE MATERIAL'!$A:$D,2))</f>
        <v>PIEDRA 3-4</v>
      </c>
      <c r="C315" s="2"/>
      <c r="D315" s="77"/>
      <c r="E315" s="78" t="str">
        <f>IF($A315=0,"",VLOOKUP($A315,'BASE MATERIAL'!$A:$D,3))</f>
        <v>M3</v>
      </c>
      <c r="F315" s="55">
        <f>ROUND(F313*0.032*3,2)</f>
        <v>0.79</v>
      </c>
      <c r="G315" s="55">
        <f>IF($A315=0,"",VLOOKUP($A315,'BASE MATERIAL'!$A:$D,4))</f>
        <v>13.75</v>
      </c>
      <c r="H315" s="56">
        <f t="shared" si="32"/>
        <v>10.86</v>
      </c>
      <c r="I315" s="2"/>
      <c r="L315" s="2"/>
      <c r="M315" s="2"/>
      <c r="N315" s="39"/>
      <c r="O315" s="2"/>
      <c r="P315" s="2"/>
    </row>
    <row r="316" spans="1:16" x14ac:dyDescent="0.25">
      <c r="A316" s="103">
        <v>5005</v>
      </c>
      <c r="B316" s="38" t="str">
        <f>IF($A316=0,"",VLOOKUP($A316,'BASE MATERIAL'!$A:$D,2))</f>
        <v>AGUA</v>
      </c>
      <c r="C316" s="2"/>
      <c r="D316" s="77"/>
      <c r="E316" s="78" t="str">
        <f>IF($A316=0,"",VLOOKUP($A316,'BASE MATERIAL'!$A:$D,3))</f>
        <v>LT</v>
      </c>
      <c r="F316" s="55">
        <f>26*F313</f>
        <v>214.24</v>
      </c>
      <c r="G316" s="112">
        <f>IF($A316=0,"",VLOOKUP($A316,'BASE MATERIAL'!$A:$D,4))</f>
        <v>2E-3</v>
      </c>
      <c r="H316" s="56">
        <f t="shared" si="32"/>
        <v>0.43</v>
      </c>
      <c r="I316" s="2"/>
      <c r="L316" s="2"/>
      <c r="M316" s="2"/>
      <c r="N316" s="39"/>
      <c r="O316" s="2"/>
      <c r="P316" s="2"/>
    </row>
    <row r="317" spans="1:16" x14ac:dyDescent="0.25">
      <c r="B317" s="38" t="str">
        <f>IF($A317=0,"",VLOOKUP($A317,'BASE MATERIAL'!$A:$D,2))</f>
        <v/>
      </c>
      <c r="C317" s="2"/>
      <c r="D317" s="77"/>
      <c r="E317" s="78" t="str">
        <f>IF($A317=0,"",VLOOKUP($A317,'BASE MATERIAL'!$A:$D,3))</f>
        <v/>
      </c>
      <c r="F317" s="55"/>
      <c r="G317" s="55" t="str">
        <f>IF($A317=0,"",VLOOKUP($A317,'BASE MATERIAL'!$A:$D,4))</f>
        <v/>
      </c>
      <c r="H317" s="56" t="str">
        <f t="shared" ref="H317:H323" si="33">IF($A317=0,"",ROUND(F317*G317,2))</f>
        <v/>
      </c>
      <c r="I317" s="2"/>
      <c r="L317" s="2"/>
      <c r="M317" s="2"/>
      <c r="N317" s="39"/>
      <c r="O317" s="2"/>
      <c r="P317" s="2"/>
    </row>
    <row r="318" spans="1:16" x14ac:dyDescent="0.25">
      <c r="A318" s="103">
        <v>1001</v>
      </c>
      <c r="B318" s="38" t="str">
        <f>IF($A318=0,"",VLOOKUP($A318,'BASE MATERIAL'!$A:$D,2))</f>
        <v>HIERRO</v>
      </c>
      <c r="C318" s="2"/>
      <c r="D318" s="77"/>
      <c r="E318" s="78" t="str">
        <f>IF($A318=0,"",VLOOKUP($A318,'BASE MATERIAL'!$A:$D,3))</f>
        <v>KG</v>
      </c>
      <c r="F318" s="55">
        <v>150</v>
      </c>
      <c r="G318" s="55">
        <f>IF($A318=0,"",VLOOKUP($A318,'BASE MATERIAL'!$A:$D,4))</f>
        <v>1.17</v>
      </c>
      <c r="H318" s="56">
        <f t="shared" si="33"/>
        <v>175.5</v>
      </c>
      <c r="I318" s="2"/>
      <c r="K318" s="1">
        <f>4*0.888</f>
        <v>3.552</v>
      </c>
      <c r="L318" s="2"/>
      <c r="M318" s="2"/>
      <c r="N318" s="39"/>
      <c r="O318" s="2"/>
      <c r="P318" s="2"/>
    </row>
    <row r="319" spans="1:16" x14ac:dyDescent="0.25">
      <c r="A319" s="103">
        <v>11002</v>
      </c>
      <c r="B319" s="38" t="str">
        <f>IF($A319=0,"",VLOOKUP($A319,'BASE MATERIAL'!$A:$D,2))</f>
        <v>ALAMBRE #18 RECOCIDO</v>
      </c>
      <c r="C319" s="2"/>
      <c r="D319" s="77"/>
      <c r="E319" s="78" t="str">
        <f>IF($A319=0,"",VLOOKUP($A319,'BASE MATERIAL'!$A:$D,3))</f>
        <v>KG</v>
      </c>
      <c r="F319" s="55">
        <f>+F318*0.03</f>
        <v>4.5</v>
      </c>
      <c r="G319" s="55">
        <f>IF($A319=0,"",VLOOKUP($A319,'BASE MATERIAL'!$A:$D,4))</f>
        <v>1.87</v>
      </c>
      <c r="H319" s="56">
        <f t="shared" si="33"/>
        <v>8.42</v>
      </c>
      <c r="I319" s="2"/>
      <c r="K319" s="1">
        <f>11*L319*0.394</f>
        <v>3.9006000000000003</v>
      </c>
      <c r="L319" s="2">
        <f>0.2*2+0.25*2</f>
        <v>0.9</v>
      </c>
      <c r="M319" s="2"/>
      <c r="N319" s="39"/>
      <c r="O319" s="2"/>
      <c r="P319" s="2"/>
    </row>
    <row r="320" spans="1:16" x14ac:dyDescent="0.25">
      <c r="B320" s="38" t="str">
        <f>IF($A320=0,"",VLOOKUP($A320,'BASE MATERIAL'!$A:$D,2))</f>
        <v/>
      </c>
      <c r="C320" s="2"/>
      <c r="D320" s="77"/>
      <c r="E320" s="78" t="str">
        <f>IF($A320=0,"",VLOOKUP($A320,'BASE MATERIAL'!$A:$D,3))</f>
        <v/>
      </c>
      <c r="F320" s="55"/>
      <c r="G320" s="55" t="str">
        <f>IF($A320=0,"",VLOOKUP($A320,'BASE MATERIAL'!$A:$D,4))</f>
        <v/>
      </c>
      <c r="H320" s="56" t="str">
        <f t="shared" si="33"/>
        <v/>
      </c>
      <c r="I320" s="2"/>
      <c r="K320" s="1">
        <f>SUM(K318:K319)</f>
        <v>7.4526000000000003</v>
      </c>
    </row>
    <row r="321" spans="1:11" x14ac:dyDescent="0.25">
      <c r="B321" s="38" t="str">
        <f>IF($A321=0,"",VLOOKUP($A321,'BASE MATERIAL'!$A:$D,2))</f>
        <v/>
      </c>
      <c r="C321" s="2"/>
      <c r="D321" s="77"/>
      <c r="E321" s="78" t="str">
        <f>IF($A321=0,"",VLOOKUP($A321,'BASE MATERIAL'!$A:$D,3))</f>
        <v/>
      </c>
      <c r="F321" s="55"/>
      <c r="G321" s="55" t="str">
        <f>IF($A321=0,"",VLOOKUP($A321,'BASE MATERIAL'!$A:$D,4))</f>
        <v/>
      </c>
      <c r="H321" s="56" t="str">
        <f t="shared" si="33"/>
        <v/>
      </c>
      <c r="I321" s="2"/>
      <c r="K321" s="1">
        <f>K320/(0.2*0.25)</f>
        <v>149.05199999999999</v>
      </c>
    </row>
    <row r="322" spans="1:11" x14ac:dyDescent="0.25">
      <c r="B322" s="38" t="str">
        <f>IF($A322=0,"",VLOOKUP($A322,'BASE MATERIAL'!$A:$D,2))</f>
        <v/>
      </c>
      <c r="C322" s="2"/>
      <c r="D322" s="77"/>
      <c r="E322" s="78" t="str">
        <f>IF($A322=0,"",VLOOKUP($A322,'BASE MATERIAL'!$A:$D,3))</f>
        <v/>
      </c>
      <c r="F322" s="55"/>
      <c r="G322" s="55" t="str">
        <f>IF($A322=0,"",VLOOKUP($A322,'BASE MATERIAL'!$A:$D,4))</f>
        <v/>
      </c>
      <c r="H322" s="56" t="str">
        <f t="shared" si="33"/>
        <v/>
      </c>
      <c r="I322" s="2"/>
    </row>
    <row r="323" spans="1:11" x14ac:dyDescent="0.25">
      <c r="B323" s="38" t="str">
        <f>IF($A323=0,"",VLOOKUP($A323,'BASE MATERIAL'!$A:$D,2))</f>
        <v/>
      </c>
      <c r="C323" s="2"/>
      <c r="D323" s="77"/>
      <c r="E323" s="78" t="str">
        <f>IF($A323=0,"",VLOOKUP($A323,'BASE MATERIAL'!$A:$D,3))</f>
        <v/>
      </c>
      <c r="F323" s="55"/>
      <c r="G323" s="55" t="str">
        <f>IF($A323=0,"",VLOOKUP($A323,'BASE MATERIAL'!$A:$D,4))</f>
        <v/>
      </c>
      <c r="H323" s="56" t="str">
        <f t="shared" si="33"/>
        <v/>
      </c>
      <c r="I323" s="2"/>
    </row>
    <row r="324" spans="1:11" x14ac:dyDescent="0.25">
      <c r="B324" s="38" t="str">
        <f>IF($A324=0,"",VLOOKUP($A324,'BASE MATERIAL'!$A:$D,2))</f>
        <v/>
      </c>
      <c r="C324" s="2"/>
      <c r="D324" s="81" t="s">
        <v>1682</v>
      </c>
      <c r="E324" s="55" t="str">
        <f>IF($A324=0,"",VLOOKUP($A324,'BASE MATERIAL'!$A:$D,3))</f>
        <v/>
      </c>
      <c r="F324" s="55" t="s">
        <v>1682</v>
      </c>
      <c r="G324" s="55" t="str">
        <f>IF($A324=0,"",VLOOKUP($A324,'BASE MATERIAL'!$A:$D,4))</f>
        <v/>
      </c>
      <c r="H324" s="56" t="str">
        <f>IF($A324=0,"",ROUND(E324*F324,2))</f>
        <v/>
      </c>
      <c r="I324" s="2"/>
    </row>
    <row r="325" spans="1:11" x14ac:dyDescent="0.25">
      <c r="B325" s="73" t="s">
        <v>1681</v>
      </c>
      <c r="C325" s="65"/>
      <c r="D325" s="74"/>
      <c r="E325" s="74"/>
      <c r="F325" s="74"/>
      <c r="G325" s="74"/>
      <c r="H325" s="75">
        <f>ROUND(SUM(H308:H324),2)</f>
        <v>328.94</v>
      </c>
      <c r="I325" s="2"/>
    </row>
    <row r="326" spans="1:11" x14ac:dyDescent="0.25">
      <c r="B326" s="38" t="s">
        <v>1680</v>
      </c>
      <c r="C326" s="2"/>
      <c r="D326" s="3"/>
      <c r="E326" s="3"/>
      <c r="F326" s="3"/>
      <c r="G326" s="3"/>
      <c r="H326" s="56"/>
      <c r="I326" s="2"/>
    </row>
    <row r="327" spans="1:11" ht="25.5" x14ac:dyDescent="0.25">
      <c r="B327" s="64" t="s">
        <v>1409</v>
      </c>
      <c r="C327" s="65"/>
      <c r="D327" s="76"/>
      <c r="E327" s="66" t="s">
        <v>1408</v>
      </c>
      <c r="F327" s="66" t="s">
        <v>1679</v>
      </c>
      <c r="G327" s="66" t="s">
        <v>1676</v>
      </c>
      <c r="H327" s="68" t="s">
        <v>1675</v>
      </c>
      <c r="I327" s="2"/>
    </row>
    <row r="328" spans="1:11" x14ac:dyDescent="0.25">
      <c r="A328" s="103">
        <v>19019</v>
      </c>
      <c r="B328" s="51" t="str">
        <f>IF($A328=0,"",VLOOKUP($A328,'BASE EQUIPO'!$A:$D,2))</f>
        <v>TRANSPORTE DE MATERIAL</v>
      </c>
      <c r="C328" s="52"/>
      <c r="D328" s="82"/>
      <c r="E328" s="78" t="str">
        <f>IF($A328=0,"",VLOOKUP($A328,'BASE EQUIPO'!$A:$D,3))</f>
        <v>GLOBAL</v>
      </c>
      <c r="F328" s="55">
        <v>1</v>
      </c>
      <c r="G328" s="83">
        <f>IF($A328=0,"",VLOOKUP($A328,'BASE EQUIPO'!$A:$D,4)*H325)+0.11</f>
        <v>9.9781999999999993</v>
      </c>
      <c r="H328" s="56">
        <f>IF($A328=0,"",ROUND(F328*G328,2))</f>
        <v>9.98</v>
      </c>
      <c r="I328" s="2"/>
    </row>
    <row r="329" spans="1:11" x14ac:dyDescent="0.25">
      <c r="B329" s="38" t="str">
        <f>IF($A329=0,"",VLOOKUP($A329,'BASE EQUIPO'!$A:$D,2))</f>
        <v/>
      </c>
      <c r="C329" s="2"/>
      <c r="D329" s="84"/>
      <c r="E329" s="78" t="str">
        <f>IF($A329=0,"",VLOOKUP($A329,'BASE EQUIPO'!$A:$D,3))</f>
        <v/>
      </c>
      <c r="F329" s="55"/>
      <c r="G329" s="55" t="str">
        <f>IF($A329=0,"",VLOOKUP($A329,'BASE EQUIPO'!$A:$D,4)*H326)</f>
        <v/>
      </c>
      <c r="H329" s="56" t="str">
        <f>IF($A329=0,"",ROUND(F329*G329,2))</f>
        <v/>
      </c>
      <c r="I329" s="2"/>
    </row>
    <row r="330" spans="1:11" x14ac:dyDescent="0.25">
      <c r="B330" s="57" t="str">
        <f>IF($A330=0,"",VLOOKUP($A330,'BASE EQUIPO'!$A:$D,2))</f>
        <v/>
      </c>
      <c r="C330" s="58"/>
      <c r="D330" s="85"/>
      <c r="E330" s="86" t="str">
        <f>IF($A330=0,"",VLOOKUP($A330,'BASE EQUIPO'!$A:$D,3))</f>
        <v/>
      </c>
      <c r="F330" s="59"/>
      <c r="G330" s="59" t="str">
        <f>IF($A330=0,"",VLOOKUP($A330,'BASE EQUIPO'!$A:$D,4)*H327)</f>
        <v/>
      </c>
      <c r="H330" s="60" t="str">
        <f>IF($A330=0,"",ROUND(F330*G330,2))</f>
        <v/>
      </c>
      <c r="I330" s="2"/>
    </row>
    <row r="331" spans="1:11" ht="15.75" thickBot="1" x14ac:dyDescent="0.3">
      <c r="B331" s="87" t="s">
        <v>1674</v>
      </c>
      <c r="C331" s="88"/>
      <c r="D331" s="89"/>
      <c r="E331" s="89"/>
      <c r="F331" s="89"/>
      <c r="G331" s="89"/>
      <c r="H331" s="90">
        <f>ROUND(SUM(H327:H330),2)</f>
        <v>9.98</v>
      </c>
      <c r="I331" s="2"/>
    </row>
    <row r="332" spans="1:11" ht="15.75" x14ac:dyDescent="0.25">
      <c r="B332" s="2"/>
      <c r="C332" s="2"/>
      <c r="D332" s="91" t="s">
        <v>1673</v>
      </c>
      <c r="E332" s="47"/>
      <c r="F332" s="47"/>
      <c r="G332" s="47"/>
      <c r="H332" s="92">
        <f>ROUND(SUM(H331,H325,H306,H296),2)</f>
        <v>531.85</v>
      </c>
      <c r="I332" s="2"/>
    </row>
    <row r="333" spans="1:11" ht="15.75" x14ac:dyDescent="0.25">
      <c r="A333" s="103">
        <v>40002</v>
      </c>
      <c r="B333" s="2"/>
      <c r="C333" s="2"/>
      <c r="D333" s="93" t="s">
        <v>1672</v>
      </c>
      <c r="E333" s="65"/>
      <c r="F333" s="65"/>
      <c r="G333" s="94">
        <f>IF($A333=0,"",VLOOKUP($A333,'BASE MATERIAL'!$M:$P,4))</f>
        <v>0</v>
      </c>
      <c r="H333" s="95">
        <f>IF($A333=0,"",ROUND(G333*H332,2))</f>
        <v>0</v>
      </c>
      <c r="I333" s="2"/>
    </row>
    <row r="334" spans="1:11" ht="15.75" x14ac:dyDescent="0.25">
      <c r="A334" s="103">
        <v>40003</v>
      </c>
      <c r="B334" s="2"/>
      <c r="C334" s="2"/>
      <c r="D334" s="93" t="s">
        <v>1671</v>
      </c>
      <c r="E334" s="65"/>
      <c r="F334" s="65"/>
      <c r="G334" s="94">
        <f>IF($A334=0,"",VLOOKUP($A334,'BASE MATERIAL'!$M:$P,4))</f>
        <v>0</v>
      </c>
      <c r="H334" s="95">
        <f>IF($A334=0,"",ROUND(G334*H332,2))</f>
        <v>0</v>
      </c>
      <c r="I334" s="2"/>
    </row>
    <row r="335" spans="1:11" ht="15.75" x14ac:dyDescent="0.25">
      <c r="B335" s="2"/>
      <c r="C335" s="2"/>
      <c r="D335" s="93" t="s">
        <v>1670</v>
      </c>
      <c r="E335" s="65"/>
      <c r="F335" s="65"/>
      <c r="G335" s="65"/>
      <c r="H335" s="96">
        <f>ROUND(SUM(H332:H334),2)</f>
        <v>531.85</v>
      </c>
      <c r="I335" s="2"/>
    </row>
    <row r="336" spans="1:11" ht="16.5" thickBot="1" x14ac:dyDescent="0.3">
      <c r="B336" s="25"/>
      <c r="C336" s="2"/>
      <c r="D336" s="97" t="s">
        <v>1650</v>
      </c>
      <c r="E336" s="88"/>
      <c r="F336" s="88"/>
      <c r="G336" s="88"/>
      <c r="H336" s="98">
        <f>ROUND(H335,2)</f>
        <v>531.85</v>
      </c>
      <c r="I336" s="2"/>
    </row>
    <row r="337" spans="1:15" ht="15.75" x14ac:dyDescent="0.25">
      <c r="B337" s="34" t="s">
        <v>1701</v>
      </c>
      <c r="C337" s="2"/>
      <c r="D337" s="3" t="str">
        <f>$D$1</f>
        <v>ESPOL</v>
      </c>
      <c r="E337" s="2"/>
      <c r="F337" s="2"/>
      <c r="H337" s="2" t="s">
        <v>108</v>
      </c>
      <c r="I337" s="2"/>
      <c r="L337" s="40">
        <f>A341</f>
        <v>6</v>
      </c>
      <c r="M337" s="1" t="str">
        <f>C342</f>
        <v>Columnas planta alta (20x25)</v>
      </c>
      <c r="N337" s="2" t="str">
        <f>H341</f>
        <v>m3</v>
      </c>
      <c r="O337" s="2">
        <f>H392</f>
        <v>514.01</v>
      </c>
    </row>
    <row r="338" spans="1:15" ht="15.75" x14ac:dyDescent="0.25">
      <c r="B338" s="34" t="s">
        <v>1700</v>
      </c>
      <c r="C338" s="3">
        <f>'1.1'!$C$2</f>
        <v>0</v>
      </c>
      <c r="D338" s="2"/>
      <c r="E338" s="2"/>
      <c r="F338" s="2"/>
      <c r="G338" s="41" t="s">
        <v>1699</v>
      </c>
      <c r="H338" s="42"/>
      <c r="I338" s="2" t="s">
        <v>1698</v>
      </c>
    </row>
    <row r="339" spans="1:15" ht="15.75" x14ac:dyDescent="0.25">
      <c r="B339" s="34"/>
      <c r="C339" s="3">
        <f>'1.1'!$C$3</f>
        <v>0</v>
      </c>
      <c r="D339" s="2"/>
      <c r="E339" s="2"/>
      <c r="F339" s="2"/>
      <c r="G339" s="2"/>
      <c r="H339" s="2"/>
      <c r="I339" s="2"/>
    </row>
    <row r="340" spans="1:15" ht="15.75" x14ac:dyDescent="0.25">
      <c r="B340" s="34" t="s">
        <v>1697</v>
      </c>
      <c r="C340" s="3"/>
      <c r="D340" s="2"/>
      <c r="E340" s="2"/>
      <c r="F340" s="2"/>
      <c r="G340" s="2"/>
      <c r="H340" s="2"/>
      <c r="I340" s="2"/>
    </row>
    <row r="341" spans="1:15" x14ac:dyDescent="0.25">
      <c r="A341" s="104">
        <v>6</v>
      </c>
      <c r="B341" s="2" t="s">
        <v>1586</v>
      </c>
      <c r="C341" s="36" t="s">
        <v>1560</v>
      </c>
      <c r="D341" s="2"/>
      <c r="G341" s="2" t="s">
        <v>1696</v>
      </c>
      <c r="H341" s="3" t="s">
        <v>1521</v>
      </c>
      <c r="I341" s="2"/>
    </row>
    <row r="342" spans="1:15" x14ac:dyDescent="0.25">
      <c r="B342" s="1" t="s">
        <v>1585</v>
      </c>
      <c r="C342" s="36" t="s">
        <v>2026</v>
      </c>
      <c r="D342" s="2"/>
      <c r="E342" s="2"/>
      <c r="F342" s="2"/>
      <c r="G342" s="2"/>
      <c r="H342" s="2"/>
      <c r="I342" s="2"/>
    </row>
    <row r="343" spans="1:15" ht="15.75" thickBot="1" x14ac:dyDescent="0.3">
      <c r="D343" s="2"/>
      <c r="E343" s="2"/>
      <c r="F343" s="2"/>
      <c r="G343" s="2"/>
      <c r="H343" s="2"/>
      <c r="I343" s="2"/>
    </row>
    <row r="344" spans="1:15" ht="15.75" thickBot="1" x14ac:dyDescent="0.3">
      <c r="B344" s="43" t="s">
        <v>1695</v>
      </c>
      <c r="C344" s="44"/>
      <c r="D344" s="44"/>
      <c r="E344" s="44"/>
      <c r="F344" s="44"/>
      <c r="G344" s="44"/>
      <c r="H344" s="45"/>
      <c r="I344" s="2"/>
    </row>
    <row r="345" spans="1:15" ht="25.5" x14ac:dyDescent="0.25">
      <c r="B345" s="46" t="s">
        <v>1409</v>
      </c>
      <c r="C345" s="47"/>
      <c r="D345" s="48" t="s">
        <v>1690</v>
      </c>
      <c r="E345" s="48" t="s">
        <v>1694</v>
      </c>
      <c r="F345" s="48" t="s">
        <v>1693</v>
      </c>
      <c r="G345" s="49" t="s">
        <v>1687</v>
      </c>
      <c r="H345" s="50" t="s">
        <v>1686</v>
      </c>
      <c r="I345" s="2"/>
    </row>
    <row r="346" spans="1:15" x14ac:dyDescent="0.25">
      <c r="A346" s="103">
        <v>19015</v>
      </c>
      <c r="B346" s="51" t="str">
        <f>IF($A346=0,"",VLOOKUP($A346,'BASE EQUIPO'!$A:$D,2))</f>
        <v>HERRAMIENTA MENOR</v>
      </c>
      <c r="C346" s="52"/>
      <c r="D346" s="53">
        <v>1</v>
      </c>
      <c r="E346" s="53">
        <f>IF($A346=0,"",VLOOKUP($A346,'BASE EQUIPO'!$A:$D,4)*H362)</f>
        <v>5.5739999999999998</v>
      </c>
      <c r="F346" s="53">
        <f t="shared" ref="F346:F351" si="34">IF($A346=0,"",ROUND(D346*E346,2))</f>
        <v>5.57</v>
      </c>
      <c r="G346" s="105">
        <v>1</v>
      </c>
      <c r="H346" s="54">
        <f t="shared" ref="H346:H351" si="35">IF($A346=0,"",ROUND(G346*F346,2))</f>
        <v>5.57</v>
      </c>
      <c r="I346" s="2"/>
    </row>
    <row r="347" spans="1:15" x14ac:dyDescent="0.25">
      <c r="A347" s="103">
        <v>19003</v>
      </c>
      <c r="B347" s="38" t="str">
        <f>IF($A347=0,"",VLOOKUP($A347,'BASE EQUIPO'!$A:$D,2))</f>
        <v>CONCRETERA</v>
      </c>
      <c r="C347" s="2"/>
      <c r="D347" s="55">
        <v>1</v>
      </c>
      <c r="E347" s="55">
        <f>IF($A347=0,"",VLOOKUP($A347,'BASE EQUIPO'!$A:$D,4))</f>
        <v>3.5</v>
      </c>
      <c r="F347" s="55">
        <f t="shared" si="34"/>
        <v>3.5</v>
      </c>
      <c r="G347" s="106">
        <f>+G356*0.5</f>
        <v>0.55000000000000004</v>
      </c>
      <c r="H347" s="56">
        <f t="shared" si="35"/>
        <v>1.93</v>
      </c>
      <c r="I347" s="2"/>
    </row>
    <row r="348" spans="1:15" x14ac:dyDescent="0.25">
      <c r="A348" s="103">
        <v>19008</v>
      </c>
      <c r="B348" s="38" t="str">
        <f>IF($A348=0,"",VLOOKUP($A348,'BASE EQUIPO'!$A:$D,2))</f>
        <v>VIBRADOR</v>
      </c>
      <c r="C348" s="2"/>
      <c r="D348" s="55">
        <v>1</v>
      </c>
      <c r="E348" s="55">
        <f>IF($A348=0,"",VLOOKUP($A348,'BASE EQUIPO'!$A:$D,4))</f>
        <v>2.5</v>
      </c>
      <c r="F348" s="55">
        <f t="shared" si="34"/>
        <v>2.5</v>
      </c>
      <c r="G348" s="106">
        <f>+G357*0.5</f>
        <v>0.55000000000000004</v>
      </c>
      <c r="H348" s="56">
        <f t="shared" si="35"/>
        <v>1.38</v>
      </c>
      <c r="I348" s="2"/>
    </row>
    <row r="349" spans="1:15" x14ac:dyDescent="0.25">
      <c r="B349" s="38" t="str">
        <f>IF($A349=0,"",VLOOKUP($A349,'BASE EQUIPO'!$A:$D,2))</f>
        <v/>
      </c>
      <c r="C349" s="2"/>
      <c r="D349" s="55"/>
      <c r="E349" s="55" t="str">
        <f>IF($A349=0,"",VLOOKUP($A349,'BASE EQUIPO'!$A:$D,4))</f>
        <v/>
      </c>
      <c r="F349" s="55" t="str">
        <f t="shared" si="34"/>
        <v/>
      </c>
      <c r="G349" s="106"/>
      <c r="H349" s="56" t="str">
        <f t="shared" si="35"/>
        <v/>
      </c>
      <c r="I349" s="2"/>
    </row>
    <row r="350" spans="1:15" x14ac:dyDescent="0.25">
      <c r="B350" s="38" t="str">
        <f>IF($A350=0,"",VLOOKUP($A350,'BASE EQUIPO'!$A:$D,2))</f>
        <v/>
      </c>
      <c r="C350" s="2"/>
      <c r="D350" s="55"/>
      <c r="E350" s="55" t="str">
        <f>IF($A350=0,"",VLOOKUP($A350,'BASE EQUIPO'!$A:$D,4))</f>
        <v/>
      </c>
      <c r="F350" s="55" t="str">
        <f t="shared" si="34"/>
        <v/>
      </c>
      <c r="G350" s="106"/>
      <c r="H350" s="56" t="str">
        <f t="shared" si="35"/>
        <v/>
      </c>
      <c r="I350" s="2"/>
    </row>
    <row r="351" spans="1:15" x14ac:dyDescent="0.25">
      <c r="B351" s="57" t="str">
        <f>IF($A351=0,"",VLOOKUP($A351,'BASE EQUIPO'!$A:$D,2))</f>
        <v/>
      </c>
      <c r="C351" s="58"/>
      <c r="D351" s="59"/>
      <c r="E351" s="59" t="str">
        <f>IF($A351=0,"",VLOOKUP($A351,'BASE EQUIPO'!$A:$D,4))</f>
        <v/>
      </c>
      <c r="F351" s="59" t="str">
        <f t="shared" si="34"/>
        <v/>
      </c>
      <c r="G351" s="107"/>
      <c r="H351" s="60" t="str">
        <f t="shared" si="35"/>
        <v/>
      </c>
      <c r="I351" s="2"/>
    </row>
    <row r="352" spans="1:15" x14ac:dyDescent="0.25">
      <c r="B352" s="57" t="s">
        <v>1692</v>
      </c>
      <c r="C352" s="58"/>
      <c r="D352" s="61"/>
      <c r="E352" s="61"/>
      <c r="F352" s="61"/>
      <c r="G352" s="62"/>
      <c r="H352" s="60">
        <f>ROUND(SUM(H345:H351),2)</f>
        <v>8.8800000000000008</v>
      </c>
      <c r="I352" s="2"/>
    </row>
    <row r="353" spans="1:16" x14ac:dyDescent="0.25">
      <c r="B353" s="38" t="s">
        <v>1503</v>
      </c>
      <c r="C353" s="2"/>
      <c r="D353" s="3"/>
      <c r="E353" s="3"/>
      <c r="F353" s="3"/>
      <c r="G353" s="63"/>
      <c r="H353" s="56"/>
      <c r="I353" s="2"/>
    </row>
    <row r="354" spans="1:16" ht="25.5" x14ac:dyDescent="0.25">
      <c r="B354" s="64" t="s">
        <v>1691</v>
      </c>
      <c r="C354" s="65"/>
      <c r="D354" s="66" t="s">
        <v>1690</v>
      </c>
      <c r="E354" s="66" t="s">
        <v>1689</v>
      </c>
      <c r="F354" s="66" t="s">
        <v>1688</v>
      </c>
      <c r="G354" s="67" t="s">
        <v>1687</v>
      </c>
      <c r="H354" s="68" t="s">
        <v>1686</v>
      </c>
      <c r="I354" s="2"/>
    </row>
    <row r="355" spans="1:16" x14ac:dyDescent="0.25">
      <c r="A355" s="103">
        <v>20001</v>
      </c>
      <c r="B355" s="69" t="str">
        <f>IF($A355=0,"",VLOOKUP($A355,'BASE M-OBRA'!$A:$D,2))</f>
        <v>MAESTRO</v>
      </c>
      <c r="C355" s="2"/>
      <c r="D355" s="108">
        <v>1</v>
      </c>
      <c r="E355" s="70">
        <f>IF($A355=0,"",VLOOKUP($A355,'BASE M-OBRA'!$A:$D,4))</f>
        <v>3.02</v>
      </c>
      <c r="F355" s="55">
        <f t="shared" ref="F355:F361" si="36">IF($A355=0,"",ROUND(D355*E355,2))</f>
        <v>3.02</v>
      </c>
      <c r="G355" s="106">
        <f>IF($A355=0,"",ROUND(H355/F355,2))</f>
        <v>10.25</v>
      </c>
      <c r="H355" s="56">
        <f>IF($A355=0,"",ROUND(SUM(H356:H361)*'BASE M-OBRA'!$D$23,2))</f>
        <v>30.97</v>
      </c>
      <c r="I355" s="2"/>
    </row>
    <row r="356" spans="1:16" x14ac:dyDescent="0.25">
      <c r="A356" s="103">
        <v>20002</v>
      </c>
      <c r="B356" s="69" t="str">
        <f>IF($A356=0,"",VLOOKUP($A356,'BASE M-OBRA'!$A:$D,2))</f>
        <v>PEON</v>
      </c>
      <c r="C356" s="2"/>
      <c r="D356" s="108">
        <v>8</v>
      </c>
      <c r="E356" s="70">
        <f>IF($A356=0,"",VLOOKUP($A356,'BASE M-OBRA'!$A:$D,4))</f>
        <v>2.79</v>
      </c>
      <c r="F356" s="55">
        <f t="shared" si="36"/>
        <v>22.32</v>
      </c>
      <c r="G356" s="106">
        <v>1.1000000000000001</v>
      </c>
      <c r="H356" s="56">
        <f t="shared" ref="H356:H361" si="37">IF($A356=0,"",ROUND(G356*F356,2))</f>
        <v>24.55</v>
      </c>
      <c r="I356" s="2"/>
      <c r="K356" s="1">
        <f>(8.94*0+39.48)/1.2</f>
        <v>32.9</v>
      </c>
      <c r="L356" s="2">
        <f>H356+H357</f>
        <v>30.75</v>
      </c>
    </row>
    <row r="357" spans="1:16" x14ac:dyDescent="0.25">
      <c r="A357" s="103">
        <v>20003</v>
      </c>
      <c r="B357" s="69" t="str">
        <f>IF($A357=0,"",VLOOKUP($A357,'BASE M-OBRA'!$A:$D,2))</f>
        <v>ALBAÑIL</v>
      </c>
      <c r="C357" s="2"/>
      <c r="D357" s="108">
        <v>2</v>
      </c>
      <c r="E357" s="70">
        <f>IF($A357=0,"",VLOOKUP($A357,'BASE M-OBRA'!$A:$D,4))</f>
        <v>2.82</v>
      </c>
      <c r="F357" s="55">
        <f t="shared" si="36"/>
        <v>5.64</v>
      </c>
      <c r="G357" s="106">
        <f>+G356</f>
        <v>1.1000000000000001</v>
      </c>
      <c r="H357" s="56">
        <f t="shared" si="37"/>
        <v>6.2</v>
      </c>
      <c r="I357" s="2"/>
    </row>
    <row r="358" spans="1:16" x14ac:dyDescent="0.25">
      <c r="A358" s="103">
        <v>20004</v>
      </c>
      <c r="B358" s="71" t="str">
        <f>IF($A358=0,"",VLOOKUP($A358,'BASE M-OBRA'!$A:$D,2))</f>
        <v>CARPINTERO</v>
      </c>
      <c r="C358" s="2"/>
      <c r="D358" s="108">
        <v>2</v>
      </c>
      <c r="E358" s="70">
        <f>IF($A358=0,"",VLOOKUP($A358,'BASE M-OBRA'!$A:$D,4))</f>
        <v>2.82</v>
      </c>
      <c r="F358" s="55">
        <f t="shared" si="36"/>
        <v>5.64</v>
      </c>
      <c r="G358" s="106">
        <v>16</v>
      </c>
      <c r="H358" s="56">
        <f t="shared" si="37"/>
        <v>90.24</v>
      </c>
      <c r="I358" s="2"/>
      <c r="K358" s="1">
        <f>(3.17*0+7.19)*K365/1.2</f>
        <v>107.85000000000002</v>
      </c>
    </row>
    <row r="359" spans="1:16" x14ac:dyDescent="0.25">
      <c r="A359" s="103">
        <v>20005</v>
      </c>
      <c r="B359" s="72" t="str">
        <f>IF($A359=0,"",VLOOKUP($A359,'BASE M-OBRA'!$A:$D,2))</f>
        <v>FIERRERO</v>
      </c>
      <c r="C359" s="2"/>
      <c r="D359" s="108">
        <v>2</v>
      </c>
      <c r="E359" s="70">
        <f>IF($A359=0,"",VLOOKUP($A359,'BASE M-OBRA'!$A:$D,4))</f>
        <v>2.82</v>
      </c>
      <c r="F359" s="55">
        <f t="shared" si="36"/>
        <v>5.64</v>
      </c>
      <c r="G359" s="106">
        <v>6</v>
      </c>
      <c r="H359" s="56">
        <f t="shared" si="37"/>
        <v>33.840000000000003</v>
      </c>
      <c r="I359" s="2"/>
      <c r="K359" s="1">
        <f>+F374*0.31/1.2</f>
        <v>33.583333333333336</v>
      </c>
    </row>
    <row r="360" spans="1:16" x14ac:dyDescent="0.25">
      <c r="B360" s="38" t="str">
        <f>IF($A360=0,"",VLOOKUP($A360,'BASE M-OBRA'!$A:$D,2))</f>
        <v/>
      </c>
      <c r="C360" s="2"/>
      <c r="D360" s="55"/>
      <c r="E360" s="55" t="str">
        <f>IF($A360=0,"",VLOOKUP($A360,'BASE M-OBRA'!$A:$D,4))</f>
        <v/>
      </c>
      <c r="F360" s="55" t="str">
        <f t="shared" si="36"/>
        <v/>
      </c>
      <c r="G360" s="106"/>
      <c r="H360" s="56" t="str">
        <f t="shared" si="37"/>
        <v/>
      </c>
      <c r="I360" s="2"/>
    </row>
    <row r="361" spans="1:16" x14ac:dyDescent="0.25">
      <c r="B361" s="57" t="str">
        <f>IF($A361=0,"",VLOOKUP($A361,'BASE M-OBRA'!$A:$D,2))</f>
        <v/>
      </c>
      <c r="C361" s="58"/>
      <c r="D361" s="59"/>
      <c r="E361" s="59" t="str">
        <f>IF($A361=0,"",VLOOKUP($A361,'BASE M-OBRA'!$A:$D,4))</f>
        <v/>
      </c>
      <c r="F361" s="59" t="str">
        <f t="shared" si="36"/>
        <v/>
      </c>
      <c r="G361" s="107"/>
      <c r="H361" s="60" t="str">
        <f t="shared" si="37"/>
        <v/>
      </c>
      <c r="I361" s="2"/>
    </row>
    <row r="362" spans="1:16" x14ac:dyDescent="0.25">
      <c r="B362" s="73" t="s">
        <v>1685</v>
      </c>
      <c r="C362" s="65"/>
      <c r="D362" s="74"/>
      <c r="E362" s="74"/>
      <c r="F362" s="74"/>
      <c r="G362" s="74"/>
      <c r="H362" s="75">
        <f>ROUND(SUM(H354:H361),2)</f>
        <v>185.8</v>
      </c>
      <c r="I362" s="2"/>
      <c r="K362" s="1">
        <f>SUM(K356:K361)</f>
        <v>174.33333333333337</v>
      </c>
    </row>
    <row r="363" spans="1:16" x14ac:dyDescent="0.25">
      <c r="B363" s="38" t="s">
        <v>1684</v>
      </c>
      <c r="C363" s="2"/>
      <c r="D363" s="3"/>
      <c r="E363" s="3"/>
      <c r="F363" s="3"/>
      <c r="G363" s="3"/>
      <c r="H363" s="56"/>
      <c r="I363" s="2"/>
    </row>
    <row r="364" spans="1:16" ht="25.5" x14ac:dyDescent="0.25">
      <c r="B364" s="64" t="s">
        <v>1409</v>
      </c>
      <c r="C364" s="65"/>
      <c r="D364" s="76"/>
      <c r="E364" s="66" t="s">
        <v>1408</v>
      </c>
      <c r="F364" s="66" t="s">
        <v>1679</v>
      </c>
      <c r="G364" s="66" t="s">
        <v>1683</v>
      </c>
      <c r="H364" s="68" t="s">
        <v>1675</v>
      </c>
      <c r="I364" s="2"/>
    </row>
    <row r="365" spans="1:16" x14ac:dyDescent="0.25">
      <c r="A365" s="103">
        <v>11008</v>
      </c>
      <c r="B365" s="37" t="str">
        <f>IF($A365=0,"",VLOOKUP($A365,'BASE MATERIAL'!$A:$D,2))</f>
        <v>TABLA</v>
      </c>
      <c r="C365" s="2"/>
      <c r="D365" s="77"/>
      <c r="E365" s="78" t="str">
        <f>IF($A365=0,"",VLOOKUP($A365,'BASE MATERIAL'!$A:$D,3))</f>
        <v>U</v>
      </c>
      <c r="F365" s="55">
        <f>ROUND(K365*5/(4*3),2)</f>
        <v>7.5</v>
      </c>
      <c r="G365" s="55">
        <f>IF($A365=0,"",VLOOKUP($A365,'BASE MATERIAL'!$A:$D,4))</f>
        <v>3.5</v>
      </c>
      <c r="H365" s="56">
        <f t="shared" ref="H365:H378" si="38">IF($A365=0,"",ROUND(F365*G365,2))</f>
        <v>26.25</v>
      </c>
      <c r="I365" s="2"/>
      <c r="K365" s="1">
        <f>(0.2*2+0.25*2)/(0.2*0.25)</f>
        <v>18</v>
      </c>
      <c r="L365" s="2"/>
      <c r="M365" s="2"/>
      <c r="N365" s="39"/>
      <c r="O365" s="2"/>
      <c r="P365" s="2"/>
    </row>
    <row r="366" spans="1:16" x14ac:dyDescent="0.25">
      <c r="A366" s="103">
        <v>11009</v>
      </c>
      <c r="B366" s="38" t="str">
        <f>IF($A366=0,"",VLOOKUP($A366,'BASE MATERIAL'!$A:$D,2))</f>
        <v>CUARTON</v>
      </c>
      <c r="C366" s="2"/>
      <c r="D366" s="77"/>
      <c r="E366" s="78" t="str">
        <f>IF($A366=0,"",VLOOKUP($A366,'BASE MATERIAL'!$A:$D,3))</f>
        <v>U</v>
      </c>
      <c r="F366" s="55">
        <f>ROUND(K365*8/(4*3),2)</f>
        <v>12</v>
      </c>
      <c r="G366" s="55">
        <f>IF($A366=0,"",VLOOKUP($A366,'BASE MATERIAL'!$A:$D,4))</f>
        <v>2.42</v>
      </c>
      <c r="H366" s="56">
        <f t="shared" si="38"/>
        <v>29.04</v>
      </c>
      <c r="I366" s="2"/>
      <c r="L366" s="2"/>
      <c r="M366" s="2"/>
      <c r="N366" s="39"/>
      <c r="O366" s="2"/>
      <c r="P366" s="2"/>
    </row>
    <row r="367" spans="1:16" x14ac:dyDescent="0.25">
      <c r="A367" s="103">
        <v>11007</v>
      </c>
      <c r="B367" s="38" t="str">
        <f>IF($A367=0,"",VLOOKUP($A367,'BASE MATERIAL'!$A:$D,2))</f>
        <v>CLAVO 2 1/2"</v>
      </c>
      <c r="C367" s="2"/>
      <c r="D367" s="77"/>
      <c r="E367" s="78" t="str">
        <f>IF($A367=0,"",VLOOKUP($A367,'BASE MATERIAL'!$A:$D,3))</f>
        <v>KG</v>
      </c>
      <c r="F367" s="55">
        <f>ROUND(K365*56/(178*1.5),2)</f>
        <v>3.78</v>
      </c>
      <c r="G367" s="55">
        <f>IF($A367=0,"",VLOOKUP($A367,'BASE MATERIAL'!$A:$D,4))</f>
        <v>2.6520000000000001</v>
      </c>
      <c r="H367" s="56">
        <f t="shared" si="38"/>
        <v>10.02</v>
      </c>
      <c r="I367" s="2"/>
      <c r="L367" s="2"/>
      <c r="M367" s="2"/>
      <c r="N367" s="39"/>
      <c r="O367" s="2"/>
      <c r="P367" s="2"/>
    </row>
    <row r="368" spans="1:16" x14ac:dyDescent="0.25">
      <c r="A368" s="103">
        <v>11010</v>
      </c>
      <c r="B368" s="38" t="str">
        <f>IF($A368=0,"",VLOOKUP($A368,'BASE MATERIAL'!$A:$D,2))</f>
        <v>TIRA</v>
      </c>
      <c r="C368" s="2"/>
      <c r="D368" s="77"/>
      <c r="E368" s="78" t="str">
        <f>IF($A368=0,"",VLOOKUP($A368,'BASE MATERIAL'!$A:$D,3))</f>
        <v>U</v>
      </c>
      <c r="F368" s="55">
        <f>ROUND(K365*4/(4*3),2)</f>
        <v>6</v>
      </c>
      <c r="G368" s="55">
        <f>IF($A368=0,"",VLOOKUP($A368,'BASE MATERIAL'!$A:$D,4))</f>
        <v>1.5</v>
      </c>
      <c r="H368" s="56">
        <f t="shared" si="38"/>
        <v>9</v>
      </c>
      <c r="I368" s="2"/>
      <c r="L368" s="2"/>
      <c r="M368" s="2"/>
      <c r="N368" s="39"/>
      <c r="O368" s="2"/>
      <c r="P368" s="2"/>
    </row>
    <row r="369" spans="1:16" x14ac:dyDescent="0.25">
      <c r="A369" s="103">
        <v>4001</v>
      </c>
      <c r="B369" s="38" t="str">
        <f>IF($A369=0,"",VLOOKUP($A369,'BASE MATERIAL'!$A:$D,2))</f>
        <v>CEMENTO</v>
      </c>
      <c r="C369" s="2"/>
      <c r="D369" s="77"/>
      <c r="E369" s="78" t="str">
        <f>IF($A369=0,"",VLOOKUP($A369,'BASE MATERIAL'!$A:$D,3))</f>
        <v>SACO</v>
      </c>
      <c r="F369" s="55">
        <f>8*1.03</f>
        <v>8.24</v>
      </c>
      <c r="G369" s="55">
        <f>IF($A369=0,"",VLOOKUP($A369,'BASE MATERIAL'!$A:$D,4))</f>
        <v>7.09</v>
      </c>
      <c r="H369" s="56">
        <f t="shared" si="38"/>
        <v>58.42</v>
      </c>
      <c r="I369" s="2"/>
      <c r="L369" s="2"/>
      <c r="M369" s="2"/>
      <c r="N369" s="39"/>
      <c r="O369" s="2"/>
      <c r="P369" s="2"/>
    </row>
    <row r="370" spans="1:16" x14ac:dyDescent="0.25">
      <c r="A370" s="103">
        <v>5004</v>
      </c>
      <c r="B370" s="38" t="str">
        <f>IF($A370=0,"",VLOOKUP($A370,'BASE MATERIAL'!$A:$D,2))</f>
        <v>ARENA</v>
      </c>
      <c r="C370" s="2"/>
      <c r="D370" s="77"/>
      <c r="E370" s="78" t="str">
        <f>IF($A370=0,"",VLOOKUP($A370,'BASE MATERIAL'!$A:$D,3))</f>
        <v>M3</v>
      </c>
      <c r="F370" s="55">
        <f>ROUND(F369*0.032*2,2)</f>
        <v>0.53</v>
      </c>
      <c r="G370" s="55">
        <f>IF($A370=0,"",VLOOKUP($A370,'BASE MATERIAL'!$A:$D,4))</f>
        <v>12.276249999999999</v>
      </c>
      <c r="H370" s="56">
        <f t="shared" si="38"/>
        <v>6.51</v>
      </c>
      <c r="I370" s="2"/>
    </row>
    <row r="371" spans="1:16" x14ac:dyDescent="0.25">
      <c r="A371" s="103">
        <v>5002</v>
      </c>
      <c r="B371" s="38" t="str">
        <f>IF($A371=0,"",VLOOKUP($A371,'BASE MATERIAL'!$A:$D,2))</f>
        <v>PIEDRA 3-4</v>
      </c>
      <c r="C371" s="2"/>
      <c r="D371" s="77"/>
      <c r="E371" s="78" t="str">
        <f>IF($A371=0,"",VLOOKUP($A371,'BASE MATERIAL'!$A:$D,3))</f>
        <v>M3</v>
      </c>
      <c r="F371" s="55">
        <f>ROUND(F369*0.032*3,2)</f>
        <v>0.79</v>
      </c>
      <c r="G371" s="55">
        <f>IF($A371=0,"",VLOOKUP($A371,'BASE MATERIAL'!$A:$D,4))</f>
        <v>13.75</v>
      </c>
      <c r="H371" s="56">
        <f t="shared" si="38"/>
        <v>10.86</v>
      </c>
      <c r="I371" s="2"/>
      <c r="L371" s="2"/>
      <c r="M371" s="2"/>
      <c r="N371" s="39"/>
      <c r="O371" s="2"/>
      <c r="P371" s="2"/>
    </row>
    <row r="372" spans="1:16" x14ac:dyDescent="0.25">
      <c r="A372" s="103">
        <v>5005</v>
      </c>
      <c r="B372" s="38" t="str">
        <f>IF($A372=0,"",VLOOKUP($A372,'BASE MATERIAL'!$A:$D,2))</f>
        <v>AGUA</v>
      </c>
      <c r="C372" s="2"/>
      <c r="D372" s="77"/>
      <c r="E372" s="78" t="str">
        <f>IF($A372=0,"",VLOOKUP($A372,'BASE MATERIAL'!$A:$D,3))</f>
        <v>LT</v>
      </c>
      <c r="F372" s="55">
        <f>26*F369</f>
        <v>214.24</v>
      </c>
      <c r="G372" s="112">
        <f>IF($A372=0,"",VLOOKUP($A372,'BASE MATERIAL'!$A:$D,4))</f>
        <v>2E-3</v>
      </c>
      <c r="H372" s="56">
        <f t="shared" si="38"/>
        <v>0.43</v>
      </c>
      <c r="I372" s="2"/>
      <c r="L372" s="2"/>
      <c r="M372" s="2"/>
      <c r="N372" s="39"/>
      <c r="O372" s="2"/>
      <c r="P372" s="2"/>
    </row>
    <row r="373" spans="1:16" x14ac:dyDescent="0.25">
      <c r="B373" s="38" t="str">
        <f>IF($A373=0,"",VLOOKUP($A373,'BASE MATERIAL'!$A:$D,2))</f>
        <v/>
      </c>
      <c r="C373" s="2"/>
      <c r="D373" s="77"/>
      <c r="E373" s="78" t="str">
        <f>IF($A373=0,"",VLOOKUP($A373,'BASE MATERIAL'!$A:$D,3))</f>
        <v/>
      </c>
      <c r="F373" s="55"/>
      <c r="G373" s="55" t="str">
        <f>IF($A373=0,"",VLOOKUP($A373,'BASE MATERIAL'!$A:$D,4))</f>
        <v/>
      </c>
      <c r="H373" s="56" t="str">
        <f t="shared" si="38"/>
        <v/>
      </c>
      <c r="I373" s="2"/>
      <c r="L373" s="2"/>
      <c r="M373" s="2"/>
      <c r="N373" s="39"/>
      <c r="O373" s="2"/>
      <c r="P373" s="2"/>
    </row>
    <row r="374" spans="1:16" x14ac:dyDescent="0.25">
      <c r="A374" s="103">
        <v>1001</v>
      </c>
      <c r="B374" s="38" t="str">
        <f>IF($A374=0,"",VLOOKUP($A374,'BASE MATERIAL'!$A:$D,2))</f>
        <v>HIERRO</v>
      </c>
      <c r="C374" s="2"/>
      <c r="D374" s="77"/>
      <c r="E374" s="78" t="str">
        <f>IF($A374=0,"",VLOOKUP($A374,'BASE MATERIAL'!$A:$D,3))</f>
        <v>KG</v>
      </c>
      <c r="F374" s="55">
        <v>130</v>
      </c>
      <c r="G374" s="55">
        <f>IF($A374=0,"",VLOOKUP($A374,'BASE MATERIAL'!$A:$D,4))</f>
        <v>1.17</v>
      </c>
      <c r="H374" s="56">
        <f t="shared" si="38"/>
        <v>152.1</v>
      </c>
      <c r="I374" s="2"/>
      <c r="L374" s="2"/>
      <c r="M374" s="2"/>
      <c r="N374" s="39"/>
      <c r="O374" s="2"/>
      <c r="P374" s="2"/>
    </row>
    <row r="375" spans="1:16" x14ac:dyDescent="0.25">
      <c r="A375" s="103">
        <v>11002</v>
      </c>
      <c r="B375" s="38" t="str">
        <f>IF($A375=0,"",VLOOKUP($A375,'BASE MATERIAL'!$A:$D,2))</f>
        <v>ALAMBRE #18 RECOCIDO</v>
      </c>
      <c r="C375" s="2"/>
      <c r="D375" s="77"/>
      <c r="E375" s="78" t="str">
        <f>IF($A375=0,"",VLOOKUP($A375,'BASE MATERIAL'!$A:$D,3))</f>
        <v>KG</v>
      </c>
      <c r="F375" s="55">
        <f>+F374*0.03</f>
        <v>3.9</v>
      </c>
      <c r="G375" s="55">
        <f>IF($A375=0,"",VLOOKUP($A375,'BASE MATERIAL'!$A:$D,4))</f>
        <v>1.87</v>
      </c>
      <c r="H375" s="56">
        <f t="shared" si="38"/>
        <v>7.29</v>
      </c>
      <c r="I375" s="2"/>
      <c r="L375" s="2"/>
      <c r="M375" s="2"/>
      <c r="N375" s="39"/>
      <c r="O375" s="2"/>
      <c r="P375" s="2"/>
    </row>
    <row r="376" spans="1:16" x14ac:dyDescent="0.25">
      <c r="B376" s="38" t="str">
        <f>IF($A376=0,"",VLOOKUP($A376,'BASE MATERIAL'!$A:$D,2))</f>
        <v/>
      </c>
      <c r="C376" s="2"/>
      <c r="D376" s="77"/>
      <c r="E376" s="78" t="str">
        <f>IF($A376=0,"",VLOOKUP($A376,'BASE MATERIAL'!$A:$D,3))</f>
        <v/>
      </c>
      <c r="F376" s="55"/>
      <c r="G376" s="55" t="str">
        <f>IF($A376=0,"",VLOOKUP($A376,'BASE MATERIAL'!$A:$D,4))</f>
        <v/>
      </c>
      <c r="H376" s="56" t="str">
        <f t="shared" si="38"/>
        <v/>
      </c>
      <c r="I376" s="2"/>
    </row>
    <row r="377" spans="1:16" x14ac:dyDescent="0.25">
      <c r="B377" s="38" t="str">
        <f>IF($A377=0,"",VLOOKUP($A377,'BASE MATERIAL'!$A:$D,2))</f>
        <v/>
      </c>
      <c r="C377" s="2"/>
      <c r="D377" s="77"/>
      <c r="E377" s="78" t="str">
        <f>IF($A377=0,"",VLOOKUP($A377,'BASE MATERIAL'!$A:$D,3))</f>
        <v/>
      </c>
      <c r="F377" s="55"/>
      <c r="G377" s="55" t="str">
        <f>IF($A377=0,"",VLOOKUP($A377,'BASE MATERIAL'!$A:$D,4))</f>
        <v/>
      </c>
      <c r="H377" s="56" t="str">
        <f t="shared" si="38"/>
        <v/>
      </c>
      <c r="I377" s="2"/>
    </row>
    <row r="378" spans="1:16" x14ac:dyDescent="0.25">
      <c r="B378" s="38" t="str">
        <f>IF($A378=0,"",VLOOKUP($A378,'BASE MATERIAL'!$A:$D,2))</f>
        <v/>
      </c>
      <c r="C378" s="2"/>
      <c r="D378" s="77"/>
      <c r="E378" s="78" t="str">
        <f>IF($A378=0,"",VLOOKUP($A378,'BASE MATERIAL'!$A:$D,3))</f>
        <v/>
      </c>
      <c r="F378" s="55"/>
      <c r="G378" s="55" t="str">
        <f>IF($A378=0,"",VLOOKUP($A378,'BASE MATERIAL'!$A:$D,4))</f>
        <v/>
      </c>
      <c r="H378" s="56" t="str">
        <f t="shared" si="38"/>
        <v/>
      </c>
      <c r="I378" s="2"/>
    </row>
    <row r="379" spans="1:16" x14ac:dyDescent="0.25">
      <c r="B379" s="38" t="str">
        <f>IF($A379=0,"",VLOOKUP($A379,'BASE MATERIAL'!$A:$D,2))</f>
        <v/>
      </c>
      <c r="C379" s="2"/>
      <c r="D379" s="77"/>
      <c r="E379" s="78" t="str">
        <f>IF($A379=0,"",VLOOKUP($A379,'BASE MATERIAL'!$A:$D,3))</f>
        <v/>
      </c>
      <c r="F379" s="55"/>
      <c r="G379" s="55" t="str">
        <f>IF($A379=0,"",VLOOKUP($A379,'BASE MATERIAL'!$A:$D,4))</f>
        <v/>
      </c>
      <c r="H379" s="56" t="str">
        <f>IF($A379=0,"",ROUND(F379*G379,2))</f>
        <v/>
      </c>
      <c r="I379" s="2"/>
    </row>
    <row r="380" spans="1:16" x14ac:dyDescent="0.25">
      <c r="B380" s="38" t="str">
        <f>IF($A380=0,"",VLOOKUP($A380,'BASE MATERIAL'!$A:$D,2))</f>
        <v/>
      </c>
      <c r="C380" s="2"/>
      <c r="D380" s="81" t="s">
        <v>1682</v>
      </c>
      <c r="E380" s="55" t="str">
        <f>IF($A380=0,"",VLOOKUP($A380,'BASE MATERIAL'!$A:$D,3))</f>
        <v/>
      </c>
      <c r="F380" s="55" t="s">
        <v>1682</v>
      </c>
      <c r="G380" s="55" t="str">
        <f>IF($A380=0,"",VLOOKUP($A380,'BASE MATERIAL'!$A:$D,4))</f>
        <v/>
      </c>
      <c r="H380" s="56" t="str">
        <f>IF($A380=0,"",ROUND(E380*F380,2))</f>
        <v/>
      </c>
      <c r="I380" s="2"/>
    </row>
    <row r="381" spans="1:16" x14ac:dyDescent="0.25">
      <c r="B381" s="73" t="s">
        <v>1681</v>
      </c>
      <c r="C381" s="65"/>
      <c r="D381" s="74"/>
      <c r="E381" s="74"/>
      <c r="F381" s="74"/>
      <c r="G381" s="74"/>
      <c r="H381" s="75">
        <f>ROUND(SUM(H364:H380),2)</f>
        <v>309.92</v>
      </c>
      <c r="I381" s="2"/>
    </row>
    <row r="382" spans="1:16" x14ac:dyDescent="0.25">
      <c r="B382" s="38" t="s">
        <v>1680</v>
      </c>
      <c r="C382" s="2"/>
      <c r="D382" s="3"/>
      <c r="E382" s="3"/>
      <c r="F382" s="3"/>
      <c r="G382" s="3"/>
      <c r="H382" s="56"/>
      <c r="I382" s="2"/>
    </row>
    <row r="383" spans="1:16" ht="25.5" x14ac:dyDescent="0.25">
      <c r="B383" s="64" t="s">
        <v>1409</v>
      </c>
      <c r="C383" s="65"/>
      <c r="D383" s="76"/>
      <c r="E383" s="66" t="s">
        <v>1408</v>
      </c>
      <c r="F383" s="66" t="s">
        <v>1679</v>
      </c>
      <c r="G383" s="66" t="s">
        <v>1676</v>
      </c>
      <c r="H383" s="68" t="s">
        <v>1675</v>
      </c>
      <c r="I383" s="2"/>
    </row>
    <row r="384" spans="1:16" x14ac:dyDescent="0.25">
      <c r="A384" s="103">
        <v>19019</v>
      </c>
      <c r="B384" s="51" t="str">
        <f>IF($A384=0,"",VLOOKUP($A384,'BASE EQUIPO'!$A:$D,2))</f>
        <v>TRANSPORTE DE MATERIAL</v>
      </c>
      <c r="C384" s="52"/>
      <c r="D384" s="82"/>
      <c r="E384" s="78" t="str">
        <f>IF($A384=0,"",VLOOKUP($A384,'BASE EQUIPO'!$A:$D,3))</f>
        <v>GLOBAL</v>
      </c>
      <c r="F384" s="55">
        <v>1</v>
      </c>
      <c r="G384" s="83">
        <f>IF($A384=0,"",VLOOKUP($A384,'BASE EQUIPO'!$A:$D,4)*H381)+0.11</f>
        <v>9.4076000000000004</v>
      </c>
      <c r="H384" s="56">
        <f>IF($A384=0,"",ROUND(F384*G384,2))</f>
        <v>9.41</v>
      </c>
      <c r="I384" s="2"/>
    </row>
    <row r="385" spans="1:15" x14ac:dyDescent="0.25">
      <c r="B385" s="38" t="str">
        <f>IF($A385=0,"",VLOOKUP($A385,'BASE EQUIPO'!$A:$D,2))</f>
        <v/>
      </c>
      <c r="C385" s="2"/>
      <c r="D385" s="84"/>
      <c r="E385" s="78" t="str">
        <f>IF($A385=0,"",VLOOKUP($A385,'BASE EQUIPO'!$A:$D,3))</f>
        <v/>
      </c>
      <c r="F385" s="55"/>
      <c r="G385" s="55" t="str">
        <f>IF($A385=0,"",VLOOKUP($A385,'BASE EQUIPO'!$A:$D,4)*H382)</f>
        <v/>
      </c>
      <c r="H385" s="56" t="str">
        <f>IF($A385=0,"",ROUND(F385*G385,2))</f>
        <v/>
      </c>
      <c r="I385" s="2"/>
    </row>
    <row r="386" spans="1:15" x14ac:dyDescent="0.25">
      <c r="B386" s="57" t="str">
        <f>IF($A386=0,"",VLOOKUP($A386,'BASE EQUIPO'!$A:$D,2))</f>
        <v/>
      </c>
      <c r="C386" s="58"/>
      <c r="D386" s="85"/>
      <c r="E386" s="86" t="str">
        <f>IF($A386=0,"",VLOOKUP($A386,'BASE EQUIPO'!$A:$D,3))</f>
        <v/>
      </c>
      <c r="F386" s="59"/>
      <c r="G386" s="59" t="str">
        <f>IF($A386=0,"",VLOOKUP($A386,'BASE EQUIPO'!$A:$D,4)*H383)</f>
        <v/>
      </c>
      <c r="H386" s="60" t="str">
        <f>IF($A386=0,"",ROUND(F386*G386,2))</f>
        <v/>
      </c>
      <c r="I386" s="2"/>
    </row>
    <row r="387" spans="1:15" ht="15.75" thickBot="1" x14ac:dyDescent="0.3">
      <c r="B387" s="87" t="s">
        <v>1674</v>
      </c>
      <c r="C387" s="88"/>
      <c r="D387" s="89"/>
      <c r="E387" s="89"/>
      <c r="F387" s="89"/>
      <c r="G387" s="89"/>
      <c r="H387" s="90">
        <f>ROUND(SUM(H383:H386),2)</f>
        <v>9.41</v>
      </c>
      <c r="I387" s="2"/>
    </row>
    <row r="388" spans="1:15" ht="15.75" x14ac:dyDescent="0.25">
      <c r="B388" s="2"/>
      <c r="C388" s="2"/>
      <c r="D388" s="91" t="s">
        <v>1673</v>
      </c>
      <c r="E388" s="47"/>
      <c r="F388" s="47"/>
      <c r="G388" s="47"/>
      <c r="H388" s="92">
        <f>ROUND(SUM(H387,H381,H362,H352),2)</f>
        <v>514.01</v>
      </c>
      <c r="I388" s="2"/>
    </row>
    <row r="389" spans="1:15" ht="15.75" x14ac:dyDescent="0.25">
      <c r="A389" s="103">
        <v>40002</v>
      </c>
      <c r="B389" s="2"/>
      <c r="C389" s="2"/>
      <c r="D389" s="93" t="s">
        <v>1672</v>
      </c>
      <c r="E389" s="65"/>
      <c r="F389" s="65"/>
      <c r="G389" s="94">
        <f>IF($A389=0,"",VLOOKUP($A389,'BASE MATERIAL'!$M:$P,4))</f>
        <v>0</v>
      </c>
      <c r="H389" s="95">
        <f>IF($A389=0,"",ROUND(G389*H388,2))</f>
        <v>0</v>
      </c>
      <c r="I389" s="2"/>
    </row>
    <row r="390" spans="1:15" ht="15.75" x14ac:dyDescent="0.25">
      <c r="A390" s="103">
        <v>40003</v>
      </c>
      <c r="B390" s="2"/>
      <c r="C390" s="2"/>
      <c r="D390" s="93" t="s">
        <v>1671</v>
      </c>
      <c r="E390" s="65"/>
      <c r="F390" s="65"/>
      <c r="G390" s="94">
        <f>IF($A390=0,"",VLOOKUP($A390,'BASE MATERIAL'!$M:$P,4))</f>
        <v>0</v>
      </c>
      <c r="H390" s="95">
        <f>IF($A390=0,"",ROUND(G390*H388,2))</f>
        <v>0</v>
      </c>
      <c r="I390" s="2"/>
    </row>
    <row r="391" spans="1:15" ht="15.75" x14ac:dyDescent="0.25">
      <c r="B391" s="2"/>
      <c r="C391" s="2"/>
      <c r="D391" s="93" t="s">
        <v>1670</v>
      </c>
      <c r="E391" s="65"/>
      <c r="F391" s="65"/>
      <c r="G391" s="65"/>
      <c r="H391" s="96">
        <f>ROUND(SUM(H388:H390),2)</f>
        <v>514.01</v>
      </c>
      <c r="I391" s="2"/>
    </row>
    <row r="392" spans="1:15" ht="16.5" thickBot="1" x14ac:dyDescent="0.3">
      <c r="B392" s="25"/>
      <c r="C392" s="2"/>
      <c r="D392" s="97" t="s">
        <v>1650</v>
      </c>
      <c r="E392" s="88"/>
      <c r="F392" s="88"/>
      <c r="G392" s="88"/>
      <c r="H392" s="98">
        <f>ROUND(H391,2)</f>
        <v>514.01</v>
      </c>
      <c r="I392" s="2"/>
    </row>
    <row r="393" spans="1:15" ht="15.75" x14ac:dyDescent="0.25">
      <c r="B393" s="34" t="s">
        <v>1701</v>
      </c>
      <c r="C393" s="2"/>
      <c r="D393" s="3" t="str">
        <f>$D$1</f>
        <v>ESPOL</v>
      </c>
      <c r="E393" s="2"/>
      <c r="F393" s="2"/>
      <c r="H393" s="2" t="s">
        <v>108</v>
      </c>
      <c r="I393" s="2"/>
      <c r="L393" s="40">
        <f>A397</f>
        <v>6</v>
      </c>
      <c r="M393" s="1" t="str">
        <f>C398</f>
        <v>Vigas de losa (20 x 40)</v>
      </c>
      <c r="N393" s="2" t="str">
        <f>H397</f>
        <v>m3</v>
      </c>
      <c r="O393" s="2">
        <f>H448</f>
        <v>442.28</v>
      </c>
    </row>
    <row r="394" spans="1:15" ht="15.75" x14ac:dyDescent="0.25">
      <c r="B394" s="34" t="s">
        <v>1700</v>
      </c>
      <c r="C394" s="3">
        <f>'1.1'!$C$2</f>
        <v>0</v>
      </c>
      <c r="D394" s="2"/>
      <c r="E394" s="2"/>
      <c r="F394" s="2"/>
      <c r="G394" s="41" t="s">
        <v>1699</v>
      </c>
      <c r="H394" s="42"/>
      <c r="I394" s="2" t="s">
        <v>1698</v>
      </c>
    </row>
    <row r="395" spans="1:15" ht="15.75" x14ac:dyDescent="0.25">
      <c r="B395" s="34"/>
      <c r="C395" s="3">
        <f>'1.1'!$C$3</f>
        <v>0</v>
      </c>
      <c r="D395" s="2"/>
      <c r="E395" s="2"/>
      <c r="F395" s="2"/>
      <c r="G395" s="2"/>
      <c r="H395" s="2"/>
      <c r="I395" s="2"/>
    </row>
    <row r="396" spans="1:15" ht="15.75" x14ac:dyDescent="0.25">
      <c r="B396" s="34" t="s">
        <v>1697</v>
      </c>
      <c r="C396" s="3"/>
      <c r="D396" s="2"/>
      <c r="E396" s="2"/>
      <c r="F396" s="2"/>
      <c r="G396" s="2"/>
      <c r="H396" s="2"/>
      <c r="I396" s="2"/>
    </row>
    <row r="397" spans="1:15" x14ac:dyDescent="0.25">
      <c r="A397" s="104">
        <v>6</v>
      </c>
      <c r="B397" s="2" t="s">
        <v>1586</v>
      </c>
      <c r="C397" s="36" t="s">
        <v>1559</v>
      </c>
      <c r="D397" s="2"/>
      <c r="G397" s="2" t="s">
        <v>1696</v>
      </c>
      <c r="H397" s="3" t="s">
        <v>1521</v>
      </c>
      <c r="I397" s="2"/>
    </row>
    <row r="398" spans="1:15" x14ac:dyDescent="0.25">
      <c r="B398" s="1" t="s">
        <v>1585</v>
      </c>
      <c r="C398" s="36" t="s">
        <v>2027</v>
      </c>
      <c r="D398" s="2"/>
      <c r="E398" s="2"/>
      <c r="F398" s="2"/>
      <c r="G398" s="2"/>
      <c r="H398" s="2"/>
      <c r="I398" s="2"/>
    </row>
    <row r="399" spans="1:15" ht="15.75" thickBot="1" x14ac:dyDescent="0.3">
      <c r="D399" s="2"/>
      <c r="E399" s="2"/>
      <c r="F399" s="2"/>
      <c r="G399" s="2"/>
      <c r="H399" s="2"/>
      <c r="I399" s="2"/>
    </row>
    <row r="400" spans="1:15" ht="15.75" thickBot="1" x14ac:dyDescent="0.3">
      <c r="B400" s="43" t="s">
        <v>1695</v>
      </c>
      <c r="C400" s="44"/>
      <c r="D400" s="44"/>
      <c r="E400" s="44"/>
      <c r="F400" s="44"/>
      <c r="G400" s="44"/>
      <c r="H400" s="45"/>
      <c r="I400" s="2"/>
    </row>
    <row r="401" spans="1:12" ht="25.5" x14ac:dyDescent="0.25">
      <c r="B401" s="46" t="s">
        <v>1409</v>
      </c>
      <c r="C401" s="47"/>
      <c r="D401" s="48" t="s">
        <v>1690</v>
      </c>
      <c r="E401" s="48" t="s">
        <v>1694</v>
      </c>
      <c r="F401" s="48" t="s">
        <v>1693</v>
      </c>
      <c r="G401" s="49" t="s">
        <v>1687</v>
      </c>
      <c r="H401" s="50" t="s">
        <v>1686</v>
      </c>
      <c r="I401" s="2"/>
    </row>
    <row r="402" spans="1:12" x14ac:dyDescent="0.25">
      <c r="A402" s="103">
        <v>19015</v>
      </c>
      <c r="B402" s="51" t="str">
        <f>IF($A402=0,"",VLOOKUP($A402,'BASE EQUIPO'!$A:$D,2))</f>
        <v>HERRAMIENTA MENOR</v>
      </c>
      <c r="C402" s="52"/>
      <c r="D402" s="53">
        <v>1</v>
      </c>
      <c r="E402" s="53">
        <f>IF($A402=0,"",VLOOKUP($A402,'BASE EQUIPO'!$A:$D,4)*H418)</f>
        <v>3.8490000000000002</v>
      </c>
      <c r="F402" s="53">
        <f t="shared" ref="F402:F407" si="39">IF($A402=0,"",ROUND(D402*E402,2))</f>
        <v>3.85</v>
      </c>
      <c r="G402" s="105">
        <v>1</v>
      </c>
      <c r="H402" s="54">
        <f t="shared" ref="H402:H407" si="40">IF($A402=0,"",ROUND(G402*F402,2))</f>
        <v>3.85</v>
      </c>
      <c r="I402" s="2"/>
    </row>
    <row r="403" spans="1:12" x14ac:dyDescent="0.25">
      <c r="A403" s="103">
        <v>19003</v>
      </c>
      <c r="B403" s="38" t="str">
        <f>IF($A403=0,"",VLOOKUP($A403,'BASE EQUIPO'!$A:$D,2))</f>
        <v>CONCRETERA</v>
      </c>
      <c r="C403" s="2"/>
      <c r="D403" s="55">
        <v>1</v>
      </c>
      <c r="E403" s="55">
        <f>IF($A403=0,"",VLOOKUP($A403,'BASE EQUIPO'!$A:$D,4))</f>
        <v>3.5</v>
      </c>
      <c r="F403" s="55">
        <f t="shared" si="39"/>
        <v>3.5</v>
      </c>
      <c r="G403" s="106">
        <f>+G412*0.5</f>
        <v>0.5</v>
      </c>
      <c r="H403" s="56">
        <f t="shared" si="40"/>
        <v>1.75</v>
      </c>
      <c r="I403" s="2"/>
    </row>
    <row r="404" spans="1:12" x14ac:dyDescent="0.25">
      <c r="A404" s="103">
        <v>19008</v>
      </c>
      <c r="B404" s="38" t="str">
        <f>IF($A404=0,"",VLOOKUP($A404,'BASE EQUIPO'!$A:$D,2))</f>
        <v>VIBRADOR</v>
      </c>
      <c r="C404" s="2"/>
      <c r="D404" s="55">
        <v>1</v>
      </c>
      <c r="E404" s="55">
        <f>IF($A404=0,"",VLOOKUP($A404,'BASE EQUIPO'!$A:$D,4))</f>
        <v>2.5</v>
      </c>
      <c r="F404" s="55">
        <f t="shared" si="39"/>
        <v>2.5</v>
      </c>
      <c r="G404" s="106">
        <f>+G413*0.5</f>
        <v>0.5</v>
      </c>
      <c r="H404" s="56">
        <f t="shared" si="40"/>
        <v>1.25</v>
      </c>
      <c r="I404" s="2"/>
    </row>
    <row r="405" spans="1:12" x14ac:dyDescent="0.25">
      <c r="B405" s="38" t="str">
        <f>IF($A405=0,"",VLOOKUP($A405,'BASE EQUIPO'!$A:$D,2))</f>
        <v/>
      </c>
      <c r="C405" s="2"/>
      <c r="D405" s="55"/>
      <c r="E405" s="55" t="str">
        <f>IF($A405=0,"",VLOOKUP($A405,'BASE EQUIPO'!$A:$D,4))</f>
        <v/>
      </c>
      <c r="F405" s="55" t="str">
        <f t="shared" si="39"/>
        <v/>
      </c>
      <c r="G405" s="106"/>
      <c r="H405" s="56" t="str">
        <f t="shared" si="40"/>
        <v/>
      </c>
      <c r="I405" s="2"/>
    </row>
    <row r="406" spans="1:12" x14ac:dyDescent="0.25">
      <c r="B406" s="38" t="str">
        <f>IF($A406=0,"",VLOOKUP($A406,'BASE EQUIPO'!$A:$D,2))</f>
        <v/>
      </c>
      <c r="C406" s="2"/>
      <c r="D406" s="55"/>
      <c r="E406" s="55" t="str">
        <f>IF($A406=0,"",VLOOKUP($A406,'BASE EQUIPO'!$A:$D,4))</f>
        <v/>
      </c>
      <c r="F406" s="55" t="str">
        <f t="shared" si="39"/>
        <v/>
      </c>
      <c r="G406" s="106"/>
      <c r="H406" s="56" t="str">
        <f t="shared" si="40"/>
        <v/>
      </c>
      <c r="I406" s="2"/>
    </row>
    <row r="407" spans="1:12" x14ac:dyDescent="0.25">
      <c r="B407" s="57" t="str">
        <f>IF($A407=0,"",VLOOKUP($A407,'BASE EQUIPO'!$A:$D,2))</f>
        <v/>
      </c>
      <c r="C407" s="58"/>
      <c r="D407" s="59"/>
      <c r="E407" s="59" t="str">
        <f>IF($A407=0,"",VLOOKUP($A407,'BASE EQUIPO'!$A:$D,4))</f>
        <v/>
      </c>
      <c r="F407" s="59" t="str">
        <f t="shared" si="39"/>
        <v/>
      </c>
      <c r="G407" s="107"/>
      <c r="H407" s="60" t="str">
        <f t="shared" si="40"/>
        <v/>
      </c>
      <c r="I407" s="2"/>
    </row>
    <row r="408" spans="1:12" x14ac:dyDescent="0.25">
      <c r="B408" s="57" t="s">
        <v>1692</v>
      </c>
      <c r="C408" s="58"/>
      <c r="D408" s="61"/>
      <c r="E408" s="61"/>
      <c r="F408" s="61"/>
      <c r="G408" s="62"/>
      <c r="H408" s="60">
        <f>ROUND(SUM(H401:H407),2)</f>
        <v>6.85</v>
      </c>
      <c r="I408" s="2"/>
    </row>
    <row r="409" spans="1:12" x14ac:dyDescent="0.25">
      <c r="B409" s="38" t="s">
        <v>1503</v>
      </c>
      <c r="C409" s="2"/>
      <c r="D409" s="3"/>
      <c r="E409" s="3"/>
      <c r="F409" s="3"/>
      <c r="G409" s="63"/>
      <c r="H409" s="56"/>
      <c r="I409" s="2"/>
    </row>
    <row r="410" spans="1:12" ht="25.5" x14ac:dyDescent="0.25">
      <c r="B410" s="64" t="s">
        <v>1691</v>
      </c>
      <c r="C410" s="65"/>
      <c r="D410" s="66" t="s">
        <v>1690</v>
      </c>
      <c r="E410" s="66" t="s">
        <v>1689</v>
      </c>
      <c r="F410" s="66" t="s">
        <v>1688</v>
      </c>
      <c r="G410" s="67" t="s">
        <v>1687</v>
      </c>
      <c r="H410" s="68" t="s">
        <v>1686</v>
      </c>
      <c r="I410" s="2"/>
    </row>
    <row r="411" spans="1:12" x14ac:dyDescent="0.25">
      <c r="A411" s="103">
        <v>20001</v>
      </c>
      <c r="B411" s="69" t="str">
        <f>IF($A411=0,"",VLOOKUP($A411,'BASE M-OBRA'!$A:$D,2))</f>
        <v>MAESTRO</v>
      </c>
      <c r="C411" s="2"/>
      <c r="D411" s="108">
        <v>1</v>
      </c>
      <c r="E411" s="70">
        <f>IF($A411=0,"",VLOOKUP($A411,'BASE M-OBRA'!$A:$D,4))</f>
        <v>3.02</v>
      </c>
      <c r="F411" s="55">
        <f t="shared" ref="F411:F417" si="41">IF($A411=0,"",ROUND(D411*E411,2))</f>
        <v>3.02</v>
      </c>
      <c r="G411" s="106">
        <f>IF($A411=0,"",ROUND(H411/F411,2))</f>
        <v>7.08</v>
      </c>
      <c r="H411" s="56">
        <f>IF($A411=0,"",ROUND(SUM(H412:H417)*'BASE M-OBRA'!$D$23,2))</f>
        <v>21.38</v>
      </c>
      <c r="I411" s="2"/>
    </row>
    <row r="412" spans="1:12" x14ac:dyDescent="0.25">
      <c r="A412" s="103">
        <v>20002</v>
      </c>
      <c r="B412" s="69" t="str">
        <f>IF($A412=0,"",VLOOKUP($A412,'BASE M-OBRA'!$A:$D,2))</f>
        <v>PEON</v>
      </c>
      <c r="C412" s="2"/>
      <c r="D412" s="108">
        <v>8</v>
      </c>
      <c r="E412" s="70">
        <f>IF($A412=0,"",VLOOKUP($A412,'BASE M-OBRA'!$A:$D,4))</f>
        <v>2.79</v>
      </c>
      <c r="F412" s="55">
        <f t="shared" si="41"/>
        <v>22.32</v>
      </c>
      <c r="G412" s="106">
        <v>1</v>
      </c>
      <c r="H412" s="56">
        <f t="shared" ref="H412:H417" si="42">IF($A412=0,"",ROUND(G412*F412,2))</f>
        <v>22.32</v>
      </c>
      <c r="I412" s="2"/>
      <c r="K412" s="1">
        <f>(8.94*0+35.32)/1.2</f>
        <v>29.433333333333334</v>
      </c>
      <c r="L412" s="2">
        <f>H412+H413</f>
        <v>27.96</v>
      </c>
    </row>
    <row r="413" spans="1:12" x14ac:dyDescent="0.25">
      <c r="A413" s="103">
        <v>20003</v>
      </c>
      <c r="B413" s="69" t="str">
        <f>IF($A413=0,"",VLOOKUP($A413,'BASE M-OBRA'!$A:$D,2))</f>
        <v>ALBAÑIL</v>
      </c>
      <c r="C413" s="2"/>
      <c r="D413" s="108">
        <v>2</v>
      </c>
      <c r="E413" s="70">
        <f>IF($A413=0,"",VLOOKUP($A413,'BASE M-OBRA'!$A:$D,4))</f>
        <v>2.82</v>
      </c>
      <c r="F413" s="55">
        <f t="shared" si="41"/>
        <v>5.64</v>
      </c>
      <c r="G413" s="106">
        <f>+G412</f>
        <v>1</v>
      </c>
      <c r="H413" s="56">
        <f t="shared" si="42"/>
        <v>5.64</v>
      </c>
      <c r="I413" s="2"/>
    </row>
    <row r="414" spans="1:12" x14ac:dyDescent="0.25">
      <c r="A414" s="103">
        <v>20004</v>
      </c>
      <c r="B414" s="71" t="str">
        <f>IF($A414=0,"",VLOOKUP($A414,'BASE M-OBRA'!$A:$D,2))</f>
        <v>CARPINTERO</v>
      </c>
      <c r="C414" s="2"/>
      <c r="D414" s="108">
        <v>2</v>
      </c>
      <c r="E414" s="70">
        <f>IF($A414=0,"",VLOOKUP($A414,'BASE M-OBRA'!$A:$D,4))</f>
        <v>2.82</v>
      </c>
      <c r="F414" s="55">
        <f t="shared" si="41"/>
        <v>5.64</v>
      </c>
      <c r="G414" s="106">
        <v>6.6</v>
      </c>
      <c r="H414" s="56">
        <f t="shared" si="42"/>
        <v>37.22</v>
      </c>
      <c r="I414" s="2"/>
      <c r="K414" s="1">
        <f>(3.17*0+7.19)*K421/1.2</f>
        <v>37.447916666666664</v>
      </c>
    </row>
    <row r="415" spans="1:12" x14ac:dyDescent="0.25">
      <c r="A415" s="103">
        <v>20005</v>
      </c>
      <c r="B415" s="72" t="str">
        <f>IF($A415=0,"",VLOOKUP($A415,'BASE M-OBRA'!$A:$D,2))</f>
        <v>FIERRERO</v>
      </c>
      <c r="C415" s="2"/>
      <c r="D415" s="108">
        <v>2</v>
      </c>
      <c r="E415" s="70">
        <f>IF($A415=0,"",VLOOKUP($A415,'BASE M-OBRA'!$A:$D,4))</f>
        <v>2.82</v>
      </c>
      <c r="F415" s="55">
        <f t="shared" si="41"/>
        <v>5.64</v>
      </c>
      <c r="G415" s="106">
        <v>7.4</v>
      </c>
      <c r="H415" s="56">
        <f t="shared" si="42"/>
        <v>41.74</v>
      </c>
      <c r="I415" s="2"/>
      <c r="K415" s="1">
        <f>+F430*0.31/1.2</f>
        <v>41.333333333333336</v>
      </c>
    </row>
    <row r="416" spans="1:12" x14ac:dyDescent="0.25">
      <c r="B416" s="38" t="str">
        <f>IF($A416=0,"",VLOOKUP($A416,'BASE M-OBRA'!$A:$D,2))</f>
        <v/>
      </c>
      <c r="C416" s="2"/>
      <c r="D416" s="55"/>
      <c r="E416" s="55" t="str">
        <f>IF($A416=0,"",VLOOKUP($A416,'BASE M-OBRA'!$A:$D,4))</f>
        <v/>
      </c>
      <c r="F416" s="55" t="str">
        <f t="shared" si="41"/>
        <v/>
      </c>
      <c r="G416" s="106"/>
      <c r="H416" s="56" t="str">
        <f t="shared" si="42"/>
        <v/>
      </c>
      <c r="I416" s="2"/>
    </row>
    <row r="417" spans="1:16" x14ac:dyDescent="0.25">
      <c r="B417" s="57" t="str">
        <f>IF($A417=0,"",VLOOKUP($A417,'BASE M-OBRA'!$A:$D,2))</f>
        <v/>
      </c>
      <c r="C417" s="58"/>
      <c r="D417" s="59"/>
      <c r="E417" s="59" t="str">
        <f>IF($A417=0,"",VLOOKUP($A417,'BASE M-OBRA'!$A:$D,4))</f>
        <v/>
      </c>
      <c r="F417" s="59" t="str">
        <f t="shared" si="41"/>
        <v/>
      </c>
      <c r="G417" s="107"/>
      <c r="H417" s="60" t="str">
        <f t="shared" si="42"/>
        <v/>
      </c>
      <c r="I417" s="2"/>
    </row>
    <row r="418" spans="1:16" x14ac:dyDescent="0.25">
      <c r="B418" s="73" t="s">
        <v>1685</v>
      </c>
      <c r="C418" s="65"/>
      <c r="D418" s="74"/>
      <c r="E418" s="74"/>
      <c r="F418" s="74"/>
      <c r="G418" s="74"/>
      <c r="H418" s="75">
        <f>ROUND(SUM(H410:H417),2)</f>
        <v>128.30000000000001</v>
      </c>
      <c r="I418" s="2"/>
      <c r="K418" s="1">
        <f>SUM(K412:K417)</f>
        <v>108.21458333333334</v>
      </c>
    </row>
    <row r="419" spans="1:16" x14ac:dyDescent="0.25">
      <c r="B419" s="38" t="s">
        <v>1684</v>
      </c>
      <c r="C419" s="2"/>
      <c r="D419" s="3"/>
      <c r="E419" s="3"/>
      <c r="F419" s="3"/>
      <c r="G419" s="3"/>
      <c r="H419" s="56"/>
      <c r="I419" s="2"/>
    </row>
    <row r="420" spans="1:16" ht="25.5" x14ac:dyDescent="0.25">
      <c r="B420" s="64" t="s">
        <v>1409</v>
      </c>
      <c r="C420" s="65"/>
      <c r="D420" s="76"/>
      <c r="E420" s="66" t="s">
        <v>1408</v>
      </c>
      <c r="F420" s="66" t="s">
        <v>1679</v>
      </c>
      <c r="G420" s="66" t="s">
        <v>1683</v>
      </c>
      <c r="H420" s="68" t="s">
        <v>1675</v>
      </c>
      <c r="I420" s="2"/>
    </row>
    <row r="421" spans="1:16" x14ac:dyDescent="0.25">
      <c r="A421" s="103">
        <v>11008</v>
      </c>
      <c r="B421" s="37" t="str">
        <f>IF($A421=0,"",VLOOKUP($A421,'BASE MATERIAL'!$A:$D,2))</f>
        <v>TABLA</v>
      </c>
      <c r="C421" s="2"/>
      <c r="D421" s="77"/>
      <c r="E421" s="78" t="str">
        <f>IF($A421=0,"",VLOOKUP($A421,'BASE MATERIAL'!$A:$D,3))</f>
        <v>U</v>
      </c>
      <c r="F421" s="55">
        <f>ROUND(K421*5/(4*3),2)</f>
        <v>2.6</v>
      </c>
      <c r="G421" s="55">
        <f>IF($A421=0,"",VLOOKUP($A421,'BASE MATERIAL'!$A:$D,4))</f>
        <v>3.5</v>
      </c>
      <c r="H421" s="56">
        <f t="shared" ref="H421:H435" si="43">IF($A421=0,"",ROUND(F421*G421,2))</f>
        <v>9.1</v>
      </c>
      <c r="I421" s="2"/>
      <c r="K421" s="1">
        <f>(0.2*1+0.15*2)/(0.2*0.4)</f>
        <v>6.2499999999999991</v>
      </c>
      <c r="L421" s="2"/>
      <c r="M421" s="2"/>
      <c r="N421" s="39"/>
      <c r="O421" s="2"/>
      <c r="P421" s="2"/>
    </row>
    <row r="422" spans="1:16" x14ac:dyDescent="0.25">
      <c r="A422" s="103">
        <v>11009</v>
      </c>
      <c r="B422" s="38" t="str">
        <f>IF($A422=0,"",VLOOKUP($A422,'BASE MATERIAL'!$A:$D,2))</f>
        <v>CUARTON</v>
      </c>
      <c r="C422" s="2"/>
      <c r="D422" s="77"/>
      <c r="E422" s="78" t="str">
        <f>IF($A422=0,"",VLOOKUP($A422,'BASE MATERIAL'!$A:$D,3))</f>
        <v>U</v>
      </c>
      <c r="F422" s="55">
        <f>ROUND(K421*8/(4*3),2)</f>
        <v>4.17</v>
      </c>
      <c r="G422" s="55">
        <f>IF($A422=0,"",VLOOKUP($A422,'BASE MATERIAL'!$A:$D,4))</f>
        <v>2.42</v>
      </c>
      <c r="H422" s="56">
        <f t="shared" si="43"/>
        <v>10.09</v>
      </c>
      <c r="I422" s="2"/>
      <c r="L422" s="2"/>
      <c r="M422" s="2"/>
      <c r="N422" s="39"/>
      <c r="O422" s="2"/>
      <c r="P422" s="2"/>
    </row>
    <row r="423" spans="1:16" x14ac:dyDescent="0.25">
      <c r="A423" s="103">
        <v>11007</v>
      </c>
      <c r="B423" s="38" t="str">
        <f>IF($A423=0,"",VLOOKUP($A423,'BASE MATERIAL'!$A:$D,2))</f>
        <v>CLAVO 2 1/2"</v>
      </c>
      <c r="C423" s="2"/>
      <c r="D423" s="77"/>
      <c r="E423" s="78" t="str">
        <f>IF($A423=0,"",VLOOKUP($A423,'BASE MATERIAL'!$A:$D,3))</f>
        <v>KG</v>
      </c>
      <c r="F423" s="55">
        <f>ROUND(K421*56/(178*1.5),2)</f>
        <v>1.31</v>
      </c>
      <c r="G423" s="55">
        <f>IF($A423=0,"",VLOOKUP($A423,'BASE MATERIAL'!$A:$D,4))</f>
        <v>2.6520000000000001</v>
      </c>
      <c r="H423" s="56">
        <f t="shared" si="43"/>
        <v>3.47</v>
      </c>
      <c r="I423" s="2"/>
      <c r="L423" s="2"/>
      <c r="M423" s="2"/>
      <c r="N423" s="39"/>
      <c r="O423" s="2"/>
      <c r="P423" s="2"/>
    </row>
    <row r="424" spans="1:16" x14ac:dyDescent="0.25">
      <c r="A424" s="103">
        <v>11010</v>
      </c>
      <c r="B424" s="38" t="str">
        <f>IF($A424=0,"",VLOOKUP($A424,'BASE MATERIAL'!$A:$D,2))</f>
        <v>TIRA</v>
      </c>
      <c r="C424" s="2"/>
      <c r="D424" s="77"/>
      <c r="E424" s="78" t="str">
        <f>IF($A424=0,"",VLOOKUP($A424,'BASE MATERIAL'!$A:$D,3))</f>
        <v>U</v>
      </c>
      <c r="F424" s="55">
        <f>ROUND(K421*4/(4*3),2)</f>
        <v>2.08</v>
      </c>
      <c r="G424" s="55">
        <f>IF($A424=0,"",VLOOKUP($A424,'BASE MATERIAL'!$A:$D,4))</f>
        <v>1.5</v>
      </c>
      <c r="H424" s="56">
        <f t="shared" si="43"/>
        <v>3.12</v>
      </c>
      <c r="I424" s="2"/>
      <c r="L424" s="2"/>
      <c r="M424" s="2"/>
      <c r="N424" s="39"/>
      <c r="O424" s="2"/>
      <c r="P424" s="2"/>
    </row>
    <row r="425" spans="1:16" x14ac:dyDescent="0.25">
      <c r="A425" s="103">
        <v>4001</v>
      </c>
      <c r="B425" s="38" t="str">
        <f>IF($A425=0,"",VLOOKUP($A425,'BASE MATERIAL'!$A:$D,2))</f>
        <v>CEMENTO</v>
      </c>
      <c r="C425" s="2"/>
      <c r="D425" s="77"/>
      <c r="E425" s="78" t="str">
        <f>IF($A425=0,"",VLOOKUP($A425,'BASE MATERIAL'!$A:$D,3))</f>
        <v>SACO</v>
      </c>
      <c r="F425" s="55">
        <f>8*1.03</f>
        <v>8.24</v>
      </c>
      <c r="G425" s="55">
        <f>IF($A425=0,"",VLOOKUP($A425,'BASE MATERIAL'!$A:$D,4))</f>
        <v>7.09</v>
      </c>
      <c r="H425" s="56">
        <f t="shared" si="43"/>
        <v>58.42</v>
      </c>
      <c r="I425" s="2"/>
      <c r="L425" s="2"/>
      <c r="M425" s="2"/>
      <c r="N425" s="39"/>
      <c r="O425" s="2"/>
      <c r="P425" s="2"/>
    </row>
    <row r="426" spans="1:16" x14ac:dyDescent="0.25">
      <c r="A426" s="103">
        <v>5004</v>
      </c>
      <c r="B426" s="38" t="str">
        <f>IF($A426=0,"",VLOOKUP($A426,'BASE MATERIAL'!$A:$D,2))</f>
        <v>ARENA</v>
      </c>
      <c r="C426" s="2"/>
      <c r="D426" s="77"/>
      <c r="E426" s="78" t="str">
        <f>IF($A426=0,"",VLOOKUP($A426,'BASE MATERIAL'!$A:$D,3))</f>
        <v>M3</v>
      </c>
      <c r="F426" s="55">
        <f>ROUND(F425*0.032*2,2)</f>
        <v>0.53</v>
      </c>
      <c r="G426" s="55">
        <f>IF($A426=0,"",VLOOKUP($A426,'BASE MATERIAL'!$A:$D,4))</f>
        <v>12.276249999999999</v>
      </c>
      <c r="H426" s="56">
        <f t="shared" si="43"/>
        <v>6.51</v>
      </c>
      <c r="I426" s="2"/>
    </row>
    <row r="427" spans="1:16" x14ac:dyDescent="0.25">
      <c r="A427" s="103">
        <v>5002</v>
      </c>
      <c r="B427" s="38" t="str">
        <f>IF($A427=0,"",VLOOKUP($A427,'BASE MATERIAL'!$A:$D,2))</f>
        <v>PIEDRA 3-4</v>
      </c>
      <c r="C427" s="2"/>
      <c r="D427" s="77"/>
      <c r="E427" s="78" t="str">
        <f>IF($A427=0,"",VLOOKUP($A427,'BASE MATERIAL'!$A:$D,3))</f>
        <v>M3</v>
      </c>
      <c r="F427" s="55">
        <f>ROUND(F425*0.032*3,2)</f>
        <v>0.79</v>
      </c>
      <c r="G427" s="55">
        <f>IF($A427=0,"",VLOOKUP($A427,'BASE MATERIAL'!$A:$D,4))</f>
        <v>13.75</v>
      </c>
      <c r="H427" s="56">
        <f t="shared" si="43"/>
        <v>10.86</v>
      </c>
      <c r="I427" s="2"/>
      <c r="L427" s="2"/>
      <c r="M427" s="2"/>
      <c r="N427" s="39"/>
      <c r="O427" s="2"/>
      <c r="P427" s="2"/>
    </row>
    <row r="428" spans="1:16" x14ac:dyDescent="0.25">
      <c r="A428" s="103">
        <v>5005</v>
      </c>
      <c r="B428" s="38" t="str">
        <f>IF($A428=0,"",VLOOKUP($A428,'BASE MATERIAL'!$A:$D,2))</f>
        <v>AGUA</v>
      </c>
      <c r="C428" s="2"/>
      <c r="D428" s="77"/>
      <c r="E428" s="78" t="str">
        <f>IF($A428=0,"",VLOOKUP($A428,'BASE MATERIAL'!$A:$D,3))</f>
        <v>LT</v>
      </c>
      <c r="F428" s="55">
        <f>26*F425</f>
        <v>214.24</v>
      </c>
      <c r="G428" s="112">
        <f>IF($A428=0,"",VLOOKUP($A428,'BASE MATERIAL'!$A:$D,4))</f>
        <v>2E-3</v>
      </c>
      <c r="H428" s="56">
        <f t="shared" si="43"/>
        <v>0.43</v>
      </c>
      <c r="I428" s="2"/>
      <c r="L428" s="2"/>
      <c r="M428" s="2"/>
      <c r="N428" s="39"/>
      <c r="O428" s="2"/>
      <c r="P428" s="2"/>
    </row>
    <row r="429" spans="1:16" x14ac:dyDescent="0.25">
      <c r="B429" s="38" t="str">
        <f>IF($A429=0,"",VLOOKUP($A429,'BASE MATERIAL'!$A:$D,2))</f>
        <v/>
      </c>
      <c r="C429" s="2"/>
      <c r="D429" s="77"/>
      <c r="E429" s="78" t="str">
        <f>IF($A429=0,"",VLOOKUP($A429,'BASE MATERIAL'!$A:$D,3))</f>
        <v/>
      </c>
      <c r="F429" s="55"/>
      <c r="G429" s="55" t="str">
        <f>IF($A429=0,"",VLOOKUP($A429,'BASE MATERIAL'!$A:$D,4))</f>
        <v/>
      </c>
      <c r="H429" s="56" t="str">
        <f t="shared" si="43"/>
        <v/>
      </c>
      <c r="I429" s="2"/>
      <c r="L429" s="2"/>
      <c r="M429" s="2"/>
      <c r="N429" s="39"/>
      <c r="O429" s="2"/>
      <c r="P429" s="2"/>
    </row>
    <row r="430" spans="1:16" x14ac:dyDescent="0.25">
      <c r="A430" s="103">
        <v>1001</v>
      </c>
      <c r="B430" s="38" t="str">
        <f>IF($A430=0,"",VLOOKUP($A430,'BASE MATERIAL'!$A:$D,2))</f>
        <v>HIERRO</v>
      </c>
      <c r="C430" s="2"/>
      <c r="D430" s="77"/>
      <c r="E430" s="78" t="str">
        <f>IF($A430=0,"",VLOOKUP($A430,'BASE MATERIAL'!$A:$D,3))</f>
        <v>KG</v>
      </c>
      <c r="F430" s="55">
        <v>160</v>
      </c>
      <c r="G430" s="55">
        <f>IF($A430=0,"",VLOOKUP($A430,'BASE MATERIAL'!$A:$D,4))</f>
        <v>1.17</v>
      </c>
      <c r="H430" s="56">
        <f t="shared" si="43"/>
        <v>187.2</v>
      </c>
      <c r="I430" s="2"/>
      <c r="L430" s="2"/>
      <c r="M430" s="2"/>
      <c r="N430" s="39"/>
      <c r="O430" s="2"/>
      <c r="P430" s="2"/>
    </row>
    <row r="431" spans="1:16" x14ac:dyDescent="0.25">
      <c r="A431" s="103">
        <v>11002</v>
      </c>
      <c r="B431" s="38" t="str">
        <f>IF($A431=0,"",VLOOKUP($A431,'BASE MATERIAL'!$A:$D,2))</f>
        <v>ALAMBRE #18 RECOCIDO</v>
      </c>
      <c r="C431" s="2"/>
      <c r="D431" s="77"/>
      <c r="E431" s="78" t="str">
        <f>IF($A431=0,"",VLOOKUP($A431,'BASE MATERIAL'!$A:$D,3))</f>
        <v>KG</v>
      </c>
      <c r="F431" s="55">
        <f>+F430*0.03</f>
        <v>4.8</v>
      </c>
      <c r="G431" s="55">
        <f>IF($A431=0,"",VLOOKUP($A431,'BASE MATERIAL'!$A:$D,4))</f>
        <v>1.87</v>
      </c>
      <c r="H431" s="56">
        <f t="shared" si="43"/>
        <v>8.98</v>
      </c>
      <c r="I431" s="2"/>
      <c r="L431" s="2"/>
      <c r="M431" s="2"/>
      <c r="N431" s="39"/>
      <c r="O431" s="2"/>
      <c r="P431" s="2"/>
    </row>
    <row r="432" spans="1:16" x14ac:dyDescent="0.25">
      <c r="B432" s="38" t="str">
        <f>IF($A432=0,"",VLOOKUP($A432,'BASE MATERIAL'!$A:$D,2))</f>
        <v/>
      </c>
      <c r="C432" s="2"/>
      <c r="D432" s="77"/>
      <c r="E432" s="78" t="str">
        <f>IF($A432=0,"",VLOOKUP($A432,'BASE MATERIAL'!$A:$D,3))</f>
        <v/>
      </c>
      <c r="F432" s="55"/>
      <c r="G432" s="55" t="str">
        <f>IF($A432=0,"",VLOOKUP($A432,'BASE MATERIAL'!$A:$D,4))</f>
        <v/>
      </c>
      <c r="H432" s="56" t="str">
        <f t="shared" si="43"/>
        <v/>
      </c>
      <c r="I432" s="2"/>
    </row>
    <row r="433" spans="1:11" x14ac:dyDescent="0.25">
      <c r="B433" s="38" t="str">
        <f>IF($A433=0,"",VLOOKUP($A433,'BASE MATERIAL'!$A:$D,2))</f>
        <v/>
      </c>
      <c r="C433" s="2"/>
      <c r="D433" s="77"/>
      <c r="E433" s="78" t="str">
        <f>IF($A433=0,"",VLOOKUP($A433,'BASE MATERIAL'!$A:$D,3))</f>
        <v/>
      </c>
      <c r="F433" s="55"/>
      <c r="G433" s="55" t="str">
        <f>IF($A433=0,"",VLOOKUP($A433,'BASE MATERIAL'!$A:$D,4))</f>
        <v/>
      </c>
      <c r="H433" s="56" t="str">
        <f t="shared" si="43"/>
        <v/>
      </c>
      <c r="I433" s="2"/>
    </row>
    <row r="434" spans="1:11" x14ac:dyDescent="0.25">
      <c r="B434" s="38" t="str">
        <f>IF($A434=0,"",VLOOKUP($A434,'BASE MATERIAL'!$A:$D,2))</f>
        <v/>
      </c>
      <c r="C434" s="2"/>
      <c r="D434" s="77"/>
      <c r="E434" s="78" t="str">
        <f>IF($A434=0,"",VLOOKUP($A434,'BASE MATERIAL'!$A:$D,3))</f>
        <v/>
      </c>
      <c r="F434" s="55"/>
      <c r="G434" s="55" t="str">
        <f>IF($A434=0,"",VLOOKUP($A434,'BASE MATERIAL'!$A:$D,4))</f>
        <v/>
      </c>
      <c r="H434" s="56" t="str">
        <f t="shared" si="43"/>
        <v/>
      </c>
      <c r="I434" s="2"/>
    </row>
    <row r="435" spans="1:11" x14ac:dyDescent="0.25">
      <c r="B435" s="38" t="str">
        <f>IF($A435=0,"",VLOOKUP($A435,'BASE MATERIAL'!$A:$D,2))</f>
        <v/>
      </c>
      <c r="C435" s="2"/>
      <c r="D435" s="77"/>
      <c r="E435" s="78" t="str">
        <f>IF($A435=0,"",VLOOKUP($A435,'BASE MATERIAL'!$A:$D,3))</f>
        <v/>
      </c>
      <c r="F435" s="55"/>
      <c r="G435" s="55" t="str">
        <f>IF($A435=0,"",VLOOKUP($A435,'BASE MATERIAL'!$A:$D,4))</f>
        <v/>
      </c>
      <c r="H435" s="56" t="str">
        <f t="shared" si="43"/>
        <v/>
      </c>
      <c r="I435" s="2"/>
    </row>
    <row r="436" spans="1:11" x14ac:dyDescent="0.25">
      <c r="B436" s="38" t="str">
        <f>IF($A436=0,"",VLOOKUP($A436,'BASE MATERIAL'!$A:$D,2))</f>
        <v/>
      </c>
      <c r="C436" s="2"/>
      <c r="D436" s="81" t="s">
        <v>1682</v>
      </c>
      <c r="E436" s="55" t="str">
        <f>IF($A436=0,"",VLOOKUP($A436,'BASE MATERIAL'!$A:$D,3))</f>
        <v/>
      </c>
      <c r="F436" s="55" t="s">
        <v>1682</v>
      </c>
      <c r="G436" s="55" t="str">
        <f>IF($A436=0,"",VLOOKUP($A436,'BASE MATERIAL'!$A:$D,4))</f>
        <v/>
      </c>
      <c r="H436" s="56" t="str">
        <f>IF($A436=0,"",ROUND(E436*F436,2))</f>
        <v/>
      </c>
      <c r="I436" s="2"/>
    </row>
    <row r="437" spans="1:11" x14ac:dyDescent="0.25">
      <c r="B437" s="73" t="s">
        <v>1681</v>
      </c>
      <c r="C437" s="65"/>
      <c r="D437" s="74"/>
      <c r="E437" s="74"/>
      <c r="F437" s="74"/>
      <c r="G437" s="74"/>
      <c r="H437" s="75">
        <f>ROUND(SUM(H420:H436),2)</f>
        <v>298.18</v>
      </c>
      <c r="I437" s="2"/>
    </row>
    <row r="438" spans="1:11" x14ac:dyDescent="0.25">
      <c r="B438" s="38" t="s">
        <v>1680</v>
      </c>
      <c r="C438" s="2"/>
      <c r="D438" s="3"/>
      <c r="E438" s="3"/>
      <c r="F438" s="3"/>
      <c r="G438" s="3"/>
      <c r="H438" s="56"/>
      <c r="I438" s="2"/>
    </row>
    <row r="439" spans="1:11" ht="25.5" x14ac:dyDescent="0.25">
      <c r="B439" s="64" t="s">
        <v>1409</v>
      </c>
      <c r="C439" s="65"/>
      <c r="D439" s="76"/>
      <c r="E439" s="66" t="s">
        <v>1408</v>
      </c>
      <c r="F439" s="66" t="s">
        <v>1679</v>
      </c>
      <c r="G439" s="66" t="s">
        <v>1676</v>
      </c>
      <c r="H439" s="68" t="s">
        <v>1675</v>
      </c>
      <c r="I439" s="2"/>
    </row>
    <row r="440" spans="1:11" x14ac:dyDescent="0.25">
      <c r="A440" s="103">
        <v>19019</v>
      </c>
      <c r="B440" s="51" t="str">
        <f>IF($A440=0,"",VLOOKUP($A440,'BASE EQUIPO'!$A:$D,2))</f>
        <v>TRANSPORTE DE MATERIAL</v>
      </c>
      <c r="C440" s="52"/>
      <c r="D440" s="82"/>
      <c r="E440" s="78" t="str">
        <f>IF($A440=0,"",VLOOKUP($A440,'BASE EQUIPO'!$A:$D,3))</f>
        <v>GLOBAL</v>
      </c>
      <c r="F440" s="55">
        <v>1</v>
      </c>
      <c r="G440" s="83">
        <f>IF($A440=0,"",VLOOKUP($A440,'BASE EQUIPO'!$A:$D,4)*H437)</f>
        <v>8.9453999999999994</v>
      </c>
      <c r="H440" s="56">
        <f>IF($A440=0,"",ROUND(F440*G440,2))</f>
        <v>8.9499999999999993</v>
      </c>
      <c r="I440" s="2"/>
    </row>
    <row r="441" spans="1:11" x14ac:dyDescent="0.25">
      <c r="B441" s="38" t="str">
        <f>IF($A441=0,"",VLOOKUP($A441,'BASE EQUIPO'!$A:$D,2))</f>
        <v/>
      </c>
      <c r="C441" s="2"/>
      <c r="D441" s="84"/>
      <c r="E441" s="78" t="str">
        <f>IF($A441=0,"",VLOOKUP($A441,'BASE EQUIPO'!$A:$D,3))</f>
        <v/>
      </c>
      <c r="F441" s="55"/>
      <c r="G441" s="55" t="str">
        <f>IF($A441=0,"",VLOOKUP($A441,'BASE EQUIPO'!$A:$D,4)*H438)</f>
        <v/>
      </c>
      <c r="H441" s="56" t="str">
        <f>IF($A441=0,"",ROUND(F441*G441,2))</f>
        <v/>
      </c>
      <c r="I441" s="2"/>
    </row>
    <row r="442" spans="1:11" x14ac:dyDescent="0.25">
      <c r="B442" s="57" t="str">
        <f>IF($A442=0,"",VLOOKUP($A442,'BASE EQUIPO'!$A:$D,2))</f>
        <v/>
      </c>
      <c r="C442" s="58"/>
      <c r="D442" s="85"/>
      <c r="E442" s="86" t="str">
        <f>IF($A442=0,"",VLOOKUP($A442,'BASE EQUIPO'!$A:$D,3))</f>
        <v/>
      </c>
      <c r="F442" s="59"/>
      <c r="G442" s="59" t="str">
        <f>IF($A442=0,"",VLOOKUP($A442,'BASE EQUIPO'!$A:$D,4)*H439)</f>
        <v/>
      </c>
      <c r="H442" s="60" t="str">
        <f>IF($A442=0,"",ROUND(F442*G442,2))</f>
        <v/>
      </c>
      <c r="I442" s="2"/>
    </row>
    <row r="443" spans="1:11" ht="15.75" thickBot="1" x14ac:dyDescent="0.3">
      <c r="B443" s="87" t="s">
        <v>1674</v>
      </c>
      <c r="C443" s="88"/>
      <c r="D443" s="89"/>
      <c r="E443" s="89"/>
      <c r="F443" s="89"/>
      <c r="G443" s="89"/>
      <c r="H443" s="90">
        <f>ROUND(SUM(H439:H442),2)</f>
        <v>8.9499999999999993</v>
      </c>
      <c r="I443" s="2"/>
    </row>
    <row r="444" spans="1:11" ht="15.75" x14ac:dyDescent="0.25">
      <c r="B444" s="2"/>
      <c r="C444" s="2"/>
      <c r="D444" s="91" t="s">
        <v>1673</v>
      </c>
      <c r="E444" s="47"/>
      <c r="F444" s="47"/>
      <c r="G444" s="47"/>
      <c r="H444" s="92">
        <f>ROUND(SUM(H443,H437,H418,H408),2)</f>
        <v>442.28</v>
      </c>
      <c r="I444" s="2"/>
      <c r="K444" s="1">
        <v>195.67</v>
      </c>
    </row>
    <row r="445" spans="1:11" ht="15.75" x14ac:dyDescent="0.25">
      <c r="A445" s="103">
        <v>40002</v>
      </c>
      <c r="B445" s="2"/>
      <c r="C445" s="2"/>
      <c r="D445" s="93" t="s">
        <v>1672</v>
      </c>
      <c r="E445" s="65"/>
      <c r="F445" s="65"/>
      <c r="G445" s="94">
        <f>IF($A445=0,"",VLOOKUP($A445,'BASE MATERIAL'!$M:$P,4))</f>
        <v>0</v>
      </c>
      <c r="H445" s="95">
        <f>IF($A445=0,"",ROUND(G445*H444,2))</f>
        <v>0</v>
      </c>
      <c r="I445" s="2"/>
    </row>
    <row r="446" spans="1:11" ht="15.75" x14ac:dyDescent="0.25">
      <c r="A446" s="103">
        <v>40003</v>
      </c>
      <c r="B446" s="2"/>
      <c r="C446" s="2"/>
      <c r="D446" s="93" t="s">
        <v>1671</v>
      </c>
      <c r="E446" s="65"/>
      <c r="F446" s="65"/>
      <c r="G446" s="94">
        <f>IF($A446=0,"",VLOOKUP($A446,'BASE MATERIAL'!$M:$P,4))</f>
        <v>0</v>
      </c>
      <c r="H446" s="95">
        <f>IF($A446=0,"",ROUND(G446*H444,2))</f>
        <v>0</v>
      </c>
      <c r="I446" s="2"/>
    </row>
    <row r="447" spans="1:11" ht="15.75" x14ac:dyDescent="0.25">
      <c r="B447" s="2"/>
      <c r="C447" s="2"/>
      <c r="D447" s="93" t="s">
        <v>1670</v>
      </c>
      <c r="E447" s="65"/>
      <c r="F447" s="65"/>
      <c r="G447" s="65"/>
      <c r="H447" s="96">
        <f>ROUND(SUM(H444:H446),2)</f>
        <v>442.28</v>
      </c>
      <c r="I447" s="2"/>
    </row>
    <row r="448" spans="1:11" ht="16.5" thickBot="1" x14ac:dyDescent="0.3">
      <c r="B448" s="25"/>
      <c r="C448" s="2"/>
      <c r="D448" s="97" t="s">
        <v>1650</v>
      </c>
      <c r="E448" s="88"/>
      <c r="F448" s="88"/>
      <c r="G448" s="88"/>
      <c r="H448" s="98">
        <f>ROUND(H447,2)</f>
        <v>442.28</v>
      </c>
      <c r="I448" s="2"/>
    </row>
    <row r="449" spans="1:15" ht="15.75" x14ac:dyDescent="0.25">
      <c r="B449" s="34" t="s">
        <v>1701</v>
      </c>
      <c r="C449" s="2"/>
      <c r="D449" s="3" t="str">
        <f>$D$1</f>
        <v>ESPOL</v>
      </c>
      <c r="E449" s="2"/>
      <c r="F449" s="2"/>
      <c r="H449" s="2" t="s">
        <v>108</v>
      </c>
      <c r="I449" s="2"/>
      <c r="L449" s="40">
        <f>A453</f>
        <v>6</v>
      </c>
      <c r="M449" s="1" t="str">
        <f>C454</f>
        <v>Vigas de cubierta ( 15 x 30)</v>
      </c>
      <c r="N449" s="2" t="str">
        <f>H453</f>
        <v>m3</v>
      </c>
      <c r="O449" s="2">
        <f>H504</f>
        <v>534.58000000000004</v>
      </c>
    </row>
    <row r="450" spans="1:15" ht="15.75" x14ac:dyDescent="0.25">
      <c r="B450" s="34" t="s">
        <v>1700</v>
      </c>
      <c r="C450" s="3">
        <f>'1.1'!$C$2</f>
        <v>0</v>
      </c>
      <c r="D450" s="2"/>
      <c r="E450" s="2"/>
      <c r="F450" s="2"/>
      <c r="G450" s="41" t="s">
        <v>1699</v>
      </c>
      <c r="H450" s="42"/>
      <c r="I450" s="2" t="s">
        <v>1698</v>
      </c>
    </row>
    <row r="451" spans="1:15" ht="15.75" x14ac:dyDescent="0.25">
      <c r="B451" s="34"/>
      <c r="C451" s="3">
        <f>'1.1'!$C$3</f>
        <v>0</v>
      </c>
      <c r="D451" s="2"/>
      <c r="E451" s="2"/>
      <c r="F451" s="2"/>
      <c r="G451" s="2"/>
      <c r="H451" s="2"/>
      <c r="I451" s="2"/>
    </row>
    <row r="452" spans="1:15" ht="15.75" x14ac:dyDescent="0.25">
      <c r="B452" s="34" t="s">
        <v>1697</v>
      </c>
      <c r="C452" s="3"/>
      <c r="D452" s="2"/>
      <c r="E452" s="2"/>
      <c r="F452" s="2"/>
      <c r="G452" s="2"/>
      <c r="H452" s="2"/>
      <c r="I452" s="2"/>
    </row>
    <row r="453" spans="1:15" x14ac:dyDescent="0.25">
      <c r="A453" s="104">
        <v>6</v>
      </c>
      <c r="B453" s="2" t="s">
        <v>1586</v>
      </c>
      <c r="C453" s="36" t="s">
        <v>1558</v>
      </c>
      <c r="D453" s="2"/>
      <c r="G453" s="2" t="s">
        <v>1696</v>
      </c>
      <c r="H453" s="3" t="s">
        <v>1521</v>
      </c>
      <c r="I453" s="2"/>
    </row>
    <row r="454" spans="1:15" x14ac:dyDescent="0.25">
      <c r="B454" s="1" t="s">
        <v>1585</v>
      </c>
      <c r="C454" s="36" t="s">
        <v>1390</v>
      </c>
      <c r="D454" s="2"/>
      <c r="E454" s="2"/>
      <c r="F454" s="2"/>
      <c r="G454" s="2"/>
      <c r="H454" s="2"/>
      <c r="I454" s="2"/>
    </row>
    <row r="455" spans="1:15" ht="15.75" thickBot="1" x14ac:dyDescent="0.3">
      <c r="D455" s="2"/>
      <c r="E455" s="2"/>
      <c r="F455" s="2"/>
      <c r="G455" s="2"/>
      <c r="H455" s="2"/>
      <c r="I455" s="2"/>
    </row>
    <row r="456" spans="1:15" ht="15.75" thickBot="1" x14ac:dyDescent="0.3">
      <c r="B456" s="43" t="s">
        <v>1695</v>
      </c>
      <c r="C456" s="44"/>
      <c r="D456" s="44"/>
      <c r="E456" s="44"/>
      <c r="F456" s="44"/>
      <c r="G456" s="44"/>
      <c r="H456" s="45"/>
      <c r="I456" s="2"/>
    </row>
    <row r="457" spans="1:15" ht="25.5" x14ac:dyDescent="0.25">
      <c r="B457" s="46" t="s">
        <v>1409</v>
      </c>
      <c r="C457" s="47"/>
      <c r="D457" s="48" t="s">
        <v>1690</v>
      </c>
      <c r="E457" s="48" t="s">
        <v>1694</v>
      </c>
      <c r="F457" s="48" t="s">
        <v>1693</v>
      </c>
      <c r="G457" s="49" t="s">
        <v>1687</v>
      </c>
      <c r="H457" s="50" t="s">
        <v>1686</v>
      </c>
      <c r="I457" s="2"/>
    </row>
    <row r="458" spans="1:15" x14ac:dyDescent="0.25">
      <c r="A458" s="103">
        <v>19015</v>
      </c>
      <c r="B458" s="51" t="str">
        <f>IF($A458=0,"",VLOOKUP($A458,'BASE EQUIPO'!$A:$D,2))</f>
        <v>HERRAMIENTA MENOR</v>
      </c>
      <c r="C458" s="52"/>
      <c r="D458" s="53">
        <v>1</v>
      </c>
      <c r="E458" s="53">
        <f>IF($A458=0,"",VLOOKUP($A458,'BASE EQUIPO'!$A:$D,4)*H474)</f>
        <v>4.6623000000000001</v>
      </c>
      <c r="F458" s="53">
        <f t="shared" ref="F458:F463" si="44">IF($A458=0,"",ROUND(D458*E458,2))</f>
        <v>4.66</v>
      </c>
      <c r="G458" s="105">
        <v>1</v>
      </c>
      <c r="H458" s="54">
        <f t="shared" ref="H458:H463" si="45">IF($A458=0,"",ROUND(G458*F458,2))</f>
        <v>4.66</v>
      </c>
      <c r="I458" s="2"/>
    </row>
    <row r="459" spans="1:15" x14ac:dyDescent="0.25">
      <c r="A459" s="103">
        <v>19003</v>
      </c>
      <c r="B459" s="38" t="str">
        <f>IF($A459=0,"",VLOOKUP($A459,'BASE EQUIPO'!$A:$D,2))</f>
        <v>CONCRETERA</v>
      </c>
      <c r="C459" s="2"/>
      <c r="D459" s="55">
        <v>1</v>
      </c>
      <c r="E459" s="55">
        <f>IF($A459=0,"",VLOOKUP($A459,'BASE EQUIPO'!$A:$D,4))</f>
        <v>3.5</v>
      </c>
      <c r="F459" s="55">
        <f t="shared" si="44"/>
        <v>3.5</v>
      </c>
      <c r="G459" s="106">
        <f>+G468*0.5</f>
        <v>0.45</v>
      </c>
      <c r="H459" s="56">
        <f t="shared" si="45"/>
        <v>1.58</v>
      </c>
      <c r="I459" s="2"/>
    </row>
    <row r="460" spans="1:15" x14ac:dyDescent="0.25">
      <c r="A460" s="103">
        <v>19008</v>
      </c>
      <c r="B460" s="38" t="str">
        <f>IF($A460=0,"",VLOOKUP($A460,'BASE EQUIPO'!$A:$D,2))</f>
        <v>VIBRADOR</v>
      </c>
      <c r="C460" s="2"/>
      <c r="D460" s="55">
        <v>1</v>
      </c>
      <c r="E460" s="55">
        <f>IF($A460=0,"",VLOOKUP($A460,'BASE EQUIPO'!$A:$D,4))</f>
        <v>2.5</v>
      </c>
      <c r="F460" s="55">
        <f t="shared" si="44"/>
        <v>2.5</v>
      </c>
      <c r="G460" s="106">
        <f>+G469*0.5</f>
        <v>0.45</v>
      </c>
      <c r="H460" s="56">
        <f t="shared" si="45"/>
        <v>1.1299999999999999</v>
      </c>
      <c r="I460" s="2"/>
    </row>
    <row r="461" spans="1:15" x14ac:dyDescent="0.25">
      <c r="B461" s="38" t="str">
        <f>IF($A461=0,"",VLOOKUP($A461,'BASE EQUIPO'!$A:$D,2))</f>
        <v/>
      </c>
      <c r="C461" s="2"/>
      <c r="D461" s="55"/>
      <c r="E461" s="55" t="str">
        <f>IF($A461=0,"",VLOOKUP($A461,'BASE EQUIPO'!$A:$D,4))</f>
        <v/>
      </c>
      <c r="F461" s="55" t="str">
        <f t="shared" si="44"/>
        <v/>
      </c>
      <c r="G461" s="106"/>
      <c r="H461" s="56" t="str">
        <f t="shared" si="45"/>
        <v/>
      </c>
      <c r="I461" s="2"/>
    </row>
    <row r="462" spans="1:15" x14ac:dyDescent="0.25">
      <c r="B462" s="38" t="str">
        <f>IF($A462=0,"",VLOOKUP($A462,'BASE EQUIPO'!$A:$D,2))</f>
        <v/>
      </c>
      <c r="C462" s="2"/>
      <c r="D462" s="55"/>
      <c r="E462" s="55" t="str">
        <f>IF($A462=0,"",VLOOKUP($A462,'BASE EQUIPO'!$A:$D,4))</f>
        <v/>
      </c>
      <c r="F462" s="55" t="str">
        <f t="shared" si="44"/>
        <v/>
      </c>
      <c r="G462" s="106"/>
      <c r="H462" s="56" t="str">
        <f t="shared" si="45"/>
        <v/>
      </c>
      <c r="I462" s="2"/>
    </row>
    <row r="463" spans="1:15" x14ac:dyDescent="0.25">
      <c r="B463" s="57" t="str">
        <f>IF($A463=0,"",VLOOKUP($A463,'BASE EQUIPO'!$A:$D,2))</f>
        <v/>
      </c>
      <c r="C463" s="58"/>
      <c r="D463" s="59"/>
      <c r="E463" s="59" t="str">
        <f>IF($A463=0,"",VLOOKUP($A463,'BASE EQUIPO'!$A:$D,4))</f>
        <v/>
      </c>
      <c r="F463" s="59" t="str">
        <f t="shared" si="44"/>
        <v/>
      </c>
      <c r="G463" s="107"/>
      <c r="H463" s="60" t="str">
        <f t="shared" si="45"/>
        <v/>
      </c>
      <c r="I463" s="2"/>
    </row>
    <row r="464" spans="1:15" x14ac:dyDescent="0.25">
      <c r="B464" s="57" t="s">
        <v>1692</v>
      </c>
      <c r="C464" s="58"/>
      <c r="D464" s="61"/>
      <c r="E464" s="61"/>
      <c r="F464" s="61"/>
      <c r="G464" s="62"/>
      <c r="H464" s="60">
        <f>ROUND(SUM(H457:H463),2)</f>
        <v>7.37</v>
      </c>
      <c r="I464" s="2"/>
    </row>
    <row r="465" spans="1:16" x14ac:dyDescent="0.25">
      <c r="B465" s="38" t="s">
        <v>1503</v>
      </c>
      <c r="C465" s="2"/>
      <c r="D465" s="3"/>
      <c r="E465" s="3"/>
      <c r="F465" s="3"/>
      <c r="G465" s="63"/>
      <c r="H465" s="56"/>
      <c r="I465" s="2"/>
    </row>
    <row r="466" spans="1:16" ht="25.5" x14ac:dyDescent="0.25">
      <c r="B466" s="64" t="s">
        <v>1691</v>
      </c>
      <c r="C466" s="65"/>
      <c r="D466" s="66" t="s">
        <v>1690</v>
      </c>
      <c r="E466" s="66" t="s">
        <v>1689</v>
      </c>
      <c r="F466" s="66" t="s">
        <v>1688</v>
      </c>
      <c r="G466" s="67" t="s">
        <v>1687</v>
      </c>
      <c r="H466" s="68" t="s">
        <v>1686</v>
      </c>
      <c r="I466" s="2"/>
    </row>
    <row r="467" spans="1:16" x14ac:dyDescent="0.25">
      <c r="A467" s="103">
        <v>20001</v>
      </c>
      <c r="B467" s="69" t="str">
        <f>IF($A467=0,"",VLOOKUP($A467,'BASE M-OBRA'!$A:$D,2))</f>
        <v>MAESTRO</v>
      </c>
      <c r="C467" s="2"/>
      <c r="D467" s="108">
        <v>1</v>
      </c>
      <c r="E467" s="70">
        <f>IF($A467=0,"",VLOOKUP($A467,'BASE M-OBRA'!$A:$D,4))</f>
        <v>3.02</v>
      </c>
      <c r="F467" s="55">
        <f t="shared" ref="F467:F473" si="46">IF($A467=0,"",ROUND(D467*E467,2))</f>
        <v>3.02</v>
      </c>
      <c r="G467" s="106">
        <f>IF($A467=0,"",ROUND(H467/F467,2))</f>
        <v>8.58</v>
      </c>
      <c r="H467" s="56">
        <f>IF($A467=0,"",ROUND(SUM(H468:H473)*'BASE M-OBRA'!$D$23,2))</f>
        <v>25.9</v>
      </c>
      <c r="I467" s="2"/>
    </row>
    <row r="468" spans="1:16" x14ac:dyDescent="0.25">
      <c r="A468" s="103">
        <v>20002</v>
      </c>
      <c r="B468" s="69" t="str">
        <f>IF($A468=0,"",VLOOKUP($A468,'BASE M-OBRA'!$A:$D,2))</f>
        <v>PEON</v>
      </c>
      <c r="C468" s="2"/>
      <c r="D468" s="108">
        <v>8</v>
      </c>
      <c r="E468" s="70">
        <f>IF($A468=0,"",VLOOKUP($A468,'BASE M-OBRA'!$A:$D,4))</f>
        <v>2.79</v>
      </c>
      <c r="F468" s="55">
        <f t="shared" si="46"/>
        <v>22.32</v>
      </c>
      <c r="G468" s="106">
        <v>0.9</v>
      </c>
      <c r="H468" s="56">
        <f t="shared" ref="H468:H473" si="47">IF($A468=0,"",ROUND(G468*F468,2))</f>
        <v>20.09</v>
      </c>
      <c r="I468" s="2"/>
    </row>
    <row r="469" spans="1:16" x14ac:dyDescent="0.25">
      <c r="A469" s="103">
        <v>20003</v>
      </c>
      <c r="B469" s="69" t="str">
        <f>IF($A469=0,"",VLOOKUP($A469,'BASE M-OBRA'!$A:$D,2))</f>
        <v>ALBAÑIL</v>
      </c>
      <c r="C469" s="2"/>
      <c r="D469" s="108">
        <v>2</v>
      </c>
      <c r="E469" s="70">
        <f>IF($A469=0,"",VLOOKUP($A469,'BASE M-OBRA'!$A:$D,4))</f>
        <v>2.82</v>
      </c>
      <c r="F469" s="55">
        <f t="shared" si="46"/>
        <v>5.64</v>
      </c>
      <c r="G469" s="106">
        <f>+G468</f>
        <v>0.9</v>
      </c>
      <c r="H469" s="56">
        <f t="shared" si="47"/>
        <v>5.08</v>
      </c>
      <c r="I469" s="2"/>
    </row>
    <row r="470" spans="1:16" x14ac:dyDescent="0.25">
      <c r="A470" s="103">
        <v>20004</v>
      </c>
      <c r="B470" s="71" t="str">
        <f>IF($A470=0,"",VLOOKUP($A470,'BASE M-OBRA'!$A:$D,2))</f>
        <v>CARPINTERO</v>
      </c>
      <c r="C470" s="2"/>
      <c r="D470" s="108">
        <v>2</v>
      </c>
      <c r="E470" s="70">
        <f>IF($A470=0,"",VLOOKUP($A470,'BASE M-OBRA'!$A:$D,4))</f>
        <v>2.82</v>
      </c>
      <c r="F470" s="55">
        <f t="shared" si="46"/>
        <v>5.64</v>
      </c>
      <c r="G470" s="106">
        <v>9</v>
      </c>
      <c r="H470" s="56">
        <f t="shared" si="47"/>
        <v>50.76</v>
      </c>
      <c r="I470" s="2"/>
      <c r="K470" s="1">
        <f>K477*2.9</f>
        <v>48.333333333333336</v>
      </c>
    </row>
    <row r="471" spans="1:16" x14ac:dyDescent="0.25">
      <c r="A471" s="103">
        <v>20005</v>
      </c>
      <c r="B471" s="72" t="str">
        <f>IF($A471=0,"",VLOOKUP($A471,'BASE M-OBRA'!$A:$D,2))</f>
        <v>FIERRERO</v>
      </c>
      <c r="C471" s="2"/>
      <c r="D471" s="108">
        <v>2</v>
      </c>
      <c r="E471" s="70">
        <f>IF($A471=0,"",VLOOKUP($A471,'BASE M-OBRA'!$A:$D,4))</f>
        <v>2.82</v>
      </c>
      <c r="F471" s="55">
        <f t="shared" si="46"/>
        <v>5.64</v>
      </c>
      <c r="G471" s="106">
        <v>9.5</v>
      </c>
      <c r="H471" s="56">
        <f t="shared" si="47"/>
        <v>53.58</v>
      </c>
      <c r="I471" s="2"/>
      <c r="K471" s="1">
        <f>F486*0.3</f>
        <v>52.5</v>
      </c>
    </row>
    <row r="472" spans="1:16" x14ac:dyDescent="0.25">
      <c r="B472" s="38" t="str">
        <f>IF($A472=0,"",VLOOKUP($A472,'BASE M-OBRA'!$A:$D,2))</f>
        <v/>
      </c>
      <c r="C472" s="2"/>
      <c r="D472" s="55"/>
      <c r="E472" s="55" t="str">
        <f>IF($A472=0,"",VLOOKUP($A472,'BASE M-OBRA'!$A:$D,4))</f>
        <v/>
      </c>
      <c r="F472" s="55" t="str">
        <f t="shared" si="46"/>
        <v/>
      </c>
      <c r="G472" s="106"/>
      <c r="H472" s="56" t="str">
        <f t="shared" si="47"/>
        <v/>
      </c>
      <c r="I472" s="2"/>
    </row>
    <row r="473" spans="1:16" x14ac:dyDescent="0.25">
      <c r="B473" s="57" t="str">
        <f>IF($A473=0,"",VLOOKUP($A473,'BASE M-OBRA'!$A:$D,2))</f>
        <v/>
      </c>
      <c r="C473" s="58"/>
      <c r="D473" s="59"/>
      <c r="E473" s="59" t="str">
        <f>IF($A473=0,"",VLOOKUP($A473,'BASE M-OBRA'!$A:$D,4))</f>
        <v/>
      </c>
      <c r="F473" s="59" t="str">
        <f t="shared" si="46"/>
        <v/>
      </c>
      <c r="G473" s="107"/>
      <c r="H473" s="60" t="str">
        <f t="shared" si="47"/>
        <v/>
      </c>
      <c r="I473" s="2"/>
    </row>
    <row r="474" spans="1:16" x14ac:dyDescent="0.25">
      <c r="B474" s="73" t="s">
        <v>1685</v>
      </c>
      <c r="C474" s="65"/>
      <c r="D474" s="74"/>
      <c r="E474" s="74"/>
      <c r="F474" s="74"/>
      <c r="G474" s="74"/>
      <c r="H474" s="75">
        <f>ROUND(SUM(H466:H473),2)</f>
        <v>155.41</v>
      </c>
      <c r="I474" s="2"/>
      <c r="K474" s="1">
        <f>SUM(K470:K473)</f>
        <v>100.83333333333334</v>
      </c>
    </row>
    <row r="475" spans="1:16" x14ac:dyDescent="0.25">
      <c r="B475" s="38" t="s">
        <v>1684</v>
      </c>
      <c r="C475" s="2"/>
      <c r="D475" s="3"/>
      <c r="E475" s="3"/>
      <c r="F475" s="3"/>
      <c r="G475" s="3"/>
      <c r="H475" s="56"/>
      <c r="I475" s="2"/>
    </row>
    <row r="476" spans="1:16" ht="25.5" x14ac:dyDescent="0.25">
      <c r="B476" s="64" t="s">
        <v>1409</v>
      </c>
      <c r="C476" s="65"/>
      <c r="D476" s="76"/>
      <c r="E476" s="66" t="s">
        <v>1408</v>
      </c>
      <c r="F476" s="66" t="s">
        <v>1679</v>
      </c>
      <c r="G476" s="66" t="s">
        <v>1683</v>
      </c>
      <c r="H476" s="68" t="s">
        <v>1675</v>
      </c>
      <c r="I476" s="2"/>
    </row>
    <row r="477" spans="1:16" x14ac:dyDescent="0.25">
      <c r="A477" s="103">
        <v>11008</v>
      </c>
      <c r="B477" s="37" t="str">
        <f>IF($A477=0,"",VLOOKUP($A477,'BASE MATERIAL'!$A:$D,2))</f>
        <v>TABLA</v>
      </c>
      <c r="C477" s="2"/>
      <c r="D477" s="77"/>
      <c r="E477" s="78" t="str">
        <f>IF($A477=0,"",VLOOKUP($A477,'BASE MATERIAL'!$A:$D,3))</f>
        <v>U</v>
      </c>
      <c r="F477" s="55">
        <f>ROUND(17*5/(4*3),2)</f>
        <v>7.08</v>
      </c>
      <c r="G477" s="55">
        <f>IF($A477=0,"",VLOOKUP($A477,'BASE MATERIAL'!$A:$D,4))</f>
        <v>3.5</v>
      </c>
      <c r="H477" s="56">
        <f t="shared" ref="H477:H491" si="48">IF($A477=0,"",ROUND(F477*G477,2))</f>
        <v>24.78</v>
      </c>
      <c r="I477" s="2"/>
      <c r="K477" s="1">
        <f>(0.3*2+0.15*1)/(0.15*0.3)</f>
        <v>16.666666666666668</v>
      </c>
      <c r="L477" s="2"/>
      <c r="M477" s="2"/>
      <c r="N477" s="39"/>
      <c r="O477" s="2"/>
      <c r="P477" s="2"/>
    </row>
    <row r="478" spans="1:16" x14ac:dyDescent="0.25">
      <c r="A478" s="103">
        <v>11009</v>
      </c>
      <c r="B478" s="38" t="str">
        <f>IF($A478=0,"",VLOOKUP($A478,'BASE MATERIAL'!$A:$D,2))</f>
        <v>CUARTON</v>
      </c>
      <c r="C478" s="2"/>
      <c r="D478" s="77"/>
      <c r="E478" s="78" t="str">
        <f>IF($A478=0,"",VLOOKUP($A478,'BASE MATERIAL'!$A:$D,3))</f>
        <v>U</v>
      </c>
      <c r="F478" s="55">
        <f>ROUND(17*8/(4*3),2)</f>
        <v>11.33</v>
      </c>
      <c r="G478" s="55">
        <f>IF($A478=0,"",VLOOKUP($A478,'BASE MATERIAL'!$A:$D,4))</f>
        <v>2.42</v>
      </c>
      <c r="H478" s="56">
        <f t="shared" si="48"/>
        <v>27.42</v>
      </c>
      <c r="I478" s="2"/>
      <c r="L478" s="2"/>
      <c r="M478" s="2"/>
      <c r="N478" s="39"/>
      <c r="O478" s="2"/>
      <c r="P478" s="2"/>
    </row>
    <row r="479" spans="1:16" x14ac:dyDescent="0.25">
      <c r="A479" s="103">
        <v>11007</v>
      </c>
      <c r="B479" s="38" t="str">
        <f>IF($A479=0,"",VLOOKUP($A479,'BASE MATERIAL'!$A:$D,2))</f>
        <v>CLAVO 2 1/2"</v>
      </c>
      <c r="C479" s="2"/>
      <c r="D479" s="77"/>
      <c r="E479" s="78" t="str">
        <f>IF($A479=0,"",VLOOKUP($A479,'BASE MATERIAL'!$A:$D,3))</f>
        <v>KG</v>
      </c>
      <c r="F479" s="55">
        <f>ROUND(17*56/(178*1.5),2)</f>
        <v>3.57</v>
      </c>
      <c r="G479" s="55">
        <f>IF($A479=0,"",VLOOKUP($A479,'BASE MATERIAL'!$A:$D,4))</f>
        <v>2.6520000000000001</v>
      </c>
      <c r="H479" s="56">
        <f t="shared" si="48"/>
        <v>9.4700000000000006</v>
      </c>
      <c r="I479" s="2"/>
      <c r="L479" s="2"/>
      <c r="M479" s="2"/>
      <c r="N479" s="39"/>
      <c r="O479" s="2"/>
      <c r="P479" s="2"/>
    </row>
    <row r="480" spans="1:16" x14ac:dyDescent="0.25">
      <c r="A480" s="103">
        <v>11010</v>
      </c>
      <c r="B480" s="38" t="str">
        <f>IF($A480=0,"",VLOOKUP($A480,'BASE MATERIAL'!$A:$D,2))</f>
        <v>TIRA</v>
      </c>
      <c r="C480" s="2"/>
      <c r="D480" s="77"/>
      <c r="E480" s="78" t="str">
        <f>IF($A480=0,"",VLOOKUP($A480,'BASE MATERIAL'!$A:$D,3))</f>
        <v>U</v>
      </c>
      <c r="F480" s="55">
        <f>ROUND(17*4/(4*3),2)</f>
        <v>5.67</v>
      </c>
      <c r="G480" s="55">
        <f>IF($A480=0,"",VLOOKUP($A480,'BASE MATERIAL'!$A:$D,4))</f>
        <v>1.5</v>
      </c>
      <c r="H480" s="56">
        <f t="shared" si="48"/>
        <v>8.51</v>
      </c>
      <c r="I480" s="2"/>
      <c r="L480" s="2"/>
      <c r="M480" s="2"/>
      <c r="N480" s="39"/>
      <c r="O480" s="2"/>
      <c r="P480" s="2"/>
    </row>
    <row r="481" spans="1:16" x14ac:dyDescent="0.25">
      <c r="A481" s="103">
        <v>4001</v>
      </c>
      <c r="B481" s="38" t="str">
        <f>IF($A481=0,"",VLOOKUP($A481,'BASE MATERIAL'!$A:$D,2))</f>
        <v>CEMENTO</v>
      </c>
      <c r="C481" s="2"/>
      <c r="D481" s="77"/>
      <c r="E481" s="78" t="str">
        <f>IF($A481=0,"",VLOOKUP($A481,'BASE MATERIAL'!$A:$D,3))</f>
        <v>SACO</v>
      </c>
      <c r="F481" s="55">
        <f>8*1.03</f>
        <v>8.24</v>
      </c>
      <c r="G481" s="55">
        <f>IF($A481=0,"",VLOOKUP($A481,'BASE MATERIAL'!$A:$D,4))</f>
        <v>7.09</v>
      </c>
      <c r="H481" s="56">
        <f t="shared" si="48"/>
        <v>58.42</v>
      </c>
      <c r="I481" s="2"/>
      <c r="L481" s="2"/>
      <c r="M481" s="2"/>
      <c r="N481" s="39"/>
      <c r="O481" s="2"/>
      <c r="P481" s="2"/>
    </row>
    <row r="482" spans="1:16" x14ac:dyDescent="0.25">
      <c r="A482" s="103">
        <v>5004</v>
      </c>
      <c r="B482" s="38" t="str">
        <f>IF($A482=0,"",VLOOKUP($A482,'BASE MATERIAL'!$A:$D,2))</f>
        <v>ARENA</v>
      </c>
      <c r="C482" s="2"/>
      <c r="D482" s="77"/>
      <c r="E482" s="78" t="str">
        <f>IF($A482=0,"",VLOOKUP($A482,'BASE MATERIAL'!$A:$D,3))</f>
        <v>M3</v>
      </c>
      <c r="F482" s="55">
        <f>ROUND(F481*0.032*2,2)</f>
        <v>0.53</v>
      </c>
      <c r="G482" s="55">
        <f>IF($A482=0,"",VLOOKUP($A482,'BASE MATERIAL'!$A:$D,4))</f>
        <v>12.276249999999999</v>
      </c>
      <c r="H482" s="56">
        <f t="shared" si="48"/>
        <v>6.51</v>
      </c>
      <c r="I482" s="2"/>
    </row>
    <row r="483" spans="1:16" x14ac:dyDescent="0.25">
      <c r="A483" s="103">
        <v>5002</v>
      </c>
      <c r="B483" s="38" t="str">
        <f>IF($A483=0,"",VLOOKUP($A483,'BASE MATERIAL'!$A:$D,2))</f>
        <v>PIEDRA 3-4</v>
      </c>
      <c r="C483" s="2"/>
      <c r="D483" s="77"/>
      <c r="E483" s="78" t="str">
        <f>IF($A483=0,"",VLOOKUP($A483,'BASE MATERIAL'!$A:$D,3))</f>
        <v>M3</v>
      </c>
      <c r="F483" s="55">
        <f>ROUND(F481*0.032*3,2)</f>
        <v>0.79</v>
      </c>
      <c r="G483" s="55">
        <f>IF($A483=0,"",VLOOKUP($A483,'BASE MATERIAL'!$A:$D,4))</f>
        <v>13.75</v>
      </c>
      <c r="H483" s="56">
        <f t="shared" si="48"/>
        <v>10.86</v>
      </c>
      <c r="I483" s="2"/>
      <c r="L483" s="2"/>
      <c r="M483" s="2"/>
      <c r="N483" s="39"/>
      <c r="O483" s="2"/>
      <c r="P483" s="2"/>
    </row>
    <row r="484" spans="1:16" x14ac:dyDescent="0.25">
      <c r="A484" s="103">
        <v>5005</v>
      </c>
      <c r="B484" s="38" t="str">
        <f>IF($A484=0,"",VLOOKUP($A484,'BASE MATERIAL'!$A:$D,2))</f>
        <v>AGUA</v>
      </c>
      <c r="C484" s="2"/>
      <c r="D484" s="77"/>
      <c r="E484" s="78" t="str">
        <f>IF($A484=0,"",VLOOKUP($A484,'BASE MATERIAL'!$A:$D,3))</f>
        <v>LT</v>
      </c>
      <c r="F484" s="55">
        <f>26*F481</f>
        <v>214.24</v>
      </c>
      <c r="G484" s="112">
        <f>IF($A484=0,"",VLOOKUP($A484,'BASE MATERIAL'!$A:$D,4))</f>
        <v>2E-3</v>
      </c>
      <c r="H484" s="56">
        <f t="shared" si="48"/>
        <v>0.43</v>
      </c>
      <c r="I484" s="2"/>
      <c r="L484" s="2"/>
      <c r="M484" s="2"/>
      <c r="N484" s="39"/>
      <c r="O484" s="2"/>
      <c r="P484" s="2"/>
    </row>
    <row r="485" spans="1:16" x14ac:dyDescent="0.25">
      <c r="B485" s="38" t="str">
        <f>IF($A485=0,"",VLOOKUP($A485,'BASE MATERIAL'!$A:$D,2))</f>
        <v/>
      </c>
      <c r="C485" s="2"/>
      <c r="D485" s="77"/>
      <c r="E485" s="78" t="str">
        <f>IF($A485=0,"",VLOOKUP($A485,'BASE MATERIAL'!$A:$D,3))</f>
        <v/>
      </c>
      <c r="F485" s="55"/>
      <c r="G485" s="55" t="str">
        <f>IF($A485=0,"",VLOOKUP($A485,'BASE MATERIAL'!$A:$D,4))</f>
        <v/>
      </c>
      <c r="H485" s="56" t="str">
        <f t="shared" si="48"/>
        <v/>
      </c>
      <c r="I485" s="2"/>
      <c r="L485" s="2"/>
      <c r="M485" s="2"/>
      <c r="N485" s="39"/>
      <c r="O485" s="2"/>
      <c r="P485" s="2"/>
    </row>
    <row r="486" spans="1:16" x14ac:dyDescent="0.25">
      <c r="A486" s="103">
        <v>1001</v>
      </c>
      <c r="B486" s="38" t="str">
        <f>IF($A486=0,"",VLOOKUP($A486,'BASE MATERIAL'!$A:$D,2))</f>
        <v>HIERRO</v>
      </c>
      <c r="C486" s="2"/>
      <c r="D486" s="77"/>
      <c r="E486" s="78" t="str">
        <f>IF($A486=0,"",VLOOKUP($A486,'BASE MATERIAL'!$A:$D,3))</f>
        <v>KG</v>
      </c>
      <c r="F486" s="55">
        <v>175</v>
      </c>
      <c r="G486" s="55">
        <f>IF($A486=0,"",VLOOKUP($A486,'BASE MATERIAL'!$A:$D,4))</f>
        <v>1.17</v>
      </c>
      <c r="H486" s="56">
        <f t="shared" si="48"/>
        <v>204.75</v>
      </c>
      <c r="I486" s="2"/>
      <c r="L486" s="2"/>
      <c r="M486" s="2"/>
      <c r="N486" s="39"/>
      <c r="O486" s="2"/>
      <c r="P486" s="2"/>
    </row>
    <row r="487" spans="1:16" x14ac:dyDescent="0.25">
      <c r="A487" s="103">
        <v>11002</v>
      </c>
      <c r="B487" s="38" t="str">
        <f>IF($A487=0,"",VLOOKUP($A487,'BASE MATERIAL'!$A:$D,2))</f>
        <v>ALAMBRE #18 RECOCIDO</v>
      </c>
      <c r="C487" s="2"/>
      <c r="D487" s="77"/>
      <c r="E487" s="78" t="str">
        <f>IF($A487=0,"",VLOOKUP($A487,'BASE MATERIAL'!$A:$D,3))</f>
        <v>KG</v>
      </c>
      <c r="F487" s="55">
        <f>+F486*0.03</f>
        <v>5.25</v>
      </c>
      <c r="G487" s="55">
        <f>IF($A487=0,"",VLOOKUP($A487,'BASE MATERIAL'!$A:$D,4))</f>
        <v>1.87</v>
      </c>
      <c r="H487" s="56">
        <f t="shared" si="48"/>
        <v>9.82</v>
      </c>
      <c r="I487" s="2"/>
      <c r="L487" s="2"/>
      <c r="M487" s="2"/>
      <c r="N487" s="39"/>
      <c r="O487" s="2"/>
      <c r="P487" s="2"/>
    </row>
    <row r="488" spans="1:16" x14ac:dyDescent="0.25">
      <c r="B488" s="38" t="str">
        <f>IF($A488=0,"",VLOOKUP($A488,'BASE MATERIAL'!$A:$D,2))</f>
        <v/>
      </c>
      <c r="C488" s="2"/>
      <c r="D488" s="77"/>
      <c r="E488" s="78" t="str">
        <f>IF($A488=0,"",VLOOKUP($A488,'BASE MATERIAL'!$A:$D,3))</f>
        <v/>
      </c>
      <c r="F488" s="55"/>
      <c r="G488" s="55" t="str">
        <f>IF($A488=0,"",VLOOKUP($A488,'BASE MATERIAL'!$A:$D,4))</f>
        <v/>
      </c>
      <c r="H488" s="56" t="str">
        <f t="shared" si="48"/>
        <v/>
      </c>
      <c r="I488" s="2"/>
    </row>
    <row r="489" spans="1:16" x14ac:dyDescent="0.25">
      <c r="B489" s="38" t="str">
        <f>IF($A489=0,"",VLOOKUP($A489,'BASE MATERIAL'!$A:$D,2))</f>
        <v/>
      </c>
      <c r="C489" s="2"/>
      <c r="D489" s="77"/>
      <c r="E489" s="78" t="str">
        <f>IF($A489=0,"",VLOOKUP($A489,'BASE MATERIAL'!$A:$D,3))</f>
        <v/>
      </c>
      <c r="F489" s="55"/>
      <c r="G489" s="55" t="str">
        <f>IF($A489=0,"",VLOOKUP($A489,'BASE MATERIAL'!$A:$D,4))</f>
        <v/>
      </c>
      <c r="H489" s="56" t="str">
        <f t="shared" si="48"/>
        <v/>
      </c>
      <c r="I489" s="2"/>
    </row>
    <row r="490" spans="1:16" x14ac:dyDescent="0.25">
      <c r="B490" s="38" t="str">
        <f>IF($A490=0,"",VLOOKUP($A490,'BASE MATERIAL'!$A:$D,2))</f>
        <v/>
      </c>
      <c r="C490" s="2"/>
      <c r="D490" s="77"/>
      <c r="E490" s="78" t="str">
        <f>IF($A490=0,"",VLOOKUP($A490,'BASE MATERIAL'!$A:$D,3))</f>
        <v/>
      </c>
      <c r="F490" s="55"/>
      <c r="G490" s="55" t="str">
        <f>IF($A490=0,"",VLOOKUP($A490,'BASE MATERIAL'!$A:$D,4))</f>
        <v/>
      </c>
      <c r="H490" s="56" t="str">
        <f t="shared" si="48"/>
        <v/>
      </c>
      <c r="I490" s="2"/>
    </row>
    <row r="491" spans="1:16" x14ac:dyDescent="0.25">
      <c r="B491" s="38" t="str">
        <f>IF($A491=0,"",VLOOKUP($A491,'BASE MATERIAL'!$A:$D,2))</f>
        <v/>
      </c>
      <c r="C491" s="2"/>
      <c r="D491" s="77"/>
      <c r="E491" s="78" t="str">
        <f>IF($A491=0,"",VLOOKUP($A491,'BASE MATERIAL'!$A:$D,3))</f>
        <v/>
      </c>
      <c r="F491" s="55"/>
      <c r="G491" s="55" t="str">
        <f>IF($A491=0,"",VLOOKUP($A491,'BASE MATERIAL'!$A:$D,4))</f>
        <v/>
      </c>
      <c r="H491" s="56" t="str">
        <f t="shared" si="48"/>
        <v/>
      </c>
      <c r="I491" s="2"/>
    </row>
    <row r="492" spans="1:16" x14ac:dyDescent="0.25">
      <c r="B492" s="38" t="str">
        <f>IF($A492=0,"",VLOOKUP($A492,'BASE MATERIAL'!$A:$D,2))</f>
        <v/>
      </c>
      <c r="C492" s="2"/>
      <c r="D492" s="81" t="s">
        <v>1682</v>
      </c>
      <c r="E492" s="55" t="str">
        <f>IF($A492=0,"",VLOOKUP($A492,'BASE MATERIAL'!$A:$D,3))</f>
        <v/>
      </c>
      <c r="F492" s="55" t="s">
        <v>1682</v>
      </c>
      <c r="G492" s="55" t="str">
        <f>IF($A492=0,"",VLOOKUP($A492,'BASE MATERIAL'!$A:$D,4))</f>
        <v/>
      </c>
      <c r="H492" s="56" t="str">
        <f>IF($A492=0,"",ROUND(E492*F492,2))</f>
        <v/>
      </c>
      <c r="I492" s="2"/>
    </row>
    <row r="493" spans="1:16" x14ac:dyDescent="0.25">
      <c r="B493" s="73" t="s">
        <v>1681</v>
      </c>
      <c r="C493" s="65"/>
      <c r="D493" s="74"/>
      <c r="E493" s="74"/>
      <c r="F493" s="74"/>
      <c r="G493" s="74"/>
      <c r="H493" s="75">
        <f>ROUND(SUM(H476:H492),2)</f>
        <v>360.97</v>
      </c>
      <c r="I493" s="2"/>
    </row>
    <row r="494" spans="1:16" x14ac:dyDescent="0.25">
      <c r="B494" s="38" t="s">
        <v>1680</v>
      </c>
      <c r="C494" s="2"/>
      <c r="D494" s="3"/>
      <c r="E494" s="3"/>
      <c r="F494" s="3"/>
      <c r="G494" s="3"/>
      <c r="H494" s="56"/>
      <c r="I494" s="2"/>
    </row>
    <row r="495" spans="1:16" ht="25.5" x14ac:dyDescent="0.25">
      <c r="B495" s="64" t="s">
        <v>1409</v>
      </c>
      <c r="C495" s="65"/>
      <c r="D495" s="76"/>
      <c r="E495" s="66" t="s">
        <v>1408</v>
      </c>
      <c r="F495" s="66" t="s">
        <v>1679</v>
      </c>
      <c r="G495" s="66" t="s">
        <v>1676</v>
      </c>
      <c r="H495" s="68" t="s">
        <v>1675</v>
      </c>
      <c r="I495" s="2"/>
    </row>
    <row r="496" spans="1:16" x14ac:dyDescent="0.25">
      <c r="A496" s="103">
        <v>19019</v>
      </c>
      <c r="B496" s="51" t="str">
        <f>IF($A496=0,"",VLOOKUP($A496,'BASE EQUIPO'!$A:$D,2))</f>
        <v>TRANSPORTE DE MATERIAL</v>
      </c>
      <c r="C496" s="52"/>
      <c r="D496" s="82"/>
      <c r="E496" s="78" t="str">
        <f>IF($A496=0,"",VLOOKUP($A496,'BASE EQUIPO'!$A:$D,3))</f>
        <v>GLOBAL</v>
      </c>
      <c r="F496" s="55">
        <v>1</v>
      </c>
      <c r="G496" s="83">
        <f>IF($A496=0,"",VLOOKUP($A496,'BASE EQUIPO'!$A:$D,4)*H493)</f>
        <v>10.8291</v>
      </c>
      <c r="H496" s="56">
        <f>IF($A496=0,"",ROUND(F496*G496,2))</f>
        <v>10.83</v>
      </c>
      <c r="I496" s="2"/>
    </row>
    <row r="497" spans="1:15" x14ac:dyDescent="0.25">
      <c r="B497" s="38" t="str">
        <f>IF($A497=0,"",VLOOKUP($A497,'BASE EQUIPO'!$A:$D,2))</f>
        <v/>
      </c>
      <c r="C497" s="2"/>
      <c r="D497" s="84"/>
      <c r="E497" s="78" t="str">
        <f>IF($A497=0,"",VLOOKUP($A497,'BASE EQUIPO'!$A:$D,3))</f>
        <v/>
      </c>
      <c r="F497" s="55"/>
      <c r="G497" s="55" t="str">
        <f>IF($A497=0,"",VLOOKUP($A497,'BASE EQUIPO'!$A:$D,4)*H494)</f>
        <v/>
      </c>
      <c r="H497" s="56" t="str">
        <f>IF($A497=0,"",ROUND(F497*G497,2))</f>
        <v/>
      </c>
      <c r="I497" s="2"/>
    </row>
    <row r="498" spans="1:15" x14ac:dyDescent="0.25">
      <c r="B498" s="57" t="str">
        <f>IF($A498=0,"",VLOOKUP($A498,'BASE EQUIPO'!$A:$D,2))</f>
        <v/>
      </c>
      <c r="C498" s="58"/>
      <c r="D498" s="85"/>
      <c r="E498" s="86" t="str">
        <f>IF($A498=0,"",VLOOKUP($A498,'BASE EQUIPO'!$A:$D,3))</f>
        <v/>
      </c>
      <c r="F498" s="59"/>
      <c r="G498" s="59" t="str">
        <f>IF($A498=0,"",VLOOKUP($A498,'BASE EQUIPO'!$A:$D,4)*H495)</f>
        <v/>
      </c>
      <c r="H498" s="60" t="str">
        <f>IF($A498=0,"",ROUND(F498*G498,2))</f>
        <v/>
      </c>
      <c r="I498" s="2"/>
    </row>
    <row r="499" spans="1:15" ht="15.75" thickBot="1" x14ac:dyDescent="0.3">
      <c r="B499" s="87" t="s">
        <v>1674</v>
      </c>
      <c r="C499" s="88"/>
      <c r="D499" s="89"/>
      <c r="E499" s="89"/>
      <c r="F499" s="89"/>
      <c r="G499" s="89"/>
      <c r="H499" s="90">
        <f>ROUND(SUM(H495:H498),2)</f>
        <v>10.83</v>
      </c>
      <c r="I499" s="2"/>
    </row>
    <row r="500" spans="1:15" ht="15.75" x14ac:dyDescent="0.25">
      <c r="B500" s="2"/>
      <c r="C500" s="2"/>
      <c r="D500" s="91" t="s">
        <v>1673</v>
      </c>
      <c r="E500" s="47"/>
      <c r="F500" s="47"/>
      <c r="G500" s="47"/>
      <c r="H500" s="92">
        <f>ROUND(SUM(H499,H493,H474,H464),2)</f>
        <v>534.58000000000004</v>
      </c>
      <c r="I500" s="2"/>
      <c r="K500" s="1">
        <v>195.67</v>
      </c>
    </row>
    <row r="501" spans="1:15" ht="15.75" x14ac:dyDescent="0.25">
      <c r="A501" s="103">
        <v>40002</v>
      </c>
      <c r="B501" s="2"/>
      <c r="C501" s="2"/>
      <c r="D501" s="93" t="s">
        <v>1672</v>
      </c>
      <c r="E501" s="65"/>
      <c r="F501" s="65"/>
      <c r="G501" s="94">
        <f>IF($A501=0,"",VLOOKUP($A501,'BASE MATERIAL'!$M:$P,4))</f>
        <v>0</v>
      </c>
      <c r="H501" s="95">
        <f>IF($A501=0,"",ROUND(G501*H500,2))</f>
        <v>0</v>
      </c>
      <c r="I501" s="2"/>
    </row>
    <row r="502" spans="1:15" ht="15.75" x14ac:dyDescent="0.25">
      <c r="A502" s="103">
        <v>40003</v>
      </c>
      <c r="B502" s="2"/>
      <c r="C502" s="2"/>
      <c r="D502" s="93" t="s">
        <v>1671</v>
      </c>
      <c r="E502" s="65"/>
      <c r="F502" s="65"/>
      <c r="G502" s="94">
        <f>IF($A502=0,"",VLOOKUP($A502,'BASE MATERIAL'!$M:$P,4))</f>
        <v>0</v>
      </c>
      <c r="H502" s="95">
        <f>IF($A502=0,"",ROUND(G502*H500,2))</f>
        <v>0</v>
      </c>
      <c r="I502" s="2"/>
    </row>
    <row r="503" spans="1:15" ht="15.75" x14ac:dyDescent="0.25">
      <c r="B503" s="2"/>
      <c r="C503" s="2"/>
      <c r="D503" s="93" t="s">
        <v>1670</v>
      </c>
      <c r="E503" s="65"/>
      <c r="F503" s="65"/>
      <c r="G503" s="65"/>
      <c r="H503" s="96">
        <f>ROUND(SUM(H500:H502),2)</f>
        <v>534.58000000000004</v>
      </c>
      <c r="I503" s="2"/>
    </row>
    <row r="504" spans="1:15" ht="16.5" thickBot="1" x14ac:dyDescent="0.3">
      <c r="B504" s="25"/>
      <c r="C504" s="2"/>
      <c r="D504" s="97" t="s">
        <v>1650</v>
      </c>
      <c r="E504" s="88"/>
      <c r="F504" s="88"/>
      <c r="G504" s="88"/>
      <c r="H504" s="98">
        <f>ROUND(H503,2)</f>
        <v>534.58000000000004</v>
      </c>
      <c r="I504" s="2"/>
    </row>
    <row r="505" spans="1:15" ht="15.75" x14ac:dyDescent="0.25">
      <c r="B505" s="34" t="s">
        <v>1701</v>
      </c>
      <c r="C505" s="2"/>
      <c r="D505" s="3" t="str">
        <f>$D$1</f>
        <v>ESPOL</v>
      </c>
      <c r="E505" s="2"/>
      <c r="F505" s="2"/>
      <c r="H505" s="2" t="s">
        <v>108</v>
      </c>
      <c r="I505" s="2"/>
      <c r="L505" s="40">
        <f>A509</f>
        <v>6</v>
      </c>
      <c r="M505" s="1" t="str">
        <f>C510</f>
        <v>Hormigon armado en Losa e= 20cm</v>
      </c>
      <c r="N505" s="2" t="str">
        <f>H509</f>
        <v>m3</v>
      </c>
      <c r="O505" s="2">
        <f>H560</f>
        <v>467.06</v>
      </c>
    </row>
    <row r="506" spans="1:15" ht="15.75" x14ac:dyDescent="0.25">
      <c r="B506" s="34" t="s">
        <v>1700</v>
      </c>
      <c r="C506" s="3">
        <f>'1.1'!$C$2</f>
        <v>0</v>
      </c>
      <c r="D506" s="2"/>
      <c r="E506" s="2"/>
      <c r="F506" s="2"/>
      <c r="G506" s="41" t="s">
        <v>1699</v>
      </c>
      <c r="H506" s="42"/>
      <c r="I506" s="2" t="s">
        <v>1698</v>
      </c>
    </row>
    <row r="507" spans="1:15" ht="15.75" x14ac:dyDescent="0.25">
      <c r="B507" s="34"/>
      <c r="C507" s="3">
        <f>'1.1'!$C$3</f>
        <v>0</v>
      </c>
      <c r="D507" s="2"/>
      <c r="E507" s="2"/>
      <c r="F507" s="2"/>
      <c r="G507" s="2"/>
      <c r="H507" s="2"/>
      <c r="I507" s="2"/>
    </row>
    <row r="508" spans="1:15" ht="15.75" x14ac:dyDescent="0.25">
      <c r="B508" s="34" t="s">
        <v>1697</v>
      </c>
      <c r="C508" s="3"/>
      <c r="D508" s="2"/>
      <c r="E508" s="2"/>
      <c r="F508" s="2"/>
      <c r="G508" s="2"/>
      <c r="H508" s="2"/>
      <c r="I508" s="2"/>
    </row>
    <row r="509" spans="1:15" x14ac:dyDescent="0.25">
      <c r="A509" s="104">
        <v>6</v>
      </c>
      <c r="B509" s="2" t="s">
        <v>1586</v>
      </c>
      <c r="C509" s="36" t="s">
        <v>624</v>
      </c>
      <c r="D509" s="2"/>
      <c r="G509" s="2" t="s">
        <v>1696</v>
      </c>
      <c r="H509" s="3" t="s">
        <v>1521</v>
      </c>
      <c r="I509" s="2"/>
    </row>
    <row r="510" spans="1:15" x14ac:dyDescent="0.25">
      <c r="B510" s="1" t="s">
        <v>1585</v>
      </c>
      <c r="C510" s="36" t="s">
        <v>1392</v>
      </c>
      <c r="D510" s="2"/>
      <c r="E510" s="2"/>
      <c r="F510" s="2"/>
      <c r="G510" s="2"/>
      <c r="H510" s="2"/>
      <c r="I510" s="2"/>
    </row>
    <row r="511" spans="1:15" ht="15.75" thickBot="1" x14ac:dyDescent="0.3">
      <c r="D511" s="2"/>
      <c r="E511" s="2"/>
      <c r="F511" s="2"/>
      <c r="G511" s="2"/>
      <c r="H511" s="2"/>
      <c r="I511" s="2"/>
    </row>
    <row r="512" spans="1:15" ht="15.75" thickBot="1" x14ac:dyDescent="0.3">
      <c r="B512" s="43" t="s">
        <v>1695</v>
      </c>
      <c r="C512" s="44"/>
      <c r="D512" s="44"/>
      <c r="E512" s="44"/>
      <c r="F512" s="44"/>
      <c r="G512" s="44"/>
      <c r="H512" s="45"/>
      <c r="I512" s="2"/>
    </row>
    <row r="513" spans="1:11" ht="25.5" x14ac:dyDescent="0.25">
      <c r="B513" s="46" t="s">
        <v>1409</v>
      </c>
      <c r="C513" s="47"/>
      <c r="D513" s="48" t="s">
        <v>1690</v>
      </c>
      <c r="E513" s="48" t="s">
        <v>1694</v>
      </c>
      <c r="F513" s="48" t="s">
        <v>1693</v>
      </c>
      <c r="G513" s="49" t="s">
        <v>1687</v>
      </c>
      <c r="H513" s="50" t="s">
        <v>1686</v>
      </c>
      <c r="I513" s="2"/>
    </row>
    <row r="514" spans="1:11" x14ac:dyDescent="0.25">
      <c r="A514" s="103">
        <v>19015</v>
      </c>
      <c r="B514" s="51" t="str">
        <f>IF($A514=0,"",VLOOKUP($A514,'BASE EQUIPO'!$A:$D,2))</f>
        <v>HERRAMIENTA MENOR</v>
      </c>
      <c r="C514" s="52"/>
      <c r="D514" s="53">
        <v>1</v>
      </c>
      <c r="E514" s="53">
        <f>IF($A514=0,"",VLOOKUP($A514,'BASE EQUIPO'!$A:$D,4)*H530)</f>
        <v>2.9874000000000001</v>
      </c>
      <c r="F514" s="53">
        <f t="shared" ref="F514:F519" si="49">IF($A514=0,"",ROUND(D514*E514,2))</f>
        <v>2.99</v>
      </c>
      <c r="G514" s="105">
        <v>1</v>
      </c>
      <c r="H514" s="54">
        <f t="shared" ref="H514:H519" si="50">IF($A514=0,"",ROUND(G514*F514,2))</f>
        <v>2.99</v>
      </c>
      <c r="I514" s="2"/>
    </row>
    <row r="515" spans="1:11" x14ac:dyDescent="0.25">
      <c r="A515" s="103">
        <v>19003</v>
      </c>
      <c r="B515" s="38" t="str">
        <f>IF($A515=0,"",VLOOKUP($A515,'BASE EQUIPO'!$A:$D,2))</f>
        <v>CONCRETERA</v>
      </c>
      <c r="C515" s="2"/>
      <c r="D515" s="55">
        <v>1</v>
      </c>
      <c r="E515" s="55">
        <f>IF($A515=0,"",VLOOKUP($A515,'BASE EQUIPO'!$A:$D,4))</f>
        <v>3.5</v>
      </c>
      <c r="F515" s="55">
        <f t="shared" si="49"/>
        <v>3.5</v>
      </c>
      <c r="G515" s="106">
        <f>+G524*0.5</f>
        <v>0.42499999999999999</v>
      </c>
      <c r="H515" s="56">
        <f t="shared" si="50"/>
        <v>1.49</v>
      </c>
      <c r="I515" s="2"/>
    </row>
    <row r="516" spans="1:11" x14ac:dyDescent="0.25">
      <c r="A516" s="103">
        <v>19008</v>
      </c>
      <c r="B516" s="38" t="str">
        <f>IF($A516=0,"",VLOOKUP($A516,'BASE EQUIPO'!$A:$D,2))</f>
        <v>VIBRADOR</v>
      </c>
      <c r="C516" s="2"/>
      <c r="D516" s="55">
        <v>1</v>
      </c>
      <c r="E516" s="55">
        <f>IF($A516=0,"",VLOOKUP($A516,'BASE EQUIPO'!$A:$D,4))</f>
        <v>2.5</v>
      </c>
      <c r="F516" s="55">
        <f t="shared" si="49"/>
        <v>2.5</v>
      </c>
      <c r="G516" s="106">
        <f>+G525*0.5</f>
        <v>0.42499999999999999</v>
      </c>
      <c r="H516" s="56">
        <f t="shared" si="50"/>
        <v>1.06</v>
      </c>
      <c r="I516" s="2"/>
    </row>
    <row r="517" spans="1:11" x14ac:dyDescent="0.25">
      <c r="B517" s="38" t="str">
        <f>IF($A517=0,"",VLOOKUP($A517,'BASE EQUIPO'!$A:$D,2))</f>
        <v/>
      </c>
      <c r="C517" s="2"/>
      <c r="D517" s="55"/>
      <c r="E517" s="55" t="str">
        <f>IF($A517=0,"",VLOOKUP($A517,'BASE EQUIPO'!$A:$D,4))</f>
        <v/>
      </c>
      <c r="F517" s="55" t="str">
        <f t="shared" si="49"/>
        <v/>
      </c>
      <c r="G517" s="106"/>
      <c r="H517" s="56" t="str">
        <f t="shared" si="50"/>
        <v/>
      </c>
      <c r="I517" s="2"/>
    </row>
    <row r="518" spans="1:11" x14ac:dyDescent="0.25">
      <c r="B518" s="38" t="str">
        <f>IF($A518=0,"",VLOOKUP($A518,'BASE EQUIPO'!$A:$D,2))</f>
        <v/>
      </c>
      <c r="C518" s="2"/>
      <c r="D518" s="55"/>
      <c r="E518" s="55" t="str">
        <f>IF($A518=0,"",VLOOKUP($A518,'BASE EQUIPO'!$A:$D,4))</f>
        <v/>
      </c>
      <c r="F518" s="55" t="str">
        <f t="shared" si="49"/>
        <v/>
      </c>
      <c r="G518" s="106"/>
      <c r="H518" s="56" t="str">
        <f t="shared" si="50"/>
        <v/>
      </c>
      <c r="I518" s="2"/>
    </row>
    <row r="519" spans="1:11" x14ac:dyDescent="0.25">
      <c r="B519" s="57" t="str">
        <f>IF($A519=0,"",VLOOKUP($A519,'BASE EQUIPO'!$A:$D,2))</f>
        <v/>
      </c>
      <c r="C519" s="58"/>
      <c r="D519" s="59"/>
      <c r="E519" s="59" t="str">
        <f>IF($A519=0,"",VLOOKUP($A519,'BASE EQUIPO'!$A:$D,4))</f>
        <v/>
      </c>
      <c r="F519" s="59" t="str">
        <f t="shared" si="49"/>
        <v/>
      </c>
      <c r="G519" s="107"/>
      <c r="H519" s="60" t="str">
        <f t="shared" si="50"/>
        <v/>
      </c>
      <c r="I519" s="2"/>
    </row>
    <row r="520" spans="1:11" x14ac:dyDescent="0.25">
      <c r="B520" s="57" t="s">
        <v>1692</v>
      </c>
      <c r="C520" s="58"/>
      <c r="D520" s="61"/>
      <c r="E520" s="61"/>
      <c r="F520" s="61"/>
      <c r="G520" s="62"/>
      <c r="H520" s="60">
        <f>ROUND(SUM(H513:H519),2)</f>
        <v>5.54</v>
      </c>
      <c r="I520" s="2"/>
    </row>
    <row r="521" spans="1:11" x14ac:dyDescent="0.25">
      <c r="B521" s="38" t="s">
        <v>1503</v>
      </c>
      <c r="C521" s="2"/>
      <c r="D521" s="3"/>
      <c r="E521" s="3"/>
      <c r="F521" s="3"/>
      <c r="G521" s="63"/>
      <c r="H521" s="56"/>
      <c r="I521" s="2"/>
    </row>
    <row r="522" spans="1:11" ht="25.5" x14ac:dyDescent="0.25">
      <c r="B522" s="64" t="s">
        <v>1691</v>
      </c>
      <c r="C522" s="65"/>
      <c r="D522" s="66" t="s">
        <v>1690</v>
      </c>
      <c r="E522" s="66" t="s">
        <v>1689</v>
      </c>
      <c r="F522" s="66" t="s">
        <v>1688</v>
      </c>
      <c r="G522" s="67" t="s">
        <v>1687</v>
      </c>
      <c r="H522" s="68" t="s">
        <v>1686</v>
      </c>
      <c r="I522" s="2"/>
    </row>
    <row r="523" spans="1:11" x14ac:dyDescent="0.25">
      <c r="A523" s="103">
        <v>20001</v>
      </c>
      <c r="B523" s="69" t="str">
        <f>IF($A523=0,"",VLOOKUP($A523,'BASE M-OBRA'!$A:$D,2))</f>
        <v>MAESTRO</v>
      </c>
      <c r="C523" s="2"/>
      <c r="D523" s="108">
        <v>1</v>
      </c>
      <c r="E523" s="70">
        <f>IF($A523=0,"",VLOOKUP($A523,'BASE M-OBRA'!$A:$D,4))</f>
        <v>3.02</v>
      </c>
      <c r="F523" s="55">
        <f t="shared" ref="F523:F529" si="51">IF($A523=0,"",ROUND(D523*E523,2))</f>
        <v>3.02</v>
      </c>
      <c r="G523" s="106">
        <f>IF($A523=0,"",ROUND(H523/F523,2))</f>
        <v>5.5</v>
      </c>
      <c r="H523" s="56">
        <f>IF($A523=0,"",ROUND(SUM(H524:H529)*'BASE M-OBRA'!$D$23,2))</f>
        <v>16.600000000000001</v>
      </c>
      <c r="I523" s="2"/>
    </row>
    <row r="524" spans="1:11" x14ac:dyDescent="0.25">
      <c r="A524" s="103">
        <v>20002</v>
      </c>
      <c r="B524" s="69" t="str">
        <f>IF($A524=0,"",VLOOKUP($A524,'BASE M-OBRA'!$A:$D,2))</f>
        <v>PEON</v>
      </c>
      <c r="C524" s="2"/>
      <c r="D524" s="108">
        <v>8</v>
      </c>
      <c r="E524" s="70">
        <f>IF($A524=0,"",VLOOKUP($A524,'BASE M-OBRA'!$A:$D,4))</f>
        <v>2.79</v>
      </c>
      <c r="F524" s="55">
        <f t="shared" si="51"/>
        <v>22.32</v>
      </c>
      <c r="G524" s="106">
        <v>0.85</v>
      </c>
      <c r="H524" s="56">
        <f t="shared" ref="H524:H529" si="52">IF($A524=0,"",ROUND(G524*F524,2))</f>
        <v>18.97</v>
      </c>
      <c r="I524" s="2"/>
    </row>
    <row r="525" spans="1:11" x14ac:dyDescent="0.25">
      <c r="A525" s="103">
        <v>20003</v>
      </c>
      <c r="B525" s="69" t="str">
        <f>IF($A525=0,"",VLOOKUP($A525,'BASE M-OBRA'!$A:$D,2))</f>
        <v>ALBAÑIL</v>
      </c>
      <c r="C525" s="2"/>
      <c r="D525" s="108">
        <v>2</v>
      </c>
      <c r="E525" s="70">
        <f>IF($A525=0,"",VLOOKUP($A525,'BASE M-OBRA'!$A:$D,4))</f>
        <v>2.82</v>
      </c>
      <c r="F525" s="55">
        <f t="shared" si="51"/>
        <v>5.64</v>
      </c>
      <c r="G525" s="106">
        <f>+G524</f>
        <v>0.85</v>
      </c>
      <c r="H525" s="56">
        <f t="shared" si="52"/>
        <v>4.79</v>
      </c>
      <c r="I525" s="2"/>
    </row>
    <row r="526" spans="1:11" x14ac:dyDescent="0.25">
      <c r="A526" s="103">
        <v>20004</v>
      </c>
      <c r="B526" s="71" t="str">
        <f>IF($A526=0,"",VLOOKUP($A526,'BASE M-OBRA'!$A:$D,2))</f>
        <v>CARPINTERO</v>
      </c>
      <c r="C526" s="2"/>
      <c r="D526" s="108">
        <v>2</v>
      </c>
      <c r="E526" s="70">
        <f>IF($A526=0,"",VLOOKUP($A526,'BASE M-OBRA'!$A:$D,4))</f>
        <v>2.82</v>
      </c>
      <c r="F526" s="55">
        <f t="shared" si="51"/>
        <v>5.64</v>
      </c>
      <c r="G526" s="106">
        <v>6.5</v>
      </c>
      <c r="H526" s="56">
        <f t="shared" si="52"/>
        <v>36.659999999999997</v>
      </c>
      <c r="I526" s="2"/>
      <c r="K526" s="1">
        <f>K533*2.9</f>
        <v>36.25</v>
      </c>
    </row>
    <row r="527" spans="1:11" x14ac:dyDescent="0.25">
      <c r="A527" s="103">
        <v>20005</v>
      </c>
      <c r="B527" s="72" t="str">
        <f>IF($A527=0,"",VLOOKUP($A527,'BASE M-OBRA'!$A:$D,2))</f>
        <v>FIERRERO</v>
      </c>
      <c r="C527" s="2"/>
      <c r="D527" s="108">
        <v>2</v>
      </c>
      <c r="E527" s="70">
        <f>IF($A527=0,"",VLOOKUP($A527,'BASE M-OBRA'!$A:$D,4))</f>
        <v>2.82</v>
      </c>
      <c r="F527" s="55">
        <f t="shared" si="51"/>
        <v>5.64</v>
      </c>
      <c r="G527" s="106">
        <v>4</v>
      </c>
      <c r="H527" s="56">
        <f t="shared" si="52"/>
        <v>22.56</v>
      </c>
      <c r="I527" s="2"/>
      <c r="K527" s="1">
        <f>F542*0.3</f>
        <v>18</v>
      </c>
    </row>
    <row r="528" spans="1:11" x14ac:dyDescent="0.25">
      <c r="B528" s="38" t="str">
        <f>IF($A528=0,"",VLOOKUP($A528,'BASE M-OBRA'!$A:$D,2))</f>
        <v/>
      </c>
      <c r="C528" s="2"/>
      <c r="D528" s="55"/>
      <c r="E528" s="55" t="str">
        <f>IF($A528=0,"",VLOOKUP($A528,'BASE M-OBRA'!$A:$D,4))</f>
        <v/>
      </c>
      <c r="F528" s="55" t="str">
        <f t="shared" si="51"/>
        <v/>
      </c>
      <c r="G528" s="106"/>
      <c r="H528" s="56" t="str">
        <f t="shared" si="52"/>
        <v/>
      </c>
      <c r="I528" s="2"/>
    </row>
    <row r="529" spans="1:16" x14ac:dyDescent="0.25">
      <c r="B529" s="57" t="str">
        <f>IF($A529=0,"",VLOOKUP($A529,'BASE M-OBRA'!$A:$D,2))</f>
        <v/>
      </c>
      <c r="C529" s="58"/>
      <c r="D529" s="59"/>
      <c r="E529" s="59" t="str">
        <f>IF($A529=0,"",VLOOKUP($A529,'BASE M-OBRA'!$A:$D,4))</f>
        <v/>
      </c>
      <c r="F529" s="59" t="str">
        <f t="shared" si="51"/>
        <v/>
      </c>
      <c r="G529" s="107"/>
      <c r="H529" s="60" t="str">
        <f t="shared" si="52"/>
        <v/>
      </c>
      <c r="I529" s="2"/>
    </row>
    <row r="530" spans="1:16" x14ac:dyDescent="0.25">
      <c r="B530" s="73" t="s">
        <v>1685</v>
      </c>
      <c r="C530" s="65"/>
      <c r="D530" s="74"/>
      <c r="E530" s="74"/>
      <c r="F530" s="74"/>
      <c r="G530" s="74"/>
      <c r="H530" s="75">
        <f>ROUND(SUM(H522:H529),2)</f>
        <v>99.58</v>
      </c>
      <c r="I530" s="2"/>
      <c r="K530" s="1">
        <f>SUM(K526:K529)</f>
        <v>54.25</v>
      </c>
    </row>
    <row r="531" spans="1:16" x14ac:dyDescent="0.25">
      <c r="B531" s="38" t="s">
        <v>1684</v>
      </c>
      <c r="C531" s="2"/>
      <c r="D531" s="3"/>
      <c r="E531" s="3"/>
      <c r="F531" s="3"/>
      <c r="G531" s="3"/>
      <c r="H531" s="56"/>
      <c r="I531" s="2"/>
    </row>
    <row r="532" spans="1:16" ht="25.5" x14ac:dyDescent="0.25">
      <c r="B532" s="64" t="s">
        <v>1409</v>
      </c>
      <c r="C532" s="65"/>
      <c r="D532" s="76"/>
      <c r="E532" s="66" t="s">
        <v>1408</v>
      </c>
      <c r="F532" s="66" t="s">
        <v>1679</v>
      </c>
      <c r="G532" s="66" t="s">
        <v>1683</v>
      </c>
      <c r="H532" s="68" t="s">
        <v>1675</v>
      </c>
      <c r="I532" s="2"/>
    </row>
    <row r="533" spans="1:16" x14ac:dyDescent="0.25">
      <c r="A533" s="103">
        <v>11008</v>
      </c>
      <c r="B533" s="37" t="str">
        <f>IF($A533=0,"",VLOOKUP($A533,'BASE MATERIAL'!$A:$D,2))</f>
        <v>TABLA</v>
      </c>
      <c r="C533" s="2"/>
      <c r="D533" s="77"/>
      <c r="E533" s="78" t="str">
        <f>IF($A533=0,"",VLOOKUP($A533,'BASE MATERIAL'!$A:$D,3))</f>
        <v>U</v>
      </c>
      <c r="F533" s="55">
        <f>ROUND(12.5*5/(4*3),2)</f>
        <v>5.21</v>
      </c>
      <c r="G533" s="55">
        <f>IF($A533=0,"",VLOOKUP($A533,'BASE MATERIAL'!$A:$D,4))</f>
        <v>3.5</v>
      </c>
      <c r="H533" s="56">
        <f t="shared" ref="H533:H547" si="53">IF($A533=0,"",ROUND(F533*G533,2))</f>
        <v>18.239999999999998</v>
      </c>
      <c r="I533" s="2"/>
      <c r="K533" s="1">
        <f>1/(0.1*0.15*2+0.05)</f>
        <v>12.5</v>
      </c>
      <c r="L533" s="2"/>
      <c r="M533" s="2"/>
      <c r="N533" s="39"/>
      <c r="O533" s="2"/>
      <c r="P533" s="2"/>
    </row>
    <row r="534" spans="1:16" x14ac:dyDescent="0.25">
      <c r="A534" s="103">
        <v>11009</v>
      </c>
      <c r="B534" s="38" t="str">
        <f>IF($A534=0,"",VLOOKUP($A534,'BASE MATERIAL'!$A:$D,2))</f>
        <v>CUARTON</v>
      </c>
      <c r="C534" s="2"/>
      <c r="D534" s="77"/>
      <c r="E534" s="78" t="str">
        <f>IF($A534=0,"",VLOOKUP($A534,'BASE MATERIAL'!$A:$D,3))</f>
        <v>U</v>
      </c>
      <c r="F534" s="55">
        <f>ROUND(12.5*8/(4*3),2)</f>
        <v>8.33</v>
      </c>
      <c r="G534" s="55">
        <f>IF($A534=0,"",VLOOKUP($A534,'BASE MATERIAL'!$A:$D,4))</f>
        <v>2.42</v>
      </c>
      <c r="H534" s="56">
        <f t="shared" si="53"/>
        <v>20.16</v>
      </c>
      <c r="I534" s="2"/>
      <c r="L534" s="2"/>
      <c r="M534" s="2"/>
      <c r="N534" s="39"/>
      <c r="O534" s="2"/>
      <c r="P534" s="2"/>
    </row>
    <row r="535" spans="1:16" x14ac:dyDescent="0.25">
      <c r="A535" s="103">
        <v>11007</v>
      </c>
      <c r="B535" s="38" t="str">
        <f>IF($A535=0,"",VLOOKUP($A535,'BASE MATERIAL'!$A:$D,2))</f>
        <v>CLAVO 2 1/2"</v>
      </c>
      <c r="C535" s="2"/>
      <c r="D535" s="77"/>
      <c r="E535" s="78" t="str">
        <f>IF($A535=0,"",VLOOKUP($A535,'BASE MATERIAL'!$A:$D,3))</f>
        <v>KG</v>
      </c>
      <c r="F535" s="55">
        <f>ROUND(12.5*56/(178*1.5),2)</f>
        <v>2.62</v>
      </c>
      <c r="G535" s="55">
        <f>IF($A535=0,"",VLOOKUP($A535,'BASE MATERIAL'!$A:$D,4))</f>
        <v>2.6520000000000001</v>
      </c>
      <c r="H535" s="56">
        <f t="shared" si="53"/>
        <v>6.95</v>
      </c>
      <c r="I535" s="2"/>
      <c r="L535" s="2"/>
      <c r="M535" s="2"/>
      <c r="N535" s="39"/>
      <c r="O535" s="2"/>
      <c r="P535" s="2"/>
    </row>
    <row r="536" spans="1:16" x14ac:dyDescent="0.25">
      <c r="A536" s="103">
        <v>11010</v>
      </c>
      <c r="B536" s="38" t="str">
        <f>IF($A536=0,"",VLOOKUP($A536,'BASE MATERIAL'!$A:$D,2))</f>
        <v>TIRA</v>
      </c>
      <c r="C536" s="2"/>
      <c r="D536" s="77"/>
      <c r="E536" s="78" t="str">
        <f>IF($A536=0,"",VLOOKUP($A536,'BASE MATERIAL'!$A:$D,3))</f>
        <v>U</v>
      </c>
      <c r="F536" s="55">
        <f>ROUND(12.5*4/(4*3),2)</f>
        <v>4.17</v>
      </c>
      <c r="G536" s="55">
        <f>IF($A536=0,"",VLOOKUP($A536,'BASE MATERIAL'!$A:$D,4))</f>
        <v>1.5</v>
      </c>
      <c r="H536" s="56">
        <f t="shared" si="53"/>
        <v>6.26</v>
      </c>
      <c r="I536" s="2"/>
      <c r="L536" s="2"/>
      <c r="M536" s="2"/>
      <c r="N536" s="39"/>
      <c r="O536" s="2"/>
      <c r="P536" s="2"/>
    </row>
    <row r="537" spans="1:16" x14ac:dyDescent="0.25">
      <c r="A537" s="103">
        <v>4001</v>
      </c>
      <c r="B537" s="38" t="str">
        <f>IF($A537=0,"",VLOOKUP($A537,'BASE MATERIAL'!$A:$D,2))</f>
        <v>CEMENTO</v>
      </c>
      <c r="C537" s="2"/>
      <c r="D537" s="77"/>
      <c r="E537" s="78" t="str">
        <f>IF($A537=0,"",VLOOKUP($A537,'BASE MATERIAL'!$A:$D,3))</f>
        <v>SACO</v>
      </c>
      <c r="F537" s="55">
        <f>8*1.03</f>
        <v>8.24</v>
      </c>
      <c r="G537" s="55">
        <f>IF($A537=0,"",VLOOKUP($A537,'BASE MATERIAL'!$A:$D,4))</f>
        <v>7.09</v>
      </c>
      <c r="H537" s="56">
        <f t="shared" si="53"/>
        <v>58.42</v>
      </c>
      <c r="I537" s="2"/>
      <c r="L537" s="2"/>
      <c r="M537" s="2"/>
      <c r="N537" s="39"/>
      <c r="O537" s="2"/>
      <c r="P537" s="2"/>
    </row>
    <row r="538" spans="1:16" x14ac:dyDescent="0.25">
      <c r="A538" s="103">
        <v>5004</v>
      </c>
      <c r="B538" s="38" t="str">
        <f>IF($A538=0,"",VLOOKUP($A538,'BASE MATERIAL'!$A:$D,2))</f>
        <v>ARENA</v>
      </c>
      <c r="C538" s="2"/>
      <c r="D538" s="77"/>
      <c r="E538" s="78" t="str">
        <f>IF($A538=0,"",VLOOKUP($A538,'BASE MATERIAL'!$A:$D,3))</f>
        <v>M3</v>
      </c>
      <c r="F538" s="55">
        <f>ROUND(F537*0.032*2,2)</f>
        <v>0.53</v>
      </c>
      <c r="G538" s="55">
        <f>IF($A538=0,"",VLOOKUP($A538,'BASE MATERIAL'!$A:$D,4))</f>
        <v>12.276249999999999</v>
      </c>
      <c r="H538" s="56">
        <f t="shared" si="53"/>
        <v>6.51</v>
      </c>
      <c r="I538" s="2"/>
    </row>
    <row r="539" spans="1:16" x14ac:dyDescent="0.25">
      <c r="A539" s="103">
        <v>5002</v>
      </c>
      <c r="B539" s="38" t="str">
        <f>IF($A539=0,"",VLOOKUP($A539,'BASE MATERIAL'!$A:$D,2))</f>
        <v>PIEDRA 3-4</v>
      </c>
      <c r="C539" s="2"/>
      <c r="D539" s="77"/>
      <c r="E539" s="78" t="str">
        <f>IF($A539=0,"",VLOOKUP($A539,'BASE MATERIAL'!$A:$D,3))</f>
        <v>M3</v>
      </c>
      <c r="F539" s="55">
        <f>ROUND(F537*0.032*3,2)</f>
        <v>0.79</v>
      </c>
      <c r="G539" s="55">
        <f>IF($A539=0,"",VLOOKUP($A539,'BASE MATERIAL'!$A:$D,4))</f>
        <v>13.75</v>
      </c>
      <c r="H539" s="56">
        <f t="shared" si="53"/>
        <v>10.86</v>
      </c>
      <c r="I539" s="2"/>
      <c r="L539" s="2"/>
      <c r="M539" s="2"/>
      <c r="N539" s="39"/>
      <c r="O539" s="2"/>
      <c r="P539" s="2"/>
    </row>
    <row r="540" spans="1:16" x14ac:dyDescent="0.25">
      <c r="A540" s="103">
        <v>5005</v>
      </c>
      <c r="B540" s="38" t="str">
        <f>IF($A540=0,"",VLOOKUP($A540,'BASE MATERIAL'!$A:$D,2))</f>
        <v>AGUA</v>
      </c>
      <c r="C540" s="2"/>
      <c r="D540" s="77"/>
      <c r="E540" s="78" t="str">
        <f>IF($A540=0,"",VLOOKUP($A540,'BASE MATERIAL'!$A:$D,3))</f>
        <v>LT</v>
      </c>
      <c r="F540" s="55">
        <f>26*F537</f>
        <v>214.24</v>
      </c>
      <c r="G540" s="112">
        <f>IF($A540=0,"",VLOOKUP($A540,'BASE MATERIAL'!$A:$D,4))</f>
        <v>2E-3</v>
      </c>
      <c r="H540" s="56">
        <f t="shared" si="53"/>
        <v>0.43</v>
      </c>
      <c r="I540" s="2"/>
      <c r="L540" s="2"/>
      <c r="M540" s="2"/>
      <c r="N540" s="39"/>
      <c r="O540" s="2"/>
      <c r="P540" s="2"/>
    </row>
    <row r="541" spans="1:16" x14ac:dyDescent="0.25">
      <c r="A541" s="103">
        <v>8009</v>
      </c>
      <c r="B541" s="38" t="str">
        <f>IF($A541=0,"",VLOOKUP($A541,'BASE MATERIAL'!$A:$D,2))</f>
        <v>BLOQUE DE CONCRETO PARA LOSA 14x19x39 BLL14</v>
      </c>
      <c r="C541" s="2"/>
      <c r="D541" s="77"/>
      <c r="E541" s="78" t="str">
        <f>IF($A541=0,"",VLOOKUP($A541,'BASE MATERIAL'!$A:$D,3))</f>
        <v>U</v>
      </c>
      <c r="F541" s="55">
        <f>10*K533</f>
        <v>125</v>
      </c>
      <c r="G541" s="55">
        <f>IF($A541=0,"",VLOOKUP($A541,'BASE MATERIAL'!$A:$D,4))</f>
        <v>0.4</v>
      </c>
      <c r="H541" s="56">
        <f t="shared" si="53"/>
        <v>50</v>
      </c>
      <c r="I541" s="2"/>
      <c r="L541" s="2"/>
      <c r="M541" s="2"/>
      <c r="N541" s="39"/>
      <c r="O541" s="2"/>
      <c r="P541" s="2"/>
    </row>
    <row r="542" spans="1:16" x14ac:dyDescent="0.25">
      <c r="A542" s="103">
        <v>1001</v>
      </c>
      <c r="B542" s="38" t="str">
        <f>IF($A542=0,"",VLOOKUP($A542,'BASE MATERIAL'!$A:$D,2))</f>
        <v>HIERRO</v>
      </c>
      <c r="C542" s="2"/>
      <c r="D542" s="77"/>
      <c r="E542" s="78" t="str">
        <f>IF($A542=0,"",VLOOKUP($A542,'BASE MATERIAL'!$A:$D,3))</f>
        <v>KG</v>
      </c>
      <c r="F542" s="55">
        <v>60</v>
      </c>
      <c r="G542" s="55">
        <f>IF($A542=0,"",VLOOKUP($A542,'BASE MATERIAL'!$A:$D,4))</f>
        <v>1.17</v>
      </c>
      <c r="H542" s="56">
        <f t="shared" si="53"/>
        <v>70.2</v>
      </c>
      <c r="I542" s="2"/>
      <c r="L542" s="2"/>
      <c r="M542" s="2"/>
      <c r="N542" s="39"/>
      <c r="O542" s="2"/>
      <c r="P542" s="2"/>
    </row>
    <row r="543" spans="1:16" x14ac:dyDescent="0.25">
      <c r="A543" s="103">
        <v>11002</v>
      </c>
      <c r="B543" s="38" t="str">
        <f>IF($A543=0,"",VLOOKUP($A543,'BASE MATERIAL'!$A:$D,2))</f>
        <v>ALAMBRE #18 RECOCIDO</v>
      </c>
      <c r="C543" s="2"/>
      <c r="D543" s="77"/>
      <c r="E543" s="78" t="str">
        <f>IF($A543=0,"",VLOOKUP($A543,'BASE MATERIAL'!$A:$D,3))</f>
        <v>KG</v>
      </c>
      <c r="F543" s="55">
        <f>+F542*0.03</f>
        <v>1.7999999999999998</v>
      </c>
      <c r="G543" s="55">
        <f>IF($A543=0,"",VLOOKUP($A543,'BASE MATERIAL'!$A:$D,4))</f>
        <v>1.87</v>
      </c>
      <c r="H543" s="56">
        <f t="shared" si="53"/>
        <v>3.37</v>
      </c>
      <c r="I543" s="2"/>
      <c r="L543" s="2"/>
      <c r="M543" s="2"/>
      <c r="N543" s="39"/>
      <c r="O543" s="2"/>
      <c r="P543" s="2"/>
    </row>
    <row r="544" spans="1:16" x14ac:dyDescent="0.25">
      <c r="A544" s="103">
        <v>11005</v>
      </c>
      <c r="B544" s="38" t="str">
        <f>IF($A544=0,"",VLOOKUP($A544,'BASE MATERIAL'!$A:$D,2))</f>
        <v>CAÑA</v>
      </c>
      <c r="C544" s="2"/>
      <c r="D544" s="77"/>
      <c r="E544" s="78" t="str">
        <f>IF($A544=0,"",VLOOKUP($A544,'BASE MATERIAL'!$A:$D,3))</f>
        <v>U</v>
      </c>
      <c r="F544" s="55">
        <f>4*K533</f>
        <v>50</v>
      </c>
      <c r="G544" s="55">
        <f>IF($A544=0,"",VLOOKUP($A544,'BASE MATERIAL'!$A:$D,4))</f>
        <v>2</v>
      </c>
      <c r="H544" s="56">
        <f t="shared" si="53"/>
        <v>100</v>
      </c>
      <c r="I544" s="2"/>
      <c r="L544" s="2"/>
      <c r="M544" s="2"/>
      <c r="N544" s="39"/>
      <c r="O544" s="2"/>
      <c r="P544" s="2"/>
    </row>
    <row r="545" spans="1:9" x14ac:dyDescent="0.25">
      <c r="B545" s="38" t="str">
        <f>IF($A545=0,"",VLOOKUP($A545,'BASE MATERIAL'!$A:$D,2))</f>
        <v/>
      </c>
      <c r="C545" s="2"/>
      <c r="D545" s="77"/>
      <c r="E545" s="78" t="str">
        <f>IF($A545=0,"",VLOOKUP($A545,'BASE MATERIAL'!$A:$D,3))</f>
        <v/>
      </c>
      <c r="F545" s="55"/>
      <c r="G545" s="55" t="str">
        <f>IF($A545=0,"",VLOOKUP($A545,'BASE MATERIAL'!$A:$D,4))</f>
        <v/>
      </c>
      <c r="H545" s="56" t="str">
        <f t="shared" si="53"/>
        <v/>
      </c>
      <c r="I545" s="2"/>
    </row>
    <row r="546" spans="1:9" x14ac:dyDescent="0.25">
      <c r="B546" s="38" t="str">
        <f>IF($A546=0,"",VLOOKUP($A546,'BASE MATERIAL'!$A:$D,2))</f>
        <v/>
      </c>
      <c r="C546" s="2"/>
      <c r="D546" s="77"/>
      <c r="E546" s="78" t="str">
        <f>IF($A546=0,"",VLOOKUP($A546,'BASE MATERIAL'!$A:$D,3))</f>
        <v/>
      </c>
      <c r="F546" s="55"/>
      <c r="G546" s="55" t="str">
        <f>IF($A546=0,"",VLOOKUP($A546,'BASE MATERIAL'!$A:$D,4))</f>
        <v/>
      </c>
      <c r="H546" s="56" t="str">
        <f t="shared" si="53"/>
        <v/>
      </c>
      <c r="I546" s="2"/>
    </row>
    <row r="547" spans="1:9" x14ac:dyDescent="0.25">
      <c r="B547" s="38" t="str">
        <f>IF($A547=0,"",VLOOKUP($A547,'BASE MATERIAL'!$A:$D,2))</f>
        <v/>
      </c>
      <c r="C547" s="2"/>
      <c r="D547" s="77"/>
      <c r="E547" s="78" t="str">
        <f>IF($A547=0,"",VLOOKUP($A547,'BASE MATERIAL'!$A:$D,3))</f>
        <v/>
      </c>
      <c r="F547" s="55"/>
      <c r="G547" s="55" t="str">
        <f>IF($A547=0,"",VLOOKUP($A547,'BASE MATERIAL'!$A:$D,4))</f>
        <v/>
      </c>
      <c r="H547" s="56" t="str">
        <f t="shared" si="53"/>
        <v/>
      </c>
      <c r="I547" s="2"/>
    </row>
    <row r="548" spans="1:9" x14ac:dyDescent="0.25">
      <c r="B548" s="38" t="str">
        <f>IF($A548=0,"",VLOOKUP($A548,'BASE MATERIAL'!$A:$D,2))</f>
        <v/>
      </c>
      <c r="C548" s="2"/>
      <c r="D548" s="81" t="s">
        <v>1682</v>
      </c>
      <c r="E548" s="55" t="str">
        <f>IF($A548=0,"",VLOOKUP($A548,'BASE MATERIAL'!$A:$D,3))</f>
        <v/>
      </c>
      <c r="F548" s="55" t="s">
        <v>1682</v>
      </c>
      <c r="G548" s="55" t="str">
        <f>IF($A548=0,"",VLOOKUP($A548,'BASE MATERIAL'!$A:$D,4))</f>
        <v/>
      </c>
      <c r="H548" s="56" t="str">
        <f>IF($A548=0,"",ROUND(E548*F548,2))</f>
        <v/>
      </c>
      <c r="I548" s="2"/>
    </row>
    <row r="549" spans="1:9" x14ac:dyDescent="0.25">
      <c r="B549" s="73" t="s">
        <v>1681</v>
      </c>
      <c r="C549" s="65"/>
      <c r="D549" s="74"/>
      <c r="E549" s="74"/>
      <c r="F549" s="74"/>
      <c r="G549" s="74"/>
      <c r="H549" s="75">
        <f>ROUND(SUM(H532:H548),2)</f>
        <v>351.4</v>
      </c>
      <c r="I549" s="2"/>
    </row>
    <row r="550" spans="1:9" x14ac:dyDescent="0.25">
      <c r="B550" s="38" t="s">
        <v>1680</v>
      </c>
      <c r="C550" s="2"/>
      <c r="D550" s="3"/>
      <c r="E550" s="3"/>
      <c r="F550" s="3"/>
      <c r="G550" s="3"/>
      <c r="H550" s="56"/>
      <c r="I550" s="2"/>
    </row>
    <row r="551" spans="1:9" ht="25.5" x14ac:dyDescent="0.25">
      <c r="B551" s="64" t="s">
        <v>1409</v>
      </c>
      <c r="C551" s="65"/>
      <c r="D551" s="76"/>
      <c r="E551" s="66" t="s">
        <v>1408</v>
      </c>
      <c r="F551" s="66" t="s">
        <v>1679</v>
      </c>
      <c r="G551" s="66" t="s">
        <v>1676</v>
      </c>
      <c r="H551" s="68" t="s">
        <v>1675</v>
      </c>
      <c r="I551" s="2"/>
    </row>
    <row r="552" spans="1:9" x14ac:dyDescent="0.25">
      <c r="A552" s="103">
        <v>19019</v>
      </c>
      <c r="B552" s="51" t="str">
        <f>IF($A552=0,"",VLOOKUP($A552,'BASE EQUIPO'!$A:$D,2))</f>
        <v>TRANSPORTE DE MATERIAL</v>
      </c>
      <c r="C552" s="52"/>
      <c r="D552" s="82"/>
      <c r="E552" s="78" t="str">
        <f>IF($A552=0,"",VLOOKUP($A552,'BASE EQUIPO'!$A:$D,3))</f>
        <v>GLOBAL</v>
      </c>
      <c r="F552" s="55">
        <v>1</v>
      </c>
      <c r="G552" s="83">
        <f>IF($A552=0,"",VLOOKUP($A552,'BASE EQUIPO'!$A:$D,4)*H549)</f>
        <v>10.542</v>
      </c>
      <c r="H552" s="56">
        <f>IF($A552=0,"",ROUND(F552*G552,2))</f>
        <v>10.54</v>
      </c>
      <c r="I552" s="2"/>
    </row>
    <row r="553" spans="1:9" x14ac:dyDescent="0.25">
      <c r="B553" s="38" t="str">
        <f>IF($A553=0,"",VLOOKUP($A553,'BASE EQUIPO'!$A:$D,2))</f>
        <v/>
      </c>
      <c r="C553" s="2"/>
      <c r="D553" s="84"/>
      <c r="E553" s="78" t="str">
        <f>IF($A553=0,"",VLOOKUP($A553,'BASE EQUIPO'!$A:$D,3))</f>
        <v/>
      </c>
      <c r="F553" s="55"/>
      <c r="G553" s="55" t="str">
        <f>IF($A553=0,"",VLOOKUP($A553,'BASE EQUIPO'!$A:$D,4)*H550)</f>
        <v/>
      </c>
      <c r="H553" s="56" t="str">
        <f>IF($A553=0,"",ROUND(F553*G553,2))</f>
        <v/>
      </c>
      <c r="I553" s="2"/>
    </row>
    <row r="554" spans="1:9" x14ac:dyDescent="0.25">
      <c r="B554" s="57" t="str">
        <f>IF($A554=0,"",VLOOKUP($A554,'BASE EQUIPO'!$A:$D,2))</f>
        <v/>
      </c>
      <c r="C554" s="58"/>
      <c r="D554" s="85"/>
      <c r="E554" s="86" t="str">
        <f>IF($A554=0,"",VLOOKUP($A554,'BASE EQUIPO'!$A:$D,3))</f>
        <v/>
      </c>
      <c r="F554" s="59"/>
      <c r="G554" s="59" t="str">
        <f>IF($A554=0,"",VLOOKUP($A554,'BASE EQUIPO'!$A:$D,4)*H551)</f>
        <v/>
      </c>
      <c r="H554" s="60" t="str">
        <f>IF($A554=0,"",ROUND(F554*G554,2))</f>
        <v/>
      </c>
      <c r="I554" s="2"/>
    </row>
    <row r="555" spans="1:9" ht="15.75" thickBot="1" x14ac:dyDescent="0.3">
      <c r="B555" s="87" t="s">
        <v>1674</v>
      </c>
      <c r="C555" s="88"/>
      <c r="D555" s="89"/>
      <c r="E555" s="89"/>
      <c r="F555" s="89"/>
      <c r="G555" s="89"/>
      <c r="H555" s="90">
        <f>ROUND(SUM(H551:H554),2)</f>
        <v>10.54</v>
      </c>
      <c r="I555" s="2"/>
    </row>
    <row r="556" spans="1:9" ht="15.75" x14ac:dyDescent="0.25">
      <c r="B556" s="2"/>
      <c r="C556" s="2"/>
      <c r="D556" s="91" t="s">
        <v>1673</v>
      </c>
      <c r="E556" s="47"/>
      <c r="F556" s="47"/>
      <c r="G556" s="47"/>
      <c r="H556" s="92">
        <f>ROUND(SUM(H555,H549,H530,H520),2)</f>
        <v>467.06</v>
      </c>
      <c r="I556" s="2"/>
    </row>
    <row r="557" spans="1:9" ht="15.75" x14ac:dyDescent="0.25">
      <c r="A557" s="103">
        <v>40002</v>
      </c>
      <c r="B557" s="2"/>
      <c r="C557" s="2"/>
      <c r="D557" s="93" t="s">
        <v>1672</v>
      </c>
      <c r="E557" s="65"/>
      <c r="F557" s="65"/>
      <c r="G557" s="94">
        <f>IF($A557=0,"",VLOOKUP($A557,'BASE MATERIAL'!$M:$P,4))</f>
        <v>0</v>
      </c>
      <c r="H557" s="95">
        <f>IF($A557=0,"",ROUND(G557*H556,2))</f>
        <v>0</v>
      </c>
      <c r="I557" s="2"/>
    </row>
    <row r="558" spans="1:9" ht="15.75" x14ac:dyDescent="0.25">
      <c r="A558" s="103">
        <v>40003</v>
      </c>
      <c r="B558" s="2"/>
      <c r="C558" s="2"/>
      <c r="D558" s="93" t="s">
        <v>1671</v>
      </c>
      <c r="E558" s="65"/>
      <c r="F558" s="65"/>
      <c r="G558" s="94">
        <f>IF($A558=0,"",VLOOKUP($A558,'BASE MATERIAL'!$M:$P,4))</f>
        <v>0</v>
      </c>
      <c r="H558" s="95">
        <f>IF($A558=0,"",ROUND(G558*H556,2))</f>
        <v>0</v>
      </c>
      <c r="I558" s="2"/>
    </row>
    <row r="559" spans="1:9" ht="15.75" x14ac:dyDescent="0.25">
      <c r="B559" s="2"/>
      <c r="C559" s="2"/>
      <c r="D559" s="93" t="s">
        <v>1670</v>
      </c>
      <c r="E559" s="65"/>
      <c r="F559" s="65"/>
      <c r="G559" s="65"/>
      <c r="H559" s="96">
        <f>ROUND(SUM(H556:H558),2)</f>
        <v>467.06</v>
      </c>
      <c r="I559" s="2"/>
    </row>
    <row r="560" spans="1:9" ht="16.5" thickBot="1" x14ac:dyDescent="0.3">
      <c r="B560" s="25"/>
      <c r="C560" s="2"/>
      <c r="D560" s="97" t="s">
        <v>1650</v>
      </c>
      <c r="E560" s="88"/>
      <c r="F560" s="88"/>
      <c r="G560" s="88"/>
      <c r="H560" s="98">
        <f>ROUND(H559,2)</f>
        <v>467.06</v>
      </c>
      <c r="I560" s="2"/>
    </row>
    <row r="561" spans="1:15" ht="15.75" x14ac:dyDescent="0.25">
      <c r="B561" s="34" t="s">
        <v>1701</v>
      </c>
      <c r="C561" s="2"/>
      <c r="D561" s="3" t="str">
        <f>$D$1</f>
        <v>ESPOL</v>
      </c>
      <c r="E561" s="2"/>
      <c r="F561" s="2"/>
      <c r="H561" s="2" t="s">
        <v>108</v>
      </c>
      <c r="I561" s="2"/>
      <c r="L561" s="40">
        <f>A565</f>
        <v>6</v>
      </c>
      <c r="M561" s="1" t="str">
        <f>C566</f>
        <v>Hormigon armado en Losa e= 25cm</v>
      </c>
      <c r="N561" s="2" t="str">
        <f>H565</f>
        <v>m3</v>
      </c>
      <c r="O561" s="2">
        <f>H616</f>
        <v>484.73</v>
      </c>
    </row>
    <row r="562" spans="1:15" ht="15.75" x14ac:dyDescent="0.25">
      <c r="B562" s="34" t="s">
        <v>1700</v>
      </c>
      <c r="C562" s="3">
        <f>'1.1'!$C$2</f>
        <v>0</v>
      </c>
      <c r="D562" s="2"/>
      <c r="E562" s="2"/>
      <c r="F562" s="2"/>
      <c r="G562" s="41" t="s">
        <v>1699</v>
      </c>
      <c r="H562" s="42"/>
      <c r="I562" s="2" t="s">
        <v>1698</v>
      </c>
    </row>
    <row r="563" spans="1:15" ht="15.75" x14ac:dyDescent="0.25">
      <c r="B563" s="34"/>
      <c r="C563" s="3">
        <f>'1.1'!$C$3</f>
        <v>0</v>
      </c>
      <c r="D563" s="2"/>
      <c r="E563" s="2"/>
      <c r="F563" s="2"/>
      <c r="G563" s="2"/>
      <c r="H563" s="2"/>
      <c r="I563" s="2"/>
    </row>
    <row r="564" spans="1:15" ht="15.75" x14ac:dyDescent="0.25">
      <c r="B564" s="34" t="s">
        <v>1697</v>
      </c>
      <c r="C564" s="3"/>
      <c r="D564" s="2"/>
      <c r="E564" s="2"/>
      <c r="F564" s="2"/>
      <c r="G564" s="2"/>
      <c r="H564" s="2"/>
      <c r="I564" s="2"/>
    </row>
    <row r="565" spans="1:15" x14ac:dyDescent="0.25">
      <c r="A565" s="104">
        <v>6</v>
      </c>
      <c r="B565" s="2" t="s">
        <v>1586</v>
      </c>
      <c r="C565" s="36" t="s">
        <v>624</v>
      </c>
      <c r="D565" s="2"/>
      <c r="G565" s="2" t="s">
        <v>1696</v>
      </c>
      <c r="H565" s="3" t="s">
        <v>1521</v>
      </c>
      <c r="I565" s="2"/>
    </row>
    <row r="566" spans="1:15" x14ac:dyDescent="0.25">
      <c r="B566" s="1" t="s">
        <v>1585</v>
      </c>
      <c r="C566" s="36" t="s">
        <v>1841</v>
      </c>
      <c r="D566" s="2"/>
      <c r="E566" s="2"/>
      <c r="F566" s="2"/>
      <c r="G566" s="2"/>
      <c r="H566" s="2"/>
      <c r="I566" s="2"/>
    </row>
    <row r="567" spans="1:15" ht="15.75" thickBot="1" x14ac:dyDescent="0.3">
      <c r="D567" s="2"/>
      <c r="E567" s="2"/>
      <c r="F567" s="2"/>
      <c r="G567" s="2"/>
      <c r="H567" s="2"/>
      <c r="I567" s="2"/>
    </row>
    <row r="568" spans="1:15" ht="15.75" thickBot="1" x14ac:dyDescent="0.3">
      <c r="B568" s="43" t="s">
        <v>1695</v>
      </c>
      <c r="C568" s="44"/>
      <c r="D568" s="44"/>
      <c r="E568" s="44"/>
      <c r="F568" s="44"/>
      <c r="G568" s="44"/>
      <c r="H568" s="45"/>
      <c r="I568" s="2"/>
    </row>
    <row r="569" spans="1:15" ht="25.5" x14ac:dyDescent="0.25">
      <c r="B569" s="46" t="s">
        <v>1409</v>
      </c>
      <c r="C569" s="47"/>
      <c r="D569" s="48" t="s">
        <v>1690</v>
      </c>
      <c r="E569" s="48" t="s">
        <v>1694</v>
      </c>
      <c r="F569" s="48" t="s">
        <v>1693</v>
      </c>
      <c r="G569" s="49" t="s">
        <v>1687</v>
      </c>
      <c r="H569" s="50" t="s">
        <v>1686</v>
      </c>
      <c r="I569" s="2"/>
    </row>
    <row r="570" spans="1:15" x14ac:dyDescent="0.25">
      <c r="A570" s="103">
        <v>19015</v>
      </c>
      <c r="B570" s="51" t="str">
        <f>IF($A570=0,"",VLOOKUP($A570,'BASE EQUIPO'!$A:$D,2))</f>
        <v>HERRAMIENTA MENOR</v>
      </c>
      <c r="C570" s="52"/>
      <c r="D570" s="53">
        <v>1</v>
      </c>
      <c r="E570" s="53">
        <f>IF($A570=0,"",VLOOKUP($A570,'BASE EQUIPO'!$A:$D,4)*H586)</f>
        <v>4.8353999999999999</v>
      </c>
      <c r="F570" s="53">
        <f t="shared" ref="F570:F575" si="54">IF($A570=0,"",ROUND(D570*E570,2))</f>
        <v>4.84</v>
      </c>
      <c r="G570" s="105">
        <v>1</v>
      </c>
      <c r="H570" s="54">
        <f t="shared" ref="H570:H575" si="55">IF($A570=0,"",ROUND(G570*F570,2))</f>
        <v>4.84</v>
      </c>
      <c r="I570" s="2"/>
    </row>
    <row r="571" spans="1:15" x14ac:dyDescent="0.25">
      <c r="A571" s="103">
        <v>19003</v>
      </c>
      <c r="B571" s="38" t="str">
        <f>IF($A571=0,"",VLOOKUP($A571,'BASE EQUIPO'!$A:$D,2))</f>
        <v>CONCRETERA</v>
      </c>
      <c r="C571" s="2"/>
      <c r="D571" s="55">
        <v>1</v>
      </c>
      <c r="E571" s="55">
        <f>IF($A571=0,"",VLOOKUP($A571,'BASE EQUIPO'!$A:$D,4))</f>
        <v>3.5</v>
      </c>
      <c r="F571" s="55">
        <f t="shared" si="54"/>
        <v>3.5</v>
      </c>
      <c r="G571" s="106">
        <f>+G580*0.5</f>
        <v>1</v>
      </c>
      <c r="H571" s="56">
        <f t="shared" si="55"/>
        <v>3.5</v>
      </c>
      <c r="I571" s="2"/>
    </row>
    <row r="572" spans="1:15" x14ac:dyDescent="0.25">
      <c r="A572" s="103">
        <v>19008</v>
      </c>
      <c r="B572" s="38" t="str">
        <f>IF($A572=0,"",VLOOKUP($A572,'BASE EQUIPO'!$A:$D,2))</f>
        <v>VIBRADOR</v>
      </c>
      <c r="C572" s="2"/>
      <c r="D572" s="55">
        <v>1</v>
      </c>
      <c r="E572" s="55">
        <f>IF($A572=0,"",VLOOKUP($A572,'BASE EQUIPO'!$A:$D,4))</f>
        <v>2.5</v>
      </c>
      <c r="F572" s="55">
        <f t="shared" si="54"/>
        <v>2.5</v>
      </c>
      <c r="G572" s="106">
        <f>+G581*0.5</f>
        <v>1</v>
      </c>
      <c r="H572" s="56">
        <f t="shared" si="55"/>
        <v>2.5</v>
      </c>
      <c r="I572" s="2"/>
    </row>
    <row r="573" spans="1:15" x14ac:dyDescent="0.25">
      <c r="B573" s="38" t="str">
        <f>IF($A573=0,"",VLOOKUP($A573,'BASE EQUIPO'!$A:$D,2))</f>
        <v/>
      </c>
      <c r="C573" s="2"/>
      <c r="D573" s="55"/>
      <c r="E573" s="55" t="str">
        <f>IF($A573=0,"",VLOOKUP($A573,'BASE EQUIPO'!$A:$D,4))</f>
        <v/>
      </c>
      <c r="F573" s="55" t="str">
        <f t="shared" si="54"/>
        <v/>
      </c>
      <c r="G573" s="106"/>
      <c r="H573" s="56" t="str">
        <f t="shared" si="55"/>
        <v/>
      </c>
      <c r="I573" s="2"/>
    </row>
    <row r="574" spans="1:15" x14ac:dyDescent="0.25">
      <c r="B574" s="38" t="str">
        <f>IF($A574=0,"",VLOOKUP($A574,'BASE EQUIPO'!$A:$D,2))</f>
        <v/>
      </c>
      <c r="C574" s="2"/>
      <c r="D574" s="55"/>
      <c r="E574" s="55" t="str">
        <f>IF($A574=0,"",VLOOKUP($A574,'BASE EQUIPO'!$A:$D,4))</f>
        <v/>
      </c>
      <c r="F574" s="55" t="str">
        <f t="shared" si="54"/>
        <v/>
      </c>
      <c r="G574" s="106"/>
      <c r="H574" s="56" t="str">
        <f t="shared" si="55"/>
        <v/>
      </c>
      <c r="I574" s="2"/>
    </row>
    <row r="575" spans="1:15" x14ac:dyDescent="0.25">
      <c r="B575" s="57" t="str">
        <f>IF($A575=0,"",VLOOKUP($A575,'BASE EQUIPO'!$A:$D,2))</f>
        <v/>
      </c>
      <c r="C575" s="58"/>
      <c r="D575" s="59"/>
      <c r="E575" s="59" t="str">
        <f>IF($A575=0,"",VLOOKUP($A575,'BASE EQUIPO'!$A:$D,4))</f>
        <v/>
      </c>
      <c r="F575" s="59" t="str">
        <f t="shared" si="54"/>
        <v/>
      </c>
      <c r="G575" s="107"/>
      <c r="H575" s="60" t="str">
        <f t="shared" si="55"/>
        <v/>
      </c>
      <c r="I575" s="2"/>
    </row>
    <row r="576" spans="1:15" x14ac:dyDescent="0.25">
      <c r="B576" s="57" t="s">
        <v>1692</v>
      </c>
      <c r="C576" s="58"/>
      <c r="D576" s="61"/>
      <c r="E576" s="61"/>
      <c r="F576" s="61"/>
      <c r="G576" s="62"/>
      <c r="H576" s="60">
        <f>ROUND(SUM(H569:H575),2)</f>
        <v>10.84</v>
      </c>
      <c r="I576" s="2"/>
    </row>
    <row r="577" spans="1:16" x14ac:dyDescent="0.25">
      <c r="B577" s="38" t="s">
        <v>1503</v>
      </c>
      <c r="C577" s="2"/>
      <c r="D577" s="3"/>
      <c r="E577" s="3"/>
      <c r="F577" s="3"/>
      <c r="G577" s="63"/>
      <c r="H577" s="56"/>
      <c r="I577" s="2"/>
    </row>
    <row r="578" spans="1:16" ht="25.5" x14ac:dyDescent="0.25">
      <c r="B578" s="64" t="s">
        <v>1691</v>
      </c>
      <c r="C578" s="65"/>
      <c r="D578" s="66" t="s">
        <v>1690</v>
      </c>
      <c r="E578" s="66" t="s">
        <v>1689</v>
      </c>
      <c r="F578" s="66" t="s">
        <v>1688</v>
      </c>
      <c r="G578" s="67" t="s">
        <v>1687</v>
      </c>
      <c r="H578" s="68" t="s">
        <v>1686</v>
      </c>
      <c r="I578" s="2"/>
    </row>
    <row r="579" spans="1:16" x14ac:dyDescent="0.25">
      <c r="A579" s="103">
        <v>20001</v>
      </c>
      <c r="B579" s="69" t="str">
        <f>IF($A579=0,"",VLOOKUP($A579,'BASE M-OBRA'!$A:$D,2))</f>
        <v>MAESTRO</v>
      </c>
      <c r="C579" s="2"/>
      <c r="D579" s="108">
        <v>1</v>
      </c>
      <c r="E579" s="70">
        <f>IF($A579=0,"",VLOOKUP($A579,'BASE M-OBRA'!$A:$D,4))</f>
        <v>3.02</v>
      </c>
      <c r="F579" s="55">
        <f t="shared" ref="F579:F585" si="56">IF($A579=0,"",ROUND(D579*E579,2))</f>
        <v>3.02</v>
      </c>
      <c r="G579" s="106">
        <f>IF($A579=0,"",ROUND(H579/F579,2))</f>
        <v>8.89</v>
      </c>
      <c r="H579" s="56">
        <f>IF($A579=0,"",ROUND(SUM(H580:H585)*'BASE M-OBRA'!$D$23,2))</f>
        <v>26.86</v>
      </c>
      <c r="I579" s="2"/>
    </row>
    <row r="580" spans="1:16" x14ac:dyDescent="0.25">
      <c r="A580" s="103">
        <v>20002</v>
      </c>
      <c r="B580" s="69" t="str">
        <f>IF($A580=0,"",VLOOKUP($A580,'BASE M-OBRA'!$A:$D,2))</f>
        <v>PEON</v>
      </c>
      <c r="C580" s="2"/>
      <c r="D580" s="108">
        <v>8</v>
      </c>
      <c r="E580" s="70">
        <f>IF($A580=0,"",VLOOKUP($A580,'BASE M-OBRA'!$A:$D,4))</f>
        <v>2.79</v>
      </c>
      <c r="F580" s="55">
        <f t="shared" si="56"/>
        <v>22.32</v>
      </c>
      <c r="G580" s="106">
        <v>2</v>
      </c>
      <c r="H580" s="56">
        <f t="shared" ref="H580:H585" si="57">IF($A580=0,"",ROUND(G580*F580,2))</f>
        <v>44.64</v>
      </c>
      <c r="I580" s="2"/>
      <c r="K580" s="1">
        <f>(8.94+25.32+3.68*K589)/1.2</f>
        <v>62.624074074074066</v>
      </c>
      <c r="L580" s="2">
        <f>H580+H581</f>
        <v>55.92</v>
      </c>
    </row>
    <row r="581" spans="1:16" x14ac:dyDescent="0.25">
      <c r="A581" s="103">
        <v>20003</v>
      </c>
      <c r="B581" s="69" t="str">
        <f>IF($A581=0,"",VLOOKUP($A581,'BASE M-OBRA'!$A:$D,2))</f>
        <v>ALBAÑIL</v>
      </c>
      <c r="C581" s="2"/>
      <c r="D581" s="108">
        <v>2</v>
      </c>
      <c r="E581" s="70">
        <f>IF($A581=0,"",VLOOKUP($A581,'BASE M-OBRA'!$A:$D,4))</f>
        <v>2.82</v>
      </c>
      <c r="F581" s="55">
        <f t="shared" si="56"/>
        <v>5.64</v>
      </c>
      <c r="G581" s="106">
        <f>+G580</f>
        <v>2</v>
      </c>
      <c r="H581" s="56">
        <f t="shared" si="57"/>
        <v>11.28</v>
      </c>
      <c r="I581" s="2"/>
    </row>
    <row r="582" spans="1:16" x14ac:dyDescent="0.25">
      <c r="A582" s="103">
        <v>20004</v>
      </c>
      <c r="B582" s="71" t="str">
        <f>IF($A582=0,"",VLOOKUP($A582,'BASE M-OBRA'!$A:$D,2))</f>
        <v>CARPINTERO</v>
      </c>
      <c r="C582" s="2"/>
      <c r="D582" s="108">
        <v>2</v>
      </c>
      <c r="E582" s="70">
        <f>IF($A582=0,"",VLOOKUP($A582,'BASE M-OBRA'!$A:$D,4))</f>
        <v>2.82</v>
      </c>
      <c r="F582" s="55">
        <f t="shared" si="56"/>
        <v>5.64</v>
      </c>
      <c r="G582" s="106">
        <v>10.4</v>
      </c>
      <c r="H582" s="56">
        <f t="shared" si="57"/>
        <v>58.66</v>
      </c>
      <c r="I582" s="2"/>
      <c r="K582" s="1">
        <f>(2.7*0+6.34)*K589/1.2</f>
        <v>58.703703703703695</v>
      </c>
    </row>
    <row r="583" spans="1:16" x14ac:dyDescent="0.25">
      <c r="A583" s="103">
        <v>20005</v>
      </c>
      <c r="B583" s="72" t="str">
        <f>IF($A583=0,"",VLOOKUP($A583,'BASE M-OBRA'!$A:$D,2))</f>
        <v>FIERRERO</v>
      </c>
      <c r="C583" s="2"/>
      <c r="D583" s="108">
        <v>2</v>
      </c>
      <c r="E583" s="70">
        <f>IF($A583=0,"",VLOOKUP($A583,'BASE M-OBRA'!$A:$D,4))</f>
        <v>2.82</v>
      </c>
      <c r="F583" s="55">
        <f t="shared" si="56"/>
        <v>5.64</v>
      </c>
      <c r="G583" s="106">
        <v>3.5</v>
      </c>
      <c r="H583" s="56">
        <f t="shared" si="57"/>
        <v>19.739999999999998</v>
      </c>
      <c r="I583" s="2"/>
      <c r="K583" s="1">
        <f>((F598*0.31+K589*1)/1.2)</f>
        <v>19.06444444444444</v>
      </c>
    </row>
    <row r="584" spans="1:16" x14ac:dyDescent="0.25">
      <c r="B584" s="38" t="str">
        <f>IF($A584=0,"",VLOOKUP($A584,'BASE M-OBRA'!$A:$D,2))</f>
        <v/>
      </c>
      <c r="C584" s="2"/>
      <c r="D584" s="55"/>
      <c r="E584" s="55" t="str">
        <f>IF($A584=0,"",VLOOKUP($A584,'BASE M-OBRA'!$A:$D,4))</f>
        <v/>
      </c>
      <c r="F584" s="55" t="str">
        <f t="shared" si="56"/>
        <v/>
      </c>
      <c r="G584" s="106"/>
      <c r="H584" s="56" t="str">
        <f t="shared" si="57"/>
        <v/>
      </c>
      <c r="I584" s="2"/>
    </row>
    <row r="585" spans="1:16" x14ac:dyDescent="0.25">
      <c r="B585" s="57" t="str">
        <f>IF($A585=0,"",VLOOKUP($A585,'BASE M-OBRA'!$A:$D,2))</f>
        <v/>
      </c>
      <c r="C585" s="58"/>
      <c r="D585" s="59"/>
      <c r="E585" s="59" t="str">
        <f>IF($A585=0,"",VLOOKUP($A585,'BASE M-OBRA'!$A:$D,4))</f>
        <v/>
      </c>
      <c r="F585" s="59" t="str">
        <f t="shared" si="56"/>
        <v/>
      </c>
      <c r="G585" s="107"/>
      <c r="H585" s="60" t="str">
        <f t="shared" si="57"/>
        <v/>
      </c>
      <c r="I585" s="2"/>
    </row>
    <row r="586" spans="1:16" x14ac:dyDescent="0.25">
      <c r="B586" s="73" t="s">
        <v>1685</v>
      </c>
      <c r="C586" s="65"/>
      <c r="D586" s="74"/>
      <c r="E586" s="74"/>
      <c r="F586" s="74"/>
      <c r="G586" s="74"/>
      <c r="H586" s="75">
        <f>ROUND(SUM(H578:H585),2)</f>
        <v>161.18</v>
      </c>
      <c r="I586" s="2"/>
      <c r="K586" s="1">
        <f>SUM(K580:K585)</f>
        <v>140.39222222222219</v>
      </c>
      <c r="L586" s="1">
        <f>+H586*0.09</f>
        <v>14.5062</v>
      </c>
    </row>
    <row r="587" spans="1:16" x14ac:dyDescent="0.25">
      <c r="B587" s="38" t="s">
        <v>1684</v>
      </c>
      <c r="C587" s="2"/>
      <c r="D587" s="3"/>
      <c r="E587" s="3"/>
      <c r="F587" s="3"/>
      <c r="G587" s="3"/>
      <c r="H587" s="56"/>
      <c r="I587" s="2"/>
    </row>
    <row r="588" spans="1:16" ht="25.5" x14ac:dyDescent="0.25">
      <c r="B588" s="64" t="s">
        <v>1409</v>
      </c>
      <c r="C588" s="65"/>
      <c r="D588" s="76"/>
      <c r="E588" s="66" t="s">
        <v>1408</v>
      </c>
      <c r="F588" s="66" t="s">
        <v>1679</v>
      </c>
      <c r="G588" s="66" t="s">
        <v>1683</v>
      </c>
      <c r="H588" s="68" t="s">
        <v>1675</v>
      </c>
      <c r="I588" s="2"/>
    </row>
    <row r="589" spans="1:16" x14ac:dyDescent="0.25">
      <c r="A589" s="103">
        <v>11008</v>
      </c>
      <c r="B589" s="37" t="str">
        <f>IF($A589=0,"",VLOOKUP($A589,'BASE MATERIAL'!$A:$D,2))</f>
        <v>TABLA</v>
      </c>
      <c r="C589" s="2"/>
      <c r="D589" s="77"/>
      <c r="E589" s="78" t="str">
        <f>IF($A589=0,"",VLOOKUP($A589,'BASE MATERIAL'!$A:$D,3))</f>
        <v>U</v>
      </c>
      <c r="F589" s="55">
        <f>ROUND(K589*5/(4*3),2)</f>
        <v>4.63</v>
      </c>
      <c r="G589" s="55">
        <f>IF($A589=0,"",VLOOKUP($A589,'BASE MATERIAL'!$A:$D,4))</f>
        <v>3.5</v>
      </c>
      <c r="H589" s="56">
        <f t="shared" ref="H589:H603" si="58">IF($A589=0,"",ROUND(F589*G589,2))</f>
        <v>16.21</v>
      </c>
      <c r="I589" s="2"/>
      <c r="K589" s="1">
        <f>1/(0.1*0.2*2+0.05)</f>
        <v>11.111111111111109</v>
      </c>
      <c r="L589" s="2"/>
      <c r="M589" s="2"/>
      <c r="N589" s="39"/>
      <c r="O589" s="2"/>
      <c r="P589" s="2"/>
    </row>
    <row r="590" spans="1:16" x14ac:dyDescent="0.25">
      <c r="A590" s="103">
        <v>11009</v>
      </c>
      <c r="B590" s="38" t="str">
        <f>IF($A590=0,"",VLOOKUP($A590,'BASE MATERIAL'!$A:$D,2))</f>
        <v>CUARTON</v>
      </c>
      <c r="C590" s="2"/>
      <c r="D590" s="77"/>
      <c r="E590" s="78" t="str">
        <f>IF($A590=0,"",VLOOKUP($A590,'BASE MATERIAL'!$A:$D,3))</f>
        <v>U</v>
      </c>
      <c r="F590" s="55">
        <f>ROUND(K589*8/(4*3),2)</f>
        <v>7.41</v>
      </c>
      <c r="G590" s="55">
        <f>IF($A590=0,"",VLOOKUP($A590,'BASE MATERIAL'!$A:$D,4))</f>
        <v>2.42</v>
      </c>
      <c r="H590" s="56">
        <f t="shared" si="58"/>
        <v>17.93</v>
      </c>
      <c r="I590" s="2"/>
      <c r="L590" s="2"/>
      <c r="M590" s="2"/>
      <c r="N590" s="39"/>
      <c r="O590" s="2"/>
      <c r="P590" s="2"/>
    </row>
    <row r="591" spans="1:16" x14ac:dyDescent="0.25">
      <c r="A591" s="103">
        <v>11007</v>
      </c>
      <c r="B591" s="38" t="str">
        <f>IF($A591=0,"",VLOOKUP($A591,'BASE MATERIAL'!$A:$D,2))</f>
        <v>CLAVO 2 1/2"</v>
      </c>
      <c r="C591" s="2"/>
      <c r="D591" s="77"/>
      <c r="E591" s="78" t="str">
        <f>IF($A591=0,"",VLOOKUP($A591,'BASE MATERIAL'!$A:$D,3))</f>
        <v>KG</v>
      </c>
      <c r="F591" s="55">
        <f>ROUND(K589*56/(178*1.5),2)</f>
        <v>2.33</v>
      </c>
      <c r="G591" s="55">
        <f>IF($A591=0,"",VLOOKUP($A591,'BASE MATERIAL'!$A:$D,4))</f>
        <v>2.6520000000000001</v>
      </c>
      <c r="H591" s="56">
        <f t="shared" si="58"/>
        <v>6.18</v>
      </c>
      <c r="I591" s="2"/>
      <c r="L591" s="2"/>
      <c r="M591" s="2"/>
      <c r="N591" s="39"/>
      <c r="O591" s="2"/>
      <c r="P591" s="2"/>
    </row>
    <row r="592" spans="1:16" x14ac:dyDescent="0.25">
      <c r="A592" s="103">
        <v>11010</v>
      </c>
      <c r="B592" s="38" t="str">
        <f>IF($A592=0,"",VLOOKUP($A592,'BASE MATERIAL'!$A:$D,2))</f>
        <v>TIRA</v>
      </c>
      <c r="C592" s="2"/>
      <c r="D592" s="77"/>
      <c r="E592" s="78" t="str">
        <f>IF($A592=0,"",VLOOKUP($A592,'BASE MATERIAL'!$A:$D,3))</f>
        <v>U</v>
      </c>
      <c r="F592" s="55">
        <f>ROUND(K589*4/(4*3),2)</f>
        <v>3.7</v>
      </c>
      <c r="G592" s="55">
        <f>IF($A592=0,"",VLOOKUP($A592,'BASE MATERIAL'!$A:$D,4))</f>
        <v>1.5</v>
      </c>
      <c r="H592" s="56">
        <f t="shared" si="58"/>
        <v>5.55</v>
      </c>
      <c r="I592" s="2"/>
      <c r="L592" s="2"/>
      <c r="M592" s="2"/>
      <c r="N592" s="39"/>
      <c r="O592" s="2"/>
      <c r="P592" s="2"/>
    </row>
    <row r="593" spans="1:16" x14ac:dyDescent="0.25">
      <c r="A593" s="103">
        <v>4001</v>
      </c>
      <c r="B593" s="38" t="str">
        <f>IF($A593=0,"",VLOOKUP($A593,'BASE MATERIAL'!$A:$D,2))</f>
        <v>CEMENTO</v>
      </c>
      <c r="C593" s="2"/>
      <c r="D593" s="77"/>
      <c r="E593" s="78" t="str">
        <f>IF($A593=0,"",VLOOKUP($A593,'BASE MATERIAL'!$A:$D,3))</f>
        <v>SACO</v>
      </c>
      <c r="F593" s="55">
        <f>8*1.03</f>
        <v>8.24</v>
      </c>
      <c r="G593" s="55">
        <f>IF($A593=0,"",VLOOKUP($A593,'BASE MATERIAL'!$A:$D,4))</f>
        <v>7.09</v>
      </c>
      <c r="H593" s="56">
        <f t="shared" si="58"/>
        <v>58.42</v>
      </c>
      <c r="I593" s="2"/>
      <c r="L593" s="2"/>
      <c r="M593" s="2"/>
      <c r="N593" s="39"/>
      <c r="O593" s="2"/>
      <c r="P593" s="2"/>
    </row>
    <row r="594" spans="1:16" x14ac:dyDescent="0.25">
      <c r="A594" s="103">
        <v>5004</v>
      </c>
      <c r="B594" s="38" t="str">
        <f>IF($A594=0,"",VLOOKUP($A594,'BASE MATERIAL'!$A:$D,2))</f>
        <v>ARENA</v>
      </c>
      <c r="C594" s="2"/>
      <c r="D594" s="77"/>
      <c r="E594" s="78" t="str">
        <f>IF($A594=0,"",VLOOKUP($A594,'BASE MATERIAL'!$A:$D,3))</f>
        <v>M3</v>
      </c>
      <c r="F594" s="55">
        <f>ROUND(F593*0.032*2,2)</f>
        <v>0.53</v>
      </c>
      <c r="G594" s="55">
        <f>IF($A594=0,"",VLOOKUP($A594,'BASE MATERIAL'!$A:$D,4))</f>
        <v>12.276249999999999</v>
      </c>
      <c r="H594" s="56">
        <f t="shared" si="58"/>
        <v>6.51</v>
      </c>
      <c r="I594" s="2"/>
    </row>
    <row r="595" spans="1:16" x14ac:dyDescent="0.25">
      <c r="A595" s="103">
        <v>5002</v>
      </c>
      <c r="B595" s="38" t="str">
        <f>IF($A595=0,"",VLOOKUP($A595,'BASE MATERIAL'!$A:$D,2))</f>
        <v>PIEDRA 3-4</v>
      </c>
      <c r="C595" s="2"/>
      <c r="D595" s="77"/>
      <c r="E595" s="78" t="str">
        <f>IF($A595=0,"",VLOOKUP($A595,'BASE MATERIAL'!$A:$D,3))</f>
        <v>M3</v>
      </c>
      <c r="F595" s="55">
        <f>ROUND(F593*0.032*3,2)</f>
        <v>0.79</v>
      </c>
      <c r="G595" s="55">
        <f>IF($A595=0,"",VLOOKUP($A595,'BASE MATERIAL'!$A:$D,4))</f>
        <v>13.75</v>
      </c>
      <c r="H595" s="56">
        <f t="shared" si="58"/>
        <v>10.86</v>
      </c>
      <c r="I595" s="2"/>
      <c r="L595" s="2"/>
      <c r="M595" s="2"/>
      <c r="N595" s="39"/>
      <c r="O595" s="2"/>
      <c r="P595" s="2"/>
    </row>
    <row r="596" spans="1:16" x14ac:dyDescent="0.25">
      <c r="A596" s="103">
        <v>5005</v>
      </c>
      <c r="B596" s="38" t="str">
        <f>IF($A596=0,"",VLOOKUP($A596,'BASE MATERIAL'!$A:$D,2))</f>
        <v>AGUA</v>
      </c>
      <c r="C596" s="2"/>
      <c r="D596" s="77"/>
      <c r="E596" s="78" t="str">
        <f>IF($A596=0,"",VLOOKUP($A596,'BASE MATERIAL'!$A:$D,3))</f>
        <v>LT</v>
      </c>
      <c r="F596" s="55">
        <f>26*F593</f>
        <v>214.24</v>
      </c>
      <c r="G596" s="112">
        <f>IF($A596=0,"",VLOOKUP($A596,'BASE MATERIAL'!$A:$D,4))</f>
        <v>2E-3</v>
      </c>
      <c r="H596" s="56">
        <f t="shared" si="58"/>
        <v>0.43</v>
      </c>
      <c r="I596" s="2"/>
      <c r="L596" s="2"/>
      <c r="M596" s="2"/>
      <c r="N596" s="39"/>
      <c r="O596" s="2"/>
      <c r="P596" s="2"/>
    </row>
    <row r="597" spans="1:16" x14ac:dyDescent="0.25">
      <c r="A597" s="103">
        <v>8010</v>
      </c>
      <c r="B597" s="38" t="str">
        <f>IF($A597=0,"",VLOOKUP($A597,'BASE MATERIAL'!$A:$D,2))</f>
        <v>BLOQUE DE CONCRETO PARA LOSA 19x19x39 BLL19</v>
      </c>
      <c r="C597" s="2"/>
      <c r="D597" s="77"/>
      <c r="E597" s="78" t="str">
        <f>IF($A597=0,"",VLOOKUP($A597,'BASE MATERIAL'!$A:$D,3))</f>
        <v>U</v>
      </c>
      <c r="F597" s="55">
        <f>(5*2)*K589</f>
        <v>111.11111111111109</v>
      </c>
      <c r="G597" s="55">
        <f>IF($A597=0,"",VLOOKUP($A597,'BASE MATERIAL'!$A:$D,4))</f>
        <v>0.46</v>
      </c>
      <c r="H597" s="56">
        <f t="shared" si="58"/>
        <v>51.11</v>
      </c>
      <c r="I597" s="2"/>
      <c r="L597" s="2"/>
      <c r="M597" s="2"/>
      <c r="N597" s="39"/>
      <c r="O597" s="2"/>
      <c r="P597" s="2"/>
    </row>
    <row r="598" spans="1:16" x14ac:dyDescent="0.25">
      <c r="A598" s="103">
        <v>1001</v>
      </c>
      <c r="B598" s="38" t="str">
        <f>IF($A598=0,"",VLOOKUP($A598,'BASE MATERIAL'!$A:$D,2))</f>
        <v>HIERRO</v>
      </c>
      <c r="C598" s="2"/>
      <c r="D598" s="77"/>
      <c r="E598" s="78" t="str">
        <f>IF($A598=0,"",VLOOKUP($A598,'BASE MATERIAL'!$A:$D,3))</f>
        <v>KG</v>
      </c>
      <c r="F598" s="55">
        <f>(2*2*0.617+8*0.3*0.395)*K589</f>
        <v>37.955555555555549</v>
      </c>
      <c r="G598" s="55">
        <f>IF($A598=0,"",VLOOKUP($A598,'BASE MATERIAL'!$A:$D,4))</f>
        <v>1.17</v>
      </c>
      <c r="H598" s="56">
        <f t="shared" si="58"/>
        <v>44.41</v>
      </c>
      <c r="I598" s="2"/>
      <c r="K598" s="1">
        <f>(2*2*0.617+8*0.3*0.395)</f>
        <v>3.4159999999999999</v>
      </c>
      <c r="L598" s="2"/>
      <c r="M598" s="2"/>
      <c r="N598" s="39"/>
      <c r="O598" s="2"/>
      <c r="P598" s="2"/>
    </row>
    <row r="599" spans="1:16" x14ac:dyDescent="0.25">
      <c r="A599" s="103">
        <v>11002</v>
      </c>
      <c r="B599" s="38" t="str">
        <f>IF($A599=0,"",VLOOKUP($A599,'BASE MATERIAL'!$A:$D,2))</f>
        <v>ALAMBRE #18 RECOCIDO</v>
      </c>
      <c r="C599" s="2"/>
      <c r="D599" s="77"/>
      <c r="E599" s="78" t="str">
        <f>IF($A599=0,"",VLOOKUP($A599,'BASE MATERIAL'!$A:$D,3))</f>
        <v>KG</v>
      </c>
      <c r="F599" s="55">
        <f>+F598*0.03</f>
        <v>1.1386666666666665</v>
      </c>
      <c r="G599" s="55">
        <f>IF($A599=0,"",VLOOKUP($A599,'BASE MATERIAL'!$A:$D,4))</f>
        <v>1.87</v>
      </c>
      <c r="H599" s="56">
        <f t="shared" si="58"/>
        <v>2.13</v>
      </c>
      <c r="I599" s="2"/>
      <c r="L599" s="2"/>
      <c r="M599" s="2"/>
      <c r="N599" s="39"/>
      <c r="O599" s="2"/>
      <c r="P599" s="2"/>
    </row>
    <row r="600" spans="1:16" x14ac:dyDescent="0.25">
      <c r="A600" s="103">
        <v>11005</v>
      </c>
      <c r="B600" s="38" t="str">
        <f>IF($A600=0,"",VLOOKUP($A600,'BASE MATERIAL'!$A:$D,2))</f>
        <v>CAÑA</v>
      </c>
      <c r="C600" s="2"/>
      <c r="D600" s="77"/>
      <c r="E600" s="78" t="str">
        <f>IF($A600=0,"",VLOOKUP($A600,'BASE MATERIAL'!$A:$D,3))</f>
        <v>U</v>
      </c>
      <c r="F600" s="55">
        <f>2*K589</f>
        <v>22.222222222222218</v>
      </c>
      <c r="G600" s="55">
        <f>IF($A600=0,"",VLOOKUP($A600,'BASE MATERIAL'!$A:$D,4))</f>
        <v>2</v>
      </c>
      <c r="H600" s="56">
        <f t="shared" si="58"/>
        <v>44.44</v>
      </c>
      <c r="I600" s="2"/>
      <c r="L600" s="2"/>
      <c r="M600" s="2"/>
      <c r="N600" s="39"/>
      <c r="O600" s="2"/>
      <c r="P600" s="2"/>
    </row>
    <row r="601" spans="1:16" x14ac:dyDescent="0.25">
      <c r="A601" s="103">
        <v>14029</v>
      </c>
      <c r="B601" s="38" t="str">
        <f>IF($A601=0,"",VLOOKUP($A601,'BASE MATERIAL'!$A:$D,2))</f>
        <v>MALLA ELEC 5,5mm c/15cm</v>
      </c>
      <c r="C601" s="2"/>
      <c r="D601" s="77"/>
      <c r="E601" s="78" t="str">
        <f>IF($A601=0,"",VLOOKUP($A601,'BASE MATERIAL'!$A:$D,3))</f>
        <v>M2</v>
      </c>
      <c r="F601" s="55">
        <f>K589</f>
        <v>11.111111111111109</v>
      </c>
      <c r="G601" s="55">
        <f>IF($A601=0,"",VLOOKUP($A601,'BASE MATERIAL'!$A:$D,4))</f>
        <v>3.5481600000000006</v>
      </c>
      <c r="H601" s="56">
        <f t="shared" si="58"/>
        <v>39.42</v>
      </c>
      <c r="I601" s="2"/>
      <c r="K601" s="1">
        <f>8*2*0.222</f>
        <v>3.552</v>
      </c>
    </row>
    <row r="602" spans="1:16" x14ac:dyDescent="0.25">
      <c r="B602" s="38" t="str">
        <f>IF($A602=0,"",VLOOKUP($A602,'BASE MATERIAL'!$A:$D,2))</f>
        <v/>
      </c>
      <c r="C602" s="2"/>
      <c r="D602" s="77"/>
      <c r="E602" s="78" t="str">
        <f>IF($A602=0,"",VLOOKUP($A602,'BASE MATERIAL'!$A:$D,3))</f>
        <v/>
      </c>
      <c r="F602" s="55"/>
      <c r="G602" s="55" t="str">
        <f>IF($A602=0,"",VLOOKUP($A602,'BASE MATERIAL'!$A:$D,4))</f>
        <v/>
      </c>
      <c r="H602" s="56" t="str">
        <f t="shared" si="58"/>
        <v/>
      </c>
      <c r="I602" s="2"/>
    </row>
    <row r="603" spans="1:16" x14ac:dyDescent="0.25">
      <c r="B603" s="38" t="str">
        <f>IF($A603=0,"",VLOOKUP($A603,'BASE MATERIAL'!$A:$D,2))</f>
        <v/>
      </c>
      <c r="C603" s="2"/>
      <c r="D603" s="77"/>
      <c r="E603" s="78" t="str">
        <f>IF($A603=0,"",VLOOKUP($A603,'BASE MATERIAL'!$A:$D,3))</f>
        <v/>
      </c>
      <c r="F603" s="55"/>
      <c r="G603" s="55" t="str">
        <f>IF($A603=0,"",VLOOKUP($A603,'BASE MATERIAL'!$A:$D,4))</f>
        <v/>
      </c>
      <c r="H603" s="56" t="str">
        <f t="shared" si="58"/>
        <v/>
      </c>
      <c r="I603" s="2"/>
    </row>
    <row r="604" spans="1:16" x14ac:dyDescent="0.25">
      <c r="B604" s="38" t="str">
        <f>IF($A604=0,"",VLOOKUP($A604,'BASE MATERIAL'!$A:$D,2))</f>
        <v/>
      </c>
      <c r="C604" s="2"/>
      <c r="D604" s="81" t="s">
        <v>1682</v>
      </c>
      <c r="E604" s="55" t="str">
        <f>IF($A604=0,"",VLOOKUP($A604,'BASE MATERIAL'!$A:$D,3))</f>
        <v/>
      </c>
      <c r="F604" s="55" t="s">
        <v>1682</v>
      </c>
      <c r="G604" s="55" t="str">
        <f>IF($A604=0,"",VLOOKUP($A604,'BASE MATERIAL'!$A:$D,4))</f>
        <v/>
      </c>
      <c r="H604" s="56" t="str">
        <f>IF($A604=0,"",ROUND(E604*F604,2))</f>
        <v/>
      </c>
      <c r="I604" s="2"/>
    </row>
    <row r="605" spans="1:16" x14ac:dyDescent="0.25">
      <c r="B605" s="73" t="s">
        <v>1681</v>
      </c>
      <c r="C605" s="65"/>
      <c r="D605" s="74"/>
      <c r="E605" s="74"/>
      <c r="F605" s="74"/>
      <c r="G605" s="74"/>
      <c r="H605" s="75">
        <f>ROUND(SUM(H588:H604),2)</f>
        <v>303.60000000000002</v>
      </c>
      <c r="I605" s="2"/>
      <c r="L605" s="1">
        <f>+H605*0.09</f>
        <v>27.324000000000002</v>
      </c>
    </row>
    <row r="606" spans="1:16" x14ac:dyDescent="0.25">
      <c r="B606" s="38" t="s">
        <v>1680</v>
      </c>
      <c r="C606" s="2"/>
      <c r="D606" s="3"/>
      <c r="E606" s="3"/>
      <c r="F606" s="3"/>
      <c r="G606" s="3"/>
      <c r="H606" s="56"/>
      <c r="I606" s="2"/>
    </row>
    <row r="607" spans="1:16" ht="25.5" x14ac:dyDescent="0.25">
      <c r="B607" s="64" t="s">
        <v>1409</v>
      </c>
      <c r="C607" s="65"/>
      <c r="D607" s="76"/>
      <c r="E607" s="66" t="s">
        <v>1408</v>
      </c>
      <c r="F607" s="66" t="s">
        <v>1679</v>
      </c>
      <c r="G607" s="66" t="s">
        <v>1676</v>
      </c>
      <c r="H607" s="68" t="s">
        <v>1675</v>
      </c>
      <c r="I607" s="2"/>
    </row>
    <row r="608" spans="1:16" x14ac:dyDescent="0.25">
      <c r="A608" s="103">
        <v>19019</v>
      </c>
      <c r="B608" s="51" t="str">
        <f>IF($A608=0,"",VLOOKUP($A608,'BASE EQUIPO'!$A:$D,2))</f>
        <v>TRANSPORTE DE MATERIAL</v>
      </c>
      <c r="C608" s="52"/>
      <c r="D608" s="82"/>
      <c r="E608" s="78" t="str">
        <f>IF($A608=0,"",VLOOKUP($A608,'BASE EQUIPO'!$A:$D,3))</f>
        <v>GLOBAL</v>
      </c>
      <c r="F608" s="55">
        <v>1</v>
      </c>
      <c r="G608" s="83">
        <f>IF($A608=0,"",VLOOKUP($A608,'BASE EQUIPO'!$A:$D,4)*H605)</f>
        <v>9.1080000000000005</v>
      </c>
      <c r="H608" s="56">
        <f>IF($A608=0,"",ROUND(F608*G608,2))</f>
        <v>9.11</v>
      </c>
      <c r="I608" s="2"/>
    </row>
    <row r="609" spans="1:15" x14ac:dyDescent="0.25">
      <c r="B609" s="38" t="str">
        <f>IF($A609=0,"",VLOOKUP($A609,'BASE EQUIPO'!$A:$D,2))</f>
        <v/>
      </c>
      <c r="C609" s="2"/>
      <c r="D609" s="84"/>
      <c r="E609" s="78" t="str">
        <f>IF($A609=0,"",VLOOKUP($A609,'BASE EQUIPO'!$A:$D,3))</f>
        <v/>
      </c>
      <c r="F609" s="55"/>
      <c r="G609" s="55" t="str">
        <f>IF($A609=0,"",VLOOKUP($A609,'BASE EQUIPO'!$A:$D,4)*H606)</f>
        <v/>
      </c>
      <c r="H609" s="56" t="str">
        <f>IF($A609=0,"",ROUND(F609*G609,2))</f>
        <v/>
      </c>
      <c r="I609" s="2"/>
    </row>
    <row r="610" spans="1:15" x14ac:dyDescent="0.25">
      <c r="B610" s="57" t="str">
        <f>IF($A610=0,"",VLOOKUP($A610,'BASE EQUIPO'!$A:$D,2))</f>
        <v/>
      </c>
      <c r="C610" s="58"/>
      <c r="D610" s="85"/>
      <c r="E610" s="86" t="str">
        <f>IF($A610=0,"",VLOOKUP($A610,'BASE EQUIPO'!$A:$D,3))</f>
        <v/>
      </c>
      <c r="F610" s="59"/>
      <c r="G610" s="59" t="str">
        <f>IF($A610=0,"",VLOOKUP($A610,'BASE EQUIPO'!$A:$D,4)*H607)</f>
        <v/>
      </c>
      <c r="H610" s="60" t="str">
        <f>IF($A610=0,"",ROUND(F610*G610,2))</f>
        <v/>
      </c>
      <c r="I610" s="2"/>
    </row>
    <row r="611" spans="1:15" ht="15.75" thickBot="1" x14ac:dyDescent="0.3">
      <c r="B611" s="87" t="s">
        <v>1674</v>
      </c>
      <c r="C611" s="88"/>
      <c r="D611" s="89"/>
      <c r="E611" s="89"/>
      <c r="F611" s="89"/>
      <c r="G611" s="89"/>
      <c r="H611" s="90">
        <f>ROUND(SUM(H607:H610),2)</f>
        <v>9.11</v>
      </c>
      <c r="I611" s="2"/>
    </row>
    <row r="612" spans="1:15" ht="15.75" x14ac:dyDescent="0.25">
      <c r="B612" s="2"/>
      <c r="C612" s="2"/>
      <c r="D612" s="91" t="s">
        <v>1673</v>
      </c>
      <c r="E612" s="47"/>
      <c r="F612" s="47"/>
      <c r="G612" s="47"/>
      <c r="H612" s="92">
        <f>ROUND(SUM(H611,H605,H586,H576),2)</f>
        <v>484.73</v>
      </c>
      <c r="I612" s="2"/>
    </row>
    <row r="613" spans="1:15" ht="15.75" x14ac:dyDescent="0.25">
      <c r="A613" s="103">
        <v>40002</v>
      </c>
      <c r="B613" s="2"/>
      <c r="C613" s="2"/>
      <c r="D613" s="93" t="s">
        <v>1672</v>
      </c>
      <c r="E613" s="65"/>
      <c r="F613" s="65"/>
      <c r="G613" s="94">
        <f>IF($A613=0,"",VLOOKUP($A613,'BASE MATERIAL'!$M:$P,4))</f>
        <v>0</v>
      </c>
      <c r="H613" s="95">
        <f>IF($A613=0,"",ROUND(G613*H612,2))</f>
        <v>0</v>
      </c>
      <c r="I613" s="2"/>
    </row>
    <row r="614" spans="1:15" ht="15.75" x14ac:dyDescent="0.25">
      <c r="A614" s="103">
        <v>40003</v>
      </c>
      <c r="B614" s="2"/>
      <c r="C614" s="2"/>
      <c r="D614" s="93" t="s">
        <v>1671</v>
      </c>
      <c r="E614" s="65"/>
      <c r="F614" s="65"/>
      <c r="G614" s="94">
        <f>IF($A614=0,"",VLOOKUP($A614,'BASE MATERIAL'!$M:$P,4))</f>
        <v>0</v>
      </c>
      <c r="H614" s="95">
        <f>IF($A614=0,"",ROUND(G614*H612,2))</f>
        <v>0</v>
      </c>
      <c r="I614" s="2"/>
    </row>
    <row r="615" spans="1:15" ht="15.75" x14ac:dyDescent="0.25">
      <c r="B615" s="2"/>
      <c r="C615" s="2"/>
      <c r="D615" s="93" t="s">
        <v>1670</v>
      </c>
      <c r="E615" s="65"/>
      <c r="F615" s="65"/>
      <c r="G615" s="65"/>
      <c r="H615" s="96">
        <f>ROUND(SUM(H612:H614),2)</f>
        <v>484.73</v>
      </c>
      <c r="I615" s="2"/>
    </row>
    <row r="616" spans="1:15" ht="16.5" thickBot="1" x14ac:dyDescent="0.3">
      <c r="B616" s="25"/>
      <c r="C616" s="2"/>
      <c r="D616" s="97" t="s">
        <v>1650</v>
      </c>
      <c r="E616" s="88"/>
      <c r="F616" s="88"/>
      <c r="G616" s="88"/>
      <c r="H616" s="98">
        <f>ROUND(H615,2)</f>
        <v>484.73</v>
      </c>
      <c r="I616" s="2"/>
    </row>
    <row r="617" spans="1:15" ht="15.75" x14ac:dyDescent="0.25">
      <c r="B617" s="34" t="s">
        <v>1701</v>
      </c>
      <c r="C617" s="2"/>
      <c r="D617" s="3" t="str">
        <f>$D$1</f>
        <v>ESPOL</v>
      </c>
      <c r="E617" s="2"/>
      <c r="F617" s="2"/>
      <c r="H617" s="2" t="s">
        <v>108</v>
      </c>
      <c r="I617" s="2"/>
      <c r="L617" s="40">
        <f>A621</f>
        <v>6</v>
      </c>
      <c r="M617" s="1" t="str">
        <f>C622</f>
        <v>Losa Hormigon armado e= 20cm</v>
      </c>
      <c r="N617" s="2" t="str">
        <f>H621</f>
        <v>m3</v>
      </c>
      <c r="O617" s="2">
        <f>H672</f>
        <v>270.98</v>
      </c>
    </row>
    <row r="618" spans="1:15" ht="15.75" x14ac:dyDescent="0.25">
      <c r="B618" s="34" t="s">
        <v>1700</v>
      </c>
      <c r="C618" s="3">
        <f>'1.1'!$C$2</f>
        <v>0</v>
      </c>
      <c r="D618" s="2"/>
      <c r="E618" s="2"/>
      <c r="F618" s="2"/>
      <c r="G618" s="41" t="s">
        <v>1699</v>
      </c>
      <c r="H618" s="42"/>
      <c r="I618" s="2" t="s">
        <v>1698</v>
      </c>
    </row>
    <row r="619" spans="1:15" ht="15.75" x14ac:dyDescent="0.25">
      <c r="B619" s="34"/>
      <c r="C619" s="3">
        <f>'1.1'!$C$3</f>
        <v>0</v>
      </c>
      <c r="D619" s="2"/>
      <c r="E619" s="2"/>
      <c r="F619" s="2"/>
      <c r="G619" s="2"/>
      <c r="H619" s="2"/>
      <c r="I619" s="2"/>
    </row>
    <row r="620" spans="1:15" ht="15.75" x14ac:dyDescent="0.25">
      <c r="B620" s="34" t="s">
        <v>1697</v>
      </c>
      <c r="C620" s="3"/>
      <c r="D620" s="2"/>
      <c r="E620" s="2"/>
      <c r="F620" s="2"/>
      <c r="G620" s="2"/>
      <c r="H620" s="2"/>
      <c r="I620" s="2"/>
    </row>
    <row r="621" spans="1:15" x14ac:dyDescent="0.25">
      <c r="A621" s="104">
        <v>6</v>
      </c>
      <c r="B621" s="2" t="s">
        <v>1586</v>
      </c>
      <c r="C621" s="36" t="s">
        <v>624</v>
      </c>
      <c r="D621" s="2"/>
      <c r="G621" s="2" t="s">
        <v>1696</v>
      </c>
      <c r="H621" s="3" t="s">
        <v>1521</v>
      </c>
      <c r="I621" s="2"/>
    </row>
    <row r="622" spans="1:15" x14ac:dyDescent="0.25">
      <c r="B622" s="1" t="s">
        <v>1585</v>
      </c>
      <c r="C622" s="36" t="s">
        <v>1391</v>
      </c>
      <c r="D622" s="2"/>
      <c r="E622" s="2"/>
      <c r="F622" s="2"/>
      <c r="G622" s="2"/>
      <c r="H622" s="2"/>
      <c r="I622" s="2"/>
    </row>
    <row r="623" spans="1:15" ht="15.75" thickBot="1" x14ac:dyDescent="0.3">
      <c r="D623" s="2"/>
      <c r="E623" s="2"/>
      <c r="F623" s="2"/>
      <c r="G623" s="2"/>
      <c r="H623" s="2"/>
      <c r="I623" s="2"/>
    </row>
    <row r="624" spans="1:15" ht="15.75" thickBot="1" x14ac:dyDescent="0.3">
      <c r="B624" s="43" t="s">
        <v>1695</v>
      </c>
      <c r="C624" s="44"/>
      <c r="D624" s="44"/>
      <c r="E624" s="44"/>
      <c r="F624" s="44"/>
      <c r="G624" s="44"/>
      <c r="H624" s="45"/>
      <c r="I624" s="2"/>
    </row>
    <row r="625" spans="1:11" ht="25.5" x14ac:dyDescent="0.25">
      <c r="B625" s="46" t="s">
        <v>1409</v>
      </c>
      <c r="C625" s="47"/>
      <c r="D625" s="48" t="s">
        <v>1690</v>
      </c>
      <c r="E625" s="48" t="s">
        <v>1694</v>
      </c>
      <c r="F625" s="48" t="s">
        <v>1693</v>
      </c>
      <c r="G625" s="49" t="s">
        <v>1687</v>
      </c>
      <c r="H625" s="50" t="s">
        <v>1686</v>
      </c>
      <c r="I625" s="2"/>
    </row>
    <row r="626" spans="1:11" x14ac:dyDescent="0.25">
      <c r="A626" s="103">
        <v>19015</v>
      </c>
      <c r="B626" s="51" t="str">
        <f>IF($A626=0,"",VLOOKUP($A626,'BASE EQUIPO'!$A:$D,2))</f>
        <v>HERRAMIENTA MENOR</v>
      </c>
      <c r="C626" s="52"/>
      <c r="D626" s="53">
        <v>1</v>
      </c>
      <c r="E626" s="53">
        <f>IF($A626=0,"",VLOOKUP($A626,'BASE EQUIPO'!$A:$D,4)*H642)</f>
        <v>2.2766999999999999</v>
      </c>
      <c r="F626" s="53">
        <f t="shared" ref="F626:F631" si="59">IF($A626=0,"",ROUND(D626*E626,2))</f>
        <v>2.2799999999999998</v>
      </c>
      <c r="G626" s="105">
        <v>1</v>
      </c>
      <c r="H626" s="54">
        <f t="shared" ref="H626:H631" si="60">IF($A626=0,"",ROUND(G626*F626,2))</f>
        <v>2.2799999999999998</v>
      </c>
      <c r="I626" s="2"/>
    </row>
    <row r="627" spans="1:11" x14ac:dyDescent="0.25">
      <c r="A627" s="103">
        <v>19003</v>
      </c>
      <c r="B627" s="38" t="str">
        <f>IF($A627=0,"",VLOOKUP($A627,'BASE EQUIPO'!$A:$D,2))</f>
        <v>CONCRETERA</v>
      </c>
      <c r="C627" s="2"/>
      <c r="D627" s="55">
        <v>1</v>
      </c>
      <c r="E627" s="55">
        <f>IF($A627=0,"",VLOOKUP($A627,'BASE EQUIPO'!$A:$D,4))</f>
        <v>3.5</v>
      </c>
      <c r="F627" s="55">
        <f t="shared" si="59"/>
        <v>3.5</v>
      </c>
      <c r="G627" s="106">
        <f>+G636*0.5</f>
        <v>0.42499999999999999</v>
      </c>
      <c r="H627" s="56">
        <f t="shared" si="60"/>
        <v>1.49</v>
      </c>
      <c r="I627" s="2"/>
    </row>
    <row r="628" spans="1:11" x14ac:dyDescent="0.25">
      <c r="A628" s="103">
        <v>19008</v>
      </c>
      <c r="B628" s="38" t="str">
        <f>IF($A628=0,"",VLOOKUP($A628,'BASE EQUIPO'!$A:$D,2))</f>
        <v>VIBRADOR</v>
      </c>
      <c r="C628" s="2"/>
      <c r="D628" s="55">
        <v>1</v>
      </c>
      <c r="E628" s="55">
        <f>IF($A628=0,"",VLOOKUP($A628,'BASE EQUIPO'!$A:$D,4))</f>
        <v>2.5</v>
      </c>
      <c r="F628" s="55">
        <f t="shared" si="59"/>
        <v>2.5</v>
      </c>
      <c r="G628" s="106">
        <f>+G637*0.5</f>
        <v>0.42499999999999999</v>
      </c>
      <c r="H628" s="56">
        <f t="shared" si="60"/>
        <v>1.06</v>
      </c>
      <c r="I628" s="2"/>
    </row>
    <row r="629" spans="1:11" x14ac:dyDescent="0.25">
      <c r="B629" s="38" t="str">
        <f>IF($A629=0,"",VLOOKUP($A629,'BASE EQUIPO'!$A:$D,2))</f>
        <v/>
      </c>
      <c r="C629" s="2"/>
      <c r="D629" s="55"/>
      <c r="E629" s="55" t="str">
        <f>IF($A629=0,"",VLOOKUP($A629,'BASE EQUIPO'!$A:$D,4))</f>
        <v/>
      </c>
      <c r="F629" s="55" t="str">
        <f t="shared" si="59"/>
        <v/>
      </c>
      <c r="G629" s="106"/>
      <c r="H629" s="56" t="str">
        <f t="shared" si="60"/>
        <v/>
      </c>
      <c r="I629" s="2"/>
    </row>
    <row r="630" spans="1:11" x14ac:dyDescent="0.25">
      <c r="B630" s="38" t="str">
        <f>IF($A630=0,"",VLOOKUP($A630,'BASE EQUIPO'!$A:$D,2))</f>
        <v/>
      </c>
      <c r="C630" s="2"/>
      <c r="D630" s="55"/>
      <c r="E630" s="55" t="str">
        <f>IF($A630=0,"",VLOOKUP($A630,'BASE EQUIPO'!$A:$D,4))</f>
        <v/>
      </c>
      <c r="F630" s="55" t="str">
        <f t="shared" si="59"/>
        <v/>
      </c>
      <c r="G630" s="106"/>
      <c r="H630" s="56" t="str">
        <f t="shared" si="60"/>
        <v/>
      </c>
      <c r="I630" s="2"/>
    </row>
    <row r="631" spans="1:11" x14ac:dyDescent="0.25">
      <c r="B631" s="57" t="str">
        <f>IF($A631=0,"",VLOOKUP($A631,'BASE EQUIPO'!$A:$D,2))</f>
        <v/>
      </c>
      <c r="C631" s="58"/>
      <c r="D631" s="59"/>
      <c r="E631" s="59" t="str">
        <f>IF($A631=0,"",VLOOKUP($A631,'BASE EQUIPO'!$A:$D,4))</f>
        <v/>
      </c>
      <c r="F631" s="59" t="str">
        <f t="shared" si="59"/>
        <v/>
      </c>
      <c r="G631" s="107"/>
      <c r="H631" s="60" t="str">
        <f t="shared" si="60"/>
        <v/>
      </c>
      <c r="I631" s="2"/>
    </row>
    <row r="632" spans="1:11" x14ac:dyDescent="0.25">
      <c r="B632" s="57" t="s">
        <v>1692</v>
      </c>
      <c r="C632" s="58"/>
      <c r="D632" s="61"/>
      <c r="E632" s="61"/>
      <c r="F632" s="61"/>
      <c r="G632" s="62"/>
      <c r="H632" s="60">
        <f>ROUND(SUM(H625:H631),2)</f>
        <v>4.83</v>
      </c>
      <c r="I632" s="2"/>
    </row>
    <row r="633" spans="1:11" x14ac:dyDescent="0.25">
      <c r="B633" s="38" t="s">
        <v>1503</v>
      </c>
      <c r="C633" s="2"/>
      <c r="D633" s="3"/>
      <c r="E633" s="3"/>
      <c r="F633" s="3"/>
      <c r="G633" s="63"/>
      <c r="H633" s="56"/>
      <c r="I633" s="2"/>
    </row>
    <row r="634" spans="1:11" ht="25.5" x14ac:dyDescent="0.25">
      <c r="B634" s="64" t="s">
        <v>1691</v>
      </c>
      <c r="C634" s="65"/>
      <c r="D634" s="66" t="s">
        <v>1690</v>
      </c>
      <c r="E634" s="66" t="s">
        <v>1689</v>
      </c>
      <c r="F634" s="66" t="s">
        <v>1688</v>
      </c>
      <c r="G634" s="67" t="s">
        <v>1687</v>
      </c>
      <c r="H634" s="68" t="s">
        <v>1686</v>
      </c>
      <c r="I634" s="2"/>
    </row>
    <row r="635" spans="1:11" x14ac:dyDescent="0.25">
      <c r="A635" s="103">
        <v>20001</v>
      </c>
      <c r="B635" s="69" t="str">
        <f>IF($A635=0,"",VLOOKUP($A635,'BASE M-OBRA'!$A:$D,2))</f>
        <v>MAESTRO</v>
      </c>
      <c r="C635" s="2"/>
      <c r="D635" s="108">
        <v>1</v>
      </c>
      <c r="E635" s="70">
        <f>IF($A635=0,"",VLOOKUP($A635,'BASE M-OBRA'!$A:$D,4))</f>
        <v>3.02</v>
      </c>
      <c r="F635" s="55">
        <f t="shared" ref="F635:F641" si="61">IF($A635=0,"",ROUND(D635*E635,2))</f>
        <v>3.02</v>
      </c>
      <c r="G635" s="106">
        <f>IF($A635=0,"",ROUND(H635/F635,2))</f>
        <v>4.1900000000000004</v>
      </c>
      <c r="H635" s="56">
        <f>IF($A635=0,"",ROUND(SUM(H636:H641)*'BASE M-OBRA'!$D$23,2))</f>
        <v>12.65</v>
      </c>
      <c r="I635" s="2"/>
    </row>
    <row r="636" spans="1:11" x14ac:dyDescent="0.25">
      <c r="A636" s="103">
        <v>20002</v>
      </c>
      <c r="B636" s="69" t="str">
        <f>IF($A636=0,"",VLOOKUP($A636,'BASE M-OBRA'!$A:$D,2))</f>
        <v>PEON</v>
      </c>
      <c r="C636" s="2"/>
      <c r="D636" s="108">
        <v>8</v>
      </c>
      <c r="E636" s="70">
        <f>IF($A636=0,"",VLOOKUP($A636,'BASE M-OBRA'!$A:$D,4))</f>
        <v>2.79</v>
      </c>
      <c r="F636" s="55">
        <f t="shared" si="61"/>
        <v>22.32</v>
      </c>
      <c r="G636" s="106">
        <v>0.85</v>
      </c>
      <c r="H636" s="56">
        <f t="shared" ref="H636:H641" si="62">IF($A636=0,"",ROUND(G636*F636,2))</f>
        <v>18.97</v>
      </c>
      <c r="I636" s="2"/>
    </row>
    <row r="637" spans="1:11" x14ac:dyDescent="0.25">
      <c r="A637" s="103">
        <v>20003</v>
      </c>
      <c r="B637" s="69" t="str">
        <f>IF($A637=0,"",VLOOKUP($A637,'BASE M-OBRA'!$A:$D,2))</f>
        <v>ALBAÑIL</v>
      </c>
      <c r="C637" s="2"/>
      <c r="D637" s="108">
        <v>2</v>
      </c>
      <c r="E637" s="70">
        <f>IF($A637=0,"",VLOOKUP($A637,'BASE M-OBRA'!$A:$D,4))</f>
        <v>2.82</v>
      </c>
      <c r="F637" s="55">
        <f t="shared" si="61"/>
        <v>5.64</v>
      </c>
      <c r="G637" s="106">
        <f>+G636</f>
        <v>0.85</v>
      </c>
      <c r="H637" s="56">
        <f t="shared" si="62"/>
        <v>4.79</v>
      </c>
      <c r="I637" s="2"/>
    </row>
    <row r="638" spans="1:11" x14ac:dyDescent="0.25">
      <c r="A638" s="103">
        <v>20004</v>
      </c>
      <c r="B638" s="71" t="str">
        <f>IF($A638=0,"",VLOOKUP($A638,'BASE M-OBRA'!$A:$D,2))</f>
        <v>CARPINTERO</v>
      </c>
      <c r="C638" s="2"/>
      <c r="D638" s="108">
        <v>2</v>
      </c>
      <c r="E638" s="70">
        <f>IF($A638=0,"",VLOOKUP($A638,'BASE M-OBRA'!$A:$D,4))</f>
        <v>2.82</v>
      </c>
      <c r="F638" s="55">
        <f t="shared" si="61"/>
        <v>5.64</v>
      </c>
      <c r="G638" s="106">
        <v>3</v>
      </c>
      <c r="H638" s="56">
        <f t="shared" si="62"/>
        <v>16.920000000000002</v>
      </c>
      <c r="I638" s="2"/>
      <c r="K638" s="1">
        <f>K645*2.9</f>
        <v>14.5</v>
      </c>
    </row>
    <row r="639" spans="1:11" x14ac:dyDescent="0.25">
      <c r="A639" s="103">
        <v>20005</v>
      </c>
      <c r="B639" s="72" t="str">
        <f>IF($A639=0,"",VLOOKUP($A639,'BASE M-OBRA'!$A:$D,2))</f>
        <v>FIERRERO</v>
      </c>
      <c r="C639" s="2"/>
      <c r="D639" s="108">
        <v>2</v>
      </c>
      <c r="E639" s="70">
        <f>IF($A639=0,"",VLOOKUP($A639,'BASE M-OBRA'!$A:$D,4))</f>
        <v>2.82</v>
      </c>
      <c r="F639" s="55">
        <f t="shared" si="61"/>
        <v>5.64</v>
      </c>
      <c r="G639" s="106">
        <v>4</v>
      </c>
      <c r="H639" s="56">
        <f t="shared" si="62"/>
        <v>22.56</v>
      </c>
      <c r="I639" s="2"/>
      <c r="K639" s="1">
        <f>F654*0.3</f>
        <v>18</v>
      </c>
    </row>
    <row r="640" spans="1:11" x14ac:dyDescent="0.25">
      <c r="B640" s="38" t="str">
        <f>IF($A640=0,"",VLOOKUP($A640,'BASE M-OBRA'!$A:$D,2))</f>
        <v/>
      </c>
      <c r="C640" s="2"/>
      <c r="D640" s="55"/>
      <c r="E640" s="55" t="str">
        <f>IF($A640=0,"",VLOOKUP($A640,'BASE M-OBRA'!$A:$D,4))</f>
        <v/>
      </c>
      <c r="F640" s="55" t="str">
        <f t="shared" si="61"/>
        <v/>
      </c>
      <c r="G640" s="106"/>
      <c r="H640" s="56" t="str">
        <f t="shared" si="62"/>
        <v/>
      </c>
      <c r="I640" s="2"/>
    </row>
    <row r="641" spans="1:16" x14ac:dyDescent="0.25">
      <c r="B641" s="57" t="str">
        <f>IF($A641=0,"",VLOOKUP($A641,'BASE M-OBRA'!$A:$D,2))</f>
        <v/>
      </c>
      <c r="C641" s="58"/>
      <c r="D641" s="59"/>
      <c r="E641" s="59" t="str">
        <f>IF($A641=0,"",VLOOKUP($A641,'BASE M-OBRA'!$A:$D,4))</f>
        <v/>
      </c>
      <c r="F641" s="59" t="str">
        <f t="shared" si="61"/>
        <v/>
      </c>
      <c r="G641" s="107"/>
      <c r="H641" s="60" t="str">
        <f t="shared" si="62"/>
        <v/>
      </c>
      <c r="I641" s="2"/>
    </row>
    <row r="642" spans="1:16" x14ac:dyDescent="0.25">
      <c r="B642" s="73" t="s">
        <v>1685</v>
      </c>
      <c r="C642" s="65"/>
      <c r="D642" s="74"/>
      <c r="E642" s="74"/>
      <c r="F642" s="74"/>
      <c r="G642" s="74"/>
      <c r="H642" s="75">
        <f>ROUND(SUM(H634:H641),2)</f>
        <v>75.89</v>
      </c>
      <c r="I642" s="2"/>
      <c r="K642" s="1">
        <f>SUM(K638:K641)</f>
        <v>32.5</v>
      </c>
    </row>
    <row r="643" spans="1:16" x14ac:dyDescent="0.25">
      <c r="B643" s="38" t="s">
        <v>1684</v>
      </c>
      <c r="C643" s="2"/>
      <c r="D643" s="3"/>
      <c r="E643" s="3"/>
      <c r="F643" s="3"/>
      <c r="G643" s="3"/>
      <c r="H643" s="56"/>
      <c r="I643" s="2"/>
    </row>
    <row r="644" spans="1:16" ht="25.5" x14ac:dyDescent="0.25">
      <c r="B644" s="64" t="s">
        <v>1409</v>
      </c>
      <c r="C644" s="65"/>
      <c r="D644" s="76"/>
      <c r="E644" s="66" t="s">
        <v>1408</v>
      </c>
      <c r="F644" s="66" t="s">
        <v>1679</v>
      </c>
      <c r="G644" s="66" t="s">
        <v>1683</v>
      </c>
      <c r="H644" s="68" t="s">
        <v>1675</v>
      </c>
      <c r="I644" s="2"/>
    </row>
    <row r="645" spans="1:16" x14ac:dyDescent="0.25">
      <c r="A645" s="103">
        <v>11008</v>
      </c>
      <c r="B645" s="37" t="str">
        <f>IF($A645=0,"",VLOOKUP($A645,'BASE MATERIAL'!$A:$D,2))</f>
        <v>TABLA</v>
      </c>
      <c r="C645" s="2"/>
      <c r="D645" s="77"/>
      <c r="E645" s="78" t="str">
        <f>IF($A645=0,"",VLOOKUP($A645,'BASE MATERIAL'!$A:$D,3))</f>
        <v>U</v>
      </c>
      <c r="F645" s="55">
        <f>ROUND(5*5/(4*3),2)</f>
        <v>2.08</v>
      </c>
      <c r="G645" s="55">
        <f>IF($A645=0,"",VLOOKUP($A645,'BASE MATERIAL'!$A:$D,4))</f>
        <v>3.5</v>
      </c>
      <c r="H645" s="56">
        <f t="shared" ref="H645:H652" si="63">IF($A645=0,"",ROUND(F645*G645,2))</f>
        <v>7.28</v>
      </c>
      <c r="I645" s="2"/>
      <c r="K645" s="1">
        <f>1/(0.2)</f>
        <v>5</v>
      </c>
      <c r="L645" s="2"/>
      <c r="M645" s="2"/>
      <c r="N645" s="39"/>
      <c r="O645" s="2"/>
      <c r="P645" s="2"/>
    </row>
    <row r="646" spans="1:16" x14ac:dyDescent="0.25">
      <c r="A646" s="103">
        <v>11009</v>
      </c>
      <c r="B646" s="38" t="str">
        <f>IF($A646=0,"",VLOOKUP($A646,'BASE MATERIAL'!$A:$D,2))</f>
        <v>CUARTON</v>
      </c>
      <c r="C646" s="2"/>
      <c r="D646" s="77"/>
      <c r="E646" s="78" t="str">
        <f>IF($A646=0,"",VLOOKUP($A646,'BASE MATERIAL'!$A:$D,3))</f>
        <v>U</v>
      </c>
      <c r="F646" s="55">
        <f>ROUND(5*8/(4*3),2)</f>
        <v>3.33</v>
      </c>
      <c r="G646" s="55">
        <f>IF($A646=0,"",VLOOKUP($A646,'BASE MATERIAL'!$A:$D,4))</f>
        <v>2.42</v>
      </c>
      <c r="H646" s="56">
        <f t="shared" si="63"/>
        <v>8.06</v>
      </c>
      <c r="I646" s="2"/>
      <c r="K646" s="1">
        <f>(0.1*0.15*2+0.05)*K645</f>
        <v>0.4</v>
      </c>
      <c r="L646" s="2"/>
      <c r="M646" s="2"/>
      <c r="N646" s="39"/>
      <c r="O646" s="2"/>
      <c r="P646" s="2"/>
    </row>
    <row r="647" spans="1:16" x14ac:dyDescent="0.25">
      <c r="A647" s="103">
        <v>11007</v>
      </c>
      <c r="B647" s="38" t="str">
        <f>IF($A647=0,"",VLOOKUP($A647,'BASE MATERIAL'!$A:$D,2))</f>
        <v>CLAVO 2 1/2"</v>
      </c>
      <c r="C647" s="2"/>
      <c r="D647" s="77"/>
      <c r="E647" s="78" t="str">
        <f>IF($A647=0,"",VLOOKUP($A647,'BASE MATERIAL'!$A:$D,3))</f>
        <v>KG</v>
      </c>
      <c r="F647" s="55">
        <f>ROUND(5*56/(178*1.5),2)</f>
        <v>1.05</v>
      </c>
      <c r="G647" s="55">
        <f>IF($A647=0,"",VLOOKUP($A647,'BASE MATERIAL'!$A:$D,4))</f>
        <v>2.6520000000000001</v>
      </c>
      <c r="H647" s="56">
        <f t="shared" si="63"/>
        <v>2.78</v>
      </c>
      <c r="I647" s="2"/>
      <c r="L647" s="2"/>
      <c r="M647" s="2"/>
      <c r="N647" s="39"/>
      <c r="O647" s="2"/>
      <c r="P647" s="2"/>
    </row>
    <row r="648" spans="1:16" x14ac:dyDescent="0.25">
      <c r="A648" s="103">
        <v>11010</v>
      </c>
      <c r="B648" s="38" t="str">
        <f>IF($A648=0,"",VLOOKUP($A648,'BASE MATERIAL'!$A:$D,2))</f>
        <v>TIRA</v>
      </c>
      <c r="C648" s="2"/>
      <c r="D648" s="77"/>
      <c r="E648" s="78" t="str">
        <f>IF($A648=0,"",VLOOKUP($A648,'BASE MATERIAL'!$A:$D,3))</f>
        <v>U</v>
      </c>
      <c r="F648" s="55">
        <f>ROUND(5*4/(4*3),2)</f>
        <v>1.67</v>
      </c>
      <c r="G648" s="55">
        <f>IF($A648=0,"",VLOOKUP($A648,'BASE MATERIAL'!$A:$D,4))</f>
        <v>1.5</v>
      </c>
      <c r="H648" s="56">
        <f t="shared" si="63"/>
        <v>2.5099999999999998</v>
      </c>
      <c r="I648" s="2"/>
      <c r="L648" s="2"/>
      <c r="M648" s="2"/>
      <c r="N648" s="39"/>
      <c r="O648" s="2"/>
      <c r="P648" s="2"/>
    </row>
    <row r="649" spans="1:16" x14ac:dyDescent="0.25">
      <c r="A649" s="103">
        <v>4001</v>
      </c>
      <c r="B649" s="38" t="str">
        <f>IF($A649=0,"",VLOOKUP($A649,'BASE MATERIAL'!$A:$D,2))</f>
        <v>CEMENTO</v>
      </c>
      <c r="C649" s="2"/>
      <c r="D649" s="77"/>
      <c r="E649" s="78" t="str">
        <f>IF($A649=0,"",VLOOKUP($A649,'BASE MATERIAL'!$A:$D,3))</f>
        <v>SACO</v>
      </c>
      <c r="F649" s="55">
        <f>8*1.03*K646</f>
        <v>3.2960000000000003</v>
      </c>
      <c r="G649" s="55">
        <f>IF($A649=0,"",VLOOKUP($A649,'BASE MATERIAL'!$A:$D,4))</f>
        <v>7.09</v>
      </c>
      <c r="H649" s="56">
        <f t="shared" si="63"/>
        <v>23.37</v>
      </c>
      <c r="I649" s="2"/>
      <c r="L649" s="2"/>
      <c r="M649" s="2"/>
      <c r="N649" s="39"/>
      <c r="O649" s="2"/>
      <c r="P649" s="2"/>
    </row>
    <row r="650" spans="1:16" x14ac:dyDescent="0.25">
      <c r="A650" s="103">
        <v>5004</v>
      </c>
      <c r="B650" s="38" t="str">
        <f>IF($A650=0,"",VLOOKUP($A650,'BASE MATERIAL'!$A:$D,2))</f>
        <v>ARENA</v>
      </c>
      <c r="C650" s="2"/>
      <c r="D650" s="77"/>
      <c r="E650" s="78" t="str">
        <f>IF($A650=0,"",VLOOKUP($A650,'BASE MATERIAL'!$A:$D,3))</f>
        <v>M3</v>
      </c>
      <c r="F650" s="55">
        <f>ROUND(F649*0.032*2,2)</f>
        <v>0.21</v>
      </c>
      <c r="G650" s="55">
        <f>IF($A650=0,"",VLOOKUP($A650,'BASE MATERIAL'!$A:$D,4))</f>
        <v>12.276249999999999</v>
      </c>
      <c r="H650" s="56">
        <f t="shared" si="63"/>
        <v>2.58</v>
      </c>
      <c r="I650" s="2"/>
    </row>
    <row r="651" spans="1:16" x14ac:dyDescent="0.25">
      <c r="A651" s="103">
        <v>5002</v>
      </c>
      <c r="B651" s="38" t="str">
        <f>IF($A651=0,"",VLOOKUP($A651,'BASE MATERIAL'!$A:$D,2))</f>
        <v>PIEDRA 3-4</v>
      </c>
      <c r="C651" s="2"/>
      <c r="D651" s="77"/>
      <c r="E651" s="78" t="str">
        <f>IF($A651=0,"",VLOOKUP($A651,'BASE MATERIAL'!$A:$D,3))</f>
        <v>M3</v>
      </c>
      <c r="F651" s="55">
        <f>ROUND(F649*0.032*3,2)</f>
        <v>0.32</v>
      </c>
      <c r="G651" s="55">
        <f>IF($A651=0,"",VLOOKUP($A651,'BASE MATERIAL'!$A:$D,4))</f>
        <v>13.75</v>
      </c>
      <c r="H651" s="56">
        <f t="shared" si="63"/>
        <v>4.4000000000000004</v>
      </c>
      <c r="I651" s="2"/>
      <c r="L651" s="2"/>
      <c r="M651" s="2"/>
      <c r="N651" s="39"/>
      <c r="O651" s="2"/>
      <c r="P651" s="2"/>
    </row>
    <row r="652" spans="1:16" x14ac:dyDescent="0.25">
      <c r="A652" s="103">
        <v>5005</v>
      </c>
      <c r="B652" s="38" t="str">
        <f>IF($A652=0,"",VLOOKUP($A652,'BASE MATERIAL'!$A:$D,2))</f>
        <v>AGUA</v>
      </c>
      <c r="C652" s="2"/>
      <c r="D652" s="77"/>
      <c r="E652" s="78" t="str">
        <f>IF($A652=0,"",VLOOKUP($A652,'BASE MATERIAL'!$A:$D,3))</f>
        <v>LT</v>
      </c>
      <c r="F652" s="55">
        <f>26*F649</f>
        <v>85.696000000000012</v>
      </c>
      <c r="G652" s="112">
        <f>IF($A652=0,"",VLOOKUP($A652,'BASE MATERIAL'!$A:$D,4))</f>
        <v>2E-3</v>
      </c>
      <c r="H652" s="56">
        <f t="shared" si="63"/>
        <v>0.17</v>
      </c>
      <c r="I652" s="2"/>
      <c r="L652" s="2"/>
      <c r="M652" s="2"/>
      <c r="N652" s="39"/>
      <c r="O652" s="2"/>
      <c r="P652" s="2"/>
    </row>
    <row r="653" spans="1:16" x14ac:dyDescent="0.25">
      <c r="A653" s="103">
        <v>8009</v>
      </c>
      <c r="B653" s="38" t="str">
        <f>IF($A653=0,"",VLOOKUP($A653,'BASE MATERIAL'!$A:$D,2))</f>
        <v>BLOQUE DE CONCRETO PARA LOSA 14x19x39 BLL14</v>
      </c>
      <c r="C653" s="2"/>
      <c r="D653" s="77"/>
      <c r="E653" s="78" t="str">
        <f>IF($A653=0,"",VLOOKUP($A653,'BASE MATERIAL'!$A:$D,3))</f>
        <v>U</v>
      </c>
      <c r="F653" s="55">
        <f>10*K645</f>
        <v>50</v>
      </c>
      <c r="G653" s="55">
        <f>IF($A653=0,"",VLOOKUP($A653,'BASE MATERIAL'!$A:$D,4))</f>
        <v>0.4</v>
      </c>
      <c r="H653" s="56">
        <f t="shared" ref="H653:H659" si="64">IF($A653=0,"",ROUND(F653*G653,2))</f>
        <v>20</v>
      </c>
      <c r="I653" s="2"/>
      <c r="L653" s="2"/>
      <c r="M653" s="2"/>
      <c r="N653" s="39"/>
      <c r="O653" s="2"/>
      <c r="P653" s="2"/>
    </row>
    <row r="654" spans="1:16" x14ac:dyDescent="0.25">
      <c r="A654" s="103">
        <v>1001</v>
      </c>
      <c r="B654" s="38" t="str">
        <f>IF($A654=0,"",VLOOKUP($A654,'BASE MATERIAL'!$A:$D,2))</f>
        <v>HIERRO</v>
      </c>
      <c r="C654" s="2"/>
      <c r="D654" s="77"/>
      <c r="E654" s="78" t="str">
        <f>IF($A654=0,"",VLOOKUP($A654,'BASE MATERIAL'!$A:$D,3))</f>
        <v>KG</v>
      </c>
      <c r="F654" s="55">
        <v>60</v>
      </c>
      <c r="G654" s="55">
        <f>IF($A654=0,"",VLOOKUP($A654,'BASE MATERIAL'!$A:$D,4))</f>
        <v>1.17</v>
      </c>
      <c r="H654" s="56">
        <f t="shared" si="64"/>
        <v>70.2</v>
      </c>
      <c r="I654" s="2"/>
      <c r="L654" s="2"/>
      <c r="M654" s="2"/>
      <c r="N654" s="39"/>
      <c r="O654" s="2"/>
      <c r="P654" s="2"/>
    </row>
    <row r="655" spans="1:16" x14ac:dyDescent="0.25">
      <c r="A655" s="103">
        <v>11002</v>
      </c>
      <c r="B655" s="38" t="str">
        <f>IF($A655=0,"",VLOOKUP($A655,'BASE MATERIAL'!$A:$D,2))</f>
        <v>ALAMBRE #18 RECOCIDO</v>
      </c>
      <c r="C655" s="2"/>
      <c r="D655" s="77"/>
      <c r="E655" s="78" t="str">
        <f>IF($A655=0,"",VLOOKUP($A655,'BASE MATERIAL'!$A:$D,3))</f>
        <v>KG</v>
      </c>
      <c r="F655" s="55">
        <f>+F654*0.03</f>
        <v>1.7999999999999998</v>
      </c>
      <c r="G655" s="55">
        <f>IF($A655=0,"",VLOOKUP($A655,'BASE MATERIAL'!$A:$D,4))</f>
        <v>1.87</v>
      </c>
      <c r="H655" s="56">
        <f t="shared" si="64"/>
        <v>3.37</v>
      </c>
      <c r="I655" s="2"/>
      <c r="L655" s="2"/>
      <c r="M655" s="2"/>
      <c r="N655" s="39"/>
      <c r="O655" s="2"/>
      <c r="P655" s="2"/>
    </row>
    <row r="656" spans="1:16" x14ac:dyDescent="0.25">
      <c r="A656" s="103">
        <v>11005</v>
      </c>
      <c r="B656" s="38" t="str">
        <f>IF($A656=0,"",VLOOKUP($A656,'BASE MATERIAL'!$A:$D,2))</f>
        <v>CAÑA</v>
      </c>
      <c r="C656" s="2"/>
      <c r="D656" s="77"/>
      <c r="E656" s="78" t="str">
        <f>IF($A656=0,"",VLOOKUP($A656,'BASE MATERIAL'!$A:$D,3))</f>
        <v>U</v>
      </c>
      <c r="F656" s="55">
        <f>4*K645</f>
        <v>20</v>
      </c>
      <c r="G656" s="55">
        <f>IF($A656=0,"",VLOOKUP($A656,'BASE MATERIAL'!$A:$D,4))</f>
        <v>2</v>
      </c>
      <c r="H656" s="56">
        <f t="shared" si="64"/>
        <v>40</v>
      </c>
      <c r="I656" s="2"/>
      <c r="L656" s="2"/>
      <c r="M656" s="2"/>
      <c r="N656" s="39"/>
      <c r="O656" s="2"/>
      <c r="P656" s="2"/>
    </row>
    <row r="657" spans="1:11" x14ac:dyDescent="0.25">
      <c r="B657" s="38" t="str">
        <f>IF($A657=0,"",VLOOKUP($A657,'BASE MATERIAL'!$A:$D,2))</f>
        <v/>
      </c>
      <c r="C657" s="2"/>
      <c r="D657" s="77"/>
      <c r="E657" s="78" t="str">
        <f>IF($A657=0,"",VLOOKUP($A657,'BASE MATERIAL'!$A:$D,3))</f>
        <v/>
      </c>
      <c r="F657" s="55"/>
      <c r="G657" s="55" t="str">
        <f>IF($A657=0,"",VLOOKUP($A657,'BASE MATERIAL'!$A:$D,4))</f>
        <v/>
      </c>
      <c r="H657" s="56" t="str">
        <f t="shared" si="64"/>
        <v/>
      </c>
      <c r="I657" s="2"/>
    </row>
    <row r="658" spans="1:11" x14ac:dyDescent="0.25">
      <c r="B658" s="38" t="str">
        <f>IF($A658=0,"",VLOOKUP($A658,'BASE MATERIAL'!$A:$D,2))</f>
        <v/>
      </c>
      <c r="C658" s="2"/>
      <c r="D658" s="77"/>
      <c r="E658" s="78" t="str">
        <f>IF($A658=0,"",VLOOKUP($A658,'BASE MATERIAL'!$A:$D,3))</f>
        <v/>
      </c>
      <c r="F658" s="55"/>
      <c r="G658" s="55" t="str">
        <f>IF($A658=0,"",VLOOKUP($A658,'BASE MATERIAL'!$A:$D,4))</f>
        <v/>
      </c>
      <c r="H658" s="56" t="str">
        <f t="shared" si="64"/>
        <v/>
      </c>
      <c r="I658" s="2"/>
    </row>
    <row r="659" spans="1:11" x14ac:dyDescent="0.25">
      <c r="B659" s="38" t="str">
        <f>IF($A659=0,"",VLOOKUP($A659,'BASE MATERIAL'!$A:$D,2))</f>
        <v/>
      </c>
      <c r="C659" s="2"/>
      <c r="D659" s="77"/>
      <c r="E659" s="78" t="str">
        <f>IF($A659=0,"",VLOOKUP($A659,'BASE MATERIAL'!$A:$D,3))</f>
        <v/>
      </c>
      <c r="F659" s="55"/>
      <c r="G659" s="55" t="str">
        <f>IF($A659=0,"",VLOOKUP($A659,'BASE MATERIAL'!$A:$D,4))</f>
        <v/>
      </c>
      <c r="H659" s="56" t="str">
        <f t="shared" si="64"/>
        <v/>
      </c>
      <c r="I659" s="2"/>
    </row>
    <row r="660" spans="1:11" x14ac:dyDescent="0.25">
      <c r="B660" s="38" t="str">
        <f>IF($A660=0,"",VLOOKUP($A660,'BASE MATERIAL'!$A:$D,2))</f>
        <v/>
      </c>
      <c r="C660" s="2"/>
      <c r="D660" s="81" t="s">
        <v>1682</v>
      </c>
      <c r="E660" s="55" t="str">
        <f>IF($A660=0,"",VLOOKUP($A660,'BASE MATERIAL'!$A:$D,3))</f>
        <v/>
      </c>
      <c r="F660" s="55" t="s">
        <v>1682</v>
      </c>
      <c r="G660" s="55" t="str">
        <f>IF($A660=0,"",VLOOKUP($A660,'BASE MATERIAL'!$A:$D,4))</f>
        <v/>
      </c>
      <c r="H660" s="56" t="str">
        <f>IF($A660=0,"",ROUND(E660*F660,2))</f>
        <v/>
      </c>
      <c r="I660" s="2"/>
    </row>
    <row r="661" spans="1:11" x14ac:dyDescent="0.25">
      <c r="B661" s="73" t="s">
        <v>1681</v>
      </c>
      <c r="C661" s="65"/>
      <c r="D661" s="74"/>
      <c r="E661" s="74"/>
      <c r="F661" s="74"/>
      <c r="G661" s="74"/>
      <c r="H661" s="75">
        <f>ROUND(SUM(H644:H660),2)</f>
        <v>184.72</v>
      </c>
      <c r="I661" s="2"/>
    </row>
    <row r="662" spans="1:11" x14ac:dyDescent="0.25">
      <c r="B662" s="38" t="s">
        <v>1680</v>
      </c>
      <c r="C662" s="2"/>
      <c r="D662" s="3"/>
      <c r="E662" s="3"/>
      <c r="F662" s="3"/>
      <c r="G662" s="3"/>
      <c r="H662" s="56"/>
      <c r="I662" s="2"/>
    </row>
    <row r="663" spans="1:11" ht="25.5" x14ac:dyDescent="0.25">
      <c r="B663" s="64" t="s">
        <v>1409</v>
      </c>
      <c r="C663" s="65"/>
      <c r="D663" s="76"/>
      <c r="E663" s="66" t="s">
        <v>1408</v>
      </c>
      <c r="F663" s="66" t="s">
        <v>1679</v>
      </c>
      <c r="G663" s="66" t="s">
        <v>1676</v>
      </c>
      <c r="H663" s="68" t="s">
        <v>1675</v>
      </c>
      <c r="I663" s="2"/>
    </row>
    <row r="664" spans="1:11" x14ac:dyDescent="0.25">
      <c r="A664" s="103">
        <v>19019</v>
      </c>
      <c r="B664" s="51" t="str">
        <f>IF($A664=0,"",VLOOKUP($A664,'BASE EQUIPO'!$A:$D,2))</f>
        <v>TRANSPORTE DE MATERIAL</v>
      </c>
      <c r="C664" s="52"/>
      <c r="D664" s="82"/>
      <c r="E664" s="78" t="str">
        <f>IF($A664=0,"",VLOOKUP($A664,'BASE EQUIPO'!$A:$D,3))</f>
        <v>GLOBAL</v>
      </c>
      <c r="F664" s="55">
        <v>1</v>
      </c>
      <c r="G664" s="83">
        <f>IF($A664=0,"",VLOOKUP($A664,'BASE EQUIPO'!$A:$D,4)*H661)</f>
        <v>5.5415999999999999</v>
      </c>
      <c r="H664" s="56">
        <f>IF($A664=0,"",ROUND(F664*G664,2))</f>
        <v>5.54</v>
      </c>
      <c r="I664" s="2"/>
    </row>
    <row r="665" spans="1:11" x14ac:dyDescent="0.25">
      <c r="B665" s="38" t="str">
        <f>IF($A665=0,"",VLOOKUP($A665,'BASE EQUIPO'!$A:$D,2))</f>
        <v/>
      </c>
      <c r="C665" s="2"/>
      <c r="D665" s="84"/>
      <c r="E665" s="78" t="str">
        <f>IF($A665=0,"",VLOOKUP($A665,'BASE EQUIPO'!$A:$D,3))</f>
        <v/>
      </c>
      <c r="F665" s="55"/>
      <c r="G665" s="55" t="str">
        <f>IF($A665=0,"",VLOOKUP($A665,'BASE EQUIPO'!$A:$D,4)*H662)</f>
        <v/>
      </c>
      <c r="H665" s="56" t="str">
        <f>IF($A665=0,"",ROUND(F665*G665,2))</f>
        <v/>
      </c>
      <c r="I665" s="2"/>
    </row>
    <row r="666" spans="1:11" x14ac:dyDescent="0.25">
      <c r="B666" s="57" t="str">
        <f>IF($A666=0,"",VLOOKUP($A666,'BASE EQUIPO'!$A:$D,2))</f>
        <v/>
      </c>
      <c r="C666" s="58"/>
      <c r="D666" s="85"/>
      <c r="E666" s="86" t="str">
        <f>IF($A666=0,"",VLOOKUP($A666,'BASE EQUIPO'!$A:$D,3))</f>
        <v/>
      </c>
      <c r="F666" s="59"/>
      <c r="G666" s="59" t="str">
        <f>IF($A666=0,"",VLOOKUP($A666,'BASE EQUIPO'!$A:$D,4)*H663)</f>
        <v/>
      </c>
      <c r="H666" s="60" t="str">
        <f>IF($A666=0,"",ROUND(F666*G666,2))</f>
        <v/>
      </c>
      <c r="I666" s="2"/>
    </row>
    <row r="667" spans="1:11" ht="15.75" thickBot="1" x14ac:dyDescent="0.3">
      <c r="B667" s="87" t="s">
        <v>1674</v>
      </c>
      <c r="C667" s="88"/>
      <c r="D667" s="89"/>
      <c r="E667" s="89"/>
      <c r="F667" s="89"/>
      <c r="G667" s="89"/>
      <c r="H667" s="90">
        <f>ROUND(SUM(H663:H666),2)</f>
        <v>5.54</v>
      </c>
      <c r="I667" s="2"/>
    </row>
    <row r="668" spans="1:11" ht="15.75" x14ac:dyDescent="0.25">
      <c r="B668" s="2"/>
      <c r="C668" s="2"/>
      <c r="D668" s="91" t="s">
        <v>1673</v>
      </c>
      <c r="E668" s="47"/>
      <c r="F668" s="47"/>
      <c r="G668" s="47"/>
      <c r="H668" s="92">
        <f>ROUND(SUM(H667,H661,H642,H632),2)</f>
        <v>270.98</v>
      </c>
      <c r="I668" s="2"/>
      <c r="K668" s="1">
        <v>195.67</v>
      </c>
    </row>
    <row r="669" spans="1:11" ht="15.75" x14ac:dyDescent="0.25">
      <c r="A669" s="103">
        <v>40002</v>
      </c>
      <c r="B669" s="2"/>
      <c r="C669" s="2"/>
      <c r="D669" s="93" t="s">
        <v>1672</v>
      </c>
      <c r="E669" s="65"/>
      <c r="F669" s="65"/>
      <c r="G669" s="94">
        <f>IF($A669=0,"",VLOOKUP($A669,'BASE MATERIAL'!$M:$P,4))</f>
        <v>0</v>
      </c>
      <c r="H669" s="95">
        <f>IF($A669=0,"",ROUND(G669*H668,2))</f>
        <v>0</v>
      </c>
      <c r="I669" s="2"/>
    </row>
    <row r="670" spans="1:11" ht="15.75" x14ac:dyDescent="0.25">
      <c r="A670" s="103">
        <v>40003</v>
      </c>
      <c r="B670" s="2"/>
      <c r="C670" s="2"/>
      <c r="D670" s="93" t="s">
        <v>1671</v>
      </c>
      <c r="E670" s="65"/>
      <c r="F670" s="65"/>
      <c r="G670" s="94">
        <f>IF($A670=0,"",VLOOKUP($A670,'BASE MATERIAL'!$M:$P,4))</f>
        <v>0</v>
      </c>
      <c r="H670" s="95">
        <f>IF($A670=0,"",ROUND(G670*H668,2))</f>
        <v>0</v>
      </c>
      <c r="I670" s="2"/>
    </row>
    <row r="671" spans="1:11" ht="15.75" x14ac:dyDescent="0.25">
      <c r="B671" s="2"/>
      <c r="C671" s="2"/>
      <c r="D671" s="93" t="s">
        <v>1670</v>
      </c>
      <c r="E671" s="65"/>
      <c r="F671" s="65"/>
      <c r="G671" s="65"/>
      <c r="H671" s="96">
        <f>ROUND(SUM(H668:H670),2)</f>
        <v>270.98</v>
      </c>
      <c r="I671" s="2"/>
    </row>
    <row r="672" spans="1:11" ht="16.5" thickBot="1" x14ac:dyDescent="0.3">
      <c r="B672" s="25"/>
      <c r="C672" s="2"/>
      <c r="D672" s="97" t="s">
        <v>1650</v>
      </c>
      <c r="E672" s="88"/>
      <c r="F672" s="88"/>
      <c r="G672" s="88"/>
      <c r="H672" s="98">
        <f>ROUND(H671,2)</f>
        <v>270.98</v>
      </c>
      <c r="I672" s="2"/>
    </row>
    <row r="673" spans="1:15" ht="15.75" x14ac:dyDescent="0.25">
      <c r="B673" s="34" t="s">
        <v>1701</v>
      </c>
      <c r="C673" s="2"/>
      <c r="D673" s="3" t="str">
        <f>$D$1</f>
        <v>ESPOL</v>
      </c>
      <c r="E673" s="2"/>
      <c r="F673" s="2"/>
      <c r="H673" s="2" t="s">
        <v>108</v>
      </c>
      <c r="I673" s="2"/>
      <c r="L673" s="40">
        <f>A677</f>
        <v>6</v>
      </c>
      <c r="M673" s="1" t="str">
        <f>C678</f>
        <v>Losa e= 10 cm</v>
      </c>
      <c r="N673" s="2" t="str">
        <f>H677</f>
        <v>m3</v>
      </c>
      <c r="O673" s="2">
        <f>H728</f>
        <v>471.53</v>
      </c>
    </row>
    <row r="674" spans="1:15" ht="15.75" x14ac:dyDescent="0.25">
      <c r="B674" s="34" t="s">
        <v>1700</v>
      </c>
      <c r="C674" s="3">
        <f>'1.1'!$C$2</f>
        <v>0</v>
      </c>
      <c r="D674" s="2"/>
      <c r="E674" s="2"/>
      <c r="F674" s="2"/>
      <c r="G674" s="41" t="s">
        <v>1699</v>
      </c>
      <c r="H674" s="42"/>
      <c r="I674" s="2" t="s">
        <v>1698</v>
      </c>
    </row>
    <row r="675" spans="1:15" ht="15.75" x14ac:dyDescent="0.25">
      <c r="B675" s="34"/>
      <c r="C675" s="3">
        <f>'1.1'!$C$3</f>
        <v>0</v>
      </c>
      <c r="D675" s="2"/>
      <c r="E675" s="2"/>
      <c r="F675" s="2"/>
      <c r="G675" s="2"/>
      <c r="H675" s="2"/>
      <c r="I675" s="2"/>
    </row>
    <row r="676" spans="1:15" ht="15.75" x14ac:dyDescent="0.25">
      <c r="B676" s="34" t="s">
        <v>1697</v>
      </c>
      <c r="C676" s="3"/>
      <c r="D676" s="2"/>
      <c r="E676" s="2"/>
      <c r="F676" s="2"/>
      <c r="G676" s="2"/>
      <c r="H676" s="2"/>
      <c r="I676" s="2"/>
    </row>
    <row r="677" spans="1:15" x14ac:dyDescent="0.25">
      <c r="A677" s="104">
        <v>6</v>
      </c>
      <c r="B677" s="2" t="s">
        <v>1586</v>
      </c>
      <c r="C677" s="36" t="s">
        <v>626</v>
      </c>
      <c r="D677" s="2"/>
      <c r="G677" s="2" t="s">
        <v>1696</v>
      </c>
      <c r="H677" s="3" t="s">
        <v>1521</v>
      </c>
      <c r="I677" s="2"/>
    </row>
    <row r="678" spans="1:15" x14ac:dyDescent="0.25">
      <c r="B678" s="1" t="s">
        <v>1585</v>
      </c>
      <c r="C678" s="36" t="s">
        <v>1842</v>
      </c>
      <c r="D678" s="2"/>
      <c r="E678" s="2"/>
      <c r="F678" s="2"/>
      <c r="G678" s="2"/>
      <c r="H678" s="2"/>
      <c r="I678" s="2"/>
    </row>
    <row r="679" spans="1:15" ht="15.75" thickBot="1" x14ac:dyDescent="0.3">
      <c r="D679" s="2"/>
      <c r="E679" s="2"/>
      <c r="F679" s="2"/>
      <c r="G679" s="2"/>
      <c r="H679" s="2"/>
      <c r="I679" s="2"/>
    </row>
    <row r="680" spans="1:15" ht="15.75" thickBot="1" x14ac:dyDescent="0.3">
      <c r="B680" s="43" t="s">
        <v>1695</v>
      </c>
      <c r="C680" s="44"/>
      <c r="D680" s="44"/>
      <c r="E680" s="44"/>
      <c r="F680" s="44"/>
      <c r="G680" s="44"/>
      <c r="H680" s="45"/>
      <c r="I680" s="2"/>
    </row>
    <row r="681" spans="1:15" ht="25.5" x14ac:dyDescent="0.25">
      <c r="B681" s="46" t="s">
        <v>1409</v>
      </c>
      <c r="C681" s="47"/>
      <c r="D681" s="48" t="s">
        <v>1690</v>
      </c>
      <c r="E681" s="48" t="s">
        <v>1694</v>
      </c>
      <c r="F681" s="48" t="s">
        <v>1693</v>
      </c>
      <c r="G681" s="49" t="s">
        <v>1687</v>
      </c>
      <c r="H681" s="50" t="s">
        <v>1686</v>
      </c>
      <c r="I681" s="2"/>
    </row>
    <row r="682" spans="1:15" x14ac:dyDescent="0.25">
      <c r="A682" s="103">
        <v>19015</v>
      </c>
      <c r="B682" s="51" t="str">
        <f>IF($A682=0,"",VLOOKUP($A682,'BASE EQUIPO'!$A:$D,2))</f>
        <v>HERRAMIENTA MENOR</v>
      </c>
      <c r="C682" s="52"/>
      <c r="D682" s="53">
        <v>1</v>
      </c>
      <c r="E682" s="53">
        <f>IF($A682=0,"",VLOOKUP($A682,'BASE EQUIPO'!$A:$D,4)*H698)</f>
        <v>3.2412000000000001</v>
      </c>
      <c r="F682" s="53">
        <f t="shared" ref="F682:F687" si="65">IF($A682=0,"",ROUND(D682*E682,2))</f>
        <v>3.24</v>
      </c>
      <c r="G682" s="105">
        <v>1</v>
      </c>
      <c r="H682" s="54">
        <f t="shared" ref="H682:H687" si="66">IF($A682=0,"",ROUND(G682*F682,2))</f>
        <v>3.24</v>
      </c>
      <c r="I682" s="2"/>
    </row>
    <row r="683" spans="1:15" x14ac:dyDescent="0.25">
      <c r="A683" s="103">
        <v>19003</v>
      </c>
      <c r="B683" s="38" t="str">
        <f>IF($A683=0,"",VLOOKUP($A683,'BASE EQUIPO'!$A:$D,2))</f>
        <v>CONCRETERA</v>
      </c>
      <c r="C683" s="2"/>
      <c r="D683" s="55">
        <v>1</v>
      </c>
      <c r="E683" s="55">
        <f>IF($A683=0,"",VLOOKUP($A683,'BASE EQUIPO'!$A:$D,4))</f>
        <v>3.5</v>
      </c>
      <c r="F683" s="55">
        <f t="shared" si="65"/>
        <v>3.5</v>
      </c>
      <c r="G683" s="106">
        <f>+G692*0.5</f>
        <v>0.45</v>
      </c>
      <c r="H683" s="56">
        <f t="shared" si="66"/>
        <v>1.58</v>
      </c>
      <c r="I683" s="2"/>
    </row>
    <row r="684" spans="1:15" x14ac:dyDescent="0.25">
      <c r="A684" s="103">
        <v>19008</v>
      </c>
      <c r="B684" s="38" t="str">
        <f>IF($A684=0,"",VLOOKUP($A684,'BASE EQUIPO'!$A:$D,2))</f>
        <v>VIBRADOR</v>
      </c>
      <c r="C684" s="2"/>
      <c r="D684" s="55">
        <v>1</v>
      </c>
      <c r="E684" s="55">
        <f>IF($A684=0,"",VLOOKUP($A684,'BASE EQUIPO'!$A:$D,4))</f>
        <v>2.5</v>
      </c>
      <c r="F684" s="55">
        <f t="shared" si="65"/>
        <v>2.5</v>
      </c>
      <c r="G684" s="106">
        <f>+G693*0.5</f>
        <v>0.45</v>
      </c>
      <c r="H684" s="56">
        <f t="shared" si="66"/>
        <v>1.1299999999999999</v>
      </c>
      <c r="I684" s="2"/>
    </row>
    <row r="685" spans="1:15" x14ac:dyDescent="0.25">
      <c r="B685" s="38" t="str">
        <f>IF($A685=0,"",VLOOKUP($A685,'BASE EQUIPO'!$A:$D,2))</f>
        <v/>
      </c>
      <c r="C685" s="2"/>
      <c r="D685" s="55"/>
      <c r="E685" s="55" t="str">
        <f>IF($A685=0,"",VLOOKUP($A685,'BASE EQUIPO'!$A:$D,4))</f>
        <v/>
      </c>
      <c r="F685" s="55" t="str">
        <f t="shared" si="65"/>
        <v/>
      </c>
      <c r="G685" s="106"/>
      <c r="H685" s="56" t="str">
        <f t="shared" si="66"/>
        <v/>
      </c>
      <c r="I685" s="2"/>
    </row>
    <row r="686" spans="1:15" x14ac:dyDescent="0.25">
      <c r="B686" s="38" t="str">
        <f>IF($A686=0,"",VLOOKUP($A686,'BASE EQUIPO'!$A:$D,2))</f>
        <v/>
      </c>
      <c r="C686" s="2"/>
      <c r="D686" s="55"/>
      <c r="E686" s="55" t="str">
        <f>IF($A686=0,"",VLOOKUP($A686,'BASE EQUIPO'!$A:$D,4))</f>
        <v/>
      </c>
      <c r="F686" s="55" t="str">
        <f t="shared" si="65"/>
        <v/>
      </c>
      <c r="G686" s="106"/>
      <c r="H686" s="56" t="str">
        <f t="shared" si="66"/>
        <v/>
      </c>
      <c r="I686" s="2"/>
    </row>
    <row r="687" spans="1:15" x14ac:dyDescent="0.25">
      <c r="B687" s="57" t="str">
        <f>IF($A687=0,"",VLOOKUP($A687,'BASE EQUIPO'!$A:$D,2))</f>
        <v/>
      </c>
      <c r="C687" s="58"/>
      <c r="D687" s="59"/>
      <c r="E687" s="59" t="str">
        <f>IF($A687=0,"",VLOOKUP($A687,'BASE EQUIPO'!$A:$D,4))</f>
        <v/>
      </c>
      <c r="F687" s="59" t="str">
        <f t="shared" si="65"/>
        <v/>
      </c>
      <c r="G687" s="107"/>
      <c r="H687" s="60" t="str">
        <f t="shared" si="66"/>
        <v/>
      </c>
      <c r="I687" s="2"/>
    </row>
    <row r="688" spans="1:15" x14ac:dyDescent="0.25">
      <c r="B688" s="57" t="s">
        <v>1692</v>
      </c>
      <c r="C688" s="58"/>
      <c r="D688" s="61"/>
      <c r="E688" s="61"/>
      <c r="F688" s="61"/>
      <c r="G688" s="62"/>
      <c r="H688" s="60">
        <f>ROUND(SUM(H681:H687),2)</f>
        <v>5.95</v>
      </c>
      <c r="I688" s="2"/>
    </row>
    <row r="689" spans="1:16" x14ac:dyDescent="0.25">
      <c r="B689" s="38" t="s">
        <v>1503</v>
      </c>
      <c r="C689" s="2"/>
      <c r="D689" s="3"/>
      <c r="E689" s="3"/>
      <c r="F689" s="3"/>
      <c r="G689" s="63"/>
      <c r="H689" s="56"/>
      <c r="I689" s="2"/>
    </row>
    <row r="690" spans="1:16" ht="25.5" x14ac:dyDescent="0.25">
      <c r="B690" s="64" t="s">
        <v>1691</v>
      </c>
      <c r="C690" s="65"/>
      <c r="D690" s="66" t="s">
        <v>1690</v>
      </c>
      <c r="E690" s="66" t="s">
        <v>1689</v>
      </c>
      <c r="F690" s="66" t="s">
        <v>1688</v>
      </c>
      <c r="G690" s="67" t="s">
        <v>1687</v>
      </c>
      <c r="H690" s="68" t="s">
        <v>1686</v>
      </c>
      <c r="I690" s="2"/>
    </row>
    <row r="691" spans="1:16" x14ac:dyDescent="0.25">
      <c r="A691" s="103">
        <v>20001</v>
      </c>
      <c r="B691" s="69" t="str">
        <f>IF($A691=0,"",VLOOKUP($A691,'BASE M-OBRA'!$A:$D,2))</f>
        <v>MAESTRO</v>
      </c>
      <c r="C691" s="2"/>
      <c r="D691" s="108">
        <v>1</v>
      </c>
      <c r="E691" s="70">
        <f>IF($A691=0,"",VLOOKUP($A691,'BASE M-OBRA'!$A:$D,4))</f>
        <v>3.02</v>
      </c>
      <c r="F691" s="55">
        <f t="shared" ref="F691:F697" si="67">IF($A691=0,"",ROUND(D691*E691,2))</f>
        <v>3.02</v>
      </c>
      <c r="G691" s="106">
        <f>IF($A691=0,"",ROUND(H691/F691,2))</f>
        <v>5.96</v>
      </c>
      <c r="H691" s="56">
        <f>IF($A691=0,"",ROUND(SUM(H692:H697)*'BASE M-OBRA'!$D$23,2))</f>
        <v>18.010000000000002</v>
      </c>
      <c r="I691" s="2"/>
    </row>
    <row r="692" spans="1:16" x14ac:dyDescent="0.25">
      <c r="A692" s="103">
        <v>20002</v>
      </c>
      <c r="B692" s="69" t="str">
        <f>IF($A692=0,"",VLOOKUP($A692,'BASE M-OBRA'!$A:$D,2))</f>
        <v>PEON</v>
      </c>
      <c r="C692" s="2"/>
      <c r="D692" s="108">
        <v>8</v>
      </c>
      <c r="E692" s="70">
        <f>IF($A692=0,"",VLOOKUP($A692,'BASE M-OBRA'!$A:$D,4))</f>
        <v>2.79</v>
      </c>
      <c r="F692" s="55">
        <f t="shared" si="67"/>
        <v>22.32</v>
      </c>
      <c r="G692" s="106">
        <v>0.9</v>
      </c>
      <c r="H692" s="56">
        <f t="shared" ref="H692:H697" si="68">IF($A692=0,"",ROUND(G692*F692,2))</f>
        <v>20.09</v>
      </c>
      <c r="I692" s="2"/>
    </row>
    <row r="693" spans="1:16" x14ac:dyDescent="0.25">
      <c r="A693" s="103">
        <v>20003</v>
      </c>
      <c r="B693" s="69" t="str">
        <f>IF($A693=0,"",VLOOKUP($A693,'BASE M-OBRA'!$A:$D,2))</f>
        <v>ALBAÑIL</v>
      </c>
      <c r="C693" s="2"/>
      <c r="D693" s="108">
        <v>2</v>
      </c>
      <c r="E693" s="70">
        <f>IF($A693=0,"",VLOOKUP($A693,'BASE M-OBRA'!$A:$D,4))</f>
        <v>2.82</v>
      </c>
      <c r="F693" s="55">
        <f t="shared" si="67"/>
        <v>5.64</v>
      </c>
      <c r="G693" s="106">
        <f>+G692</f>
        <v>0.9</v>
      </c>
      <c r="H693" s="56">
        <f t="shared" si="68"/>
        <v>5.08</v>
      </c>
      <c r="I693" s="2"/>
    </row>
    <row r="694" spans="1:16" x14ac:dyDescent="0.25">
      <c r="A694" s="103">
        <v>20004</v>
      </c>
      <c r="B694" s="71" t="str">
        <f>IF($A694=0,"",VLOOKUP($A694,'BASE M-OBRA'!$A:$D,2))</f>
        <v>CARPINTERO</v>
      </c>
      <c r="C694" s="2"/>
      <c r="D694" s="108">
        <v>2</v>
      </c>
      <c r="E694" s="70">
        <f>IF($A694=0,"",VLOOKUP($A694,'BASE M-OBRA'!$A:$D,4))</f>
        <v>2.82</v>
      </c>
      <c r="F694" s="55">
        <f t="shared" si="67"/>
        <v>5.64</v>
      </c>
      <c r="G694" s="106">
        <v>5</v>
      </c>
      <c r="H694" s="56">
        <f t="shared" si="68"/>
        <v>28.2</v>
      </c>
      <c r="I694" s="2"/>
      <c r="K694" s="1">
        <f>K701*2.9</f>
        <v>29</v>
      </c>
    </row>
    <row r="695" spans="1:16" x14ac:dyDescent="0.25">
      <c r="A695" s="103">
        <v>20005</v>
      </c>
      <c r="B695" s="72" t="str">
        <f>IF($A695=0,"",VLOOKUP($A695,'BASE M-OBRA'!$A:$D,2))</f>
        <v>FIERRERO</v>
      </c>
      <c r="C695" s="2"/>
      <c r="D695" s="108">
        <v>2</v>
      </c>
      <c r="E695" s="70">
        <f>IF($A695=0,"",VLOOKUP($A695,'BASE M-OBRA'!$A:$D,4))</f>
        <v>2.82</v>
      </c>
      <c r="F695" s="55">
        <f t="shared" si="67"/>
        <v>5.64</v>
      </c>
      <c r="G695" s="106">
        <v>6.5</v>
      </c>
      <c r="H695" s="56">
        <f t="shared" si="68"/>
        <v>36.659999999999997</v>
      </c>
      <c r="I695" s="2"/>
      <c r="K695" s="1">
        <f>F710*0.3</f>
        <v>36.6</v>
      </c>
    </row>
    <row r="696" spans="1:16" x14ac:dyDescent="0.25">
      <c r="B696" s="38" t="str">
        <f>IF($A696=0,"",VLOOKUP($A696,'BASE M-OBRA'!$A:$D,2))</f>
        <v/>
      </c>
      <c r="C696" s="2"/>
      <c r="D696" s="55"/>
      <c r="E696" s="55" t="str">
        <f>IF($A696=0,"",VLOOKUP($A696,'BASE M-OBRA'!$A:$D,4))</f>
        <v/>
      </c>
      <c r="F696" s="55" t="str">
        <f t="shared" si="67"/>
        <v/>
      </c>
      <c r="G696" s="106"/>
      <c r="H696" s="56" t="str">
        <f t="shared" si="68"/>
        <v/>
      </c>
      <c r="I696" s="2"/>
    </row>
    <row r="697" spans="1:16" x14ac:dyDescent="0.25">
      <c r="B697" s="57" t="str">
        <f>IF($A697=0,"",VLOOKUP($A697,'BASE M-OBRA'!$A:$D,2))</f>
        <v/>
      </c>
      <c r="C697" s="58"/>
      <c r="D697" s="59"/>
      <c r="E697" s="59" t="str">
        <f>IF($A697=0,"",VLOOKUP($A697,'BASE M-OBRA'!$A:$D,4))</f>
        <v/>
      </c>
      <c r="F697" s="59" t="str">
        <f t="shared" si="67"/>
        <v/>
      </c>
      <c r="G697" s="107"/>
      <c r="H697" s="60" t="str">
        <f t="shared" si="68"/>
        <v/>
      </c>
      <c r="I697" s="2"/>
    </row>
    <row r="698" spans="1:16" x14ac:dyDescent="0.25">
      <c r="B698" s="73" t="s">
        <v>1685</v>
      </c>
      <c r="C698" s="65"/>
      <c r="D698" s="74"/>
      <c r="E698" s="74"/>
      <c r="F698" s="74"/>
      <c r="G698" s="74"/>
      <c r="H698" s="75">
        <f>ROUND(SUM(H690:H697),2)</f>
        <v>108.04</v>
      </c>
      <c r="I698" s="2"/>
    </row>
    <row r="699" spans="1:16" x14ac:dyDescent="0.25">
      <c r="B699" s="38" t="s">
        <v>1684</v>
      </c>
      <c r="C699" s="2"/>
      <c r="D699" s="3"/>
      <c r="E699" s="3"/>
      <c r="F699" s="3"/>
      <c r="G699" s="3"/>
      <c r="H699" s="56"/>
      <c r="I699" s="2"/>
    </row>
    <row r="700" spans="1:16" ht="25.5" x14ac:dyDescent="0.25">
      <c r="B700" s="64" t="s">
        <v>1409</v>
      </c>
      <c r="C700" s="65"/>
      <c r="D700" s="76"/>
      <c r="E700" s="66" t="s">
        <v>1408</v>
      </c>
      <c r="F700" s="66" t="s">
        <v>1679</v>
      </c>
      <c r="G700" s="66" t="s">
        <v>1683</v>
      </c>
      <c r="H700" s="68" t="s">
        <v>1675</v>
      </c>
      <c r="I700" s="2"/>
    </row>
    <row r="701" spans="1:16" x14ac:dyDescent="0.25">
      <c r="A701" s="103">
        <v>11008</v>
      </c>
      <c r="B701" s="37" t="str">
        <f>IF($A701=0,"",VLOOKUP($A701,'BASE MATERIAL'!$A:$D,2))</f>
        <v>TABLA</v>
      </c>
      <c r="C701" s="2"/>
      <c r="D701" s="77"/>
      <c r="E701" s="78" t="str">
        <f>IF($A701=0,"",VLOOKUP($A701,'BASE MATERIAL'!$A:$D,3))</f>
        <v>U</v>
      </c>
      <c r="F701" s="55">
        <f>ROUND(10*5/(4*3),2)</f>
        <v>4.17</v>
      </c>
      <c r="G701" s="55">
        <f>IF($A701=0,"",VLOOKUP($A701,'BASE MATERIAL'!$A:$D,4))</f>
        <v>3.5</v>
      </c>
      <c r="H701" s="56">
        <f t="shared" ref="H701:H715" si="69">IF($A701=0,"",ROUND(F701*G701,2))</f>
        <v>14.6</v>
      </c>
      <c r="I701" s="2"/>
      <c r="K701" s="1">
        <f>1/0.1</f>
        <v>10</v>
      </c>
      <c r="L701" s="2"/>
      <c r="M701" s="2"/>
      <c r="N701" s="39"/>
      <c r="O701" s="2"/>
      <c r="P701" s="2"/>
    </row>
    <row r="702" spans="1:16" x14ac:dyDescent="0.25">
      <c r="A702" s="103">
        <v>11009</v>
      </c>
      <c r="B702" s="38" t="str">
        <f>IF($A702=0,"",VLOOKUP($A702,'BASE MATERIAL'!$A:$D,2))</f>
        <v>CUARTON</v>
      </c>
      <c r="C702" s="2"/>
      <c r="D702" s="77"/>
      <c r="E702" s="78" t="str">
        <f>IF($A702=0,"",VLOOKUP($A702,'BASE MATERIAL'!$A:$D,3))</f>
        <v>U</v>
      </c>
      <c r="F702" s="55">
        <f>ROUND(10*8/(4*3),2)</f>
        <v>6.67</v>
      </c>
      <c r="G702" s="55">
        <f>IF($A702=0,"",VLOOKUP($A702,'BASE MATERIAL'!$A:$D,4))</f>
        <v>2.42</v>
      </c>
      <c r="H702" s="56">
        <f t="shared" si="69"/>
        <v>16.14</v>
      </c>
      <c r="I702" s="2"/>
      <c r="K702" s="1">
        <f>(0.2*0.3*0.5*3+0.12)</f>
        <v>0.21</v>
      </c>
      <c r="L702" s="2"/>
      <c r="M702" s="2"/>
      <c r="N702" s="39"/>
      <c r="O702" s="2"/>
      <c r="P702" s="2"/>
    </row>
    <row r="703" spans="1:16" x14ac:dyDescent="0.25">
      <c r="A703" s="103">
        <v>11007</v>
      </c>
      <c r="B703" s="38" t="str">
        <f>IF($A703=0,"",VLOOKUP($A703,'BASE MATERIAL'!$A:$D,2))</f>
        <v>CLAVO 2 1/2"</v>
      </c>
      <c r="C703" s="2"/>
      <c r="D703" s="77"/>
      <c r="E703" s="78" t="str">
        <f>IF($A703=0,"",VLOOKUP($A703,'BASE MATERIAL'!$A:$D,3))</f>
        <v>KG</v>
      </c>
      <c r="F703" s="55">
        <f>ROUND(10*56/(178*1.5),2)</f>
        <v>2.1</v>
      </c>
      <c r="G703" s="55">
        <f>IF($A703=0,"",VLOOKUP($A703,'BASE MATERIAL'!$A:$D,4))</f>
        <v>2.6520000000000001</v>
      </c>
      <c r="H703" s="56">
        <f t="shared" si="69"/>
        <v>5.57</v>
      </c>
      <c r="I703" s="2"/>
      <c r="L703" s="2"/>
      <c r="M703" s="2"/>
      <c r="N703" s="39"/>
      <c r="O703" s="2"/>
      <c r="P703" s="2"/>
    </row>
    <row r="704" spans="1:16" x14ac:dyDescent="0.25">
      <c r="A704" s="103">
        <v>11010</v>
      </c>
      <c r="B704" s="38" t="str">
        <f>IF($A704=0,"",VLOOKUP($A704,'BASE MATERIAL'!$A:$D,2))</f>
        <v>TIRA</v>
      </c>
      <c r="C704" s="2"/>
      <c r="D704" s="77"/>
      <c r="E704" s="78" t="str">
        <f>IF($A704=0,"",VLOOKUP($A704,'BASE MATERIAL'!$A:$D,3))</f>
        <v>U</v>
      </c>
      <c r="F704" s="55">
        <f>ROUND(10*4/(4*3),2)</f>
        <v>3.33</v>
      </c>
      <c r="G704" s="55">
        <f>IF($A704=0,"",VLOOKUP($A704,'BASE MATERIAL'!$A:$D,4))</f>
        <v>1.5</v>
      </c>
      <c r="H704" s="56">
        <f t="shared" si="69"/>
        <v>5</v>
      </c>
      <c r="I704" s="2"/>
      <c r="L704" s="2"/>
      <c r="M704" s="2"/>
      <c r="N704" s="39"/>
      <c r="O704" s="2"/>
      <c r="P704" s="2"/>
    </row>
    <row r="705" spans="1:16" x14ac:dyDescent="0.25">
      <c r="A705" s="103">
        <v>4001</v>
      </c>
      <c r="B705" s="38" t="str">
        <f>IF($A705=0,"",VLOOKUP($A705,'BASE MATERIAL'!$A:$D,2))</f>
        <v>CEMENTO</v>
      </c>
      <c r="C705" s="2"/>
      <c r="D705" s="77"/>
      <c r="E705" s="78" t="str">
        <f>IF($A705=0,"",VLOOKUP($A705,'BASE MATERIAL'!$A:$D,3))</f>
        <v>SACO</v>
      </c>
      <c r="F705" s="55">
        <f>8*1.03</f>
        <v>8.24</v>
      </c>
      <c r="G705" s="55">
        <f>IF($A705=0,"",VLOOKUP($A705,'BASE MATERIAL'!$A:$D,4))</f>
        <v>7.09</v>
      </c>
      <c r="H705" s="56">
        <f t="shared" si="69"/>
        <v>58.42</v>
      </c>
      <c r="I705" s="2"/>
      <c r="L705" s="2"/>
      <c r="M705" s="2"/>
      <c r="N705" s="39"/>
      <c r="O705" s="2"/>
      <c r="P705" s="2"/>
    </row>
    <row r="706" spans="1:16" x14ac:dyDescent="0.25">
      <c r="A706" s="103">
        <v>5004</v>
      </c>
      <c r="B706" s="38" t="str">
        <f>IF($A706=0,"",VLOOKUP($A706,'BASE MATERIAL'!$A:$D,2))</f>
        <v>ARENA</v>
      </c>
      <c r="C706" s="2"/>
      <c r="D706" s="77"/>
      <c r="E706" s="78" t="str">
        <f>IF($A706=0,"",VLOOKUP($A706,'BASE MATERIAL'!$A:$D,3))</f>
        <v>M3</v>
      </c>
      <c r="F706" s="55">
        <f>ROUND(F705*0.032*2,2)</f>
        <v>0.53</v>
      </c>
      <c r="G706" s="55">
        <f>IF($A706=0,"",VLOOKUP($A706,'BASE MATERIAL'!$A:$D,4))</f>
        <v>12.276249999999999</v>
      </c>
      <c r="H706" s="56">
        <f t="shared" si="69"/>
        <v>6.51</v>
      </c>
      <c r="I706" s="2"/>
    </row>
    <row r="707" spans="1:16" x14ac:dyDescent="0.25">
      <c r="A707" s="103">
        <v>5002</v>
      </c>
      <c r="B707" s="38" t="str">
        <f>IF($A707=0,"",VLOOKUP($A707,'BASE MATERIAL'!$A:$D,2))</f>
        <v>PIEDRA 3-4</v>
      </c>
      <c r="C707" s="2"/>
      <c r="D707" s="77"/>
      <c r="E707" s="78" t="str">
        <f>IF($A707=0,"",VLOOKUP($A707,'BASE MATERIAL'!$A:$D,3))</f>
        <v>M3</v>
      </c>
      <c r="F707" s="55">
        <f>ROUND(F705*0.032*3,2)</f>
        <v>0.79</v>
      </c>
      <c r="G707" s="55">
        <f>IF($A707=0,"",VLOOKUP($A707,'BASE MATERIAL'!$A:$D,4))</f>
        <v>13.75</v>
      </c>
      <c r="H707" s="56">
        <f t="shared" si="69"/>
        <v>10.86</v>
      </c>
      <c r="I707" s="2"/>
      <c r="K707" s="1">
        <f>0.394*(8+7+8*2)/0.1</f>
        <v>122.14</v>
      </c>
      <c r="L707" s="2"/>
      <c r="M707" s="2"/>
      <c r="N707" s="39"/>
      <c r="O707" s="2"/>
      <c r="P707" s="2"/>
    </row>
    <row r="708" spans="1:16" x14ac:dyDescent="0.25">
      <c r="A708" s="103">
        <v>5005</v>
      </c>
      <c r="B708" s="38" t="str">
        <f>IF($A708=0,"",VLOOKUP($A708,'BASE MATERIAL'!$A:$D,2))</f>
        <v>AGUA</v>
      </c>
      <c r="C708" s="2"/>
      <c r="D708" s="77"/>
      <c r="E708" s="78" t="str">
        <f>IF($A708=0,"",VLOOKUP($A708,'BASE MATERIAL'!$A:$D,3))</f>
        <v>LT</v>
      </c>
      <c r="F708" s="55">
        <f>26*F705</f>
        <v>214.24</v>
      </c>
      <c r="G708" s="112">
        <f>IF($A708=0,"",VLOOKUP($A708,'BASE MATERIAL'!$A:$D,4))</f>
        <v>2E-3</v>
      </c>
      <c r="H708" s="56">
        <f t="shared" si="69"/>
        <v>0.43</v>
      </c>
      <c r="I708" s="2"/>
      <c r="L708" s="2"/>
      <c r="M708" s="2"/>
      <c r="N708" s="39"/>
      <c r="O708" s="2"/>
      <c r="P708" s="2"/>
    </row>
    <row r="709" spans="1:16" x14ac:dyDescent="0.25">
      <c r="A709" s="103">
        <v>11005</v>
      </c>
      <c r="B709" s="38" t="str">
        <f>IF($A709=0,"",VLOOKUP($A709,'BASE MATERIAL'!$A:$D,2))</f>
        <v>CAÑA</v>
      </c>
      <c r="C709" s="2"/>
      <c r="D709" s="77"/>
      <c r="E709" s="78" t="str">
        <f>IF($A709=0,"",VLOOKUP($A709,'BASE MATERIAL'!$A:$D,3))</f>
        <v>U</v>
      </c>
      <c r="F709" s="55">
        <f>4*K701</f>
        <v>40</v>
      </c>
      <c r="G709" s="55">
        <f>IF($A709=0,"",VLOOKUP($A709,'BASE MATERIAL'!$A:$D,4))</f>
        <v>2</v>
      </c>
      <c r="H709" s="56">
        <f t="shared" si="69"/>
        <v>80</v>
      </c>
      <c r="I709" s="2"/>
      <c r="L709" s="2"/>
      <c r="M709" s="2"/>
      <c r="N709" s="39"/>
      <c r="O709" s="2"/>
      <c r="P709" s="2"/>
    </row>
    <row r="710" spans="1:16" x14ac:dyDescent="0.25">
      <c r="A710" s="103">
        <v>1001</v>
      </c>
      <c r="B710" s="38" t="str">
        <f>IF($A710=0,"",VLOOKUP($A710,'BASE MATERIAL'!$A:$D,2))</f>
        <v>HIERRO</v>
      </c>
      <c r="C710" s="2"/>
      <c r="D710" s="77"/>
      <c r="E710" s="78" t="str">
        <f>IF($A710=0,"",VLOOKUP($A710,'BASE MATERIAL'!$A:$D,3))</f>
        <v>KG</v>
      </c>
      <c r="F710" s="55">
        <v>122</v>
      </c>
      <c r="G710" s="55">
        <f>IF($A710=0,"",VLOOKUP($A710,'BASE MATERIAL'!$A:$D,4))</f>
        <v>1.17</v>
      </c>
      <c r="H710" s="56">
        <f t="shared" si="69"/>
        <v>142.74</v>
      </c>
      <c r="I710" s="2"/>
      <c r="K710" s="1">
        <f>1/0.15</f>
        <v>6.666666666666667</v>
      </c>
      <c r="L710" s="2"/>
      <c r="M710" s="2"/>
      <c r="N710" s="39"/>
      <c r="O710" s="2"/>
      <c r="P710" s="2"/>
    </row>
    <row r="711" spans="1:16" x14ac:dyDescent="0.25">
      <c r="A711" s="103">
        <v>11002</v>
      </c>
      <c r="B711" s="38" t="str">
        <f>IF($A711=0,"",VLOOKUP($A711,'BASE MATERIAL'!$A:$D,2))</f>
        <v>ALAMBRE #18 RECOCIDO</v>
      </c>
      <c r="C711" s="2"/>
      <c r="D711" s="77"/>
      <c r="E711" s="78" t="str">
        <f>IF($A711=0,"",VLOOKUP($A711,'BASE MATERIAL'!$A:$D,3))</f>
        <v>KG</v>
      </c>
      <c r="F711" s="55">
        <f>+F710*0.03</f>
        <v>3.6599999999999997</v>
      </c>
      <c r="G711" s="55">
        <f>IF($A711=0,"",VLOOKUP($A711,'BASE MATERIAL'!$A:$D,4))</f>
        <v>1.87</v>
      </c>
      <c r="H711" s="56">
        <f t="shared" si="69"/>
        <v>6.84</v>
      </c>
      <c r="I711" s="2"/>
      <c r="K711" s="1">
        <f>1/0.12</f>
        <v>8.3333333333333339</v>
      </c>
      <c r="L711" s="2"/>
      <c r="M711" s="2"/>
      <c r="N711" s="39"/>
      <c r="O711" s="2"/>
      <c r="P711" s="2"/>
    </row>
    <row r="712" spans="1:16" x14ac:dyDescent="0.25">
      <c r="B712" s="38" t="str">
        <f>IF($A712=0,"",VLOOKUP($A712,'BASE MATERIAL'!$A:$D,2))</f>
        <v/>
      </c>
      <c r="C712" s="2"/>
      <c r="D712" s="77"/>
      <c r="E712" s="78" t="str">
        <f>IF($A712=0,"",VLOOKUP($A712,'BASE MATERIAL'!$A:$D,3))</f>
        <v/>
      </c>
      <c r="F712" s="55"/>
      <c r="G712" s="55" t="str">
        <f>IF($A712=0,"",VLOOKUP($A712,'BASE MATERIAL'!$A:$D,4))</f>
        <v/>
      </c>
      <c r="H712" s="56" t="str">
        <f t="shared" si="69"/>
        <v/>
      </c>
      <c r="I712" s="2"/>
      <c r="K712" s="1">
        <f>1/0.18</f>
        <v>5.5555555555555554</v>
      </c>
    </row>
    <row r="713" spans="1:16" x14ac:dyDescent="0.25">
      <c r="B713" s="38" t="str">
        <f>IF($A713=0,"",VLOOKUP($A713,'BASE MATERIAL'!$A:$D,2))</f>
        <v/>
      </c>
      <c r="C713" s="2"/>
      <c r="D713" s="77"/>
      <c r="E713" s="78" t="str">
        <f>IF($A713=0,"",VLOOKUP($A713,'BASE MATERIAL'!$A:$D,3))</f>
        <v/>
      </c>
      <c r="F713" s="55"/>
      <c r="G713" s="55" t="str">
        <f>IF($A713=0,"",VLOOKUP($A713,'BASE MATERIAL'!$A:$D,4))</f>
        <v/>
      </c>
      <c r="H713" s="56" t="str">
        <f t="shared" si="69"/>
        <v/>
      </c>
      <c r="I713" s="2"/>
    </row>
    <row r="714" spans="1:16" x14ac:dyDescent="0.25">
      <c r="B714" s="38" t="str">
        <f>IF($A714=0,"",VLOOKUP($A714,'BASE MATERIAL'!$A:$D,2))</f>
        <v/>
      </c>
      <c r="C714" s="2"/>
      <c r="D714" s="77"/>
      <c r="E714" s="78" t="str">
        <f>IF($A714=0,"",VLOOKUP($A714,'BASE MATERIAL'!$A:$D,3))</f>
        <v/>
      </c>
      <c r="F714" s="55"/>
      <c r="G714" s="55" t="str">
        <f>IF($A714=0,"",VLOOKUP($A714,'BASE MATERIAL'!$A:$D,4))</f>
        <v/>
      </c>
      <c r="H714" s="56" t="str">
        <f t="shared" si="69"/>
        <v/>
      </c>
      <c r="I714" s="2"/>
    </row>
    <row r="715" spans="1:16" x14ac:dyDescent="0.25">
      <c r="B715" s="38" t="str">
        <f>IF($A715=0,"",VLOOKUP($A715,'BASE MATERIAL'!$A:$D,2))</f>
        <v/>
      </c>
      <c r="C715" s="2"/>
      <c r="D715" s="77"/>
      <c r="E715" s="78" t="str">
        <f>IF($A715=0,"",VLOOKUP($A715,'BASE MATERIAL'!$A:$D,3))</f>
        <v/>
      </c>
      <c r="F715" s="55"/>
      <c r="G715" s="55" t="str">
        <f>IF($A715=0,"",VLOOKUP($A715,'BASE MATERIAL'!$A:$D,4))</f>
        <v/>
      </c>
      <c r="H715" s="56" t="str">
        <f t="shared" si="69"/>
        <v/>
      </c>
      <c r="I715" s="2"/>
    </row>
    <row r="716" spans="1:16" x14ac:dyDescent="0.25">
      <c r="B716" s="38" t="str">
        <f>IF($A716=0,"",VLOOKUP($A716,'BASE MATERIAL'!$A:$D,2))</f>
        <v/>
      </c>
      <c r="C716" s="2"/>
      <c r="D716" s="81" t="s">
        <v>1682</v>
      </c>
      <c r="E716" s="55" t="str">
        <f>IF($A716=0,"",VLOOKUP($A716,'BASE MATERIAL'!$A:$D,3))</f>
        <v/>
      </c>
      <c r="F716" s="55" t="s">
        <v>1682</v>
      </c>
      <c r="G716" s="55" t="str">
        <f>IF($A716=0,"",VLOOKUP($A716,'BASE MATERIAL'!$A:$D,4))</f>
        <v/>
      </c>
      <c r="H716" s="56" t="str">
        <f>IF($A716=0,"",ROUND(E716*F716,2))</f>
        <v/>
      </c>
      <c r="I716" s="2"/>
    </row>
    <row r="717" spans="1:16" x14ac:dyDescent="0.25">
      <c r="B717" s="73" t="s">
        <v>1681</v>
      </c>
      <c r="C717" s="65"/>
      <c r="D717" s="74"/>
      <c r="E717" s="74"/>
      <c r="F717" s="74"/>
      <c r="G717" s="74"/>
      <c r="H717" s="75">
        <f>ROUND(SUM(H700:H716),2)</f>
        <v>347.11</v>
      </c>
      <c r="I717" s="2"/>
    </row>
    <row r="718" spans="1:16" x14ac:dyDescent="0.25">
      <c r="B718" s="38" t="s">
        <v>1680</v>
      </c>
      <c r="C718" s="2"/>
      <c r="D718" s="3"/>
      <c r="E718" s="3"/>
      <c r="F718" s="3"/>
      <c r="G718" s="3"/>
      <c r="H718" s="56"/>
      <c r="I718" s="2"/>
    </row>
    <row r="719" spans="1:16" ht="25.5" x14ac:dyDescent="0.25">
      <c r="B719" s="64" t="s">
        <v>1409</v>
      </c>
      <c r="C719" s="65"/>
      <c r="D719" s="76"/>
      <c r="E719" s="66" t="s">
        <v>1408</v>
      </c>
      <c r="F719" s="66" t="s">
        <v>1679</v>
      </c>
      <c r="G719" s="66" t="s">
        <v>1676</v>
      </c>
      <c r="H719" s="68" t="s">
        <v>1675</v>
      </c>
      <c r="I719" s="2"/>
    </row>
    <row r="720" spans="1:16" x14ac:dyDescent="0.25">
      <c r="A720" s="103">
        <v>19019</v>
      </c>
      <c r="B720" s="51" t="str">
        <f>IF($A720=0,"",VLOOKUP($A720,'BASE EQUIPO'!$A:$D,2))</f>
        <v>TRANSPORTE DE MATERIAL</v>
      </c>
      <c r="C720" s="52"/>
      <c r="D720" s="82"/>
      <c r="E720" s="78" t="str">
        <f>IF($A720=0,"",VLOOKUP($A720,'BASE EQUIPO'!$A:$D,3))</f>
        <v>GLOBAL</v>
      </c>
      <c r="F720" s="55">
        <v>1</v>
      </c>
      <c r="G720" s="83">
        <f>IF($A720=0,"",VLOOKUP($A720,'BASE EQUIPO'!$A:$D,4)*H717)+0.02</f>
        <v>10.433299999999999</v>
      </c>
      <c r="H720" s="56">
        <f>IF($A720=0,"",ROUND(F720*G720,2))</f>
        <v>10.43</v>
      </c>
      <c r="I720" s="2"/>
    </row>
    <row r="721" spans="1:15" x14ac:dyDescent="0.25">
      <c r="B721" s="38" t="str">
        <f>IF($A721=0,"",VLOOKUP($A721,'BASE EQUIPO'!$A:$D,2))</f>
        <v/>
      </c>
      <c r="C721" s="2"/>
      <c r="D721" s="84"/>
      <c r="E721" s="78" t="str">
        <f>IF($A721=0,"",VLOOKUP($A721,'BASE EQUIPO'!$A:$D,3))</f>
        <v/>
      </c>
      <c r="F721" s="55"/>
      <c r="G721" s="55" t="str">
        <f>IF($A721=0,"",VLOOKUP($A721,'BASE EQUIPO'!$A:$D,4)*H718)</f>
        <v/>
      </c>
      <c r="H721" s="56" t="str">
        <f>IF($A721=0,"",ROUND(F721*G721,2))</f>
        <v/>
      </c>
      <c r="I721" s="2"/>
    </row>
    <row r="722" spans="1:15" x14ac:dyDescent="0.25">
      <c r="B722" s="57" t="str">
        <f>IF($A722=0,"",VLOOKUP($A722,'BASE EQUIPO'!$A:$D,2))</f>
        <v/>
      </c>
      <c r="C722" s="58"/>
      <c r="D722" s="85"/>
      <c r="E722" s="86" t="str">
        <f>IF($A722=0,"",VLOOKUP($A722,'BASE EQUIPO'!$A:$D,3))</f>
        <v/>
      </c>
      <c r="F722" s="59"/>
      <c r="G722" s="59" t="str">
        <f>IF($A722=0,"",VLOOKUP($A722,'BASE EQUIPO'!$A:$D,4)*H719)</f>
        <v/>
      </c>
      <c r="H722" s="60" t="str">
        <f>IF($A722=0,"",ROUND(F722*G722,2))</f>
        <v/>
      </c>
      <c r="I722" s="2"/>
    </row>
    <row r="723" spans="1:15" ht="15.75" thickBot="1" x14ac:dyDescent="0.3">
      <c r="B723" s="87" t="s">
        <v>1674</v>
      </c>
      <c r="C723" s="88"/>
      <c r="D723" s="89"/>
      <c r="E723" s="89"/>
      <c r="F723" s="89"/>
      <c r="G723" s="89"/>
      <c r="H723" s="90">
        <f>ROUND(SUM(H719:H722),2)</f>
        <v>10.43</v>
      </c>
      <c r="I723" s="2"/>
    </row>
    <row r="724" spans="1:15" ht="15.75" x14ac:dyDescent="0.25">
      <c r="B724" s="2"/>
      <c r="C724" s="2"/>
      <c r="D724" s="91" t="s">
        <v>1673</v>
      </c>
      <c r="E724" s="47"/>
      <c r="F724" s="47"/>
      <c r="G724" s="47"/>
      <c r="H724" s="92">
        <f>ROUND(SUM(H723,H717,H698,H688),2)</f>
        <v>471.53</v>
      </c>
      <c r="I724" s="2"/>
      <c r="K724" s="1">
        <v>240.64</v>
      </c>
    </row>
    <row r="725" spans="1:15" ht="15.75" x14ac:dyDescent="0.25">
      <c r="A725" s="103">
        <v>40002</v>
      </c>
      <c r="B725" s="2"/>
      <c r="C725" s="2"/>
      <c r="D725" s="93" t="s">
        <v>1672</v>
      </c>
      <c r="E725" s="65"/>
      <c r="F725" s="65"/>
      <c r="G725" s="94">
        <f>IF($A725=0,"",VLOOKUP($A725,'BASE MATERIAL'!$M:$P,4))</f>
        <v>0</v>
      </c>
      <c r="H725" s="95">
        <f>IF($A725=0,"",ROUND(G725*H724,2))</f>
        <v>0</v>
      </c>
      <c r="I725" s="2"/>
    </row>
    <row r="726" spans="1:15" ht="15.75" x14ac:dyDescent="0.25">
      <c r="A726" s="103">
        <v>40003</v>
      </c>
      <c r="B726" s="2"/>
      <c r="C726" s="2"/>
      <c r="D726" s="93" t="s">
        <v>1671</v>
      </c>
      <c r="E726" s="65"/>
      <c r="F726" s="65"/>
      <c r="G726" s="94">
        <f>IF($A726=0,"",VLOOKUP($A726,'BASE MATERIAL'!$M:$P,4))</f>
        <v>0</v>
      </c>
      <c r="H726" s="95">
        <f>IF($A726=0,"",ROUND(G726*H724,2))</f>
        <v>0</v>
      </c>
      <c r="I726" s="2"/>
    </row>
    <row r="727" spans="1:15" ht="15.75" x14ac:dyDescent="0.25">
      <c r="B727" s="2"/>
      <c r="C727" s="2"/>
      <c r="D727" s="93" t="s">
        <v>1670</v>
      </c>
      <c r="E727" s="65"/>
      <c r="F727" s="65"/>
      <c r="G727" s="65"/>
      <c r="H727" s="96">
        <f>ROUND(SUM(H724:H726),2)</f>
        <v>471.53</v>
      </c>
      <c r="I727" s="2"/>
    </row>
    <row r="728" spans="1:15" ht="16.5" thickBot="1" x14ac:dyDescent="0.3">
      <c r="B728" s="25"/>
      <c r="C728" s="2"/>
      <c r="D728" s="97" t="s">
        <v>1650</v>
      </c>
      <c r="E728" s="88"/>
      <c r="F728" s="88"/>
      <c r="G728" s="88"/>
      <c r="H728" s="98">
        <f>ROUND(H727,2)</f>
        <v>471.53</v>
      </c>
      <c r="I728" s="2"/>
    </row>
    <row r="729" spans="1:15" ht="15.75" x14ac:dyDescent="0.25">
      <c r="B729" s="34" t="s">
        <v>1701</v>
      </c>
      <c r="C729" s="2"/>
      <c r="D729" s="3" t="str">
        <f>$D$1</f>
        <v>ESPOL</v>
      </c>
      <c r="E729" s="2"/>
      <c r="F729" s="2"/>
      <c r="H729" s="2" t="s">
        <v>108</v>
      </c>
      <c r="I729" s="2"/>
      <c r="L729" s="40">
        <f>A733</f>
        <v>6</v>
      </c>
      <c r="M729" s="1" t="str">
        <f>C734</f>
        <v>Escalera</v>
      </c>
      <c r="N729" s="2" t="str">
        <f>H733</f>
        <v>m3</v>
      </c>
      <c r="O729" s="2">
        <f>H784</f>
        <v>428.47</v>
      </c>
    </row>
    <row r="730" spans="1:15" ht="15.75" x14ac:dyDescent="0.25">
      <c r="B730" s="34" t="s">
        <v>1700</v>
      </c>
      <c r="C730" s="3">
        <f>'1.1'!$C$2</f>
        <v>0</v>
      </c>
      <c r="D730" s="2"/>
      <c r="E730" s="2"/>
      <c r="F730" s="2"/>
      <c r="G730" s="41" t="s">
        <v>1699</v>
      </c>
      <c r="H730" s="42"/>
      <c r="I730" s="2" t="s">
        <v>1698</v>
      </c>
    </row>
    <row r="731" spans="1:15" ht="15.75" x14ac:dyDescent="0.25">
      <c r="B731" s="34"/>
      <c r="C731" s="3">
        <f>'1.1'!$C$3</f>
        <v>0</v>
      </c>
      <c r="D731" s="2"/>
      <c r="E731" s="2"/>
      <c r="F731" s="2"/>
      <c r="G731" s="2"/>
      <c r="H731" s="2"/>
      <c r="I731" s="2"/>
    </row>
    <row r="732" spans="1:15" ht="15.75" x14ac:dyDescent="0.25">
      <c r="B732" s="34" t="s">
        <v>1697</v>
      </c>
      <c r="C732" s="3"/>
      <c r="D732" s="2"/>
      <c r="E732" s="2"/>
      <c r="F732" s="2"/>
      <c r="G732" s="2"/>
      <c r="H732" s="2"/>
      <c r="I732" s="2"/>
    </row>
    <row r="733" spans="1:15" x14ac:dyDescent="0.25">
      <c r="A733" s="104">
        <v>6</v>
      </c>
      <c r="B733" s="2" t="s">
        <v>1586</v>
      </c>
      <c r="C733" s="36" t="s">
        <v>626</v>
      </c>
      <c r="D733" s="2"/>
      <c r="G733" s="2" t="s">
        <v>1696</v>
      </c>
      <c r="H733" s="3" t="s">
        <v>1521</v>
      </c>
      <c r="I733" s="2"/>
    </row>
    <row r="734" spans="1:15" x14ac:dyDescent="0.25">
      <c r="B734" s="1" t="s">
        <v>1585</v>
      </c>
      <c r="C734" s="36" t="s">
        <v>1393</v>
      </c>
      <c r="D734" s="2"/>
      <c r="E734" s="2"/>
      <c r="F734" s="2"/>
      <c r="G734" s="2"/>
      <c r="H734" s="2"/>
      <c r="I734" s="2"/>
    </row>
    <row r="735" spans="1:15" ht="15.75" thickBot="1" x14ac:dyDescent="0.3">
      <c r="D735" s="2"/>
      <c r="E735" s="2"/>
      <c r="F735" s="2"/>
      <c r="G735" s="2"/>
      <c r="H735" s="2"/>
      <c r="I735" s="2"/>
    </row>
    <row r="736" spans="1:15" ht="15.75" thickBot="1" x14ac:dyDescent="0.3">
      <c r="B736" s="43" t="s">
        <v>1695</v>
      </c>
      <c r="C736" s="44"/>
      <c r="D736" s="44"/>
      <c r="E736" s="44"/>
      <c r="F736" s="44"/>
      <c r="G736" s="44"/>
      <c r="H736" s="45"/>
      <c r="I736" s="2"/>
    </row>
    <row r="737" spans="1:12" ht="25.5" x14ac:dyDescent="0.25">
      <c r="B737" s="46" t="s">
        <v>1409</v>
      </c>
      <c r="C737" s="47"/>
      <c r="D737" s="48" t="s">
        <v>1690</v>
      </c>
      <c r="E737" s="48" t="s">
        <v>1694</v>
      </c>
      <c r="F737" s="48" t="s">
        <v>1693</v>
      </c>
      <c r="G737" s="49" t="s">
        <v>1687</v>
      </c>
      <c r="H737" s="50" t="s">
        <v>1686</v>
      </c>
      <c r="I737" s="2"/>
    </row>
    <row r="738" spans="1:12" x14ac:dyDescent="0.25">
      <c r="A738" s="103">
        <v>19015</v>
      </c>
      <c r="B738" s="51" t="str">
        <f>IF($A738=0,"",VLOOKUP($A738,'BASE EQUIPO'!$A:$D,2))</f>
        <v>HERRAMIENTA MENOR</v>
      </c>
      <c r="C738" s="52"/>
      <c r="D738" s="53">
        <v>1</v>
      </c>
      <c r="E738" s="53">
        <f>IF($A738=0,"",VLOOKUP($A738,'BASE EQUIPO'!$A:$D,4)*H754)</f>
        <v>4.0697999999999999</v>
      </c>
      <c r="F738" s="53">
        <f t="shared" ref="F738:F743" si="70">IF($A738=0,"",ROUND(D738*E738,2))</f>
        <v>4.07</v>
      </c>
      <c r="G738" s="105">
        <v>1</v>
      </c>
      <c r="H738" s="54">
        <f t="shared" ref="H738:H743" si="71">IF($A738=0,"",ROUND(G738*F738,2))</f>
        <v>4.07</v>
      </c>
      <c r="I738" s="2"/>
    </row>
    <row r="739" spans="1:12" x14ac:dyDescent="0.25">
      <c r="A739" s="103">
        <v>19003</v>
      </c>
      <c r="B739" s="38" t="str">
        <f>IF($A739=0,"",VLOOKUP($A739,'BASE EQUIPO'!$A:$D,2))</f>
        <v>CONCRETERA</v>
      </c>
      <c r="C739" s="2"/>
      <c r="D739" s="55">
        <v>1</v>
      </c>
      <c r="E739" s="55">
        <f>IF($A739=0,"",VLOOKUP($A739,'BASE EQUIPO'!$A:$D,4))</f>
        <v>3.5</v>
      </c>
      <c r="F739" s="55">
        <f t="shared" si="70"/>
        <v>3.5</v>
      </c>
      <c r="G739" s="106">
        <f>+G748*0.5</f>
        <v>0.65</v>
      </c>
      <c r="H739" s="56">
        <f t="shared" si="71"/>
        <v>2.2799999999999998</v>
      </c>
      <c r="I739" s="2"/>
    </row>
    <row r="740" spans="1:12" x14ac:dyDescent="0.25">
      <c r="A740" s="103">
        <v>19008</v>
      </c>
      <c r="B740" s="38" t="str">
        <f>IF($A740=0,"",VLOOKUP($A740,'BASE EQUIPO'!$A:$D,2))</f>
        <v>VIBRADOR</v>
      </c>
      <c r="C740" s="2"/>
      <c r="D740" s="55">
        <v>1</v>
      </c>
      <c r="E740" s="55">
        <f>IF($A740=0,"",VLOOKUP($A740,'BASE EQUIPO'!$A:$D,4))</f>
        <v>2.5</v>
      </c>
      <c r="F740" s="55">
        <f t="shared" si="70"/>
        <v>2.5</v>
      </c>
      <c r="G740" s="106">
        <f>+G749*0.5</f>
        <v>0.65</v>
      </c>
      <c r="H740" s="56">
        <f t="shared" si="71"/>
        <v>1.63</v>
      </c>
      <c r="I740" s="2"/>
    </row>
    <row r="741" spans="1:12" x14ac:dyDescent="0.25">
      <c r="B741" s="38" t="str">
        <f>IF($A741=0,"",VLOOKUP($A741,'BASE EQUIPO'!$A:$D,2))</f>
        <v/>
      </c>
      <c r="C741" s="2"/>
      <c r="D741" s="55"/>
      <c r="E741" s="55" t="str">
        <f>IF($A741=0,"",VLOOKUP($A741,'BASE EQUIPO'!$A:$D,4))</f>
        <v/>
      </c>
      <c r="F741" s="55" t="str">
        <f t="shared" si="70"/>
        <v/>
      </c>
      <c r="G741" s="106"/>
      <c r="H741" s="56" t="str">
        <f t="shared" si="71"/>
        <v/>
      </c>
      <c r="I741" s="2"/>
    </row>
    <row r="742" spans="1:12" x14ac:dyDescent="0.25">
      <c r="B742" s="38" t="str">
        <f>IF($A742=0,"",VLOOKUP($A742,'BASE EQUIPO'!$A:$D,2))</f>
        <v/>
      </c>
      <c r="C742" s="2"/>
      <c r="D742" s="55"/>
      <c r="E742" s="55" t="str">
        <f>IF($A742=0,"",VLOOKUP($A742,'BASE EQUIPO'!$A:$D,4))</f>
        <v/>
      </c>
      <c r="F742" s="55" t="str">
        <f t="shared" si="70"/>
        <v/>
      </c>
      <c r="G742" s="106"/>
      <c r="H742" s="56" t="str">
        <f t="shared" si="71"/>
        <v/>
      </c>
      <c r="I742" s="2"/>
    </row>
    <row r="743" spans="1:12" x14ac:dyDescent="0.25">
      <c r="B743" s="57" t="str">
        <f>IF($A743=0,"",VLOOKUP($A743,'BASE EQUIPO'!$A:$D,2))</f>
        <v/>
      </c>
      <c r="C743" s="58"/>
      <c r="D743" s="59"/>
      <c r="E743" s="59" t="str">
        <f>IF($A743=0,"",VLOOKUP($A743,'BASE EQUIPO'!$A:$D,4))</f>
        <v/>
      </c>
      <c r="F743" s="59" t="str">
        <f t="shared" si="70"/>
        <v/>
      </c>
      <c r="G743" s="107"/>
      <c r="H743" s="60" t="str">
        <f t="shared" si="71"/>
        <v/>
      </c>
      <c r="I743" s="2"/>
    </row>
    <row r="744" spans="1:12" x14ac:dyDescent="0.25">
      <c r="B744" s="57" t="s">
        <v>1692</v>
      </c>
      <c r="C744" s="58"/>
      <c r="D744" s="61"/>
      <c r="E744" s="61"/>
      <c r="F744" s="61"/>
      <c r="G744" s="62"/>
      <c r="H744" s="60">
        <f>ROUND(SUM(H737:H743),2)</f>
        <v>7.98</v>
      </c>
      <c r="I744" s="2"/>
    </row>
    <row r="745" spans="1:12" x14ac:dyDescent="0.25">
      <c r="B745" s="38" t="s">
        <v>1503</v>
      </c>
      <c r="C745" s="2"/>
      <c r="D745" s="3"/>
      <c r="E745" s="3"/>
      <c r="F745" s="3"/>
      <c r="G745" s="63"/>
      <c r="H745" s="56"/>
      <c r="I745" s="2"/>
    </row>
    <row r="746" spans="1:12" ht="25.5" x14ac:dyDescent="0.25">
      <c r="B746" s="64" t="s">
        <v>1691</v>
      </c>
      <c r="C746" s="65"/>
      <c r="D746" s="66" t="s">
        <v>1690</v>
      </c>
      <c r="E746" s="66" t="s">
        <v>1689</v>
      </c>
      <c r="F746" s="66" t="s">
        <v>1688</v>
      </c>
      <c r="G746" s="67" t="s">
        <v>1687</v>
      </c>
      <c r="H746" s="68" t="s">
        <v>1686</v>
      </c>
      <c r="I746" s="2"/>
    </row>
    <row r="747" spans="1:12" x14ac:dyDescent="0.25">
      <c r="A747" s="103">
        <v>20001</v>
      </c>
      <c r="B747" s="69" t="str">
        <f>IF($A747=0,"",VLOOKUP($A747,'BASE M-OBRA'!$A:$D,2))</f>
        <v>MAESTRO</v>
      </c>
      <c r="C747" s="2"/>
      <c r="D747" s="108">
        <v>1</v>
      </c>
      <c r="E747" s="70">
        <f>IF($A747=0,"",VLOOKUP($A747,'BASE M-OBRA'!$A:$D,4))</f>
        <v>3.02</v>
      </c>
      <c r="F747" s="55">
        <f t="shared" ref="F747:F753" si="72">IF($A747=0,"",ROUND(D747*E747,2))</f>
        <v>3.02</v>
      </c>
      <c r="G747" s="106">
        <f>IF($A747=0,"",ROUND(H747/F747,2))</f>
        <v>7.49</v>
      </c>
      <c r="H747" s="56">
        <f>IF($A747=0,"",ROUND(SUM(H748:H753)*'BASE M-OBRA'!$D$23,2))</f>
        <v>22.61</v>
      </c>
      <c r="I747" s="2"/>
    </row>
    <row r="748" spans="1:12" x14ac:dyDescent="0.25">
      <c r="A748" s="103">
        <v>20002</v>
      </c>
      <c r="B748" s="69" t="str">
        <f>IF($A748=0,"",VLOOKUP($A748,'BASE M-OBRA'!$A:$D,2))</f>
        <v>PEON</v>
      </c>
      <c r="C748" s="2"/>
      <c r="D748" s="108">
        <v>8</v>
      </c>
      <c r="E748" s="70">
        <f>IF($A748=0,"",VLOOKUP($A748,'BASE M-OBRA'!$A:$D,4))</f>
        <v>2.79</v>
      </c>
      <c r="F748" s="55">
        <f t="shared" si="72"/>
        <v>22.32</v>
      </c>
      <c r="G748" s="106">
        <v>1.3</v>
      </c>
      <c r="H748" s="56">
        <f t="shared" ref="H748:H753" si="73">IF($A748=0,"",ROUND(G748*F748,2))</f>
        <v>29.02</v>
      </c>
      <c r="I748" s="2"/>
      <c r="K748" s="1">
        <f>(8.94+35.32)/1.2</f>
        <v>36.883333333333333</v>
      </c>
      <c r="L748" s="2">
        <f>H748+H749</f>
        <v>36.35</v>
      </c>
    </row>
    <row r="749" spans="1:12" x14ac:dyDescent="0.25">
      <c r="A749" s="103">
        <v>20003</v>
      </c>
      <c r="B749" s="69" t="str">
        <f>IF($A749=0,"",VLOOKUP($A749,'BASE M-OBRA'!$A:$D,2))</f>
        <v>ALBAÑIL</v>
      </c>
      <c r="C749" s="2"/>
      <c r="D749" s="108">
        <v>2</v>
      </c>
      <c r="E749" s="70">
        <f>IF($A749=0,"",VLOOKUP($A749,'BASE M-OBRA'!$A:$D,4))</f>
        <v>2.82</v>
      </c>
      <c r="F749" s="55">
        <f t="shared" si="72"/>
        <v>5.64</v>
      </c>
      <c r="G749" s="106">
        <f>+G748</f>
        <v>1.3</v>
      </c>
      <c r="H749" s="56">
        <f t="shared" si="73"/>
        <v>7.33</v>
      </c>
      <c r="I749" s="2"/>
    </row>
    <row r="750" spans="1:12" x14ac:dyDescent="0.25">
      <c r="A750" s="103">
        <v>20004</v>
      </c>
      <c r="B750" s="71" t="str">
        <f>IF($A750=0,"",VLOOKUP($A750,'BASE M-OBRA'!$A:$D,2))</f>
        <v>CARPINTERO</v>
      </c>
      <c r="C750" s="2"/>
      <c r="D750" s="108">
        <v>2</v>
      </c>
      <c r="E750" s="70">
        <f>IF($A750=0,"",VLOOKUP($A750,'BASE M-OBRA'!$A:$D,4))</f>
        <v>2.82</v>
      </c>
      <c r="F750" s="55">
        <f t="shared" si="72"/>
        <v>5.64</v>
      </c>
      <c r="G750" s="106">
        <v>8</v>
      </c>
      <c r="H750" s="56">
        <f t="shared" si="73"/>
        <v>45.12</v>
      </c>
      <c r="I750" s="2"/>
      <c r="K750" s="1">
        <f>(2.7*0+6.34)*K757/1.2</f>
        <v>44.782539682539685</v>
      </c>
    </row>
    <row r="751" spans="1:12" x14ac:dyDescent="0.25">
      <c r="A751" s="103">
        <v>20005</v>
      </c>
      <c r="B751" s="72" t="str">
        <f>IF($A751=0,"",VLOOKUP($A751,'BASE M-OBRA'!$A:$D,2))</f>
        <v>FIERRERO</v>
      </c>
      <c r="C751" s="2"/>
      <c r="D751" s="108">
        <v>2</v>
      </c>
      <c r="E751" s="70">
        <f>IF($A751=0,"",VLOOKUP($A751,'BASE M-OBRA'!$A:$D,4))</f>
        <v>2.82</v>
      </c>
      <c r="F751" s="55">
        <f t="shared" si="72"/>
        <v>5.64</v>
      </c>
      <c r="G751" s="106">
        <v>5.6</v>
      </c>
      <c r="H751" s="56">
        <f t="shared" si="73"/>
        <v>31.58</v>
      </c>
      <c r="I751" s="2"/>
      <c r="K751" s="1">
        <f>((F766*0.31)/1.2)</f>
        <v>31.000000000000004</v>
      </c>
    </row>
    <row r="752" spans="1:12" x14ac:dyDescent="0.25">
      <c r="B752" s="38" t="str">
        <f>IF($A752=0,"",VLOOKUP($A752,'BASE M-OBRA'!$A:$D,2))</f>
        <v/>
      </c>
      <c r="C752" s="2"/>
      <c r="D752" s="55"/>
      <c r="E752" s="55" t="str">
        <f>IF($A752=0,"",VLOOKUP($A752,'BASE M-OBRA'!$A:$D,4))</f>
        <v/>
      </c>
      <c r="F752" s="55" t="str">
        <f t="shared" si="72"/>
        <v/>
      </c>
      <c r="G752" s="106"/>
      <c r="H752" s="56" t="str">
        <f t="shared" si="73"/>
        <v/>
      </c>
      <c r="I752" s="2"/>
    </row>
    <row r="753" spans="1:16" x14ac:dyDescent="0.25">
      <c r="B753" s="57" t="str">
        <f>IF($A753=0,"",VLOOKUP($A753,'BASE M-OBRA'!$A:$D,2))</f>
        <v/>
      </c>
      <c r="C753" s="58"/>
      <c r="D753" s="59"/>
      <c r="E753" s="59" t="str">
        <f>IF($A753=0,"",VLOOKUP($A753,'BASE M-OBRA'!$A:$D,4))</f>
        <v/>
      </c>
      <c r="F753" s="59" t="str">
        <f t="shared" si="72"/>
        <v/>
      </c>
      <c r="G753" s="107"/>
      <c r="H753" s="60" t="str">
        <f t="shared" si="73"/>
        <v/>
      </c>
      <c r="I753" s="2"/>
    </row>
    <row r="754" spans="1:16" x14ac:dyDescent="0.25">
      <c r="B754" s="73" t="s">
        <v>1685</v>
      </c>
      <c r="C754" s="65"/>
      <c r="D754" s="74"/>
      <c r="E754" s="74"/>
      <c r="F754" s="74"/>
      <c r="G754" s="74"/>
      <c r="H754" s="75">
        <f>ROUND(SUM(H746:H753),2)</f>
        <v>135.66</v>
      </c>
      <c r="I754" s="2"/>
      <c r="K754" s="1">
        <f>SUM(K748:K753)</f>
        <v>112.66587301587302</v>
      </c>
    </row>
    <row r="755" spans="1:16" x14ac:dyDescent="0.25">
      <c r="B755" s="38" t="s">
        <v>1684</v>
      </c>
      <c r="C755" s="2"/>
      <c r="D755" s="3"/>
      <c r="E755" s="3"/>
      <c r="F755" s="3"/>
      <c r="G755" s="3"/>
      <c r="H755" s="56"/>
      <c r="I755" s="2"/>
    </row>
    <row r="756" spans="1:16" ht="25.5" x14ac:dyDescent="0.25">
      <c r="B756" s="64" t="s">
        <v>1409</v>
      </c>
      <c r="C756" s="65"/>
      <c r="D756" s="76"/>
      <c r="E756" s="66" t="s">
        <v>1408</v>
      </c>
      <c r="F756" s="66" t="s">
        <v>1679</v>
      </c>
      <c r="G756" s="66" t="s">
        <v>1683</v>
      </c>
      <c r="H756" s="68" t="s">
        <v>1675</v>
      </c>
      <c r="I756" s="2"/>
    </row>
    <row r="757" spans="1:16" x14ac:dyDescent="0.25">
      <c r="A757" s="103">
        <v>11008</v>
      </c>
      <c r="B757" s="37" t="str">
        <f>IF($A757=0,"",VLOOKUP($A757,'BASE MATERIAL'!$A:$D,2))</f>
        <v>TABLA</v>
      </c>
      <c r="C757" s="2"/>
      <c r="D757" s="77"/>
      <c r="E757" s="78" t="str">
        <f>IF($A757=0,"",VLOOKUP($A757,'BASE MATERIAL'!$A:$D,3))</f>
        <v>U</v>
      </c>
      <c r="F757" s="55">
        <f>ROUND(9*5/(4*3),2)</f>
        <v>3.75</v>
      </c>
      <c r="G757" s="55">
        <f>IF($A757=0,"",VLOOKUP($A757,'BASE MATERIAL'!$A:$D,4))</f>
        <v>3.5</v>
      </c>
      <c r="H757" s="56">
        <f t="shared" ref="H757:H764" si="74">IF($A757=0,"",ROUND(F757*G757,2))</f>
        <v>13.13</v>
      </c>
      <c r="I757" s="2"/>
      <c r="K757" s="1">
        <f>(1+0.2*3+0.2*0.3*3)/(0.21)</f>
        <v>8.4761904761904763</v>
      </c>
      <c r="L757" s="2"/>
      <c r="M757" s="2"/>
      <c r="N757" s="39"/>
      <c r="O757" s="2"/>
      <c r="P757" s="2"/>
    </row>
    <row r="758" spans="1:16" x14ac:dyDescent="0.25">
      <c r="A758" s="103">
        <v>11009</v>
      </c>
      <c r="B758" s="38" t="str">
        <f>IF($A758=0,"",VLOOKUP($A758,'BASE MATERIAL'!$A:$D,2))</f>
        <v>CUARTON</v>
      </c>
      <c r="C758" s="2"/>
      <c r="D758" s="77"/>
      <c r="E758" s="78" t="str">
        <f>IF($A758=0,"",VLOOKUP($A758,'BASE MATERIAL'!$A:$D,3))</f>
        <v>U</v>
      </c>
      <c r="F758" s="55">
        <f>ROUND(9*8/(4*3),2)</f>
        <v>6</v>
      </c>
      <c r="G758" s="55">
        <f>IF($A758=0,"",VLOOKUP($A758,'BASE MATERIAL'!$A:$D,4))</f>
        <v>2.42</v>
      </c>
      <c r="H758" s="56">
        <f t="shared" si="74"/>
        <v>14.52</v>
      </c>
      <c r="I758" s="2"/>
      <c r="K758" s="1">
        <f>(0.2*0.3*0.5*3+0.12)</f>
        <v>0.21</v>
      </c>
      <c r="L758" s="2"/>
      <c r="M758" s="2"/>
      <c r="N758" s="39"/>
      <c r="O758" s="2"/>
      <c r="P758" s="2"/>
    </row>
    <row r="759" spans="1:16" x14ac:dyDescent="0.25">
      <c r="A759" s="103">
        <v>11007</v>
      </c>
      <c r="B759" s="38" t="str">
        <f>IF($A759=0,"",VLOOKUP($A759,'BASE MATERIAL'!$A:$D,2))</f>
        <v>CLAVO 2 1/2"</v>
      </c>
      <c r="C759" s="2"/>
      <c r="D759" s="77"/>
      <c r="E759" s="78" t="str">
        <f>IF($A759=0,"",VLOOKUP($A759,'BASE MATERIAL'!$A:$D,3))</f>
        <v>KG</v>
      </c>
      <c r="F759" s="55">
        <f>ROUND(9*56/(178*1.5),2)</f>
        <v>1.89</v>
      </c>
      <c r="G759" s="55">
        <f>IF($A759=0,"",VLOOKUP($A759,'BASE MATERIAL'!$A:$D,4))</f>
        <v>2.6520000000000001</v>
      </c>
      <c r="H759" s="56">
        <f t="shared" si="74"/>
        <v>5.01</v>
      </c>
      <c r="I759" s="2"/>
      <c r="L759" s="2"/>
      <c r="M759" s="2"/>
      <c r="N759" s="39"/>
      <c r="O759" s="2"/>
      <c r="P759" s="2"/>
    </row>
    <row r="760" spans="1:16" x14ac:dyDescent="0.25">
      <c r="A760" s="103">
        <v>11010</v>
      </c>
      <c r="B760" s="38" t="str">
        <f>IF($A760=0,"",VLOOKUP($A760,'BASE MATERIAL'!$A:$D,2))</f>
        <v>TIRA</v>
      </c>
      <c r="C760" s="2"/>
      <c r="D760" s="77"/>
      <c r="E760" s="78" t="str">
        <f>IF($A760=0,"",VLOOKUP($A760,'BASE MATERIAL'!$A:$D,3))</f>
        <v>U</v>
      </c>
      <c r="F760" s="55">
        <f>ROUND(9*4/(4*3),2)</f>
        <v>3</v>
      </c>
      <c r="G760" s="55">
        <f>IF($A760=0,"",VLOOKUP($A760,'BASE MATERIAL'!$A:$D,4))</f>
        <v>1.5</v>
      </c>
      <c r="H760" s="56">
        <f t="shared" si="74"/>
        <v>4.5</v>
      </c>
      <c r="I760" s="2"/>
      <c r="L760" s="2"/>
      <c r="M760" s="2"/>
      <c r="N760" s="39"/>
      <c r="O760" s="2"/>
      <c r="P760" s="2"/>
    </row>
    <row r="761" spans="1:16" x14ac:dyDescent="0.25">
      <c r="A761" s="103">
        <v>4001</v>
      </c>
      <c r="B761" s="38" t="str">
        <f>IF($A761=0,"",VLOOKUP($A761,'BASE MATERIAL'!$A:$D,2))</f>
        <v>CEMENTO</v>
      </c>
      <c r="C761" s="2"/>
      <c r="D761" s="77"/>
      <c r="E761" s="78" t="str">
        <f>IF($A761=0,"",VLOOKUP($A761,'BASE MATERIAL'!$A:$D,3))</f>
        <v>SACO</v>
      </c>
      <c r="F761" s="55">
        <f>8*1.03</f>
        <v>8.24</v>
      </c>
      <c r="G761" s="55">
        <f>IF($A761=0,"",VLOOKUP($A761,'BASE MATERIAL'!$A:$D,4))</f>
        <v>7.09</v>
      </c>
      <c r="H761" s="56">
        <f t="shared" si="74"/>
        <v>58.42</v>
      </c>
      <c r="I761" s="2"/>
      <c r="L761" s="2"/>
      <c r="M761" s="2"/>
      <c r="N761" s="39"/>
      <c r="O761" s="2"/>
      <c r="P761" s="2"/>
    </row>
    <row r="762" spans="1:16" x14ac:dyDescent="0.25">
      <c r="A762" s="103">
        <v>5004</v>
      </c>
      <c r="B762" s="38" t="str">
        <f>IF($A762=0,"",VLOOKUP($A762,'BASE MATERIAL'!$A:$D,2))</f>
        <v>ARENA</v>
      </c>
      <c r="C762" s="2"/>
      <c r="D762" s="77"/>
      <c r="E762" s="78" t="str">
        <f>IF($A762=0,"",VLOOKUP($A762,'BASE MATERIAL'!$A:$D,3))</f>
        <v>M3</v>
      </c>
      <c r="F762" s="55">
        <f>ROUND(F761*0.032*2,2)</f>
        <v>0.53</v>
      </c>
      <c r="G762" s="55">
        <f>IF($A762=0,"",VLOOKUP($A762,'BASE MATERIAL'!$A:$D,4))</f>
        <v>12.276249999999999</v>
      </c>
      <c r="H762" s="56">
        <f t="shared" si="74"/>
        <v>6.51</v>
      </c>
      <c r="I762" s="2"/>
    </row>
    <row r="763" spans="1:16" x14ac:dyDescent="0.25">
      <c r="A763" s="103">
        <v>5002</v>
      </c>
      <c r="B763" s="38" t="str">
        <f>IF($A763=0,"",VLOOKUP($A763,'BASE MATERIAL'!$A:$D,2))</f>
        <v>PIEDRA 3-4</v>
      </c>
      <c r="C763" s="2"/>
      <c r="D763" s="77"/>
      <c r="E763" s="78" t="str">
        <f>IF($A763=0,"",VLOOKUP($A763,'BASE MATERIAL'!$A:$D,3))</f>
        <v>M3</v>
      </c>
      <c r="F763" s="55">
        <f>ROUND(F761*0.032*3,2)</f>
        <v>0.79</v>
      </c>
      <c r="G763" s="55">
        <f>IF($A763=0,"",VLOOKUP($A763,'BASE MATERIAL'!$A:$D,4))</f>
        <v>13.75</v>
      </c>
      <c r="H763" s="56">
        <f t="shared" si="74"/>
        <v>10.86</v>
      </c>
      <c r="I763" s="2"/>
      <c r="L763" s="2"/>
      <c r="M763" s="2"/>
      <c r="N763" s="39"/>
      <c r="O763" s="2"/>
      <c r="P763" s="2"/>
    </row>
    <row r="764" spans="1:16" x14ac:dyDescent="0.25">
      <c r="A764" s="103">
        <v>5005</v>
      </c>
      <c r="B764" s="38" t="str">
        <f>IF($A764=0,"",VLOOKUP($A764,'BASE MATERIAL'!$A:$D,2))</f>
        <v>AGUA</v>
      </c>
      <c r="C764" s="2"/>
      <c r="D764" s="77"/>
      <c r="E764" s="78" t="str">
        <f>IF($A764=0,"",VLOOKUP($A764,'BASE MATERIAL'!$A:$D,3))</f>
        <v>LT</v>
      </c>
      <c r="F764" s="55">
        <f>26*F761</f>
        <v>214.24</v>
      </c>
      <c r="G764" s="112">
        <f>IF($A764=0,"",VLOOKUP($A764,'BASE MATERIAL'!$A:$D,4))</f>
        <v>2E-3</v>
      </c>
      <c r="H764" s="56">
        <f t="shared" si="74"/>
        <v>0.43</v>
      </c>
      <c r="I764" s="2"/>
      <c r="L764" s="2"/>
      <c r="M764" s="2"/>
      <c r="N764" s="39"/>
      <c r="O764" s="2"/>
      <c r="P764" s="2"/>
    </row>
    <row r="765" spans="1:16" x14ac:dyDescent="0.25">
      <c r="A765" s="103">
        <v>11005</v>
      </c>
      <c r="B765" s="38" t="str">
        <f>IF($A765=0,"",VLOOKUP($A765,'BASE MATERIAL'!$A:$D,2))</f>
        <v>CAÑA</v>
      </c>
      <c r="C765" s="2"/>
      <c r="D765" s="77"/>
      <c r="E765" s="78" t="str">
        <f>IF($A765=0,"",VLOOKUP($A765,'BASE MATERIAL'!$A:$D,3))</f>
        <v>U</v>
      </c>
      <c r="F765" s="55">
        <v>8</v>
      </c>
      <c r="G765" s="55">
        <f>IF($A765=0,"",VLOOKUP($A765,'BASE MATERIAL'!$A:$D,4))</f>
        <v>2</v>
      </c>
      <c r="H765" s="56">
        <f t="shared" ref="H765:H771" si="75">IF($A765=0,"",ROUND(F765*G765,2))</f>
        <v>16</v>
      </c>
      <c r="I765" s="2"/>
      <c r="L765" s="2"/>
      <c r="M765" s="2"/>
      <c r="N765" s="39"/>
      <c r="O765" s="2"/>
      <c r="P765" s="2"/>
    </row>
    <row r="766" spans="1:16" x14ac:dyDescent="0.25">
      <c r="A766" s="103">
        <v>1001</v>
      </c>
      <c r="B766" s="38" t="str">
        <f>IF($A766=0,"",VLOOKUP($A766,'BASE MATERIAL'!$A:$D,2))</f>
        <v>HIERRO</v>
      </c>
      <c r="C766" s="2"/>
      <c r="D766" s="77"/>
      <c r="E766" s="78" t="str">
        <f>IF($A766=0,"",VLOOKUP($A766,'BASE MATERIAL'!$A:$D,3))</f>
        <v>KG</v>
      </c>
      <c r="F766" s="55">
        <v>120</v>
      </c>
      <c r="G766" s="55">
        <f>IF($A766=0,"",VLOOKUP($A766,'BASE MATERIAL'!$A:$D,4))</f>
        <v>1.17</v>
      </c>
      <c r="H766" s="56">
        <f t="shared" si="75"/>
        <v>140.4</v>
      </c>
      <c r="I766" s="2"/>
      <c r="L766" s="2"/>
      <c r="M766" s="2"/>
      <c r="N766" s="39"/>
      <c r="O766" s="2"/>
      <c r="P766" s="2"/>
    </row>
    <row r="767" spans="1:16" x14ac:dyDescent="0.25">
      <c r="A767" s="103">
        <v>11002</v>
      </c>
      <c r="B767" s="38" t="str">
        <f>IF($A767=0,"",VLOOKUP($A767,'BASE MATERIAL'!$A:$D,2))</f>
        <v>ALAMBRE #18 RECOCIDO</v>
      </c>
      <c r="C767" s="2"/>
      <c r="D767" s="77"/>
      <c r="E767" s="78" t="str">
        <f>IF($A767=0,"",VLOOKUP($A767,'BASE MATERIAL'!$A:$D,3))</f>
        <v>KG</v>
      </c>
      <c r="F767" s="55">
        <f>+F766*0.03</f>
        <v>3.5999999999999996</v>
      </c>
      <c r="G767" s="55">
        <f>IF($A767=0,"",VLOOKUP($A767,'BASE MATERIAL'!$A:$D,4))</f>
        <v>1.87</v>
      </c>
      <c r="H767" s="56">
        <f t="shared" si="75"/>
        <v>6.73</v>
      </c>
      <c r="I767" s="2"/>
      <c r="L767" s="2"/>
      <c r="M767" s="2"/>
      <c r="N767" s="39"/>
      <c r="O767" s="2"/>
      <c r="P767" s="2"/>
    </row>
    <row r="768" spans="1:16" x14ac:dyDescent="0.25">
      <c r="B768" s="38" t="str">
        <f>IF($A768=0,"",VLOOKUP($A768,'BASE MATERIAL'!$A:$D,2))</f>
        <v/>
      </c>
      <c r="C768" s="2"/>
      <c r="D768" s="77"/>
      <c r="E768" s="78" t="str">
        <f>IF($A768=0,"",VLOOKUP($A768,'BASE MATERIAL'!$A:$D,3))</f>
        <v/>
      </c>
      <c r="F768" s="55"/>
      <c r="G768" s="55" t="str">
        <f>IF($A768=0,"",VLOOKUP($A768,'BASE MATERIAL'!$A:$D,4))</f>
        <v/>
      </c>
      <c r="H768" s="56" t="str">
        <f t="shared" si="75"/>
        <v/>
      </c>
      <c r="I768" s="2"/>
    </row>
    <row r="769" spans="1:11" x14ac:dyDescent="0.25">
      <c r="B769" s="38" t="str">
        <f>IF($A769=0,"",VLOOKUP($A769,'BASE MATERIAL'!$A:$D,2))</f>
        <v/>
      </c>
      <c r="C769" s="2"/>
      <c r="D769" s="77"/>
      <c r="E769" s="78" t="str">
        <f>IF($A769=0,"",VLOOKUP($A769,'BASE MATERIAL'!$A:$D,3))</f>
        <v/>
      </c>
      <c r="F769" s="55"/>
      <c r="G769" s="55" t="str">
        <f>IF($A769=0,"",VLOOKUP($A769,'BASE MATERIAL'!$A:$D,4))</f>
        <v/>
      </c>
      <c r="H769" s="56" t="str">
        <f t="shared" si="75"/>
        <v/>
      </c>
      <c r="I769" s="2"/>
    </row>
    <row r="770" spans="1:11" x14ac:dyDescent="0.25">
      <c r="B770" s="38" t="str">
        <f>IF($A770=0,"",VLOOKUP($A770,'BASE MATERIAL'!$A:$D,2))</f>
        <v/>
      </c>
      <c r="C770" s="2"/>
      <c r="D770" s="77"/>
      <c r="E770" s="78" t="str">
        <f>IF($A770=0,"",VLOOKUP($A770,'BASE MATERIAL'!$A:$D,3))</f>
        <v/>
      </c>
      <c r="F770" s="55"/>
      <c r="G770" s="55" t="str">
        <f>IF($A770=0,"",VLOOKUP($A770,'BASE MATERIAL'!$A:$D,4))</f>
        <v/>
      </c>
      <c r="H770" s="56" t="str">
        <f t="shared" si="75"/>
        <v/>
      </c>
      <c r="I770" s="2"/>
    </row>
    <row r="771" spans="1:11" x14ac:dyDescent="0.25">
      <c r="B771" s="38" t="str">
        <f>IF($A771=0,"",VLOOKUP($A771,'BASE MATERIAL'!$A:$D,2))</f>
        <v/>
      </c>
      <c r="C771" s="2"/>
      <c r="D771" s="77"/>
      <c r="E771" s="78" t="str">
        <f>IF($A771=0,"",VLOOKUP($A771,'BASE MATERIAL'!$A:$D,3))</f>
        <v/>
      </c>
      <c r="F771" s="55"/>
      <c r="G771" s="55" t="str">
        <f>IF($A771=0,"",VLOOKUP($A771,'BASE MATERIAL'!$A:$D,4))</f>
        <v/>
      </c>
      <c r="H771" s="56" t="str">
        <f t="shared" si="75"/>
        <v/>
      </c>
      <c r="I771" s="2"/>
    </row>
    <row r="772" spans="1:11" x14ac:dyDescent="0.25">
      <c r="B772" s="38" t="str">
        <f>IF($A772=0,"",VLOOKUP($A772,'BASE MATERIAL'!$A:$D,2))</f>
        <v/>
      </c>
      <c r="C772" s="2"/>
      <c r="D772" s="81" t="s">
        <v>1682</v>
      </c>
      <c r="E772" s="55" t="str">
        <f>IF($A772=0,"",VLOOKUP($A772,'BASE MATERIAL'!$A:$D,3))</f>
        <v/>
      </c>
      <c r="F772" s="55" t="s">
        <v>1682</v>
      </c>
      <c r="G772" s="55" t="str">
        <f>IF($A772=0,"",VLOOKUP($A772,'BASE MATERIAL'!$A:$D,4))</f>
        <v/>
      </c>
      <c r="H772" s="56" t="str">
        <f>IF($A772=0,"",ROUND(E772*F772,2))</f>
        <v/>
      </c>
      <c r="I772" s="2"/>
    </row>
    <row r="773" spans="1:11" x14ac:dyDescent="0.25">
      <c r="B773" s="73" t="s">
        <v>1681</v>
      </c>
      <c r="C773" s="65"/>
      <c r="D773" s="74"/>
      <c r="E773" s="74"/>
      <c r="F773" s="74"/>
      <c r="G773" s="74"/>
      <c r="H773" s="75">
        <f>ROUND(SUM(H756:H772),2)</f>
        <v>276.51</v>
      </c>
      <c r="I773" s="2"/>
    </row>
    <row r="774" spans="1:11" x14ac:dyDescent="0.25">
      <c r="B774" s="38" t="s">
        <v>1680</v>
      </c>
      <c r="C774" s="2"/>
      <c r="D774" s="3"/>
      <c r="E774" s="3"/>
      <c r="F774" s="3"/>
      <c r="G774" s="3"/>
      <c r="H774" s="56"/>
      <c r="I774" s="2"/>
    </row>
    <row r="775" spans="1:11" ht="25.5" x14ac:dyDescent="0.25">
      <c r="B775" s="64" t="s">
        <v>1409</v>
      </c>
      <c r="C775" s="65"/>
      <c r="D775" s="76"/>
      <c r="E775" s="66" t="s">
        <v>1408</v>
      </c>
      <c r="F775" s="66" t="s">
        <v>1679</v>
      </c>
      <c r="G775" s="66" t="s">
        <v>1676</v>
      </c>
      <c r="H775" s="68" t="s">
        <v>1675</v>
      </c>
      <c r="I775" s="2"/>
    </row>
    <row r="776" spans="1:11" x14ac:dyDescent="0.25">
      <c r="A776" s="103">
        <v>19019</v>
      </c>
      <c r="B776" s="51" t="str">
        <f>IF($A776=0,"",VLOOKUP($A776,'BASE EQUIPO'!$A:$D,2))</f>
        <v>TRANSPORTE DE MATERIAL</v>
      </c>
      <c r="C776" s="52"/>
      <c r="D776" s="82"/>
      <c r="E776" s="78" t="str">
        <f>IF($A776=0,"",VLOOKUP($A776,'BASE EQUIPO'!$A:$D,3))</f>
        <v>GLOBAL</v>
      </c>
      <c r="F776" s="55">
        <v>1</v>
      </c>
      <c r="G776" s="83">
        <f>IF($A776=0,"",VLOOKUP($A776,'BASE EQUIPO'!$A:$D,4)*H773)+0.02</f>
        <v>8.3152999999999988</v>
      </c>
      <c r="H776" s="56">
        <f>IF($A776=0,"",ROUND(F776*G776,2))</f>
        <v>8.32</v>
      </c>
      <c r="I776" s="2"/>
    </row>
    <row r="777" spans="1:11" x14ac:dyDescent="0.25">
      <c r="B777" s="38" t="str">
        <f>IF($A777=0,"",VLOOKUP($A777,'BASE EQUIPO'!$A:$D,2))</f>
        <v/>
      </c>
      <c r="C777" s="2"/>
      <c r="D777" s="84"/>
      <c r="E777" s="78" t="str">
        <f>IF($A777=0,"",VLOOKUP($A777,'BASE EQUIPO'!$A:$D,3))</f>
        <v/>
      </c>
      <c r="F777" s="55"/>
      <c r="G777" s="55" t="str">
        <f>IF($A777=0,"",VLOOKUP($A777,'BASE EQUIPO'!$A:$D,4)*H774)</f>
        <v/>
      </c>
      <c r="H777" s="56" t="str">
        <f>IF($A777=0,"",ROUND(F777*G777,2))</f>
        <v/>
      </c>
      <c r="I777" s="2"/>
    </row>
    <row r="778" spans="1:11" x14ac:dyDescent="0.25">
      <c r="B778" s="57" t="str">
        <f>IF($A778=0,"",VLOOKUP($A778,'BASE EQUIPO'!$A:$D,2))</f>
        <v/>
      </c>
      <c r="C778" s="58"/>
      <c r="D778" s="85"/>
      <c r="E778" s="86" t="str">
        <f>IF($A778=0,"",VLOOKUP($A778,'BASE EQUIPO'!$A:$D,3))</f>
        <v/>
      </c>
      <c r="F778" s="59"/>
      <c r="G778" s="59" t="str">
        <f>IF($A778=0,"",VLOOKUP($A778,'BASE EQUIPO'!$A:$D,4)*H775)</f>
        <v/>
      </c>
      <c r="H778" s="60" t="str">
        <f>IF($A778=0,"",ROUND(F778*G778,2))</f>
        <v/>
      </c>
      <c r="I778" s="2"/>
    </row>
    <row r="779" spans="1:11" ht="15.75" thickBot="1" x14ac:dyDescent="0.3">
      <c r="B779" s="87" t="s">
        <v>1674</v>
      </c>
      <c r="C779" s="88"/>
      <c r="D779" s="89"/>
      <c r="E779" s="89"/>
      <c r="F779" s="89"/>
      <c r="G779" s="89"/>
      <c r="H779" s="90">
        <f>ROUND(SUM(H775:H778),2)</f>
        <v>8.32</v>
      </c>
      <c r="I779" s="2"/>
    </row>
    <row r="780" spans="1:11" ht="15.75" x14ac:dyDescent="0.25">
      <c r="B780" s="2"/>
      <c r="C780" s="2"/>
      <c r="D780" s="91" t="s">
        <v>1673</v>
      </c>
      <c r="E780" s="47"/>
      <c r="F780" s="47"/>
      <c r="G780" s="47"/>
      <c r="H780" s="92">
        <f>ROUND(SUM(H779,H773,H754,H744),2)</f>
        <v>428.47</v>
      </c>
      <c r="I780" s="2"/>
      <c r="K780" s="1">
        <v>240.64</v>
      </c>
    </row>
    <row r="781" spans="1:11" ht="15.75" x14ac:dyDescent="0.25">
      <c r="A781" s="103">
        <v>40002</v>
      </c>
      <c r="B781" s="2"/>
      <c r="C781" s="2"/>
      <c r="D781" s="93" t="s">
        <v>1672</v>
      </c>
      <c r="E781" s="65"/>
      <c r="F781" s="65"/>
      <c r="G781" s="94">
        <f>IF($A781=0,"",VLOOKUP($A781,'BASE MATERIAL'!$M:$P,4))</f>
        <v>0</v>
      </c>
      <c r="H781" s="95">
        <f>IF($A781=0,"",ROUND(G781*H780,2))</f>
        <v>0</v>
      </c>
      <c r="I781" s="2"/>
    </row>
    <row r="782" spans="1:11" ht="15.75" x14ac:dyDescent="0.25">
      <c r="A782" s="103">
        <v>40003</v>
      </c>
      <c r="B782" s="2"/>
      <c r="C782" s="2"/>
      <c r="D782" s="93" t="s">
        <v>1671</v>
      </c>
      <c r="E782" s="65"/>
      <c r="F782" s="65"/>
      <c r="G782" s="94">
        <f>IF($A782=0,"",VLOOKUP($A782,'BASE MATERIAL'!$M:$P,4))</f>
        <v>0</v>
      </c>
      <c r="H782" s="95">
        <f>IF($A782=0,"",ROUND(G782*H780,2))</f>
        <v>0</v>
      </c>
      <c r="I782" s="2"/>
    </row>
    <row r="783" spans="1:11" ht="15.75" x14ac:dyDescent="0.25">
      <c r="B783" s="2"/>
      <c r="C783" s="2"/>
      <c r="D783" s="93" t="s">
        <v>1670</v>
      </c>
      <c r="E783" s="65"/>
      <c r="F783" s="65"/>
      <c r="G783" s="65"/>
      <c r="H783" s="96">
        <f>ROUND(SUM(H780:H782),2)</f>
        <v>428.47</v>
      </c>
      <c r="I783" s="2"/>
    </row>
    <row r="784" spans="1:11" ht="16.5" thickBot="1" x14ac:dyDescent="0.3">
      <c r="B784" s="25"/>
      <c r="C784" s="2"/>
      <c r="D784" s="97" t="s">
        <v>1650</v>
      </c>
      <c r="E784" s="88"/>
      <c r="F784" s="88"/>
      <c r="G784" s="88"/>
      <c r="H784" s="98">
        <f>ROUND(H783,2)</f>
        <v>428.47</v>
      </c>
      <c r="I784" s="2"/>
    </row>
    <row r="785" spans="1:15" ht="15.75" x14ac:dyDescent="0.25">
      <c r="B785" s="34" t="s">
        <v>1701</v>
      </c>
      <c r="C785" s="2"/>
      <c r="D785" s="3" t="str">
        <f>$D$1</f>
        <v>ESPOL</v>
      </c>
      <c r="E785" s="2"/>
      <c r="F785" s="2"/>
      <c r="H785" s="2" t="s">
        <v>108</v>
      </c>
      <c r="I785" s="2"/>
      <c r="L785" s="40">
        <f>A789</f>
        <v>6</v>
      </c>
      <c r="M785" s="1" t="str">
        <f>C790</f>
        <v>Acero de refuerzo</v>
      </c>
      <c r="N785" s="2" t="str">
        <f>H789</f>
        <v>kg</v>
      </c>
      <c r="O785" s="2">
        <f>H840</f>
        <v>1.59</v>
      </c>
    </row>
    <row r="786" spans="1:15" ht="15.75" x14ac:dyDescent="0.25">
      <c r="B786" s="34" t="s">
        <v>1700</v>
      </c>
      <c r="C786" s="3">
        <f>'1.1'!$C$2</f>
        <v>0</v>
      </c>
      <c r="D786" s="2"/>
      <c r="E786" s="2"/>
      <c r="F786" s="2"/>
      <c r="G786" s="41" t="s">
        <v>1699</v>
      </c>
      <c r="H786" s="42"/>
      <c r="I786" s="2" t="s">
        <v>1698</v>
      </c>
    </row>
    <row r="787" spans="1:15" ht="15.75" x14ac:dyDescent="0.25">
      <c r="B787" s="34"/>
      <c r="C787" s="3">
        <f>'1.1'!$C$3</f>
        <v>0</v>
      </c>
      <c r="D787" s="2"/>
      <c r="E787" s="2"/>
      <c r="F787" s="2"/>
      <c r="G787" s="2"/>
      <c r="H787" s="2"/>
      <c r="I787" s="2"/>
    </row>
    <row r="788" spans="1:15" ht="15.75" x14ac:dyDescent="0.25">
      <c r="B788" s="34" t="s">
        <v>1697</v>
      </c>
      <c r="C788" s="3"/>
      <c r="D788" s="2"/>
      <c r="E788" s="2"/>
      <c r="F788" s="2"/>
      <c r="G788" s="2"/>
      <c r="H788" s="2"/>
      <c r="I788" s="2"/>
    </row>
    <row r="789" spans="1:15" x14ac:dyDescent="0.25">
      <c r="A789" s="104">
        <v>6</v>
      </c>
      <c r="B789" s="2" t="s">
        <v>1586</v>
      </c>
      <c r="C789" s="36" t="s">
        <v>652</v>
      </c>
      <c r="D789" s="2"/>
      <c r="G789" s="2" t="s">
        <v>1696</v>
      </c>
      <c r="H789" s="3" t="s">
        <v>1509</v>
      </c>
      <c r="I789" s="2"/>
    </row>
    <row r="790" spans="1:15" x14ac:dyDescent="0.25">
      <c r="B790" s="1" t="s">
        <v>1585</v>
      </c>
      <c r="C790" s="36" t="s">
        <v>712</v>
      </c>
      <c r="D790" s="2"/>
      <c r="E790" s="2"/>
      <c r="F790" s="2"/>
      <c r="G790" s="2"/>
      <c r="H790" s="2"/>
      <c r="I790" s="2"/>
    </row>
    <row r="791" spans="1:15" ht="15.75" thickBot="1" x14ac:dyDescent="0.3">
      <c r="D791" s="2"/>
      <c r="E791" s="2"/>
      <c r="F791" s="2"/>
      <c r="G791" s="2"/>
      <c r="H791" s="2"/>
      <c r="I791" s="2"/>
    </row>
    <row r="792" spans="1:15" ht="15.75" thickBot="1" x14ac:dyDescent="0.3">
      <c r="B792" s="43" t="s">
        <v>1695</v>
      </c>
      <c r="C792" s="44"/>
      <c r="D792" s="44"/>
      <c r="E792" s="44"/>
      <c r="F792" s="44"/>
      <c r="G792" s="44"/>
      <c r="H792" s="45"/>
      <c r="I792" s="2"/>
    </row>
    <row r="793" spans="1:15" ht="25.5" x14ac:dyDescent="0.25">
      <c r="B793" s="46" t="s">
        <v>1409</v>
      </c>
      <c r="C793" s="47"/>
      <c r="D793" s="48" t="s">
        <v>1690</v>
      </c>
      <c r="E793" s="48" t="s">
        <v>1694</v>
      </c>
      <c r="F793" s="48" t="s">
        <v>1693</v>
      </c>
      <c r="G793" s="49" t="s">
        <v>1687</v>
      </c>
      <c r="H793" s="50" t="s">
        <v>1686</v>
      </c>
      <c r="I793" s="2"/>
    </row>
    <row r="794" spans="1:15" x14ac:dyDescent="0.25">
      <c r="A794" s="103">
        <v>19015</v>
      </c>
      <c r="B794" s="51" t="str">
        <f>IF($A794=0,"",VLOOKUP($A794,'BASE EQUIPO'!$A:$D,2))</f>
        <v>HERRAMIENTA MENOR</v>
      </c>
      <c r="C794" s="52"/>
      <c r="D794" s="53">
        <v>1</v>
      </c>
      <c r="E794" s="53">
        <f>IF($A794=0,"",VLOOKUP($A794,'BASE EQUIPO'!$A:$D,4)*H810)</f>
        <v>1.0200000000000001E-2</v>
      </c>
      <c r="F794" s="53">
        <f t="shared" ref="F794:F799" si="76">IF($A794=0,"",ROUND(D794*E794,2))</f>
        <v>0.01</v>
      </c>
      <c r="G794" s="105">
        <v>1</v>
      </c>
      <c r="H794" s="54">
        <f t="shared" ref="H794:H799" si="77">IF($A794=0,"",ROUND(G794*F794,2))</f>
        <v>0.01</v>
      </c>
      <c r="I794" s="2"/>
    </row>
    <row r="795" spans="1:15" x14ac:dyDescent="0.25">
      <c r="B795" s="38" t="str">
        <f>IF($A795=0,"",VLOOKUP($A795,'BASE EQUIPO'!$A:$D,2))</f>
        <v/>
      </c>
      <c r="C795" s="2"/>
      <c r="D795" s="55"/>
      <c r="E795" s="55" t="str">
        <f>IF($A795=0,"",VLOOKUP($A795,'BASE EQUIPO'!$A:$D,4))</f>
        <v/>
      </c>
      <c r="F795" s="55" t="str">
        <f t="shared" si="76"/>
        <v/>
      </c>
      <c r="G795" s="106"/>
      <c r="H795" s="56" t="str">
        <f t="shared" si="77"/>
        <v/>
      </c>
      <c r="I795" s="2"/>
    </row>
    <row r="796" spans="1:15" x14ac:dyDescent="0.25">
      <c r="B796" s="38" t="str">
        <f>IF($A796=0,"",VLOOKUP($A796,'BASE EQUIPO'!$A:$D,2))</f>
        <v/>
      </c>
      <c r="C796" s="2"/>
      <c r="D796" s="55"/>
      <c r="E796" s="55" t="str">
        <f>IF($A796=0,"",VLOOKUP($A796,'BASE EQUIPO'!$A:$D,4))</f>
        <v/>
      </c>
      <c r="F796" s="55" t="str">
        <f t="shared" si="76"/>
        <v/>
      </c>
      <c r="G796" s="106"/>
      <c r="H796" s="56" t="str">
        <f t="shared" si="77"/>
        <v/>
      </c>
      <c r="I796" s="2"/>
    </row>
    <row r="797" spans="1:15" x14ac:dyDescent="0.25">
      <c r="B797" s="38" t="str">
        <f>IF($A797=0,"",VLOOKUP($A797,'BASE EQUIPO'!$A:$D,2))</f>
        <v/>
      </c>
      <c r="C797" s="2"/>
      <c r="D797" s="55"/>
      <c r="E797" s="55" t="str">
        <f>IF($A797=0,"",VLOOKUP($A797,'BASE EQUIPO'!$A:$D,4))</f>
        <v/>
      </c>
      <c r="F797" s="55" t="str">
        <f t="shared" si="76"/>
        <v/>
      </c>
      <c r="G797" s="106"/>
      <c r="H797" s="56" t="str">
        <f t="shared" si="77"/>
        <v/>
      </c>
      <c r="I797" s="2"/>
    </row>
    <row r="798" spans="1:15" x14ac:dyDescent="0.25">
      <c r="B798" s="38" t="str">
        <f>IF($A798=0,"",VLOOKUP($A798,'BASE EQUIPO'!$A:$D,2))</f>
        <v/>
      </c>
      <c r="C798" s="2"/>
      <c r="D798" s="55"/>
      <c r="E798" s="55" t="str">
        <f>IF($A798=0,"",VLOOKUP($A798,'BASE EQUIPO'!$A:$D,4))</f>
        <v/>
      </c>
      <c r="F798" s="55" t="str">
        <f t="shared" si="76"/>
        <v/>
      </c>
      <c r="G798" s="106"/>
      <c r="H798" s="56" t="str">
        <f t="shared" si="77"/>
        <v/>
      </c>
      <c r="I798" s="2"/>
    </row>
    <row r="799" spans="1:15" x14ac:dyDescent="0.25">
      <c r="B799" s="57" t="str">
        <f>IF($A799=0,"",VLOOKUP($A799,'BASE EQUIPO'!$A:$D,2))</f>
        <v/>
      </c>
      <c r="C799" s="58"/>
      <c r="D799" s="59"/>
      <c r="E799" s="59" t="str">
        <f>IF($A799=0,"",VLOOKUP($A799,'BASE EQUIPO'!$A:$D,4))</f>
        <v/>
      </c>
      <c r="F799" s="59" t="str">
        <f t="shared" si="76"/>
        <v/>
      </c>
      <c r="G799" s="107"/>
      <c r="H799" s="60" t="str">
        <f t="shared" si="77"/>
        <v/>
      </c>
      <c r="I799" s="2"/>
    </row>
    <row r="800" spans="1:15" x14ac:dyDescent="0.25">
      <c r="B800" s="57" t="s">
        <v>1692</v>
      </c>
      <c r="C800" s="58"/>
      <c r="D800" s="61"/>
      <c r="E800" s="61"/>
      <c r="F800" s="61"/>
      <c r="G800" s="62"/>
      <c r="H800" s="60">
        <f>ROUND(SUM(H793:H799),2)</f>
        <v>0.01</v>
      </c>
      <c r="I800" s="2"/>
    </row>
    <row r="801" spans="1:16" x14ac:dyDescent="0.25">
      <c r="B801" s="38" t="s">
        <v>1503</v>
      </c>
      <c r="C801" s="2"/>
      <c r="D801" s="3"/>
      <c r="E801" s="3"/>
      <c r="F801" s="3"/>
      <c r="G801" s="63"/>
      <c r="H801" s="56"/>
      <c r="I801" s="2"/>
    </row>
    <row r="802" spans="1:16" ht="25.5" x14ac:dyDescent="0.25">
      <c r="B802" s="64" t="s">
        <v>1691</v>
      </c>
      <c r="C802" s="65"/>
      <c r="D802" s="66" t="s">
        <v>1690</v>
      </c>
      <c r="E802" s="66" t="s">
        <v>1689</v>
      </c>
      <c r="F802" s="66" t="s">
        <v>1688</v>
      </c>
      <c r="G802" s="67" t="s">
        <v>1687</v>
      </c>
      <c r="H802" s="68" t="s">
        <v>1686</v>
      </c>
      <c r="I802" s="2"/>
    </row>
    <row r="803" spans="1:16" x14ac:dyDescent="0.25">
      <c r="A803" s="103">
        <v>20001</v>
      </c>
      <c r="B803" s="69" t="str">
        <f>IF($A803=0,"",VLOOKUP($A803,'BASE M-OBRA'!$A:$D,2))</f>
        <v>MAESTRO</v>
      </c>
      <c r="C803" s="2"/>
      <c r="D803" s="108">
        <v>1</v>
      </c>
      <c r="E803" s="70">
        <f>IF($A803=0,"",VLOOKUP($A803,'BASE M-OBRA'!$A:$D,4))</f>
        <v>3.02</v>
      </c>
      <c r="F803" s="55">
        <f t="shared" ref="F803:F809" si="78">IF($A803=0,"",ROUND(D803*E803,2))</f>
        <v>3.02</v>
      </c>
      <c r="G803" s="106">
        <f>IF($A803=0,"",ROUND(H803/F803,2))</f>
        <v>0.02</v>
      </c>
      <c r="H803" s="56">
        <f>IF($A803=0,"",ROUND(SUM(H804:H809)*'BASE M-OBRA'!$D$23,2))</f>
        <v>0.06</v>
      </c>
      <c r="I803" s="2"/>
    </row>
    <row r="804" spans="1:16" x14ac:dyDescent="0.25">
      <c r="A804" s="103">
        <v>20002</v>
      </c>
      <c r="B804" s="69" t="str">
        <f>IF($A804=0,"",VLOOKUP($A804,'BASE M-OBRA'!$A:$D,2))</f>
        <v>PEON</v>
      </c>
      <c r="C804" s="2"/>
      <c r="D804" s="108">
        <v>2</v>
      </c>
      <c r="E804" s="70">
        <f>IF($A804=0,"",VLOOKUP($A804,'BASE M-OBRA'!$A:$D,4))</f>
        <v>2.79</v>
      </c>
      <c r="F804" s="55">
        <f t="shared" si="78"/>
        <v>5.58</v>
      </c>
      <c r="G804" s="106">
        <v>2.5000000000000001E-2</v>
      </c>
      <c r="H804" s="56">
        <f t="shared" ref="H804:H809" si="79">IF($A804=0,"",ROUND(G804*F804,2))</f>
        <v>0.14000000000000001</v>
      </c>
      <c r="I804" s="2"/>
    </row>
    <row r="805" spans="1:16" x14ac:dyDescent="0.25">
      <c r="B805" s="69" t="str">
        <f>IF($A805=0,"",VLOOKUP($A805,'BASE M-OBRA'!$A:$D,2))</f>
        <v/>
      </c>
      <c r="C805" s="2"/>
      <c r="D805" s="108"/>
      <c r="E805" s="70" t="str">
        <f>IF($A805=0,"",VLOOKUP($A805,'BASE M-OBRA'!$A:$D,4))</f>
        <v/>
      </c>
      <c r="F805" s="55" t="str">
        <f t="shared" si="78"/>
        <v/>
      </c>
      <c r="G805" s="106"/>
      <c r="H805" s="56" t="str">
        <f t="shared" si="79"/>
        <v/>
      </c>
      <c r="I805" s="2"/>
    </row>
    <row r="806" spans="1:16" x14ac:dyDescent="0.25">
      <c r="B806" s="71" t="str">
        <f>IF($A806=0,"",VLOOKUP($A806,'BASE M-OBRA'!$A:$D,2))</f>
        <v/>
      </c>
      <c r="C806" s="2"/>
      <c r="D806" s="108"/>
      <c r="E806" s="70" t="str">
        <f>IF($A806=0,"",VLOOKUP($A806,'BASE M-OBRA'!$A:$D,4))</f>
        <v/>
      </c>
      <c r="F806" s="55" t="str">
        <f t="shared" si="78"/>
        <v/>
      </c>
      <c r="G806" s="106"/>
      <c r="H806" s="56" t="str">
        <f t="shared" si="79"/>
        <v/>
      </c>
      <c r="I806" s="2"/>
      <c r="K806" s="1">
        <f>7*2.9</f>
        <v>20.3</v>
      </c>
    </row>
    <row r="807" spans="1:16" x14ac:dyDescent="0.25">
      <c r="A807" s="103">
        <v>20005</v>
      </c>
      <c r="B807" s="72" t="str">
        <f>IF($A807=0,"",VLOOKUP($A807,'BASE M-OBRA'!$A:$D,2))</f>
        <v>FIERRERO</v>
      </c>
      <c r="C807" s="2"/>
      <c r="D807" s="108">
        <v>2</v>
      </c>
      <c r="E807" s="70">
        <f>IF($A807=0,"",VLOOKUP($A807,'BASE M-OBRA'!$A:$D,4))</f>
        <v>2.82</v>
      </c>
      <c r="F807" s="55">
        <f t="shared" si="78"/>
        <v>5.64</v>
      </c>
      <c r="G807" s="106">
        <f>+G804</f>
        <v>2.5000000000000001E-2</v>
      </c>
      <c r="H807" s="56">
        <f t="shared" si="79"/>
        <v>0.14000000000000001</v>
      </c>
      <c r="I807" s="2"/>
      <c r="K807" s="1">
        <f>+F817*0.15</f>
        <v>0</v>
      </c>
    </row>
    <row r="808" spans="1:16" x14ac:dyDescent="0.25">
      <c r="B808" s="38" t="str">
        <f>IF($A808=0,"",VLOOKUP($A808,'BASE M-OBRA'!$A:$D,2))</f>
        <v/>
      </c>
      <c r="C808" s="2"/>
      <c r="D808" s="55"/>
      <c r="E808" s="55" t="str">
        <f>IF($A808=0,"",VLOOKUP($A808,'BASE M-OBRA'!$A:$D,4))</f>
        <v/>
      </c>
      <c r="F808" s="55" t="str">
        <f t="shared" si="78"/>
        <v/>
      </c>
      <c r="G808" s="106"/>
      <c r="H808" s="56" t="str">
        <f t="shared" si="79"/>
        <v/>
      </c>
      <c r="I808" s="2"/>
    </row>
    <row r="809" spans="1:16" x14ac:dyDescent="0.25">
      <c r="B809" s="57" t="str">
        <f>IF($A809=0,"",VLOOKUP($A809,'BASE M-OBRA'!$A:$D,2))</f>
        <v/>
      </c>
      <c r="C809" s="58"/>
      <c r="D809" s="59"/>
      <c r="E809" s="59" t="str">
        <f>IF($A809=0,"",VLOOKUP($A809,'BASE M-OBRA'!$A:$D,4))</f>
        <v/>
      </c>
      <c r="F809" s="59" t="str">
        <f t="shared" si="78"/>
        <v/>
      </c>
      <c r="G809" s="107"/>
      <c r="H809" s="60" t="str">
        <f t="shared" si="79"/>
        <v/>
      </c>
      <c r="I809" s="2"/>
    </row>
    <row r="810" spans="1:16" x14ac:dyDescent="0.25">
      <c r="B810" s="73" t="s">
        <v>1685</v>
      </c>
      <c r="C810" s="65"/>
      <c r="D810" s="74"/>
      <c r="E810" s="74"/>
      <c r="F810" s="74"/>
      <c r="G810" s="74"/>
      <c r="H810" s="75">
        <f>ROUND(SUM(H802:H809),2)</f>
        <v>0.34</v>
      </c>
      <c r="I810" s="2"/>
      <c r="K810" s="1">
        <f>SUM(K806:K809)+15</f>
        <v>35.299999999999997</v>
      </c>
    </row>
    <row r="811" spans="1:16" x14ac:dyDescent="0.25">
      <c r="B811" s="38" t="s">
        <v>1684</v>
      </c>
      <c r="C811" s="2"/>
      <c r="D811" s="3"/>
      <c r="E811" s="3"/>
      <c r="F811" s="3"/>
      <c r="G811" s="3"/>
      <c r="H811" s="56"/>
      <c r="I811" s="2"/>
    </row>
    <row r="812" spans="1:16" ht="25.5" x14ac:dyDescent="0.25">
      <c r="B812" s="64" t="s">
        <v>1409</v>
      </c>
      <c r="C812" s="65"/>
      <c r="D812" s="76"/>
      <c r="E812" s="66" t="s">
        <v>1408</v>
      </c>
      <c r="F812" s="66" t="s">
        <v>1679</v>
      </c>
      <c r="G812" s="66" t="s">
        <v>1683</v>
      </c>
      <c r="H812" s="68" t="s">
        <v>1675</v>
      </c>
      <c r="I812" s="2"/>
    </row>
    <row r="813" spans="1:16" x14ac:dyDescent="0.25">
      <c r="A813" s="103">
        <v>1001</v>
      </c>
      <c r="B813" s="37" t="str">
        <f>IF($A813=0,"",VLOOKUP($A813,'BASE MATERIAL'!$A:$D,2))</f>
        <v>HIERRO</v>
      </c>
      <c r="C813" s="2"/>
      <c r="D813" s="77"/>
      <c r="E813" s="78" t="str">
        <f>IF($A813=0,"",VLOOKUP($A813,'BASE MATERIAL'!$A:$D,3))</f>
        <v>KG</v>
      </c>
      <c r="F813" s="55">
        <v>1.02</v>
      </c>
      <c r="G813" s="55">
        <f>IF($A813=0,"",VLOOKUP($A813,'BASE MATERIAL'!$A:$D,4))</f>
        <v>1.17</v>
      </c>
      <c r="H813" s="56">
        <f t="shared" ref="H813:H827" si="80">IF($A813=0,"",ROUND(F813*G813,2))</f>
        <v>1.19</v>
      </c>
      <c r="I813" s="2"/>
      <c r="L813" s="2"/>
      <c r="M813" s="2"/>
      <c r="N813" s="39"/>
      <c r="O813" s="2"/>
      <c r="P813" s="2"/>
    </row>
    <row r="814" spans="1:16" x14ac:dyDescent="0.25">
      <c r="A814" s="103">
        <v>11002</v>
      </c>
      <c r="B814" s="38" t="str">
        <f>IF($A814=0,"",VLOOKUP($A814,'BASE MATERIAL'!$A:$D,2))</f>
        <v>ALAMBRE #18 RECOCIDO</v>
      </c>
      <c r="C814" s="2"/>
      <c r="D814" s="77"/>
      <c r="E814" s="78" t="str">
        <f>IF($A814=0,"",VLOOKUP($A814,'BASE MATERIAL'!$A:$D,3))</f>
        <v>KG</v>
      </c>
      <c r="F814" s="55">
        <v>0.02</v>
      </c>
      <c r="G814" s="55">
        <f>IF($A814=0,"",VLOOKUP($A814,'BASE MATERIAL'!$A:$D,4))</f>
        <v>1.87</v>
      </c>
      <c r="H814" s="56">
        <f t="shared" si="80"/>
        <v>0.04</v>
      </c>
      <c r="I814" s="2"/>
      <c r="K814" s="1">
        <v>0.06</v>
      </c>
      <c r="L814" s="2"/>
      <c r="M814" s="2"/>
      <c r="N814" s="39"/>
      <c r="O814" s="2"/>
      <c r="P814" s="2"/>
    </row>
    <row r="815" spans="1:16" x14ac:dyDescent="0.25">
      <c r="B815" s="38" t="str">
        <f>IF($A815=0,"",VLOOKUP($A815,'BASE MATERIAL'!$A:$D,2))</f>
        <v/>
      </c>
      <c r="C815" s="2"/>
      <c r="D815" s="77"/>
      <c r="E815" s="78" t="str">
        <f>IF($A815=0,"",VLOOKUP($A815,'BASE MATERIAL'!$A:$D,3))</f>
        <v/>
      </c>
      <c r="F815" s="55"/>
      <c r="G815" s="55" t="str">
        <f>IF($A815=0,"",VLOOKUP($A815,'BASE MATERIAL'!$A:$D,4))</f>
        <v/>
      </c>
      <c r="H815" s="56" t="str">
        <f t="shared" si="80"/>
        <v/>
      </c>
      <c r="I815" s="2"/>
      <c r="K815" s="1">
        <f>3.6*0.12*0.19</f>
        <v>8.208E-2</v>
      </c>
      <c r="L815" s="2"/>
      <c r="M815" s="2"/>
      <c r="N815" s="39"/>
      <c r="O815" s="2"/>
      <c r="P815" s="2"/>
    </row>
    <row r="816" spans="1:16" x14ac:dyDescent="0.25">
      <c r="B816" s="38" t="str">
        <f>IF($A816=0,"",VLOOKUP($A816,'BASE MATERIAL'!$A:$D,2))</f>
        <v/>
      </c>
      <c r="C816" s="2"/>
      <c r="D816" s="77"/>
      <c r="E816" s="78" t="str">
        <f>IF($A816=0,"",VLOOKUP($A816,'BASE MATERIAL'!$A:$D,3))</f>
        <v/>
      </c>
      <c r="F816" s="55"/>
      <c r="G816" s="55" t="str">
        <f>IF($A816=0,"",VLOOKUP($A816,'BASE MATERIAL'!$A:$D,4))</f>
        <v/>
      </c>
      <c r="H816" s="56" t="str">
        <f t="shared" si="80"/>
        <v/>
      </c>
      <c r="I816" s="2"/>
      <c r="K816" s="1">
        <f>SUM(K814:K815)</f>
        <v>0.14207999999999998</v>
      </c>
      <c r="L816" s="2"/>
      <c r="M816" s="2"/>
      <c r="N816" s="39"/>
      <c r="O816" s="2"/>
      <c r="P816" s="2"/>
    </row>
    <row r="817" spans="1:16" x14ac:dyDescent="0.25">
      <c r="B817" s="38" t="str">
        <f>IF($A817=0,"",VLOOKUP($A817,'BASE MATERIAL'!$A:$D,2))</f>
        <v/>
      </c>
      <c r="C817" s="2"/>
      <c r="D817" s="77"/>
      <c r="E817" s="78" t="str">
        <f>IF($A817=0,"",VLOOKUP($A817,'BASE MATERIAL'!$A:$D,3))</f>
        <v/>
      </c>
      <c r="F817" s="55"/>
      <c r="G817" s="55" t="str">
        <f>IF($A817=0,"",VLOOKUP($A817,'BASE MATERIAL'!$A:$D,4))</f>
        <v/>
      </c>
      <c r="H817" s="56" t="str">
        <f t="shared" si="80"/>
        <v/>
      </c>
      <c r="I817" s="2"/>
      <c r="K817" s="1">
        <f>1/K816</f>
        <v>7.0382882882882889</v>
      </c>
      <c r="L817" s="2"/>
      <c r="M817" s="2"/>
      <c r="N817" s="39"/>
      <c r="O817" s="2"/>
      <c r="P817" s="2"/>
    </row>
    <row r="818" spans="1:16" x14ac:dyDescent="0.25">
      <c r="B818" s="38" t="str">
        <f>IF($A818=0,"",VLOOKUP($A818,'BASE MATERIAL'!$A:$D,2))</f>
        <v/>
      </c>
      <c r="C818" s="2"/>
      <c r="D818" s="77"/>
      <c r="E818" s="78" t="str">
        <f>IF($A818=0,"",VLOOKUP($A818,'BASE MATERIAL'!$A:$D,3))</f>
        <v/>
      </c>
      <c r="F818" s="55"/>
      <c r="G818" s="55" t="str">
        <f>IF($A818=0,"",VLOOKUP($A818,'BASE MATERIAL'!$A:$D,4))</f>
        <v/>
      </c>
      <c r="H818" s="56" t="str">
        <f t="shared" si="80"/>
        <v/>
      </c>
      <c r="I818" s="2"/>
      <c r="L818" s="2"/>
      <c r="M818" s="2"/>
      <c r="N818" s="39"/>
      <c r="O818" s="2"/>
      <c r="P818" s="2"/>
    </row>
    <row r="819" spans="1:16" x14ac:dyDescent="0.25">
      <c r="B819" s="38" t="str">
        <f>IF($A819=0,"",VLOOKUP($A819,'BASE MATERIAL'!$A:$D,2))</f>
        <v/>
      </c>
      <c r="C819" s="2"/>
      <c r="D819" s="77"/>
      <c r="E819" s="78" t="str">
        <f>IF($A819=0,"",VLOOKUP($A819,'BASE MATERIAL'!$A:$D,3))</f>
        <v/>
      </c>
      <c r="F819" s="55"/>
      <c r="G819" s="55" t="str">
        <f>IF($A819=0,"",VLOOKUP($A819,'BASE MATERIAL'!$A:$D,4))</f>
        <v/>
      </c>
      <c r="H819" s="56" t="str">
        <f t="shared" si="80"/>
        <v/>
      </c>
      <c r="I819" s="2"/>
      <c r="L819" s="2"/>
      <c r="M819" s="2"/>
      <c r="N819" s="39"/>
      <c r="O819" s="2"/>
      <c r="P819" s="2"/>
    </row>
    <row r="820" spans="1:16" x14ac:dyDescent="0.25">
      <c r="B820" s="38" t="str">
        <f>IF($A820=0,"",VLOOKUP($A820,'BASE MATERIAL'!$A:$D,2))</f>
        <v/>
      </c>
      <c r="C820" s="2"/>
      <c r="D820" s="77"/>
      <c r="E820" s="78" t="str">
        <f>IF($A820=0,"",VLOOKUP($A820,'BASE MATERIAL'!$A:$D,3))</f>
        <v/>
      </c>
      <c r="F820" s="55"/>
      <c r="G820" s="55" t="str">
        <f>IF($A820=0,"",VLOOKUP($A820,'BASE MATERIAL'!$A:$D,4))</f>
        <v/>
      </c>
      <c r="H820" s="56" t="str">
        <f t="shared" si="80"/>
        <v/>
      </c>
      <c r="I820" s="2"/>
      <c r="L820" s="2"/>
      <c r="M820" s="2"/>
      <c r="N820" s="39"/>
      <c r="O820" s="2"/>
      <c r="P820" s="2"/>
    </row>
    <row r="821" spans="1:16" x14ac:dyDescent="0.25">
      <c r="B821" s="38" t="str">
        <f>IF($A821=0,"",VLOOKUP($A821,'BASE MATERIAL'!$A:$D,2))</f>
        <v/>
      </c>
      <c r="C821" s="2"/>
      <c r="D821" s="77"/>
      <c r="E821" s="78" t="str">
        <f>IF($A821=0,"",VLOOKUP($A821,'BASE MATERIAL'!$A:$D,3))</f>
        <v/>
      </c>
      <c r="F821" s="55"/>
      <c r="G821" s="55" t="str">
        <f>IF($A821=0,"",VLOOKUP($A821,'BASE MATERIAL'!$A:$D,4))</f>
        <v/>
      </c>
      <c r="H821" s="56" t="str">
        <f t="shared" si="80"/>
        <v/>
      </c>
      <c r="I821" s="2"/>
    </row>
    <row r="822" spans="1:16" x14ac:dyDescent="0.25">
      <c r="B822" s="38" t="str">
        <f>IF($A822=0,"",VLOOKUP($A822,'BASE MATERIAL'!$A:$D,2))</f>
        <v/>
      </c>
      <c r="C822" s="2"/>
      <c r="D822" s="77"/>
      <c r="E822" s="78" t="str">
        <f>IF($A822=0,"",VLOOKUP($A822,'BASE MATERIAL'!$A:$D,3))</f>
        <v/>
      </c>
      <c r="F822" s="55"/>
      <c r="G822" s="80" t="str">
        <f>IF($A822=0,"",VLOOKUP($A822,'BASE MATERIAL'!$A:$D,4))</f>
        <v/>
      </c>
      <c r="H822" s="56" t="str">
        <f t="shared" si="80"/>
        <v/>
      </c>
      <c r="I822" s="2"/>
      <c r="L822" s="2"/>
      <c r="M822" s="2"/>
      <c r="N822" s="39"/>
      <c r="O822" s="2"/>
      <c r="P822" s="2"/>
    </row>
    <row r="823" spans="1:16" x14ac:dyDescent="0.25">
      <c r="B823" s="38" t="str">
        <f>IF($A823=0,"",VLOOKUP($A823,'BASE MATERIAL'!$A:$D,2))</f>
        <v/>
      </c>
      <c r="C823" s="2"/>
      <c r="D823" s="77"/>
      <c r="E823" s="78" t="str">
        <f>IF($A823=0,"",VLOOKUP($A823,'BASE MATERIAL'!$A:$D,3))</f>
        <v/>
      </c>
      <c r="F823" s="55"/>
      <c r="G823" s="55" t="str">
        <f>IF($A823=0,"",VLOOKUP($A823,'BASE MATERIAL'!$A:$D,4))</f>
        <v/>
      </c>
      <c r="H823" s="56" t="str">
        <f t="shared" si="80"/>
        <v/>
      </c>
      <c r="I823" s="2"/>
      <c r="L823" s="2"/>
      <c r="M823" s="2"/>
      <c r="N823" s="39"/>
      <c r="O823" s="2"/>
      <c r="P823" s="2"/>
    </row>
    <row r="824" spans="1:16" x14ac:dyDescent="0.25">
      <c r="B824" s="38" t="str">
        <f>IF($A824=0,"",VLOOKUP($A824,'BASE MATERIAL'!$A:$D,2))</f>
        <v/>
      </c>
      <c r="C824" s="2"/>
      <c r="D824" s="77"/>
      <c r="E824" s="78" t="str">
        <f>IF($A824=0,"",VLOOKUP($A824,'BASE MATERIAL'!$A:$D,3))</f>
        <v/>
      </c>
      <c r="F824" s="55"/>
      <c r="G824" s="55" t="str">
        <f>IF($A824=0,"",VLOOKUP($A824,'BASE MATERIAL'!$A:$D,4))</f>
        <v/>
      </c>
      <c r="H824" s="56" t="str">
        <f t="shared" si="80"/>
        <v/>
      </c>
      <c r="I824" s="2"/>
    </row>
    <row r="825" spans="1:16" x14ac:dyDescent="0.25">
      <c r="B825" s="38" t="str">
        <f>IF($A825=0,"",VLOOKUP($A825,'BASE MATERIAL'!$A:$D,2))</f>
        <v/>
      </c>
      <c r="C825" s="2"/>
      <c r="D825" s="77"/>
      <c r="E825" s="78" t="str">
        <f>IF($A825=0,"",VLOOKUP($A825,'BASE MATERIAL'!$A:$D,3))</f>
        <v/>
      </c>
      <c r="F825" s="55"/>
      <c r="G825" s="55" t="str">
        <f>IF($A825=0,"",VLOOKUP($A825,'BASE MATERIAL'!$A:$D,4))</f>
        <v/>
      </c>
      <c r="H825" s="56" t="str">
        <f t="shared" si="80"/>
        <v/>
      </c>
      <c r="I825" s="2"/>
    </row>
    <row r="826" spans="1:16" x14ac:dyDescent="0.25">
      <c r="B826" s="38" t="str">
        <f>IF($A826=0,"",VLOOKUP($A826,'BASE MATERIAL'!$A:$D,2))</f>
        <v/>
      </c>
      <c r="C826" s="2"/>
      <c r="D826" s="77"/>
      <c r="E826" s="78" t="str">
        <f>IF($A826=0,"",VLOOKUP($A826,'BASE MATERIAL'!$A:$D,3))</f>
        <v/>
      </c>
      <c r="F826" s="55"/>
      <c r="G826" s="55" t="str">
        <f>IF($A826=0,"",VLOOKUP($A826,'BASE MATERIAL'!$A:$D,4))</f>
        <v/>
      </c>
      <c r="H826" s="56" t="str">
        <f t="shared" si="80"/>
        <v/>
      </c>
      <c r="I826" s="2"/>
    </row>
    <row r="827" spans="1:16" x14ac:dyDescent="0.25">
      <c r="B827" s="38" t="str">
        <f>IF($A827=0,"",VLOOKUP($A827,'BASE MATERIAL'!$A:$D,2))</f>
        <v/>
      </c>
      <c r="C827" s="2"/>
      <c r="D827" s="77"/>
      <c r="E827" s="78" t="str">
        <f>IF($A827=0,"",VLOOKUP($A827,'BASE MATERIAL'!$A:$D,3))</f>
        <v/>
      </c>
      <c r="F827" s="55"/>
      <c r="G827" s="55" t="str">
        <f>IF($A827=0,"",VLOOKUP($A827,'BASE MATERIAL'!$A:$D,4))</f>
        <v/>
      </c>
      <c r="H827" s="56" t="str">
        <f t="shared" si="80"/>
        <v/>
      </c>
      <c r="I827" s="2"/>
    </row>
    <row r="828" spans="1:16" x14ac:dyDescent="0.25">
      <c r="B828" s="38" t="str">
        <f>IF($A828=0,"",VLOOKUP($A828,'BASE MATERIAL'!$A:$D,2))</f>
        <v/>
      </c>
      <c r="C828" s="2"/>
      <c r="D828" s="81" t="s">
        <v>1682</v>
      </c>
      <c r="E828" s="55" t="str">
        <f>IF($A828=0,"",VLOOKUP($A828,'BASE MATERIAL'!$A:$D,3))</f>
        <v/>
      </c>
      <c r="F828" s="55" t="s">
        <v>1682</v>
      </c>
      <c r="G828" s="55" t="str">
        <f>IF($A828=0,"",VLOOKUP($A828,'BASE MATERIAL'!$A:$D,4))</f>
        <v/>
      </c>
      <c r="H828" s="56" t="str">
        <f>IF($A828=0,"",ROUND(E828*F828,2))</f>
        <v/>
      </c>
      <c r="I828" s="2"/>
    </row>
    <row r="829" spans="1:16" x14ac:dyDescent="0.25">
      <c r="B829" s="73" t="s">
        <v>1681</v>
      </c>
      <c r="C829" s="65"/>
      <c r="D829" s="74"/>
      <c r="E829" s="74"/>
      <c r="F829" s="74"/>
      <c r="G829" s="74"/>
      <c r="H829" s="75">
        <f>ROUND(SUM(H812:H828),2)</f>
        <v>1.23</v>
      </c>
      <c r="I829" s="2"/>
    </row>
    <row r="830" spans="1:16" x14ac:dyDescent="0.25">
      <c r="B830" s="38" t="s">
        <v>1680</v>
      </c>
      <c r="C830" s="2"/>
      <c r="D830" s="3"/>
      <c r="E830" s="3"/>
      <c r="F830" s="3"/>
      <c r="G830" s="3"/>
      <c r="H830" s="56"/>
      <c r="I830" s="2"/>
    </row>
    <row r="831" spans="1:16" ht="25.5" x14ac:dyDescent="0.25">
      <c r="B831" s="64" t="s">
        <v>1409</v>
      </c>
      <c r="C831" s="65"/>
      <c r="D831" s="76"/>
      <c r="E831" s="66" t="s">
        <v>1408</v>
      </c>
      <c r="F831" s="66" t="s">
        <v>1679</v>
      </c>
      <c r="G831" s="66" t="s">
        <v>1676</v>
      </c>
      <c r="H831" s="68" t="s">
        <v>1675</v>
      </c>
      <c r="I831" s="2"/>
    </row>
    <row r="832" spans="1:16" x14ac:dyDescent="0.25">
      <c r="A832" s="103">
        <v>19019</v>
      </c>
      <c r="B832" s="51" t="str">
        <f>IF($A832=0,"",VLOOKUP($A832,'BASE EQUIPO'!$A:$D,2))</f>
        <v>TRANSPORTE DE MATERIAL</v>
      </c>
      <c r="C832" s="52"/>
      <c r="D832" s="82"/>
      <c r="E832" s="78" t="str">
        <f>IF($A832=0,"",VLOOKUP($A832,'BASE EQUIPO'!$A:$D,3))</f>
        <v>GLOBAL</v>
      </c>
      <c r="F832" s="55">
        <v>1</v>
      </c>
      <c r="G832" s="83">
        <f>IF($A832=0,"",VLOOKUP($A832,'BASE EQUIPO'!$A:$D,4)*H829)-0.03</f>
        <v>6.8999999999999964E-3</v>
      </c>
      <c r="H832" s="56">
        <f>IF($A832=0,"",ROUND(F832*G832,2))</f>
        <v>0.01</v>
      </c>
      <c r="I832" s="2"/>
    </row>
    <row r="833" spans="1:15" x14ac:dyDescent="0.25">
      <c r="B833" s="38" t="str">
        <f>IF($A833=0,"",VLOOKUP($A833,'BASE EQUIPO'!$A:$D,2))</f>
        <v/>
      </c>
      <c r="C833" s="2"/>
      <c r="D833" s="84"/>
      <c r="E833" s="78" t="str">
        <f>IF($A833=0,"",VLOOKUP($A833,'BASE EQUIPO'!$A:$D,3))</f>
        <v/>
      </c>
      <c r="F833" s="55"/>
      <c r="G833" s="55" t="str">
        <f>IF($A833=0,"",VLOOKUP($A833,'BASE EQUIPO'!$A:$D,4)*H830)</f>
        <v/>
      </c>
      <c r="H833" s="56" t="str">
        <f>IF($A833=0,"",ROUND(F833*G833,2))</f>
        <v/>
      </c>
      <c r="I833" s="2"/>
    </row>
    <row r="834" spans="1:15" x14ac:dyDescent="0.25">
      <c r="B834" s="57" t="str">
        <f>IF($A834=0,"",VLOOKUP($A834,'BASE EQUIPO'!$A:$D,2))</f>
        <v/>
      </c>
      <c r="C834" s="58"/>
      <c r="D834" s="85"/>
      <c r="E834" s="86" t="str">
        <f>IF($A834=0,"",VLOOKUP($A834,'BASE EQUIPO'!$A:$D,3))</f>
        <v/>
      </c>
      <c r="F834" s="59"/>
      <c r="G834" s="59" t="str">
        <f>IF($A834=0,"",VLOOKUP($A834,'BASE EQUIPO'!$A:$D,4)*H831)</f>
        <v/>
      </c>
      <c r="H834" s="60" t="str">
        <f>IF($A834=0,"",ROUND(F834*G834,2))</f>
        <v/>
      </c>
      <c r="I834" s="2"/>
    </row>
    <row r="835" spans="1:15" ht="15.75" thickBot="1" x14ac:dyDescent="0.3">
      <c r="B835" s="87" t="s">
        <v>1674</v>
      </c>
      <c r="C835" s="88"/>
      <c r="D835" s="89"/>
      <c r="E835" s="89"/>
      <c r="F835" s="89"/>
      <c r="G835" s="89"/>
      <c r="H835" s="90">
        <f>ROUND(SUM(H831:H834),2)</f>
        <v>0.01</v>
      </c>
      <c r="I835" s="2"/>
    </row>
    <row r="836" spans="1:15" ht="15.75" x14ac:dyDescent="0.25">
      <c r="B836" s="2"/>
      <c r="C836" s="2"/>
      <c r="D836" s="91" t="s">
        <v>1673</v>
      </c>
      <c r="E836" s="47"/>
      <c r="F836" s="47"/>
      <c r="G836" s="47"/>
      <c r="H836" s="92">
        <f>ROUND(SUM(H835,H829,H810,H800),2)</f>
        <v>1.59</v>
      </c>
      <c r="I836" s="2"/>
    </row>
    <row r="837" spans="1:15" ht="15.75" x14ac:dyDescent="0.25">
      <c r="A837" s="103">
        <v>40002</v>
      </c>
      <c r="B837" s="2"/>
      <c r="C837" s="2"/>
      <c r="D837" s="93" t="s">
        <v>1672</v>
      </c>
      <c r="E837" s="65"/>
      <c r="F837" s="65"/>
      <c r="G837" s="94">
        <f>IF($A837=0,"",VLOOKUP($A837,'BASE MATERIAL'!$M:$P,4))</f>
        <v>0</v>
      </c>
      <c r="H837" s="95">
        <f>IF($A837=0,"",ROUND(G837*H836,2))</f>
        <v>0</v>
      </c>
      <c r="I837" s="2"/>
    </row>
    <row r="838" spans="1:15" ht="15.75" x14ac:dyDescent="0.25">
      <c r="A838" s="103">
        <v>40003</v>
      </c>
      <c r="B838" s="2"/>
      <c r="C838" s="2"/>
      <c r="D838" s="93" t="s">
        <v>1671</v>
      </c>
      <c r="E838" s="65"/>
      <c r="F838" s="65"/>
      <c r="G838" s="94">
        <f>IF($A838=0,"",VLOOKUP($A838,'BASE MATERIAL'!$M:$P,4))</f>
        <v>0</v>
      </c>
      <c r="H838" s="95">
        <f>IF($A838=0,"",ROUND(G838*H836,2))</f>
        <v>0</v>
      </c>
      <c r="I838" s="2"/>
    </row>
    <row r="839" spans="1:15" ht="15.75" x14ac:dyDescent="0.25">
      <c r="B839" s="2"/>
      <c r="C839" s="2"/>
      <c r="D839" s="93" t="s">
        <v>1670</v>
      </c>
      <c r="E839" s="65"/>
      <c r="F839" s="65"/>
      <c r="G839" s="65"/>
      <c r="H839" s="96">
        <f>ROUND(SUM(H836:H838),2)</f>
        <v>1.59</v>
      </c>
      <c r="I839" s="2"/>
    </row>
    <row r="840" spans="1:15" ht="16.5" thickBot="1" x14ac:dyDescent="0.3">
      <c r="B840" s="25"/>
      <c r="C840" s="2"/>
      <c r="D840" s="97" t="s">
        <v>1650</v>
      </c>
      <c r="E840" s="88"/>
      <c r="F840" s="88"/>
      <c r="G840" s="88"/>
      <c r="H840" s="98">
        <f>ROUND(H839,2)</f>
        <v>1.59</v>
      </c>
      <c r="I840" s="2"/>
    </row>
    <row r="841" spans="1:15" ht="15.75" x14ac:dyDescent="0.25">
      <c r="B841" s="34" t="s">
        <v>1701</v>
      </c>
      <c r="C841" s="2"/>
      <c r="D841" s="3" t="s">
        <v>1731</v>
      </c>
      <c r="E841" s="2"/>
      <c r="F841" s="2"/>
      <c r="H841" s="2" t="s">
        <v>108</v>
      </c>
      <c r="I841" s="2"/>
      <c r="L841" s="40"/>
      <c r="N841" s="2"/>
      <c r="O841" s="2"/>
    </row>
    <row r="842" spans="1:15" ht="15.75" x14ac:dyDescent="0.25">
      <c r="B842" s="34" t="s">
        <v>1700</v>
      </c>
      <c r="C842" s="3" t="s">
        <v>1732</v>
      </c>
      <c r="D842" s="2"/>
      <c r="E842" s="2"/>
      <c r="F842" s="2"/>
      <c r="G842" s="41" t="s">
        <v>1699</v>
      </c>
      <c r="H842" s="42"/>
      <c r="I842" s="2" t="s">
        <v>1698</v>
      </c>
    </row>
    <row r="843" spans="1:15" ht="15.75" x14ac:dyDescent="0.25">
      <c r="B843" s="34"/>
      <c r="C843" s="3" t="s">
        <v>1733</v>
      </c>
      <c r="D843" s="2"/>
      <c r="E843" s="2"/>
      <c r="F843" s="2"/>
      <c r="G843" s="2"/>
      <c r="H843" s="2"/>
      <c r="I843" s="2"/>
    </row>
    <row r="844" spans="1:15" ht="15.75" x14ac:dyDescent="0.25">
      <c r="B844" s="34" t="s">
        <v>1697</v>
      </c>
      <c r="C844" s="3"/>
      <c r="D844" s="2"/>
      <c r="E844" s="2"/>
      <c r="F844" s="2"/>
      <c r="G844" s="2"/>
      <c r="H844" s="2"/>
      <c r="I844" s="2"/>
    </row>
    <row r="845" spans="1:15" x14ac:dyDescent="0.25">
      <c r="A845" s="104"/>
      <c r="B845" s="2" t="s">
        <v>1586</v>
      </c>
      <c r="C845" s="36"/>
      <c r="D845" s="2"/>
      <c r="G845" s="2" t="s">
        <v>1696</v>
      </c>
      <c r="H845" s="3" t="s">
        <v>1520</v>
      </c>
      <c r="I845" s="2"/>
    </row>
    <row r="846" spans="1:15" x14ac:dyDescent="0.25">
      <c r="B846" s="1" t="s">
        <v>1585</v>
      </c>
      <c r="C846" s="36" t="s">
        <v>633</v>
      </c>
      <c r="D846" s="2"/>
      <c r="E846" s="2"/>
      <c r="F846" s="2"/>
      <c r="G846" s="2"/>
      <c r="H846" s="2"/>
      <c r="I846" s="2"/>
    </row>
    <row r="847" spans="1:15" ht="15.75" thickBot="1" x14ac:dyDescent="0.3">
      <c r="D847" s="2"/>
      <c r="E847" s="2"/>
      <c r="F847" s="2"/>
      <c r="G847" s="2"/>
      <c r="H847" s="2"/>
      <c r="I847" s="2"/>
    </row>
    <row r="848" spans="1:15" ht="15.75" thickBot="1" x14ac:dyDescent="0.3">
      <c r="B848" s="43" t="s">
        <v>1695</v>
      </c>
      <c r="C848" s="44"/>
      <c r="D848" s="44"/>
      <c r="E848" s="44"/>
      <c r="F848" s="44"/>
      <c r="G848" s="44"/>
      <c r="H848" s="45"/>
      <c r="I848" s="2"/>
    </row>
    <row r="849" spans="1:9" ht="25.5" x14ac:dyDescent="0.25">
      <c r="B849" s="46" t="s">
        <v>1409</v>
      </c>
      <c r="C849" s="47"/>
      <c r="D849" s="48" t="s">
        <v>1690</v>
      </c>
      <c r="E849" s="48" t="s">
        <v>1694</v>
      </c>
      <c r="F849" s="48" t="s">
        <v>1693</v>
      </c>
      <c r="G849" s="49" t="s">
        <v>1687</v>
      </c>
      <c r="H849" s="50" t="s">
        <v>1686</v>
      </c>
      <c r="I849" s="2"/>
    </row>
    <row r="850" spans="1:9" x14ac:dyDescent="0.25">
      <c r="A850" s="103">
        <v>19015</v>
      </c>
      <c r="B850" s="38" t="str">
        <f>IF($A850=0,"",VLOOKUP($A850,'BASE EQUIPO'!$A:$D,2))</f>
        <v>HERRAMIENTA MENOR</v>
      </c>
      <c r="C850" s="52"/>
      <c r="D850" s="53">
        <v>1</v>
      </c>
      <c r="E850" s="53">
        <v>0.4002</v>
      </c>
      <c r="F850" s="53">
        <f t="shared" ref="F850:F855" si="81">IF($A850=0,"",ROUND(D850*E850,2))</f>
        <v>0.4</v>
      </c>
      <c r="G850" s="105">
        <v>1</v>
      </c>
      <c r="H850" s="54">
        <f t="shared" ref="H850:H855" si="82">IF($A850=0,"",ROUND(G850*F850,2))</f>
        <v>0.4</v>
      </c>
      <c r="I850" s="2"/>
    </row>
    <row r="851" spans="1:9" x14ac:dyDescent="0.25">
      <c r="A851" s="103">
        <v>19003</v>
      </c>
      <c r="B851" s="38" t="str">
        <f>IF($A851=0,"",VLOOKUP($A851,'BASE EQUIPO'!$A:$D,2))</f>
        <v>CONCRETERA</v>
      </c>
      <c r="C851" s="2"/>
      <c r="D851" s="55">
        <v>1</v>
      </c>
      <c r="E851" s="55">
        <f>IF($A851=0,"",VLOOKUP($A851,'BASE EQUIPO'!$A:$D,4))</f>
        <v>3.5</v>
      </c>
      <c r="F851" s="55">
        <f t="shared" si="81"/>
        <v>3.5</v>
      </c>
      <c r="G851" s="106">
        <f>+G860*0.5</f>
        <v>2.5499999999999998E-2</v>
      </c>
      <c r="H851" s="56">
        <f t="shared" si="82"/>
        <v>0.09</v>
      </c>
      <c r="I851" s="2"/>
    </row>
    <row r="852" spans="1:9" x14ac:dyDescent="0.25">
      <c r="A852" s="103">
        <v>19008</v>
      </c>
      <c r="B852" s="38" t="str">
        <f>IF($A852=0,"",VLOOKUP($A852,'BASE EQUIPO'!$A:$D,2))</f>
        <v>VIBRADOR</v>
      </c>
      <c r="C852" s="2"/>
      <c r="D852" s="55">
        <v>1</v>
      </c>
      <c r="E852" s="55">
        <f>IF($A852=0,"",VLOOKUP($A852,'BASE EQUIPO'!$A:$D,4))</f>
        <v>2.5</v>
      </c>
      <c r="F852" s="55">
        <f t="shared" si="81"/>
        <v>2.5</v>
      </c>
      <c r="G852" s="106">
        <f>+G860*0.5</f>
        <v>2.5499999999999998E-2</v>
      </c>
      <c r="H852" s="56">
        <f t="shared" si="82"/>
        <v>0.06</v>
      </c>
      <c r="I852" s="2"/>
    </row>
    <row r="853" spans="1:9" x14ac:dyDescent="0.25">
      <c r="B853" s="38" t="str">
        <f>IF($A853=0,"",VLOOKUP($A853,'BASE EQUIPO'!$A:$D,2))</f>
        <v/>
      </c>
      <c r="C853" s="2"/>
      <c r="D853" s="55"/>
      <c r="E853" s="55" t="str">
        <f>IF($A853=0,"",VLOOKUP($A853,'BASE EQUIPO'!$A:$D,4))</f>
        <v/>
      </c>
      <c r="F853" s="55" t="str">
        <f t="shared" si="81"/>
        <v/>
      </c>
      <c r="G853" s="106"/>
      <c r="H853" s="56" t="str">
        <f t="shared" si="82"/>
        <v/>
      </c>
      <c r="I853" s="2"/>
    </row>
    <row r="854" spans="1:9" x14ac:dyDescent="0.25">
      <c r="B854" s="38" t="str">
        <f>IF($A854=0,"",VLOOKUP($A854,'BASE EQUIPO'!$A:$D,2))</f>
        <v/>
      </c>
      <c r="C854" s="2"/>
      <c r="D854" s="55"/>
      <c r="E854" s="55" t="str">
        <f>IF($A854=0,"",VLOOKUP($A854,'BASE EQUIPO'!$A:$D,4))</f>
        <v/>
      </c>
      <c r="F854" s="55" t="str">
        <f t="shared" si="81"/>
        <v/>
      </c>
      <c r="G854" s="106"/>
      <c r="H854" s="56" t="str">
        <f t="shared" si="82"/>
        <v/>
      </c>
      <c r="I854" s="2"/>
    </row>
    <row r="855" spans="1:9" x14ac:dyDescent="0.25">
      <c r="B855" s="38" t="str">
        <f>IF($A855=0,"",VLOOKUP($A855,'BASE EQUIPO'!$A:$D,2))</f>
        <v/>
      </c>
      <c r="C855" s="2"/>
      <c r="D855" s="55"/>
      <c r="E855" s="55" t="str">
        <f>IF($A855=0,"",VLOOKUP($A855,'BASE EQUIPO'!$A:$D,4))</f>
        <v/>
      </c>
      <c r="F855" s="55" t="str">
        <f t="shared" si="81"/>
        <v/>
      </c>
      <c r="G855" s="106"/>
      <c r="H855" s="56" t="str">
        <f t="shared" si="82"/>
        <v/>
      </c>
      <c r="I855" s="2"/>
    </row>
    <row r="856" spans="1:9" x14ac:dyDescent="0.25">
      <c r="B856" s="281" t="s">
        <v>1692</v>
      </c>
      <c r="C856" s="65"/>
      <c r="D856" s="74"/>
      <c r="E856" s="74"/>
      <c r="F856" s="74"/>
      <c r="G856" s="282"/>
      <c r="H856" s="283">
        <f>ROUND(SUM(H849:H855),2)</f>
        <v>0.55000000000000004</v>
      </c>
      <c r="I856" s="2"/>
    </row>
    <row r="857" spans="1:9" x14ac:dyDescent="0.25">
      <c r="B857" s="38" t="s">
        <v>1503</v>
      </c>
      <c r="C857" s="2"/>
      <c r="D857" s="3"/>
      <c r="E857" s="3"/>
      <c r="F857" s="3"/>
      <c r="G857" s="63"/>
      <c r="H857" s="56"/>
      <c r="I857" s="2"/>
    </row>
    <row r="858" spans="1:9" ht="25.5" x14ac:dyDescent="0.25">
      <c r="B858" s="64" t="s">
        <v>1691</v>
      </c>
      <c r="C858" s="65"/>
      <c r="D858" s="66" t="s">
        <v>1690</v>
      </c>
      <c r="E858" s="66" t="s">
        <v>1689</v>
      </c>
      <c r="F858" s="66" t="s">
        <v>1688</v>
      </c>
      <c r="G858" s="67" t="s">
        <v>1687</v>
      </c>
      <c r="H858" s="68" t="s">
        <v>1686</v>
      </c>
      <c r="I858" s="2"/>
    </row>
    <row r="859" spans="1:9" x14ac:dyDescent="0.25">
      <c r="A859" s="103">
        <v>20001</v>
      </c>
      <c r="B859" s="72" t="str">
        <f>IF($A859=0,"",VLOOKUP($A859,'BASE M-OBRA'!$A:$D,2))</f>
        <v>MAESTRO</v>
      </c>
      <c r="C859" s="2"/>
      <c r="D859" s="108">
        <v>1</v>
      </c>
      <c r="E859" s="70">
        <f>IF($A859=0,"",VLOOKUP($A859,'BASE M-OBRA'!$A:$D,4))</f>
        <v>3.02</v>
      </c>
      <c r="F859" s="55">
        <f t="shared" ref="F859:F865" si="83">IF($A859=0,"",ROUND(D859*E859,2))</f>
        <v>3.02</v>
      </c>
      <c r="G859" s="106">
        <f>IF($A859=0,"",ROUND(H859/F859,2))</f>
        <v>0.74</v>
      </c>
      <c r="H859" s="56">
        <v>2.2200000000000002</v>
      </c>
      <c r="I859" s="2"/>
    </row>
    <row r="860" spans="1:9" x14ac:dyDescent="0.25">
      <c r="A860" s="103">
        <v>20002</v>
      </c>
      <c r="B860" s="72" t="str">
        <f>IF($A860=0,"",VLOOKUP($A860,'BASE M-OBRA'!$A:$D,2))</f>
        <v>PEON</v>
      </c>
      <c r="C860" s="2"/>
      <c r="D860" s="108">
        <v>8</v>
      </c>
      <c r="E860" s="70">
        <f>IF($A860=0,"",VLOOKUP($A860,'BASE M-OBRA'!$A:$D,4))</f>
        <v>2.79</v>
      </c>
      <c r="F860" s="55">
        <f t="shared" si="83"/>
        <v>22.32</v>
      </c>
      <c r="G860" s="106">
        <f>0.85*0.06</f>
        <v>5.0999999999999997E-2</v>
      </c>
      <c r="H860" s="56">
        <f t="shared" ref="H860:H865" si="84">IF($A860=0,"",ROUND(G860*F860,2))</f>
        <v>1.1399999999999999</v>
      </c>
      <c r="I860" s="2"/>
    </row>
    <row r="861" spans="1:9" x14ac:dyDescent="0.25">
      <c r="A861" s="103">
        <v>20003</v>
      </c>
      <c r="B861" s="72" t="str">
        <f>IF($A861=0,"",VLOOKUP($A861,'BASE M-OBRA'!$A:$D,2))</f>
        <v>ALBAÑIL</v>
      </c>
      <c r="C861" s="2"/>
      <c r="D861" s="108">
        <v>2</v>
      </c>
      <c r="E861" s="70">
        <f>IF($A861=0,"",VLOOKUP($A861,'BASE M-OBRA'!$A:$D,4))</f>
        <v>2.82</v>
      </c>
      <c r="F861" s="55">
        <f t="shared" si="83"/>
        <v>5.64</v>
      </c>
      <c r="G861" s="106">
        <f>+G860</f>
        <v>5.0999999999999997E-2</v>
      </c>
      <c r="H861" s="56">
        <f t="shared" si="84"/>
        <v>0.28999999999999998</v>
      </c>
      <c r="I861" s="2"/>
    </row>
    <row r="862" spans="1:9" x14ac:dyDescent="0.25">
      <c r="A862" s="103">
        <v>20006</v>
      </c>
      <c r="B862" s="72" t="str">
        <f>IF($A862=0,"",VLOOKUP($A862,'BASE M-OBRA'!$A:$D,2))</f>
        <v>MAESTRO  SOLDADOR</v>
      </c>
      <c r="C862" s="2"/>
      <c r="D862" s="108">
        <v>2</v>
      </c>
      <c r="E862" s="70">
        <f>IF($A862=0,"",VLOOKUP($A862,'BASE M-OBRA'!$A:$D,4))</f>
        <v>3.02</v>
      </c>
      <c r="F862" s="55">
        <f t="shared" si="83"/>
        <v>6.04</v>
      </c>
      <c r="G862" s="106">
        <v>1.5</v>
      </c>
      <c r="H862" s="56">
        <f t="shared" si="84"/>
        <v>9.06</v>
      </c>
      <c r="I862" s="2"/>
    </row>
    <row r="863" spans="1:9" x14ac:dyDescent="0.25">
      <c r="A863" s="103">
        <v>20005</v>
      </c>
      <c r="B863" s="72" t="str">
        <f>IF($A863=0,"",VLOOKUP($A863,'BASE M-OBRA'!$A:$D,2))</f>
        <v>FIERRERO</v>
      </c>
      <c r="C863" s="2"/>
      <c r="D863" s="108">
        <v>2</v>
      </c>
      <c r="E863" s="70">
        <f>IF($A863=0,"",VLOOKUP($A863,'BASE M-OBRA'!$A:$D,4))</f>
        <v>2.82</v>
      </c>
      <c r="F863" s="55">
        <f t="shared" si="83"/>
        <v>5.64</v>
      </c>
      <c r="G863" s="106">
        <v>0.15</v>
      </c>
      <c r="H863" s="56">
        <f t="shared" si="84"/>
        <v>0.85</v>
      </c>
      <c r="I863" s="2"/>
    </row>
    <row r="864" spans="1:9" x14ac:dyDescent="0.25">
      <c r="B864" s="72" t="str">
        <f>IF($A864=0,"",VLOOKUP($A864,'BASE M-OBRA'!$A:$D,2))</f>
        <v/>
      </c>
      <c r="C864" s="2"/>
      <c r="D864" s="55"/>
      <c r="E864" s="70" t="str">
        <f>IF($A864=0,"",VLOOKUP($A864,'BASE M-OBRA'!$A:$D,4))</f>
        <v/>
      </c>
      <c r="F864" s="55" t="str">
        <f t="shared" si="83"/>
        <v/>
      </c>
      <c r="G864" s="106"/>
      <c r="H864" s="56" t="str">
        <f t="shared" si="84"/>
        <v/>
      </c>
      <c r="I864" s="2"/>
    </row>
    <row r="865" spans="1:16" x14ac:dyDescent="0.25">
      <c r="B865" s="72" t="str">
        <f>IF($A865=0,"",VLOOKUP($A865,'BASE M-OBRA'!$A:$D,2))</f>
        <v/>
      </c>
      <c r="C865" s="58"/>
      <c r="D865" s="59"/>
      <c r="E865" s="70" t="str">
        <f>IF($A865=0,"",VLOOKUP($A865,'BASE M-OBRA'!$A:$D,4))</f>
        <v/>
      </c>
      <c r="F865" s="59" t="str">
        <f t="shared" si="83"/>
        <v/>
      </c>
      <c r="G865" s="107"/>
      <c r="H865" s="60" t="str">
        <f t="shared" si="84"/>
        <v/>
      </c>
      <c r="I865" s="2"/>
    </row>
    <row r="866" spans="1:16" x14ac:dyDescent="0.25">
      <c r="B866" s="73" t="s">
        <v>1685</v>
      </c>
      <c r="C866" s="65"/>
      <c r="D866" s="74"/>
      <c r="E866" s="74"/>
      <c r="F866" s="74"/>
      <c r="G866" s="74"/>
      <c r="H866" s="75">
        <f>ROUND(SUM(H858:H865),2)</f>
        <v>13.56</v>
      </c>
      <c r="I866" s="2"/>
    </row>
    <row r="867" spans="1:16" x14ac:dyDescent="0.25">
      <c r="B867" s="38" t="s">
        <v>1684</v>
      </c>
      <c r="C867" s="2"/>
      <c r="D867" s="3"/>
      <c r="E867" s="3"/>
      <c r="F867" s="3"/>
      <c r="G867" s="3"/>
      <c r="H867" s="56"/>
      <c r="I867" s="2"/>
    </row>
    <row r="868" spans="1:16" ht="25.5" x14ac:dyDescent="0.25">
      <c r="B868" s="64" t="s">
        <v>1409</v>
      </c>
      <c r="C868" s="65"/>
      <c r="D868" s="76"/>
      <c r="E868" s="66" t="s">
        <v>1408</v>
      </c>
      <c r="F868" s="66" t="s">
        <v>1679</v>
      </c>
      <c r="G868" s="66" t="s">
        <v>1683</v>
      </c>
      <c r="H868" s="68" t="s">
        <v>1675</v>
      </c>
      <c r="I868" s="2"/>
    </row>
    <row r="869" spans="1:16" x14ac:dyDescent="0.25">
      <c r="B869" s="37" t="str">
        <f>IF($A869=0,"",VLOOKUP($A869,'BASE MATERIAL'!$A:$D,2))</f>
        <v/>
      </c>
      <c r="C869" s="2"/>
      <c r="D869" s="77"/>
      <c r="E869" s="78" t="str">
        <f>IF($A869=0,"",VLOOKUP($A869,'BASE MATERIAL'!$A:$D,3))</f>
        <v/>
      </c>
      <c r="F869" s="55"/>
      <c r="G869" s="55" t="str">
        <f>IF($A869=0,"",VLOOKUP($A869,'BASE MATERIAL'!$A:$D,4))</f>
        <v/>
      </c>
      <c r="H869" s="56" t="str">
        <f t="shared" ref="H869:H883" si="85">IF($A869=0,"",ROUND(F869*G869,2))</f>
        <v/>
      </c>
      <c r="I869" s="2"/>
      <c r="L869" s="2"/>
      <c r="M869" s="2"/>
      <c r="N869" s="39"/>
      <c r="O869" s="2"/>
      <c r="P869" s="2"/>
    </row>
    <row r="870" spans="1:16" x14ac:dyDescent="0.25">
      <c r="B870" s="38" t="str">
        <f>IF($A870=0,"",VLOOKUP($A870,'BASE MATERIAL'!$A:$D,2))</f>
        <v/>
      </c>
      <c r="C870" s="2"/>
      <c r="D870" s="77"/>
      <c r="E870" s="78" t="str">
        <f>IF($A870=0,"",VLOOKUP($A870,'BASE MATERIAL'!$A:$D,3))</f>
        <v/>
      </c>
      <c r="F870" s="55"/>
      <c r="G870" s="55" t="str">
        <f>IF($A870=0,"",VLOOKUP($A870,'BASE MATERIAL'!$A:$D,4))</f>
        <v/>
      </c>
      <c r="H870" s="56" t="str">
        <f t="shared" si="85"/>
        <v/>
      </c>
      <c r="I870" s="2"/>
      <c r="L870" s="2"/>
      <c r="M870" s="2"/>
      <c r="N870" s="39"/>
      <c r="O870" s="2"/>
      <c r="P870" s="2"/>
    </row>
    <row r="871" spans="1:16" x14ac:dyDescent="0.25">
      <c r="B871" s="38" t="str">
        <f>IF($A871=0,"",VLOOKUP($A871,'BASE MATERIAL'!$A:$D,2))</f>
        <v/>
      </c>
      <c r="C871" s="2"/>
      <c r="D871" s="77"/>
      <c r="E871" s="78" t="str">
        <f>IF($A871=0,"",VLOOKUP($A871,'BASE MATERIAL'!$A:$D,3))</f>
        <v/>
      </c>
      <c r="F871" s="55"/>
      <c r="G871" s="55" t="str">
        <f>IF($A871=0,"",VLOOKUP($A871,'BASE MATERIAL'!$A:$D,4))</f>
        <v/>
      </c>
      <c r="H871" s="56" t="str">
        <f t="shared" si="85"/>
        <v/>
      </c>
      <c r="I871" s="2"/>
      <c r="L871" s="2"/>
      <c r="M871" s="2"/>
      <c r="N871" s="39"/>
      <c r="O871" s="2"/>
      <c r="P871" s="2"/>
    </row>
    <row r="872" spans="1:16" x14ac:dyDescent="0.25">
      <c r="A872" s="103">
        <v>1</v>
      </c>
      <c r="B872" s="38" t="s">
        <v>634</v>
      </c>
      <c r="C872" s="2"/>
      <c r="D872" s="77"/>
      <c r="E872" s="78" t="s">
        <v>901</v>
      </c>
      <c r="F872" s="55">
        <f>282/(4.8*4.8)</f>
        <v>12.239583333333334</v>
      </c>
      <c r="G872" s="55">
        <v>2.6</v>
      </c>
      <c r="H872" s="56">
        <f t="shared" si="85"/>
        <v>31.82</v>
      </c>
      <c r="I872" s="2"/>
      <c r="L872" s="2"/>
      <c r="M872" s="2"/>
      <c r="N872" s="39"/>
      <c r="O872" s="2"/>
      <c r="P872" s="2"/>
    </row>
    <row r="873" spans="1:16" x14ac:dyDescent="0.25">
      <c r="A873" s="103">
        <v>4001</v>
      </c>
      <c r="B873" s="38" t="str">
        <f>IF($A873=0,"",VLOOKUP($A873,'BASE MATERIAL'!$A:$D,2))</f>
        <v>CEMENTO</v>
      </c>
      <c r="C873" s="2"/>
      <c r="D873" s="77"/>
      <c r="E873" s="78" t="str">
        <f>IF($A873=0,"",VLOOKUP($A873,'BASE MATERIAL'!$A:$D,3))</f>
        <v>SACO</v>
      </c>
      <c r="F873" s="55">
        <f>8*1.03*0.06</f>
        <v>0.49440000000000001</v>
      </c>
      <c r="G873" s="55">
        <f>IF($A873=0,"",VLOOKUP($A873,'BASE MATERIAL'!$A:$D,4))</f>
        <v>7.09</v>
      </c>
      <c r="H873" s="56">
        <f t="shared" si="85"/>
        <v>3.51</v>
      </c>
      <c r="I873" s="2"/>
      <c r="L873" s="2"/>
      <c r="M873" s="2"/>
      <c r="N873" s="39"/>
      <c r="O873" s="2"/>
      <c r="P873" s="2"/>
    </row>
    <row r="874" spans="1:16" x14ac:dyDescent="0.25">
      <c r="A874" s="103">
        <v>5004</v>
      </c>
      <c r="B874" s="38" t="str">
        <f>IF($A874=0,"",VLOOKUP($A874,'BASE MATERIAL'!$A:$D,2))</f>
        <v>ARENA</v>
      </c>
      <c r="C874" s="2"/>
      <c r="D874" s="77"/>
      <c r="E874" s="78" t="str">
        <f>IF($A874=0,"",VLOOKUP($A874,'BASE MATERIAL'!$A:$D,3))</f>
        <v>M3</v>
      </c>
      <c r="F874" s="55">
        <f>ROUND(F873*0.032*2,2)</f>
        <v>0.03</v>
      </c>
      <c r="G874" s="55">
        <f>IF($A874=0,"",VLOOKUP($A874,'BASE MATERIAL'!$A:$D,4))</f>
        <v>12.276249999999999</v>
      </c>
      <c r="H874" s="56">
        <f t="shared" si="85"/>
        <v>0.37</v>
      </c>
      <c r="I874" s="2"/>
      <c r="L874" s="2"/>
      <c r="M874" s="2"/>
      <c r="N874" s="39"/>
      <c r="O874" s="2"/>
      <c r="P874" s="2"/>
    </row>
    <row r="875" spans="1:16" x14ac:dyDescent="0.25">
      <c r="A875" s="103">
        <v>5002</v>
      </c>
      <c r="B875" s="38" t="str">
        <f>IF($A875=0,"",VLOOKUP($A875,'BASE MATERIAL'!$A:$D,2))</f>
        <v>PIEDRA 3-4</v>
      </c>
      <c r="C875" s="2"/>
      <c r="D875" s="77"/>
      <c r="E875" s="78" t="str">
        <f>IF($A875=0,"",VLOOKUP($A875,'BASE MATERIAL'!$A:$D,3))</f>
        <v>M3</v>
      </c>
      <c r="F875" s="55">
        <f>ROUND(F873*0.032*3,2)</f>
        <v>0.05</v>
      </c>
      <c r="G875" s="55">
        <f>IF($A875=0,"",VLOOKUP($A875,'BASE MATERIAL'!$A:$D,4))</f>
        <v>13.75</v>
      </c>
      <c r="H875" s="56">
        <f t="shared" si="85"/>
        <v>0.69</v>
      </c>
      <c r="I875" s="2"/>
      <c r="L875" s="2"/>
      <c r="M875" s="2"/>
      <c r="N875" s="39"/>
      <c r="O875" s="2"/>
      <c r="P875" s="2"/>
    </row>
    <row r="876" spans="1:16" x14ac:dyDescent="0.25">
      <c r="A876" s="103">
        <v>5005</v>
      </c>
      <c r="B876" s="38" t="str">
        <f>IF($A876=0,"",VLOOKUP($A876,'BASE MATERIAL'!$A:$D,2))</f>
        <v>AGUA</v>
      </c>
      <c r="C876" s="2"/>
      <c r="D876" s="77"/>
      <c r="E876" s="78" t="str">
        <f>IF($A876=0,"",VLOOKUP($A876,'BASE MATERIAL'!$A:$D,3))</f>
        <v>LT</v>
      </c>
      <c r="F876" s="55">
        <f>26*F873</f>
        <v>12.8544</v>
      </c>
      <c r="G876" s="112">
        <f>IF($A876=0,"",VLOOKUP($A876,'BASE MATERIAL'!$A:$D,4))</f>
        <v>2E-3</v>
      </c>
      <c r="H876" s="56">
        <f t="shared" si="85"/>
        <v>0.03</v>
      </c>
      <c r="I876" s="2"/>
      <c r="L876" s="2"/>
      <c r="M876" s="2"/>
      <c r="N876" s="39"/>
      <c r="O876" s="2"/>
      <c r="P876" s="2"/>
    </row>
    <row r="877" spans="1:16" x14ac:dyDescent="0.25">
      <c r="A877" s="103">
        <v>1</v>
      </c>
      <c r="B877" s="38" t="s">
        <v>635</v>
      </c>
      <c r="C877" s="2"/>
      <c r="D877" s="77"/>
      <c r="E877" s="78" t="s">
        <v>1520</v>
      </c>
      <c r="F877" s="55">
        <v>1</v>
      </c>
      <c r="G877" s="55">
        <v>17.7</v>
      </c>
      <c r="H877" s="56">
        <f t="shared" si="85"/>
        <v>17.7</v>
      </c>
      <c r="I877" s="2"/>
    </row>
    <row r="878" spans="1:16" x14ac:dyDescent="0.25">
      <c r="A878" s="103">
        <v>1001</v>
      </c>
      <c r="B878" s="38" t="str">
        <f>IF($A878=0,"",VLOOKUP($A878,'BASE MATERIAL'!$A:$D,2))</f>
        <v>HIERRO</v>
      </c>
      <c r="C878" s="2"/>
      <c r="D878" s="77"/>
      <c r="E878" s="78" t="str">
        <f>IF($A878=0,"",VLOOKUP($A878,'BASE MATERIAL'!$A:$D,3))</f>
        <v>KG</v>
      </c>
      <c r="F878" s="55">
        <f>10*0.222</f>
        <v>2.2200000000000002</v>
      </c>
      <c r="G878" s="55">
        <f>IF($A878=0,"",VLOOKUP($A878,'BASE MATERIAL'!$A:$D,4))</f>
        <v>1.17</v>
      </c>
      <c r="H878" s="56">
        <f t="shared" si="85"/>
        <v>2.6</v>
      </c>
      <c r="I878" s="2"/>
      <c r="L878" s="2"/>
      <c r="M878" s="2"/>
      <c r="N878" s="39"/>
      <c r="O878" s="2"/>
      <c r="P878" s="2"/>
    </row>
    <row r="879" spans="1:16" x14ac:dyDescent="0.25">
      <c r="A879" s="103">
        <v>11002</v>
      </c>
      <c r="B879" s="38" t="str">
        <f>IF($A879=0,"",VLOOKUP($A879,'BASE MATERIAL'!$A:$D,2))</f>
        <v>ALAMBRE #18 RECOCIDO</v>
      </c>
      <c r="C879" s="2"/>
      <c r="D879" s="77"/>
      <c r="E879" s="78" t="str">
        <f>IF($A879=0,"",VLOOKUP($A879,'BASE MATERIAL'!$A:$D,3))</f>
        <v>KG</v>
      </c>
      <c r="F879" s="55">
        <f>+F878*0.03</f>
        <v>6.6600000000000006E-2</v>
      </c>
      <c r="G879" s="55">
        <f>IF($A879=0,"",VLOOKUP($A879,'BASE MATERIAL'!$A:$D,4))</f>
        <v>1.87</v>
      </c>
      <c r="H879" s="56">
        <f t="shared" si="85"/>
        <v>0.12</v>
      </c>
      <c r="I879" s="2"/>
      <c r="L879" s="2"/>
      <c r="M879" s="2"/>
      <c r="N879" s="39"/>
      <c r="O879" s="2"/>
      <c r="P879" s="2"/>
    </row>
    <row r="880" spans="1:16" x14ac:dyDescent="0.25">
      <c r="B880" s="38" t="str">
        <f>IF($A880=0,"",VLOOKUP($A880,'BASE MATERIAL'!$A:$D,2))</f>
        <v/>
      </c>
      <c r="C880" s="2"/>
      <c r="D880" s="77"/>
      <c r="E880" s="78" t="str">
        <f>IF($A880=0,"",VLOOKUP($A880,'BASE MATERIAL'!$A:$D,3))</f>
        <v/>
      </c>
      <c r="F880" s="55"/>
      <c r="G880" s="55" t="str">
        <f>IF($A880=0,"",VLOOKUP($A880,'BASE MATERIAL'!$A:$D,4))</f>
        <v/>
      </c>
      <c r="H880" s="56" t="str">
        <f t="shared" si="85"/>
        <v/>
      </c>
      <c r="I880" s="2"/>
    </row>
    <row r="881" spans="1:9" x14ac:dyDescent="0.25">
      <c r="B881" s="38" t="str">
        <f>IF($A881=0,"",VLOOKUP($A881,'BASE MATERIAL'!$A:$D,2))</f>
        <v/>
      </c>
      <c r="C881" s="2"/>
      <c r="D881" s="77"/>
      <c r="E881" s="78" t="str">
        <f>IF($A881=0,"",VLOOKUP($A881,'BASE MATERIAL'!$A:$D,3))</f>
        <v/>
      </c>
      <c r="F881" s="55"/>
      <c r="G881" s="55" t="str">
        <f>IF($A881=0,"",VLOOKUP($A881,'BASE MATERIAL'!$A:$D,4))</f>
        <v/>
      </c>
      <c r="H881" s="56" t="str">
        <f t="shared" si="85"/>
        <v/>
      </c>
      <c r="I881" s="2"/>
    </row>
    <row r="882" spans="1:9" x14ac:dyDescent="0.25">
      <c r="B882" s="38" t="str">
        <f>IF($A882=0,"",VLOOKUP($A882,'BASE MATERIAL'!$A:$D,2))</f>
        <v/>
      </c>
      <c r="C882" s="2"/>
      <c r="D882" s="77"/>
      <c r="E882" s="78" t="str">
        <f>IF($A882=0,"",VLOOKUP($A882,'BASE MATERIAL'!$A:$D,3))</f>
        <v/>
      </c>
      <c r="F882" s="55"/>
      <c r="G882" s="55" t="str">
        <f>IF($A882=0,"",VLOOKUP($A882,'BASE MATERIAL'!$A:$D,4))</f>
        <v/>
      </c>
      <c r="H882" s="56" t="str">
        <f t="shared" si="85"/>
        <v/>
      </c>
      <c r="I882" s="2"/>
    </row>
    <row r="883" spans="1:9" x14ac:dyDescent="0.25">
      <c r="B883" s="38" t="str">
        <f>IF($A883=0,"",VLOOKUP($A883,'BASE MATERIAL'!$A:$D,2))</f>
        <v/>
      </c>
      <c r="C883" s="2"/>
      <c r="D883" s="77"/>
      <c r="E883" s="78" t="str">
        <f>IF($A883=0,"",VLOOKUP($A883,'BASE MATERIAL'!$A:$D,3))</f>
        <v/>
      </c>
      <c r="F883" s="55"/>
      <c r="G883" s="55" t="str">
        <f>IF($A883=0,"",VLOOKUP($A883,'BASE MATERIAL'!$A:$D,4))</f>
        <v/>
      </c>
      <c r="H883" s="56" t="str">
        <f t="shared" si="85"/>
        <v/>
      </c>
      <c r="I883" s="2"/>
    </row>
    <row r="884" spans="1:9" x14ac:dyDescent="0.25">
      <c r="B884" s="38" t="str">
        <f>IF($A884=0,"",VLOOKUP($A884,'BASE MATERIAL'!$A:$D,2))</f>
        <v/>
      </c>
      <c r="C884" s="2"/>
      <c r="D884" s="81" t="s">
        <v>1682</v>
      </c>
      <c r="E884" s="78" t="str">
        <f>IF($A884=0,"",VLOOKUP($A884,'BASE MATERIAL'!$A:$D,3))</f>
        <v/>
      </c>
      <c r="F884" s="55" t="s">
        <v>1682</v>
      </c>
      <c r="G884" s="55" t="str">
        <f>IF($A884=0,"",VLOOKUP($A884,'BASE MATERIAL'!$A:$D,4))</f>
        <v/>
      </c>
      <c r="H884" s="56" t="str">
        <f>IF($A884=0,"",ROUND(E884*F884,2))</f>
        <v/>
      </c>
      <c r="I884" s="2"/>
    </row>
    <row r="885" spans="1:9" x14ac:dyDescent="0.25">
      <c r="B885" s="73" t="s">
        <v>1681</v>
      </c>
      <c r="C885" s="65"/>
      <c r="D885" s="74"/>
      <c r="E885" s="74"/>
      <c r="F885" s="74"/>
      <c r="G885" s="74"/>
      <c r="H885" s="75">
        <f>ROUND(SUM(H868:H884),2)</f>
        <v>56.84</v>
      </c>
      <c r="I885" s="2"/>
    </row>
    <row r="886" spans="1:9" x14ac:dyDescent="0.25">
      <c r="B886" s="38" t="s">
        <v>1680</v>
      </c>
      <c r="C886" s="2"/>
      <c r="D886" s="3"/>
      <c r="E886" s="3"/>
      <c r="F886" s="3"/>
      <c r="G886" s="3"/>
      <c r="H886" s="56"/>
      <c r="I886" s="2"/>
    </row>
    <row r="887" spans="1:9" ht="25.5" x14ac:dyDescent="0.25">
      <c r="B887" s="64" t="s">
        <v>1409</v>
      </c>
      <c r="C887" s="65"/>
      <c r="D887" s="76"/>
      <c r="E887" s="66" t="s">
        <v>1408</v>
      </c>
      <c r="F887" s="66" t="s">
        <v>1679</v>
      </c>
      <c r="G887" s="66" t="s">
        <v>1676</v>
      </c>
      <c r="H887" s="68" t="s">
        <v>1675</v>
      </c>
      <c r="I887" s="2"/>
    </row>
    <row r="888" spans="1:9" x14ac:dyDescent="0.25">
      <c r="A888" s="103">
        <v>19019</v>
      </c>
      <c r="B888" s="51" t="s">
        <v>1467</v>
      </c>
      <c r="C888" s="52"/>
      <c r="D888" s="82"/>
      <c r="E888" s="78" t="s">
        <v>947</v>
      </c>
      <c r="F888" s="55">
        <v>1</v>
      </c>
      <c r="G888" s="83">
        <v>1.6992</v>
      </c>
      <c r="H888" s="56">
        <f>IF($A888=0,"",ROUND(F888*G888,2))</f>
        <v>1.7</v>
      </c>
      <c r="I888" s="2"/>
    </row>
    <row r="889" spans="1:9" x14ac:dyDescent="0.25">
      <c r="B889" s="38" t="s">
        <v>1682</v>
      </c>
      <c r="C889" s="2"/>
      <c r="D889" s="84"/>
      <c r="E889" s="78" t="s">
        <v>1682</v>
      </c>
      <c r="F889" s="55"/>
      <c r="G889" s="55" t="s">
        <v>1682</v>
      </c>
      <c r="H889" s="56" t="str">
        <f>IF($A889=0,"",ROUND(F889*G889,2))</f>
        <v/>
      </c>
      <c r="I889" s="2"/>
    </row>
    <row r="890" spans="1:9" x14ac:dyDescent="0.25">
      <c r="B890" s="57" t="s">
        <v>1682</v>
      </c>
      <c r="C890" s="58"/>
      <c r="D890" s="85"/>
      <c r="E890" s="86" t="s">
        <v>1682</v>
      </c>
      <c r="F890" s="59"/>
      <c r="G890" s="59" t="s">
        <v>1682</v>
      </c>
      <c r="H890" s="60" t="str">
        <f>IF($A890=0,"",ROUND(F890*G890,2))</f>
        <v/>
      </c>
      <c r="I890" s="2"/>
    </row>
    <row r="891" spans="1:9" ht="15.75" thickBot="1" x14ac:dyDescent="0.3">
      <c r="B891" s="87" t="s">
        <v>1674</v>
      </c>
      <c r="C891" s="88"/>
      <c r="D891" s="89"/>
      <c r="E891" s="89"/>
      <c r="F891" s="89"/>
      <c r="G891" s="89"/>
      <c r="H891" s="90">
        <f>ROUND(SUM(H887:H890),2)</f>
        <v>1.7</v>
      </c>
      <c r="I891" s="2"/>
    </row>
    <row r="892" spans="1:9" ht="15.75" x14ac:dyDescent="0.25">
      <c r="B892" s="2"/>
      <c r="C892" s="2"/>
      <c r="D892" s="91" t="s">
        <v>1673</v>
      </c>
      <c r="E892" s="47"/>
      <c r="F892" s="47"/>
      <c r="G892" s="47"/>
      <c r="H892" s="92">
        <f>ROUND(SUM(H891,H885,H866,H856),2)</f>
        <v>72.650000000000006</v>
      </c>
      <c r="I892" s="2"/>
    </row>
    <row r="893" spans="1:9" ht="15.75" x14ac:dyDescent="0.25">
      <c r="A893" s="103">
        <v>40002</v>
      </c>
      <c r="B893" s="2"/>
      <c r="C893" s="2"/>
      <c r="D893" s="93" t="s">
        <v>1672</v>
      </c>
      <c r="E893" s="65"/>
      <c r="F893" s="65"/>
      <c r="G893" s="94">
        <v>0</v>
      </c>
      <c r="H893" s="95">
        <f>IF($A893=0,"",ROUND(G893*H892,2))</f>
        <v>0</v>
      </c>
      <c r="I893" s="2"/>
    </row>
    <row r="894" spans="1:9" ht="15.75" x14ac:dyDescent="0.25">
      <c r="A894" s="103">
        <v>40003</v>
      </c>
      <c r="B894" s="2"/>
      <c r="C894" s="2"/>
      <c r="D894" s="93" t="s">
        <v>1671</v>
      </c>
      <c r="E894" s="65"/>
      <c r="F894" s="65"/>
      <c r="G894" s="94">
        <v>0</v>
      </c>
      <c r="H894" s="95">
        <f>IF($A894=0,"",ROUND(G894*H892,2))</f>
        <v>0</v>
      </c>
      <c r="I894" s="2"/>
    </row>
    <row r="895" spans="1:9" ht="15.75" x14ac:dyDescent="0.25">
      <c r="B895" s="2"/>
      <c r="C895" s="2"/>
      <c r="D895" s="93" t="s">
        <v>1670</v>
      </c>
      <c r="E895" s="65"/>
      <c r="F895" s="65"/>
      <c r="G895" s="65"/>
      <c r="H895" s="96">
        <f>ROUND(SUM(H892:H894),2)</f>
        <v>72.650000000000006</v>
      </c>
      <c r="I895" s="2"/>
    </row>
    <row r="896" spans="1:9" ht="16.5" thickBot="1" x14ac:dyDescent="0.3">
      <c r="B896" s="25"/>
      <c r="C896" s="2"/>
      <c r="D896" s="97" t="s">
        <v>1650</v>
      </c>
      <c r="E896" s="88"/>
      <c r="F896" s="88"/>
      <c r="G896" s="88"/>
      <c r="H896" s="98">
        <f>ROUND(H895,2)</f>
        <v>72.650000000000006</v>
      </c>
      <c r="I896" s="2"/>
    </row>
    <row r="897" spans="1:15" ht="15.75" x14ac:dyDescent="0.25">
      <c r="B897" s="34" t="s">
        <v>1701</v>
      </c>
      <c r="C897" s="2"/>
      <c r="D897" s="3" t="str">
        <f>$D$1</f>
        <v>ESPOL</v>
      </c>
      <c r="E897" s="2"/>
      <c r="F897" s="2"/>
      <c r="H897" s="2" t="s">
        <v>108</v>
      </c>
      <c r="I897" s="2"/>
      <c r="L897" s="40">
        <f>A901</f>
        <v>2</v>
      </c>
      <c r="M897" s="1" t="str">
        <f>C902</f>
        <v>Cisterna</v>
      </c>
      <c r="N897" s="2" t="str">
        <f>H901</f>
        <v>m3</v>
      </c>
      <c r="O897" s="2">
        <f>H952</f>
        <v>511.99</v>
      </c>
    </row>
    <row r="898" spans="1:15" ht="15.75" x14ac:dyDescent="0.25">
      <c r="B898" s="34" t="s">
        <v>1700</v>
      </c>
      <c r="C898" s="3">
        <f>'1.1'!$C$2</f>
        <v>0</v>
      </c>
      <c r="D898" s="2"/>
      <c r="E898" s="2"/>
      <c r="F898" s="2"/>
      <c r="G898" s="41" t="s">
        <v>1699</v>
      </c>
      <c r="H898" s="42"/>
      <c r="I898" s="2" t="s">
        <v>1698</v>
      </c>
    </row>
    <row r="899" spans="1:15" ht="15.75" x14ac:dyDescent="0.25">
      <c r="B899" s="34"/>
      <c r="C899" s="3">
        <f>'1.1'!$C$3</f>
        <v>0</v>
      </c>
      <c r="D899" s="2"/>
      <c r="E899" s="2"/>
      <c r="F899" s="2"/>
      <c r="G899" s="2"/>
      <c r="H899" s="2"/>
      <c r="I899" s="2"/>
    </row>
    <row r="900" spans="1:15" ht="15.75" x14ac:dyDescent="0.25">
      <c r="B900" s="34" t="s">
        <v>1697</v>
      </c>
      <c r="C900" s="3"/>
      <c r="D900" s="2"/>
      <c r="E900" s="2"/>
      <c r="F900" s="2"/>
      <c r="G900" s="2"/>
      <c r="H900" s="2"/>
      <c r="I900" s="2"/>
    </row>
    <row r="901" spans="1:15" x14ac:dyDescent="0.25">
      <c r="A901" s="104">
        <v>2</v>
      </c>
      <c r="B901" s="2" t="s">
        <v>1586</v>
      </c>
      <c r="C901" s="36" t="s">
        <v>1564</v>
      </c>
      <c r="D901" s="2"/>
      <c r="G901" s="2" t="s">
        <v>1696</v>
      </c>
      <c r="H901" s="3" t="s">
        <v>1521</v>
      </c>
      <c r="I901" s="2"/>
    </row>
    <row r="902" spans="1:15" x14ac:dyDescent="0.25">
      <c r="B902" s="1" t="s">
        <v>1585</v>
      </c>
      <c r="C902" s="36" t="s">
        <v>1840</v>
      </c>
      <c r="D902" s="2"/>
      <c r="E902" s="2"/>
      <c r="F902" s="2"/>
      <c r="G902" s="2"/>
      <c r="H902" s="2"/>
      <c r="I902" s="2"/>
    </row>
    <row r="903" spans="1:15" ht="15.75" thickBot="1" x14ac:dyDescent="0.3">
      <c r="D903" s="2"/>
      <c r="E903" s="2"/>
      <c r="F903" s="2"/>
      <c r="G903" s="2"/>
      <c r="H903" s="2"/>
      <c r="I903" s="2"/>
    </row>
    <row r="904" spans="1:15" ht="15.75" thickBot="1" x14ac:dyDescent="0.3">
      <c r="B904" s="43" t="s">
        <v>1695</v>
      </c>
      <c r="C904" s="44"/>
      <c r="D904" s="44"/>
      <c r="E904" s="44"/>
      <c r="F904" s="44"/>
      <c r="G904" s="44"/>
      <c r="H904" s="45"/>
      <c r="I904" s="2"/>
    </row>
    <row r="905" spans="1:15" ht="25.5" x14ac:dyDescent="0.25">
      <c r="B905" s="46" t="s">
        <v>1409</v>
      </c>
      <c r="C905" s="47"/>
      <c r="D905" s="48" t="s">
        <v>1690</v>
      </c>
      <c r="E905" s="48" t="s">
        <v>1694</v>
      </c>
      <c r="F905" s="48" t="s">
        <v>1693</v>
      </c>
      <c r="G905" s="49" t="s">
        <v>1687</v>
      </c>
      <c r="H905" s="50" t="s">
        <v>1686</v>
      </c>
      <c r="I905" s="2"/>
    </row>
    <row r="906" spans="1:15" x14ac:dyDescent="0.25">
      <c r="A906" s="103">
        <v>19015</v>
      </c>
      <c r="B906" s="51" t="str">
        <f>IF($A906=0,"",VLOOKUP($A906,'BASE EQUIPO'!$A:$D,2))</f>
        <v>HERRAMIENTA MENOR</v>
      </c>
      <c r="C906" s="52"/>
      <c r="D906" s="53">
        <v>1</v>
      </c>
      <c r="E906" s="53">
        <f>IF($A906=0,"",VLOOKUP($A906,'BASE EQUIPO'!$A:$D,4)*H922)-0.06</f>
        <v>4.6032000000000002</v>
      </c>
      <c r="F906" s="53">
        <f t="shared" ref="F906:F911" si="86">IF($A906=0,"",ROUND(D906*E906,2))</f>
        <v>4.5999999999999996</v>
      </c>
      <c r="G906" s="105">
        <v>1</v>
      </c>
      <c r="H906" s="54">
        <f t="shared" ref="H906:H911" si="87">IF($A906=0,"",ROUND(G906*F906,2))</f>
        <v>4.5999999999999996</v>
      </c>
      <c r="I906" s="2"/>
    </row>
    <row r="907" spans="1:15" x14ac:dyDescent="0.25">
      <c r="A907" s="103">
        <v>19003</v>
      </c>
      <c r="B907" s="38" t="str">
        <f>IF($A907=0,"",VLOOKUP($A907,'BASE EQUIPO'!$A:$D,2))</f>
        <v>CONCRETERA</v>
      </c>
      <c r="C907" s="2"/>
      <c r="D907" s="55">
        <v>1</v>
      </c>
      <c r="E907" s="55">
        <f>IF($A907=0,"",VLOOKUP($A907,'BASE EQUIPO'!$A:$D,4))</f>
        <v>3.5</v>
      </c>
      <c r="F907" s="55">
        <f t="shared" si="86"/>
        <v>3.5</v>
      </c>
      <c r="G907" s="106">
        <f>+G916*0.25</f>
        <v>0.2</v>
      </c>
      <c r="H907" s="56">
        <f t="shared" si="87"/>
        <v>0.7</v>
      </c>
      <c r="I907" s="2"/>
    </row>
    <row r="908" spans="1:15" x14ac:dyDescent="0.25">
      <c r="B908" s="38" t="str">
        <f>IF($A908=0,"",VLOOKUP($A908,'BASE EQUIPO'!$A:$D,2))</f>
        <v/>
      </c>
      <c r="C908" s="2"/>
      <c r="D908" s="55"/>
      <c r="E908" s="55" t="str">
        <f>IF($A908=0,"",VLOOKUP($A908,'BASE EQUIPO'!$A:$D,4))</f>
        <v/>
      </c>
      <c r="F908" s="55" t="str">
        <f t="shared" si="86"/>
        <v/>
      </c>
      <c r="G908" s="106"/>
      <c r="H908" s="56" t="str">
        <f t="shared" si="87"/>
        <v/>
      </c>
      <c r="I908" s="2"/>
    </row>
    <row r="909" spans="1:15" x14ac:dyDescent="0.25">
      <c r="B909" s="38" t="str">
        <f>IF($A909=0,"",VLOOKUP($A909,'BASE EQUIPO'!$A:$D,2))</f>
        <v/>
      </c>
      <c r="C909" s="2"/>
      <c r="D909" s="55"/>
      <c r="E909" s="55" t="str">
        <f>IF($A909=0,"",VLOOKUP($A909,'BASE EQUIPO'!$A:$D,4))</f>
        <v/>
      </c>
      <c r="F909" s="55" t="str">
        <f t="shared" si="86"/>
        <v/>
      </c>
      <c r="G909" s="106"/>
      <c r="H909" s="56" t="str">
        <f t="shared" si="87"/>
        <v/>
      </c>
      <c r="I909" s="2"/>
    </row>
    <row r="910" spans="1:15" x14ac:dyDescent="0.25">
      <c r="B910" s="38" t="str">
        <f>IF($A910=0,"",VLOOKUP($A910,'BASE EQUIPO'!$A:$D,2))</f>
        <v/>
      </c>
      <c r="C910" s="2"/>
      <c r="D910" s="55"/>
      <c r="E910" s="55" t="str">
        <f>IF($A910=0,"",VLOOKUP($A910,'BASE EQUIPO'!$A:$D,4))</f>
        <v/>
      </c>
      <c r="F910" s="55" t="str">
        <f t="shared" si="86"/>
        <v/>
      </c>
      <c r="G910" s="106"/>
      <c r="H910" s="56" t="str">
        <f t="shared" si="87"/>
        <v/>
      </c>
      <c r="I910" s="2"/>
    </row>
    <row r="911" spans="1:15" x14ac:dyDescent="0.25">
      <c r="B911" s="57" t="str">
        <f>IF($A911=0,"",VLOOKUP($A911,'BASE EQUIPO'!$A:$D,2))</f>
        <v/>
      </c>
      <c r="C911" s="58"/>
      <c r="D911" s="59"/>
      <c r="E911" s="59" t="str">
        <f>IF($A911=0,"",VLOOKUP($A911,'BASE EQUIPO'!$A:$D,4))</f>
        <v/>
      </c>
      <c r="F911" s="59" t="str">
        <f t="shared" si="86"/>
        <v/>
      </c>
      <c r="G911" s="107"/>
      <c r="H911" s="60" t="str">
        <f t="shared" si="87"/>
        <v/>
      </c>
      <c r="I911" s="2"/>
    </row>
    <row r="912" spans="1:15" x14ac:dyDescent="0.25">
      <c r="B912" s="57" t="s">
        <v>1692</v>
      </c>
      <c r="C912" s="58"/>
      <c r="D912" s="61"/>
      <c r="E912" s="61"/>
      <c r="F912" s="61"/>
      <c r="G912" s="62"/>
      <c r="H912" s="60">
        <f>ROUND(SUM(H905:H911),2)</f>
        <v>5.3</v>
      </c>
      <c r="I912" s="2"/>
    </row>
    <row r="913" spans="1:16" x14ac:dyDescent="0.25">
      <c r="B913" s="38" t="s">
        <v>1503</v>
      </c>
      <c r="C913" s="2"/>
      <c r="D913" s="3"/>
      <c r="E913" s="3"/>
      <c r="F913" s="3"/>
      <c r="G913" s="63"/>
      <c r="H913" s="56"/>
      <c r="I913" s="2"/>
    </row>
    <row r="914" spans="1:16" ht="25.5" x14ac:dyDescent="0.25">
      <c r="B914" s="64" t="s">
        <v>1691</v>
      </c>
      <c r="C914" s="65"/>
      <c r="D914" s="66" t="s">
        <v>1690</v>
      </c>
      <c r="E914" s="66" t="s">
        <v>1689</v>
      </c>
      <c r="F914" s="66" t="s">
        <v>1688</v>
      </c>
      <c r="G914" s="67" t="s">
        <v>1687</v>
      </c>
      <c r="H914" s="68" t="s">
        <v>1686</v>
      </c>
      <c r="I914" s="2"/>
    </row>
    <row r="915" spans="1:16" x14ac:dyDescent="0.25">
      <c r="A915" s="103">
        <v>20001</v>
      </c>
      <c r="B915" s="69" t="str">
        <f>IF($A915=0,"",VLOOKUP($A915,'BASE M-OBRA'!$A:$D,2))</f>
        <v>MAESTRO</v>
      </c>
      <c r="C915" s="2"/>
      <c r="D915" s="108">
        <v>1</v>
      </c>
      <c r="E915" s="70">
        <f>IF($A915=0,"",VLOOKUP($A915,'BASE M-OBRA'!$A:$D,4))</f>
        <v>3.02</v>
      </c>
      <c r="F915" s="55">
        <f t="shared" ref="F915:F921" si="88">IF($A915=0,"",ROUND(D915*E915,2))</f>
        <v>3.02</v>
      </c>
      <c r="G915" s="106">
        <f>IF($A915=0,"",ROUND(H915/F915,2))</f>
        <v>8.58</v>
      </c>
      <c r="H915" s="56">
        <f>IF($A915=0,"",ROUND(SUM(H916:H921)*'BASE M-OBRA'!$D$23,2))</f>
        <v>25.91</v>
      </c>
      <c r="I915" s="2"/>
    </row>
    <row r="916" spans="1:16" x14ac:dyDescent="0.25">
      <c r="A916" s="103">
        <v>20002</v>
      </c>
      <c r="B916" s="69" t="str">
        <f>IF($A916=0,"",VLOOKUP($A916,'BASE M-OBRA'!$A:$D,2))</f>
        <v>PEON</v>
      </c>
      <c r="C916" s="2"/>
      <c r="D916" s="108">
        <v>8</v>
      </c>
      <c r="E916" s="70">
        <f>IF($A916=0,"",VLOOKUP($A916,'BASE M-OBRA'!$A:$D,4))</f>
        <v>2.79</v>
      </c>
      <c r="F916" s="55">
        <f t="shared" si="88"/>
        <v>22.32</v>
      </c>
      <c r="G916" s="106">
        <v>0.8</v>
      </c>
      <c r="H916" s="56">
        <f t="shared" ref="H916:H921" si="89">IF($A916=0,"",ROUND(G916*F916,2))</f>
        <v>17.86</v>
      </c>
      <c r="I916" s="2"/>
    </row>
    <row r="917" spans="1:16" x14ac:dyDescent="0.25">
      <c r="A917" s="103">
        <v>20003</v>
      </c>
      <c r="B917" s="69" t="str">
        <f>IF($A917=0,"",VLOOKUP($A917,'BASE M-OBRA'!$A:$D,2))</f>
        <v>ALBAÑIL</v>
      </c>
      <c r="C917" s="2"/>
      <c r="D917" s="108">
        <v>2</v>
      </c>
      <c r="E917" s="70">
        <f>IF($A917=0,"",VLOOKUP($A917,'BASE M-OBRA'!$A:$D,4))</f>
        <v>2.82</v>
      </c>
      <c r="F917" s="55">
        <f t="shared" si="88"/>
        <v>5.64</v>
      </c>
      <c r="G917" s="106">
        <f>+G916</f>
        <v>0.8</v>
      </c>
      <c r="H917" s="56">
        <f t="shared" si="89"/>
        <v>4.51</v>
      </c>
      <c r="I917" s="2"/>
    </row>
    <row r="918" spans="1:16" x14ac:dyDescent="0.25">
      <c r="A918" s="103">
        <v>20004</v>
      </c>
      <c r="B918" s="71" t="str">
        <f>IF($A918=0,"",VLOOKUP($A918,'BASE M-OBRA'!$A:$D,2))</f>
        <v>CARPINTERO</v>
      </c>
      <c r="C918" s="2"/>
      <c r="D918" s="108">
        <v>2</v>
      </c>
      <c r="E918" s="70">
        <f>IF($A918=0,"",VLOOKUP($A918,'BASE M-OBRA'!$A:$D,4))</f>
        <v>2.82</v>
      </c>
      <c r="F918" s="55">
        <f t="shared" si="88"/>
        <v>5.64</v>
      </c>
      <c r="G918" s="106">
        <v>9</v>
      </c>
      <c r="H918" s="56">
        <f t="shared" si="89"/>
        <v>50.76</v>
      </c>
      <c r="I918" s="2"/>
      <c r="K918" s="1">
        <f>+K925*6.8</f>
        <v>90.666666666666671</v>
      </c>
    </row>
    <row r="919" spans="1:16" x14ac:dyDescent="0.25">
      <c r="A919" s="103">
        <v>20005</v>
      </c>
      <c r="B919" s="72" t="str">
        <f>IF($A919=0,"",VLOOKUP($A919,'BASE M-OBRA'!$A:$D,2))</f>
        <v>FIERRERO</v>
      </c>
      <c r="C919" s="2"/>
      <c r="D919" s="108">
        <v>2</v>
      </c>
      <c r="E919" s="70">
        <f>IF($A919=0,"",VLOOKUP($A919,'BASE M-OBRA'!$A:$D,4))</f>
        <v>2.82</v>
      </c>
      <c r="F919" s="55">
        <f t="shared" si="88"/>
        <v>5.64</v>
      </c>
      <c r="G919" s="106">
        <v>10</v>
      </c>
      <c r="H919" s="56">
        <f t="shared" si="89"/>
        <v>56.4</v>
      </c>
      <c r="I919" s="2"/>
      <c r="K919" s="1">
        <f>F934*0.3</f>
        <v>54</v>
      </c>
    </row>
    <row r="920" spans="1:16" x14ac:dyDescent="0.25">
      <c r="B920" s="38" t="str">
        <f>IF($A920=0,"",VLOOKUP($A920,'BASE M-OBRA'!$A:$D,2))</f>
        <v/>
      </c>
      <c r="C920" s="2"/>
      <c r="D920" s="55"/>
      <c r="E920" s="55" t="str">
        <f>IF($A920=0,"",VLOOKUP($A920,'BASE M-OBRA'!$A:$D,4))</f>
        <v/>
      </c>
      <c r="F920" s="55" t="str">
        <f t="shared" si="88"/>
        <v/>
      </c>
      <c r="G920" s="106"/>
      <c r="H920" s="56" t="str">
        <f t="shared" si="89"/>
        <v/>
      </c>
      <c r="I920" s="2"/>
    </row>
    <row r="921" spans="1:16" x14ac:dyDescent="0.25">
      <c r="B921" s="57" t="str">
        <f>IF($A921=0,"",VLOOKUP($A921,'BASE M-OBRA'!$A:$D,2))</f>
        <v/>
      </c>
      <c r="C921" s="58"/>
      <c r="D921" s="59"/>
      <c r="E921" s="59" t="str">
        <f>IF($A921=0,"",VLOOKUP($A921,'BASE M-OBRA'!$A:$D,4))</f>
        <v/>
      </c>
      <c r="F921" s="59" t="str">
        <f t="shared" si="88"/>
        <v/>
      </c>
      <c r="G921" s="107"/>
      <c r="H921" s="60" t="str">
        <f t="shared" si="89"/>
        <v/>
      </c>
      <c r="I921" s="2"/>
    </row>
    <row r="922" spans="1:16" x14ac:dyDescent="0.25">
      <c r="B922" s="73" t="s">
        <v>1685</v>
      </c>
      <c r="C922" s="65"/>
      <c r="D922" s="74"/>
      <c r="E922" s="74"/>
      <c r="F922" s="74"/>
      <c r="G922" s="74"/>
      <c r="H922" s="75">
        <f>ROUND(SUM(H914:H921),2)</f>
        <v>155.44</v>
      </c>
      <c r="I922" s="2"/>
    </row>
    <row r="923" spans="1:16" x14ac:dyDescent="0.25">
      <c r="B923" s="38" t="s">
        <v>1684</v>
      </c>
      <c r="C923" s="2"/>
      <c r="D923" s="3"/>
      <c r="E923" s="3"/>
      <c r="F923" s="3"/>
      <c r="G923" s="3"/>
      <c r="H923" s="56"/>
      <c r="I923" s="2"/>
    </row>
    <row r="924" spans="1:16" ht="25.5" x14ac:dyDescent="0.25">
      <c r="B924" s="64" t="s">
        <v>1409</v>
      </c>
      <c r="C924" s="65"/>
      <c r="D924" s="76"/>
      <c r="E924" s="66" t="s">
        <v>1408</v>
      </c>
      <c r="F924" s="66" t="s">
        <v>1679</v>
      </c>
      <c r="G924" s="66" t="s">
        <v>1683</v>
      </c>
      <c r="H924" s="68" t="s">
        <v>1675</v>
      </c>
      <c r="I924" s="2"/>
    </row>
    <row r="925" spans="1:16" x14ac:dyDescent="0.25">
      <c r="A925" s="103">
        <v>11008</v>
      </c>
      <c r="B925" s="109" t="str">
        <f>IF($A925=0,"",VLOOKUP($A925,'BASE MATERIAL'!$A:$D,2))</f>
        <v>TABLA</v>
      </c>
      <c r="C925" s="2"/>
      <c r="D925" s="77"/>
      <c r="E925" s="78" t="str">
        <f>IF($A925=0,"",VLOOKUP($A925,'BASE MATERIAL'!$A:$D,3))</f>
        <v>U</v>
      </c>
      <c r="F925" s="55">
        <f>ROUND(13*5/(4*3),2)</f>
        <v>5.42</v>
      </c>
      <c r="G925" s="55">
        <f>IF($A925=0,"",VLOOKUP($A925,'BASE MATERIAL'!$A:$D,4))</f>
        <v>3.5</v>
      </c>
      <c r="H925" s="56">
        <f t="shared" ref="H925:H939" si="90">IF($A925=0,"",ROUND(F925*G925,2))</f>
        <v>18.97</v>
      </c>
      <c r="I925" s="2"/>
      <c r="K925" s="1">
        <f>2/0.15</f>
        <v>13.333333333333334</v>
      </c>
      <c r="L925" s="2"/>
      <c r="M925" s="2"/>
      <c r="N925" s="39"/>
      <c r="O925" s="2"/>
      <c r="P925" s="2"/>
    </row>
    <row r="926" spans="1:16" x14ac:dyDescent="0.25">
      <c r="A926" s="103">
        <v>11009</v>
      </c>
      <c r="B926" s="38" t="str">
        <f>IF($A926=0,"",VLOOKUP($A926,'BASE MATERIAL'!$A:$D,2))</f>
        <v>CUARTON</v>
      </c>
      <c r="C926" s="2"/>
      <c r="D926" s="77"/>
      <c r="E926" s="78" t="str">
        <f>IF($A926=0,"",VLOOKUP($A926,'BASE MATERIAL'!$A:$D,3))</f>
        <v>U</v>
      </c>
      <c r="F926" s="55">
        <f>ROUND(13*8/(4*3),2)</f>
        <v>8.67</v>
      </c>
      <c r="G926" s="55">
        <f>IF($A926=0,"",VLOOKUP($A926,'BASE MATERIAL'!$A:$D,4))</f>
        <v>2.42</v>
      </c>
      <c r="H926" s="56">
        <f t="shared" si="90"/>
        <v>20.98</v>
      </c>
      <c r="I926" s="2"/>
      <c r="L926" s="2"/>
      <c r="M926" s="2"/>
      <c r="N926" s="39"/>
      <c r="O926" s="2"/>
      <c r="P926" s="2"/>
    </row>
    <row r="927" spans="1:16" x14ac:dyDescent="0.25">
      <c r="A927" s="103">
        <v>11010</v>
      </c>
      <c r="B927" s="38" t="str">
        <f>IF($A927=0,"",VLOOKUP($A927,'BASE MATERIAL'!$A:$D,2))</f>
        <v>TIRA</v>
      </c>
      <c r="C927" s="2"/>
      <c r="D927" s="77"/>
      <c r="E927" s="78" t="str">
        <f>IF($A927=0,"",VLOOKUP($A927,'BASE MATERIAL'!$A:$D,3))</f>
        <v>U</v>
      </c>
      <c r="F927" s="55">
        <f>ROUND(13*4/(4*3),2)</f>
        <v>4.33</v>
      </c>
      <c r="G927" s="55">
        <f>IF($A927=0,"",VLOOKUP($A927,'BASE MATERIAL'!$A:$D,4))</f>
        <v>1.5</v>
      </c>
      <c r="H927" s="56">
        <f t="shared" si="90"/>
        <v>6.5</v>
      </c>
      <c r="I927" s="2"/>
      <c r="L927" s="2"/>
      <c r="M927" s="2"/>
      <c r="N927" s="39"/>
      <c r="O927" s="2"/>
      <c r="P927" s="2"/>
    </row>
    <row r="928" spans="1:16" x14ac:dyDescent="0.25">
      <c r="A928" s="103">
        <v>11007</v>
      </c>
      <c r="B928" s="38" t="str">
        <f>IF($A928=0,"",VLOOKUP($A928,'BASE MATERIAL'!$A:$D,2))</f>
        <v>CLAVO 2 1/2"</v>
      </c>
      <c r="C928" s="2"/>
      <c r="D928" s="77"/>
      <c r="E928" s="78" t="str">
        <f>IF($A928=0,"",VLOOKUP($A928,'BASE MATERIAL'!$A:$D,3))</f>
        <v>KG</v>
      </c>
      <c r="F928" s="55">
        <f>ROUND(13*56/(178*1.5),2)</f>
        <v>2.73</v>
      </c>
      <c r="G928" s="55">
        <f>IF($A928=0,"",VLOOKUP($A928,'BASE MATERIAL'!$A:$D,4))</f>
        <v>2.6520000000000001</v>
      </c>
      <c r="H928" s="56">
        <f t="shared" si="90"/>
        <v>7.24</v>
      </c>
      <c r="I928" s="2"/>
      <c r="L928" s="2"/>
      <c r="M928" s="2"/>
      <c r="N928" s="39"/>
      <c r="O928" s="2"/>
      <c r="P928" s="2"/>
    </row>
    <row r="929" spans="1:16" x14ac:dyDescent="0.25">
      <c r="A929" s="103">
        <v>4001</v>
      </c>
      <c r="B929" s="38" t="str">
        <f>IF($A929=0,"",VLOOKUP($A929,'BASE MATERIAL'!$A:$D,2))</f>
        <v>CEMENTO</v>
      </c>
      <c r="C929" s="2"/>
      <c r="D929" s="77"/>
      <c r="E929" s="78" t="str">
        <f>IF($A929=0,"",VLOOKUP($A929,'BASE MATERIAL'!$A:$D,3))</f>
        <v>SACO</v>
      </c>
      <c r="F929" s="55">
        <f>7*1.03</f>
        <v>7.21</v>
      </c>
      <c r="G929" s="55">
        <f>IF($A929=0,"",VLOOKUP($A929,'BASE MATERIAL'!$A:$D,4))</f>
        <v>7.09</v>
      </c>
      <c r="H929" s="56">
        <f t="shared" si="90"/>
        <v>51.12</v>
      </c>
      <c r="I929" s="2"/>
      <c r="L929" s="2"/>
      <c r="M929" s="2"/>
      <c r="N929" s="39"/>
      <c r="O929" s="2"/>
      <c r="P929" s="2"/>
    </row>
    <row r="930" spans="1:16" x14ac:dyDescent="0.25">
      <c r="A930" s="103">
        <v>5004</v>
      </c>
      <c r="B930" s="38" t="str">
        <f>IF($A930=0,"",VLOOKUP($A930,'BASE MATERIAL'!$A:$D,2))</f>
        <v>ARENA</v>
      </c>
      <c r="C930" s="2"/>
      <c r="D930" s="77"/>
      <c r="E930" s="78" t="str">
        <f>IF($A930=0,"",VLOOKUP($A930,'BASE MATERIAL'!$A:$D,3))</f>
        <v>M3</v>
      </c>
      <c r="F930" s="55">
        <f>ROUND(F929*0.032*2,2)</f>
        <v>0.46</v>
      </c>
      <c r="G930" s="55">
        <f>IF($A930=0,"",VLOOKUP($A930,'BASE MATERIAL'!$A:$D,4))</f>
        <v>12.276249999999999</v>
      </c>
      <c r="H930" s="56">
        <f t="shared" si="90"/>
        <v>5.65</v>
      </c>
      <c r="I930" s="2"/>
    </row>
    <row r="931" spans="1:16" x14ac:dyDescent="0.25">
      <c r="A931" s="103">
        <v>5002</v>
      </c>
      <c r="B931" s="38" t="str">
        <f>IF($A931=0,"",VLOOKUP($A931,'BASE MATERIAL'!$A:$D,2))</f>
        <v>PIEDRA 3-4</v>
      </c>
      <c r="C931" s="2"/>
      <c r="D931" s="77"/>
      <c r="E931" s="78" t="str">
        <f>IF($A931=0,"",VLOOKUP($A931,'BASE MATERIAL'!$A:$D,3))</f>
        <v>M3</v>
      </c>
      <c r="F931" s="55">
        <f>ROUND(F929*0.032*3,2)</f>
        <v>0.69</v>
      </c>
      <c r="G931" s="55">
        <f>IF($A931=0,"",VLOOKUP($A931,'BASE MATERIAL'!$A:$D,4))</f>
        <v>13.75</v>
      </c>
      <c r="H931" s="56">
        <f t="shared" si="90"/>
        <v>9.49</v>
      </c>
      <c r="I931" s="2"/>
      <c r="L931" s="2"/>
      <c r="M931" s="2"/>
      <c r="N931" s="39"/>
      <c r="O931" s="2"/>
      <c r="P931" s="2"/>
    </row>
    <row r="932" spans="1:16" x14ac:dyDescent="0.25">
      <c r="A932" s="103">
        <v>5005</v>
      </c>
      <c r="B932" s="38" t="str">
        <f>IF($A932=0,"",VLOOKUP($A932,'BASE MATERIAL'!$A:$D,2))</f>
        <v>AGUA</v>
      </c>
      <c r="C932" s="2"/>
      <c r="D932" s="77"/>
      <c r="E932" s="78" t="str">
        <f>IF($A932=0,"",VLOOKUP($A932,'BASE MATERIAL'!$A:$D,3))</f>
        <v>LT</v>
      </c>
      <c r="F932" s="55">
        <f>26*F929</f>
        <v>187.46</v>
      </c>
      <c r="G932" s="112">
        <f>IF($A932=0,"",VLOOKUP($A932,'BASE MATERIAL'!$A:$D,4))</f>
        <v>2E-3</v>
      </c>
      <c r="H932" s="56">
        <f t="shared" si="90"/>
        <v>0.37</v>
      </c>
      <c r="I932" s="2"/>
      <c r="L932" s="2"/>
      <c r="M932" s="2"/>
      <c r="N932" s="39"/>
      <c r="O932" s="2"/>
      <c r="P932" s="2"/>
    </row>
    <row r="933" spans="1:16" x14ac:dyDescent="0.25">
      <c r="B933" s="38" t="str">
        <f>IF($A933=0,"",VLOOKUP($A933,'BASE MATERIAL'!$A:$D,2))</f>
        <v/>
      </c>
      <c r="C933" s="2"/>
      <c r="D933" s="77"/>
      <c r="E933" s="78" t="str">
        <f>IF($A933=0,"",VLOOKUP($A933,'BASE MATERIAL'!$A:$D,3))</f>
        <v/>
      </c>
      <c r="F933" s="55"/>
      <c r="G933" s="55" t="str">
        <f>IF($A933=0,"",VLOOKUP($A933,'BASE MATERIAL'!$A:$D,4))</f>
        <v/>
      </c>
      <c r="H933" s="56" t="str">
        <f t="shared" si="90"/>
        <v/>
      </c>
      <c r="I933" s="2"/>
      <c r="L933" s="2"/>
      <c r="M933" s="2"/>
      <c r="N933" s="39"/>
      <c r="O933" s="2"/>
      <c r="P933" s="2"/>
    </row>
    <row r="934" spans="1:16" x14ac:dyDescent="0.25">
      <c r="A934" s="103">
        <v>1001</v>
      </c>
      <c r="B934" s="38" t="str">
        <f>IF($A934=0,"",VLOOKUP($A934,'BASE MATERIAL'!$A:$D,2))</f>
        <v>HIERRO</v>
      </c>
      <c r="C934" s="2"/>
      <c r="D934" s="77"/>
      <c r="E934" s="78" t="str">
        <f>IF($A934=0,"",VLOOKUP($A934,'BASE MATERIAL'!$A:$D,3))</f>
        <v>KG</v>
      </c>
      <c r="F934" s="55">
        <v>180</v>
      </c>
      <c r="G934" s="55">
        <f>IF($A934=0,"",VLOOKUP($A934,'BASE MATERIAL'!$A:$D,4))</f>
        <v>1.17</v>
      </c>
      <c r="H934" s="56">
        <f t="shared" si="90"/>
        <v>210.6</v>
      </c>
      <c r="I934" s="2"/>
      <c r="K934" s="1">
        <f>0.888*11*2</f>
        <v>19.536000000000001</v>
      </c>
      <c r="L934" s="2"/>
      <c r="M934" s="2"/>
      <c r="N934" s="39"/>
      <c r="O934" s="2"/>
      <c r="P934" s="2"/>
    </row>
    <row r="935" spans="1:16" x14ac:dyDescent="0.25">
      <c r="A935" s="103">
        <v>11002</v>
      </c>
      <c r="B935" s="38" t="str">
        <f>IF($A935=0,"",VLOOKUP($A935,'BASE MATERIAL'!$A:$D,2))</f>
        <v>ALAMBRE #18 RECOCIDO</v>
      </c>
      <c r="C935" s="2"/>
      <c r="D935" s="77"/>
      <c r="E935" s="78" t="str">
        <f>IF($A935=0,"",VLOOKUP($A935,'BASE MATERIAL'!$A:$D,3))</f>
        <v>KG</v>
      </c>
      <c r="F935" s="55">
        <f>+F934*0.03</f>
        <v>5.3999999999999995</v>
      </c>
      <c r="G935" s="55">
        <f>IF($A935=0,"",VLOOKUP($A935,'BASE MATERIAL'!$A:$D,4))</f>
        <v>1.87</v>
      </c>
      <c r="H935" s="56">
        <f t="shared" si="90"/>
        <v>10.1</v>
      </c>
      <c r="I935" s="2"/>
      <c r="K935" s="1">
        <f>0.394*11*2</f>
        <v>8.668000000000001</v>
      </c>
      <c r="L935" s="2"/>
      <c r="M935" s="2"/>
      <c r="N935" s="39"/>
      <c r="O935" s="2"/>
      <c r="P935" s="2"/>
    </row>
    <row r="936" spans="1:16" x14ac:dyDescent="0.25">
      <c r="B936" s="38" t="str">
        <f>IF($A936=0,"",VLOOKUP($A936,'BASE MATERIAL'!$A:$D,2))</f>
        <v/>
      </c>
      <c r="C936" s="2"/>
      <c r="D936" s="77"/>
      <c r="E936" s="78" t="str">
        <f>IF($A936=0,"",VLOOKUP($A936,'BASE MATERIAL'!$A:$D,3))</f>
        <v/>
      </c>
      <c r="F936" s="55"/>
      <c r="G936" s="55" t="str">
        <f>IF($A936=0,"",VLOOKUP($A936,'BASE MATERIAL'!$A:$D,4))</f>
        <v/>
      </c>
      <c r="H936" s="56" t="str">
        <f t="shared" si="90"/>
        <v/>
      </c>
      <c r="I936" s="2"/>
      <c r="K936" s="1">
        <f>SUM(K934:K935)</f>
        <v>28.204000000000001</v>
      </c>
    </row>
    <row r="937" spans="1:16" x14ac:dyDescent="0.25">
      <c r="B937" s="38" t="str">
        <f>IF($A937=0,"",VLOOKUP($A937,'BASE MATERIAL'!$A:$D,2))</f>
        <v/>
      </c>
      <c r="C937" s="2"/>
      <c r="D937" s="77"/>
      <c r="E937" s="78" t="str">
        <f>IF($A937=0,"",VLOOKUP($A937,'BASE MATERIAL'!$A:$D,3))</f>
        <v/>
      </c>
      <c r="F937" s="55"/>
      <c r="G937" s="55" t="str">
        <f>IF($A937=0,"",VLOOKUP($A937,'BASE MATERIAL'!$A:$D,4))</f>
        <v/>
      </c>
      <c r="H937" s="56" t="str">
        <f t="shared" si="90"/>
        <v/>
      </c>
      <c r="I937" s="2"/>
      <c r="K937" s="1">
        <f>+K936/0.15</f>
        <v>188.02666666666667</v>
      </c>
    </row>
    <row r="938" spans="1:16" x14ac:dyDescent="0.25">
      <c r="B938" s="38" t="str">
        <f>IF($A938=0,"",VLOOKUP($A938,'BASE MATERIAL'!$A:$D,2))</f>
        <v/>
      </c>
      <c r="C938" s="2"/>
      <c r="D938" s="77"/>
      <c r="E938" s="78" t="str">
        <f>IF($A938=0,"",VLOOKUP($A938,'BASE MATERIAL'!$A:$D,3))</f>
        <v/>
      </c>
      <c r="F938" s="55"/>
      <c r="G938" s="55" t="str">
        <f>IF($A938=0,"",VLOOKUP($A938,'BASE MATERIAL'!$A:$D,4))</f>
        <v/>
      </c>
      <c r="H938" s="56" t="str">
        <f t="shared" si="90"/>
        <v/>
      </c>
      <c r="I938" s="2"/>
    </row>
    <row r="939" spans="1:16" x14ac:dyDescent="0.25">
      <c r="B939" s="38" t="str">
        <f>IF($A939=0,"",VLOOKUP($A939,'BASE MATERIAL'!$A:$D,2))</f>
        <v/>
      </c>
      <c r="C939" s="2"/>
      <c r="D939" s="77"/>
      <c r="E939" s="78" t="str">
        <f>IF($A939=0,"",VLOOKUP($A939,'BASE MATERIAL'!$A:$D,3))</f>
        <v/>
      </c>
      <c r="F939" s="55"/>
      <c r="G939" s="55" t="str">
        <f>IF($A939=0,"",VLOOKUP($A939,'BASE MATERIAL'!$A:$D,4))</f>
        <v/>
      </c>
      <c r="H939" s="56" t="str">
        <f t="shared" si="90"/>
        <v/>
      </c>
      <c r="I939" s="2"/>
    </row>
    <row r="940" spans="1:16" x14ac:dyDescent="0.25">
      <c r="B940" s="38" t="str">
        <f>IF($A940=0,"",VLOOKUP($A940,'BASE MATERIAL'!$A:$D,2))</f>
        <v/>
      </c>
      <c r="C940" s="2"/>
      <c r="D940" s="81" t="s">
        <v>1682</v>
      </c>
      <c r="E940" s="55" t="str">
        <f>IF($A940=0,"",VLOOKUP($A940,'BASE MATERIAL'!$A:$D,3))</f>
        <v/>
      </c>
      <c r="F940" s="55" t="s">
        <v>1682</v>
      </c>
      <c r="G940" s="55" t="str">
        <f>IF($A940=0,"",VLOOKUP($A940,'BASE MATERIAL'!$A:$D,4))</f>
        <v/>
      </c>
      <c r="H940" s="56" t="str">
        <f>IF($A940=0,"",ROUND(E940*F940,2))</f>
        <v/>
      </c>
      <c r="I940" s="2"/>
    </row>
    <row r="941" spans="1:16" x14ac:dyDescent="0.25">
      <c r="B941" s="73" t="s">
        <v>1681</v>
      </c>
      <c r="C941" s="65"/>
      <c r="D941" s="74"/>
      <c r="E941" s="74"/>
      <c r="F941" s="74"/>
      <c r="G941" s="74"/>
      <c r="H941" s="75">
        <f>ROUND(SUM(H924:H940),2)</f>
        <v>341.02</v>
      </c>
      <c r="I941" s="2"/>
    </row>
    <row r="942" spans="1:16" x14ac:dyDescent="0.25">
      <c r="B942" s="38" t="s">
        <v>1680</v>
      </c>
      <c r="C942" s="2"/>
      <c r="D942" s="3"/>
      <c r="E942" s="3"/>
      <c r="F942" s="3"/>
      <c r="G942" s="3"/>
      <c r="H942" s="56"/>
      <c r="I942" s="2"/>
    </row>
    <row r="943" spans="1:16" ht="25.5" x14ac:dyDescent="0.25">
      <c r="B943" s="64" t="s">
        <v>1409</v>
      </c>
      <c r="C943" s="65"/>
      <c r="D943" s="76"/>
      <c r="E943" s="66" t="s">
        <v>1408</v>
      </c>
      <c r="F943" s="66" t="s">
        <v>1679</v>
      </c>
      <c r="G943" s="66" t="s">
        <v>1676</v>
      </c>
      <c r="H943" s="68" t="s">
        <v>1675</v>
      </c>
      <c r="I943" s="2"/>
    </row>
    <row r="944" spans="1:16" x14ac:dyDescent="0.25">
      <c r="A944" s="103">
        <v>19019</v>
      </c>
      <c r="B944" s="51" t="str">
        <f>IF($A944=0,"",VLOOKUP($A944,'BASE EQUIPO'!$A:$D,2))</f>
        <v>TRANSPORTE DE MATERIAL</v>
      </c>
      <c r="C944" s="52"/>
      <c r="D944" s="82"/>
      <c r="E944" s="78" t="str">
        <f>IF($A944=0,"",VLOOKUP($A944,'BASE EQUIPO'!$A:$D,3))</f>
        <v>GLOBAL</v>
      </c>
      <c r="F944" s="55">
        <v>1</v>
      </c>
      <c r="G944" s="83">
        <f>IF($A944=0,"",VLOOKUP($A944,'BASE EQUIPO'!$A:$D,4)*H941)</f>
        <v>10.230599999999999</v>
      </c>
      <c r="H944" s="56">
        <f>IF($A944=0,"",ROUND(F944*G944,2))</f>
        <v>10.23</v>
      </c>
      <c r="I944" s="2"/>
    </row>
    <row r="945" spans="1:15" x14ac:dyDescent="0.25">
      <c r="B945" s="38" t="str">
        <f>IF($A945=0,"",VLOOKUP($A945,'BASE EQUIPO'!$A:$D,2))</f>
        <v/>
      </c>
      <c r="C945" s="2"/>
      <c r="D945" s="84"/>
      <c r="E945" s="78" t="str">
        <f>IF($A945=0,"",VLOOKUP($A945,'BASE EQUIPO'!$A:$D,3))</f>
        <v/>
      </c>
      <c r="F945" s="55"/>
      <c r="G945" s="55" t="str">
        <f>IF($A945=0,"",VLOOKUP($A945,'BASE EQUIPO'!$A:$D,4)*H942)</f>
        <v/>
      </c>
      <c r="H945" s="56" t="str">
        <f>IF($A945=0,"",ROUND(F945*G945,2))</f>
        <v/>
      </c>
      <c r="I945" s="2"/>
    </row>
    <row r="946" spans="1:15" x14ac:dyDescent="0.25">
      <c r="B946" s="57" t="str">
        <f>IF($A946=0,"",VLOOKUP($A946,'BASE EQUIPO'!$A:$D,2))</f>
        <v/>
      </c>
      <c r="C946" s="58"/>
      <c r="D946" s="85"/>
      <c r="E946" s="86" t="str">
        <f>IF($A946=0,"",VLOOKUP($A946,'BASE EQUIPO'!$A:$D,3))</f>
        <v/>
      </c>
      <c r="F946" s="59"/>
      <c r="G946" s="59" t="str">
        <f>IF($A946=0,"",VLOOKUP($A946,'BASE EQUIPO'!$A:$D,4)*H943)</f>
        <v/>
      </c>
      <c r="H946" s="60" t="str">
        <f>IF($A946=0,"",ROUND(F946*G946,2))</f>
        <v/>
      </c>
      <c r="I946" s="2"/>
    </row>
    <row r="947" spans="1:15" ht="15.75" thickBot="1" x14ac:dyDescent="0.3">
      <c r="B947" s="87" t="s">
        <v>1674</v>
      </c>
      <c r="C947" s="88"/>
      <c r="D947" s="89"/>
      <c r="E947" s="89"/>
      <c r="F947" s="89"/>
      <c r="G947" s="89"/>
      <c r="H947" s="90">
        <f>ROUND(SUM(H943:H946),2)</f>
        <v>10.23</v>
      </c>
      <c r="I947" s="2"/>
    </row>
    <row r="948" spans="1:15" ht="15.75" x14ac:dyDescent="0.25">
      <c r="B948" s="2"/>
      <c r="C948" s="2"/>
      <c r="D948" s="91" t="s">
        <v>1673</v>
      </c>
      <c r="E948" s="47"/>
      <c r="F948" s="47"/>
      <c r="G948" s="47"/>
      <c r="H948" s="92">
        <f>ROUND(SUM(H947,H941,H922,H912),2)</f>
        <v>511.99</v>
      </c>
      <c r="I948" s="2"/>
    </row>
    <row r="949" spans="1:15" ht="15.75" x14ac:dyDescent="0.25">
      <c r="A949" s="103">
        <v>40002</v>
      </c>
      <c r="B949" s="2"/>
      <c r="C949" s="2"/>
      <c r="D949" s="93" t="s">
        <v>1672</v>
      </c>
      <c r="E949" s="65"/>
      <c r="F949" s="65"/>
      <c r="G949" s="94">
        <f>IF($A949=0,"",VLOOKUP($A949,'BASE MATERIAL'!$M:$P,4))</f>
        <v>0</v>
      </c>
      <c r="H949" s="95">
        <f>IF($A949=0,"",ROUND(G949*H948,2))</f>
        <v>0</v>
      </c>
      <c r="I949" s="2"/>
    </row>
    <row r="950" spans="1:15" ht="15.75" x14ac:dyDescent="0.25">
      <c r="A950" s="103">
        <v>40003</v>
      </c>
      <c r="B950" s="2"/>
      <c r="C950" s="2"/>
      <c r="D950" s="93" t="s">
        <v>1671</v>
      </c>
      <c r="E950" s="65"/>
      <c r="F950" s="65"/>
      <c r="G950" s="94">
        <f>IF($A950=0,"",VLOOKUP($A950,'BASE MATERIAL'!$M:$P,4))</f>
        <v>0</v>
      </c>
      <c r="H950" s="95">
        <f>IF($A950=0,"",ROUND(G950*H948,2))</f>
        <v>0</v>
      </c>
      <c r="I950" s="2"/>
    </row>
    <row r="951" spans="1:15" ht="15.75" x14ac:dyDescent="0.25">
      <c r="B951" s="2"/>
      <c r="C951" s="2"/>
      <c r="D951" s="93" t="s">
        <v>1670</v>
      </c>
      <c r="E951" s="65"/>
      <c r="F951" s="65"/>
      <c r="G951" s="65"/>
      <c r="H951" s="96">
        <f>ROUND(SUM(H948:H950),2)</f>
        <v>511.99</v>
      </c>
      <c r="I951" s="2"/>
    </row>
    <row r="952" spans="1:15" ht="16.5" thickBot="1" x14ac:dyDescent="0.3">
      <c r="B952" s="25"/>
      <c r="C952" s="2"/>
      <c r="D952" s="97" t="s">
        <v>1650</v>
      </c>
      <c r="E952" s="88"/>
      <c r="F952" s="88"/>
      <c r="G952" s="88"/>
      <c r="H952" s="98">
        <f>ROUND(H951,2)</f>
        <v>511.99</v>
      </c>
      <c r="I952" s="2"/>
    </row>
    <row r="953" spans="1:15" ht="15.75" x14ac:dyDescent="0.25">
      <c r="B953" s="34" t="s">
        <v>1701</v>
      </c>
      <c r="C953" s="2"/>
      <c r="D953" s="3" t="str">
        <f>$D$1</f>
        <v>ESPOL</v>
      </c>
      <c r="E953" s="2"/>
      <c r="F953" s="2"/>
      <c r="H953" s="2" t="s">
        <v>108</v>
      </c>
      <c r="I953" s="2"/>
      <c r="L953" s="40">
        <f>A957</f>
        <v>6</v>
      </c>
      <c r="M953" s="1" t="str">
        <f>C958</f>
        <v>Hormigon armado en Losa e= 21cm</v>
      </c>
      <c r="N953" s="2" t="str">
        <f>H957</f>
        <v>m3</v>
      </c>
      <c r="O953" s="2">
        <f>H1008</f>
        <v>497.33</v>
      </c>
    </row>
    <row r="954" spans="1:15" ht="15.75" x14ac:dyDescent="0.25">
      <c r="B954" s="34" t="s">
        <v>1700</v>
      </c>
      <c r="C954" s="3">
        <f>'1.1'!$C$2</f>
        <v>0</v>
      </c>
      <c r="D954" s="2"/>
      <c r="E954" s="2"/>
      <c r="F954" s="2"/>
      <c r="G954" s="41" t="s">
        <v>1699</v>
      </c>
      <c r="H954" s="42"/>
      <c r="I954" s="2" t="s">
        <v>1698</v>
      </c>
    </row>
    <row r="955" spans="1:15" ht="15.75" x14ac:dyDescent="0.25">
      <c r="B955" s="34"/>
      <c r="C955" s="3">
        <f>'1.1'!$C$3</f>
        <v>0</v>
      </c>
      <c r="D955" s="2"/>
      <c r="E955" s="2"/>
      <c r="F955" s="2"/>
      <c r="G955" s="2"/>
      <c r="H955" s="2"/>
      <c r="I955" s="2"/>
    </row>
    <row r="956" spans="1:15" ht="15.75" x14ac:dyDescent="0.25">
      <c r="B956" s="34" t="s">
        <v>1697</v>
      </c>
      <c r="C956" s="3"/>
      <c r="D956" s="2"/>
      <c r="E956" s="2"/>
      <c r="F956" s="2"/>
      <c r="G956" s="2"/>
      <c r="H956" s="2"/>
      <c r="I956" s="2"/>
    </row>
    <row r="957" spans="1:15" x14ac:dyDescent="0.25">
      <c r="A957" s="104">
        <v>6</v>
      </c>
      <c r="B957" s="2" t="s">
        <v>1586</v>
      </c>
      <c r="C957" s="36" t="s">
        <v>624</v>
      </c>
      <c r="D957" s="2"/>
      <c r="G957" s="2" t="s">
        <v>1696</v>
      </c>
      <c r="H957" s="3" t="s">
        <v>1521</v>
      </c>
      <c r="I957" s="2"/>
    </row>
    <row r="958" spans="1:15" x14ac:dyDescent="0.25">
      <c r="B958" s="1" t="s">
        <v>1585</v>
      </c>
      <c r="C958" s="36" t="s">
        <v>2012</v>
      </c>
      <c r="D958" s="2"/>
      <c r="E958" s="2"/>
      <c r="F958" s="2"/>
      <c r="G958" s="2"/>
      <c r="H958" s="2"/>
      <c r="I958" s="2"/>
    </row>
    <row r="959" spans="1:15" ht="15.75" thickBot="1" x14ac:dyDescent="0.3">
      <c r="D959" s="2"/>
      <c r="E959" s="2"/>
      <c r="F959" s="2"/>
      <c r="G959" s="2"/>
      <c r="H959" s="2"/>
      <c r="I959" s="2"/>
    </row>
    <row r="960" spans="1:15" ht="15.75" thickBot="1" x14ac:dyDescent="0.3">
      <c r="B960" s="43" t="s">
        <v>1695</v>
      </c>
      <c r="C960" s="44"/>
      <c r="D960" s="44"/>
      <c r="E960" s="44"/>
      <c r="F960" s="44"/>
      <c r="G960" s="44"/>
      <c r="H960" s="45"/>
      <c r="I960" s="2"/>
    </row>
    <row r="961" spans="1:11" ht="25.5" x14ac:dyDescent="0.25">
      <c r="B961" s="46" t="s">
        <v>1409</v>
      </c>
      <c r="C961" s="47"/>
      <c r="D961" s="48" t="s">
        <v>1690</v>
      </c>
      <c r="E961" s="48" t="s">
        <v>1694</v>
      </c>
      <c r="F961" s="48" t="s">
        <v>1693</v>
      </c>
      <c r="G961" s="49" t="s">
        <v>1687</v>
      </c>
      <c r="H961" s="50" t="s">
        <v>1686</v>
      </c>
      <c r="I961" s="2"/>
    </row>
    <row r="962" spans="1:11" x14ac:dyDescent="0.25">
      <c r="A962" s="103">
        <v>19015</v>
      </c>
      <c r="B962" s="51" t="str">
        <f>IF($A962=0,"",VLOOKUP($A962,'BASE EQUIPO'!$A:$D,2))</f>
        <v>HERRAMIENTA MENOR</v>
      </c>
      <c r="C962" s="52"/>
      <c r="D962" s="53">
        <v>1</v>
      </c>
      <c r="E962" s="53">
        <f>IF($A962=0,"",VLOOKUP($A962,'BASE EQUIPO'!$A:$D,4)*H978)</f>
        <v>2.1795</v>
      </c>
      <c r="F962" s="53">
        <f t="shared" ref="F962:F967" si="91">IF($A962=0,"",ROUND(D962*E962,2))</f>
        <v>2.1800000000000002</v>
      </c>
      <c r="G962" s="105">
        <v>1</v>
      </c>
      <c r="H962" s="54">
        <f t="shared" ref="H962:H967" si="92">IF($A962=0,"",ROUND(G962*F962,2))</f>
        <v>2.1800000000000002</v>
      </c>
      <c r="I962" s="2"/>
    </row>
    <row r="963" spans="1:11" x14ac:dyDescent="0.25">
      <c r="B963" s="38" t="str">
        <f>IF($A963=0,"",VLOOKUP($A963,'BASE EQUIPO'!$A:$D,2))</f>
        <v/>
      </c>
      <c r="C963" s="2"/>
      <c r="D963" s="55">
        <v>1</v>
      </c>
      <c r="E963" s="55" t="str">
        <f>IF($A963=0,"",VLOOKUP($A963,'BASE EQUIPO'!$A:$D,4))</f>
        <v/>
      </c>
      <c r="F963" s="55" t="str">
        <f t="shared" si="91"/>
        <v/>
      </c>
      <c r="G963" s="106">
        <f>+G972*0.5</f>
        <v>0.17499999999999999</v>
      </c>
      <c r="H963" s="56" t="str">
        <f t="shared" si="92"/>
        <v/>
      </c>
      <c r="I963" s="2"/>
    </row>
    <row r="964" spans="1:11" x14ac:dyDescent="0.25">
      <c r="A964" s="103">
        <v>19008</v>
      </c>
      <c r="B964" s="38" t="str">
        <f>IF($A964=0,"",VLOOKUP($A964,'BASE EQUIPO'!$A:$D,2))</f>
        <v>VIBRADOR</v>
      </c>
      <c r="C964" s="2"/>
      <c r="D964" s="55">
        <v>1</v>
      </c>
      <c r="E964" s="55">
        <f>IF($A964=0,"",VLOOKUP($A964,'BASE EQUIPO'!$A:$D,4))</f>
        <v>2.5</v>
      </c>
      <c r="F964" s="55">
        <f t="shared" si="91"/>
        <v>2.5</v>
      </c>
      <c r="G964" s="106">
        <f>+G973*0.5</f>
        <v>0.17499999999999999</v>
      </c>
      <c r="H964" s="56">
        <f t="shared" si="92"/>
        <v>0.44</v>
      </c>
      <c r="I964" s="2"/>
    </row>
    <row r="965" spans="1:11" x14ac:dyDescent="0.25">
      <c r="B965" s="38" t="str">
        <f>IF($A965=0,"",VLOOKUP($A965,'BASE EQUIPO'!$A:$D,2))</f>
        <v/>
      </c>
      <c r="C965" s="2"/>
      <c r="D965" s="55"/>
      <c r="E965" s="55" t="str">
        <f>IF($A965=0,"",VLOOKUP($A965,'BASE EQUIPO'!$A:$D,4))</f>
        <v/>
      </c>
      <c r="F965" s="55" t="str">
        <f t="shared" si="91"/>
        <v/>
      </c>
      <c r="G965" s="106"/>
      <c r="H965" s="56" t="str">
        <f t="shared" si="92"/>
        <v/>
      </c>
      <c r="I965" s="2"/>
    </row>
    <row r="966" spans="1:11" x14ac:dyDescent="0.25">
      <c r="B966" s="38" t="str">
        <f>IF($A966=0,"",VLOOKUP($A966,'BASE EQUIPO'!$A:$D,2))</f>
        <v/>
      </c>
      <c r="C966" s="2"/>
      <c r="D966" s="55"/>
      <c r="E966" s="55" t="str">
        <f>IF($A966=0,"",VLOOKUP($A966,'BASE EQUIPO'!$A:$D,4))</f>
        <v/>
      </c>
      <c r="F966" s="55" t="str">
        <f t="shared" si="91"/>
        <v/>
      </c>
      <c r="G966" s="106"/>
      <c r="H966" s="56" t="str">
        <f t="shared" si="92"/>
        <v/>
      </c>
      <c r="I966" s="2"/>
    </row>
    <row r="967" spans="1:11" x14ac:dyDescent="0.25">
      <c r="B967" s="57" t="str">
        <f>IF($A967=0,"",VLOOKUP($A967,'BASE EQUIPO'!$A:$D,2))</f>
        <v/>
      </c>
      <c r="C967" s="58"/>
      <c r="D967" s="59"/>
      <c r="E967" s="59" t="str">
        <f>IF($A967=0,"",VLOOKUP($A967,'BASE EQUIPO'!$A:$D,4))</f>
        <v/>
      </c>
      <c r="F967" s="59" t="str">
        <f t="shared" si="91"/>
        <v/>
      </c>
      <c r="G967" s="107"/>
      <c r="H967" s="60" t="str">
        <f t="shared" si="92"/>
        <v/>
      </c>
      <c r="I967" s="2"/>
    </row>
    <row r="968" spans="1:11" x14ac:dyDescent="0.25">
      <c r="B968" s="57" t="s">
        <v>1692</v>
      </c>
      <c r="C968" s="58"/>
      <c r="D968" s="61"/>
      <c r="E968" s="61"/>
      <c r="F968" s="61"/>
      <c r="G968" s="62"/>
      <c r="H968" s="60">
        <f>ROUND(SUM(H961:H967),2)</f>
        <v>2.62</v>
      </c>
      <c r="I968" s="2"/>
    </row>
    <row r="969" spans="1:11" x14ac:dyDescent="0.25">
      <c r="B969" s="38" t="s">
        <v>1503</v>
      </c>
      <c r="C969" s="2"/>
      <c r="D969" s="3"/>
      <c r="E969" s="3"/>
      <c r="F969" s="3"/>
      <c r="G969" s="63"/>
      <c r="H969" s="56"/>
      <c r="I969" s="2"/>
    </row>
    <row r="970" spans="1:11" ht="25.5" x14ac:dyDescent="0.25">
      <c r="B970" s="64" t="s">
        <v>1691</v>
      </c>
      <c r="C970" s="65"/>
      <c r="D970" s="66" t="s">
        <v>1690</v>
      </c>
      <c r="E970" s="66" t="s">
        <v>1689</v>
      </c>
      <c r="F970" s="66" t="s">
        <v>1688</v>
      </c>
      <c r="G970" s="67" t="s">
        <v>1687</v>
      </c>
      <c r="H970" s="68" t="s">
        <v>1686</v>
      </c>
      <c r="I970" s="2"/>
    </row>
    <row r="971" spans="1:11" x14ac:dyDescent="0.25">
      <c r="A971" s="103">
        <v>20001</v>
      </c>
      <c r="B971" s="69" t="str">
        <f>IF($A971=0,"",VLOOKUP($A971,'BASE M-OBRA'!$A:$D,2))</f>
        <v>MAESTRO</v>
      </c>
      <c r="C971" s="2"/>
      <c r="D971" s="108">
        <v>1</v>
      </c>
      <c r="E971" s="70">
        <f>IF($A971=0,"",VLOOKUP($A971,'BASE M-OBRA'!$A:$D,4))</f>
        <v>3.02</v>
      </c>
      <c r="F971" s="55">
        <f t="shared" ref="F971:F977" si="93">IF($A971=0,"",ROUND(D971*E971,2))</f>
        <v>3.02</v>
      </c>
      <c r="G971" s="106">
        <f>IF($A971=0,"",ROUND(H971/F971,2))</f>
        <v>4.01</v>
      </c>
      <c r="H971" s="56">
        <f>IF($A971=0,"",ROUND(SUM(H972:H977)*'BASE M-OBRA'!$D$23,2))</f>
        <v>12.11</v>
      </c>
      <c r="I971" s="2"/>
    </row>
    <row r="972" spans="1:11" x14ac:dyDescent="0.25">
      <c r="A972" s="103">
        <v>20002</v>
      </c>
      <c r="B972" s="69" t="str">
        <f>IF($A972=0,"",VLOOKUP($A972,'BASE M-OBRA'!$A:$D,2))</f>
        <v>PEON</v>
      </c>
      <c r="C972" s="2"/>
      <c r="D972" s="108">
        <v>8</v>
      </c>
      <c r="E972" s="70">
        <f>IF($A972=0,"",VLOOKUP($A972,'BASE M-OBRA'!$A:$D,4))</f>
        <v>2.79</v>
      </c>
      <c r="F972" s="55">
        <f t="shared" si="93"/>
        <v>22.32</v>
      </c>
      <c r="G972" s="106">
        <v>0.35</v>
      </c>
      <c r="H972" s="56">
        <f t="shared" ref="H972:H977" si="94">IF($A972=0,"",ROUND(G972*F972,2))</f>
        <v>7.81</v>
      </c>
      <c r="I972" s="2"/>
    </row>
    <row r="973" spans="1:11" x14ac:dyDescent="0.25">
      <c r="A973" s="103">
        <v>20003</v>
      </c>
      <c r="B973" s="69" t="str">
        <f>IF($A973=0,"",VLOOKUP($A973,'BASE M-OBRA'!$A:$D,2))</f>
        <v>ALBAÑIL</v>
      </c>
      <c r="C973" s="2"/>
      <c r="D973" s="108">
        <v>2</v>
      </c>
      <c r="E973" s="70">
        <f>IF($A973=0,"",VLOOKUP($A973,'BASE M-OBRA'!$A:$D,4))</f>
        <v>2.82</v>
      </c>
      <c r="F973" s="55">
        <f t="shared" si="93"/>
        <v>5.64</v>
      </c>
      <c r="G973" s="106">
        <f>+G972</f>
        <v>0.35</v>
      </c>
      <c r="H973" s="56">
        <f t="shared" si="94"/>
        <v>1.97</v>
      </c>
      <c r="I973" s="2"/>
    </row>
    <row r="974" spans="1:11" x14ac:dyDescent="0.25">
      <c r="A974" s="103">
        <v>20004</v>
      </c>
      <c r="B974" s="71" t="str">
        <f>IF($A974=0,"",VLOOKUP($A974,'BASE M-OBRA'!$A:$D,2))</f>
        <v>CARPINTERO</v>
      </c>
      <c r="C974" s="2"/>
      <c r="D974" s="108">
        <v>2</v>
      </c>
      <c r="E974" s="70">
        <f>IF($A974=0,"",VLOOKUP($A974,'BASE M-OBRA'!$A:$D,4))</f>
        <v>2.82</v>
      </c>
      <c r="F974" s="55">
        <f t="shared" si="93"/>
        <v>5.64</v>
      </c>
      <c r="G974" s="106">
        <v>5</v>
      </c>
      <c r="H974" s="56">
        <f t="shared" si="94"/>
        <v>28.2</v>
      </c>
      <c r="I974" s="2"/>
      <c r="K974" s="1">
        <f>K981*2.9</f>
        <v>26.363636363636367</v>
      </c>
    </row>
    <row r="975" spans="1:11" x14ac:dyDescent="0.25">
      <c r="A975" s="103">
        <v>20005</v>
      </c>
      <c r="B975" s="72" t="str">
        <f>IF($A975=0,"",VLOOKUP($A975,'BASE M-OBRA'!$A:$D,2))</f>
        <v>FIERRERO</v>
      </c>
      <c r="C975" s="2"/>
      <c r="D975" s="108">
        <v>2</v>
      </c>
      <c r="E975" s="70">
        <f>IF($A975=0,"",VLOOKUP($A975,'BASE M-OBRA'!$A:$D,4))</f>
        <v>2.82</v>
      </c>
      <c r="F975" s="55">
        <f t="shared" si="93"/>
        <v>5.64</v>
      </c>
      <c r="G975" s="106">
        <v>4</v>
      </c>
      <c r="H975" s="56">
        <f t="shared" si="94"/>
        <v>22.56</v>
      </c>
      <c r="I975" s="2"/>
      <c r="K975" s="1">
        <f>F990*0.3</f>
        <v>21.312000000000001</v>
      </c>
    </row>
    <row r="976" spans="1:11" x14ac:dyDescent="0.25">
      <c r="B976" s="38" t="str">
        <f>IF($A976=0,"",VLOOKUP($A976,'BASE M-OBRA'!$A:$D,2))</f>
        <v/>
      </c>
      <c r="C976" s="2"/>
      <c r="D976" s="55"/>
      <c r="E976" s="55" t="str">
        <f>IF($A976=0,"",VLOOKUP($A976,'BASE M-OBRA'!$A:$D,4))</f>
        <v/>
      </c>
      <c r="F976" s="55" t="str">
        <f t="shared" si="93"/>
        <v/>
      </c>
      <c r="G976" s="106"/>
      <c r="H976" s="56" t="str">
        <f t="shared" si="94"/>
        <v/>
      </c>
      <c r="I976" s="2"/>
    </row>
    <row r="977" spans="1:16" x14ac:dyDescent="0.25">
      <c r="B977" s="57" t="str">
        <f>IF($A977=0,"",VLOOKUP($A977,'BASE M-OBRA'!$A:$D,2))</f>
        <v/>
      </c>
      <c r="C977" s="58"/>
      <c r="D977" s="59"/>
      <c r="E977" s="59" t="str">
        <f>IF($A977=0,"",VLOOKUP($A977,'BASE M-OBRA'!$A:$D,4))</f>
        <v/>
      </c>
      <c r="F977" s="59" t="str">
        <f t="shared" si="93"/>
        <v/>
      </c>
      <c r="G977" s="107"/>
      <c r="H977" s="60" t="str">
        <f t="shared" si="94"/>
        <v/>
      </c>
      <c r="I977" s="2"/>
    </row>
    <row r="978" spans="1:16" x14ac:dyDescent="0.25">
      <c r="B978" s="73" t="s">
        <v>1685</v>
      </c>
      <c r="C978" s="65"/>
      <c r="D978" s="74"/>
      <c r="E978" s="74"/>
      <c r="F978" s="74"/>
      <c r="G978" s="74"/>
      <c r="H978" s="75">
        <f>ROUND(SUM(H970:H977),2)</f>
        <v>72.650000000000006</v>
      </c>
      <c r="I978" s="2"/>
      <c r="K978" s="1">
        <f>SUM(K974:K977)</f>
        <v>47.675636363636372</v>
      </c>
    </row>
    <row r="979" spans="1:16" x14ac:dyDescent="0.25">
      <c r="B979" s="38" t="s">
        <v>1684</v>
      </c>
      <c r="C979" s="2"/>
      <c r="D979" s="3"/>
      <c r="E979" s="3"/>
      <c r="F979" s="3"/>
      <c r="G979" s="3"/>
      <c r="H979" s="56"/>
      <c r="I979" s="2"/>
    </row>
    <row r="980" spans="1:16" ht="25.5" x14ac:dyDescent="0.25">
      <c r="B980" s="64" t="s">
        <v>1409</v>
      </c>
      <c r="C980" s="65"/>
      <c r="D980" s="76"/>
      <c r="E980" s="66" t="s">
        <v>1408</v>
      </c>
      <c r="F980" s="66" t="s">
        <v>1679</v>
      </c>
      <c r="G980" s="66" t="s">
        <v>1683</v>
      </c>
      <c r="H980" s="68" t="s">
        <v>1675</v>
      </c>
      <c r="I980" s="2"/>
    </row>
    <row r="981" spans="1:16" x14ac:dyDescent="0.25">
      <c r="A981" s="103">
        <v>11008</v>
      </c>
      <c r="B981" s="37" t="str">
        <f>IF($A981=0,"",VLOOKUP($A981,'BASE MATERIAL'!$A:$D,2))</f>
        <v>TABLA</v>
      </c>
      <c r="C981" s="2"/>
      <c r="D981" s="77"/>
      <c r="E981" s="78" t="str">
        <f>IF($A981=0,"",VLOOKUP($A981,'BASE MATERIAL'!$A:$D,3))</f>
        <v>U</v>
      </c>
      <c r="F981" s="55">
        <f>ROUND(9.1*5/(4*3),2)</f>
        <v>3.79</v>
      </c>
      <c r="G981" s="55">
        <f>IF($A981=0,"",VLOOKUP($A981,'BASE MATERIAL'!$A:$D,4))</f>
        <v>3.5</v>
      </c>
      <c r="H981" s="56">
        <f t="shared" ref="H981:H995" si="95">IF($A981=0,"",ROUND(F981*G981,2))</f>
        <v>13.27</v>
      </c>
      <c r="I981" s="2"/>
      <c r="K981" s="1">
        <f>1/(0.11)</f>
        <v>9.0909090909090917</v>
      </c>
      <c r="L981" s="2"/>
      <c r="M981" s="2"/>
      <c r="N981" s="39"/>
      <c r="O981" s="2"/>
      <c r="P981" s="2"/>
    </row>
    <row r="982" spans="1:16" x14ac:dyDescent="0.25">
      <c r="A982" s="103">
        <v>11009</v>
      </c>
      <c r="B982" s="38" t="str">
        <f>IF($A982=0,"",VLOOKUP($A982,'BASE MATERIAL'!$A:$D,2))</f>
        <v>CUARTON</v>
      </c>
      <c r="C982" s="2"/>
      <c r="D982" s="77"/>
      <c r="E982" s="78" t="str">
        <f>IF($A982=0,"",VLOOKUP($A982,'BASE MATERIAL'!$A:$D,3))</f>
        <v>U</v>
      </c>
      <c r="F982" s="55">
        <f>ROUND(9.1*8/(4*3),2)</f>
        <v>6.07</v>
      </c>
      <c r="G982" s="55">
        <f>IF($A982=0,"",VLOOKUP($A982,'BASE MATERIAL'!$A:$D,4))</f>
        <v>2.42</v>
      </c>
      <c r="H982" s="56">
        <f t="shared" si="95"/>
        <v>14.69</v>
      </c>
      <c r="I982" s="2"/>
      <c r="K982" s="7">
        <f>0.05+8.75*0.05*0.14</f>
        <v>0.11125000000000002</v>
      </c>
      <c r="L982" s="2"/>
      <c r="M982" s="2"/>
      <c r="N982" s="39"/>
      <c r="O982" s="2"/>
      <c r="P982" s="2"/>
    </row>
    <row r="983" spans="1:16" x14ac:dyDescent="0.25">
      <c r="A983" s="103">
        <v>11007</v>
      </c>
      <c r="B983" s="38" t="str">
        <f>IF($A983=0,"",VLOOKUP($A983,'BASE MATERIAL'!$A:$D,2))</f>
        <v>CLAVO 2 1/2"</v>
      </c>
      <c r="C983" s="2"/>
      <c r="D983" s="77"/>
      <c r="E983" s="78" t="str">
        <f>IF($A983=0,"",VLOOKUP($A983,'BASE MATERIAL'!$A:$D,3))</f>
        <v>KG</v>
      </c>
      <c r="F983" s="55">
        <f>ROUND(9.1*56/(178*1.5),2)</f>
        <v>1.91</v>
      </c>
      <c r="G983" s="55">
        <f>IF($A983=0,"",VLOOKUP($A983,'BASE MATERIAL'!$A:$D,4))</f>
        <v>2.6520000000000001</v>
      </c>
      <c r="H983" s="56">
        <f t="shared" si="95"/>
        <v>5.07</v>
      </c>
      <c r="I983" s="2"/>
      <c r="K983" s="1">
        <f>1/0.11</f>
        <v>9.0909090909090917</v>
      </c>
      <c r="L983" s="2"/>
      <c r="M983" s="2"/>
      <c r="N983" s="39"/>
      <c r="O983" s="2"/>
      <c r="P983" s="2"/>
    </row>
    <row r="984" spans="1:16" x14ac:dyDescent="0.25">
      <c r="A984" s="103">
        <v>11010</v>
      </c>
      <c r="B984" s="38" t="str">
        <f>IF($A984=0,"",VLOOKUP($A984,'BASE MATERIAL'!$A:$D,2))</f>
        <v>TIRA</v>
      </c>
      <c r="C984" s="2"/>
      <c r="D984" s="77"/>
      <c r="E984" s="78" t="str">
        <f>IF($A984=0,"",VLOOKUP($A984,'BASE MATERIAL'!$A:$D,3))</f>
        <v>U</v>
      </c>
      <c r="F984" s="55">
        <f>ROUND(9.1*4/(4*3),2)</f>
        <v>3.03</v>
      </c>
      <c r="G984" s="55">
        <f>IF($A984=0,"",VLOOKUP($A984,'BASE MATERIAL'!$A:$D,4))</f>
        <v>1.5</v>
      </c>
      <c r="H984" s="56">
        <f t="shared" si="95"/>
        <v>4.55</v>
      </c>
      <c r="I984" s="2"/>
      <c r="K984" s="1">
        <f>9.1*0.1</f>
        <v>0.91</v>
      </c>
      <c r="L984" s="2"/>
      <c r="M984" s="2"/>
      <c r="N984" s="39"/>
      <c r="O984" s="2"/>
      <c r="P984" s="2"/>
    </row>
    <row r="985" spans="1:16" x14ac:dyDescent="0.25">
      <c r="B985" s="38" t="str">
        <f>IF($A985=0,"",VLOOKUP($A985,'BASE MATERIAL'!$A:$D,2))</f>
        <v/>
      </c>
      <c r="C985" s="2"/>
      <c r="D985" s="77"/>
      <c r="E985" s="78" t="str">
        <f>IF($A985=0,"",VLOOKUP($A985,'BASE MATERIAL'!$A:$D,3))</f>
        <v/>
      </c>
      <c r="F985" s="55">
        <f>8*1.03</f>
        <v>8.24</v>
      </c>
      <c r="G985" s="55" t="str">
        <f>IF($A985=0,"",VLOOKUP($A985,'BASE MATERIAL'!$A:$D,4))</f>
        <v/>
      </c>
      <c r="H985" s="56" t="str">
        <f t="shared" si="95"/>
        <v/>
      </c>
      <c r="I985" s="2"/>
      <c r="K985" s="1">
        <f>25*9.1*0.15*0.15*0.14</f>
        <v>0.71662499999999996</v>
      </c>
      <c r="L985" s="2"/>
      <c r="M985" s="2"/>
      <c r="N985" s="39"/>
      <c r="O985" s="2"/>
      <c r="P985" s="2"/>
    </row>
    <row r="986" spans="1:16" x14ac:dyDescent="0.25">
      <c r="B986" s="38" t="str">
        <f>IF($A986=0,"",VLOOKUP($A986,'BASE MATERIAL'!$A:$D,2))</f>
        <v/>
      </c>
      <c r="C986" s="2"/>
      <c r="D986" s="77"/>
      <c r="E986" s="78" t="str">
        <f>IF($A986=0,"",VLOOKUP($A986,'BASE MATERIAL'!$A:$D,3))</f>
        <v/>
      </c>
      <c r="F986" s="55">
        <f>ROUND(F985*0.032*2,2)</f>
        <v>0.53</v>
      </c>
      <c r="G986" s="55" t="str">
        <f>IF($A986=0,"",VLOOKUP($A986,'BASE MATERIAL'!$A:$D,4))</f>
        <v/>
      </c>
      <c r="H986" s="56" t="str">
        <f t="shared" si="95"/>
        <v/>
      </c>
      <c r="I986" s="2"/>
    </row>
    <row r="987" spans="1:16" x14ac:dyDescent="0.25">
      <c r="B987" s="38" t="str">
        <f>IF($A987=0,"",VLOOKUP($A987,'BASE MATERIAL'!$A:$D,2))</f>
        <v/>
      </c>
      <c r="C987" s="2"/>
      <c r="D987" s="77"/>
      <c r="E987" s="78" t="str">
        <f>IF($A987=0,"",VLOOKUP($A987,'BASE MATERIAL'!$A:$D,3))</f>
        <v/>
      </c>
      <c r="F987" s="55">
        <f>ROUND(F985*0.032*3,2)</f>
        <v>0.79</v>
      </c>
      <c r="G987" s="55" t="str">
        <f>IF($A987=0,"",VLOOKUP($A987,'BASE MATERIAL'!$A:$D,4))</f>
        <v/>
      </c>
      <c r="H987" s="56" t="str">
        <f t="shared" si="95"/>
        <v/>
      </c>
      <c r="I987" s="2"/>
      <c r="L987" s="2"/>
      <c r="M987" s="2"/>
      <c r="N987" s="39"/>
      <c r="O987" s="2"/>
      <c r="P987" s="2"/>
    </row>
    <row r="988" spans="1:16" x14ac:dyDescent="0.25">
      <c r="B988" s="38" t="str">
        <f>IF($A988=0,"",VLOOKUP($A988,'BASE MATERIAL'!$A:$D,2))</f>
        <v/>
      </c>
      <c r="C988" s="2"/>
      <c r="D988" s="77"/>
      <c r="E988" s="78" t="str">
        <f>IF($A988=0,"",VLOOKUP($A988,'BASE MATERIAL'!$A:$D,3))</f>
        <v/>
      </c>
      <c r="F988" s="55">
        <f>26*F985</f>
        <v>214.24</v>
      </c>
      <c r="G988" s="112" t="str">
        <f>IF($A988=0,"",VLOOKUP($A988,'BASE MATERIAL'!$A:$D,4))</f>
        <v/>
      </c>
      <c r="H988" s="56" t="str">
        <f t="shared" si="95"/>
        <v/>
      </c>
      <c r="I988" s="2"/>
      <c r="L988" s="2"/>
      <c r="M988" s="2"/>
      <c r="N988" s="39"/>
      <c r="O988" s="2"/>
      <c r="P988" s="2"/>
    </row>
    <row r="989" spans="1:16" x14ac:dyDescent="0.25">
      <c r="A989" s="103">
        <v>8010</v>
      </c>
      <c r="B989" s="38" t="s">
        <v>2013</v>
      </c>
      <c r="C989" s="2"/>
      <c r="D989" s="77"/>
      <c r="E989" s="78" t="s">
        <v>945</v>
      </c>
      <c r="F989" s="55">
        <v>0.72</v>
      </c>
      <c r="G989" s="55">
        <v>105</v>
      </c>
      <c r="H989" s="56">
        <f t="shared" si="95"/>
        <v>75.599999999999994</v>
      </c>
      <c r="I989" s="2"/>
      <c r="L989" s="2"/>
      <c r="M989" s="2"/>
      <c r="N989" s="39"/>
      <c r="O989" s="2"/>
      <c r="P989" s="2"/>
    </row>
    <row r="990" spans="1:16" x14ac:dyDescent="0.25">
      <c r="A990" s="103">
        <v>1001</v>
      </c>
      <c r="B990" s="38" t="str">
        <f>IF($A990=0,"",VLOOKUP($A990,'BASE MATERIAL'!$A:$D,2))</f>
        <v>HIERRO</v>
      </c>
      <c r="C990" s="2"/>
      <c r="D990" s="77"/>
      <c r="E990" s="78" t="str">
        <f>IF($A990=0,"",VLOOKUP($A990,'BASE MATERIAL'!$A:$D,3))</f>
        <v>KG</v>
      </c>
      <c r="F990" s="55">
        <f>6.4*11.1</f>
        <v>71.040000000000006</v>
      </c>
      <c r="G990" s="55">
        <f>IF($A990=0,"",VLOOKUP($A990,'BASE MATERIAL'!$A:$D,4))</f>
        <v>1.17</v>
      </c>
      <c r="H990" s="56">
        <f t="shared" si="95"/>
        <v>83.12</v>
      </c>
      <c r="I990" s="2"/>
      <c r="K990" s="1">
        <f>3.6*2*0.888</f>
        <v>6.3936000000000002</v>
      </c>
      <c r="L990" s="2"/>
      <c r="M990" s="2"/>
      <c r="N990" s="39"/>
      <c r="O990" s="2"/>
      <c r="P990" s="2"/>
    </row>
    <row r="991" spans="1:16" x14ac:dyDescent="0.25">
      <c r="A991" s="103">
        <v>11002</v>
      </c>
      <c r="B991" s="38" t="str">
        <f>IF($A991=0,"",VLOOKUP($A991,'BASE MATERIAL'!$A:$D,2))</f>
        <v>ALAMBRE #18 RECOCIDO</v>
      </c>
      <c r="C991" s="2"/>
      <c r="D991" s="77"/>
      <c r="E991" s="78" t="str">
        <f>IF($A991=0,"",VLOOKUP($A991,'BASE MATERIAL'!$A:$D,3))</f>
        <v>KG</v>
      </c>
      <c r="F991" s="55">
        <f>+F990*0.03</f>
        <v>2.1312000000000002</v>
      </c>
      <c r="G991" s="55">
        <f>IF($A991=0,"",VLOOKUP($A991,'BASE MATERIAL'!$A:$D,4))</f>
        <v>1.87</v>
      </c>
      <c r="H991" s="56">
        <f t="shared" si="95"/>
        <v>3.99</v>
      </c>
      <c r="I991" s="2"/>
      <c r="L991" s="2"/>
      <c r="M991" s="2"/>
      <c r="N991" s="39"/>
      <c r="O991" s="2"/>
      <c r="P991" s="2"/>
    </row>
    <row r="992" spans="1:16" x14ac:dyDescent="0.25">
      <c r="A992" s="103">
        <v>11005</v>
      </c>
      <c r="B992" s="38" t="str">
        <f>IF($A992=0,"",VLOOKUP($A992,'BASE MATERIAL'!$A:$D,2))</f>
        <v>CAÑA</v>
      </c>
      <c r="C992" s="2"/>
      <c r="D992" s="77"/>
      <c r="E992" s="78" t="str">
        <f>IF($A992=0,"",VLOOKUP($A992,'BASE MATERIAL'!$A:$D,3))</f>
        <v>U</v>
      </c>
      <c r="F992" s="55">
        <f>4*K981</f>
        <v>36.363636363636367</v>
      </c>
      <c r="G992" s="55">
        <f>IF($A992=0,"",VLOOKUP($A992,'BASE MATERIAL'!$A:$D,4))</f>
        <v>2</v>
      </c>
      <c r="H992" s="56">
        <f t="shared" si="95"/>
        <v>72.73</v>
      </c>
      <c r="I992" s="2"/>
      <c r="L992" s="2"/>
      <c r="M992" s="2"/>
      <c r="N992" s="39"/>
      <c r="O992" s="2"/>
      <c r="P992" s="2"/>
    </row>
    <row r="993" spans="1:9" x14ac:dyDescent="0.25">
      <c r="A993" s="103">
        <v>1</v>
      </c>
      <c r="B993" s="38" t="s">
        <v>2014</v>
      </c>
      <c r="C993" s="2"/>
      <c r="D993" s="77"/>
      <c r="E993" s="78" t="s">
        <v>945</v>
      </c>
      <c r="F993" s="55">
        <v>1.03</v>
      </c>
      <c r="G993" s="55">
        <v>132.77000000000001</v>
      </c>
      <c r="H993" s="56">
        <f t="shared" si="95"/>
        <v>136.75</v>
      </c>
      <c r="I993" s="2"/>
    </row>
    <row r="994" spans="1:9" x14ac:dyDescent="0.25">
      <c r="B994" s="38" t="str">
        <f>IF($A994=0,"",VLOOKUP($A994,'BASE MATERIAL'!$A:$D,2))</f>
        <v/>
      </c>
      <c r="C994" s="2"/>
      <c r="D994" s="77"/>
      <c r="E994" s="78" t="str">
        <f>IF($A994=0,"",VLOOKUP($A994,'BASE MATERIAL'!$A:$D,3))</f>
        <v/>
      </c>
      <c r="F994" s="55"/>
      <c r="G994" s="55" t="str">
        <f>IF($A994=0,"",VLOOKUP($A994,'BASE MATERIAL'!$A:$D,4))</f>
        <v/>
      </c>
      <c r="H994" s="56" t="str">
        <f t="shared" si="95"/>
        <v/>
      </c>
      <c r="I994" s="2"/>
    </row>
    <row r="995" spans="1:9" x14ac:dyDescent="0.25">
      <c r="B995" s="38" t="str">
        <f>IF($A995=0,"",VLOOKUP($A995,'BASE MATERIAL'!$A:$D,2))</f>
        <v/>
      </c>
      <c r="C995" s="2"/>
      <c r="D995" s="77"/>
      <c r="E995" s="78" t="str">
        <f>IF($A995=0,"",VLOOKUP($A995,'BASE MATERIAL'!$A:$D,3))</f>
        <v/>
      </c>
      <c r="F995" s="55"/>
      <c r="G995" s="55" t="str">
        <f>IF($A995=0,"",VLOOKUP($A995,'BASE MATERIAL'!$A:$D,4))</f>
        <v/>
      </c>
      <c r="H995" s="56" t="str">
        <f t="shared" si="95"/>
        <v/>
      </c>
      <c r="I995" s="2"/>
    </row>
    <row r="996" spans="1:9" x14ac:dyDescent="0.25">
      <c r="B996" s="38" t="str">
        <f>IF($A996=0,"",VLOOKUP($A996,'BASE MATERIAL'!$A:$D,2))</f>
        <v/>
      </c>
      <c r="C996" s="2"/>
      <c r="D996" s="81" t="s">
        <v>1682</v>
      </c>
      <c r="E996" s="55" t="str">
        <f>IF($A996=0,"",VLOOKUP($A996,'BASE MATERIAL'!$A:$D,3))</f>
        <v/>
      </c>
      <c r="F996" s="55" t="s">
        <v>1682</v>
      </c>
      <c r="G996" s="55" t="str">
        <f>IF($A996=0,"",VLOOKUP($A996,'BASE MATERIAL'!$A:$D,4))</f>
        <v/>
      </c>
      <c r="H996" s="56" t="str">
        <f>IF($A996=0,"",ROUND(E996*F996,2))</f>
        <v/>
      </c>
      <c r="I996" s="2"/>
    </row>
    <row r="997" spans="1:9" x14ac:dyDescent="0.25">
      <c r="B997" s="73" t="s">
        <v>1681</v>
      </c>
      <c r="C997" s="65"/>
      <c r="D997" s="74"/>
      <c r="E997" s="74"/>
      <c r="F997" s="74"/>
      <c r="G997" s="74"/>
      <c r="H997" s="75">
        <f>ROUND(SUM(H980:H996),2)</f>
        <v>409.77</v>
      </c>
      <c r="I997" s="2"/>
    </row>
    <row r="998" spans="1:9" x14ac:dyDescent="0.25">
      <c r="B998" s="38" t="s">
        <v>1680</v>
      </c>
      <c r="C998" s="2"/>
      <c r="D998" s="3"/>
      <c r="E998" s="3"/>
      <c r="F998" s="3"/>
      <c r="G998" s="3"/>
      <c r="H998" s="56"/>
      <c r="I998" s="2"/>
    </row>
    <row r="999" spans="1:9" ht="25.5" x14ac:dyDescent="0.25">
      <c r="B999" s="64" t="s">
        <v>1409</v>
      </c>
      <c r="C999" s="65"/>
      <c r="D999" s="76"/>
      <c r="E999" s="66" t="s">
        <v>1408</v>
      </c>
      <c r="F999" s="66" t="s">
        <v>1679</v>
      </c>
      <c r="G999" s="66" t="s">
        <v>1676</v>
      </c>
      <c r="H999" s="68" t="s">
        <v>1675</v>
      </c>
      <c r="I999" s="2"/>
    </row>
    <row r="1000" spans="1:9" x14ac:dyDescent="0.25">
      <c r="A1000" s="103">
        <v>19019</v>
      </c>
      <c r="B1000" s="51" t="str">
        <f>IF($A1000=0,"",VLOOKUP($A1000,'BASE EQUIPO'!$A:$D,2))</f>
        <v>TRANSPORTE DE MATERIAL</v>
      </c>
      <c r="C1000" s="52"/>
      <c r="D1000" s="82"/>
      <c r="E1000" s="78" t="str">
        <f>IF($A1000=0,"",VLOOKUP($A1000,'BASE EQUIPO'!$A:$D,3))</f>
        <v>GLOBAL</v>
      </c>
      <c r="F1000" s="55">
        <v>1</v>
      </c>
      <c r="G1000" s="83">
        <f>IF($A1000=0,"",VLOOKUP($A1000,'BASE EQUIPO'!$A:$D,4)*H997)</f>
        <v>12.293099999999999</v>
      </c>
      <c r="H1000" s="56">
        <f>IF($A1000=0,"",ROUND(F1000*G1000,2))</f>
        <v>12.29</v>
      </c>
      <c r="I1000" s="2"/>
    </row>
    <row r="1001" spans="1:9" x14ac:dyDescent="0.25">
      <c r="B1001" s="38" t="str">
        <f>IF($A1001=0,"",VLOOKUP($A1001,'BASE EQUIPO'!$A:$D,2))</f>
        <v/>
      </c>
      <c r="C1001" s="2"/>
      <c r="D1001" s="84"/>
      <c r="E1001" s="78" t="str">
        <f>IF($A1001=0,"",VLOOKUP($A1001,'BASE EQUIPO'!$A:$D,3))</f>
        <v/>
      </c>
      <c r="F1001" s="55"/>
      <c r="G1001" s="55" t="str">
        <f>IF($A1001=0,"",VLOOKUP($A1001,'BASE EQUIPO'!$A:$D,4)*H998)</f>
        <v/>
      </c>
      <c r="H1001" s="56" t="str">
        <f>IF($A1001=0,"",ROUND(F1001*G1001,2))</f>
        <v/>
      </c>
      <c r="I1001" s="2"/>
    </row>
    <row r="1002" spans="1:9" x14ac:dyDescent="0.25">
      <c r="B1002" s="57" t="str">
        <f>IF($A1002=0,"",VLOOKUP($A1002,'BASE EQUIPO'!$A:$D,2))</f>
        <v/>
      </c>
      <c r="C1002" s="58"/>
      <c r="D1002" s="85"/>
      <c r="E1002" s="86" t="str">
        <f>IF($A1002=0,"",VLOOKUP($A1002,'BASE EQUIPO'!$A:$D,3))</f>
        <v/>
      </c>
      <c r="F1002" s="59"/>
      <c r="G1002" s="59" t="str">
        <f>IF($A1002=0,"",VLOOKUP($A1002,'BASE EQUIPO'!$A:$D,4)*H999)</f>
        <v/>
      </c>
      <c r="H1002" s="60" t="str">
        <f>IF($A1002=0,"",ROUND(F1002*G1002,2))</f>
        <v/>
      </c>
      <c r="I1002" s="2"/>
    </row>
    <row r="1003" spans="1:9" ht="15.75" thickBot="1" x14ac:dyDescent="0.3">
      <c r="B1003" s="87" t="s">
        <v>1674</v>
      </c>
      <c r="C1003" s="88"/>
      <c r="D1003" s="89"/>
      <c r="E1003" s="89"/>
      <c r="F1003" s="89"/>
      <c r="G1003" s="89"/>
      <c r="H1003" s="90">
        <f>ROUND(SUM(H999:H1002),2)</f>
        <v>12.29</v>
      </c>
      <c r="I1003" s="2"/>
    </row>
    <row r="1004" spans="1:9" ht="15.75" x14ac:dyDescent="0.25">
      <c r="B1004" s="2"/>
      <c r="C1004" s="2"/>
      <c r="D1004" s="91" t="s">
        <v>1673</v>
      </c>
      <c r="E1004" s="47"/>
      <c r="F1004" s="47"/>
      <c r="G1004" s="47"/>
      <c r="H1004" s="92">
        <f>ROUND(SUM(H1003,H997,H978,H968),2)</f>
        <v>497.33</v>
      </c>
      <c r="I1004" s="2"/>
    </row>
    <row r="1005" spans="1:9" ht="15.75" x14ac:dyDescent="0.25">
      <c r="A1005" s="103">
        <v>40002</v>
      </c>
      <c r="B1005" s="2"/>
      <c r="C1005" s="2"/>
      <c r="D1005" s="93" t="s">
        <v>1672</v>
      </c>
      <c r="E1005" s="65"/>
      <c r="F1005" s="65"/>
      <c r="G1005" s="94">
        <f>IF($A1005=0,"",VLOOKUP($A1005,'BASE MATERIAL'!$M:$P,4))</f>
        <v>0</v>
      </c>
      <c r="H1005" s="95">
        <f>IF($A1005=0,"",ROUND(G1005*H1004,2))</f>
        <v>0</v>
      </c>
      <c r="I1005" s="2"/>
    </row>
    <row r="1006" spans="1:9" ht="15.75" x14ac:dyDescent="0.25">
      <c r="A1006" s="103">
        <v>40003</v>
      </c>
      <c r="B1006" s="2"/>
      <c r="C1006" s="2"/>
      <c r="D1006" s="93" t="s">
        <v>1671</v>
      </c>
      <c r="E1006" s="65"/>
      <c r="F1006" s="65"/>
      <c r="G1006" s="94">
        <f>IF($A1006=0,"",VLOOKUP($A1006,'BASE MATERIAL'!$M:$P,4))</f>
        <v>0</v>
      </c>
      <c r="H1006" s="95">
        <f>IF($A1006=0,"",ROUND(G1006*H1004,2))</f>
        <v>0</v>
      </c>
      <c r="I1006" s="2"/>
    </row>
    <row r="1007" spans="1:9" ht="15.75" x14ac:dyDescent="0.25">
      <c r="B1007" s="2"/>
      <c r="C1007" s="2"/>
      <c r="D1007" s="93" t="s">
        <v>1670</v>
      </c>
      <c r="E1007" s="65"/>
      <c r="F1007" s="65"/>
      <c r="G1007" s="65"/>
      <c r="H1007" s="96">
        <f>ROUND(SUM(H1004:H1006),2)</f>
        <v>497.33</v>
      </c>
      <c r="I1007" s="2"/>
    </row>
    <row r="1008" spans="1:9" ht="16.5" thickBot="1" x14ac:dyDescent="0.3">
      <c r="B1008" s="25"/>
      <c r="C1008" s="2"/>
      <c r="D1008" s="97" t="s">
        <v>1650</v>
      </c>
      <c r="E1008" s="88"/>
      <c r="F1008" s="88"/>
      <c r="G1008" s="88"/>
      <c r="H1008" s="98">
        <f>ROUND(H1007,2)</f>
        <v>497.33</v>
      </c>
      <c r="I1008" s="2"/>
    </row>
    <row r="1009" spans="1:15" ht="15.75" x14ac:dyDescent="0.25">
      <c r="B1009" s="34" t="s">
        <v>1701</v>
      </c>
      <c r="C1009" s="2"/>
      <c r="D1009" s="3" t="str">
        <f>$D$1</f>
        <v>ESPOL</v>
      </c>
      <c r="E1009" s="2"/>
      <c r="F1009" s="2"/>
      <c r="H1009" s="2" t="s">
        <v>108</v>
      </c>
      <c r="I1009" s="2"/>
      <c r="L1009" s="40">
        <f>A1013</f>
        <v>6</v>
      </c>
      <c r="M1009" s="1" t="str">
        <f>C1014</f>
        <v>Hormigon armado en Losa e= 25cm</v>
      </c>
      <c r="N1009" s="2" t="str">
        <f>H1013</f>
        <v>m3</v>
      </c>
      <c r="O1009" s="2">
        <f>H1064</f>
        <v>43.69</v>
      </c>
    </row>
    <row r="1010" spans="1:15" ht="15.75" x14ac:dyDescent="0.25">
      <c r="B1010" s="34" t="s">
        <v>1700</v>
      </c>
      <c r="C1010" s="3">
        <f>'1.1'!$C$2</f>
        <v>0</v>
      </c>
      <c r="D1010" s="2"/>
      <c r="E1010" s="2"/>
      <c r="F1010" s="2"/>
      <c r="G1010" s="41" t="s">
        <v>1699</v>
      </c>
      <c r="H1010" s="42"/>
      <c r="I1010" s="2" t="s">
        <v>1698</v>
      </c>
    </row>
    <row r="1011" spans="1:15" ht="15.75" x14ac:dyDescent="0.25">
      <c r="B1011" s="34"/>
      <c r="C1011" s="3">
        <f>'1.1'!$C$3</f>
        <v>0</v>
      </c>
      <c r="D1011" s="2"/>
      <c r="E1011" s="2"/>
      <c r="F1011" s="2"/>
      <c r="G1011" s="2"/>
      <c r="H1011" s="2"/>
      <c r="I1011" s="2"/>
    </row>
    <row r="1012" spans="1:15" ht="15.75" x14ac:dyDescent="0.25">
      <c r="B1012" s="34" t="s">
        <v>1697</v>
      </c>
      <c r="C1012" s="3"/>
      <c r="D1012" s="2"/>
      <c r="E1012" s="2"/>
      <c r="F1012" s="2"/>
      <c r="G1012" s="2"/>
      <c r="H1012" s="2"/>
      <c r="I1012" s="2"/>
    </row>
    <row r="1013" spans="1:15" x14ac:dyDescent="0.25">
      <c r="A1013" s="104">
        <v>6</v>
      </c>
      <c r="B1013" s="2" t="s">
        <v>1586</v>
      </c>
      <c r="C1013" s="36" t="s">
        <v>624</v>
      </c>
      <c r="D1013" s="2"/>
      <c r="G1013" s="2" t="s">
        <v>1696</v>
      </c>
      <c r="H1013" s="3" t="s">
        <v>1521</v>
      </c>
      <c r="I1013" s="2"/>
    </row>
    <row r="1014" spans="1:15" x14ac:dyDescent="0.25">
      <c r="B1014" s="1" t="s">
        <v>1585</v>
      </c>
      <c r="C1014" s="36" t="s">
        <v>1841</v>
      </c>
      <c r="D1014" s="2"/>
      <c r="E1014" s="2"/>
      <c r="F1014" s="2"/>
      <c r="G1014" s="2"/>
      <c r="H1014" s="2"/>
      <c r="I1014" s="2"/>
    </row>
    <row r="1015" spans="1:15" ht="15.75" thickBot="1" x14ac:dyDescent="0.3">
      <c r="D1015" s="2"/>
      <c r="E1015" s="2"/>
      <c r="F1015" s="2"/>
      <c r="G1015" s="2"/>
      <c r="H1015" s="2"/>
      <c r="I1015" s="2"/>
    </row>
    <row r="1016" spans="1:15" ht="15.75" thickBot="1" x14ac:dyDescent="0.3">
      <c r="B1016" s="43" t="s">
        <v>1695</v>
      </c>
      <c r="C1016" s="44"/>
      <c r="D1016" s="44"/>
      <c r="E1016" s="44"/>
      <c r="F1016" s="44"/>
      <c r="G1016" s="44"/>
      <c r="H1016" s="45"/>
      <c r="I1016" s="2"/>
    </row>
    <row r="1017" spans="1:15" ht="25.5" x14ac:dyDescent="0.25">
      <c r="B1017" s="46" t="s">
        <v>1409</v>
      </c>
      <c r="C1017" s="47"/>
      <c r="D1017" s="48" t="s">
        <v>1690</v>
      </c>
      <c r="E1017" s="48" t="s">
        <v>1694</v>
      </c>
      <c r="F1017" s="48" t="s">
        <v>1693</v>
      </c>
      <c r="G1017" s="49" t="s">
        <v>1687</v>
      </c>
      <c r="H1017" s="50" t="s">
        <v>1686</v>
      </c>
      <c r="I1017" s="2"/>
    </row>
    <row r="1018" spans="1:15" x14ac:dyDescent="0.25">
      <c r="A1018" s="103">
        <v>19015</v>
      </c>
      <c r="B1018" s="51" t="str">
        <f>IF($A1018=0,"",VLOOKUP($A1018,'BASE EQUIPO'!$A:$D,2))</f>
        <v>HERRAMIENTA MENOR</v>
      </c>
      <c r="C1018" s="52"/>
      <c r="D1018" s="53">
        <v>1</v>
      </c>
      <c r="E1018" s="53">
        <f>IF($A1018=0,"",VLOOKUP($A1018,'BASE EQUIPO'!$A:$D,4)*H1034)</f>
        <v>0.435</v>
      </c>
      <c r="F1018" s="53">
        <f t="shared" ref="F1018:F1023" si="96">IF($A1018=0,"",ROUND(D1018*E1018,2))</f>
        <v>0.44</v>
      </c>
      <c r="G1018" s="105">
        <v>1</v>
      </c>
      <c r="H1018" s="54">
        <f t="shared" ref="H1018:H1023" si="97">IF($A1018=0,"",ROUND(G1018*F1018,2))</f>
        <v>0.44</v>
      </c>
      <c r="I1018" s="2"/>
    </row>
    <row r="1019" spans="1:15" x14ac:dyDescent="0.25">
      <c r="A1019" s="103">
        <v>19003</v>
      </c>
      <c r="B1019" s="38" t="str">
        <f>IF($A1019=0,"",VLOOKUP($A1019,'BASE EQUIPO'!$A:$D,2))</f>
        <v>CONCRETERA</v>
      </c>
      <c r="C1019" s="2"/>
      <c r="D1019" s="55">
        <v>1</v>
      </c>
      <c r="E1019" s="55">
        <f>IF($A1019=0,"",VLOOKUP($A1019,'BASE EQUIPO'!$A:$D,4))</f>
        <v>3.5</v>
      </c>
      <c r="F1019" s="55">
        <f t="shared" si="96"/>
        <v>3.5</v>
      </c>
      <c r="G1019" s="106">
        <f>+G1028*0.5</f>
        <v>9.5000000000000001E-2</v>
      </c>
      <c r="H1019" s="56">
        <f t="shared" si="97"/>
        <v>0.33</v>
      </c>
      <c r="I1019" s="2"/>
    </row>
    <row r="1020" spans="1:15" x14ac:dyDescent="0.25">
      <c r="A1020" s="103">
        <v>19008</v>
      </c>
      <c r="B1020" s="38" t="str">
        <f>IF($A1020=0,"",VLOOKUP($A1020,'BASE EQUIPO'!$A:$D,2))</f>
        <v>VIBRADOR</v>
      </c>
      <c r="C1020" s="2"/>
      <c r="D1020" s="55">
        <v>1</v>
      </c>
      <c r="E1020" s="55">
        <f>IF($A1020=0,"",VLOOKUP($A1020,'BASE EQUIPO'!$A:$D,4))</f>
        <v>2.5</v>
      </c>
      <c r="F1020" s="55">
        <f t="shared" si="96"/>
        <v>2.5</v>
      </c>
      <c r="G1020" s="106">
        <f>+G1029*0.5</f>
        <v>9.5000000000000001E-2</v>
      </c>
      <c r="H1020" s="56">
        <f t="shared" si="97"/>
        <v>0.24</v>
      </c>
      <c r="I1020" s="2"/>
    </row>
    <row r="1021" spans="1:15" x14ac:dyDescent="0.25">
      <c r="B1021" s="38" t="str">
        <f>IF($A1021=0,"",VLOOKUP($A1021,'BASE EQUIPO'!$A:$D,2))</f>
        <v/>
      </c>
      <c r="C1021" s="2"/>
      <c r="D1021" s="55"/>
      <c r="E1021" s="55" t="str">
        <f>IF($A1021=0,"",VLOOKUP($A1021,'BASE EQUIPO'!$A:$D,4))</f>
        <v/>
      </c>
      <c r="F1021" s="55" t="str">
        <f t="shared" si="96"/>
        <v/>
      </c>
      <c r="G1021" s="106"/>
      <c r="H1021" s="56" t="str">
        <f t="shared" si="97"/>
        <v/>
      </c>
      <c r="I1021" s="2"/>
    </row>
    <row r="1022" spans="1:15" x14ac:dyDescent="0.25">
      <c r="B1022" s="38" t="str">
        <f>IF($A1022=0,"",VLOOKUP($A1022,'BASE EQUIPO'!$A:$D,2))</f>
        <v/>
      </c>
      <c r="C1022" s="2"/>
      <c r="D1022" s="55"/>
      <c r="E1022" s="55" t="str">
        <f>IF($A1022=0,"",VLOOKUP($A1022,'BASE EQUIPO'!$A:$D,4))</f>
        <v/>
      </c>
      <c r="F1022" s="55" t="str">
        <f t="shared" si="96"/>
        <v/>
      </c>
      <c r="G1022" s="106"/>
      <c r="H1022" s="56" t="str">
        <f t="shared" si="97"/>
        <v/>
      </c>
      <c r="I1022" s="2"/>
    </row>
    <row r="1023" spans="1:15" x14ac:dyDescent="0.25">
      <c r="B1023" s="57" t="str">
        <f>IF($A1023=0,"",VLOOKUP($A1023,'BASE EQUIPO'!$A:$D,2))</f>
        <v/>
      </c>
      <c r="C1023" s="58"/>
      <c r="D1023" s="59"/>
      <c r="E1023" s="59" t="str">
        <f>IF($A1023=0,"",VLOOKUP($A1023,'BASE EQUIPO'!$A:$D,4))</f>
        <v/>
      </c>
      <c r="F1023" s="59" t="str">
        <f t="shared" si="96"/>
        <v/>
      </c>
      <c r="G1023" s="107"/>
      <c r="H1023" s="60" t="str">
        <f t="shared" si="97"/>
        <v/>
      </c>
      <c r="I1023" s="2"/>
    </row>
    <row r="1024" spans="1:15" x14ac:dyDescent="0.25">
      <c r="B1024" s="57" t="s">
        <v>1692</v>
      </c>
      <c r="C1024" s="58"/>
      <c r="D1024" s="61"/>
      <c r="E1024" s="61"/>
      <c r="F1024" s="61"/>
      <c r="G1024" s="62"/>
      <c r="H1024" s="60">
        <f>ROUND(SUM(H1017:H1023),2)</f>
        <v>1.01</v>
      </c>
      <c r="I1024" s="2"/>
    </row>
    <row r="1025" spans="1:16" x14ac:dyDescent="0.25">
      <c r="B1025" s="38" t="s">
        <v>1503</v>
      </c>
      <c r="C1025" s="2"/>
      <c r="D1025" s="3"/>
      <c r="E1025" s="3"/>
      <c r="F1025" s="3"/>
      <c r="G1025" s="63"/>
      <c r="H1025" s="56"/>
      <c r="I1025" s="2"/>
    </row>
    <row r="1026" spans="1:16" ht="25.5" x14ac:dyDescent="0.25">
      <c r="B1026" s="64" t="s">
        <v>1691</v>
      </c>
      <c r="C1026" s="65"/>
      <c r="D1026" s="66" t="s">
        <v>1690</v>
      </c>
      <c r="E1026" s="66" t="s">
        <v>1689</v>
      </c>
      <c r="F1026" s="66" t="s">
        <v>1688</v>
      </c>
      <c r="G1026" s="67" t="s">
        <v>1687</v>
      </c>
      <c r="H1026" s="68" t="s">
        <v>1686</v>
      </c>
      <c r="I1026" s="2"/>
    </row>
    <row r="1027" spans="1:16" x14ac:dyDescent="0.25">
      <c r="A1027" s="103">
        <v>20001</v>
      </c>
      <c r="B1027" s="69" t="str">
        <f>IF($A1027=0,"",VLOOKUP($A1027,'BASE M-OBRA'!$A:$D,2))</f>
        <v>MAESTRO</v>
      </c>
      <c r="C1027" s="2"/>
      <c r="D1027" s="108">
        <v>1</v>
      </c>
      <c r="E1027" s="70">
        <f>IF($A1027=0,"",VLOOKUP($A1027,'BASE M-OBRA'!$A:$D,4))</f>
        <v>3.02</v>
      </c>
      <c r="F1027" s="55">
        <f t="shared" ref="F1027:F1033" si="98">IF($A1027=0,"",ROUND(D1027*E1027,2))</f>
        <v>3.02</v>
      </c>
      <c r="G1027" s="106">
        <f>IF($A1027=0,"",ROUND(H1027/F1027,2))</f>
        <v>0.8</v>
      </c>
      <c r="H1027" s="56">
        <f>IF($A1027=0,"",ROUND(SUM(H1028:H1033)*'BASE M-OBRA'!$D$23,2))</f>
        <v>2.42</v>
      </c>
      <c r="I1027" s="2"/>
    </row>
    <row r="1028" spans="1:16" x14ac:dyDescent="0.25">
      <c r="A1028" s="103">
        <v>20002</v>
      </c>
      <c r="B1028" s="69" t="str">
        <f>IF($A1028=0,"",VLOOKUP($A1028,'BASE M-OBRA'!$A:$D,2))</f>
        <v>PEON</v>
      </c>
      <c r="C1028" s="2"/>
      <c r="D1028" s="108">
        <v>8</v>
      </c>
      <c r="E1028" s="70">
        <f>IF($A1028=0,"",VLOOKUP($A1028,'BASE M-OBRA'!$A:$D,4))</f>
        <v>2.79</v>
      </c>
      <c r="F1028" s="55">
        <f t="shared" si="98"/>
        <v>22.32</v>
      </c>
      <c r="G1028" s="106">
        <v>0.19</v>
      </c>
      <c r="H1028" s="56">
        <f t="shared" ref="H1028:H1033" si="99">IF($A1028=0,"",ROUND(G1028*F1028,2))</f>
        <v>4.24</v>
      </c>
      <c r="I1028" s="2"/>
      <c r="K1028" s="1">
        <f>(8.94*0+25.32)*0.09+3.68*K1037/1.2</f>
        <v>5.3454666666666668</v>
      </c>
      <c r="L1028" s="2">
        <f>H1028+H1029</f>
        <v>5.3100000000000005</v>
      </c>
    </row>
    <row r="1029" spans="1:16" x14ac:dyDescent="0.25">
      <c r="A1029" s="103">
        <v>20003</v>
      </c>
      <c r="B1029" s="69" t="str">
        <f>IF($A1029=0,"",VLOOKUP($A1029,'BASE M-OBRA'!$A:$D,2))</f>
        <v>ALBAÑIL</v>
      </c>
      <c r="C1029" s="2"/>
      <c r="D1029" s="108">
        <v>2</v>
      </c>
      <c r="E1029" s="70">
        <f>IF($A1029=0,"",VLOOKUP($A1029,'BASE M-OBRA'!$A:$D,4))</f>
        <v>2.82</v>
      </c>
      <c r="F1029" s="55">
        <f t="shared" si="98"/>
        <v>5.64</v>
      </c>
      <c r="G1029" s="106">
        <f>+G1028</f>
        <v>0.19</v>
      </c>
      <c r="H1029" s="56">
        <f t="shared" si="99"/>
        <v>1.07</v>
      </c>
      <c r="I1029" s="2"/>
    </row>
    <row r="1030" spans="1:16" x14ac:dyDescent="0.25">
      <c r="A1030" s="103">
        <v>20004</v>
      </c>
      <c r="B1030" s="71" t="str">
        <f>IF($A1030=0,"",VLOOKUP($A1030,'BASE M-OBRA'!$A:$D,2))</f>
        <v>CARPINTERO</v>
      </c>
      <c r="C1030" s="2"/>
      <c r="D1030" s="108">
        <v>2</v>
      </c>
      <c r="E1030" s="70">
        <f>IF($A1030=0,"",VLOOKUP($A1030,'BASE M-OBRA'!$A:$D,4))</f>
        <v>2.82</v>
      </c>
      <c r="F1030" s="55">
        <f t="shared" si="98"/>
        <v>5.64</v>
      </c>
      <c r="G1030" s="106">
        <v>0.9</v>
      </c>
      <c r="H1030" s="56">
        <f t="shared" si="99"/>
        <v>5.08</v>
      </c>
      <c r="I1030" s="2"/>
      <c r="K1030" s="1">
        <f>(2.7*0+6.34)*K1037/1.2</f>
        <v>5.2833333333333332</v>
      </c>
    </row>
    <row r="1031" spans="1:16" x14ac:dyDescent="0.25">
      <c r="A1031" s="103">
        <v>20005</v>
      </c>
      <c r="B1031" s="72" t="str">
        <f>IF($A1031=0,"",VLOOKUP($A1031,'BASE M-OBRA'!$A:$D,2))</f>
        <v>FIERRERO</v>
      </c>
      <c r="C1031" s="2"/>
      <c r="D1031" s="108">
        <v>2</v>
      </c>
      <c r="E1031" s="70">
        <f>IF($A1031=0,"",VLOOKUP($A1031,'BASE M-OBRA'!$A:$D,4))</f>
        <v>2.82</v>
      </c>
      <c r="F1031" s="55">
        <f t="shared" si="98"/>
        <v>5.64</v>
      </c>
      <c r="G1031" s="106">
        <v>0.3</v>
      </c>
      <c r="H1031" s="56">
        <f t="shared" si="99"/>
        <v>1.69</v>
      </c>
      <c r="I1031" s="2"/>
      <c r="K1031" s="1">
        <f>((F1046*0.31+K1037*1)/1.2)</f>
        <v>1.7158</v>
      </c>
    </row>
    <row r="1032" spans="1:16" x14ac:dyDescent="0.25">
      <c r="B1032" s="38" t="str">
        <f>IF($A1032=0,"",VLOOKUP($A1032,'BASE M-OBRA'!$A:$D,2))</f>
        <v/>
      </c>
      <c r="C1032" s="2"/>
      <c r="D1032" s="55"/>
      <c r="E1032" s="55" t="str">
        <f>IF($A1032=0,"",VLOOKUP($A1032,'BASE M-OBRA'!$A:$D,4))</f>
        <v/>
      </c>
      <c r="F1032" s="55" t="str">
        <f t="shared" si="98"/>
        <v/>
      </c>
      <c r="G1032" s="106"/>
      <c r="H1032" s="56" t="str">
        <f t="shared" si="99"/>
        <v/>
      </c>
      <c r="I1032" s="2"/>
    </row>
    <row r="1033" spans="1:16" x14ac:dyDescent="0.25">
      <c r="B1033" s="57" t="str">
        <f>IF($A1033=0,"",VLOOKUP($A1033,'BASE M-OBRA'!$A:$D,2))</f>
        <v/>
      </c>
      <c r="C1033" s="58"/>
      <c r="D1033" s="59"/>
      <c r="E1033" s="59" t="str">
        <f>IF($A1033=0,"",VLOOKUP($A1033,'BASE M-OBRA'!$A:$D,4))</f>
        <v/>
      </c>
      <c r="F1033" s="59" t="str">
        <f t="shared" si="98"/>
        <v/>
      </c>
      <c r="G1033" s="107"/>
      <c r="H1033" s="60" t="str">
        <f t="shared" si="99"/>
        <v/>
      </c>
      <c r="I1033" s="2"/>
    </row>
    <row r="1034" spans="1:16" x14ac:dyDescent="0.25">
      <c r="B1034" s="73" t="s">
        <v>1685</v>
      </c>
      <c r="C1034" s="65"/>
      <c r="D1034" s="74"/>
      <c r="E1034" s="74"/>
      <c r="F1034" s="74"/>
      <c r="G1034" s="74"/>
      <c r="H1034" s="75">
        <f>ROUND(SUM(H1026:H1033),2)</f>
        <v>14.5</v>
      </c>
      <c r="I1034" s="2"/>
      <c r="K1034" s="1">
        <f>SUM(K1028:K1033)</f>
        <v>12.3446</v>
      </c>
    </row>
    <row r="1035" spans="1:16" x14ac:dyDescent="0.25">
      <c r="B1035" s="38" t="s">
        <v>1684</v>
      </c>
      <c r="C1035" s="2"/>
      <c r="D1035" s="3"/>
      <c r="E1035" s="3"/>
      <c r="F1035" s="3"/>
      <c r="G1035" s="3"/>
      <c r="H1035" s="56"/>
      <c r="I1035" s="2"/>
    </row>
    <row r="1036" spans="1:16" ht="25.5" x14ac:dyDescent="0.25">
      <c r="B1036" s="64" t="s">
        <v>1409</v>
      </c>
      <c r="C1036" s="65"/>
      <c r="D1036" s="76"/>
      <c r="E1036" s="66" t="s">
        <v>1408</v>
      </c>
      <c r="F1036" s="66" t="s">
        <v>1679</v>
      </c>
      <c r="G1036" s="66" t="s">
        <v>1683</v>
      </c>
      <c r="H1036" s="68" t="s">
        <v>1675</v>
      </c>
      <c r="I1036" s="2"/>
    </row>
    <row r="1037" spans="1:16" x14ac:dyDescent="0.25">
      <c r="A1037" s="103">
        <v>11008</v>
      </c>
      <c r="B1037" s="37" t="str">
        <f>IF($A1037=0,"",VLOOKUP($A1037,'BASE MATERIAL'!$A:$D,2))</f>
        <v>TABLA</v>
      </c>
      <c r="C1037" s="2"/>
      <c r="D1037" s="77"/>
      <c r="E1037" s="78" t="str">
        <f>IF($A1037=0,"",VLOOKUP($A1037,'BASE MATERIAL'!$A:$D,3))</f>
        <v>U</v>
      </c>
      <c r="F1037" s="55">
        <f>ROUND(K1037*5/(4*3),2)</f>
        <v>0.42</v>
      </c>
      <c r="G1037" s="55">
        <f>IF($A1037=0,"",VLOOKUP($A1037,'BASE MATERIAL'!$A:$D,4))</f>
        <v>3.5</v>
      </c>
      <c r="H1037" s="56">
        <f t="shared" ref="H1037:H1051" si="100">IF($A1037=0,"",ROUND(F1037*G1037,2))</f>
        <v>1.47</v>
      </c>
      <c r="I1037" s="2"/>
      <c r="K1037" s="1">
        <v>1</v>
      </c>
      <c r="L1037" s="2"/>
      <c r="M1037" s="2"/>
      <c r="N1037" s="39"/>
      <c r="O1037" s="2"/>
      <c r="P1037" s="2"/>
    </row>
    <row r="1038" spans="1:16" x14ac:dyDescent="0.25">
      <c r="A1038" s="103">
        <v>11009</v>
      </c>
      <c r="B1038" s="38" t="str">
        <f>IF($A1038=0,"",VLOOKUP($A1038,'BASE MATERIAL'!$A:$D,2))</f>
        <v>CUARTON</v>
      </c>
      <c r="C1038" s="2"/>
      <c r="D1038" s="77"/>
      <c r="E1038" s="78" t="str">
        <f>IF($A1038=0,"",VLOOKUP($A1038,'BASE MATERIAL'!$A:$D,3))</f>
        <v>U</v>
      </c>
      <c r="F1038" s="55">
        <f>ROUND(K1037*8/(4*3),2)</f>
        <v>0.67</v>
      </c>
      <c r="G1038" s="55">
        <f>IF($A1038=0,"",VLOOKUP($A1038,'BASE MATERIAL'!$A:$D,4))</f>
        <v>2.42</v>
      </c>
      <c r="H1038" s="56">
        <f t="shared" si="100"/>
        <v>1.62</v>
      </c>
      <c r="I1038" s="2"/>
      <c r="K1038" s="1">
        <f>(0.1*0.2*2+0.05)</f>
        <v>9.0000000000000011E-2</v>
      </c>
      <c r="L1038" s="2"/>
      <c r="M1038" s="2"/>
      <c r="N1038" s="39"/>
      <c r="O1038" s="2"/>
      <c r="P1038" s="2"/>
    </row>
    <row r="1039" spans="1:16" x14ac:dyDescent="0.25">
      <c r="A1039" s="103">
        <v>11007</v>
      </c>
      <c r="B1039" s="38" t="str">
        <f>IF($A1039=0,"",VLOOKUP($A1039,'BASE MATERIAL'!$A:$D,2))</f>
        <v>CLAVO 2 1/2"</v>
      </c>
      <c r="C1039" s="2"/>
      <c r="D1039" s="77"/>
      <c r="E1039" s="78" t="str">
        <f>IF($A1039=0,"",VLOOKUP($A1039,'BASE MATERIAL'!$A:$D,3))</f>
        <v>KG</v>
      </c>
      <c r="F1039" s="55">
        <f>ROUND(K1037*56/(178*1.5),2)</f>
        <v>0.21</v>
      </c>
      <c r="G1039" s="55">
        <f>IF($A1039=0,"",VLOOKUP($A1039,'BASE MATERIAL'!$A:$D,4))</f>
        <v>2.6520000000000001</v>
      </c>
      <c r="H1039" s="56">
        <f t="shared" si="100"/>
        <v>0.56000000000000005</v>
      </c>
      <c r="I1039" s="2"/>
      <c r="L1039" s="2"/>
      <c r="M1039" s="2"/>
      <c r="N1039" s="39"/>
      <c r="O1039" s="2"/>
      <c r="P1039" s="2"/>
    </row>
    <row r="1040" spans="1:16" x14ac:dyDescent="0.25">
      <c r="A1040" s="103">
        <v>11010</v>
      </c>
      <c r="B1040" s="38" t="str">
        <f>IF($A1040=0,"",VLOOKUP($A1040,'BASE MATERIAL'!$A:$D,2))</f>
        <v>TIRA</v>
      </c>
      <c r="C1040" s="2"/>
      <c r="D1040" s="77"/>
      <c r="E1040" s="78" t="str">
        <f>IF($A1040=0,"",VLOOKUP($A1040,'BASE MATERIAL'!$A:$D,3))</f>
        <v>U</v>
      </c>
      <c r="F1040" s="55">
        <f>ROUND(K1037*4/(4*3),2)</f>
        <v>0.33</v>
      </c>
      <c r="G1040" s="55">
        <f>IF($A1040=0,"",VLOOKUP($A1040,'BASE MATERIAL'!$A:$D,4))</f>
        <v>1.5</v>
      </c>
      <c r="H1040" s="56">
        <f t="shared" si="100"/>
        <v>0.5</v>
      </c>
      <c r="I1040" s="2"/>
      <c r="L1040" s="2"/>
      <c r="M1040" s="2"/>
      <c r="N1040" s="39"/>
      <c r="O1040" s="2"/>
      <c r="P1040" s="2"/>
    </row>
    <row r="1041" spans="1:16" x14ac:dyDescent="0.25">
      <c r="A1041" s="103">
        <v>4001</v>
      </c>
      <c r="B1041" s="38" t="str">
        <f>IF($A1041=0,"",VLOOKUP($A1041,'BASE MATERIAL'!$A:$D,2))</f>
        <v>CEMENTO</v>
      </c>
      <c r="C1041" s="2"/>
      <c r="D1041" s="77"/>
      <c r="E1041" s="78" t="str">
        <f>IF($A1041=0,"",VLOOKUP($A1041,'BASE MATERIAL'!$A:$D,3))</f>
        <v>SACO</v>
      </c>
      <c r="F1041" s="55">
        <f>8*1.03*0.09</f>
        <v>0.74160000000000004</v>
      </c>
      <c r="G1041" s="55">
        <f>IF($A1041=0,"",VLOOKUP($A1041,'BASE MATERIAL'!$A:$D,4))</f>
        <v>7.09</v>
      </c>
      <c r="H1041" s="56">
        <f t="shared" si="100"/>
        <v>5.26</v>
      </c>
      <c r="I1041" s="2"/>
      <c r="L1041" s="2"/>
      <c r="M1041" s="2"/>
      <c r="N1041" s="39"/>
      <c r="O1041" s="2"/>
      <c r="P1041" s="2"/>
    </row>
    <row r="1042" spans="1:16" x14ac:dyDescent="0.25">
      <c r="A1042" s="103">
        <v>5004</v>
      </c>
      <c r="B1042" s="38" t="str">
        <f>IF($A1042=0,"",VLOOKUP($A1042,'BASE MATERIAL'!$A:$D,2))</f>
        <v>ARENA</v>
      </c>
      <c r="C1042" s="2"/>
      <c r="D1042" s="77"/>
      <c r="E1042" s="78" t="str">
        <f>IF($A1042=0,"",VLOOKUP($A1042,'BASE MATERIAL'!$A:$D,3))</f>
        <v>M3</v>
      </c>
      <c r="F1042" s="55">
        <f>ROUND(F1041*0.032*2,2)</f>
        <v>0.05</v>
      </c>
      <c r="G1042" s="55">
        <f>IF($A1042=0,"",VLOOKUP($A1042,'BASE MATERIAL'!$A:$D,4))</f>
        <v>12.276249999999999</v>
      </c>
      <c r="H1042" s="56">
        <f t="shared" si="100"/>
        <v>0.61</v>
      </c>
      <c r="I1042" s="2"/>
    </row>
    <row r="1043" spans="1:16" x14ac:dyDescent="0.25">
      <c r="A1043" s="103">
        <v>5002</v>
      </c>
      <c r="B1043" s="38" t="str">
        <f>IF($A1043=0,"",VLOOKUP($A1043,'BASE MATERIAL'!$A:$D,2))</f>
        <v>PIEDRA 3-4</v>
      </c>
      <c r="C1043" s="2"/>
      <c r="D1043" s="77"/>
      <c r="E1043" s="78" t="str">
        <f>IF($A1043=0,"",VLOOKUP($A1043,'BASE MATERIAL'!$A:$D,3))</f>
        <v>M3</v>
      </c>
      <c r="F1043" s="55">
        <f>ROUND(F1041*0.032*3,2)</f>
        <v>7.0000000000000007E-2</v>
      </c>
      <c r="G1043" s="55">
        <f>IF($A1043=0,"",VLOOKUP($A1043,'BASE MATERIAL'!$A:$D,4))</f>
        <v>13.75</v>
      </c>
      <c r="H1043" s="56">
        <f t="shared" si="100"/>
        <v>0.96</v>
      </c>
      <c r="I1043" s="2"/>
      <c r="L1043" s="2"/>
      <c r="M1043" s="2"/>
      <c r="N1043" s="39"/>
      <c r="O1043" s="2"/>
      <c r="P1043" s="2"/>
    </row>
    <row r="1044" spans="1:16" x14ac:dyDescent="0.25">
      <c r="A1044" s="103">
        <v>5005</v>
      </c>
      <c r="B1044" s="38" t="str">
        <f>IF($A1044=0,"",VLOOKUP($A1044,'BASE MATERIAL'!$A:$D,2))</f>
        <v>AGUA</v>
      </c>
      <c r="C1044" s="2"/>
      <c r="D1044" s="77"/>
      <c r="E1044" s="78" t="str">
        <f>IF($A1044=0,"",VLOOKUP($A1044,'BASE MATERIAL'!$A:$D,3))</f>
        <v>LT</v>
      </c>
      <c r="F1044" s="55">
        <f>26*F1041</f>
        <v>19.281600000000001</v>
      </c>
      <c r="G1044" s="112">
        <f>IF($A1044=0,"",VLOOKUP($A1044,'BASE MATERIAL'!$A:$D,4))</f>
        <v>2E-3</v>
      </c>
      <c r="H1044" s="56">
        <f t="shared" si="100"/>
        <v>0.04</v>
      </c>
      <c r="I1044" s="2"/>
      <c r="L1044" s="2"/>
      <c r="M1044" s="2"/>
      <c r="N1044" s="39"/>
      <c r="O1044" s="2"/>
      <c r="P1044" s="2"/>
    </row>
    <row r="1045" spans="1:16" x14ac:dyDescent="0.25">
      <c r="A1045" s="103">
        <v>8010</v>
      </c>
      <c r="B1045" s="38" t="str">
        <f>IF($A1045=0,"",VLOOKUP($A1045,'BASE MATERIAL'!$A:$D,2))</f>
        <v>BLOQUE DE CONCRETO PARA LOSA 19x19x39 BLL19</v>
      </c>
      <c r="C1045" s="2"/>
      <c r="D1045" s="77"/>
      <c r="E1045" s="78" t="str">
        <f>IF($A1045=0,"",VLOOKUP($A1045,'BASE MATERIAL'!$A:$D,3))</f>
        <v>U</v>
      </c>
      <c r="F1045" s="55">
        <f>(5*2)*K1037</f>
        <v>10</v>
      </c>
      <c r="G1045" s="55">
        <f>IF($A1045=0,"",VLOOKUP($A1045,'BASE MATERIAL'!$A:$D,4))</f>
        <v>0.46</v>
      </c>
      <c r="H1045" s="56">
        <f t="shared" si="100"/>
        <v>4.5999999999999996</v>
      </c>
      <c r="I1045" s="2"/>
      <c r="L1045" s="2"/>
      <c r="M1045" s="2"/>
      <c r="N1045" s="39"/>
      <c r="O1045" s="2"/>
      <c r="P1045" s="2"/>
    </row>
    <row r="1046" spans="1:16" x14ac:dyDescent="0.25">
      <c r="A1046" s="103">
        <v>1001</v>
      </c>
      <c r="B1046" s="38" t="str">
        <f>IF($A1046=0,"",VLOOKUP($A1046,'BASE MATERIAL'!$A:$D,2))</f>
        <v>HIERRO</v>
      </c>
      <c r="C1046" s="2"/>
      <c r="D1046" s="77"/>
      <c r="E1046" s="78" t="str">
        <f>IF($A1046=0,"",VLOOKUP($A1046,'BASE MATERIAL'!$A:$D,3))</f>
        <v>KG</v>
      </c>
      <c r="F1046" s="55">
        <f>(2*2*0.617+8*0.3*0.395)*K1037</f>
        <v>3.4159999999999999</v>
      </c>
      <c r="G1046" s="55">
        <f>IF($A1046=0,"",VLOOKUP($A1046,'BASE MATERIAL'!$A:$D,4))</f>
        <v>1.17</v>
      </c>
      <c r="H1046" s="56">
        <f t="shared" si="100"/>
        <v>4</v>
      </c>
      <c r="I1046" s="2"/>
      <c r="K1046" s="1">
        <f>(2*2*0.617+8*0.3*0.395)</f>
        <v>3.4159999999999999</v>
      </c>
      <c r="L1046" s="2"/>
      <c r="M1046" s="2"/>
      <c r="N1046" s="39"/>
      <c r="O1046" s="2"/>
      <c r="P1046" s="2"/>
    </row>
    <row r="1047" spans="1:16" x14ac:dyDescent="0.25">
      <c r="A1047" s="103">
        <v>11002</v>
      </c>
      <c r="B1047" s="38" t="str">
        <f>IF($A1047=0,"",VLOOKUP($A1047,'BASE MATERIAL'!$A:$D,2))</f>
        <v>ALAMBRE #18 RECOCIDO</v>
      </c>
      <c r="C1047" s="2"/>
      <c r="D1047" s="77"/>
      <c r="E1047" s="78" t="str">
        <f>IF($A1047=0,"",VLOOKUP($A1047,'BASE MATERIAL'!$A:$D,3))</f>
        <v>KG</v>
      </c>
      <c r="F1047" s="55">
        <f>+F1046*0.03</f>
        <v>0.10247999999999999</v>
      </c>
      <c r="G1047" s="55">
        <f>IF($A1047=0,"",VLOOKUP($A1047,'BASE MATERIAL'!$A:$D,4))</f>
        <v>1.87</v>
      </c>
      <c r="H1047" s="56">
        <f t="shared" si="100"/>
        <v>0.19</v>
      </c>
      <c r="I1047" s="2"/>
      <c r="L1047" s="2"/>
      <c r="M1047" s="2"/>
      <c r="N1047" s="39"/>
      <c r="O1047" s="2"/>
      <c r="P1047" s="2"/>
    </row>
    <row r="1048" spans="1:16" x14ac:dyDescent="0.25">
      <c r="A1048" s="103">
        <v>11005</v>
      </c>
      <c r="B1048" s="38" t="str">
        <f>IF($A1048=0,"",VLOOKUP($A1048,'BASE MATERIAL'!$A:$D,2))</f>
        <v>CAÑA</v>
      </c>
      <c r="C1048" s="2"/>
      <c r="D1048" s="77"/>
      <c r="E1048" s="78" t="str">
        <f>IF($A1048=0,"",VLOOKUP($A1048,'BASE MATERIAL'!$A:$D,3))</f>
        <v>U</v>
      </c>
      <c r="F1048" s="55">
        <f>2*K1037</f>
        <v>2</v>
      </c>
      <c r="G1048" s="55">
        <f>IF($A1048=0,"",VLOOKUP($A1048,'BASE MATERIAL'!$A:$D,4))</f>
        <v>2</v>
      </c>
      <c r="H1048" s="56">
        <f t="shared" si="100"/>
        <v>4</v>
      </c>
      <c r="I1048" s="2"/>
      <c r="L1048" s="2"/>
      <c r="M1048" s="2"/>
      <c r="N1048" s="39"/>
      <c r="O1048" s="2"/>
      <c r="P1048" s="2"/>
    </row>
    <row r="1049" spans="1:16" x14ac:dyDescent="0.25">
      <c r="A1049" s="103">
        <v>14029</v>
      </c>
      <c r="B1049" s="38" t="str">
        <f>IF($A1049=0,"",VLOOKUP($A1049,'BASE MATERIAL'!$A:$D,2))</f>
        <v>MALLA ELEC 5,5mm c/15cm</v>
      </c>
      <c r="C1049" s="2"/>
      <c r="D1049" s="77"/>
      <c r="E1049" s="78" t="str">
        <f>IF($A1049=0,"",VLOOKUP($A1049,'BASE MATERIAL'!$A:$D,3))</f>
        <v>M2</v>
      </c>
      <c r="F1049" s="55">
        <f>K1037</f>
        <v>1</v>
      </c>
      <c r="G1049" s="55">
        <f>IF($A1049=0,"",VLOOKUP($A1049,'BASE MATERIAL'!$A:$D,4))</f>
        <v>3.5481600000000006</v>
      </c>
      <c r="H1049" s="56">
        <f t="shared" si="100"/>
        <v>3.55</v>
      </c>
      <c r="I1049" s="2"/>
      <c r="K1049" s="1">
        <f>8*2*0.222</f>
        <v>3.552</v>
      </c>
    </row>
    <row r="1050" spans="1:16" x14ac:dyDescent="0.25">
      <c r="B1050" s="38" t="str">
        <f>IF($A1050=0,"",VLOOKUP($A1050,'BASE MATERIAL'!$A:$D,2))</f>
        <v/>
      </c>
      <c r="C1050" s="2"/>
      <c r="D1050" s="77"/>
      <c r="E1050" s="78" t="str">
        <f>IF($A1050=0,"",VLOOKUP($A1050,'BASE MATERIAL'!$A:$D,3))</f>
        <v/>
      </c>
      <c r="F1050" s="55"/>
      <c r="G1050" s="55" t="str">
        <f>IF($A1050=0,"",VLOOKUP($A1050,'BASE MATERIAL'!$A:$D,4))</f>
        <v/>
      </c>
      <c r="H1050" s="56" t="str">
        <f t="shared" si="100"/>
        <v/>
      </c>
      <c r="I1050" s="2"/>
    </row>
    <row r="1051" spans="1:16" x14ac:dyDescent="0.25">
      <c r="B1051" s="38" t="str">
        <f>IF($A1051=0,"",VLOOKUP($A1051,'BASE MATERIAL'!$A:$D,2))</f>
        <v/>
      </c>
      <c r="C1051" s="2"/>
      <c r="D1051" s="77"/>
      <c r="E1051" s="78" t="str">
        <f>IF($A1051=0,"",VLOOKUP($A1051,'BASE MATERIAL'!$A:$D,3))</f>
        <v/>
      </c>
      <c r="F1051" s="55"/>
      <c r="G1051" s="55" t="str">
        <f>IF($A1051=0,"",VLOOKUP($A1051,'BASE MATERIAL'!$A:$D,4))</f>
        <v/>
      </c>
      <c r="H1051" s="56" t="str">
        <f t="shared" si="100"/>
        <v/>
      </c>
      <c r="I1051" s="2"/>
    </row>
    <row r="1052" spans="1:16" x14ac:dyDescent="0.25">
      <c r="B1052" s="38" t="str">
        <f>IF($A1052=0,"",VLOOKUP($A1052,'BASE MATERIAL'!$A:$D,2))</f>
        <v/>
      </c>
      <c r="C1052" s="2"/>
      <c r="D1052" s="81" t="s">
        <v>1682</v>
      </c>
      <c r="E1052" s="55" t="str">
        <f>IF($A1052=0,"",VLOOKUP($A1052,'BASE MATERIAL'!$A:$D,3))</f>
        <v/>
      </c>
      <c r="F1052" s="55" t="s">
        <v>1682</v>
      </c>
      <c r="G1052" s="55" t="str">
        <f>IF($A1052=0,"",VLOOKUP($A1052,'BASE MATERIAL'!$A:$D,4))</f>
        <v/>
      </c>
      <c r="H1052" s="56" t="str">
        <f>IF($A1052=0,"",ROUND(E1052*F1052,2))</f>
        <v/>
      </c>
      <c r="I1052" s="2"/>
    </row>
    <row r="1053" spans="1:16" x14ac:dyDescent="0.25">
      <c r="B1053" s="73" t="s">
        <v>1681</v>
      </c>
      <c r="C1053" s="65"/>
      <c r="D1053" s="74"/>
      <c r="E1053" s="74"/>
      <c r="F1053" s="74"/>
      <c r="G1053" s="74"/>
      <c r="H1053" s="75">
        <f>ROUND(SUM(H1036:H1052),2)</f>
        <v>27.36</v>
      </c>
      <c r="I1053" s="2"/>
    </row>
    <row r="1054" spans="1:16" x14ac:dyDescent="0.25">
      <c r="B1054" s="38" t="s">
        <v>1680</v>
      </c>
      <c r="C1054" s="2"/>
      <c r="D1054" s="3"/>
      <c r="E1054" s="3"/>
      <c r="F1054" s="3"/>
      <c r="G1054" s="3"/>
      <c r="H1054" s="56"/>
      <c r="I1054" s="2"/>
    </row>
    <row r="1055" spans="1:16" ht="25.5" x14ac:dyDescent="0.25">
      <c r="B1055" s="64" t="s">
        <v>1409</v>
      </c>
      <c r="C1055" s="65"/>
      <c r="D1055" s="76"/>
      <c r="E1055" s="66" t="s">
        <v>1408</v>
      </c>
      <c r="F1055" s="66" t="s">
        <v>1679</v>
      </c>
      <c r="G1055" s="66" t="s">
        <v>1676</v>
      </c>
      <c r="H1055" s="68" t="s">
        <v>1675</v>
      </c>
      <c r="I1055" s="2"/>
    </row>
    <row r="1056" spans="1:16" x14ac:dyDescent="0.25">
      <c r="A1056" s="103">
        <v>19019</v>
      </c>
      <c r="B1056" s="51" t="str">
        <f>IF($A1056=0,"",VLOOKUP($A1056,'BASE EQUIPO'!$A:$D,2))</f>
        <v>TRANSPORTE DE MATERIAL</v>
      </c>
      <c r="C1056" s="52"/>
      <c r="D1056" s="82"/>
      <c r="E1056" s="78" t="str">
        <f>IF($A1056=0,"",VLOOKUP($A1056,'BASE EQUIPO'!$A:$D,3))</f>
        <v>GLOBAL</v>
      </c>
      <c r="F1056" s="55">
        <v>1</v>
      </c>
      <c r="G1056" s="83">
        <f>IF($A1056=0,"",VLOOKUP($A1056,'BASE EQUIPO'!$A:$D,4)*H1053)</f>
        <v>0.82079999999999997</v>
      </c>
      <c r="H1056" s="56">
        <f>IF($A1056=0,"",ROUND(F1056*G1056,2))</f>
        <v>0.82</v>
      </c>
      <c r="I1056" s="2"/>
    </row>
    <row r="1057" spans="1:11" x14ac:dyDescent="0.25">
      <c r="B1057" s="38" t="str">
        <f>IF($A1057=0,"",VLOOKUP($A1057,'BASE EQUIPO'!$A:$D,2))</f>
        <v/>
      </c>
      <c r="C1057" s="2"/>
      <c r="D1057" s="84"/>
      <c r="E1057" s="78" t="str">
        <f>IF($A1057=0,"",VLOOKUP($A1057,'BASE EQUIPO'!$A:$D,3))</f>
        <v/>
      </c>
      <c r="F1057" s="55"/>
      <c r="G1057" s="55" t="str">
        <f>IF($A1057=0,"",VLOOKUP($A1057,'BASE EQUIPO'!$A:$D,4)*H1054)</f>
        <v/>
      </c>
      <c r="H1057" s="56" t="str">
        <f>IF($A1057=0,"",ROUND(F1057*G1057,2))</f>
        <v/>
      </c>
      <c r="I1057" s="2"/>
    </row>
    <row r="1058" spans="1:11" x14ac:dyDescent="0.25">
      <c r="B1058" s="57" t="str">
        <f>IF($A1058=0,"",VLOOKUP($A1058,'BASE EQUIPO'!$A:$D,2))</f>
        <v/>
      </c>
      <c r="C1058" s="58"/>
      <c r="D1058" s="85"/>
      <c r="E1058" s="86" t="str">
        <f>IF($A1058=0,"",VLOOKUP($A1058,'BASE EQUIPO'!$A:$D,3))</f>
        <v/>
      </c>
      <c r="F1058" s="59"/>
      <c r="G1058" s="59" t="str">
        <f>IF($A1058=0,"",VLOOKUP($A1058,'BASE EQUIPO'!$A:$D,4)*H1055)</f>
        <v/>
      </c>
      <c r="H1058" s="60" t="str">
        <f>IF($A1058=0,"",ROUND(F1058*G1058,2))</f>
        <v/>
      </c>
      <c r="I1058" s="2"/>
    </row>
    <row r="1059" spans="1:11" ht="15.75" thickBot="1" x14ac:dyDescent="0.3">
      <c r="B1059" s="87" t="s">
        <v>1674</v>
      </c>
      <c r="C1059" s="88"/>
      <c r="D1059" s="89"/>
      <c r="E1059" s="89"/>
      <c r="F1059" s="89"/>
      <c r="G1059" s="89"/>
      <c r="H1059" s="90">
        <f>ROUND(SUM(H1055:H1058),2)</f>
        <v>0.82</v>
      </c>
      <c r="I1059" s="2"/>
    </row>
    <row r="1060" spans="1:11" ht="15.75" x14ac:dyDescent="0.25">
      <c r="B1060" s="2"/>
      <c r="C1060" s="2"/>
      <c r="D1060" s="91" t="s">
        <v>1673</v>
      </c>
      <c r="E1060" s="47"/>
      <c r="F1060" s="47"/>
      <c r="G1060" s="47"/>
      <c r="H1060" s="92">
        <f>ROUND(SUM(H1059,H1053,H1034,H1024),2)</f>
        <v>43.69</v>
      </c>
      <c r="I1060" s="2"/>
    </row>
    <row r="1061" spans="1:11" ht="15.75" x14ac:dyDescent="0.25">
      <c r="A1061" s="103">
        <v>40002</v>
      </c>
      <c r="B1061" s="2"/>
      <c r="C1061" s="2"/>
      <c r="D1061" s="93" t="s">
        <v>1672</v>
      </c>
      <c r="E1061" s="65"/>
      <c r="F1061" s="65"/>
      <c r="G1061" s="94">
        <f>IF($A1061=0,"",VLOOKUP($A1061,'BASE MATERIAL'!$M:$P,4))</f>
        <v>0</v>
      </c>
      <c r="H1061" s="95">
        <f>IF($A1061=0,"",ROUND(G1061*H1060,2))</f>
        <v>0</v>
      </c>
      <c r="I1061" s="2"/>
    </row>
    <row r="1062" spans="1:11" ht="15.75" x14ac:dyDescent="0.25">
      <c r="A1062" s="103">
        <v>40003</v>
      </c>
      <c r="B1062" s="2"/>
      <c r="C1062" s="2"/>
      <c r="D1062" s="93" t="s">
        <v>1671</v>
      </c>
      <c r="E1062" s="65"/>
      <c r="F1062" s="65"/>
      <c r="G1062" s="94">
        <f>IF($A1062=0,"",VLOOKUP($A1062,'BASE MATERIAL'!$M:$P,4))</f>
        <v>0</v>
      </c>
      <c r="H1062" s="95">
        <f>IF($A1062=0,"",ROUND(G1062*H1060,2))</f>
        <v>0</v>
      </c>
      <c r="I1062" s="2"/>
    </row>
    <row r="1063" spans="1:11" ht="15.75" x14ac:dyDescent="0.25">
      <c r="B1063" s="2"/>
      <c r="C1063" s="2"/>
      <c r="D1063" s="93" t="s">
        <v>1670</v>
      </c>
      <c r="E1063" s="65"/>
      <c r="F1063" s="65"/>
      <c r="G1063" s="65"/>
      <c r="H1063" s="96">
        <f>ROUND(SUM(H1060:H1062),2)</f>
        <v>43.69</v>
      </c>
      <c r="I1063" s="2"/>
    </row>
    <row r="1064" spans="1:11" ht="16.5" thickBot="1" x14ac:dyDescent="0.3">
      <c r="B1064" s="25"/>
      <c r="C1064" s="2"/>
      <c r="D1064" s="97" t="s">
        <v>1650</v>
      </c>
      <c r="E1064" s="88"/>
      <c r="F1064" s="88"/>
      <c r="G1064" s="88"/>
      <c r="H1064" s="98">
        <f>ROUND(H1063,2)</f>
        <v>43.69</v>
      </c>
      <c r="I1064" s="2"/>
      <c r="K1064" s="1">
        <f>+H1064*130.22</f>
        <v>5689.3117999999995</v>
      </c>
    </row>
  </sheetData>
  <phoneticPr fontId="2" type="noConversion"/>
  <pageMargins left="0.75" right="0.75" top="1" bottom="1" header="0" footer="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F5146-5A2B-4941-9F80-60B4741DDC70}">
  <sheetPr codeName="Hoja10"/>
  <dimension ref="A1:P784"/>
  <sheetViews>
    <sheetView workbookViewId="0"/>
  </sheetViews>
  <sheetFormatPr baseColWidth="10" defaultColWidth="11.42578125" defaultRowHeight="15" x14ac:dyDescent="0.25"/>
  <cols>
    <col min="1" max="1" width="7.42578125" style="103" bestFit="1" customWidth="1"/>
    <col min="2" max="2" width="12.140625" style="1" customWidth="1"/>
    <col min="3" max="3" width="26.28515625" style="1" customWidth="1"/>
    <col min="4" max="4" width="10.7109375" style="1" customWidth="1"/>
    <col min="5" max="5" width="12.140625" style="1" customWidth="1"/>
    <col min="6" max="6" width="13.28515625" style="1" customWidth="1"/>
    <col min="7" max="7" width="13.85546875" style="1" customWidth="1"/>
    <col min="8" max="8" width="12.42578125" style="1" customWidth="1"/>
    <col min="9" max="9" width="3.140625" style="1" bestFit="1" customWidth="1"/>
    <col min="10" max="10" width="3.5703125" style="1" customWidth="1"/>
    <col min="11" max="11" width="8.42578125" style="1" customWidth="1"/>
    <col min="12" max="12" width="7.85546875" style="1" bestFit="1" customWidth="1"/>
    <col min="13" max="13" width="33.85546875" style="1" bestFit="1" customWidth="1"/>
    <col min="14" max="14" width="6" style="1" bestFit="1" customWidth="1"/>
    <col min="15" max="28" width="8.42578125" style="1" customWidth="1"/>
    <col min="29" max="16384" width="11.42578125" style="1"/>
  </cols>
  <sheetData>
    <row r="1" spans="1:15" ht="15.75" x14ac:dyDescent="0.25">
      <c r="B1" s="34" t="s">
        <v>1701</v>
      </c>
      <c r="C1" s="2"/>
      <c r="D1" s="3" t="str">
        <f>'1.1'!$D$1</f>
        <v>ESPOL</v>
      </c>
      <c r="E1" s="2"/>
      <c r="F1" s="2"/>
      <c r="H1" s="2" t="s">
        <v>108</v>
      </c>
      <c r="I1" s="2"/>
      <c r="L1" s="40" t="e">
        <f>#REF!</f>
        <v>#REF!</v>
      </c>
      <c r="M1" s="1" t="e">
        <f>#REF!</f>
        <v>#REF!</v>
      </c>
      <c r="N1" s="2" t="e">
        <f>#REF!</f>
        <v>#REF!</v>
      </c>
      <c r="O1" s="2" t="e">
        <f>#REF!</f>
        <v>#REF!</v>
      </c>
    </row>
    <row r="2" spans="1:15" ht="15.75" x14ac:dyDescent="0.25">
      <c r="B2" s="34" t="s">
        <v>1700</v>
      </c>
      <c r="C2" s="3">
        <f>'1.1'!$C$2</f>
        <v>0</v>
      </c>
      <c r="D2" s="2"/>
      <c r="E2" s="2"/>
      <c r="F2" s="2"/>
      <c r="G2" s="41" t="s">
        <v>1699</v>
      </c>
      <c r="H2" s="42"/>
      <c r="I2" s="2" t="s">
        <v>1698</v>
      </c>
    </row>
    <row r="3" spans="1:15" ht="15.75" x14ac:dyDescent="0.25">
      <c r="B3" s="34"/>
      <c r="C3" s="3">
        <f>'1.1'!$C$3</f>
        <v>0</v>
      </c>
      <c r="D3" s="2"/>
      <c r="E3" s="2"/>
      <c r="F3" s="2"/>
      <c r="G3" s="2"/>
      <c r="H3" s="2"/>
      <c r="I3" s="2"/>
    </row>
    <row r="4" spans="1:15" ht="15.75" x14ac:dyDescent="0.25">
      <c r="B4" s="34" t="s">
        <v>1697</v>
      </c>
      <c r="C4" s="3"/>
      <c r="D4" s="2"/>
      <c r="E4" s="2"/>
      <c r="F4" s="2"/>
      <c r="G4" s="2"/>
      <c r="H4" s="2"/>
      <c r="I4" s="2"/>
    </row>
    <row r="5" spans="1:15" x14ac:dyDescent="0.25">
      <c r="A5" s="104">
        <v>2</v>
      </c>
      <c r="B5" s="2" t="s">
        <v>1586</v>
      </c>
      <c r="C5" s="36" t="s">
        <v>1563</v>
      </c>
      <c r="D5" s="2"/>
      <c r="G5" s="2" t="s">
        <v>1696</v>
      </c>
      <c r="H5" s="3" t="s">
        <v>1521</v>
      </c>
      <c r="I5" s="2"/>
    </row>
    <row r="6" spans="1:15" x14ac:dyDescent="0.25">
      <c r="B6" s="1" t="s">
        <v>1585</v>
      </c>
      <c r="C6" s="36" t="s">
        <v>649</v>
      </c>
      <c r="D6" s="2"/>
      <c r="E6" s="2"/>
      <c r="F6" s="2"/>
      <c r="G6" s="2"/>
      <c r="H6" s="2"/>
      <c r="I6" s="2"/>
    </row>
    <row r="7" spans="1:15" ht="15.75" thickBot="1" x14ac:dyDescent="0.3">
      <c r="D7" s="2"/>
      <c r="E7" s="2"/>
      <c r="F7" s="2"/>
      <c r="G7" s="2"/>
      <c r="H7" s="2"/>
      <c r="I7" s="2"/>
    </row>
    <row r="8" spans="1:15" ht="15.75" thickBot="1" x14ac:dyDescent="0.3">
      <c r="B8" s="43" t="s">
        <v>1695</v>
      </c>
      <c r="C8" s="44"/>
      <c r="D8" s="44"/>
      <c r="E8" s="44"/>
      <c r="F8" s="44"/>
      <c r="G8" s="44"/>
      <c r="H8" s="45"/>
      <c r="I8" s="2"/>
    </row>
    <row r="9" spans="1:15" ht="25.5" x14ac:dyDescent="0.25">
      <c r="B9" s="46" t="s">
        <v>1409</v>
      </c>
      <c r="C9" s="47"/>
      <c r="D9" s="48" t="s">
        <v>1690</v>
      </c>
      <c r="E9" s="48" t="s">
        <v>1694</v>
      </c>
      <c r="F9" s="48" t="s">
        <v>1693</v>
      </c>
      <c r="G9" s="49" t="s">
        <v>1687</v>
      </c>
      <c r="H9" s="50" t="s">
        <v>1686</v>
      </c>
      <c r="I9" s="2"/>
    </row>
    <row r="10" spans="1:15" x14ac:dyDescent="0.25">
      <c r="A10" s="103">
        <v>19015</v>
      </c>
      <c r="B10" s="51" t="str">
        <f>IF($A10=0,"",VLOOKUP($A10,'BASE EQUIPO'!$A:$D,2))</f>
        <v>HERRAMIENTA MENOR</v>
      </c>
      <c r="C10" s="52"/>
      <c r="D10" s="53">
        <v>1</v>
      </c>
      <c r="E10" s="53">
        <f>IF($A10=0,"",VLOOKUP($A10,'BASE EQUIPO'!$A:$D,4)*H26)</f>
        <v>1.8185999999999998</v>
      </c>
      <c r="F10" s="53">
        <f t="shared" ref="F10:F15" si="0">IF($A10=0,"",ROUND(D10*E10,2))</f>
        <v>1.82</v>
      </c>
      <c r="G10" s="105">
        <v>1</v>
      </c>
      <c r="H10" s="54">
        <f t="shared" ref="H10:H15" si="1">IF($A10=0,"",ROUND(G10*F10,2))</f>
        <v>1.82</v>
      </c>
      <c r="I10" s="2"/>
    </row>
    <row r="11" spans="1:15" x14ac:dyDescent="0.25">
      <c r="B11" s="38" t="str">
        <f>IF($A11=0,"",VLOOKUP($A11,'BASE EQUIPO'!$A:$D,2))</f>
        <v/>
      </c>
      <c r="C11" s="2"/>
      <c r="D11" s="55">
        <v>1</v>
      </c>
      <c r="E11" s="55" t="str">
        <f>IF($A11=0,"",VLOOKUP($A11,'BASE EQUIPO'!$A:$D,4))</f>
        <v/>
      </c>
      <c r="F11" s="55" t="str">
        <f t="shared" si="0"/>
        <v/>
      </c>
      <c r="G11" s="106"/>
      <c r="H11" s="56" t="str">
        <f t="shared" si="1"/>
        <v/>
      </c>
      <c r="I11" s="2"/>
    </row>
    <row r="12" spans="1:15" x14ac:dyDescent="0.25">
      <c r="A12" s="103">
        <v>19008</v>
      </c>
      <c r="B12" s="38" t="str">
        <f>IF($A12=0,"",VLOOKUP($A12,'BASE EQUIPO'!$A:$D,2))</f>
        <v>VIBRADOR</v>
      </c>
      <c r="C12" s="2"/>
      <c r="D12" s="55">
        <v>1</v>
      </c>
      <c r="E12" s="55">
        <f>IF($A12=0,"",VLOOKUP($A12,'BASE EQUIPO'!$A:$D,4))</f>
        <v>2.5</v>
      </c>
      <c r="F12" s="55">
        <f t="shared" si="0"/>
        <v>2.5</v>
      </c>
      <c r="G12" s="106">
        <f>+G20</f>
        <v>1</v>
      </c>
      <c r="H12" s="56">
        <f t="shared" si="1"/>
        <v>2.5</v>
      </c>
      <c r="I12" s="2"/>
    </row>
    <row r="13" spans="1:15" x14ac:dyDescent="0.25">
      <c r="B13" s="38" t="str">
        <f>IF($A13=0,"",VLOOKUP($A13,'BASE EQUIPO'!$A:$D,2))</f>
        <v/>
      </c>
      <c r="C13" s="2"/>
      <c r="D13" s="55"/>
      <c r="E13" s="55" t="str">
        <f>IF($A13=0,"",VLOOKUP($A13,'BASE EQUIPO'!$A:$D,4))</f>
        <v/>
      </c>
      <c r="F13" s="55" t="str">
        <f t="shared" si="0"/>
        <v/>
      </c>
      <c r="G13" s="106"/>
      <c r="H13" s="56" t="str">
        <f t="shared" si="1"/>
        <v/>
      </c>
      <c r="I13" s="2"/>
    </row>
    <row r="14" spans="1:15" x14ac:dyDescent="0.25">
      <c r="B14" s="38" t="str">
        <f>IF($A14=0,"",VLOOKUP($A14,'BASE EQUIPO'!$A:$D,2))</f>
        <v/>
      </c>
      <c r="C14" s="2"/>
      <c r="D14" s="55"/>
      <c r="E14" s="55" t="str">
        <f>IF($A14=0,"",VLOOKUP($A14,'BASE EQUIPO'!$A:$D,4))</f>
        <v/>
      </c>
      <c r="F14" s="55" t="str">
        <f t="shared" si="0"/>
        <v/>
      </c>
      <c r="G14" s="106"/>
      <c r="H14" s="56" t="str">
        <f t="shared" si="1"/>
        <v/>
      </c>
      <c r="I14" s="2"/>
    </row>
    <row r="15" spans="1:15" x14ac:dyDescent="0.25">
      <c r="B15" s="57" t="str">
        <f>IF($A15=0,"",VLOOKUP($A15,'BASE EQUIPO'!$A:$D,2))</f>
        <v/>
      </c>
      <c r="C15" s="58"/>
      <c r="D15" s="59"/>
      <c r="E15" s="59" t="str">
        <f>IF($A15=0,"",VLOOKUP($A15,'BASE EQUIPO'!$A:$D,4))</f>
        <v/>
      </c>
      <c r="F15" s="59" t="str">
        <f t="shared" si="0"/>
        <v/>
      </c>
      <c r="G15" s="107"/>
      <c r="H15" s="60" t="str">
        <f t="shared" si="1"/>
        <v/>
      </c>
      <c r="I15" s="2"/>
    </row>
    <row r="16" spans="1:15" x14ac:dyDescent="0.25">
      <c r="B16" s="57" t="s">
        <v>1692</v>
      </c>
      <c r="C16" s="58"/>
      <c r="D16" s="61"/>
      <c r="E16" s="61"/>
      <c r="F16" s="61"/>
      <c r="G16" s="62"/>
      <c r="H16" s="60">
        <f>ROUND(SUM(H9:H15),2)</f>
        <v>4.32</v>
      </c>
      <c r="I16" s="2"/>
    </row>
    <row r="17" spans="1:16" x14ac:dyDescent="0.25">
      <c r="B17" s="38" t="s">
        <v>1503</v>
      </c>
      <c r="C17" s="2"/>
      <c r="D17" s="3"/>
      <c r="E17" s="3"/>
      <c r="F17" s="3"/>
      <c r="G17" s="63"/>
      <c r="H17" s="56"/>
      <c r="I17" s="2"/>
    </row>
    <row r="18" spans="1:16" ht="25.5" x14ac:dyDescent="0.25">
      <c r="B18" s="64" t="s">
        <v>1691</v>
      </c>
      <c r="C18" s="65"/>
      <c r="D18" s="66" t="s">
        <v>1690</v>
      </c>
      <c r="E18" s="66" t="s">
        <v>1689</v>
      </c>
      <c r="F18" s="66" t="s">
        <v>1688</v>
      </c>
      <c r="G18" s="67" t="s">
        <v>1687</v>
      </c>
      <c r="H18" s="68" t="s">
        <v>1686</v>
      </c>
      <c r="I18" s="2"/>
    </row>
    <row r="19" spans="1:16" x14ac:dyDescent="0.25">
      <c r="A19" s="103">
        <v>20001</v>
      </c>
      <c r="B19" s="69" t="str">
        <f>IF($A19=0,"",VLOOKUP($A19,'BASE M-OBRA'!$A:$D,2))</f>
        <v>MAESTRO</v>
      </c>
      <c r="C19" s="2"/>
      <c r="D19" s="108">
        <v>1</v>
      </c>
      <c r="E19" s="70">
        <f>IF($A19=0,"",VLOOKUP($A19,'BASE M-OBRA'!$A:$D,4))</f>
        <v>3.02</v>
      </c>
      <c r="F19" s="55">
        <f t="shared" ref="F19:F25" si="2">IF($A19=0,"",ROUND(D19*E19,2))</f>
        <v>3.02</v>
      </c>
      <c r="G19" s="106">
        <f>IF($A19=0,"",ROUND(H19/F19,2))</f>
        <v>3.34</v>
      </c>
      <c r="H19" s="56">
        <f>IF($A19=0,"",ROUND(SUM(H20:H25)*'BASE M-OBRA'!$D$23,2))</f>
        <v>10.1</v>
      </c>
      <c r="I19" s="2"/>
    </row>
    <row r="20" spans="1:16" x14ac:dyDescent="0.25">
      <c r="A20" s="103">
        <v>20002</v>
      </c>
      <c r="B20" s="69" t="str">
        <f>IF($A20=0,"",VLOOKUP($A20,'BASE M-OBRA'!$A:$D,2))</f>
        <v>PEON</v>
      </c>
      <c r="C20" s="2"/>
      <c r="D20" s="108">
        <v>8</v>
      </c>
      <c r="E20" s="70">
        <f>IF($A20=0,"",VLOOKUP($A20,'BASE M-OBRA'!$A:$D,4))</f>
        <v>2.79</v>
      </c>
      <c r="F20" s="55">
        <f t="shared" si="2"/>
        <v>22.32</v>
      </c>
      <c r="G20" s="106">
        <v>1</v>
      </c>
      <c r="H20" s="56">
        <f t="shared" ref="H20:H25" si="3">IF($A20=0,"",ROUND(G20*F20,2))</f>
        <v>22.32</v>
      </c>
      <c r="I20" s="2"/>
      <c r="K20" s="1">
        <v>20</v>
      </c>
    </row>
    <row r="21" spans="1:16" x14ac:dyDescent="0.25">
      <c r="A21" s="103">
        <v>20003</v>
      </c>
      <c r="B21" s="69" t="str">
        <f>IF($A21=0,"",VLOOKUP($A21,'BASE M-OBRA'!$A:$D,2))</f>
        <v>ALBAÑIL</v>
      </c>
      <c r="C21" s="2"/>
      <c r="D21" s="108">
        <v>2</v>
      </c>
      <c r="E21" s="70">
        <f>IF($A21=0,"",VLOOKUP($A21,'BASE M-OBRA'!$A:$D,4))</f>
        <v>2.82</v>
      </c>
      <c r="F21" s="55">
        <f t="shared" si="2"/>
        <v>5.64</v>
      </c>
      <c r="G21" s="106">
        <f>+G20</f>
        <v>1</v>
      </c>
      <c r="H21" s="56">
        <f t="shared" si="3"/>
        <v>5.64</v>
      </c>
      <c r="I21" s="2"/>
    </row>
    <row r="22" spans="1:16" x14ac:dyDescent="0.25">
      <c r="A22" s="103">
        <v>20004</v>
      </c>
      <c r="B22" s="71" t="str">
        <f>IF($A22=0,"",VLOOKUP($A22,'BASE M-OBRA'!$A:$D,2))</f>
        <v>CARPINTERO</v>
      </c>
      <c r="C22" s="2"/>
      <c r="D22" s="108">
        <v>2</v>
      </c>
      <c r="E22" s="70">
        <f>IF($A22=0,"",VLOOKUP($A22,'BASE M-OBRA'!$A:$D,4))</f>
        <v>2.82</v>
      </c>
      <c r="F22" s="55">
        <f t="shared" si="2"/>
        <v>5.64</v>
      </c>
      <c r="G22" s="106">
        <v>4</v>
      </c>
      <c r="H22" s="56">
        <f t="shared" si="3"/>
        <v>22.56</v>
      </c>
      <c r="I22" s="2"/>
      <c r="K22" s="1">
        <f>10*2.9</f>
        <v>29</v>
      </c>
    </row>
    <row r="23" spans="1:16" x14ac:dyDescent="0.25">
      <c r="B23" s="72" t="str">
        <f>IF($A23=0,"",VLOOKUP($A23,'BASE M-OBRA'!$A:$D,2))</f>
        <v/>
      </c>
      <c r="C23" s="2"/>
      <c r="D23" s="108"/>
      <c r="E23" s="70" t="str">
        <f>IF($A23=0,"",VLOOKUP($A23,'BASE M-OBRA'!$A:$D,4))</f>
        <v/>
      </c>
      <c r="F23" s="55" t="str">
        <f t="shared" si="2"/>
        <v/>
      </c>
      <c r="G23" s="106"/>
      <c r="H23" s="56" t="str">
        <f t="shared" si="3"/>
        <v/>
      </c>
      <c r="I23" s="2"/>
    </row>
    <row r="24" spans="1:16" x14ac:dyDescent="0.25">
      <c r="B24" s="38" t="str">
        <f>IF($A24=0,"",VLOOKUP($A24,'BASE M-OBRA'!$A:$D,2))</f>
        <v/>
      </c>
      <c r="C24" s="2"/>
      <c r="D24" s="55"/>
      <c r="E24" s="55" t="str">
        <f>IF($A24=0,"",VLOOKUP($A24,'BASE M-OBRA'!$A:$D,4))</f>
        <v/>
      </c>
      <c r="F24" s="55" t="str">
        <f t="shared" si="2"/>
        <v/>
      </c>
      <c r="G24" s="106"/>
      <c r="H24" s="56" t="str">
        <f t="shared" si="3"/>
        <v/>
      </c>
      <c r="I24" s="2"/>
    </row>
    <row r="25" spans="1:16" x14ac:dyDescent="0.25">
      <c r="B25" s="57" t="str">
        <f>IF($A25=0,"",VLOOKUP($A25,'BASE M-OBRA'!$A:$D,2))</f>
        <v/>
      </c>
      <c r="C25" s="58"/>
      <c r="D25" s="59"/>
      <c r="E25" s="59" t="str">
        <f>IF($A25=0,"",VLOOKUP($A25,'BASE M-OBRA'!$A:$D,4))</f>
        <v/>
      </c>
      <c r="F25" s="59" t="str">
        <f t="shared" si="2"/>
        <v/>
      </c>
      <c r="G25" s="107"/>
      <c r="H25" s="60" t="str">
        <f t="shared" si="3"/>
        <v/>
      </c>
      <c r="I25" s="2"/>
    </row>
    <row r="26" spans="1:16" x14ac:dyDescent="0.25">
      <c r="B26" s="73" t="s">
        <v>1685</v>
      </c>
      <c r="C26" s="65"/>
      <c r="D26" s="74"/>
      <c r="E26" s="74"/>
      <c r="F26" s="74"/>
      <c r="G26" s="74"/>
      <c r="H26" s="75">
        <f>ROUND(SUM(H18:H25),2)</f>
        <v>60.62</v>
      </c>
      <c r="I26" s="2"/>
    </row>
    <row r="27" spans="1:16" x14ac:dyDescent="0.25">
      <c r="B27" s="38" t="s">
        <v>1684</v>
      </c>
      <c r="C27" s="2"/>
      <c r="D27" s="3"/>
      <c r="E27" s="3"/>
      <c r="F27" s="3"/>
      <c r="G27" s="3"/>
      <c r="H27" s="56"/>
      <c r="I27" s="2"/>
    </row>
    <row r="28" spans="1:16" ht="25.5" x14ac:dyDescent="0.25">
      <c r="B28" s="64" t="s">
        <v>1409</v>
      </c>
      <c r="C28" s="65"/>
      <c r="D28" s="76"/>
      <c r="E28" s="66" t="s">
        <v>1408</v>
      </c>
      <c r="F28" s="66" t="s">
        <v>1679</v>
      </c>
      <c r="G28" s="66" t="s">
        <v>1683</v>
      </c>
      <c r="H28" s="68" t="s">
        <v>1675</v>
      </c>
      <c r="I28" s="2"/>
    </row>
    <row r="29" spans="1:16" x14ac:dyDescent="0.25">
      <c r="A29" s="103">
        <v>11008</v>
      </c>
      <c r="B29" s="37" t="str">
        <f>IF($A29=0,"",VLOOKUP($A29,'BASE MATERIAL'!$A:$D,2))</f>
        <v>TABLA</v>
      </c>
      <c r="C29" s="2"/>
      <c r="D29" s="77"/>
      <c r="E29" s="78" t="str">
        <f>IF($A29=0,"",VLOOKUP($A29,'BASE MATERIAL'!$A:$D,3))</f>
        <v>U</v>
      </c>
      <c r="F29" s="55">
        <f>ROUND(10*5/(4*3),2)</f>
        <v>4.17</v>
      </c>
      <c r="G29" s="55">
        <f>IF($A29=0,"",VLOOKUP($A29,'BASE MATERIAL'!$A:$D,4))</f>
        <v>3.5</v>
      </c>
      <c r="H29" s="56">
        <f t="shared" ref="H29:H43" si="4">IF($A29=0,"",ROUND(F29*G29,2))</f>
        <v>14.6</v>
      </c>
      <c r="I29" s="2"/>
      <c r="L29" s="2"/>
      <c r="M29" s="2"/>
      <c r="N29" s="39"/>
      <c r="O29" s="2"/>
      <c r="P29" s="2"/>
    </row>
    <row r="30" spans="1:16" x14ac:dyDescent="0.25">
      <c r="A30" s="103">
        <v>11009</v>
      </c>
      <c r="B30" s="38" t="str">
        <f>IF($A30=0,"",VLOOKUP($A30,'BASE MATERIAL'!$A:$D,2))</f>
        <v>CUARTON</v>
      </c>
      <c r="C30" s="2"/>
      <c r="D30" s="77"/>
      <c r="E30" s="78" t="str">
        <f>IF($A30=0,"",VLOOKUP($A30,'BASE MATERIAL'!$A:$D,3))</f>
        <v>U</v>
      </c>
      <c r="F30" s="55">
        <f>ROUND(10*8/(4*3),2)</f>
        <v>6.67</v>
      </c>
      <c r="G30" s="55">
        <f>IF($A30=0,"",VLOOKUP($A30,'BASE MATERIAL'!$A:$D,4))</f>
        <v>2.42</v>
      </c>
      <c r="H30" s="56">
        <f t="shared" si="4"/>
        <v>16.14</v>
      </c>
      <c r="I30" s="2"/>
      <c r="L30" s="2"/>
      <c r="M30" s="2"/>
      <c r="N30" s="39"/>
      <c r="O30" s="2"/>
      <c r="P30" s="2"/>
    </row>
    <row r="31" spans="1:16" x14ac:dyDescent="0.25">
      <c r="A31" s="103">
        <v>11007</v>
      </c>
      <c r="B31" s="38" t="str">
        <f>IF($A31=0,"",VLOOKUP($A31,'BASE MATERIAL'!$A:$D,2))</f>
        <v>CLAVO 2 1/2"</v>
      </c>
      <c r="C31" s="2"/>
      <c r="D31" s="77"/>
      <c r="E31" s="78" t="str">
        <f>IF($A31=0,"",VLOOKUP($A31,'BASE MATERIAL'!$A:$D,3))</f>
        <v>KG</v>
      </c>
      <c r="F31" s="55">
        <f>ROUND(10*56/(178*1.5),2)</f>
        <v>2.1</v>
      </c>
      <c r="G31" s="55">
        <f>IF($A31=0,"",VLOOKUP($A31,'BASE MATERIAL'!$A:$D,4))</f>
        <v>2.6520000000000001</v>
      </c>
      <c r="H31" s="56">
        <f t="shared" si="4"/>
        <v>5.57</v>
      </c>
      <c r="I31" s="2"/>
      <c r="L31" s="2"/>
      <c r="M31" s="2"/>
      <c r="N31" s="39"/>
      <c r="O31" s="2"/>
      <c r="P31" s="2"/>
    </row>
    <row r="32" spans="1:16" x14ac:dyDescent="0.25">
      <c r="A32" s="103">
        <v>11010</v>
      </c>
      <c r="B32" s="38" t="str">
        <f>IF($A32=0,"",VLOOKUP($A32,'BASE MATERIAL'!$A:$D,2))</f>
        <v>TIRA</v>
      </c>
      <c r="C32" s="2"/>
      <c r="D32" s="77"/>
      <c r="E32" s="78" t="str">
        <f>IF($A32=0,"",VLOOKUP($A32,'BASE MATERIAL'!$A:$D,3))</f>
        <v>U</v>
      </c>
      <c r="F32" s="55">
        <f>ROUND(10*4/(4*3),2)</f>
        <v>3.33</v>
      </c>
      <c r="G32" s="55">
        <f>IF($A32=0,"",VLOOKUP($A32,'BASE MATERIAL'!$A:$D,4))</f>
        <v>1.5</v>
      </c>
      <c r="H32" s="56">
        <f t="shared" si="4"/>
        <v>5</v>
      </c>
      <c r="I32" s="2"/>
      <c r="L32" s="2"/>
      <c r="M32" s="2"/>
      <c r="N32" s="39"/>
      <c r="O32" s="2"/>
      <c r="P32" s="2"/>
    </row>
    <row r="33" spans="1:16" x14ac:dyDescent="0.25">
      <c r="B33" s="38" t="str">
        <f>IF($A33=0,"",VLOOKUP($A33,'BASE MATERIAL'!$A:$D,2))</f>
        <v/>
      </c>
      <c r="C33" s="2"/>
      <c r="D33" s="77"/>
      <c r="E33" s="78" t="str">
        <f>IF($A33=0,"",VLOOKUP($A33,'BASE MATERIAL'!$A:$D,3))</f>
        <v/>
      </c>
      <c r="F33" s="55"/>
      <c r="G33" s="55" t="str">
        <f>IF($A33=0,"",VLOOKUP($A33,'BASE MATERIAL'!$A:$D,4))</f>
        <v/>
      </c>
      <c r="H33" s="56" t="str">
        <f t="shared" si="4"/>
        <v/>
      </c>
      <c r="I33" s="2"/>
      <c r="L33" s="2"/>
      <c r="M33" s="2"/>
      <c r="N33" s="39"/>
      <c r="O33" s="2"/>
      <c r="P33" s="2"/>
    </row>
    <row r="34" spans="1:16" x14ac:dyDescent="0.25">
      <c r="A34" s="103">
        <v>11009</v>
      </c>
      <c r="B34" s="38" t="s">
        <v>630</v>
      </c>
      <c r="C34" s="2"/>
      <c r="D34" s="77"/>
      <c r="E34" s="78" t="s">
        <v>1521</v>
      </c>
      <c r="F34" s="55">
        <v>1.02</v>
      </c>
      <c r="G34" s="55">
        <f>106.7*1.12</f>
        <v>119.50400000000002</v>
      </c>
      <c r="H34" s="56">
        <f t="shared" si="4"/>
        <v>121.89</v>
      </c>
      <c r="I34" s="2"/>
      <c r="L34" s="2"/>
      <c r="M34" s="2"/>
      <c r="N34" s="39"/>
      <c r="O34" s="2"/>
      <c r="P34" s="2"/>
    </row>
    <row r="35" spans="1:16" x14ac:dyDescent="0.25">
      <c r="B35" s="38" t="str">
        <f>IF($A35=0,"",VLOOKUP($A35,'BASE MATERIAL'!$A:$D,2))</f>
        <v/>
      </c>
      <c r="C35" s="2"/>
      <c r="D35" s="77"/>
      <c r="E35" s="78" t="str">
        <f>IF($A35=0,"",VLOOKUP($A35,'BASE MATERIAL'!$A:$D,3))</f>
        <v/>
      </c>
      <c r="F35" s="55"/>
      <c r="G35" s="55" t="str">
        <f>IF($A35=0,"",VLOOKUP($A35,'BASE MATERIAL'!$A:$D,4))</f>
        <v/>
      </c>
      <c r="H35" s="56" t="str">
        <f t="shared" si="4"/>
        <v/>
      </c>
      <c r="I35" s="2"/>
      <c r="L35" s="2"/>
      <c r="M35" s="2"/>
      <c r="N35" s="39"/>
      <c r="O35" s="2"/>
      <c r="P35" s="2"/>
    </row>
    <row r="36" spans="1:16" x14ac:dyDescent="0.25">
      <c r="B36" s="38" t="str">
        <f>IF($A36=0,"",VLOOKUP($A36,'BASE MATERIAL'!$A:$D,2))</f>
        <v/>
      </c>
      <c r="C36" s="2"/>
      <c r="D36" s="77"/>
      <c r="E36" s="78" t="str">
        <f>IF($A36=0,"",VLOOKUP($A36,'BASE MATERIAL'!$A:$D,3))</f>
        <v/>
      </c>
      <c r="F36" s="55"/>
      <c r="G36" s="55" t="str">
        <f>IF($A36=0,"",VLOOKUP($A36,'BASE MATERIAL'!$A:$D,4))</f>
        <v/>
      </c>
      <c r="H36" s="56" t="str">
        <f t="shared" si="4"/>
        <v/>
      </c>
      <c r="I36" s="2"/>
      <c r="L36" s="2"/>
      <c r="M36" s="2"/>
      <c r="N36" s="39"/>
      <c r="O36" s="2"/>
      <c r="P36" s="2"/>
    </row>
    <row r="37" spans="1:16" x14ac:dyDescent="0.25">
      <c r="B37" s="38" t="str">
        <f>IF($A37=0,"",VLOOKUP($A37,'BASE MATERIAL'!$A:$D,2))</f>
        <v/>
      </c>
      <c r="C37" s="2"/>
      <c r="D37" s="77"/>
      <c r="E37" s="78" t="str">
        <f>IF($A37=0,"",VLOOKUP($A37,'BASE MATERIAL'!$A:$D,3))</f>
        <v/>
      </c>
      <c r="F37" s="55"/>
      <c r="G37" s="80" t="str">
        <f>IF($A37=0,"",VLOOKUP($A37,'BASE MATERIAL'!$A:$D,4))</f>
        <v/>
      </c>
      <c r="H37" s="56" t="str">
        <f t="shared" si="4"/>
        <v/>
      </c>
      <c r="I37" s="2"/>
    </row>
    <row r="38" spans="1:16" x14ac:dyDescent="0.25">
      <c r="B38" s="38" t="str">
        <f>IF($A38=0,"",VLOOKUP($A38,'BASE MATERIAL'!$A:$D,2))</f>
        <v/>
      </c>
      <c r="C38" s="2"/>
      <c r="D38" s="77"/>
      <c r="E38" s="78" t="str">
        <f>IF($A38=0,"",VLOOKUP($A38,'BASE MATERIAL'!$A:$D,3))</f>
        <v/>
      </c>
      <c r="F38" s="55"/>
      <c r="G38" s="80" t="str">
        <f>IF($A38=0,"",VLOOKUP($A38,'BASE MATERIAL'!$A:$D,4))</f>
        <v/>
      </c>
      <c r="H38" s="56" t="str">
        <f t="shared" si="4"/>
        <v/>
      </c>
      <c r="I38" s="2"/>
      <c r="L38" s="2"/>
      <c r="M38" s="2"/>
      <c r="N38" s="39"/>
      <c r="O38" s="2"/>
      <c r="P38" s="2"/>
    </row>
    <row r="39" spans="1:16" x14ac:dyDescent="0.25">
      <c r="B39" s="38" t="str">
        <f>IF($A39=0,"",VLOOKUP($A39,'BASE MATERIAL'!$A:$D,2))</f>
        <v/>
      </c>
      <c r="C39" s="2"/>
      <c r="D39" s="77"/>
      <c r="E39" s="78" t="str">
        <f>IF($A39=0,"",VLOOKUP($A39,'BASE MATERIAL'!$A:$D,3))</f>
        <v/>
      </c>
      <c r="F39" s="55"/>
      <c r="G39" s="55" t="str">
        <f>IF($A39=0,"",VLOOKUP($A39,'BASE MATERIAL'!$A:$D,4))</f>
        <v/>
      </c>
      <c r="H39" s="56" t="str">
        <f t="shared" si="4"/>
        <v/>
      </c>
      <c r="I39" s="2"/>
      <c r="L39" s="2"/>
      <c r="M39" s="2"/>
      <c r="N39" s="39"/>
      <c r="O39" s="2"/>
      <c r="P39" s="2"/>
    </row>
    <row r="40" spans="1:16" x14ac:dyDescent="0.25">
      <c r="B40" s="38" t="str">
        <f>IF($A40=0,"",VLOOKUP($A40,'BASE MATERIAL'!$A:$D,2))</f>
        <v/>
      </c>
      <c r="C40" s="2"/>
      <c r="D40" s="77"/>
      <c r="E40" s="78" t="str">
        <f>IF($A40=0,"",VLOOKUP($A40,'BASE MATERIAL'!$A:$D,3))</f>
        <v/>
      </c>
      <c r="F40" s="55"/>
      <c r="G40" s="55" t="str">
        <f>IF($A40=0,"",VLOOKUP($A40,'BASE MATERIAL'!$A:$D,4))</f>
        <v/>
      </c>
      <c r="H40" s="56" t="str">
        <f t="shared" si="4"/>
        <v/>
      </c>
      <c r="I40" s="2"/>
    </row>
    <row r="41" spans="1:16" x14ac:dyDescent="0.25">
      <c r="B41" s="38" t="str">
        <f>IF($A41=0,"",VLOOKUP($A41,'BASE MATERIAL'!$A:$D,2))</f>
        <v/>
      </c>
      <c r="C41" s="2"/>
      <c r="D41" s="77"/>
      <c r="E41" s="78" t="str">
        <f>IF($A41=0,"",VLOOKUP($A41,'BASE MATERIAL'!$A:$D,3))</f>
        <v/>
      </c>
      <c r="F41" s="55"/>
      <c r="G41" s="55" t="str">
        <f>IF($A41=0,"",VLOOKUP($A41,'BASE MATERIAL'!$A:$D,4))</f>
        <v/>
      </c>
      <c r="H41" s="56" t="str">
        <f t="shared" si="4"/>
        <v/>
      </c>
      <c r="I41" s="2"/>
    </row>
    <row r="42" spans="1:16" x14ac:dyDescent="0.25">
      <c r="B42" s="38" t="str">
        <f>IF($A42=0,"",VLOOKUP($A42,'BASE MATERIAL'!$A:$D,2))</f>
        <v/>
      </c>
      <c r="C42" s="2"/>
      <c r="D42" s="77"/>
      <c r="E42" s="78" t="str">
        <f>IF($A42=0,"",VLOOKUP($A42,'BASE MATERIAL'!$A:$D,3))</f>
        <v/>
      </c>
      <c r="F42" s="55"/>
      <c r="G42" s="55" t="str">
        <f>IF($A42=0,"",VLOOKUP($A42,'BASE MATERIAL'!$A:$D,4))</f>
        <v/>
      </c>
      <c r="H42" s="56" t="str">
        <f t="shared" si="4"/>
        <v/>
      </c>
      <c r="I42" s="2"/>
    </row>
    <row r="43" spans="1:16" x14ac:dyDescent="0.25">
      <c r="B43" s="38" t="str">
        <f>IF($A43=0,"",VLOOKUP($A43,'BASE MATERIAL'!$A:$D,2))</f>
        <v/>
      </c>
      <c r="C43" s="2"/>
      <c r="D43" s="77"/>
      <c r="E43" s="78" t="str">
        <f>IF($A43=0,"",VLOOKUP($A43,'BASE MATERIAL'!$A:$D,3))</f>
        <v/>
      </c>
      <c r="F43" s="55"/>
      <c r="G43" s="55" t="str">
        <f>IF($A43=0,"",VLOOKUP($A43,'BASE MATERIAL'!$A:$D,4))</f>
        <v/>
      </c>
      <c r="H43" s="56" t="str">
        <f t="shared" si="4"/>
        <v/>
      </c>
      <c r="I43" s="2"/>
    </row>
    <row r="44" spans="1:16" x14ac:dyDescent="0.25">
      <c r="B44" s="38" t="str">
        <f>IF($A44=0,"",VLOOKUP($A44,'BASE MATERIAL'!$A:$D,2))</f>
        <v/>
      </c>
      <c r="C44" s="2"/>
      <c r="D44" s="81" t="s">
        <v>1682</v>
      </c>
      <c r="E44" s="55" t="str">
        <f>IF($A44=0,"",VLOOKUP($A44,'BASE MATERIAL'!$A:$D,3))</f>
        <v/>
      </c>
      <c r="F44" s="55" t="s">
        <v>1682</v>
      </c>
      <c r="G44" s="55" t="str">
        <f>IF($A44=0,"",VLOOKUP($A44,'BASE MATERIAL'!$A:$D,4))</f>
        <v/>
      </c>
      <c r="H44" s="56" t="str">
        <f>IF($A44=0,"",ROUND(E44*F44,2))</f>
        <v/>
      </c>
      <c r="I44" s="2"/>
    </row>
    <row r="45" spans="1:16" x14ac:dyDescent="0.25">
      <c r="B45" s="73" t="s">
        <v>1681</v>
      </c>
      <c r="C45" s="65"/>
      <c r="D45" s="74"/>
      <c r="E45" s="74"/>
      <c r="F45" s="74"/>
      <c r="G45" s="74"/>
      <c r="H45" s="75">
        <f>ROUND(SUM(H28:H44),2)</f>
        <v>163.19999999999999</v>
      </c>
      <c r="I45" s="2"/>
    </row>
    <row r="46" spans="1:16" x14ac:dyDescent="0.25">
      <c r="B46" s="38" t="s">
        <v>1680</v>
      </c>
      <c r="C46" s="2"/>
      <c r="D46" s="3"/>
      <c r="E46" s="3"/>
      <c r="F46" s="3"/>
      <c r="G46" s="3"/>
      <c r="H46" s="56"/>
      <c r="I46" s="2"/>
    </row>
    <row r="47" spans="1:16" ht="25.5" x14ac:dyDescent="0.25">
      <c r="B47" s="64" t="s">
        <v>1409</v>
      </c>
      <c r="C47" s="65"/>
      <c r="D47" s="76"/>
      <c r="E47" s="66" t="s">
        <v>1408</v>
      </c>
      <c r="F47" s="66" t="s">
        <v>1679</v>
      </c>
      <c r="G47" s="66" t="s">
        <v>1676</v>
      </c>
      <c r="H47" s="68" t="s">
        <v>1675</v>
      </c>
      <c r="I47" s="2"/>
    </row>
    <row r="48" spans="1:16" x14ac:dyDescent="0.25">
      <c r="A48" s="103">
        <v>19019</v>
      </c>
      <c r="B48" s="51" t="str">
        <f>IF($A48=0,"",VLOOKUP($A48,'BASE EQUIPO'!$A:$D,2))</f>
        <v>TRANSPORTE DE MATERIAL</v>
      </c>
      <c r="C48" s="52"/>
      <c r="D48" s="82"/>
      <c r="E48" s="78" t="str">
        <f>IF($A48=0,"",VLOOKUP($A48,'BASE EQUIPO'!$A:$D,3))</f>
        <v>GLOBAL</v>
      </c>
      <c r="F48" s="55">
        <v>1</v>
      </c>
      <c r="G48" s="83">
        <f>IF($A48=0,"",VLOOKUP($A48,'BASE EQUIPO'!$A:$D,4)*H45)+0.23</f>
        <v>5.1260000000000003</v>
      </c>
      <c r="H48" s="56">
        <f>IF($A48=0,"",ROUND(F48*G48,2))</f>
        <v>5.13</v>
      </c>
      <c r="I48" s="2"/>
    </row>
    <row r="49" spans="1:15" x14ac:dyDescent="0.25">
      <c r="B49" s="38" t="str">
        <f>IF($A49=0,"",VLOOKUP($A49,'BASE EQUIPO'!$A:$D,2))</f>
        <v/>
      </c>
      <c r="C49" s="2"/>
      <c r="D49" s="84"/>
      <c r="E49" s="78" t="str">
        <f>IF($A49=0,"",VLOOKUP($A49,'BASE EQUIPO'!$A:$D,3))</f>
        <v/>
      </c>
      <c r="F49" s="55"/>
      <c r="G49" s="55" t="str">
        <f>IF($A49=0,"",VLOOKUP($A49,'BASE EQUIPO'!$A:$D,4)*H46)</f>
        <v/>
      </c>
      <c r="H49" s="56" t="str">
        <f>IF($A49=0,"",ROUND(F49*G49,2))</f>
        <v/>
      </c>
      <c r="I49" s="2"/>
    </row>
    <row r="50" spans="1:15" x14ac:dyDescent="0.25">
      <c r="B50" s="57" t="str">
        <f>IF($A50=0,"",VLOOKUP($A50,'BASE EQUIPO'!$A:$D,2))</f>
        <v/>
      </c>
      <c r="C50" s="58"/>
      <c r="D50" s="85"/>
      <c r="E50" s="86" t="str">
        <f>IF($A50=0,"",VLOOKUP($A50,'BASE EQUIPO'!$A:$D,3))</f>
        <v/>
      </c>
      <c r="F50" s="59"/>
      <c r="G50" s="59" t="str">
        <f>IF($A50=0,"",VLOOKUP($A50,'BASE EQUIPO'!$A:$D,4)*H47)</f>
        <v/>
      </c>
      <c r="H50" s="60" t="str">
        <f>IF($A50=0,"",ROUND(F50*G50,2))</f>
        <v/>
      </c>
      <c r="I50" s="2"/>
    </row>
    <row r="51" spans="1:15" ht="15.75" thickBot="1" x14ac:dyDescent="0.3">
      <c r="B51" s="87" t="s">
        <v>1674</v>
      </c>
      <c r="C51" s="88"/>
      <c r="D51" s="89"/>
      <c r="E51" s="89"/>
      <c r="F51" s="89"/>
      <c r="G51" s="89"/>
      <c r="H51" s="90">
        <f>ROUND(SUM(H47:H50),2)</f>
        <v>5.13</v>
      </c>
      <c r="I51" s="2"/>
    </row>
    <row r="52" spans="1:15" ht="15.75" x14ac:dyDescent="0.25">
      <c r="B52" s="2"/>
      <c r="C52" s="2"/>
      <c r="D52" s="91" t="s">
        <v>1673</v>
      </c>
      <c r="E52" s="47"/>
      <c r="F52" s="47"/>
      <c r="G52" s="47"/>
      <c r="H52" s="92">
        <f>ROUND(SUM(H51,H45,H26,H16),2)</f>
        <v>233.27</v>
      </c>
      <c r="I52" s="2"/>
    </row>
    <row r="53" spans="1:15" ht="15.75" x14ac:dyDescent="0.25">
      <c r="A53" s="103">
        <v>40002</v>
      </c>
      <c r="B53" s="2"/>
      <c r="C53" s="2"/>
      <c r="D53" s="93" t="s">
        <v>1672</v>
      </c>
      <c r="E53" s="65"/>
      <c r="F53" s="65"/>
      <c r="G53" s="94">
        <f>IF($A53=0,"",VLOOKUP($A53,'BASE MATERIAL'!$M:$P,4))</f>
        <v>0</v>
      </c>
      <c r="H53" s="95">
        <f>IF($A53=0,"",ROUND(G53*H52,2))</f>
        <v>0</v>
      </c>
      <c r="I53" s="2"/>
    </row>
    <row r="54" spans="1:15" ht="15.75" x14ac:dyDescent="0.25">
      <c r="A54" s="103">
        <v>40003</v>
      </c>
      <c r="B54" s="2"/>
      <c r="C54" s="2"/>
      <c r="D54" s="93" t="s">
        <v>1671</v>
      </c>
      <c r="E54" s="65"/>
      <c r="F54" s="65"/>
      <c r="G54" s="94">
        <f>IF($A54=0,"",VLOOKUP($A54,'BASE MATERIAL'!$M:$P,4))</f>
        <v>0</v>
      </c>
      <c r="H54" s="95">
        <f>IF($A54=0,"",ROUND(G54*H52,2))</f>
        <v>0</v>
      </c>
      <c r="I54" s="2"/>
    </row>
    <row r="55" spans="1:15" ht="15.75" x14ac:dyDescent="0.25">
      <c r="B55" s="2"/>
      <c r="C55" s="2"/>
      <c r="D55" s="93" t="s">
        <v>1670</v>
      </c>
      <c r="E55" s="65"/>
      <c r="F55" s="65"/>
      <c r="G55" s="65"/>
      <c r="H55" s="96">
        <f>ROUND(SUM(H52:H54),2)</f>
        <v>233.27</v>
      </c>
      <c r="I55" s="2"/>
    </row>
    <row r="56" spans="1:15" ht="16.5" thickBot="1" x14ac:dyDescent="0.3">
      <c r="B56" s="25"/>
      <c r="C56" s="2"/>
      <c r="D56" s="97" t="s">
        <v>1650</v>
      </c>
      <c r="E56" s="88"/>
      <c r="F56" s="88"/>
      <c r="G56" s="88"/>
      <c r="H56" s="98">
        <f>ROUND(H55,2)</f>
        <v>233.27</v>
      </c>
      <c r="I56" s="2"/>
    </row>
    <row r="57" spans="1:15" ht="15.75" x14ac:dyDescent="0.25">
      <c r="B57" s="34" t="s">
        <v>1701</v>
      </c>
      <c r="C57" s="2"/>
      <c r="D57" s="3" t="str">
        <f>$D$1</f>
        <v>ESPOL</v>
      </c>
      <c r="E57" s="2"/>
      <c r="F57" s="2"/>
      <c r="H57" s="2" t="s">
        <v>108</v>
      </c>
      <c r="I57" s="2"/>
      <c r="L57" s="40">
        <f>A61</f>
        <v>3</v>
      </c>
      <c r="M57" s="1" t="str">
        <f>C62</f>
        <v>Vigas de cimentacion</v>
      </c>
      <c r="N57" s="2" t="str">
        <f>H61</f>
        <v>m3</v>
      </c>
      <c r="O57" s="2">
        <f>H112</f>
        <v>273.12</v>
      </c>
    </row>
    <row r="58" spans="1:15" ht="15.75" x14ac:dyDescent="0.25">
      <c r="B58" s="34" t="s">
        <v>1700</v>
      </c>
      <c r="C58" s="3">
        <f>'1.1'!$C$2</f>
        <v>0</v>
      </c>
      <c r="D58" s="2"/>
      <c r="E58" s="2"/>
      <c r="F58" s="2"/>
      <c r="G58" s="41" t="s">
        <v>1699</v>
      </c>
      <c r="H58" s="42"/>
      <c r="I58" s="2" t="s">
        <v>1698</v>
      </c>
    </row>
    <row r="59" spans="1:15" ht="15.75" x14ac:dyDescent="0.25">
      <c r="B59" s="34"/>
      <c r="C59" s="3">
        <f>'1.1'!$C$3</f>
        <v>0</v>
      </c>
      <c r="D59" s="2"/>
      <c r="E59" s="2"/>
      <c r="F59" s="2"/>
      <c r="G59" s="2"/>
      <c r="H59" s="2"/>
      <c r="I59" s="2"/>
    </row>
    <row r="60" spans="1:15" ht="15.75" x14ac:dyDescent="0.25">
      <c r="B60" s="34" t="s">
        <v>1697</v>
      </c>
      <c r="C60" s="3"/>
      <c r="D60" s="2"/>
      <c r="E60" s="2"/>
      <c r="F60" s="2"/>
      <c r="G60" s="2"/>
      <c r="H60" s="2"/>
      <c r="I60" s="2"/>
    </row>
    <row r="61" spans="1:15" x14ac:dyDescent="0.25">
      <c r="A61" s="104">
        <v>3</v>
      </c>
      <c r="B61" s="2" t="s">
        <v>1586</v>
      </c>
      <c r="C61" s="36" t="s">
        <v>1562</v>
      </c>
      <c r="D61" s="2"/>
      <c r="G61" s="2" t="s">
        <v>1696</v>
      </c>
      <c r="H61" s="3" t="s">
        <v>1521</v>
      </c>
      <c r="I61" s="2"/>
    </row>
    <row r="62" spans="1:15" x14ac:dyDescent="0.25">
      <c r="B62" s="1" t="s">
        <v>1585</v>
      </c>
      <c r="C62" s="36" t="s">
        <v>632</v>
      </c>
      <c r="D62" s="2"/>
      <c r="E62" s="2"/>
      <c r="F62" s="2"/>
      <c r="G62" s="2"/>
      <c r="H62" s="2"/>
      <c r="I62" s="2"/>
    </row>
    <row r="63" spans="1:15" ht="15.75" thickBot="1" x14ac:dyDescent="0.3">
      <c r="D63" s="2"/>
      <c r="E63" s="2"/>
      <c r="F63" s="2"/>
      <c r="G63" s="2"/>
      <c r="H63" s="2"/>
      <c r="I63" s="2"/>
    </row>
    <row r="64" spans="1:15" ht="15.75" thickBot="1" x14ac:dyDescent="0.3">
      <c r="B64" s="43" t="s">
        <v>1695</v>
      </c>
      <c r="C64" s="44"/>
      <c r="D64" s="44"/>
      <c r="E64" s="44"/>
      <c r="F64" s="44"/>
      <c r="G64" s="44"/>
      <c r="H64" s="45"/>
      <c r="I64" s="2"/>
    </row>
    <row r="65" spans="1:11" ht="25.5" x14ac:dyDescent="0.25">
      <c r="B65" s="46" t="s">
        <v>1409</v>
      </c>
      <c r="C65" s="47"/>
      <c r="D65" s="48" t="s">
        <v>1690</v>
      </c>
      <c r="E65" s="48" t="s">
        <v>1694</v>
      </c>
      <c r="F65" s="48" t="s">
        <v>1693</v>
      </c>
      <c r="G65" s="49" t="s">
        <v>1687</v>
      </c>
      <c r="H65" s="50" t="s">
        <v>1686</v>
      </c>
      <c r="I65" s="2"/>
    </row>
    <row r="66" spans="1:11" x14ac:dyDescent="0.25">
      <c r="A66" s="103">
        <v>19015</v>
      </c>
      <c r="B66" s="51" t="str">
        <f>IF($A66=0,"",VLOOKUP($A66,'BASE EQUIPO'!$A:$D,2))</f>
        <v>HERRAMIENTA MENOR</v>
      </c>
      <c r="C66" s="52"/>
      <c r="D66" s="53">
        <v>1</v>
      </c>
      <c r="E66" s="53">
        <f>IF($A66=0,"",VLOOKUP($A66,'BASE EQUIPO'!$A:$D,4)*H82)</f>
        <v>2.7312000000000003</v>
      </c>
      <c r="F66" s="53">
        <f t="shared" ref="F66:F71" si="5">IF($A66=0,"",ROUND(D66*E66,2))</f>
        <v>2.73</v>
      </c>
      <c r="G66" s="105">
        <v>1</v>
      </c>
      <c r="H66" s="54">
        <f t="shared" ref="H66:H71" si="6">IF($A66=0,"",ROUND(G66*F66,2))</f>
        <v>2.73</v>
      </c>
      <c r="I66" s="2"/>
    </row>
    <row r="67" spans="1:11" x14ac:dyDescent="0.25">
      <c r="B67" s="38" t="str">
        <f>IF($A67=0,"",VLOOKUP($A67,'BASE EQUIPO'!$A:$D,2))</f>
        <v/>
      </c>
      <c r="C67" s="2"/>
      <c r="D67" s="55"/>
      <c r="E67" s="55" t="str">
        <f>IF($A67=0,"",VLOOKUP($A67,'BASE EQUIPO'!$A:$D,4))</f>
        <v/>
      </c>
      <c r="F67" s="55" t="str">
        <f t="shared" si="5"/>
        <v/>
      </c>
      <c r="G67" s="106"/>
      <c r="H67" s="56" t="str">
        <f t="shared" si="6"/>
        <v/>
      </c>
      <c r="I67" s="2"/>
    </row>
    <row r="68" spans="1:11" x14ac:dyDescent="0.25">
      <c r="A68" s="103">
        <v>19008</v>
      </c>
      <c r="B68" s="38" t="str">
        <f>IF($A68=0,"",VLOOKUP($A68,'BASE EQUIPO'!$A:$D,2))</f>
        <v>VIBRADOR</v>
      </c>
      <c r="C68" s="2"/>
      <c r="D68" s="55">
        <v>1</v>
      </c>
      <c r="E68" s="55">
        <f>IF($A68=0,"",VLOOKUP($A68,'BASE EQUIPO'!$A:$D,4))</f>
        <v>2.5</v>
      </c>
      <c r="F68" s="55">
        <f t="shared" si="5"/>
        <v>2.5</v>
      </c>
      <c r="G68" s="106">
        <f>+G76</f>
        <v>1.1000000000000001</v>
      </c>
      <c r="H68" s="56">
        <f t="shared" si="6"/>
        <v>2.75</v>
      </c>
      <c r="I68" s="2"/>
    </row>
    <row r="69" spans="1:11" x14ac:dyDescent="0.25">
      <c r="B69" s="38" t="str">
        <f>IF($A69=0,"",VLOOKUP($A69,'BASE EQUIPO'!$A:$D,2))</f>
        <v/>
      </c>
      <c r="C69" s="2"/>
      <c r="D69" s="55"/>
      <c r="E69" s="55" t="str">
        <f>IF($A69=0,"",VLOOKUP($A69,'BASE EQUIPO'!$A:$D,4))</f>
        <v/>
      </c>
      <c r="F69" s="55" t="str">
        <f t="shared" si="5"/>
        <v/>
      </c>
      <c r="G69" s="106"/>
      <c r="H69" s="56" t="str">
        <f t="shared" si="6"/>
        <v/>
      </c>
      <c r="I69" s="2"/>
    </row>
    <row r="70" spans="1:11" x14ac:dyDescent="0.25">
      <c r="B70" s="38" t="str">
        <f>IF($A70=0,"",VLOOKUP($A70,'BASE EQUIPO'!$A:$D,2))</f>
        <v/>
      </c>
      <c r="C70" s="2"/>
      <c r="D70" s="55"/>
      <c r="E70" s="55" t="str">
        <f>IF($A70=0,"",VLOOKUP($A70,'BASE EQUIPO'!$A:$D,4))</f>
        <v/>
      </c>
      <c r="F70" s="55" t="str">
        <f t="shared" si="5"/>
        <v/>
      </c>
      <c r="G70" s="106"/>
      <c r="H70" s="56" t="str">
        <f t="shared" si="6"/>
        <v/>
      </c>
      <c r="I70" s="2"/>
    </row>
    <row r="71" spans="1:11" x14ac:dyDescent="0.25">
      <c r="B71" s="57" t="str">
        <f>IF($A71=0,"",VLOOKUP($A71,'BASE EQUIPO'!$A:$D,2))</f>
        <v/>
      </c>
      <c r="C71" s="58"/>
      <c r="D71" s="59"/>
      <c r="E71" s="59" t="str">
        <f>IF($A71=0,"",VLOOKUP($A71,'BASE EQUIPO'!$A:$D,4))</f>
        <v/>
      </c>
      <c r="F71" s="59" t="str">
        <f t="shared" si="5"/>
        <v/>
      </c>
      <c r="G71" s="107"/>
      <c r="H71" s="60" t="str">
        <f t="shared" si="6"/>
        <v/>
      </c>
      <c r="I71" s="2"/>
    </row>
    <row r="72" spans="1:11" x14ac:dyDescent="0.25">
      <c r="B72" s="57" t="s">
        <v>1692</v>
      </c>
      <c r="C72" s="58"/>
      <c r="D72" s="61"/>
      <c r="E72" s="61"/>
      <c r="F72" s="61"/>
      <c r="G72" s="62"/>
      <c r="H72" s="60">
        <f>ROUND(SUM(H65:H71),2)</f>
        <v>5.48</v>
      </c>
      <c r="I72" s="2"/>
    </row>
    <row r="73" spans="1:11" x14ac:dyDescent="0.25">
      <c r="B73" s="38" t="s">
        <v>1503</v>
      </c>
      <c r="C73" s="2"/>
      <c r="D73" s="3"/>
      <c r="E73" s="3"/>
      <c r="F73" s="3"/>
      <c r="G73" s="63"/>
      <c r="H73" s="56"/>
      <c r="I73" s="2"/>
    </row>
    <row r="74" spans="1:11" ht="25.5" x14ac:dyDescent="0.25">
      <c r="B74" s="64" t="s">
        <v>1691</v>
      </c>
      <c r="C74" s="65"/>
      <c r="D74" s="66" t="s">
        <v>1690</v>
      </c>
      <c r="E74" s="66" t="s">
        <v>1689</v>
      </c>
      <c r="F74" s="66" t="s">
        <v>1688</v>
      </c>
      <c r="G74" s="67" t="s">
        <v>1687</v>
      </c>
      <c r="H74" s="68" t="s">
        <v>1686</v>
      </c>
      <c r="I74" s="2"/>
    </row>
    <row r="75" spans="1:11" x14ac:dyDescent="0.25">
      <c r="A75" s="103">
        <v>20001</v>
      </c>
      <c r="B75" s="69" t="str">
        <f>IF($A75=0,"",VLOOKUP($A75,'BASE M-OBRA'!$A:$D,2))</f>
        <v>MAESTRO</v>
      </c>
      <c r="C75" s="2"/>
      <c r="D75" s="108">
        <v>1</v>
      </c>
      <c r="E75" s="70">
        <f>IF($A75=0,"",VLOOKUP($A75,'BASE M-OBRA'!$A:$D,4))</f>
        <v>3.02</v>
      </c>
      <c r="F75" s="55">
        <f t="shared" ref="F75:F81" si="7">IF($A75=0,"",ROUND(D75*E75,2))</f>
        <v>3.02</v>
      </c>
      <c r="G75" s="106">
        <f>IF($A75=0,"",ROUND(H75/F75,2))</f>
        <v>5.0199999999999996</v>
      </c>
      <c r="H75" s="56">
        <f>IF($A75=0,"",ROUND(SUM(H76:H81)*'BASE M-OBRA'!$D$23,2))</f>
        <v>15.17</v>
      </c>
      <c r="I75" s="2"/>
    </row>
    <row r="76" spans="1:11" x14ac:dyDescent="0.25">
      <c r="A76" s="103">
        <v>20002</v>
      </c>
      <c r="B76" s="69" t="str">
        <f>IF($A76=0,"",VLOOKUP($A76,'BASE M-OBRA'!$A:$D,2))</f>
        <v>PEON</v>
      </c>
      <c r="C76" s="2"/>
      <c r="D76" s="108">
        <v>8</v>
      </c>
      <c r="E76" s="70">
        <f>IF($A76=0,"",VLOOKUP($A76,'BASE M-OBRA'!$A:$D,4))</f>
        <v>2.79</v>
      </c>
      <c r="F76" s="55">
        <f t="shared" si="7"/>
        <v>22.32</v>
      </c>
      <c r="G76" s="106">
        <v>1.1000000000000001</v>
      </c>
      <c r="H76" s="56">
        <f t="shared" ref="H76:H81" si="8">IF($A76=0,"",ROUND(G76*F76,2))</f>
        <v>24.55</v>
      </c>
      <c r="I76" s="2"/>
    </row>
    <row r="77" spans="1:11" x14ac:dyDescent="0.25">
      <c r="A77" s="103">
        <v>20003</v>
      </c>
      <c r="B77" s="69" t="str">
        <f>IF($A77=0,"",VLOOKUP($A77,'BASE M-OBRA'!$A:$D,2))</f>
        <v>ALBAÑIL</v>
      </c>
      <c r="C77" s="2"/>
      <c r="D77" s="108">
        <v>2</v>
      </c>
      <c r="E77" s="70">
        <f>IF($A77=0,"",VLOOKUP($A77,'BASE M-OBRA'!$A:$D,4))</f>
        <v>2.82</v>
      </c>
      <c r="F77" s="55">
        <f t="shared" si="7"/>
        <v>5.64</v>
      </c>
      <c r="G77" s="106">
        <f>+G76</f>
        <v>1.1000000000000001</v>
      </c>
      <c r="H77" s="56">
        <f t="shared" si="8"/>
        <v>6.2</v>
      </c>
      <c r="I77" s="2"/>
    </row>
    <row r="78" spans="1:11" x14ac:dyDescent="0.25">
      <c r="A78" s="103">
        <v>20004</v>
      </c>
      <c r="B78" s="71" t="str">
        <f>IF($A78=0,"",VLOOKUP($A78,'BASE M-OBRA'!$A:$D,2))</f>
        <v>CARPINTERO</v>
      </c>
      <c r="C78" s="2"/>
      <c r="D78" s="108">
        <v>2</v>
      </c>
      <c r="E78" s="70">
        <f>IF($A78=0,"",VLOOKUP($A78,'BASE M-OBRA'!$A:$D,4))</f>
        <v>2.82</v>
      </c>
      <c r="F78" s="55">
        <f t="shared" si="7"/>
        <v>5.64</v>
      </c>
      <c r="G78" s="106">
        <v>8</v>
      </c>
      <c r="H78" s="56">
        <f t="shared" si="8"/>
        <v>45.12</v>
      </c>
      <c r="I78" s="2"/>
      <c r="K78" s="1">
        <f>12*2.9</f>
        <v>34.799999999999997</v>
      </c>
    </row>
    <row r="79" spans="1:11" x14ac:dyDescent="0.25">
      <c r="B79" s="72" t="str">
        <f>IF($A79=0,"",VLOOKUP($A79,'BASE M-OBRA'!$A:$D,2))</f>
        <v/>
      </c>
      <c r="C79" s="2"/>
      <c r="D79" s="108"/>
      <c r="E79" s="70" t="str">
        <f>IF($A79=0,"",VLOOKUP($A79,'BASE M-OBRA'!$A:$D,4))</f>
        <v/>
      </c>
      <c r="F79" s="55" t="str">
        <f t="shared" si="7"/>
        <v/>
      </c>
      <c r="G79" s="106"/>
      <c r="H79" s="56" t="str">
        <f t="shared" si="8"/>
        <v/>
      </c>
      <c r="I79" s="2"/>
      <c r="K79" s="1">
        <f>F88*0.2</f>
        <v>0.8</v>
      </c>
    </row>
    <row r="80" spans="1:11" x14ac:dyDescent="0.25">
      <c r="B80" s="38" t="str">
        <f>IF($A80=0,"",VLOOKUP($A80,'BASE M-OBRA'!$A:$D,2))</f>
        <v/>
      </c>
      <c r="C80" s="2"/>
      <c r="D80" s="55"/>
      <c r="E80" s="55" t="str">
        <f>IF($A80=0,"",VLOOKUP($A80,'BASE M-OBRA'!$A:$D,4))</f>
        <v/>
      </c>
      <c r="F80" s="55" t="str">
        <f t="shared" si="7"/>
        <v/>
      </c>
      <c r="G80" s="106"/>
      <c r="H80" s="56" t="str">
        <f t="shared" si="8"/>
        <v/>
      </c>
      <c r="I80" s="2"/>
    </row>
    <row r="81" spans="1:16" x14ac:dyDescent="0.25">
      <c r="B81" s="57" t="str">
        <f>IF($A81=0,"",VLOOKUP($A81,'BASE M-OBRA'!$A:$D,2))</f>
        <v/>
      </c>
      <c r="C81" s="58"/>
      <c r="D81" s="59"/>
      <c r="E81" s="59" t="str">
        <f>IF($A81=0,"",VLOOKUP($A81,'BASE M-OBRA'!$A:$D,4))</f>
        <v/>
      </c>
      <c r="F81" s="59" t="str">
        <f t="shared" si="7"/>
        <v/>
      </c>
      <c r="G81" s="107"/>
      <c r="H81" s="60" t="str">
        <f t="shared" si="8"/>
        <v/>
      </c>
      <c r="I81" s="2"/>
    </row>
    <row r="82" spans="1:16" x14ac:dyDescent="0.25">
      <c r="B82" s="73" t="s">
        <v>1685</v>
      </c>
      <c r="C82" s="65"/>
      <c r="D82" s="74"/>
      <c r="E82" s="74"/>
      <c r="F82" s="74"/>
      <c r="G82" s="74"/>
      <c r="H82" s="75">
        <f>ROUND(SUM(H74:H81),2)</f>
        <v>91.04</v>
      </c>
      <c r="I82" s="2"/>
    </row>
    <row r="83" spans="1:16" x14ac:dyDescent="0.25">
      <c r="B83" s="38" t="s">
        <v>1684</v>
      </c>
      <c r="C83" s="2"/>
      <c r="D83" s="3"/>
      <c r="E83" s="3"/>
      <c r="F83" s="3"/>
      <c r="G83" s="3"/>
      <c r="H83" s="56"/>
      <c r="I83" s="2"/>
    </row>
    <row r="84" spans="1:16" ht="25.5" x14ac:dyDescent="0.25">
      <c r="B84" s="64" t="s">
        <v>1409</v>
      </c>
      <c r="C84" s="65"/>
      <c r="D84" s="76"/>
      <c r="E84" s="66" t="s">
        <v>1408</v>
      </c>
      <c r="F84" s="66" t="s">
        <v>1679</v>
      </c>
      <c r="G84" s="66" t="s">
        <v>1683</v>
      </c>
      <c r="H84" s="68" t="s">
        <v>1675</v>
      </c>
      <c r="I84" s="2"/>
    </row>
    <row r="85" spans="1:16" x14ac:dyDescent="0.25">
      <c r="A85" s="103">
        <v>11008</v>
      </c>
      <c r="B85" s="37" t="str">
        <f>IF($A85=0,"",VLOOKUP($A85,'BASE MATERIAL'!$A:$D,2))</f>
        <v>TABLA</v>
      </c>
      <c r="C85" s="2"/>
      <c r="D85" s="77"/>
      <c r="E85" s="78" t="str">
        <f>IF($A85=0,"",VLOOKUP($A85,'BASE MATERIAL'!$A:$D,3))</f>
        <v>U</v>
      </c>
      <c r="F85" s="55">
        <f>ROUND(12*5/(4*3),2)</f>
        <v>5</v>
      </c>
      <c r="G85" s="55">
        <f>IF($A85=0,"",VLOOKUP($A85,'BASE MATERIAL'!$A:$D,4))</f>
        <v>3.5</v>
      </c>
      <c r="H85" s="56">
        <f t="shared" ref="H85:H91" si="9">IF($A85=0,"",ROUND(F85*G85,2))</f>
        <v>17.5</v>
      </c>
      <c r="I85" s="2"/>
      <c r="L85" s="2"/>
      <c r="M85" s="2"/>
      <c r="N85" s="39"/>
      <c r="O85" s="2"/>
      <c r="P85" s="2"/>
    </row>
    <row r="86" spans="1:16" x14ac:dyDescent="0.25">
      <c r="A86" s="103">
        <v>11009</v>
      </c>
      <c r="B86" s="38" t="str">
        <f>IF($A86=0,"",VLOOKUP($A86,'BASE MATERIAL'!$A:$D,2))</f>
        <v>CUARTON</v>
      </c>
      <c r="C86" s="2"/>
      <c r="D86" s="77"/>
      <c r="E86" s="78" t="str">
        <f>IF($A86=0,"",VLOOKUP($A86,'BASE MATERIAL'!$A:$D,3))</f>
        <v>U</v>
      </c>
      <c r="F86" s="55">
        <f>ROUND(12*8/(4*3),2)</f>
        <v>8</v>
      </c>
      <c r="G86" s="55">
        <f>IF($A86=0,"",VLOOKUP($A86,'BASE MATERIAL'!$A:$D,4))</f>
        <v>2.42</v>
      </c>
      <c r="H86" s="56">
        <f t="shared" si="9"/>
        <v>19.36</v>
      </c>
      <c r="I86" s="2"/>
      <c r="L86" s="2"/>
      <c r="M86" s="2"/>
      <c r="N86" s="39"/>
      <c r="O86" s="2"/>
      <c r="P86" s="2"/>
    </row>
    <row r="87" spans="1:16" x14ac:dyDescent="0.25">
      <c r="A87" s="103">
        <v>11007</v>
      </c>
      <c r="B87" s="38" t="str">
        <f>IF($A87=0,"",VLOOKUP($A87,'BASE MATERIAL'!$A:$D,2))</f>
        <v>CLAVO 2 1/2"</v>
      </c>
      <c r="C87" s="2"/>
      <c r="D87" s="77"/>
      <c r="E87" s="78" t="str">
        <f>IF($A87=0,"",VLOOKUP($A87,'BASE MATERIAL'!$A:$D,3))</f>
        <v>KG</v>
      </c>
      <c r="F87" s="55">
        <f>ROUND(12*56/(178*1.5),2)</f>
        <v>2.52</v>
      </c>
      <c r="G87" s="55">
        <f>IF($A87=0,"",VLOOKUP($A87,'BASE MATERIAL'!$A:$D,4))</f>
        <v>2.6520000000000001</v>
      </c>
      <c r="H87" s="56">
        <f t="shared" si="9"/>
        <v>6.68</v>
      </c>
      <c r="I87" s="2"/>
      <c r="L87" s="2"/>
      <c r="M87" s="2"/>
      <c r="N87" s="39"/>
      <c r="O87" s="2"/>
      <c r="P87" s="2"/>
    </row>
    <row r="88" spans="1:16" x14ac:dyDescent="0.25">
      <c r="A88" s="103">
        <v>11010</v>
      </c>
      <c r="B88" s="38" t="str">
        <f>IF($A88=0,"",VLOOKUP($A88,'BASE MATERIAL'!$A:$D,2))</f>
        <v>TIRA</v>
      </c>
      <c r="C88" s="2"/>
      <c r="D88" s="77"/>
      <c r="E88" s="78" t="str">
        <f>IF($A88=0,"",VLOOKUP($A88,'BASE MATERIAL'!$A:$D,3))</f>
        <v>U</v>
      </c>
      <c r="F88" s="55">
        <f>ROUND(12*4/(4*3),2)</f>
        <v>4</v>
      </c>
      <c r="G88" s="55">
        <f>IF($A88=0,"",VLOOKUP($A88,'BASE MATERIAL'!$A:$D,4))</f>
        <v>1.5</v>
      </c>
      <c r="H88" s="56">
        <f t="shared" si="9"/>
        <v>6</v>
      </c>
      <c r="I88" s="2"/>
      <c r="L88" s="2"/>
      <c r="M88" s="2"/>
      <c r="N88" s="39"/>
      <c r="O88" s="2"/>
      <c r="P88" s="2"/>
    </row>
    <row r="89" spans="1:16" x14ac:dyDescent="0.25">
      <c r="B89" s="38" t="str">
        <f>IF($A89=0,"",VLOOKUP($A89,'BASE MATERIAL'!$A:$D,2))</f>
        <v/>
      </c>
      <c r="C89" s="2"/>
      <c r="D89" s="77"/>
      <c r="E89" s="78" t="str">
        <f>IF($A89=0,"",VLOOKUP($A89,'BASE MATERIAL'!$A:$D,3))</f>
        <v/>
      </c>
      <c r="F89" s="55"/>
      <c r="G89" s="55" t="str">
        <f>IF($A89=0,"",VLOOKUP($A89,'BASE MATERIAL'!$A:$D,4))</f>
        <v/>
      </c>
      <c r="H89" s="56" t="str">
        <f t="shared" si="9"/>
        <v/>
      </c>
      <c r="I89" s="2"/>
      <c r="L89" s="2"/>
      <c r="M89" s="2"/>
      <c r="N89" s="39"/>
      <c r="O89" s="2"/>
      <c r="P89" s="2"/>
    </row>
    <row r="90" spans="1:16" x14ac:dyDescent="0.25">
      <c r="A90" s="103">
        <v>11009</v>
      </c>
      <c r="B90" s="38" t="s">
        <v>630</v>
      </c>
      <c r="C90" s="2"/>
      <c r="D90" s="77"/>
      <c r="E90" s="78" t="s">
        <v>1521</v>
      </c>
      <c r="F90" s="55">
        <v>1.02</v>
      </c>
      <c r="G90" s="55">
        <f>106.7*1.12</f>
        <v>119.50400000000002</v>
      </c>
      <c r="H90" s="56">
        <f t="shared" si="9"/>
        <v>121.89</v>
      </c>
      <c r="I90" s="2"/>
      <c r="L90" s="2"/>
      <c r="M90" s="2"/>
      <c r="N90" s="39"/>
      <c r="O90" s="2"/>
      <c r="P90" s="2"/>
    </row>
    <row r="91" spans="1:16" x14ac:dyDescent="0.25">
      <c r="B91" s="38" t="str">
        <f>IF($A91=0,"",VLOOKUP($A91,'BASE MATERIAL'!$A:$D,2))</f>
        <v/>
      </c>
      <c r="C91" s="2"/>
      <c r="D91" s="77"/>
      <c r="E91" s="78" t="str">
        <f>IF($A91=0,"",VLOOKUP($A91,'BASE MATERIAL'!$A:$D,3))</f>
        <v/>
      </c>
      <c r="F91" s="55"/>
      <c r="G91" s="55" t="str">
        <f>IF($A91=0,"",VLOOKUP($A91,'BASE MATERIAL'!$A:$D,4))</f>
        <v/>
      </c>
      <c r="H91" s="56" t="str">
        <f t="shared" si="9"/>
        <v/>
      </c>
      <c r="I91" s="2"/>
      <c r="L91" s="2"/>
      <c r="M91" s="2"/>
      <c r="N91" s="39"/>
      <c r="O91" s="2"/>
      <c r="P91" s="2"/>
    </row>
    <row r="92" spans="1:16" x14ac:dyDescent="0.25">
      <c r="B92" s="38" t="str">
        <f>IF($A92=0,"",VLOOKUP($A92,'BASE MATERIAL'!$A:$D,2))</f>
        <v/>
      </c>
      <c r="C92" s="2"/>
      <c r="D92" s="77"/>
      <c r="E92" s="78" t="str">
        <f>IF($A92=0,"",VLOOKUP($A92,'BASE MATERIAL'!$A:$D,3))</f>
        <v/>
      </c>
      <c r="F92" s="55"/>
      <c r="G92" s="55" t="str">
        <f>IF($A92=0,"",VLOOKUP($A92,'BASE MATERIAL'!$A:$D,4))</f>
        <v/>
      </c>
      <c r="H92" s="56" t="str">
        <f t="shared" ref="H92:H99" si="10">IF($A92=0,"",ROUND(F92*G92,2))</f>
        <v/>
      </c>
      <c r="I92" s="2"/>
      <c r="L92" s="2"/>
      <c r="M92" s="2"/>
      <c r="N92" s="39"/>
      <c r="O92" s="2"/>
      <c r="P92" s="2"/>
    </row>
    <row r="93" spans="1:16" x14ac:dyDescent="0.25">
      <c r="B93" s="38" t="str">
        <f>IF($A93=0,"",VLOOKUP($A93,'BASE MATERIAL'!$A:$D,2))</f>
        <v/>
      </c>
      <c r="C93" s="2"/>
      <c r="D93" s="77"/>
      <c r="E93" s="78" t="str">
        <f>IF($A93=0,"",VLOOKUP($A93,'BASE MATERIAL'!$A:$D,3))</f>
        <v/>
      </c>
      <c r="F93" s="55"/>
      <c r="G93" s="80" t="str">
        <f>IF($A93=0,"",VLOOKUP($A93,'BASE MATERIAL'!$A:$D,4))</f>
        <v/>
      </c>
      <c r="H93" s="56" t="str">
        <f t="shared" si="10"/>
        <v/>
      </c>
      <c r="I93" s="2"/>
    </row>
    <row r="94" spans="1:16" x14ac:dyDescent="0.25">
      <c r="B94" s="38" t="str">
        <f>IF($A94=0,"",VLOOKUP($A94,'BASE MATERIAL'!$A:$D,2))</f>
        <v/>
      </c>
      <c r="C94" s="2"/>
      <c r="D94" s="77"/>
      <c r="E94" s="78" t="str">
        <f>IF($A94=0,"",VLOOKUP($A94,'BASE MATERIAL'!$A:$D,3))</f>
        <v/>
      </c>
      <c r="F94" s="55"/>
      <c r="G94" s="80" t="str">
        <f>IF($A94=0,"",VLOOKUP($A94,'BASE MATERIAL'!$A:$D,4))</f>
        <v/>
      </c>
      <c r="H94" s="56" t="str">
        <f t="shared" si="10"/>
        <v/>
      </c>
      <c r="I94" s="2"/>
      <c r="L94" s="2"/>
      <c r="M94" s="2"/>
      <c r="N94" s="39"/>
      <c r="O94" s="2"/>
      <c r="P94" s="2"/>
    </row>
    <row r="95" spans="1:16" x14ac:dyDescent="0.25">
      <c r="B95" s="38" t="str">
        <f>IF($A95=0,"",VLOOKUP($A95,'BASE MATERIAL'!$A:$D,2))</f>
        <v/>
      </c>
      <c r="C95" s="2"/>
      <c r="D95" s="77"/>
      <c r="E95" s="78" t="str">
        <f>IF($A95=0,"",VLOOKUP($A95,'BASE MATERIAL'!$A:$D,3))</f>
        <v/>
      </c>
      <c r="F95" s="55"/>
      <c r="G95" s="55" t="str">
        <f>IF($A95=0,"",VLOOKUP($A95,'BASE MATERIAL'!$A:$D,4))</f>
        <v/>
      </c>
      <c r="H95" s="56" t="str">
        <f t="shared" si="10"/>
        <v/>
      </c>
      <c r="I95" s="2"/>
      <c r="L95" s="2"/>
      <c r="M95" s="2"/>
      <c r="N95" s="39"/>
      <c r="O95" s="2"/>
      <c r="P95" s="2"/>
    </row>
    <row r="96" spans="1:16" x14ac:dyDescent="0.25">
      <c r="B96" s="38" t="str">
        <f>IF($A96=0,"",VLOOKUP($A96,'BASE MATERIAL'!$A:$D,2))</f>
        <v/>
      </c>
      <c r="C96" s="2"/>
      <c r="D96" s="77"/>
      <c r="E96" s="78" t="str">
        <f>IF($A96=0,"",VLOOKUP($A96,'BASE MATERIAL'!$A:$D,3))</f>
        <v/>
      </c>
      <c r="F96" s="55"/>
      <c r="G96" s="55" t="str">
        <f>IF($A96=0,"",VLOOKUP($A96,'BASE MATERIAL'!$A:$D,4))</f>
        <v/>
      </c>
      <c r="H96" s="56" t="str">
        <f t="shared" si="10"/>
        <v/>
      </c>
      <c r="I96" s="2"/>
    </row>
    <row r="97" spans="1:9" x14ac:dyDescent="0.25">
      <c r="B97" s="38" t="str">
        <f>IF($A97=0,"",VLOOKUP($A97,'BASE MATERIAL'!$A:$D,2))</f>
        <v/>
      </c>
      <c r="C97" s="2"/>
      <c r="D97" s="77"/>
      <c r="E97" s="78" t="str">
        <f>IF($A97=0,"",VLOOKUP($A97,'BASE MATERIAL'!$A:$D,3))</f>
        <v/>
      </c>
      <c r="F97" s="55"/>
      <c r="G97" s="55" t="str">
        <f>IF($A97=0,"",VLOOKUP($A97,'BASE MATERIAL'!$A:$D,4))</f>
        <v/>
      </c>
      <c r="H97" s="56" t="str">
        <f t="shared" si="10"/>
        <v/>
      </c>
      <c r="I97" s="2"/>
    </row>
    <row r="98" spans="1:9" x14ac:dyDescent="0.25">
      <c r="B98" s="38" t="str">
        <f>IF($A98=0,"",VLOOKUP($A98,'BASE MATERIAL'!$A:$D,2))</f>
        <v/>
      </c>
      <c r="C98" s="2"/>
      <c r="D98" s="77"/>
      <c r="E98" s="78" t="str">
        <f>IF($A98=0,"",VLOOKUP($A98,'BASE MATERIAL'!$A:$D,3))</f>
        <v/>
      </c>
      <c r="F98" s="55"/>
      <c r="G98" s="55" t="str">
        <f>IF($A98=0,"",VLOOKUP($A98,'BASE MATERIAL'!$A:$D,4))</f>
        <v/>
      </c>
      <c r="H98" s="56" t="str">
        <f t="shared" si="10"/>
        <v/>
      </c>
      <c r="I98" s="2"/>
    </row>
    <row r="99" spans="1:9" x14ac:dyDescent="0.25">
      <c r="B99" s="38" t="str">
        <f>IF($A99=0,"",VLOOKUP($A99,'BASE MATERIAL'!$A:$D,2))</f>
        <v/>
      </c>
      <c r="C99" s="2"/>
      <c r="D99" s="77"/>
      <c r="E99" s="78" t="str">
        <f>IF($A99=0,"",VLOOKUP($A99,'BASE MATERIAL'!$A:$D,3))</f>
        <v/>
      </c>
      <c r="F99" s="55"/>
      <c r="G99" s="55" t="str">
        <f>IF($A99=0,"",VLOOKUP($A99,'BASE MATERIAL'!$A:$D,4))</f>
        <v/>
      </c>
      <c r="H99" s="56" t="str">
        <f t="shared" si="10"/>
        <v/>
      </c>
      <c r="I99" s="2"/>
    </row>
    <row r="100" spans="1:9" x14ac:dyDescent="0.25">
      <c r="B100" s="38" t="str">
        <f>IF($A100=0,"",VLOOKUP($A100,'BASE MATERIAL'!$A:$D,2))</f>
        <v/>
      </c>
      <c r="C100" s="2"/>
      <c r="D100" s="81" t="s">
        <v>1682</v>
      </c>
      <c r="E100" s="55" t="str">
        <f>IF($A100=0,"",VLOOKUP($A100,'BASE MATERIAL'!$A:$D,3))</f>
        <v/>
      </c>
      <c r="F100" s="55" t="s">
        <v>1682</v>
      </c>
      <c r="G100" s="55" t="str">
        <f>IF($A100=0,"",VLOOKUP($A100,'BASE MATERIAL'!$A:$D,4))</f>
        <v/>
      </c>
      <c r="H100" s="56" t="str">
        <f>IF($A100=0,"",ROUND(E100*F100,2))</f>
        <v/>
      </c>
      <c r="I100" s="2"/>
    </row>
    <row r="101" spans="1:9" x14ac:dyDescent="0.25">
      <c r="B101" s="73" t="s">
        <v>1681</v>
      </c>
      <c r="C101" s="65"/>
      <c r="D101" s="74"/>
      <c r="E101" s="74"/>
      <c r="F101" s="74"/>
      <c r="G101" s="74"/>
      <c r="H101" s="75">
        <f>ROUND(SUM(H84:H100),2)</f>
        <v>171.43</v>
      </c>
      <c r="I101" s="2"/>
    </row>
    <row r="102" spans="1:9" x14ac:dyDescent="0.25">
      <c r="B102" s="38" t="s">
        <v>1680</v>
      </c>
      <c r="C102" s="2"/>
      <c r="D102" s="3"/>
      <c r="E102" s="3"/>
      <c r="F102" s="3"/>
      <c r="G102" s="3"/>
      <c r="H102" s="56"/>
      <c r="I102" s="2"/>
    </row>
    <row r="103" spans="1:9" ht="25.5" x14ac:dyDescent="0.25">
      <c r="B103" s="64" t="s">
        <v>1409</v>
      </c>
      <c r="C103" s="65"/>
      <c r="D103" s="76"/>
      <c r="E103" s="66" t="s">
        <v>1408</v>
      </c>
      <c r="F103" s="66" t="s">
        <v>1679</v>
      </c>
      <c r="G103" s="66" t="s">
        <v>1676</v>
      </c>
      <c r="H103" s="68" t="s">
        <v>1675</v>
      </c>
      <c r="I103" s="2"/>
    </row>
    <row r="104" spans="1:9" x14ac:dyDescent="0.25">
      <c r="A104" s="103">
        <v>19019</v>
      </c>
      <c r="B104" s="51" t="str">
        <f>IF($A104=0,"",VLOOKUP($A104,'BASE EQUIPO'!$A:$D,2))</f>
        <v>TRANSPORTE DE MATERIAL</v>
      </c>
      <c r="C104" s="52"/>
      <c r="D104" s="82"/>
      <c r="E104" s="78" t="str">
        <f>IF($A104=0,"",VLOOKUP($A104,'BASE EQUIPO'!$A:$D,3))</f>
        <v>GLOBAL</v>
      </c>
      <c r="F104" s="55">
        <v>1</v>
      </c>
      <c r="G104" s="83">
        <f>IF($A104=0,"",VLOOKUP($A104,'BASE EQUIPO'!$A:$D,4)*H101)+0.03</f>
        <v>5.1729000000000003</v>
      </c>
      <c r="H104" s="56">
        <f>IF($A104=0,"",ROUND(F104*G104,2))</f>
        <v>5.17</v>
      </c>
      <c r="I104" s="2"/>
    </row>
    <row r="105" spans="1:9" x14ac:dyDescent="0.25">
      <c r="B105" s="38" t="str">
        <f>IF($A105=0,"",VLOOKUP($A105,'BASE EQUIPO'!$A:$D,2))</f>
        <v/>
      </c>
      <c r="C105" s="2"/>
      <c r="D105" s="84"/>
      <c r="E105" s="78" t="str">
        <f>IF($A105=0,"",VLOOKUP($A105,'BASE EQUIPO'!$A:$D,3))</f>
        <v/>
      </c>
      <c r="F105" s="55"/>
      <c r="G105" s="55" t="str">
        <f>IF($A105=0,"",VLOOKUP($A105,'BASE EQUIPO'!$A:$D,4)*H102)</f>
        <v/>
      </c>
      <c r="H105" s="56" t="str">
        <f>IF($A105=0,"",ROUND(F105*G105,2))</f>
        <v/>
      </c>
      <c r="I105" s="2"/>
    </row>
    <row r="106" spans="1:9" x14ac:dyDescent="0.25">
      <c r="B106" s="57" t="str">
        <f>IF($A106=0,"",VLOOKUP($A106,'BASE EQUIPO'!$A:$D,2))</f>
        <v/>
      </c>
      <c r="C106" s="58"/>
      <c r="D106" s="85"/>
      <c r="E106" s="86" t="str">
        <f>IF($A106=0,"",VLOOKUP($A106,'BASE EQUIPO'!$A:$D,3))</f>
        <v/>
      </c>
      <c r="F106" s="59"/>
      <c r="G106" s="59" t="str">
        <f>IF($A106=0,"",VLOOKUP($A106,'BASE EQUIPO'!$A:$D,4)*H103)</f>
        <v/>
      </c>
      <c r="H106" s="60" t="str">
        <f>IF($A106=0,"",ROUND(F106*G106,2))</f>
        <v/>
      </c>
      <c r="I106" s="2"/>
    </row>
    <row r="107" spans="1:9" ht="15.75" thickBot="1" x14ac:dyDescent="0.3">
      <c r="B107" s="87" t="s">
        <v>1674</v>
      </c>
      <c r="C107" s="88"/>
      <c r="D107" s="89"/>
      <c r="E107" s="89"/>
      <c r="F107" s="89"/>
      <c r="G107" s="89"/>
      <c r="H107" s="90">
        <f>ROUND(SUM(H103:H106),2)</f>
        <v>5.17</v>
      </c>
      <c r="I107" s="2"/>
    </row>
    <row r="108" spans="1:9" ht="15.75" x14ac:dyDescent="0.25">
      <c r="B108" s="2"/>
      <c r="C108" s="2"/>
      <c r="D108" s="91" t="s">
        <v>1673</v>
      </c>
      <c r="E108" s="47"/>
      <c r="F108" s="47"/>
      <c r="G108" s="47"/>
      <c r="H108" s="92">
        <f>ROUND(SUM(H107,H101,H82,H72),2)</f>
        <v>273.12</v>
      </c>
      <c r="I108" s="2"/>
    </row>
    <row r="109" spans="1:9" ht="15.75" x14ac:dyDescent="0.25">
      <c r="A109" s="103">
        <v>40002</v>
      </c>
      <c r="B109" s="2"/>
      <c r="C109" s="2"/>
      <c r="D109" s="93" t="s">
        <v>1672</v>
      </c>
      <c r="E109" s="65"/>
      <c r="F109" s="65"/>
      <c r="G109" s="94">
        <f>IF($A109=0,"",VLOOKUP($A109,'BASE MATERIAL'!$M:$P,4))</f>
        <v>0</v>
      </c>
      <c r="H109" s="95">
        <f>IF($A109=0,"",ROUND(G109*H108,2))</f>
        <v>0</v>
      </c>
      <c r="I109" s="2"/>
    </row>
    <row r="110" spans="1:9" ht="15.75" x14ac:dyDescent="0.25">
      <c r="A110" s="103">
        <v>40003</v>
      </c>
      <c r="B110" s="2"/>
      <c r="C110" s="2"/>
      <c r="D110" s="93" t="s">
        <v>1671</v>
      </c>
      <c r="E110" s="65"/>
      <c r="F110" s="65"/>
      <c r="G110" s="94">
        <f>IF($A110=0,"",VLOOKUP($A110,'BASE MATERIAL'!$M:$P,4))</f>
        <v>0</v>
      </c>
      <c r="H110" s="95">
        <f>IF($A110=0,"",ROUND(G110*H108,2))</f>
        <v>0</v>
      </c>
      <c r="I110" s="2"/>
    </row>
    <row r="111" spans="1:9" ht="15.75" x14ac:dyDescent="0.25">
      <c r="B111" s="2"/>
      <c r="C111" s="2"/>
      <c r="D111" s="93" t="s">
        <v>1670</v>
      </c>
      <c r="E111" s="65"/>
      <c r="F111" s="65"/>
      <c r="G111" s="65"/>
      <c r="H111" s="96">
        <f>ROUND(SUM(H108:H110),2)</f>
        <v>273.12</v>
      </c>
      <c r="I111" s="2"/>
    </row>
    <row r="112" spans="1:9" ht="16.5" thickBot="1" x14ac:dyDescent="0.3">
      <c r="B112" s="25"/>
      <c r="C112" s="2"/>
      <c r="D112" s="97" t="s">
        <v>1650</v>
      </c>
      <c r="E112" s="88"/>
      <c r="F112" s="88"/>
      <c r="G112" s="88"/>
      <c r="H112" s="98">
        <f>ROUND(H111,2)</f>
        <v>273.12</v>
      </c>
      <c r="I112" s="2"/>
    </row>
    <row r="113" spans="1:15" ht="15.75" x14ac:dyDescent="0.25">
      <c r="B113" s="34" t="s">
        <v>1701</v>
      </c>
      <c r="C113" s="2"/>
      <c r="D113" s="3" t="str">
        <f>$D$1</f>
        <v>ESPOL</v>
      </c>
      <c r="E113" s="2"/>
      <c r="F113" s="2"/>
      <c r="H113" s="2" t="s">
        <v>108</v>
      </c>
      <c r="I113" s="2"/>
      <c r="L113" s="40">
        <f>A117</f>
        <v>3</v>
      </c>
      <c r="M113" s="1" t="str">
        <f>C118</f>
        <v>Riostras de cimentacion</v>
      </c>
      <c r="N113" s="2" t="str">
        <f>H117</f>
        <v>m3</v>
      </c>
      <c r="O113" s="2">
        <f>H168</f>
        <v>288.60000000000002</v>
      </c>
    </row>
    <row r="114" spans="1:15" ht="15.75" x14ac:dyDescent="0.25">
      <c r="B114" s="34" t="s">
        <v>1700</v>
      </c>
      <c r="C114" s="3">
        <f>'1.1'!$C$2</f>
        <v>0</v>
      </c>
      <c r="D114" s="2"/>
      <c r="E114" s="2"/>
      <c r="F114" s="2"/>
      <c r="G114" s="41" t="s">
        <v>1699</v>
      </c>
      <c r="H114" s="42"/>
      <c r="I114" s="2" t="s">
        <v>1698</v>
      </c>
    </row>
    <row r="115" spans="1:15" ht="15.75" x14ac:dyDescent="0.25">
      <c r="B115" s="34"/>
      <c r="C115" s="3">
        <f>'1.1'!$C$3</f>
        <v>0</v>
      </c>
      <c r="D115" s="2"/>
      <c r="E115" s="2"/>
      <c r="F115" s="2"/>
      <c r="G115" s="2"/>
      <c r="H115" s="2"/>
      <c r="I115" s="2"/>
    </row>
    <row r="116" spans="1:15" ht="15.75" x14ac:dyDescent="0.25">
      <c r="B116" s="34" t="s">
        <v>1697</v>
      </c>
      <c r="C116" s="3"/>
      <c r="D116" s="2"/>
      <c r="E116" s="2"/>
      <c r="F116" s="2"/>
      <c r="G116" s="2"/>
      <c r="H116" s="2"/>
      <c r="I116" s="2"/>
    </row>
    <row r="117" spans="1:15" x14ac:dyDescent="0.25">
      <c r="A117" s="104">
        <v>3</v>
      </c>
      <c r="B117" s="2" t="s">
        <v>1586</v>
      </c>
      <c r="C117" s="36" t="s">
        <v>584</v>
      </c>
      <c r="D117" s="2"/>
      <c r="G117" s="2" t="s">
        <v>1696</v>
      </c>
      <c r="H117" s="3" t="s">
        <v>1521</v>
      </c>
      <c r="I117" s="2"/>
    </row>
    <row r="118" spans="1:15" x14ac:dyDescent="0.25">
      <c r="B118" s="1" t="s">
        <v>1585</v>
      </c>
      <c r="C118" s="36" t="s">
        <v>639</v>
      </c>
      <c r="D118" s="2"/>
      <c r="E118" s="2"/>
      <c r="F118" s="2"/>
      <c r="G118" s="2"/>
      <c r="H118" s="2"/>
      <c r="I118" s="2"/>
    </row>
    <row r="119" spans="1:15" ht="15.75" thickBot="1" x14ac:dyDescent="0.3">
      <c r="D119" s="2"/>
      <c r="E119" s="2"/>
      <c r="F119" s="2"/>
      <c r="G119" s="2"/>
      <c r="H119" s="2"/>
      <c r="I119" s="2"/>
    </row>
    <row r="120" spans="1:15" ht="15.75" thickBot="1" x14ac:dyDescent="0.3">
      <c r="B120" s="43" t="s">
        <v>1695</v>
      </c>
      <c r="C120" s="44"/>
      <c r="D120" s="44"/>
      <c r="E120" s="44"/>
      <c r="F120" s="44"/>
      <c r="G120" s="44"/>
      <c r="H120" s="45"/>
      <c r="I120" s="2"/>
    </row>
    <row r="121" spans="1:15" ht="25.5" x14ac:dyDescent="0.25">
      <c r="B121" s="46" t="s">
        <v>1409</v>
      </c>
      <c r="C121" s="47"/>
      <c r="D121" s="48" t="s">
        <v>1690</v>
      </c>
      <c r="E121" s="48" t="s">
        <v>1694</v>
      </c>
      <c r="F121" s="48" t="s">
        <v>1693</v>
      </c>
      <c r="G121" s="49" t="s">
        <v>1687</v>
      </c>
      <c r="H121" s="50" t="s">
        <v>1686</v>
      </c>
      <c r="I121" s="2"/>
    </row>
    <row r="122" spans="1:15" x14ac:dyDescent="0.25">
      <c r="A122" s="103">
        <v>19015</v>
      </c>
      <c r="B122" s="51" t="str">
        <f>IF($A122=0,"",VLOOKUP($A122,'BASE EQUIPO'!$A:$D,2))</f>
        <v>HERRAMIENTA MENOR</v>
      </c>
      <c r="C122" s="52"/>
      <c r="D122" s="53">
        <v>1</v>
      </c>
      <c r="E122" s="53">
        <f>IF($A122=0,"",VLOOKUP($A122,'BASE EQUIPO'!$A:$D,4)*H138)</f>
        <v>2.9342999999999999</v>
      </c>
      <c r="F122" s="53">
        <f t="shared" ref="F122:F127" si="11">IF($A122=0,"",ROUND(D122*E122,2))</f>
        <v>2.93</v>
      </c>
      <c r="G122" s="105">
        <v>1</v>
      </c>
      <c r="H122" s="54">
        <f t="shared" ref="H122:H127" si="12">IF($A122=0,"",ROUND(G122*F122,2))</f>
        <v>2.93</v>
      </c>
      <c r="I122" s="2"/>
    </row>
    <row r="123" spans="1:15" x14ac:dyDescent="0.25">
      <c r="B123" s="38" t="str">
        <f>IF($A123=0,"",VLOOKUP($A123,'BASE EQUIPO'!$A:$D,2))</f>
        <v/>
      </c>
      <c r="C123" s="2"/>
      <c r="D123" s="55"/>
      <c r="E123" s="55" t="str">
        <f>IF($A123=0,"",VLOOKUP($A123,'BASE EQUIPO'!$A:$D,4))</f>
        <v/>
      </c>
      <c r="F123" s="55" t="str">
        <f t="shared" si="11"/>
        <v/>
      </c>
      <c r="G123" s="106"/>
      <c r="H123" s="56" t="str">
        <f t="shared" si="12"/>
        <v/>
      </c>
      <c r="I123" s="2"/>
    </row>
    <row r="124" spans="1:15" x14ac:dyDescent="0.25">
      <c r="A124" s="103">
        <v>19008</v>
      </c>
      <c r="B124" s="38" t="str">
        <f>IF($A124=0,"",VLOOKUP($A124,'BASE EQUIPO'!$A:$D,2))</f>
        <v>VIBRADOR</v>
      </c>
      <c r="C124" s="2"/>
      <c r="D124" s="55">
        <v>1</v>
      </c>
      <c r="E124" s="55">
        <f>IF($A124=0,"",VLOOKUP($A124,'BASE EQUIPO'!$A:$D,4))</f>
        <v>2.5</v>
      </c>
      <c r="F124" s="55">
        <f t="shared" si="11"/>
        <v>2.5</v>
      </c>
      <c r="G124" s="106">
        <f>+G132</f>
        <v>1.1000000000000001</v>
      </c>
      <c r="H124" s="56">
        <f t="shared" si="12"/>
        <v>2.75</v>
      </c>
      <c r="I124" s="2"/>
    </row>
    <row r="125" spans="1:15" x14ac:dyDescent="0.25">
      <c r="B125" s="38" t="str">
        <f>IF($A125=0,"",VLOOKUP($A125,'BASE EQUIPO'!$A:$D,2))</f>
        <v/>
      </c>
      <c r="C125" s="2"/>
      <c r="D125" s="55"/>
      <c r="E125" s="55" t="str">
        <f>IF($A125=0,"",VLOOKUP($A125,'BASE EQUIPO'!$A:$D,4))</f>
        <v/>
      </c>
      <c r="F125" s="55" t="str">
        <f t="shared" si="11"/>
        <v/>
      </c>
      <c r="G125" s="106"/>
      <c r="H125" s="56" t="str">
        <f t="shared" si="12"/>
        <v/>
      </c>
      <c r="I125" s="2"/>
    </row>
    <row r="126" spans="1:15" x14ac:dyDescent="0.25">
      <c r="B126" s="38" t="str">
        <f>IF($A126=0,"",VLOOKUP($A126,'BASE EQUIPO'!$A:$D,2))</f>
        <v/>
      </c>
      <c r="C126" s="2"/>
      <c r="D126" s="55"/>
      <c r="E126" s="55" t="str">
        <f>IF($A126=0,"",VLOOKUP($A126,'BASE EQUIPO'!$A:$D,4))</f>
        <v/>
      </c>
      <c r="F126" s="55" t="str">
        <f t="shared" si="11"/>
        <v/>
      </c>
      <c r="G126" s="106"/>
      <c r="H126" s="56" t="str">
        <f t="shared" si="12"/>
        <v/>
      </c>
      <c r="I126" s="2"/>
    </row>
    <row r="127" spans="1:15" x14ac:dyDescent="0.25">
      <c r="B127" s="57" t="str">
        <f>IF($A127=0,"",VLOOKUP($A127,'BASE EQUIPO'!$A:$D,2))</f>
        <v/>
      </c>
      <c r="C127" s="58"/>
      <c r="D127" s="59"/>
      <c r="E127" s="59" t="str">
        <f>IF($A127=0,"",VLOOKUP($A127,'BASE EQUIPO'!$A:$D,4))</f>
        <v/>
      </c>
      <c r="F127" s="59" t="str">
        <f t="shared" si="11"/>
        <v/>
      </c>
      <c r="G127" s="107"/>
      <c r="H127" s="60" t="str">
        <f t="shared" si="12"/>
        <v/>
      </c>
      <c r="I127" s="2"/>
    </row>
    <row r="128" spans="1:15" x14ac:dyDescent="0.25">
      <c r="B128" s="57" t="s">
        <v>1692</v>
      </c>
      <c r="C128" s="58"/>
      <c r="D128" s="61"/>
      <c r="E128" s="61"/>
      <c r="F128" s="61"/>
      <c r="G128" s="62"/>
      <c r="H128" s="60">
        <f>ROUND(SUM(H121:H127),2)</f>
        <v>5.68</v>
      </c>
      <c r="I128" s="2"/>
    </row>
    <row r="129" spans="1:16" x14ac:dyDescent="0.25">
      <c r="B129" s="38" t="s">
        <v>1503</v>
      </c>
      <c r="C129" s="2"/>
      <c r="D129" s="3"/>
      <c r="E129" s="3"/>
      <c r="F129" s="3"/>
      <c r="G129" s="63"/>
      <c r="H129" s="56"/>
      <c r="I129" s="2"/>
    </row>
    <row r="130" spans="1:16" ht="25.5" x14ac:dyDescent="0.25">
      <c r="B130" s="64" t="s">
        <v>1691</v>
      </c>
      <c r="C130" s="65"/>
      <c r="D130" s="66" t="s">
        <v>1690</v>
      </c>
      <c r="E130" s="66" t="s">
        <v>1689</v>
      </c>
      <c r="F130" s="66" t="s">
        <v>1688</v>
      </c>
      <c r="G130" s="67" t="s">
        <v>1687</v>
      </c>
      <c r="H130" s="68" t="s">
        <v>1686</v>
      </c>
      <c r="I130" s="2"/>
    </row>
    <row r="131" spans="1:16" x14ac:dyDescent="0.25">
      <c r="A131" s="103">
        <v>20001</v>
      </c>
      <c r="B131" s="69" t="str">
        <f>IF($A131=0,"",VLOOKUP($A131,'BASE M-OBRA'!$A:$D,2))</f>
        <v>MAESTRO</v>
      </c>
      <c r="C131" s="2"/>
      <c r="D131" s="108">
        <v>1</v>
      </c>
      <c r="E131" s="70">
        <f>IF($A131=0,"",VLOOKUP($A131,'BASE M-OBRA'!$A:$D,4))</f>
        <v>3.02</v>
      </c>
      <c r="F131" s="55">
        <f t="shared" ref="F131:F137" si="13">IF($A131=0,"",ROUND(D131*E131,2))</f>
        <v>3.02</v>
      </c>
      <c r="G131" s="106">
        <f>IF($A131=0,"",ROUND(H131/F131,2))</f>
        <v>5.4</v>
      </c>
      <c r="H131" s="56">
        <f>IF($A131=0,"",ROUND(SUM(H132:H137)*'BASE M-OBRA'!$D$23,2))</f>
        <v>16.3</v>
      </c>
      <c r="I131" s="2"/>
    </row>
    <row r="132" spans="1:16" x14ac:dyDescent="0.25">
      <c r="A132" s="103">
        <v>20002</v>
      </c>
      <c r="B132" s="69" t="str">
        <f>IF($A132=0,"",VLOOKUP($A132,'BASE M-OBRA'!$A:$D,2))</f>
        <v>PEON</v>
      </c>
      <c r="C132" s="2"/>
      <c r="D132" s="108">
        <v>8</v>
      </c>
      <c r="E132" s="70">
        <f>IF($A132=0,"",VLOOKUP($A132,'BASE M-OBRA'!$A:$D,4))</f>
        <v>2.79</v>
      </c>
      <c r="F132" s="55">
        <f t="shared" si="13"/>
        <v>22.32</v>
      </c>
      <c r="G132" s="106">
        <v>1.1000000000000001</v>
      </c>
      <c r="H132" s="56">
        <f t="shared" ref="H132:H137" si="14">IF($A132=0,"",ROUND(G132*F132,2))</f>
        <v>24.55</v>
      </c>
      <c r="I132" s="2"/>
    </row>
    <row r="133" spans="1:16" x14ac:dyDescent="0.25">
      <c r="A133" s="103">
        <v>20003</v>
      </c>
      <c r="B133" s="69" t="str">
        <f>IF($A133=0,"",VLOOKUP($A133,'BASE M-OBRA'!$A:$D,2))</f>
        <v>ALBAÑIL</v>
      </c>
      <c r="C133" s="2"/>
      <c r="D133" s="108">
        <v>2</v>
      </c>
      <c r="E133" s="70">
        <f>IF($A133=0,"",VLOOKUP($A133,'BASE M-OBRA'!$A:$D,4))</f>
        <v>2.82</v>
      </c>
      <c r="F133" s="55">
        <f t="shared" si="13"/>
        <v>5.64</v>
      </c>
      <c r="G133" s="106">
        <f>+G132</f>
        <v>1.1000000000000001</v>
      </c>
      <c r="H133" s="56">
        <f t="shared" si="14"/>
        <v>6.2</v>
      </c>
      <c r="I133" s="2"/>
    </row>
    <row r="134" spans="1:16" x14ac:dyDescent="0.25">
      <c r="A134" s="103">
        <v>20004</v>
      </c>
      <c r="B134" s="71" t="str">
        <f>IF($A134=0,"",VLOOKUP($A134,'BASE M-OBRA'!$A:$D,2))</f>
        <v>CARPINTERO</v>
      </c>
      <c r="C134" s="2"/>
      <c r="D134" s="108">
        <v>2</v>
      </c>
      <c r="E134" s="70">
        <f>IF($A134=0,"",VLOOKUP($A134,'BASE M-OBRA'!$A:$D,4))</f>
        <v>2.82</v>
      </c>
      <c r="F134" s="55">
        <f t="shared" si="13"/>
        <v>5.64</v>
      </c>
      <c r="G134" s="106">
        <v>9</v>
      </c>
      <c r="H134" s="56">
        <f t="shared" si="14"/>
        <v>50.76</v>
      </c>
      <c r="I134" s="2"/>
      <c r="K134" s="1">
        <f>14*2.9</f>
        <v>40.6</v>
      </c>
    </row>
    <row r="135" spans="1:16" x14ac:dyDescent="0.25">
      <c r="B135" s="72" t="str">
        <f>IF($A135=0,"",VLOOKUP($A135,'BASE M-OBRA'!$A:$D,2))</f>
        <v/>
      </c>
      <c r="C135" s="2"/>
      <c r="D135" s="108"/>
      <c r="E135" s="70" t="str">
        <f>IF($A135=0,"",VLOOKUP($A135,'BASE M-OBRA'!$A:$D,4))</f>
        <v/>
      </c>
      <c r="F135" s="55" t="str">
        <f t="shared" si="13"/>
        <v/>
      </c>
      <c r="G135" s="106"/>
      <c r="H135" s="56" t="str">
        <f t="shared" si="14"/>
        <v/>
      </c>
      <c r="I135" s="2"/>
      <c r="K135" s="1">
        <f>F144*0.2</f>
        <v>0.93400000000000005</v>
      </c>
    </row>
    <row r="136" spans="1:16" x14ac:dyDescent="0.25">
      <c r="B136" s="38" t="str">
        <f>IF($A136=0,"",VLOOKUP($A136,'BASE M-OBRA'!$A:$D,2))</f>
        <v/>
      </c>
      <c r="C136" s="2"/>
      <c r="D136" s="55"/>
      <c r="E136" s="55" t="str">
        <f>IF($A136=0,"",VLOOKUP($A136,'BASE M-OBRA'!$A:$D,4))</f>
        <v/>
      </c>
      <c r="F136" s="55" t="str">
        <f t="shared" si="13"/>
        <v/>
      </c>
      <c r="G136" s="106"/>
      <c r="H136" s="56" t="str">
        <f t="shared" si="14"/>
        <v/>
      </c>
      <c r="I136" s="2"/>
    </row>
    <row r="137" spans="1:16" x14ac:dyDescent="0.25">
      <c r="B137" s="57" t="str">
        <f>IF($A137=0,"",VLOOKUP($A137,'BASE M-OBRA'!$A:$D,2))</f>
        <v/>
      </c>
      <c r="C137" s="58"/>
      <c r="D137" s="59"/>
      <c r="E137" s="59" t="str">
        <f>IF($A137=0,"",VLOOKUP($A137,'BASE M-OBRA'!$A:$D,4))</f>
        <v/>
      </c>
      <c r="F137" s="59" t="str">
        <f t="shared" si="13"/>
        <v/>
      </c>
      <c r="G137" s="107"/>
      <c r="H137" s="60" t="str">
        <f t="shared" si="14"/>
        <v/>
      </c>
      <c r="I137" s="2"/>
    </row>
    <row r="138" spans="1:16" x14ac:dyDescent="0.25">
      <c r="B138" s="73" t="s">
        <v>1685</v>
      </c>
      <c r="C138" s="65"/>
      <c r="D138" s="74"/>
      <c r="E138" s="74"/>
      <c r="F138" s="74"/>
      <c r="G138" s="74"/>
      <c r="H138" s="75">
        <f>ROUND(SUM(H130:H137),2)</f>
        <v>97.81</v>
      </c>
      <c r="I138" s="2"/>
    </row>
    <row r="139" spans="1:16" x14ac:dyDescent="0.25">
      <c r="B139" s="38" t="s">
        <v>1684</v>
      </c>
      <c r="C139" s="2"/>
      <c r="D139" s="3"/>
      <c r="E139" s="3"/>
      <c r="F139" s="3"/>
      <c r="G139" s="3"/>
      <c r="H139" s="56"/>
      <c r="I139" s="2"/>
    </row>
    <row r="140" spans="1:16" ht="25.5" x14ac:dyDescent="0.25">
      <c r="B140" s="64" t="s">
        <v>1409</v>
      </c>
      <c r="C140" s="65"/>
      <c r="D140" s="76"/>
      <c r="E140" s="66" t="s">
        <v>1408</v>
      </c>
      <c r="F140" s="66" t="s">
        <v>1679</v>
      </c>
      <c r="G140" s="66" t="s">
        <v>1683</v>
      </c>
      <c r="H140" s="68" t="s">
        <v>1675</v>
      </c>
      <c r="I140" s="2"/>
    </row>
    <row r="141" spans="1:16" x14ac:dyDescent="0.25">
      <c r="A141" s="103">
        <v>11008</v>
      </c>
      <c r="B141" s="37" t="str">
        <f>IF($A141=0,"",VLOOKUP($A141,'BASE MATERIAL'!$A:$D,2))</f>
        <v>TABLA</v>
      </c>
      <c r="C141" s="2"/>
      <c r="D141" s="77"/>
      <c r="E141" s="78" t="str">
        <f>IF($A141=0,"",VLOOKUP($A141,'BASE MATERIAL'!$A:$D,3))</f>
        <v>U</v>
      </c>
      <c r="F141" s="55">
        <f>ROUND(14*5/(4*3),2)</f>
        <v>5.83</v>
      </c>
      <c r="G141" s="55">
        <f>IF($A141=0,"",VLOOKUP($A141,'BASE MATERIAL'!$A:$D,4))</f>
        <v>3.5</v>
      </c>
      <c r="H141" s="56">
        <f t="shared" ref="H141:H147" si="15">IF($A141=0,"",ROUND(F141*G141,2))</f>
        <v>20.41</v>
      </c>
      <c r="I141" s="2"/>
      <c r="L141" s="2"/>
      <c r="M141" s="2"/>
      <c r="N141" s="39"/>
      <c r="O141" s="2"/>
      <c r="P141" s="2"/>
    </row>
    <row r="142" spans="1:16" x14ac:dyDescent="0.25">
      <c r="A142" s="103">
        <v>11009</v>
      </c>
      <c r="B142" s="38" t="str">
        <f>IF($A142=0,"",VLOOKUP($A142,'BASE MATERIAL'!$A:$D,2))</f>
        <v>CUARTON</v>
      </c>
      <c r="C142" s="2"/>
      <c r="D142" s="77"/>
      <c r="E142" s="78" t="str">
        <f>IF($A142=0,"",VLOOKUP($A142,'BASE MATERIAL'!$A:$D,3))</f>
        <v>U</v>
      </c>
      <c r="F142" s="55">
        <f>ROUND(14*8/(4*3),2)</f>
        <v>9.33</v>
      </c>
      <c r="G142" s="55">
        <f>IF($A142=0,"",VLOOKUP($A142,'BASE MATERIAL'!$A:$D,4))</f>
        <v>2.42</v>
      </c>
      <c r="H142" s="56">
        <f t="shared" si="15"/>
        <v>22.58</v>
      </c>
      <c r="I142" s="2"/>
      <c r="L142" s="2"/>
      <c r="M142" s="2"/>
      <c r="N142" s="39"/>
      <c r="O142" s="2"/>
      <c r="P142" s="2"/>
    </row>
    <row r="143" spans="1:16" x14ac:dyDescent="0.25">
      <c r="A143" s="103">
        <v>11007</v>
      </c>
      <c r="B143" s="38" t="str">
        <f>IF($A143=0,"",VLOOKUP($A143,'BASE MATERIAL'!$A:$D,2))</f>
        <v>CLAVO 2 1/2"</v>
      </c>
      <c r="C143" s="2"/>
      <c r="D143" s="77"/>
      <c r="E143" s="78" t="str">
        <f>IF($A143=0,"",VLOOKUP($A143,'BASE MATERIAL'!$A:$D,3))</f>
        <v>KG</v>
      </c>
      <c r="F143" s="55">
        <f>ROUND(14*56/(178*1.5),2)</f>
        <v>2.94</v>
      </c>
      <c r="G143" s="55">
        <f>IF($A143=0,"",VLOOKUP($A143,'BASE MATERIAL'!$A:$D,4))</f>
        <v>2.6520000000000001</v>
      </c>
      <c r="H143" s="56">
        <f t="shared" si="15"/>
        <v>7.8</v>
      </c>
      <c r="I143" s="2"/>
      <c r="L143" s="2"/>
      <c r="M143" s="2"/>
      <c r="N143" s="39"/>
      <c r="O143" s="2"/>
      <c r="P143" s="2"/>
    </row>
    <row r="144" spans="1:16" x14ac:dyDescent="0.25">
      <c r="A144" s="103">
        <v>11010</v>
      </c>
      <c r="B144" s="38" t="str">
        <f>IF($A144=0,"",VLOOKUP($A144,'BASE MATERIAL'!$A:$D,2))</f>
        <v>TIRA</v>
      </c>
      <c r="C144" s="2"/>
      <c r="D144" s="77"/>
      <c r="E144" s="78" t="str">
        <f>IF($A144=0,"",VLOOKUP($A144,'BASE MATERIAL'!$A:$D,3))</f>
        <v>U</v>
      </c>
      <c r="F144" s="55">
        <f>ROUND(14*4/(4*3),2)</f>
        <v>4.67</v>
      </c>
      <c r="G144" s="55">
        <f>IF($A144=0,"",VLOOKUP($A144,'BASE MATERIAL'!$A:$D,4))</f>
        <v>1.5</v>
      </c>
      <c r="H144" s="56">
        <f t="shared" si="15"/>
        <v>7.01</v>
      </c>
      <c r="I144" s="2"/>
      <c r="L144" s="2"/>
      <c r="M144" s="2"/>
      <c r="N144" s="39"/>
      <c r="O144" s="2"/>
      <c r="P144" s="2"/>
    </row>
    <row r="145" spans="1:16" x14ac:dyDescent="0.25">
      <c r="B145" s="38" t="str">
        <f>IF($A145=0,"",VLOOKUP($A145,'BASE MATERIAL'!$A:$D,2))</f>
        <v/>
      </c>
      <c r="C145" s="2"/>
      <c r="D145" s="77"/>
      <c r="E145" s="78" t="str">
        <f>IF($A145=0,"",VLOOKUP($A145,'BASE MATERIAL'!$A:$D,3))</f>
        <v/>
      </c>
      <c r="F145" s="55"/>
      <c r="G145" s="55" t="str">
        <f>IF($A145=0,"",VLOOKUP($A145,'BASE MATERIAL'!$A:$D,4))</f>
        <v/>
      </c>
      <c r="H145" s="56" t="str">
        <f t="shared" si="15"/>
        <v/>
      </c>
      <c r="I145" s="2"/>
      <c r="L145" s="2"/>
      <c r="M145" s="2"/>
      <c r="N145" s="39"/>
      <c r="O145" s="2"/>
      <c r="P145" s="2"/>
    </row>
    <row r="146" spans="1:16" x14ac:dyDescent="0.25">
      <c r="A146" s="103">
        <v>11009</v>
      </c>
      <c r="B146" s="38" t="s">
        <v>630</v>
      </c>
      <c r="C146" s="2"/>
      <c r="D146" s="77"/>
      <c r="E146" s="78" t="s">
        <v>1521</v>
      </c>
      <c r="F146" s="55">
        <v>1.02</v>
      </c>
      <c r="G146" s="55">
        <f>106.7*1.12</f>
        <v>119.50400000000002</v>
      </c>
      <c r="H146" s="56">
        <f t="shared" si="15"/>
        <v>121.89</v>
      </c>
      <c r="I146" s="2"/>
      <c r="L146" s="2"/>
      <c r="M146" s="2"/>
      <c r="N146" s="39"/>
      <c r="O146" s="2"/>
      <c r="P146" s="2"/>
    </row>
    <row r="147" spans="1:16" x14ac:dyDescent="0.25">
      <c r="B147" s="38" t="str">
        <f>IF($A147=0,"",VLOOKUP($A147,'BASE MATERIAL'!$A:$D,2))</f>
        <v/>
      </c>
      <c r="C147" s="2"/>
      <c r="D147" s="77"/>
      <c r="E147" s="78" t="str">
        <f>IF($A147=0,"",VLOOKUP($A147,'BASE MATERIAL'!$A:$D,3))</f>
        <v/>
      </c>
      <c r="F147" s="55"/>
      <c r="G147" s="55" t="str">
        <f>IF($A147=0,"",VLOOKUP($A147,'BASE MATERIAL'!$A:$D,4))</f>
        <v/>
      </c>
      <c r="H147" s="56" t="str">
        <f t="shared" si="15"/>
        <v/>
      </c>
      <c r="I147" s="2"/>
      <c r="L147" s="2"/>
      <c r="M147" s="2"/>
      <c r="N147" s="39"/>
      <c r="O147" s="2"/>
      <c r="P147" s="2"/>
    </row>
    <row r="148" spans="1:16" x14ac:dyDescent="0.25">
      <c r="B148" s="38" t="str">
        <f>IF($A148=0,"",VLOOKUP($A148,'BASE MATERIAL'!$A:$D,2))</f>
        <v/>
      </c>
      <c r="C148" s="2"/>
      <c r="D148" s="77"/>
      <c r="E148" s="78" t="str">
        <f>IF($A148=0,"",VLOOKUP($A148,'BASE MATERIAL'!$A:$D,3))</f>
        <v/>
      </c>
      <c r="F148" s="55"/>
      <c r="G148" s="55" t="str">
        <f>IF($A148=0,"",VLOOKUP($A148,'BASE MATERIAL'!$A:$D,4))</f>
        <v/>
      </c>
      <c r="H148" s="56" t="str">
        <f t="shared" ref="H148:H155" si="16">IF($A148=0,"",ROUND(F148*G148,2))</f>
        <v/>
      </c>
      <c r="I148" s="2"/>
      <c r="L148" s="2"/>
      <c r="M148" s="2"/>
      <c r="N148" s="39"/>
      <c r="O148" s="2"/>
      <c r="P148" s="2"/>
    </row>
    <row r="149" spans="1:16" x14ac:dyDescent="0.25">
      <c r="B149" s="38" t="str">
        <f>IF($A149=0,"",VLOOKUP($A149,'BASE MATERIAL'!$A:$D,2))</f>
        <v/>
      </c>
      <c r="C149" s="2"/>
      <c r="D149" s="77"/>
      <c r="E149" s="78" t="str">
        <f>IF($A149=0,"",VLOOKUP($A149,'BASE MATERIAL'!$A:$D,3))</f>
        <v/>
      </c>
      <c r="F149" s="55"/>
      <c r="G149" s="80" t="str">
        <f>IF($A149=0,"",VLOOKUP($A149,'BASE MATERIAL'!$A:$D,4))</f>
        <v/>
      </c>
      <c r="H149" s="56" t="str">
        <f t="shared" si="16"/>
        <v/>
      </c>
      <c r="I149" s="2"/>
    </row>
    <row r="150" spans="1:16" x14ac:dyDescent="0.25">
      <c r="B150" s="38" t="str">
        <f>IF($A150=0,"",VLOOKUP($A150,'BASE MATERIAL'!$A:$D,2))</f>
        <v/>
      </c>
      <c r="C150" s="2"/>
      <c r="D150" s="77"/>
      <c r="E150" s="78" t="str">
        <f>IF($A150=0,"",VLOOKUP($A150,'BASE MATERIAL'!$A:$D,3))</f>
        <v/>
      </c>
      <c r="F150" s="55"/>
      <c r="G150" s="80" t="str">
        <f>IF($A150=0,"",VLOOKUP($A150,'BASE MATERIAL'!$A:$D,4))</f>
        <v/>
      </c>
      <c r="H150" s="56" t="str">
        <f t="shared" si="16"/>
        <v/>
      </c>
      <c r="I150" s="2"/>
      <c r="L150" s="2"/>
      <c r="M150" s="2"/>
      <c r="N150" s="39"/>
      <c r="O150" s="2"/>
      <c r="P150" s="2"/>
    </row>
    <row r="151" spans="1:16" x14ac:dyDescent="0.25">
      <c r="B151" s="38" t="str">
        <f>IF($A151=0,"",VLOOKUP($A151,'BASE MATERIAL'!$A:$D,2))</f>
        <v/>
      </c>
      <c r="C151" s="2"/>
      <c r="D151" s="77"/>
      <c r="E151" s="78" t="str">
        <f>IF($A151=0,"",VLOOKUP($A151,'BASE MATERIAL'!$A:$D,3))</f>
        <v/>
      </c>
      <c r="F151" s="55"/>
      <c r="G151" s="55" t="str">
        <f>IF($A151=0,"",VLOOKUP($A151,'BASE MATERIAL'!$A:$D,4))</f>
        <v/>
      </c>
      <c r="H151" s="56" t="str">
        <f t="shared" si="16"/>
        <v/>
      </c>
      <c r="I151" s="2"/>
      <c r="L151" s="2"/>
      <c r="M151" s="2"/>
      <c r="N151" s="39"/>
      <c r="O151" s="2"/>
      <c r="P151" s="2"/>
    </row>
    <row r="152" spans="1:16" x14ac:dyDescent="0.25">
      <c r="B152" s="38" t="str">
        <f>IF($A152=0,"",VLOOKUP($A152,'BASE MATERIAL'!$A:$D,2))</f>
        <v/>
      </c>
      <c r="C152" s="2"/>
      <c r="D152" s="77"/>
      <c r="E152" s="78" t="str">
        <f>IF($A152=0,"",VLOOKUP($A152,'BASE MATERIAL'!$A:$D,3))</f>
        <v/>
      </c>
      <c r="F152" s="55"/>
      <c r="G152" s="55" t="str">
        <f>IF($A152=0,"",VLOOKUP($A152,'BASE MATERIAL'!$A:$D,4))</f>
        <v/>
      </c>
      <c r="H152" s="56" t="str">
        <f t="shared" si="16"/>
        <v/>
      </c>
      <c r="I152" s="2"/>
    </row>
    <row r="153" spans="1:16" x14ac:dyDescent="0.25">
      <c r="B153" s="38" t="str">
        <f>IF($A153=0,"",VLOOKUP($A153,'BASE MATERIAL'!$A:$D,2))</f>
        <v/>
      </c>
      <c r="C153" s="2"/>
      <c r="D153" s="77"/>
      <c r="E153" s="78" t="str">
        <f>IF($A153=0,"",VLOOKUP($A153,'BASE MATERIAL'!$A:$D,3))</f>
        <v/>
      </c>
      <c r="F153" s="55"/>
      <c r="G153" s="55" t="str">
        <f>IF($A153=0,"",VLOOKUP($A153,'BASE MATERIAL'!$A:$D,4))</f>
        <v/>
      </c>
      <c r="H153" s="56" t="str">
        <f t="shared" si="16"/>
        <v/>
      </c>
      <c r="I153" s="2"/>
    </row>
    <row r="154" spans="1:16" x14ac:dyDescent="0.25">
      <c r="B154" s="38" t="str">
        <f>IF($A154=0,"",VLOOKUP($A154,'BASE MATERIAL'!$A:$D,2))</f>
        <v/>
      </c>
      <c r="C154" s="2"/>
      <c r="D154" s="77"/>
      <c r="E154" s="78" t="str">
        <f>IF($A154=0,"",VLOOKUP($A154,'BASE MATERIAL'!$A:$D,3))</f>
        <v/>
      </c>
      <c r="F154" s="55"/>
      <c r="G154" s="55" t="str">
        <f>IF($A154=0,"",VLOOKUP($A154,'BASE MATERIAL'!$A:$D,4))</f>
        <v/>
      </c>
      <c r="H154" s="56" t="str">
        <f t="shared" si="16"/>
        <v/>
      </c>
      <c r="I154" s="2"/>
    </row>
    <row r="155" spans="1:16" x14ac:dyDescent="0.25">
      <c r="B155" s="38" t="str">
        <f>IF($A155=0,"",VLOOKUP($A155,'BASE MATERIAL'!$A:$D,2))</f>
        <v/>
      </c>
      <c r="C155" s="2"/>
      <c r="D155" s="77"/>
      <c r="E155" s="78" t="str">
        <f>IF($A155=0,"",VLOOKUP($A155,'BASE MATERIAL'!$A:$D,3))</f>
        <v/>
      </c>
      <c r="F155" s="55"/>
      <c r="G155" s="55" t="str">
        <f>IF($A155=0,"",VLOOKUP($A155,'BASE MATERIAL'!$A:$D,4))</f>
        <v/>
      </c>
      <c r="H155" s="56" t="str">
        <f t="shared" si="16"/>
        <v/>
      </c>
      <c r="I155" s="2"/>
    </row>
    <row r="156" spans="1:16" x14ac:dyDescent="0.25">
      <c r="B156" s="38" t="str">
        <f>IF($A156=0,"",VLOOKUP($A156,'BASE MATERIAL'!$A:$D,2))</f>
        <v/>
      </c>
      <c r="C156" s="2"/>
      <c r="D156" s="81" t="s">
        <v>1682</v>
      </c>
      <c r="E156" s="55" t="str">
        <f>IF($A156=0,"",VLOOKUP($A156,'BASE MATERIAL'!$A:$D,3))</f>
        <v/>
      </c>
      <c r="F156" s="55" t="s">
        <v>1682</v>
      </c>
      <c r="G156" s="55" t="str">
        <f>IF($A156=0,"",VLOOKUP($A156,'BASE MATERIAL'!$A:$D,4))</f>
        <v/>
      </c>
      <c r="H156" s="56" t="str">
        <f>IF($A156=0,"",ROUND(E156*F156,2))</f>
        <v/>
      </c>
      <c r="I156" s="2"/>
    </row>
    <row r="157" spans="1:16" x14ac:dyDescent="0.25">
      <c r="B157" s="73" t="s">
        <v>1681</v>
      </c>
      <c r="C157" s="65"/>
      <c r="D157" s="74"/>
      <c r="E157" s="74"/>
      <c r="F157" s="74"/>
      <c r="G157" s="74"/>
      <c r="H157" s="75">
        <f>ROUND(SUM(H140:H156),2)</f>
        <v>179.69</v>
      </c>
      <c r="I157" s="2"/>
    </row>
    <row r="158" spans="1:16" x14ac:dyDescent="0.25">
      <c r="B158" s="38" t="s">
        <v>1680</v>
      </c>
      <c r="C158" s="2"/>
      <c r="D158" s="3"/>
      <c r="E158" s="3"/>
      <c r="F158" s="3"/>
      <c r="G158" s="3"/>
      <c r="H158" s="56"/>
      <c r="I158" s="2"/>
    </row>
    <row r="159" spans="1:16" ht="25.5" x14ac:dyDescent="0.25">
      <c r="B159" s="64" t="s">
        <v>1409</v>
      </c>
      <c r="C159" s="65"/>
      <c r="D159" s="76"/>
      <c r="E159" s="66" t="s">
        <v>1408</v>
      </c>
      <c r="F159" s="66" t="s">
        <v>1679</v>
      </c>
      <c r="G159" s="66" t="s">
        <v>1676</v>
      </c>
      <c r="H159" s="68" t="s">
        <v>1675</v>
      </c>
      <c r="I159" s="2"/>
    </row>
    <row r="160" spans="1:16" x14ac:dyDescent="0.25">
      <c r="A160" s="103">
        <v>19019</v>
      </c>
      <c r="B160" s="51" t="str">
        <f>IF($A160=0,"",VLOOKUP($A160,'BASE EQUIPO'!$A:$D,2))</f>
        <v>TRANSPORTE DE MATERIAL</v>
      </c>
      <c r="C160" s="52"/>
      <c r="D160" s="82"/>
      <c r="E160" s="78" t="str">
        <f>IF($A160=0,"",VLOOKUP($A160,'BASE EQUIPO'!$A:$D,3))</f>
        <v>GLOBAL</v>
      </c>
      <c r="F160" s="55">
        <v>1</v>
      </c>
      <c r="G160" s="83">
        <f>IF($A160=0,"",VLOOKUP($A160,'BASE EQUIPO'!$A:$D,4)*H157)+0.03</f>
        <v>5.4207000000000001</v>
      </c>
      <c r="H160" s="56">
        <f>IF($A160=0,"",ROUND(F160*G160,2))</f>
        <v>5.42</v>
      </c>
      <c r="I160" s="2"/>
    </row>
    <row r="161" spans="1:15" x14ac:dyDescent="0.25">
      <c r="B161" s="38" t="str">
        <f>IF($A161=0,"",VLOOKUP($A161,'BASE EQUIPO'!$A:$D,2))</f>
        <v/>
      </c>
      <c r="C161" s="2"/>
      <c r="D161" s="84"/>
      <c r="E161" s="78" t="str">
        <f>IF($A161=0,"",VLOOKUP($A161,'BASE EQUIPO'!$A:$D,3))</f>
        <v/>
      </c>
      <c r="F161" s="55"/>
      <c r="G161" s="55" t="str">
        <f>IF($A161=0,"",VLOOKUP($A161,'BASE EQUIPO'!$A:$D,4)*H158)</f>
        <v/>
      </c>
      <c r="H161" s="56" t="str">
        <f>IF($A161=0,"",ROUND(F161*G161,2))</f>
        <v/>
      </c>
      <c r="I161" s="2"/>
    </row>
    <row r="162" spans="1:15" x14ac:dyDescent="0.25">
      <c r="B162" s="57" t="str">
        <f>IF($A162=0,"",VLOOKUP($A162,'BASE EQUIPO'!$A:$D,2))</f>
        <v/>
      </c>
      <c r="C162" s="58"/>
      <c r="D162" s="85"/>
      <c r="E162" s="86" t="str">
        <f>IF($A162=0,"",VLOOKUP($A162,'BASE EQUIPO'!$A:$D,3))</f>
        <v/>
      </c>
      <c r="F162" s="59"/>
      <c r="G162" s="59" t="str">
        <f>IF($A162=0,"",VLOOKUP($A162,'BASE EQUIPO'!$A:$D,4)*H159)</f>
        <v/>
      </c>
      <c r="H162" s="60" t="str">
        <f>IF($A162=0,"",ROUND(F162*G162,2))</f>
        <v/>
      </c>
      <c r="I162" s="2"/>
    </row>
    <row r="163" spans="1:15" ht="15.75" thickBot="1" x14ac:dyDescent="0.3">
      <c r="B163" s="87" t="s">
        <v>1674</v>
      </c>
      <c r="C163" s="88"/>
      <c r="D163" s="89"/>
      <c r="E163" s="89"/>
      <c r="F163" s="89"/>
      <c r="G163" s="89"/>
      <c r="H163" s="90">
        <f>ROUND(SUM(H159:H162),2)</f>
        <v>5.42</v>
      </c>
      <c r="I163" s="2"/>
    </row>
    <row r="164" spans="1:15" ht="15.75" x14ac:dyDescent="0.25">
      <c r="B164" s="2"/>
      <c r="C164" s="2"/>
      <c r="D164" s="91" t="s">
        <v>1673</v>
      </c>
      <c r="E164" s="47"/>
      <c r="F164" s="47"/>
      <c r="G164" s="47"/>
      <c r="H164" s="92">
        <f>ROUND(SUM(H163,H157,H138,H128),2)</f>
        <v>288.60000000000002</v>
      </c>
      <c r="I164" s="2"/>
    </row>
    <row r="165" spans="1:15" ht="15.75" x14ac:dyDescent="0.25">
      <c r="A165" s="103">
        <v>40002</v>
      </c>
      <c r="B165" s="2"/>
      <c r="C165" s="2"/>
      <c r="D165" s="93" t="s">
        <v>1672</v>
      </c>
      <c r="E165" s="65"/>
      <c r="F165" s="65"/>
      <c r="G165" s="94">
        <f>IF($A165=0,"",VLOOKUP($A165,'BASE MATERIAL'!$M:$P,4))</f>
        <v>0</v>
      </c>
      <c r="H165" s="95">
        <f>IF($A165=0,"",ROUND(G165*H164,2))</f>
        <v>0</v>
      </c>
      <c r="I165" s="2"/>
    </row>
    <row r="166" spans="1:15" ht="15.75" x14ac:dyDescent="0.25">
      <c r="A166" s="103">
        <v>40003</v>
      </c>
      <c r="B166" s="2"/>
      <c r="C166" s="2"/>
      <c r="D166" s="93" t="s">
        <v>1671</v>
      </c>
      <c r="E166" s="65"/>
      <c r="F166" s="65"/>
      <c r="G166" s="94">
        <f>IF($A166=0,"",VLOOKUP($A166,'BASE MATERIAL'!$M:$P,4))</f>
        <v>0</v>
      </c>
      <c r="H166" s="95">
        <f>IF($A166=0,"",ROUND(G166*H164,2))</f>
        <v>0</v>
      </c>
      <c r="I166" s="2"/>
    </row>
    <row r="167" spans="1:15" ht="15.75" x14ac:dyDescent="0.25">
      <c r="B167" s="2"/>
      <c r="C167" s="2"/>
      <c r="D167" s="93" t="s">
        <v>1670</v>
      </c>
      <c r="E167" s="65"/>
      <c r="F167" s="65"/>
      <c r="G167" s="65"/>
      <c r="H167" s="96">
        <f>ROUND(SUM(H164:H166),2)</f>
        <v>288.60000000000002</v>
      </c>
      <c r="I167" s="2"/>
    </row>
    <row r="168" spans="1:15" ht="16.5" thickBot="1" x14ac:dyDescent="0.3">
      <c r="B168" s="25"/>
      <c r="C168" s="2"/>
      <c r="D168" s="97" t="s">
        <v>1650</v>
      </c>
      <c r="E168" s="88"/>
      <c r="F168" s="88"/>
      <c r="G168" s="88"/>
      <c r="H168" s="98">
        <f>ROUND(H167,2)</f>
        <v>288.60000000000002</v>
      </c>
      <c r="I168" s="2"/>
    </row>
    <row r="169" spans="1:15" ht="15.75" x14ac:dyDescent="0.25">
      <c r="B169" s="34" t="s">
        <v>1701</v>
      </c>
      <c r="C169" s="2"/>
      <c r="D169" s="3" t="str">
        <f>$D$1</f>
        <v>ESPOL</v>
      </c>
      <c r="E169" s="2"/>
      <c r="F169" s="2"/>
      <c r="H169" s="2" t="s">
        <v>108</v>
      </c>
      <c r="I169" s="2"/>
      <c r="L169" s="40">
        <f>A173</f>
        <v>6</v>
      </c>
      <c r="M169" s="1" t="str">
        <f>C174</f>
        <v xml:space="preserve">Columnas planta baja </v>
      </c>
      <c r="N169" s="2" t="str">
        <f>H173</f>
        <v>m3</v>
      </c>
      <c r="O169" s="2">
        <f>H224</f>
        <v>266.56</v>
      </c>
    </row>
    <row r="170" spans="1:15" ht="15.75" x14ac:dyDescent="0.25">
      <c r="B170" s="34" t="s">
        <v>1700</v>
      </c>
      <c r="C170" s="3">
        <f>'1.1'!$C$2</f>
        <v>0</v>
      </c>
      <c r="D170" s="2"/>
      <c r="E170" s="2"/>
      <c r="F170" s="2"/>
      <c r="G170" s="41" t="s">
        <v>1699</v>
      </c>
      <c r="H170" s="42"/>
      <c r="I170" s="2" t="s">
        <v>1698</v>
      </c>
    </row>
    <row r="171" spans="1:15" ht="15.75" x14ac:dyDescent="0.25">
      <c r="B171" s="34"/>
      <c r="C171" s="3">
        <f>'1.1'!$C$3</f>
        <v>0</v>
      </c>
      <c r="D171" s="2"/>
      <c r="E171" s="2"/>
      <c r="F171" s="2"/>
      <c r="G171" s="2"/>
      <c r="H171" s="2"/>
      <c r="I171" s="2"/>
    </row>
    <row r="172" spans="1:15" ht="15.75" x14ac:dyDescent="0.25">
      <c r="B172" s="34" t="s">
        <v>1697</v>
      </c>
      <c r="C172" s="3"/>
      <c r="D172" s="2"/>
      <c r="E172" s="2"/>
      <c r="F172" s="2"/>
      <c r="G172" s="2"/>
      <c r="H172" s="2"/>
      <c r="I172" s="2"/>
    </row>
    <row r="173" spans="1:15" x14ac:dyDescent="0.25">
      <c r="A173" s="104">
        <v>6</v>
      </c>
      <c r="B173" s="2" t="s">
        <v>1586</v>
      </c>
      <c r="C173" s="36" t="s">
        <v>585</v>
      </c>
      <c r="D173" s="2"/>
      <c r="G173" s="2" t="s">
        <v>1696</v>
      </c>
      <c r="H173" s="3" t="s">
        <v>1521</v>
      </c>
      <c r="I173" s="2"/>
    </row>
    <row r="174" spans="1:15" x14ac:dyDescent="0.25">
      <c r="B174" s="1" t="s">
        <v>1585</v>
      </c>
      <c r="C174" s="36" t="s">
        <v>640</v>
      </c>
      <c r="D174" s="2"/>
      <c r="E174" s="2"/>
      <c r="F174" s="2"/>
      <c r="G174" s="2"/>
      <c r="H174" s="2"/>
      <c r="I174" s="2"/>
    </row>
    <row r="175" spans="1:15" ht="15.75" thickBot="1" x14ac:dyDescent="0.3">
      <c r="D175" s="2"/>
      <c r="E175" s="2"/>
      <c r="F175" s="2"/>
      <c r="G175" s="2"/>
      <c r="H175" s="2"/>
      <c r="I175" s="2"/>
    </row>
    <row r="176" spans="1:15" ht="15.75" thickBot="1" x14ac:dyDescent="0.3">
      <c r="B176" s="43" t="s">
        <v>1695</v>
      </c>
      <c r="C176" s="44"/>
      <c r="D176" s="44"/>
      <c r="E176" s="44"/>
      <c r="F176" s="44"/>
      <c r="G176" s="44"/>
      <c r="H176" s="45"/>
      <c r="I176" s="2"/>
    </row>
    <row r="177" spans="1:11" ht="25.5" x14ac:dyDescent="0.25">
      <c r="B177" s="46" t="s">
        <v>1409</v>
      </c>
      <c r="C177" s="47"/>
      <c r="D177" s="48" t="s">
        <v>1690</v>
      </c>
      <c r="E177" s="48" t="s">
        <v>1694</v>
      </c>
      <c r="F177" s="48" t="s">
        <v>1693</v>
      </c>
      <c r="G177" s="49" t="s">
        <v>1687</v>
      </c>
      <c r="H177" s="50" t="s">
        <v>1686</v>
      </c>
      <c r="I177" s="2"/>
    </row>
    <row r="178" spans="1:11" x14ac:dyDescent="0.25">
      <c r="A178" s="103">
        <v>19015</v>
      </c>
      <c r="B178" s="51" t="str">
        <f>IF($A178=0,"",VLOOKUP($A178,'BASE EQUIPO'!$A:$D,2))</f>
        <v>HERRAMIENTA MENOR</v>
      </c>
      <c r="C178" s="52"/>
      <c r="D178" s="53">
        <v>1</v>
      </c>
      <c r="E178" s="53">
        <f>IF($A178=0,"",VLOOKUP($A178,'BASE EQUIPO'!$A:$D,4)*H194)</f>
        <v>2.6309999999999998</v>
      </c>
      <c r="F178" s="53">
        <f t="shared" ref="F178:F183" si="17">IF($A178=0,"",ROUND(D178*E178,2))</f>
        <v>2.63</v>
      </c>
      <c r="G178" s="105">
        <v>1</v>
      </c>
      <c r="H178" s="54">
        <f t="shared" ref="H178:H183" si="18">IF($A178=0,"",ROUND(G178*F178,2))</f>
        <v>2.63</v>
      </c>
      <c r="I178" s="2"/>
    </row>
    <row r="179" spans="1:11" x14ac:dyDescent="0.25">
      <c r="B179" s="38" t="str">
        <f>IF($A179=0,"",VLOOKUP($A179,'BASE EQUIPO'!$A:$D,2))</f>
        <v/>
      </c>
      <c r="C179" s="2"/>
      <c r="D179" s="55"/>
      <c r="E179" s="55" t="str">
        <f>IF($A179=0,"",VLOOKUP($A179,'BASE EQUIPO'!$A:$D,4))</f>
        <v/>
      </c>
      <c r="F179" s="55" t="str">
        <f t="shared" si="17"/>
        <v/>
      </c>
      <c r="G179" s="106"/>
      <c r="H179" s="56" t="str">
        <f t="shared" si="18"/>
        <v/>
      </c>
      <c r="I179" s="2"/>
    </row>
    <row r="180" spans="1:11" x14ac:dyDescent="0.25">
      <c r="A180" s="103">
        <v>19008</v>
      </c>
      <c r="B180" s="38" t="str">
        <f>IF($A180=0,"",VLOOKUP($A180,'BASE EQUIPO'!$A:$D,2))</f>
        <v>VIBRADOR</v>
      </c>
      <c r="C180" s="2"/>
      <c r="D180" s="55">
        <v>1</v>
      </c>
      <c r="E180" s="55">
        <f>IF($A180=0,"",VLOOKUP($A180,'BASE EQUIPO'!$A:$D,4))</f>
        <v>2.5</v>
      </c>
      <c r="F180" s="55">
        <f t="shared" si="17"/>
        <v>2.5</v>
      </c>
      <c r="G180" s="106">
        <v>1</v>
      </c>
      <c r="H180" s="56">
        <f t="shared" si="18"/>
        <v>2.5</v>
      </c>
      <c r="I180" s="2"/>
    </row>
    <row r="181" spans="1:11" x14ac:dyDescent="0.25">
      <c r="A181" s="103">
        <v>1</v>
      </c>
      <c r="B181" s="38" t="s">
        <v>627</v>
      </c>
      <c r="C181" s="2"/>
      <c r="D181" s="55">
        <v>4</v>
      </c>
      <c r="E181" s="55">
        <v>0.5</v>
      </c>
      <c r="F181" s="55">
        <f t="shared" si="17"/>
        <v>2</v>
      </c>
      <c r="G181" s="106">
        <v>1</v>
      </c>
      <c r="H181" s="56">
        <f t="shared" si="18"/>
        <v>2</v>
      </c>
      <c r="I181" s="2"/>
    </row>
    <row r="182" spans="1:11" x14ac:dyDescent="0.25">
      <c r="B182" s="38" t="str">
        <f>IF($A182=0,"",VLOOKUP($A182,'BASE EQUIPO'!$A:$D,2))</f>
        <v/>
      </c>
      <c r="C182" s="2"/>
      <c r="D182" s="55"/>
      <c r="E182" s="55" t="str">
        <f>IF($A182=0,"",VLOOKUP($A182,'BASE EQUIPO'!$A:$D,4))</f>
        <v/>
      </c>
      <c r="F182" s="55" t="str">
        <f t="shared" si="17"/>
        <v/>
      </c>
      <c r="G182" s="106"/>
      <c r="H182" s="56" t="str">
        <f t="shared" si="18"/>
        <v/>
      </c>
      <c r="I182" s="2"/>
    </row>
    <row r="183" spans="1:11" x14ac:dyDescent="0.25">
      <c r="B183" s="57" t="str">
        <f>IF($A183=0,"",VLOOKUP($A183,'BASE EQUIPO'!$A:$D,2))</f>
        <v/>
      </c>
      <c r="C183" s="58"/>
      <c r="D183" s="59"/>
      <c r="E183" s="59" t="str">
        <f>IF($A183=0,"",VLOOKUP($A183,'BASE EQUIPO'!$A:$D,4))</f>
        <v/>
      </c>
      <c r="F183" s="59" t="str">
        <f t="shared" si="17"/>
        <v/>
      </c>
      <c r="G183" s="107"/>
      <c r="H183" s="60" t="str">
        <f t="shared" si="18"/>
        <v/>
      </c>
      <c r="I183" s="2"/>
    </row>
    <row r="184" spans="1:11" x14ac:dyDescent="0.25">
      <c r="B184" s="57" t="s">
        <v>1692</v>
      </c>
      <c r="C184" s="58"/>
      <c r="D184" s="61"/>
      <c r="E184" s="61"/>
      <c r="F184" s="61"/>
      <c r="G184" s="62"/>
      <c r="H184" s="60">
        <f>ROUND(SUM(H177:H183),2)</f>
        <v>7.13</v>
      </c>
      <c r="I184" s="2"/>
    </row>
    <row r="185" spans="1:11" x14ac:dyDescent="0.25">
      <c r="B185" s="38" t="s">
        <v>1503</v>
      </c>
      <c r="C185" s="2"/>
      <c r="D185" s="3"/>
      <c r="E185" s="3"/>
      <c r="F185" s="3"/>
      <c r="G185" s="63"/>
      <c r="H185" s="56"/>
      <c r="I185" s="2"/>
    </row>
    <row r="186" spans="1:11" ht="25.5" x14ac:dyDescent="0.25">
      <c r="B186" s="64" t="s">
        <v>1691</v>
      </c>
      <c r="C186" s="65"/>
      <c r="D186" s="66" t="s">
        <v>1690</v>
      </c>
      <c r="E186" s="66" t="s">
        <v>1689</v>
      </c>
      <c r="F186" s="66" t="s">
        <v>1688</v>
      </c>
      <c r="G186" s="67" t="s">
        <v>1687</v>
      </c>
      <c r="H186" s="68" t="s">
        <v>1686</v>
      </c>
      <c r="I186" s="2"/>
    </row>
    <row r="187" spans="1:11" x14ac:dyDescent="0.25">
      <c r="A187" s="103">
        <v>20001</v>
      </c>
      <c r="B187" s="69" t="str">
        <f>IF($A187=0,"",VLOOKUP($A187,'BASE M-OBRA'!$A:$D,2))</f>
        <v>MAESTRO</v>
      </c>
      <c r="C187" s="2"/>
      <c r="D187" s="108">
        <v>1</v>
      </c>
      <c r="E187" s="70">
        <f>IF($A187=0,"",VLOOKUP($A187,'BASE M-OBRA'!$A:$D,4))</f>
        <v>3.02</v>
      </c>
      <c r="F187" s="55">
        <f t="shared" ref="F187:F193" si="19">IF($A187=0,"",ROUND(D187*E187,2))</f>
        <v>3.02</v>
      </c>
      <c r="G187" s="106">
        <f>IF($A187=0,"",ROUND(H187/F187,2))</f>
        <v>4.84</v>
      </c>
      <c r="H187" s="56">
        <f>IF($A187=0,"",ROUND(SUM(H188:H193)*'BASE M-OBRA'!$D$23,2))</f>
        <v>14.62</v>
      </c>
      <c r="I187" s="2"/>
    </row>
    <row r="188" spans="1:11" x14ac:dyDescent="0.25">
      <c r="A188" s="103">
        <v>20002</v>
      </c>
      <c r="B188" s="69" t="str">
        <f>IF($A188=0,"",VLOOKUP($A188,'BASE M-OBRA'!$A:$D,2))</f>
        <v>PEON</v>
      </c>
      <c r="C188" s="2"/>
      <c r="D188" s="108">
        <v>8</v>
      </c>
      <c r="E188" s="70">
        <f>IF($A188=0,"",VLOOKUP($A188,'BASE M-OBRA'!$A:$D,4))</f>
        <v>2.79</v>
      </c>
      <c r="F188" s="55">
        <f t="shared" si="19"/>
        <v>22.32</v>
      </c>
      <c r="G188" s="106">
        <v>1</v>
      </c>
      <c r="H188" s="56">
        <f t="shared" ref="H188:H193" si="20">IF($A188=0,"",ROUND(G188*F188,2))</f>
        <v>22.32</v>
      </c>
      <c r="I188" s="2"/>
      <c r="K188" s="1">
        <f>36*2*(0.5)</f>
        <v>36</v>
      </c>
    </row>
    <row r="189" spans="1:11" x14ac:dyDescent="0.25">
      <c r="A189" s="103">
        <v>20003</v>
      </c>
      <c r="B189" s="69" t="str">
        <f>IF($A189=0,"",VLOOKUP($A189,'BASE M-OBRA'!$A:$D,2))</f>
        <v>ALBAÑIL</v>
      </c>
      <c r="C189" s="2"/>
      <c r="D189" s="108">
        <v>2</v>
      </c>
      <c r="E189" s="70">
        <f>IF($A189=0,"",VLOOKUP($A189,'BASE M-OBRA'!$A:$D,4))</f>
        <v>2.82</v>
      </c>
      <c r="F189" s="55">
        <f t="shared" si="19"/>
        <v>5.64</v>
      </c>
      <c r="G189" s="106">
        <f>+G188</f>
        <v>1</v>
      </c>
      <c r="H189" s="56">
        <f t="shared" si="20"/>
        <v>5.64</v>
      </c>
      <c r="I189" s="2"/>
    </row>
    <row r="190" spans="1:11" x14ac:dyDescent="0.25">
      <c r="A190" s="103">
        <v>20004</v>
      </c>
      <c r="B190" s="71" t="str">
        <f>IF($A190=0,"",VLOOKUP($A190,'BASE M-OBRA'!$A:$D,2))</f>
        <v>CARPINTERO</v>
      </c>
      <c r="C190" s="2"/>
      <c r="D190" s="108">
        <v>2</v>
      </c>
      <c r="E190" s="70">
        <f>IF($A190=0,"",VLOOKUP($A190,'BASE M-OBRA'!$A:$D,4))</f>
        <v>2.82</v>
      </c>
      <c r="F190" s="55">
        <f t="shared" si="19"/>
        <v>5.64</v>
      </c>
      <c r="G190" s="106">
        <v>8</v>
      </c>
      <c r="H190" s="56">
        <f t="shared" si="20"/>
        <v>45.12</v>
      </c>
      <c r="I190" s="2"/>
      <c r="K190" s="1">
        <f>16*2.9</f>
        <v>46.4</v>
      </c>
    </row>
    <row r="191" spans="1:11" x14ac:dyDescent="0.25">
      <c r="B191" s="72" t="str">
        <f>IF($A191=0,"",VLOOKUP($A191,'BASE M-OBRA'!$A:$D,2))</f>
        <v/>
      </c>
      <c r="C191" s="2"/>
      <c r="D191" s="108"/>
      <c r="E191" s="70" t="str">
        <f>IF($A191=0,"",VLOOKUP($A191,'BASE M-OBRA'!$A:$D,4))</f>
        <v/>
      </c>
      <c r="F191" s="55" t="str">
        <f t="shared" si="19"/>
        <v/>
      </c>
      <c r="G191" s="106"/>
      <c r="H191" s="56" t="str">
        <f t="shared" si="20"/>
        <v/>
      </c>
      <c r="I191" s="2"/>
      <c r="K191" s="1">
        <f>+F201*0.15</f>
        <v>1.7999999999999998</v>
      </c>
    </row>
    <row r="192" spans="1:11" x14ac:dyDescent="0.25">
      <c r="B192" s="38" t="str">
        <f>IF($A192=0,"",VLOOKUP($A192,'BASE M-OBRA'!$A:$D,2))</f>
        <v/>
      </c>
      <c r="C192" s="2"/>
      <c r="D192" s="55"/>
      <c r="E192" s="55" t="str">
        <f>IF($A192=0,"",VLOOKUP($A192,'BASE M-OBRA'!$A:$D,4))</f>
        <v/>
      </c>
      <c r="F192" s="55" t="str">
        <f t="shared" si="19"/>
        <v/>
      </c>
      <c r="G192" s="106"/>
      <c r="H192" s="56" t="str">
        <f t="shared" si="20"/>
        <v/>
      </c>
      <c r="I192" s="2"/>
    </row>
    <row r="193" spans="1:16" x14ac:dyDescent="0.25">
      <c r="B193" s="57" t="str">
        <f>IF($A193=0,"",VLOOKUP($A193,'BASE M-OBRA'!$A:$D,2))</f>
        <v/>
      </c>
      <c r="C193" s="58"/>
      <c r="D193" s="59"/>
      <c r="E193" s="59" t="str">
        <f>IF($A193=0,"",VLOOKUP($A193,'BASE M-OBRA'!$A:$D,4))</f>
        <v/>
      </c>
      <c r="F193" s="59" t="str">
        <f t="shared" si="19"/>
        <v/>
      </c>
      <c r="G193" s="107"/>
      <c r="H193" s="60" t="str">
        <f t="shared" si="20"/>
        <v/>
      </c>
      <c r="I193" s="2"/>
    </row>
    <row r="194" spans="1:16" x14ac:dyDescent="0.25">
      <c r="B194" s="73" t="s">
        <v>1685</v>
      </c>
      <c r="C194" s="65"/>
      <c r="D194" s="74"/>
      <c r="E194" s="74"/>
      <c r="F194" s="74"/>
      <c r="G194" s="74"/>
      <c r="H194" s="75">
        <f>ROUND(SUM(H186:H193),2)</f>
        <v>87.7</v>
      </c>
      <c r="I194" s="2"/>
      <c r="K194" s="1">
        <f>SUM(K190:K193)+15</f>
        <v>63.199999999999996</v>
      </c>
    </row>
    <row r="195" spans="1:16" x14ac:dyDescent="0.25">
      <c r="B195" s="38" t="s">
        <v>1684</v>
      </c>
      <c r="C195" s="2"/>
      <c r="D195" s="3"/>
      <c r="E195" s="3"/>
      <c r="F195" s="3"/>
      <c r="G195" s="3"/>
      <c r="H195" s="56"/>
      <c r="I195" s="2"/>
    </row>
    <row r="196" spans="1:16" ht="25.5" x14ac:dyDescent="0.25">
      <c r="B196" s="64" t="s">
        <v>1409</v>
      </c>
      <c r="C196" s="65"/>
      <c r="D196" s="76"/>
      <c r="E196" s="66" t="s">
        <v>1408</v>
      </c>
      <c r="F196" s="66" t="s">
        <v>1679</v>
      </c>
      <c r="G196" s="66" t="s">
        <v>1683</v>
      </c>
      <c r="H196" s="68" t="s">
        <v>1675</v>
      </c>
      <c r="I196" s="2"/>
    </row>
    <row r="197" spans="1:16" x14ac:dyDescent="0.25">
      <c r="A197" s="103">
        <v>11008</v>
      </c>
      <c r="B197" s="37" t="s">
        <v>628</v>
      </c>
      <c r="C197" s="2"/>
      <c r="D197" s="77"/>
      <c r="E197" s="78" t="s">
        <v>1566</v>
      </c>
      <c r="F197" s="55">
        <v>1</v>
      </c>
      <c r="G197" s="55">
        <v>1.38</v>
      </c>
      <c r="H197" s="56">
        <f t="shared" ref="H197:H211" si="21">IF($A197=0,"",ROUND(F197*G197,2))</f>
        <v>1.38</v>
      </c>
      <c r="I197" s="2"/>
      <c r="L197" s="2"/>
      <c r="M197" s="2"/>
      <c r="N197" s="39"/>
      <c r="O197" s="2"/>
      <c r="P197" s="2"/>
    </row>
    <row r="198" spans="1:16" x14ac:dyDescent="0.25">
      <c r="A198" s="103">
        <v>11009</v>
      </c>
      <c r="B198" s="38" t="s">
        <v>630</v>
      </c>
      <c r="C198" s="2"/>
      <c r="D198" s="77"/>
      <c r="E198" s="78" t="s">
        <v>1521</v>
      </c>
      <c r="F198" s="55">
        <v>1.02</v>
      </c>
      <c r="G198" s="55">
        <f>106.7*1.12</f>
        <v>119.50400000000002</v>
      </c>
      <c r="H198" s="56">
        <f t="shared" si="21"/>
        <v>121.89</v>
      </c>
      <c r="I198" s="2"/>
      <c r="K198" s="1">
        <v>0.06</v>
      </c>
      <c r="L198" s="2"/>
      <c r="M198" s="2"/>
      <c r="N198" s="39"/>
      <c r="O198" s="2"/>
      <c r="P198" s="2"/>
    </row>
    <row r="199" spans="1:16" x14ac:dyDescent="0.25">
      <c r="B199" s="38"/>
      <c r="C199" s="2"/>
      <c r="D199" s="77"/>
      <c r="E199" s="78"/>
      <c r="F199" s="55"/>
      <c r="G199" s="55"/>
      <c r="H199" s="56" t="str">
        <f t="shared" si="21"/>
        <v/>
      </c>
      <c r="I199" s="2"/>
      <c r="K199" s="1">
        <f>3.6*0.12*0.19</f>
        <v>8.208E-2</v>
      </c>
      <c r="L199" s="2"/>
      <c r="M199" s="2"/>
      <c r="N199" s="39"/>
      <c r="O199" s="2"/>
      <c r="P199" s="2"/>
    </row>
    <row r="200" spans="1:16" x14ac:dyDescent="0.25">
      <c r="A200" s="103">
        <v>1</v>
      </c>
      <c r="B200" s="38" t="s">
        <v>631</v>
      </c>
      <c r="C200" s="2"/>
      <c r="D200" s="77"/>
      <c r="E200" s="78" t="s">
        <v>1509</v>
      </c>
      <c r="F200" s="55">
        <v>5.25</v>
      </c>
      <c r="G200" s="55">
        <v>1.4</v>
      </c>
      <c r="H200" s="56">
        <f t="shared" si="21"/>
        <v>7.35</v>
      </c>
      <c r="I200" s="2"/>
      <c r="K200" s="1">
        <f>SUM(K198:K199)</f>
        <v>0.14207999999999998</v>
      </c>
      <c r="L200" s="2"/>
      <c r="M200" s="2"/>
      <c r="N200" s="39"/>
      <c r="O200" s="2"/>
      <c r="P200" s="2"/>
    </row>
    <row r="201" spans="1:16" x14ac:dyDescent="0.25">
      <c r="A201" s="103">
        <v>1</v>
      </c>
      <c r="B201" s="38" t="s">
        <v>629</v>
      </c>
      <c r="C201" s="2"/>
      <c r="D201" s="77"/>
      <c r="E201" s="78" t="s">
        <v>1520</v>
      </c>
      <c r="F201" s="55">
        <v>12</v>
      </c>
      <c r="G201" s="55">
        <v>3</v>
      </c>
      <c r="H201" s="56">
        <f t="shared" si="21"/>
        <v>36</v>
      </c>
      <c r="I201" s="2"/>
      <c r="K201" s="1">
        <f>1/K200</f>
        <v>7.0382882882882889</v>
      </c>
      <c r="L201" s="2"/>
      <c r="M201" s="2"/>
      <c r="N201" s="39"/>
      <c r="O201" s="2"/>
      <c r="P201" s="2"/>
    </row>
    <row r="202" spans="1:16" x14ac:dyDescent="0.25">
      <c r="B202" s="38"/>
      <c r="C202" s="2"/>
      <c r="D202" s="77"/>
      <c r="E202" s="78"/>
      <c r="F202" s="55"/>
      <c r="G202" s="55"/>
      <c r="H202" s="56" t="str">
        <f t="shared" si="21"/>
        <v/>
      </c>
      <c r="I202" s="2"/>
      <c r="L202" s="2"/>
      <c r="M202" s="2"/>
      <c r="N202" s="39"/>
      <c r="O202" s="2"/>
      <c r="P202" s="2"/>
    </row>
    <row r="203" spans="1:16" x14ac:dyDescent="0.25">
      <c r="B203" s="38"/>
      <c r="C203" s="2"/>
      <c r="D203" s="77"/>
      <c r="E203" s="78"/>
      <c r="F203" s="55"/>
      <c r="G203" s="55"/>
      <c r="H203" s="56" t="str">
        <f t="shared" si="21"/>
        <v/>
      </c>
      <c r="I203" s="2"/>
      <c r="L203" s="2"/>
      <c r="M203" s="2"/>
      <c r="N203" s="39"/>
      <c r="O203" s="2"/>
      <c r="P203" s="2"/>
    </row>
    <row r="204" spans="1:16" x14ac:dyDescent="0.25">
      <c r="B204" s="38" t="str">
        <f>IF($A204=0,"",VLOOKUP($A204,'BASE MATERIAL'!$A:$D,2))</f>
        <v/>
      </c>
      <c r="C204" s="2"/>
      <c r="D204" s="77"/>
      <c r="E204" s="78" t="str">
        <f>IF($A204=0,"",VLOOKUP($A204,'BASE MATERIAL'!$A:$D,3))</f>
        <v/>
      </c>
      <c r="F204" s="55"/>
      <c r="G204" s="55" t="str">
        <f>IF($A204=0,"",VLOOKUP($A204,'BASE MATERIAL'!$A:$D,4))</f>
        <v/>
      </c>
      <c r="H204" s="56" t="str">
        <f t="shared" si="21"/>
        <v/>
      </c>
      <c r="I204" s="2"/>
      <c r="L204" s="2"/>
      <c r="M204" s="2"/>
      <c r="N204" s="39"/>
      <c r="O204" s="2"/>
      <c r="P204" s="2"/>
    </row>
    <row r="205" spans="1:16" x14ac:dyDescent="0.25">
      <c r="B205" s="38" t="str">
        <f>IF($A205=0,"",VLOOKUP($A205,'BASE MATERIAL'!$A:$D,2))</f>
        <v/>
      </c>
      <c r="C205" s="2"/>
      <c r="D205" s="77"/>
      <c r="E205" s="78" t="str">
        <f>IF($A205=0,"",VLOOKUP($A205,'BASE MATERIAL'!$A:$D,3))</f>
        <v/>
      </c>
      <c r="F205" s="55"/>
      <c r="G205" s="80" t="str">
        <f>IF($A205=0,"",VLOOKUP($A205,'BASE MATERIAL'!$A:$D,4))</f>
        <v/>
      </c>
      <c r="H205" s="56" t="str">
        <f t="shared" si="21"/>
        <v/>
      </c>
      <c r="I205" s="2"/>
    </row>
    <row r="206" spans="1:16" x14ac:dyDescent="0.25">
      <c r="B206" s="38" t="str">
        <f>IF($A206=0,"",VLOOKUP($A206,'BASE MATERIAL'!$A:$D,2))</f>
        <v/>
      </c>
      <c r="C206" s="2"/>
      <c r="D206" s="77"/>
      <c r="E206" s="78" t="str">
        <f>IF($A206=0,"",VLOOKUP($A206,'BASE MATERIAL'!$A:$D,3))</f>
        <v/>
      </c>
      <c r="F206" s="55"/>
      <c r="G206" s="80" t="str">
        <f>IF($A206=0,"",VLOOKUP($A206,'BASE MATERIAL'!$A:$D,4))</f>
        <v/>
      </c>
      <c r="H206" s="56" t="str">
        <f t="shared" si="21"/>
        <v/>
      </c>
      <c r="I206" s="2"/>
      <c r="L206" s="2"/>
      <c r="M206" s="2"/>
      <c r="N206" s="39"/>
      <c r="O206" s="2"/>
      <c r="P206" s="2"/>
    </row>
    <row r="207" spans="1:16" x14ac:dyDescent="0.25">
      <c r="B207" s="38" t="str">
        <f>IF($A207=0,"",VLOOKUP($A207,'BASE MATERIAL'!$A:$D,2))</f>
        <v/>
      </c>
      <c r="C207" s="2"/>
      <c r="D207" s="77"/>
      <c r="E207" s="78" t="str">
        <f>IF($A207=0,"",VLOOKUP($A207,'BASE MATERIAL'!$A:$D,3))</f>
        <v/>
      </c>
      <c r="F207" s="55"/>
      <c r="G207" s="55" t="str">
        <f>IF($A207=0,"",VLOOKUP($A207,'BASE MATERIAL'!$A:$D,4))</f>
        <v/>
      </c>
      <c r="H207" s="56" t="str">
        <f t="shared" si="21"/>
        <v/>
      </c>
      <c r="I207" s="2"/>
      <c r="L207" s="2"/>
      <c r="M207" s="2"/>
      <c r="N207" s="39"/>
      <c r="O207" s="2"/>
      <c r="P207" s="2"/>
    </row>
    <row r="208" spans="1:16" x14ac:dyDescent="0.25">
      <c r="B208" s="38" t="str">
        <f>IF($A208=0,"",VLOOKUP($A208,'BASE MATERIAL'!$A:$D,2))</f>
        <v/>
      </c>
      <c r="C208" s="2"/>
      <c r="D208" s="77"/>
      <c r="E208" s="78" t="str">
        <f>IF($A208=0,"",VLOOKUP($A208,'BASE MATERIAL'!$A:$D,3))</f>
        <v/>
      </c>
      <c r="F208" s="55"/>
      <c r="G208" s="55" t="str">
        <f>IF($A208=0,"",VLOOKUP($A208,'BASE MATERIAL'!$A:$D,4))</f>
        <v/>
      </c>
      <c r="H208" s="56" t="str">
        <f t="shared" si="21"/>
        <v/>
      </c>
      <c r="I208" s="2"/>
    </row>
    <row r="209" spans="1:9" x14ac:dyDescent="0.25">
      <c r="B209" s="38" t="str">
        <f>IF($A209=0,"",VLOOKUP($A209,'BASE MATERIAL'!$A:$D,2))</f>
        <v/>
      </c>
      <c r="C209" s="2"/>
      <c r="D209" s="77"/>
      <c r="E209" s="78" t="str">
        <f>IF($A209=0,"",VLOOKUP($A209,'BASE MATERIAL'!$A:$D,3))</f>
        <v/>
      </c>
      <c r="F209" s="55"/>
      <c r="G209" s="55" t="str">
        <f>IF($A209=0,"",VLOOKUP($A209,'BASE MATERIAL'!$A:$D,4))</f>
        <v/>
      </c>
      <c r="H209" s="56" t="str">
        <f t="shared" si="21"/>
        <v/>
      </c>
      <c r="I209" s="2"/>
    </row>
    <row r="210" spans="1:9" x14ac:dyDescent="0.25">
      <c r="B210" s="38" t="str">
        <f>IF($A210=0,"",VLOOKUP($A210,'BASE MATERIAL'!$A:$D,2))</f>
        <v/>
      </c>
      <c r="C210" s="2"/>
      <c r="D210" s="77"/>
      <c r="E210" s="78" t="str">
        <f>IF($A210=0,"",VLOOKUP($A210,'BASE MATERIAL'!$A:$D,3))</f>
        <v/>
      </c>
      <c r="F210" s="55"/>
      <c r="G210" s="55" t="str">
        <f>IF($A210=0,"",VLOOKUP($A210,'BASE MATERIAL'!$A:$D,4))</f>
        <v/>
      </c>
      <c r="H210" s="56" t="str">
        <f t="shared" si="21"/>
        <v/>
      </c>
      <c r="I210" s="2"/>
    </row>
    <row r="211" spans="1:9" x14ac:dyDescent="0.25">
      <c r="B211" s="38" t="str">
        <f>IF($A211=0,"",VLOOKUP($A211,'BASE MATERIAL'!$A:$D,2))</f>
        <v/>
      </c>
      <c r="C211" s="2"/>
      <c r="D211" s="77"/>
      <c r="E211" s="78" t="str">
        <f>IF($A211=0,"",VLOOKUP($A211,'BASE MATERIAL'!$A:$D,3))</f>
        <v/>
      </c>
      <c r="F211" s="55"/>
      <c r="G211" s="55" t="str">
        <f>IF($A211=0,"",VLOOKUP($A211,'BASE MATERIAL'!$A:$D,4))</f>
        <v/>
      </c>
      <c r="H211" s="56" t="str">
        <f t="shared" si="21"/>
        <v/>
      </c>
      <c r="I211" s="2"/>
    </row>
    <row r="212" spans="1:9" x14ac:dyDescent="0.25">
      <c r="B212" s="38" t="str">
        <f>IF($A212=0,"",VLOOKUP($A212,'BASE MATERIAL'!$A:$D,2))</f>
        <v/>
      </c>
      <c r="C212" s="2"/>
      <c r="D212" s="81" t="s">
        <v>1682</v>
      </c>
      <c r="E212" s="55" t="str">
        <f>IF($A212=0,"",VLOOKUP($A212,'BASE MATERIAL'!$A:$D,3))</f>
        <v/>
      </c>
      <c r="F212" s="55" t="s">
        <v>1682</v>
      </c>
      <c r="G212" s="55" t="str">
        <f>IF($A212=0,"",VLOOKUP($A212,'BASE MATERIAL'!$A:$D,4))</f>
        <v/>
      </c>
      <c r="H212" s="56" t="str">
        <f>IF($A212=0,"",ROUND(E212*F212,2))</f>
        <v/>
      </c>
      <c r="I212" s="2"/>
    </row>
    <row r="213" spans="1:9" x14ac:dyDescent="0.25">
      <c r="B213" s="73" t="s">
        <v>1681</v>
      </c>
      <c r="C213" s="65"/>
      <c r="D213" s="74"/>
      <c r="E213" s="74"/>
      <c r="F213" s="74"/>
      <c r="G213" s="74"/>
      <c r="H213" s="75">
        <f>ROUND(SUM(H196:H212),2)</f>
        <v>166.62</v>
      </c>
      <c r="I213" s="2"/>
    </row>
    <row r="214" spans="1:9" x14ac:dyDescent="0.25">
      <c r="B214" s="38" t="s">
        <v>1680</v>
      </c>
      <c r="C214" s="2"/>
      <c r="D214" s="3"/>
      <c r="E214" s="3"/>
      <c r="F214" s="3"/>
      <c r="G214" s="3"/>
      <c r="H214" s="56"/>
      <c r="I214" s="2"/>
    </row>
    <row r="215" spans="1:9" ht="25.5" x14ac:dyDescent="0.25">
      <c r="B215" s="64" t="s">
        <v>1409</v>
      </c>
      <c r="C215" s="65"/>
      <c r="D215" s="76"/>
      <c r="E215" s="66" t="s">
        <v>1408</v>
      </c>
      <c r="F215" s="66" t="s">
        <v>1679</v>
      </c>
      <c r="G215" s="66" t="s">
        <v>1676</v>
      </c>
      <c r="H215" s="68" t="s">
        <v>1675</v>
      </c>
      <c r="I215" s="2"/>
    </row>
    <row r="216" spans="1:9" x14ac:dyDescent="0.25">
      <c r="A216" s="103">
        <v>19019</v>
      </c>
      <c r="B216" s="51" t="str">
        <f>IF($A216=0,"",VLOOKUP($A216,'BASE EQUIPO'!$A:$D,2))</f>
        <v>TRANSPORTE DE MATERIAL</v>
      </c>
      <c r="C216" s="52"/>
      <c r="D216" s="82"/>
      <c r="E216" s="78" t="str">
        <f>IF($A216=0,"",VLOOKUP($A216,'BASE EQUIPO'!$A:$D,3))</f>
        <v>GLOBAL</v>
      </c>
      <c r="F216" s="55">
        <v>1</v>
      </c>
      <c r="G216" s="83">
        <f>IF($A216=0,"",VLOOKUP($A216,'BASE EQUIPO'!$A:$D,4)*H213)+0.11</f>
        <v>5.1086</v>
      </c>
      <c r="H216" s="56">
        <f>IF($A216=0,"",ROUND(F216*G216,2))</f>
        <v>5.1100000000000003</v>
      </c>
      <c r="I216" s="2"/>
    </row>
    <row r="217" spans="1:9" x14ac:dyDescent="0.25">
      <c r="B217" s="38" t="str">
        <f>IF($A217=0,"",VLOOKUP($A217,'BASE EQUIPO'!$A:$D,2))</f>
        <v/>
      </c>
      <c r="C217" s="2"/>
      <c r="D217" s="84"/>
      <c r="E217" s="78" t="str">
        <f>IF($A217=0,"",VLOOKUP($A217,'BASE EQUIPO'!$A:$D,3))</f>
        <v/>
      </c>
      <c r="F217" s="55"/>
      <c r="G217" s="55" t="str">
        <f>IF($A217=0,"",VLOOKUP($A217,'BASE EQUIPO'!$A:$D,4)*H214)</f>
        <v/>
      </c>
      <c r="H217" s="56" t="str">
        <f>IF($A217=0,"",ROUND(F217*G217,2))</f>
        <v/>
      </c>
      <c r="I217" s="2"/>
    </row>
    <row r="218" spans="1:9" x14ac:dyDescent="0.25">
      <c r="B218" s="57" t="str">
        <f>IF($A218=0,"",VLOOKUP($A218,'BASE EQUIPO'!$A:$D,2))</f>
        <v/>
      </c>
      <c r="C218" s="58"/>
      <c r="D218" s="85"/>
      <c r="E218" s="86" t="str">
        <f>IF($A218=0,"",VLOOKUP($A218,'BASE EQUIPO'!$A:$D,3))</f>
        <v/>
      </c>
      <c r="F218" s="59"/>
      <c r="G218" s="59" t="str">
        <f>IF($A218=0,"",VLOOKUP($A218,'BASE EQUIPO'!$A:$D,4)*H215)</f>
        <v/>
      </c>
      <c r="H218" s="60" t="str">
        <f>IF($A218=0,"",ROUND(F218*G218,2))</f>
        <v/>
      </c>
      <c r="I218" s="2"/>
    </row>
    <row r="219" spans="1:9" ht="15.75" thickBot="1" x14ac:dyDescent="0.3">
      <c r="B219" s="87" t="s">
        <v>1674</v>
      </c>
      <c r="C219" s="88"/>
      <c r="D219" s="89"/>
      <c r="E219" s="89"/>
      <c r="F219" s="89"/>
      <c r="G219" s="89"/>
      <c r="H219" s="90">
        <f>ROUND(SUM(H215:H218),2)</f>
        <v>5.1100000000000003</v>
      </c>
      <c r="I219" s="2"/>
    </row>
    <row r="220" spans="1:9" ht="15.75" x14ac:dyDescent="0.25">
      <c r="B220" s="2"/>
      <c r="C220" s="2"/>
      <c r="D220" s="91" t="s">
        <v>1673</v>
      </c>
      <c r="E220" s="47"/>
      <c r="F220" s="47"/>
      <c r="G220" s="47"/>
      <c r="H220" s="92">
        <f>ROUND(SUM(H219,H213,H194,H184),2)</f>
        <v>266.56</v>
      </c>
      <c r="I220" s="2"/>
    </row>
    <row r="221" spans="1:9" ht="15.75" x14ac:dyDescent="0.25">
      <c r="A221" s="103">
        <v>40002</v>
      </c>
      <c r="B221" s="2"/>
      <c r="C221" s="2"/>
      <c r="D221" s="93" t="s">
        <v>1672</v>
      </c>
      <c r="E221" s="65"/>
      <c r="F221" s="65"/>
      <c r="G221" s="94">
        <f>IF($A221=0,"",VLOOKUP($A221,'BASE MATERIAL'!$M:$P,4))</f>
        <v>0</v>
      </c>
      <c r="H221" s="95">
        <f>IF($A221=0,"",ROUND(G221*H220,2))</f>
        <v>0</v>
      </c>
      <c r="I221" s="2"/>
    </row>
    <row r="222" spans="1:9" ht="15.75" x14ac:dyDescent="0.25">
      <c r="A222" s="103">
        <v>40003</v>
      </c>
      <c r="B222" s="2"/>
      <c r="C222" s="2"/>
      <c r="D222" s="93" t="s">
        <v>1671</v>
      </c>
      <c r="E222" s="65"/>
      <c r="F222" s="65"/>
      <c r="G222" s="94">
        <f>IF($A222=0,"",VLOOKUP($A222,'BASE MATERIAL'!$M:$P,4))</f>
        <v>0</v>
      </c>
      <c r="H222" s="95">
        <f>IF($A222=0,"",ROUND(G222*H220,2))</f>
        <v>0</v>
      </c>
      <c r="I222" s="2"/>
    </row>
    <row r="223" spans="1:9" ht="15.75" x14ac:dyDescent="0.25">
      <c r="B223" s="2"/>
      <c r="C223" s="2"/>
      <c r="D223" s="93" t="s">
        <v>1670</v>
      </c>
      <c r="E223" s="65"/>
      <c r="F223" s="65"/>
      <c r="G223" s="65"/>
      <c r="H223" s="96">
        <f>ROUND(SUM(H220:H222),2)</f>
        <v>266.56</v>
      </c>
      <c r="I223" s="2"/>
    </row>
    <row r="224" spans="1:9" ht="16.5" thickBot="1" x14ac:dyDescent="0.3">
      <c r="B224" s="25"/>
      <c r="C224" s="2"/>
      <c r="D224" s="97" t="s">
        <v>1650</v>
      </c>
      <c r="E224" s="88"/>
      <c r="F224" s="88"/>
      <c r="G224" s="88"/>
      <c r="H224" s="98">
        <f>ROUND(H223,2)</f>
        <v>266.56</v>
      </c>
      <c r="I224" s="2"/>
    </row>
    <row r="225" spans="1:15" ht="15.75" x14ac:dyDescent="0.25">
      <c r="B225" s="34" t="s">
        <v>1701</v>
      </c>
      <c r="C225" s="2"/>
      <c r="D225" s="3" t="str">
        <f>$D$1</f>
        <v>ESPOL</v>
      </c>
      <c r="E225" s="2"/>
      <c r="F225" s="2"/>
      <c r="H225" s="2" t="s">
        <v>108</v>
      </c>
      <c r="I225" s="2"/>
      <c r="L225" s="40">
        <f>A229</f>
        <v>6</v>
      </c>
      <c r="M225" s="1" t="str">
        <f>C230</f>
        <v>Columnas primer alto</v>
      </c>
      <c r="N225" s="2" t="str">
        <f>H229</f>
        <v>m3</v>
      </c>
      <c r="O225" s="2">
        <f>H280</f>
        <v>270.95</v>
      </c>
    </row>
    <row r="226" spans="1:15" ht="15.75" x14ac:dyDescent="0.25">
      <c r="B226" s="34" t="s">
        <v>1700</v>
      </c>
      <c r="C226" s="3">
        <f>'1.1'!$C$2</f>
        <v>0</v>
      </c>
      <c r="D226" s="2"/>
      <c r="E226" s="2"/>
      <c r="F226" s="2"/>
      <c r="G226" s="41" t="s">
        <v>1699</v>
      </c>
      <c r="H226" s="42"/>
      <c r="I226" s="2" t="s">
        <v>1698</v>
      </c>
    </row>
    <row r="227" spans="1:15" ht="15.75" x14ac:dyDescent="0.25">
      <c r="B227" s="34"/>
      <c r="C227" s="3">
        <f>'1.1'!$C$3</f>
        <v>0</v>
      </c>
      <c r="D227" s="2"/>
      <c r="E227" s="2"/>
      <c r="F227" s="2"/>
      <c r="G227" s="2"/>
      <c r="H227" s="2"/>
      <c r="I227" s="2"/>
    </row>
    <row r="228" spans="1:15" ht="15.75" x14ac:dyDescent="0.25">
      <c r="B228" s="34" t="s">
        <v>1697</v>
      </c>
      <c r="C228" s="3"/>
      <c r="D228" s="2"/>
      <c r="E228" s="2"/>
      <c r="F228" s="2"/>
      <c r="G228" s="2"/>
      <c r="H228" s="2"/>
      <c r="I228" s="2"/>
    </row>
    <row r="229" spans="1:15" x14ac:dyDescent="0.25">
      <c r="A229" s="104">
        <v>6</v>
      </c>
      <c r="B229" s="2" t="s">
        <v>1586</v>
      </c>
      <c r="C229" s="36" t="s">
        <v>1561</v>
      </c>
      <c r="D229" s="2"/>
      <c r="G229" s="2" t="s">
        <v>1696</v>
      </c>
      <c r="H229" s="3" t="s">
        <v>1521</v>
      </c>
      <c r="I229" s="2"/>
    </row>
    <row r="230" spans="1:15" x14ac:dyDescent="0.25">
      <c r="B230" s="1" t="s">
        <v>1585</v>
      </c>
      <c r="C230" s="36" t="s">
        <v>641</v>
      </c>
      <c r="D230" s="2"/>
      <c r="E230" s="2"/>
      <c r="F230" s="2"/>
      <c r="G230" s="2"/>
      <c r="H230" s="2"/>
      <c r="I230" s="2"/>
    </row>
    <row r="231" spans="1:15" ht="15.75" thickBot="1" x14ac:dyDescent="0.3">
      <c r="D231" s="2"/>
      <c r="E231" s="2"/>
      <c r="F231" s="2"/>
      <c r="G231" s="2"/>
      <c r="H231" s="2"/>
      <c r="I231" s="2"/>
    </row>
    <row r="232" spans="1:15" ht="15.75" thickBot="1" x14ac:dyDescent="0.3">
      <c r="B232" s="43" t="s">
        <v>1695</v>
      </c>
      <c r="C232" s="44"/>
      <c r="D232" s="44"/>
      <c r="E232" s="44"/>
      <c r="F232" s="44"/>
      <c r="G232" s="44"/>
      <c r="H232" s="45"/>
      <c r="I232" s="2"/>
    </row>
    <row r="233" spans="1:15" ht="25.5" x14ac:dyDescent="0.25">
      <c r="B233" s="46" t="s">
        <v>1409</v>
      </c>
      <c r="C233" s="47"/>
      <c r="D233" s="48" t="s">
        <v>1690</v>
      </c>
      <c r="E233" s="48" t="s">
        <v>1694</v>
      </c>
      <c r="F233" s="48" t="s">
        <v>1693</v>
      </c>
      <c r="G233" s="49" t="s">
        <v>1687</v>
      </c>
      <c r="H233" s="50" t="s">
        <v>1686</v>
      </c>
      <c r="I233" s="2"/>
    </row>
    <row r="234" spans="1:15" x14ac:dyDescent="0.25">
      <c r="A234" s="103">
        <v>19015</v>
      </c>
      <c r="B234" s="51" t="str">
        <f>IF($A234=0,"",VLOOKUP($A234,'BASE EQUIPO'!$A:$D,2))</f>
        <v>HERRAMIENTA MENOR</v>
      </c>
      <c r="C234" s="52"/>
      <c r="D234" s="53">
        <v>1</v>
      </c>
      <c r="E234" s="53">
        <f>IF($A234=0,"",VLOOKUP($A234,'BASE EQUIPO'!$A:$D,4)*H250)</f>
        <v>2.7515999999999998</v>
      </c>
      <c r="F234" s="53">
        <f t="shared" ref="F234:F239" si="22">IF($A234=0,"",ROUND(D234*E234,2))</f>
        <v>2.75</v>
      </c>
      <c r="G234" s="105">
        <v>1</v>
      </c>
      <c r="H234" s="54">
        <f t="shared" ref="H234:H239" si="23">IF($A234=0,"",ROUND(G234*F234,2))</f>
        <v>2.75</v>
      </c>
      <c r="I234" s="2"/>
    </row>
    <row r="235" spans="1:15" x14ac:dyDescent="0.25">
      <c r="B235" s="38" t="str">
        <f>IF($A235=0,"",VLOOKUP($A235,'BASE EQUIPO'!$A:$D,2))</f>
        <v/>
      </c>
      <c r="C235" s="2"/>
      <c r="D235" s="55"/>
      <c r="E235" s="55" t="str">
        <f>IF($A235=0,"",VLOOKUP($A235,'BASE EQUIPO'!$A:$D,4))</f>
        <v/>
      </c>
      <c r="F235" s="55" t="str">
        <f t="shared" si="22"/>
        <v/>
      </c>
      <c r="G235" s="106"/>
      <c r="H235" s="56" t="str">
        <f t="shared" si="23"/>
        <v/>
      </c>
      <c r="I235" s="2"/>
    </row>
    <row r="236" spans="1:15" x14ac:dyDescent="0.25">
      <c r="A236" s="103">
        <v>19008</v>
      </c>
      <c r="B236" s="38" t="str">
        <f>IF($A236=0,"",VLOOKUP($A236,'BASE EQUIPO'!$A:$D,2))</f>
        <v>VIBRADOR</v>
      </c>
      <c r="C236" s="2"/>
      <c r="D236" s="55">
        <v>1</v>
      </c>
      <c r="E236" s="55">
        <f>IF($A236=0,"",VLOOKUP($A236,'BASE EQUIPO'!$A:$D,4))</f>
        <v>2.5</v>
      </c>
      <c r="F236" s="55">
        <f t="shared" si="22"/>
        <v>2.5</v>
      </c>
      <c r="G236" s="106">
        <f>G244</f>
        <v>1.1000000000000001</v>
      </c>
      <c r="H236" s="56">
        <f t="shared" si="23"/>
        <v>2.75</v>
      </c>
      <c r="I236" s="2"/>
    </row>
    <row r="237" spans="1:15" x14ac:dyDescent="0.25">
      <c r="A237" s="103">
        <v>1</v>
      </c>
      <c r="B237" s="38" t="s">
        <v>627</v>
      </c>
      <c r="C237" s="2"/>
      <c r="D237" s="55">
        <v>4</v>
      </c>
      <c r="E237" s="55">
        <v>0.5</v>
      </c>
      <c r="F237" s="55">
        <f t="shared" si="22"/>
        <v>2</v>
      </c>
      <c r="G237" s="106">
        <v>1</v>
      </c>
      <c r="H237" s="56">
        <f t="shared" si="23"/>
        <v>2</v>
      </c>
      <c r="I237" s="2"/>
    </row>
    <row r="238" spans="1:15" x14ac:dyDescent="0.25">
      <c r="B238" s="38" t="str">
        <f>IF($A238=0,"",VLOOKUP($A238,'BASE EQUIPO'!$A:$D,2))</f>
        <v/>
      </c>
      <c r="C238" s="2"/>
      <c r="D238" s="55"/>
      <c r="E238" s="55" t="str">
        <f>IF($A238=0,"",VLOOKUP($A238,'BASE EQUIPO'!$A:$D,4))</f>
        <v/>
      </c>
      <c r="F238" s="55" t="str">
        <f t="shared" si="22"/>
        <v/>
      </c>
      <c r="G238" s="106"/>
      <c r="H238" s="56" t="str">
        <f t="shared" si="23"/>
        <v/>
      </c>
      <c r="I238" s="2"/>
    </row>
    <row r="239" spans="1:15" x14ac:dyDescent="0.25">
      <c r="B239" s="57" t="str">
        <f>IF($A239=0,"",VLOOKUP($A239,'BASE EQUIPO'!$A:$D,2))</f>
        <v/>
      </c>
      <c r="C239" s="58"/>
      <c r="D239" s="59"/>
      <c r="E239" s="59" t="str">
        <f>IF($A239=0,"",VLOOKUP($A239,'BASE EQUIPO'!$A:$D,4))</f>
        <v/>
      </c>
      <c r="F239" s="59" t="str">
        <f t="shared" si="22"/>
        <v/>
      </c>
      <c r="G239" s="107"/>
      <c r="H239" s="60" t="str">
        <f t="shared" si="23"/>
        <v/>
      </c>
      <c r="I239" s="2"/>
    </row>
    <row r="240" spans="1:15" x14ac:dyDescent="0.25">
      <c r="B240" s="57" t="s">
        <v>1692</v>
      </c>
      <c r="C240" s="58"/>
      <c r="D240" s="61"/>
      <c r="E240" s="61"/>
      <c r="F240" s="61"/>
      <c r="G240" s="62"/>
      <c r="H240" s="60">
        <f>ROUND(SUM(H233:H239),2)</f>
        <v>7.5</v>
      </c>
      <c r="I240" s="2"/>
    </row>
    <row r="241" spans="1:16" x14ac:dyDescent="0.25">
      <c r="B241" s="38" t="s">
        <v>1503</v>
      </c>
      <c r="C241" s="2"/>
      <c r="D241" s="3"/>
      <c r="E241" s="3"/>
      <c r="F241" s="3"/>
      <c r="G241" s="63"/>
      <c r="H241" s="56"/>
      <c r="I241" s="2"/>
    </row>
    <row r="242" spans="1:16" ht="25.5" x14ac:dyDescent="0.25">
      <c r="B242" s="64" t="s">
        <v>1691</v>
      </c>
      <c r="C242" s="65"/>
      <c r="D242" s="66" t="s">
        <v>1690</v>
      </c>
      <c r="E242" s="66" t="s">
        <v>1689</v>
      </c>
      <c r="F242" s="66" t="s">
        <v>1688</v>
      </c>
      <c r="G242" s="67" t="s">
        <v>1687</v>
      </c>
      <c r="H242" s="68" t="s">
        <v>1686</v>
      </c>
      <c r="I242" s="2"/>
    </row>
    <row r="243" spans="1:16" x14ac:dyDescent="0.25">
      <c r="A243" s="103">
        <v>20001</v>
      </c>
      <c r="B243" s="69" t="str">
        <f>IF($A243=0,"",VLOOKUP($A243,'BASE M-OBRA'!$A:$D,2))</f>
        <v>MAESTRO</v>
      </c>
      <c r="C243" s="2"/>
      <c r="D243" s="108">
        <v>1</v>
      </c>
      <c r="E243" s="70">
        <f>IF($A243=0,"",VLOOKUP($A243,'BASE M-OBRA'!$A:$D,4))</f>
        <v>3.02</v>
      </c>
      <c r="F243" s="55">
        <f t="shared" ref="F243:F249" si="24">IF($A243=0,"",ROUND(D243*E243,2))</f>
        <v>3.02</v>
      </c>
      <c r="G243" s="106">
        <f>IF($A243=0,"",ROUND(H243/F243,2))</f>
        <v>5.0599999999999996</v>
      </c>
      <c r="H243" s="56">
        <f>IF($A243=0,"",ROUND(SUM(H244:H249)*'BASE M-OBRA'!$D$23,2))</f>
        <v>15.29</v>
      </c>
      <c r="I243" s="2"/>
    </row>
    <row r="244" spans="1:16" x14ac:dyDescent="0.25">
      <c r="A244" s="103">
        <v>20002</v>
      </c>
      <c r="B244" s="69" t="str">
        <f>IF($A244=0,"",VLOOKUP($A244,'BASE M-OBRA'!$A:$D,2))</f>
        <v>PEON</v>
      </c>
      <c r="C244" s="2"/>
      <c r="D244" s="108">
        <v>8</v>
      </c>
      <c r="E244" s="70">
        <f>IF($A244=0,"",VLOOKUP($A244,'BASE M-OBRA'!$A:$D,4))</f>
        <v>2.79</v>
      </c>
      <c r="F244" s="55">
        <f t="shared" si="24"/>
        <v>22.32</v>
      </c>
      <c r="G244" s="106">
        <v>1.1000000000000001</v>
      </c>
      <c r="H244" s="56">
        <f t="shared" ref="H244:H249" si="25">IF($A244=0,"",ROUND(G244*F244,2))</f>
        <v>24.55</v>
      </c>
      <c r="I244" s="2"/>
      <c r="K244" s="1">
        <f>36*2*(0.5)</f>
        <v>36</v>
      </c>
    </row>
    <row r="245" spans="1:16" x14ac:dyDescent="0.25">
      <c r="A245" s="103">
        <v>20003</v>
      </c>
      <c r="B245" s="69" t="str">
        <f>IF($A245=0,"",VLOOKUP($A245,'BASE M-OBRA'!$A:$D,2))</f>
        <v>ALBAÑIL</v>
      </c>
      <c r="C245" s="2"/>
      <c r="D245" s="108">
        <v>2</v>
      </c>
      <c r="E245" s="70">
        <f>IF($A245=0,"",VLOOKUP($A245,'BASE M-OBRA'!$A:$D,4))</f>
        <v>2.82</v>
      </c>
      <c r="F245" s="55">
        <f t="shared" si="24"/>
        <v>5.64</v>
      </c>
      <c r="G245" s="106">
        <f>+G244</f>
        <v>1.1000000000000001</v>
      </c>
      <c r="H245" s="56">
        <f t="shared" si="25"/>
        <v>6.2</v>
      </c>
      <c r="I245" s="2"/>
    </row>
    <row r="246" spans="1:16" x14ac:dyDescent="0.25">
      <c r="A246" s="103">
        <v>20004</v>
      </c>
      <c r="B246" s="71" t="str">
        <f>IF($A246=0,"",VLOOKUP($A246,'BASE M-OBRA'!$A:$D,2))</f>
        <v>CARPINTERO</v>
      </c>
      <c r="C246" s="2"/>
      <c r="D246" s="108">
        <v>2</v>
      </c>
      <c r="E246" s="70">
        <f>IF($A246=0,"",VLOOKUP($A246,'BASE M-OBRA'!$A:$D,4))</f>
        <v>2.82</v>
      </c>
      <c r="F246" s="55">
        <f t="shared" si="24"/>
        <v>5.64</v>
      </c>
      <c r="G246" s="106">
        <v>8.1</v>
      </c>
      <c r="H246" s="56">
        <f t="shared" si="25"/>
        <v>45.68</v>
      </c>
      <c r="I246" s="2"/>
      <c r="K246" s="1">
        <f>16*2.9</f>
        <v>46.4</v>
      </c>
    </row>
    <row r="247" spans="1:16" x14ac:dyDescent="0.25">
      <c r="B247" s="72" t="str">
        <f>IF($A247=0,"",VLOOKUP($A247,'BASE M-OBRA'!$A:$D,2))</f>
        <v/>
      </c>
      <c r="C247" s="2"/>
      <c r="D247" s="108"/>
      <c r="E247" s="70" t="str">
        <f>IF($A247=0,"",VLOOKUP($A247,'BASE M-OBRA'!$A:$D,4))</f>
        <v/>
      </c>
      <c r="F247" s="55" t="str">
        <f t="shared" si="24"/>
        <v/>
      </c>
      <c r="G247" s="106"/>
      <c r="H247" s="56" t="str">
        <f t="shared" si="25"/>
        <v/>
      </c>
      <c r="I247" s="2"/>
      <c r="K247" s="1">
        <f>+F257*0.15</f>
        <v>1.7999999999999998</v>
      </c>
    </row>
    <row r="248" spans="1:16" x14ac:dyDescent="0.25">
      <c r="B248" s="38" t="str">
        <f>IF($A248=0,"",VLOOKUP($A248,'BASE M-OBRA'!$A:$D,2))</f>
        <v/>
      </c>
      <c r="C248" s="2"/>
      <c r="D248" s="55"/>
      <c r="E248" s="55" t="str">
        <f>IF($A248=0,"",VLOOKUP($A248,'BASE M-OBRA'!$A:$D,4))</f>
        <v/>
      </c>
      <c r="F248" s="55" t="str">
        <f t="shared" si="24"/>
        <v/>
      </c>
      <c r="G248" s="106"/>
      <c r="H248" s="56" t="str">
        <f t="shared" si="25"/>
        <v/>
      </c>
      <c r="I248" s="2"/>
    </row>
    <row r="249" spans="1:16" x14ac:dyDescent="0.25">
      <c r="B249" s="57" t="str">
        <f>IF($A249=0,"",VLOOKUP($A249,'BASE M-OBRA'!$A:$D,2))</f>
        <v/>
      </c>
      <c r="C249" s="58"/>
      <c r="D249" s="59"/>
      <c r="E249" s="59" t="str">
        <f>IF($A249=0,"",VLOOKUP($A249,'BASE M-OBRA'!$A:$D,4))</f>
        <v/>
      </c>
      <c r="F249" s="59" t="str">
        <f t="shared" si="24"/>
        <v/>
      </c>
      <c r="G249" s="107"/>
      <c r="H249" s="60" t="str">
        <f t="shared" si="25"/>
        <v/>
      </c>
      <c r="I249" s="2"/>
    </row>
    <row r="250" spans="1:16" x14ac:dyDescent="0.25">
      <c r="B250" s="73" t="s">
        <v>1685</v>
      </c>
      <c r="C250" s="65"/>
      <c r="D250" s="74"/>
      <c r="E250" s="74"/>
      <c r="F250" s="74"/>
      <c r="G250" s="74"/>
      <c r="H250" s="75">
        <f>ROUND(SUM(H242:H249),2)</f>
        <v>91.72</v>
      </c>
      <c r="I250" s="2"/>
      <c r="K250" s="1">
        <f>SUM(K246:K249)+15</f>
        <v>63.199999999999996</v>
      </c>
      <c r="L250" s="1">
        <f>+H250*1.02</f>
        <v>93.554400000000001</v>
      </c>
    </row>
    <row r="251" spans="1:16" x14ac:dyDescent="0.25">
      <c r="B251" s="38" t="s">
        <v>1684</v>
      </c>
      <c r="C251" s="2"/>
      <c r="D251" s="3"/>
      <c r="E251" s="3"/>
      <c r="F251" s="3"/>
      <c r="G251" s="3"/>
      <c r="H251" s="56"/>
      <c r="I251" s="2"/>
    </row>
    <row r="252" spans="1:16" ht="25.5" x14ac:dyDescent="0.25">
      <c r="B252" s="64" t="s">
        <v>1409</v>
      </c>
      <c r="C252" s="65"/>
      <c r="D252" s="76"/>
      <c r="E252" s="66" t="s">
        <v>1408</v>
      </c>
      <c r="F252" s="66" t="s">
        <v>1679</v>
      </c>
      <c r="G252" s="66" t="s">
        <v>1683</v>
      </c>
      <c r="H252" s="68" t="s">
        <v>1675</v>
      </c>
      <c r="I252" s="2"/>
    </row>
    <row r="253" spans="1:16" x14ac:dyDescent="0.25">
      <c r="A253" s="103">
        <v>11008</v>
      </c>
      <c r="B253" s="37" t="s">
        <v>628</v>
      </c>
      <c r="C253" s="2"/>
      <c r="D253" s="77"/>
      <c r="E253" s="78" t="s">
        <v>1566</v>
      </c>
      <c r="F253" s="55">
        <v>1</v>
      </c>
      <c r="G253" s="55">
        <v>1.38</v>
      </c>
      <c r="H253" s="56">
        <f t="shared" ref="H253:H267" si="26">IF($A253=0,"",ROUND(F253*G253,2))</f>
        <v>1.38</v>
      </c>
      <c r="I253" s="2"/>
      <c r="L253" s="2"/>
      <c r="M253" s="2"/>
      <c r="N253" s="39"/>
      <c r="O253" s="2"/>
      <c r="P253" s="2"/>
    </row>
    <row r="254" spans="1:16" x14ac:dyDescent="0.25">
      <c r="A254" s="103">
        <v>11009</v>
      </c>
      <c r="B254" s="38" t="s">
        <v>630</v>
      </c>
      <c r="C254" s="2"/>
      <c r="D254" s="77"/>
      <c r="E254" s="78" t="s">
        <v>1521</v>
      </c>
      <c r="F254" s="55">
        <v>1.02</v>
      </c>
      <c r="G254" s="55">
        <f>106.7*1.12</f>
        <v>119.50400000000002</v>
      </c>
      <c r="H254" s="56">
        <f t="shared" si="26"/>
        <v>121.89</v>
      </c>
      <c r="I254" s="2"/>
      <c r="K254" s="1">
        <v>0.06</v>
      </c>
      <c r="L254" s="2"/>
      <c r="M254" s="2"/>
      <c r="N254" s="39"/>
      <c r="O254" s="2"/>
      <c r="P254" s="2"/>
    </row>
    <row r="255" spans="1:16" x14ac:dyDescent="0.25">
      <c r="B255" s="38"/>
      <c r="C255" s="2"/>
      <c r="D255" s="77"/>
      <c r="E255" s="78"/>
      <c r="F255" s="55"/>
      <c r="G255" s="55"/>
      <c r="H255" s="56" t="str">
        <f t="shared" si="26"/>
        <v/>
      </c>
      <c r="I255" s="2"/>
      <c r="K255" s="1">
        <f>3.6*0.12*0.19</f>
        <v>8.208E-2</v>
      </c>
      <c r="L255" s="2"/>
      <c r="M255" s="2"/>
      <c r="N255" s="39"/>
      <c r="O255" s="2"/>
      <c r="P255" s="2"/>
    </row>
    <row r="256" spans="1:16" x14ac:dyDescent="0.25">
      <c r="A256" s="103">
        <v>1</v>
      </c>
      <c r="B256" s="38" t="s">
        <v>631</v>
      </c>
      <c r="C256" s="2"/>
      <c r="D256" s="77"/>
      <c r="E256" s="78" t="s">
        <v>1509</v>
      </c>
      <c r="F256" s="55">
        <v>5.25</v>
      </c>
      <c r="G256" s="55">
        <v>1.4</v>
      </c>
      <c r="H256" s="56">
        <f t="shared" si="26"/>
        <v>7.35</v>
      </c>
      <c r="I256" s="2"/>
      <c r="K256" s="1">
        <f>SUM(K254:K255)</f>
        <v>0.14207999999999998</v>
      </c>
      <c r="L256" s="2"/>
      <c r="M256" s="2"/>
      <c r="N256" s="39"/>
      <c r="O256" s="2"/>
      <c r="P256" s="2"/>
    </row>
    <row r="257" spans="1:16" x14ac:dyDescent="0.25">
      <c r="A257" s="103">
        <v>1</v>
      </c>
      <c r="B257" s="38" t="s">
        <v>629</v>
      </c>
      <c r="C257" s="2"/>
      <c r="D257" s="77"/>
      <c r="E257" s="78" t="s">
        <v>1520</v>
      </c>
      <c r="F257" s="55">
        <v>12</v>
      </c>
      <c r="G257" s="55">
        <v>3</v>
      </c>
      <c r="H257" s="56">
        <f t="shared" si="26"/>
        <v>36</v>
      </c>
      <c r="I257" s="2"/>
      <c r="K257" s="1">
        <f>1/K256</f>
        <v>7.0382882882882889</v>
      </c>
      <c r="L257" s="2"/>
      <c r="M257" s="2"/>
      <c r="N257" s="39"/>
      <c r="O257" s="2"/>
      <c r="P257" s="2"/>
    </row>
    <row r="258" spans="1:16" x14ac:dyDescent="0.25">
      <c r="B258" s="38"/>
      <c r="C258" s="2"/>
      <c r="D258" s="77"/>
      <c r="E258" s="78"/>
      <c r="F258" s="55"/>
      <c r="G258" s="55"/>
      <c r="H258" s="56" t="str">
        <f t="shared" si="26"/>
        <v/>
      </c>
      <c r="I258" s="2"/>
      <c r="L258" s="2"/>
      <c r="M258" s="2"/>
      <c r="N258" s="39"/>
      <c r="O258" s="2"/>
      <c r="P258" s="2"/>
    </row>
    <row r="259" spans="1:16" x14ac:dyDescent="0.25">
      <c r="B259" s="38"/>
      <c r="C259" s="2"/>
      <c r="D259" s="77"/>
      <c r="E259" s="78"/>
      <c r="F259" s="55"/>
      <c r="G259" s="55"/>
      <c r="H259" s="56" t="str">
        <f t="shared" si="26"/>
        <v/>
      </c>
      <c r="I259" s="2"/>
      <c r="L259" s="2"/>
      <c r="M259" s="2"/>
      <c r="N259" s="39"/>
      <c r="O259" s="2"/>
      <c r="P259" s="2"/>
    </row>
    <row r="260" spans="1:16" x14ac:dyDescent="0.25">
      <c r="B260" s="38" t="str">
        <f>IF($A260=0,"",VLOOKUP($A260,'BASE MATERIAL'!$A:$D,2))</f>
        <v/>
      </c>
      <c r="C260" s="2"/>
      <c r="D260" s="77"/>
      <c r="E260" s="78" t="str">
        <f>IF($A260=0,"",VLOOKUP($A260,'BASE MATERIAL'!$A:$D,3))</f>
        <v/>
      </c>
      <c r="F260" s="55"/>
      <c r="G260" s="55" t="str">
        <f>IF($A260=0,"",VLOOKUP($A260,'BASE MATERIAL'!$A:$D,4))</f>
        <v/>
      </c>
      <c r="H260" s="56" t="str">
        <f t="shared" si="26"/>
        <v/>
      </c>
      <c r="I260" s="2"/>
      <c r="L260" s="2"/>
      <c r="M260" s="2"/>
      <c r="N260" s="39"/>
      <c r="O260" s="2"/>
      <c r="P260" s="2"/>
    </row>
    <row r="261" spans="1:16" x14ac:dyDescent="0.25">
      <c r="B261" s="38" t="str">
        <f>IF($A261=0,"",VLOOKUP($A261,'BASE MATERIAL'!$A:$D,2))</f>
        <v/>
      </c>
      <c r="C261" s="2"/>
      <c r="D261" s="77"/>
      <c r="E261" s="78" t="str">
        <f>IF($A261=0,"",VLOOKUP($A261,'BASE MATERIAL'!$A:$D,3))</f>
        <v/>
      </c>
      <c r="F261" s="55"/>
      <c r="G261" s="80" t="str">
        <f>IF($A261=0,"",VLOOKUP($A261,'BASE MATERIAL'!$A:$D,4))</f>
        <v/>
      </c>
      <c r="H261" s="56" t="str">
        <f t="shared" si="26"/>
        <v/>
      </c>
      <c r="I261" s="2"/>
    </row>
    <row r="262" spans="1:16" x14ac:dyDescent="0.25">
      <c r="B262" s="38" t="str">
        <f>IF($A262=0,"",VLOOKUP($A262,'BASE MATERIAL'!$A:$D,2))</f>
        <v/>
      </c>
      <c r="C262" s="2"/>
      <c r="D262" s="77"/>
      <c r="E262" s="78" t="str">
        <f>IF($A262=0,"",VLOOKUP($A262,'BASE MATERIAL'!$A:$D,3))</f>
        <v/>
      </c>
      <c r="F262" s="55"/>
      <c r="G262" s="80" t="str">
        <f>IF($A262=0,"",VLOOKUP($A262,'BASE MATERIAL'!$A:$D,4))</f>
        <v/>
      </c>
      <c r="H262" s="56" t="str">
        <f t="shared" si="26"/>
        <v/>
      </c>
      <c r="I262" s="2"/>
      <c r="L262" s="2"/>
      <c r="M262" s="2"/>
      <c r="N262" s="39"/>
      <c r="O262" s="2"/>
      <c r="P262" s="2"/>
    </row>
    <row r="263" spans="1:16" x14ac:dyDescent="0.25">
      <c r="B263" s="38" t="str">
        <f>IF($A263=0,"",VLOOKUP($A263,'BASE MATERIAL'!$A:$D,2))</f>
        <v/>
      </c>
      <c r="C263" s="2"/>
      <c r="D263" s="77"/>
      <c r="E263" s="78" t="str">
        <f>IF($A263=0,"",VLOOKUP($A263,'BASE MATERIAL'!$A:$D,3))</f>
        <v/>
      </c>
      <c r="F263" s="55"/>
      <c r="G263" s="55" t="str">
        <f>IF($A263=0,"",VLOOKUP($A263,'BASE MATERIAL'!$A:$D,4))</f>
        <v/>
      </c>
      <c r="H263" s="56" t="str">
        <f t="shared" si="26"/>
        <v/>
      </c>
      <c r="I263" s="2"/>
      <c r="L263" s="2"/>
      <c r="M263" s="2"/>
      <c r="N263" s="39"/>
      <c r="O263" s="2"/>
      <c r="P263" s="2"/>
    </row>
    <row r="264" spans="1:16" x14ac:dyDescent="0.25">
      <c r="B264" s="38" t="str">
        <f>IF($A264=0,"",VLOOKUP($A264,'BASE MATERIAL'!$A:$D,2))</f>
        <v/>
      </c>
      <c r="C264" s="2"/>
      <c r="D264" s="77"/>
      <c r="E264" s="78" t="str">
        <f>IF($A264=0,"",VLOOKUP($A264,'BASE MATERIAL'!$A:$D,3))</f>
        <v/>
      </c>
      <c r="F264" s="55"/>
      <c r="G264" s="55" t="str">
        <f>IF($A264=0,"",VLOOKUP($A264,'BASE MATERIAL'!$A:$D,4))</f>
        <v/>
      </c>
      <c r="H264" s="56" t="str">
        <f t="shared" si="26"/>
        <v/>
      </c>
      <c r="I264" s="2"/>
    </row>
    <row r="265" spans="1:16" x14ac:dyDescent="0.25">
      <c r="B265" s="38" t="str">
        <f>IF($A265=0,"",VLOOKUP($A265,'BASE MATERIAL'!$A:$D,2))</f>
        <v/>
      </c>
      <c r="C265" s="2"/>
      <c r="D265" s="77"/>
      <c r="E265" s="78" t="str">
        <f>IF($A265=0,"",VLOOKUP($A265,'BASE MATERIAL'!$A:$D,3))</f>
        <v/>
      </c>
      <c r="F265" s="55"/>
      <c r="G265" s="55" t="str">
        <f>IF($A265=0,"",VLOOKUP($A265,'BASE MATERIAL'!$A:$D,4))</f>
        <v/>
      </c>
      <c r="H265" s="56" t="str">
        <f t="shared" si="26"/>
        <v/>
      </c>
      <c r="I265" s="2"/>
    </row>
    <row r="266" spans="1:16" x14ac:dyDescent="0.25">
      <c r="B266" s="38" t="str">
        <f>IF($A266=0,"",VLOOKUP($A266,'BASE MATERIAL'!$A:$D,2))</f>
        <v/>
      </c>
      <c r="C266" s="2"/>
      <c r="D266" s="77"/>
      <c r="E266" s="78" t="str">
        <f>IF($A266=0,"",VLOOKUP($A266,'BASE MATERIAL'!$A:$D,3))</f>
        <v/>
      </c>
      <c r="F266" s="55"/>
      <c r="G266" s="55" t="str">
        <f>IF($A266=0,"",VLOOKUP($A266,'BASE MATERIAL'!$A:$D,4))</f>
        <v/>
      </c>
      <c r="H266" s="56" t="str">
        <f t="shared" si="26"/>
        <v/>
      </c>
      <c r="I266" s="2"/>
    </row>
    <row r="267" spans="1:16" x14ac:dyDescent="0.25">
      <c r="B267" s="38" t="str">
        <f>IF($A267=0,"",VLOOKUP($A267,'BASE MATERIAL'!$A:$D,2))</f>
        <v/>
      </c>
      <c r="C267" s="2"/>
      <c r="D267" s="77"/>
      <c r="E267" s="78" t="str">
        <f>IF($A267=0,"",VLOOKUP($A267,'BASE MATERIAL'!$A:$D,3))</f>
        <v/>
      </c>
      <c r="F267" s="55"/>
      <c r="G267" s="55" t="str">
        <f>IF($A267=0,"",VLOOKUP($A267,'BASE MATERIAL'!$A:$D,4))</f>
        <v/>
      </c>
      <c r="H267" s="56" t="str">
        <f t="shared" si="26"/>
        <v/>
      </c>
      <c r="I267" s="2"/>
    </row>
    <row r="268" spans="1:16" x14ac:dyDescent="0.25">
      <c r="B268" s="38" t="str">
        <f>IF($A268=0,"",VLOOKUP($A268,'BASE MATERIAL'!$A:$D,2))</f>
        <v/>
      </c>
      <c r="C268" s="2"/>
      <c r="D268" s="81" t="s">
        <v>1682</v>
      </c>
      <c r="E268" s="55" t="str">
        <f>IF($A268=0,"",VLOOKUP($A268,'BASE MATERIAL'!$A:$D,3))</f>
        <v/>
      </c>
      <c r="F268" s="55" t="s">
        <v>1682</v>
      </c>
      <c r="G268" s="55" t="str">
        <f>IF($A268=0,"",VLOOKUP($A268,'BASE MATERIAL'!$A:$D,4))</f>
        <v/>
      </c>
      <c r="H268" s="56" t="str">
        <f>IF($A268=0,"",ROUND(E268*F268,2))</f>
        <v/>
      </c>
      <c r="I268" s="2"/>
    </row>
    <row r="269" spans="1:16" x14ac:dyDescent="0.25">
      <c r="B269" s="73" t="s">
        <v>1681</v>
      </c>
      <c r="C269" s="65"/>
      <c r="D269" s="74"/>
      <c r="E269" s="74"/>
      <c r="F269" s="74"/>
      <c r="G269" s="74"/>
      <c r="H269" s="75">
        <f>ROUND(SUM(H252:H268),2)</f>
        <v>166.62</v>
      </c>
      <c r="I269" s="2"/>
    </row>
    <row r="270" spans="1:16" x14ac:dyDescent="0.25">
      <c r="B270" s="38" t="s">
        <v>1680</v>
      </c>
      <c r="C270" s="2"/>
      <c r="D270" s="3"/>
      <c r="E270" s="3"/>
      <c r="F270" s="3"/>
      <c r="G270" s="3"/>
      <c r="H270" s="56"/>
      <c r="I270" s="2"/>
    </row>
    <row r="271" spans="1:16" ht="25.5" x14ac:dyDescent="0.25">
      <c r="B271" s="64" t="s">
        <v>1409</v>
      </c>
      <c r="C271" s="65"/>
      <c r="D271" s="76"/>
      <c r="E271" s="66" t="s">
        <v>1408</v>
      </c>
      <c r="F271" s="66" t="s">
        <v>1679</v>
      </c>
      <c r="G271" s="66" t="s">
        <v>1676</v>
      </c>
      <c r="H271" s="68" t="s">
        <v>1675</v>
      </c>
      <c r="I271" s="2"/>
    </row>
    <row r="272" spans="1:16" x14ac:dyDescent="0.25">
      <c r="A272" s="103">
        <v>19019</v>
      </c>
      <c r="B272" s="51" t="str">
        <f>IF($A272=0,"",VLOOKUP($A272,'BASE EQUIPO'!$A:$D,2))</f>
        <v>TRANSPORTE DE MATERIAL</v>
      </c>
      <c r="C272" s="52"/>
      <c r="D272" s="82"/>
      <c r="E272" s="78" t="str">
        <f>IF($A272=0,"",VLOOKUP($A272,'BASE EQUIPO'!$A:$D,3))</f>
        <v>GLOBAL</v>
      </c>
      <c r="F272" s="55">
        <v>1</v>
      </c>
      <c r="G272" s="83">
        <f>IF($A272=0,"",VLOOKUP($A272,'BASE EQUIPO'!$A:$D,4)*H269)+0.11</f>
        <v>5.1086</v>
      </c>
      <c r="H272" s="56">
        <f>IF($A272=0,"",ROUND(F272*G272,2))</f>
        <v>5.1100000000000003</v>
      </c>
      <c r="I272" s="2"/>
    </row>
    <row r="273" spans="1:15" x14ac:dyDescent="0.25">
      <c r="B273" s="38" t="str">
        <f>IF($A273=0,"",VLOOKUP($A273,'BASE EQUIPO'!$A:$D,2))</f>
        <v/>
      </c>
      <c r="C273" s="2"/>
      <c r="D273" s="84"/>
      <c r="E273" s="78" t="str">
        <f>IF($A273=0,"",VLOOKUP($A273,'BASE EQUIPO'!$A:$D,3))</f>
        <v/>
      </c>
      <c r="F273" s="55"/>
      <c r="G273" s="55" t="str">
        <f>IF($A273=0,"",VLOOKUP($A273,'BASE EQUIPO'!$A:$D,4)*H270)</f>
        <v/>
      </c>
      <c r="H273" s="56" t="str">
        <f>IF($A273=0,"",ROUND(F273*G273,2))</f>
        <v/>
      </c>
      <c r="I273" s="2"/>
    </row>
    <row r="274" spans="1:15" x14ac:dyDescent="0.25">
      <c r="B274" s="57" t="str">
        <f>IF($A274=0,"",VLOOKUP($A274,'BASE EQUIPO'!$A:$D,2))</f>
        <v/>
      </c>
      <c r="C274" s="58"/>
      <c r="D274" s="85"/>
      <c r="E274" s="86" t="str">
        <f>IF($A274=0,"",VLOOKUP($A274,'BASE EQUIPO'!$A:$D,3))</f>
        <v/>
      </c>
      <c r="F274" s="59"/>
      <c r="G274" s="59" t="str">
        <f>IF($A274=0,"",VLOOKUP($A274,'BASE EQUIPO'!$A:$D,4)*H271)</f>
        <v/>
      </c>
      <c r="H274" s="60" t="str">
        <f>IF($A274=0,"",ROUND(F274*G274,2))</f>
        <v/>
      </c>
      <c r="I274" s="2"/>
    </row>
    <row r="275" spans="1:15" ht="15.75" thickBot="1" x14ac:dyDescent="0.3">
      <c r="B275" s="87" t="s">
        <v>1674</v>
      </c>
      <c r="C275" s="88"/>
      <c r="D275" s="89"/>
      <c r="E275" s="89"/>
      <c r="F275" s="89"/>
      <c r="G275" s="89"/>
      <c r="H275" s="90">
        <f>ROUND(SUM(H271:H274),2)</f>
        <v>5.1100000000000003</v>
      </c>
      <c r="I275" s="2"/>
    </row>
    <row r="276" spans="1:15" ht="15.75" x14ac:dyDescent="0.25">
      <c r="B276" s="2"/>
      <c r="C276" s="2"/>
      <c r="D276" s="91" t="s">
        <v>1673</v>
      </c>
      <c r="E276" s="47"/>
      <c r="F276" s="47"/>
      <c r="G276" s="47"/>
      <c r="H276" s="92">
        <f>ROUND(SUM(H275,H269,H250,H240),2)</f>
        <v>270.95</v>
      </c>
      <c r="I276" s="2"/>
    </row>
    <row r="277" spans="1:15" ht="15.75" x14ac:dyDescent="0.25">
      <c r="A277" s="103">
        <v>40002</v>
      </c>
      <c r="B277" s="2"/>
      <c r="C277" s="2"/>
      <c r="D277" s="93" t="s">
        <v>1672</v>
      </c>
      <c r="E277" s="65"/>
      <c r="F277" s="65"/>
      <c r="G277" s="94">
        <f>IF($A277=0,"",VLOOKUP($A277,'BASE MATERIAL'!$M:$P,4))</f>
        <v>0</v>
      </c>
      <c r="H277" s="95">
        <f>IF($A277=0,"",ROUND(G277*H276,2))</f>
        <v>0</v>
      </c>
      <c r="I277" s="2"/>
    </row>
    <row r="278" spans="1:15" ht="15.75" x14ac:dyDescent="0.25">
      <c r="A278" s="103">
        <v>40003</v>
      </c>
      <c r="B278" s="2"/>
      <c r="C278" s="2"/>
      <c r="D278" s="93" t="s">
        <v>1671</v>
      </c>
      <c r="E278" s="65"/>
      <c r="F278" s="65"/>
      <c r="G278" s="94">
        <f>IF($A278=0,"",VLOOKUP($A278,'BASE MATERIAL'!$M:$P,4))</f>
        <v>0</v>
      </c>
      <c r="H278" s="95">
        <f>IF($A278=0,"",ROUND(G278*H276,2))</f>
        <v>0</v>
      </c>
      <c r="I278" s="2"/>
    </row>
    <row r="279" spans="1:15" ht="15.75" x14ac:dyDescent="0.25">
      <c r="B279" s="2"/>
      <c r="C279" s="2"/>
      <c r="D279" s="93" t="s">
        <v>1670</v>
      </c>
      <c r="E279" s="65"/>
      <c r="F279" s="65"/>
      <c r="G279" s="65"/>
      <c r="H279" s="96">
        <f>ROUND(SUM(H276:H278),2)</f>
        <v>270.95</v>
      </c>
      <c r="I279" s="2"/>
    </row>
    <row r="280" spans="1:15" ht="16.5" thickBot="1" x14ac:dyDescent="0.3">
      <c r="B280" s="25"/>
      <c r="C280" s="2"/>
      <c r="D280" s="97" t="s">
        <v>1650</v>
      </c>
      <c r="E280" s="88"/>
      <c r="F280" s="88"/>
      <c r="G280" s="88"/>
      <c r="H280" s="98">
        <f>ROUND(H279,2)</f>
        <v>270.95</v>
      </c>
      <c r="I280" s="2"/>
    </row>
    <row r="281" spans="1:15" ht="15.75" x14ac:dyDescent="0.25">
      <c r="B281" s="34" t="s">
        <v>1701</v>
      </c>
      <c r="C281" s="2"/>
      <c r="D281" s="3" t="str">
        <f>$D$1</f>
        <v>ESPOL</v>
      </c>
      <c r="E281" s="2"/>
      <c r="F281" s="2"/>
      <c r="H281" s="2" t="s">
        <v>108</v>
      </c>
      <c r="I281" s="2"/>
      <c r="L281" s="40">
        <f>A285</f>
        <v>6</v>
      </c>
      <c r="M281" s="1" t="str">
        <f>C286</f>
        <v>Columnas segundo alto</v>
      </c>
      <c r="N281" s="2" t="str">
        <f>H285</f>
        <v>m3</v>
      </c>
      <c r="O281" s="2">
        <f>H336</f>
        <v>275.36</v>
      </c>
    </row>
    <row r="282" spans="1:15" ht="15.75" x14ac:dyDescent="0.25">
      <c r="B282" s="34" t="s">
        <v>1700</v>
      </c>
      <c r="C282" s="3">
        <f>'1.1'!$C$2</f>
        <v>0</v>
      </c>
      <c r="D282" s="2"/>
      <c r="E282" s="2"/>
      <c r="F282" s="2"/>
      <c r="G282" s="41" t="s">
        <v>1699</v>
      </c>
      <c r="H282" s="42"/>
      <c r="I282" s="2" t="s">
        <v>1698</v>
      </c>
    </row>
    <row r="283" spans="1:15" ht="15.75" x14ac:dyDescent="0.25">
      <c r="B283" s="34"/>
      <c r="C283" s="3">
        <f>'1.1'!$C$3</f>
        <v>0</v>
      </c>
      <c r="D283" s="2"/>
      <c r="E283" s="2"/>
      <c r="F283" s="2"/>
      <c r="G283" s="2"/>
      <c r="H283" s="2"/>
      <c r="I283" s="2"/>
    </row>
    <row r="284" spans="1:15" ht="15.75" x14ac:dyDescent="0.25">
      <c r="B284" s="34" t="s">
        <v>1697</v>
      </c>
      <c r="C284" s="3"/>
      <c r="D284" s="2"/>
      <c r="E284" s="2"/>
      <c r="F284" s="2"/>
      <c r="G284" s="2"/>
      <c r="H284" s="2"/>
      <c r="I284" s="2"/>
    </row>
    <row r="285" spans="1:15" x14ac:dyDescent="0.25">
      <c r="A285" s="104">
        <v>6</v>
      </c>
      <c r="B285" s="2" t="s">
        <v>1586</v>
      </c>
      <c r="C285" s="36" t="s">
        <v>1560</v>
      </c>
      <c r="D285" s="2"/>
      <c r="G285" s="2" t="s">
        <v>1696</v>
      </c>
      <c r="H285" s="3" t="s">
        <v>1521</v>
      </c>
      <c r="I285" s="2"/>
    </row>
    <row r="286" spans="1:15" x14ac:dyDescent="0.25">
      <c r="B286" s="1" t="s">
        <v>1585</v>
      </c>
      <c r="C286" s="36" t="s">
        <v>642</v>
      </c>
      <c r="D286" s="2"/>
      <c r="E286" s="2"/>
      <c r="F286" s="2"/>
      <c r="G286" s="2"/>
      <c r="H286" s="2"/>
      <c r="I286" s="2"/>
    </row>
    <row r="287" spans="1:15" ht="15.75" thickBot="1" x14ac:dyDescent="0.3">
      <c r="D287" s="2"/>
      <c r="E287" s="2"/>
      <c r="F287" s="2"/>
      <c r="G287" s="2"/>
      <c r="H287" s="2"/>
      <c r="I287" s="2"/>
    </row>
    <row r="288" spans="1:15" ht="15.75" thickBot="1" x14ac:dyDescent="0.3">
      <c r="B288" s="43" t="s">
        <v>1695</v>
      </c>
      <c r="C288" s="44"/>
      <c r="D288" s="44"/>
      <c r="E288" s="44"/>
      <c r="F288" s="44"/>
      <c r="G288" s="44"/>
      <c r="H288" s="45"/>
      <c r="I288" s="2"/>
    </row>
    <row r="289" spans="1:11" ht="25.5" x14ac:dyDescent="0.25">
      <c r="B289" s="46" t="s">
        <v>1409</v>
      </c>
      <c r="C289" s="47"/>
      <c r="D289" s="48" t="s">
        <v>1690</v>
      </c>
      <c r="E289" s="48" t="s">
        <v>1694</v>
      </c>
      <c r="F289" s="48" t="s">
        <v>1693</v>
      </c>
      <c r="G289" s="49" t="s">
        <v>1687</v>
      </c>
      <c r="H289" s="50" t="s">
        <v>1686</v>
      </c>
      <c r="I289" s="2"/>
    </row>
    <row r="290" spans="1:11" x14ac:dyDescent="0.25">
      <c r="A290" s="103">
        <v>19015</v>
      </c>
      <c r="B290" s="51" t="str">
        <f>IF($A290=0,"",VLOOKUP($A290,'BASE EQUIPO'!$A:$D,2))</f>
        <v>HERRAMIENTA MENOR</v>
      </c>
      <c r="C290" s="52"/>
      <c r="D290" s="53">
        <v>1</v>
      </c>
      <c r="E290" s="53">
        <f>IF($A290=0,"",VLOOKUP($A290,'BASE EQUIPO'!$A:$D,4)*H306)</f>
        <v>2.8728000000000002</v>
      </c>
      <c r="F290" s="53">
        <f t="shared" ref="F290:F295" si="27">IF($A290=0,"",ROUND(D290*E290,2))</f>
        <v>2.87</v>
      </c>
      <c r="G290" s="105">
        <v>1</v>
      </c>
      <c r="H290" s="54">
        <f t="shared" ref="H290:H295" si="28">IF($A290=0,"",ROUND(G290*F290,2))</f>
        <v>2.87</v>
      </c>
      <c r="I290" s="2"/>
    </row>
    <row r="291" spans="1:11" x14ac:dyDescent="0.25">
      <c r="B291" s="38" t="str">
        <f>IF($A291=0,"",VLOOKUP($A291,'BASE EQUIPO'!$A:$D,2))</f>
        <v/>
      </c>
      <c r="C291" s="2"/>
      <c r="D291" s="55"/>
      <c r="E291" s="55" t="str">
        <f>IF($A291=0,"",VLOOKUP($A291,'BASE EQUIPO'!$A:$D,4))</f>
        <v/>
      </c>
      <c r="F291" s="55" t="str">
        <f t="shared" si="27"/>
        <v/>
      </c>
      <c r="G291" s="106"/>
      <c r="H291" s="56" t="str">
        <f t="shared" si="28"/>
        <v/>
      </c>
      <c r="I291" s="2"/>
    </row>
    <row r="292" spans="1:11" x14ac:dyDescent="0.25">
      <c r="A292" s="103">
        <v>19008</v>
      </c>
      <c r="B292" s="38" t="str">
        <f>IF($A292=0,"",VLOOKUP($A292,'BASE EQUIPO'!$A:$D,2))</f>
        <v>VIBRADOR</v>
      </c>
      <c r="C292" s="2"/>
      <c r="D292" s="55">
        <v>1</v>
      </c>
      <c r="E292" s="55">
        <f>IF($A292=0,"",VLOOKUP($A292,'BASE EQUIPO'!$A:$D,4))</f>
        <v>2.5</v>
      </c>
      <c r="F292" s="55">
        <f t="shared" si="27"/>
        <v>2.5</v>
      </c>
      <c r="G292" s="106">
        <f>G300</f>
        <v>1.2</v>
      </c>
      <c r="H292" s="56">
        <f t="shared" si="28"/>
        <v>3</v>
      </c>
      <c r="I292" s="2"/>
    </row>
    <row r="293" spans="1:11" x14ac:dyDescent="0.25">
      <c r="A293" s="103">
        <v>1</v>
      </c>
      <c r="B293" s="38" t="s">
        <v>627</v>
      </c>
      <c r="C293" s="2"/>
      <c r="D293" s="55">
        <v>4</v>
      </c>
      <c r="E293" s="55">
        <v>0.5</v>
      </c>
      <c r="F293" s="55">
        <f t="shared" si="27"/>
        <v>2</v>
      </c>
      <c r="G293" s="106">
        <v>1</v>
      </c>
      <c r="H293" s="56">
        <f t="shared" si="28"/>
        <v>2</v>
      </c>
      <c r="I293" s="2"/>
    </row>
    <row r="294" spans="1:11" x14ac:dyDescent="0.25">
      <c r="B294" s="38" t="str">
        <f>IF($A294=0,"",VLOOKUP($A294,'BASE EQUIPO'!$A:$D,2))</f>
        <v/>
      </c>
      <c r="C294" s="2"/>
      <c r="D294" s="55"/>
      <c r="E294" s="55" t="str">
        <f>IF($A294=0,"",VLOOKUP($A294,'BASE EQUIPO'!$A:$D,4))</f>
        <v/>
      </c>
      <c r="F294" s="55" t="str">
        <f t="shared" si="27"/>
        <v/>
      </c>
      <c r="G294" s="106"/>
      <c r="H294" s="56" t="str">
        <f t="shared" si="28"/>
        <v/>
      </c>
      <c r="I294" s="2"/>
    </row>
    <row r="295" spans="1:11" x14ac:dyDescent="0.25">
      <c r="B295" s="57" t="str">
        <f>IF($A295=0,"",VLOOKUP($A295,'BASE EQUIPO'!$A:$D,2))</f>
        <v/>
      </c>
      <c r="C295" s="58"/>
      <c r="D295" s="59"/>
      <c r="E295" s="59" t="str">
        <f>IF($A295=0,"",VLOOKUP($A295,'BASE EQUIPO'!$A:$D,4))</f>
        <v/>
      </c>
      <c r="F295" s="59" t="str">
        <f t="shared" si="27"/>
        <v/>
      </c>
      <c r="G295" s="107"/>
      <c r="H295" s="60" t="str">
        <f t="shared" si="28"/>
        <v/>
      </c>
      <c r="I295" s="2"/>
    </row>
    <row r="296" spans="1:11" x14ac:dyDescent="0.25">
      <c r="B296" s="57" t="s">
        <v>1692</v>
      </c>
      <c r="C296" s="58"/>
      <c r="D296" s="61"/>
      <c r="E296" s="61"/>
      <c r="F296" s="61"/>
      <c r="G296" s="62"/>
      <c r="H296" s="60">
        <f>ROUND(SUM(H289:H295),2)</f>
        <v>7.87</v>
      </c>
      <c r="I296" s="2"/>
    </row>
    <row r="297" spans="1:11" x14ac:dyDescent="0.25">
      <c r="B297" s="38" t="s">
        <v>1503</v>
      </c>
      <c r="C297" s="2"/>
      <c r="D297" s="3"/>
      <c r="E297" s="3"/>
      <c r="F297" s="3"/>
      <c r="G297" s="63"/>
      <c r="H297" s="56"/>
      <c r="I297" s="2"/>
    </row>
    <row r="298" spans="1:11" ht="25.5" x14ac:dyDescent="0.25">
      <c r="B298" s="64" t="s">
        <v>1691</v>
      </c>
      <c r="C298" s="65"/>
      <c r="D298" s="66" t="s">
        <v>1690</v>
      </c>
      <c r="E298" s="66" t="s">
        <v>1689</v>
      </c>
      <c r="F298" s="66" t="s">
        <v>1688</v>
      </c>
      <c r="G298" s="67" t="s">
        <v>1687</v>
      </c>
      <c r="H298" s="68" t="s">
        <v>1686</v>
      </c>
      <c r="I298" s="2"/>
    </row>
    <row r="299" spans="1:11" x14ac:dyDescent="0.25">
      <c r="A299" s="103">
        <v>20001</v>
      </c>
      <c r="B299" s="69" t="str">
        <f>IF($A299=0,"",VLOOKUP($A299,'BASE M-OBRA'!$A:$D,2))</f>
        <v>MAESTRO</v>
      </c>
      <c r="C299" s="2"/>
      <c r="D299" s="108">
        <v>1</v>
      </c>
      <c r="E299" s="70">
        <f>IF($A299=0,"",VLOOKUP($A299,'BASE M-OBRA'!$A:$D,4))</f>
        <v>3.02</v>
      </c>
      <c r="F299" s="55">
        <f t="shared" ref="F299:F305" si="29">IF($A299=0,"",ROUND(D299*E299,2))</f>
        <v>3.02</v>
      </c>
      <c r="G299" s="106">
        <f>IF($A299=0,"",ROUND(H299/F299,2))</f>
        <v>5.28</v>
      </c>
      <c r="H299" s="56">
        <f>IF($A299=0,"",ROUND(SUM(H300:H305)*'BASE M-OBRA'!$D$23,2))</f>
        <v>15.96</v>
      </c>
      <c r="I299" s="2"/>
    </row>
    <row r="300" spans="1:11" x14ac:dyDescent="0.25">
      <c r="A300" s="103">
        <v>20002</v>
      </c>
      <c r="B300" s="69" t="str">
        <f>IF($A300=0,"",VLOOKUP($A300,'BASE M-OBRA'!$A:$D,2))</f>
        <v>PEON</v>
      </c>
      <c r="C300" s="2"/>
      <c r="D300" s="108">
        <v>8</v>
      </c>
      <c r="E300" s="70">
        <f>IF($A300=0,"",VLOOKUP($A300,'BASE M-OBRA'!$A:$D,4))</f>
        <v>2.79</v>
      </c>
      <c r="F300" s="55">
        <f t="shared" si="29"/>
        <v>22.32</v>
      </c>
      <c r="G300" s="106">
        <v>1.2</v>
      </c>
      <c r="H300" s="56">
        <f t="shared" ref="H300:H305" si="30">IF($A300=0,"",ROUND(G300*F300,2))</f>
        <v>26.78</v>
      </c>
      <c r="I300" s="2"/>
      <c r="K300" s="1">
        <f>36*2*(0.5)</f>
        <v>36</v>
      </c>
    </row>
    <row r="301" spans="1:11" x14ac:dyDescent="0.25">
      <c r="A301" s="103">
        <v>20003</v>
      </c>
      <c r="B301" s="69" t="str">
        <f>IF($A301=0,"",VLOOKUP($A301,'BASE M-OBRA'!$A:$D,2))</f>
        <v>ALBAÑIL</v>
      </c>
      <c r="C301" s="2"/>
      <c r="D301" s="108">
        <v>2</v>
      </c>
      <c r="E301" s="70">
        <f>IF($A301=0,"",VLOOKUP($A301,'BASE M-OBRA'!$A:$D,4))</f>
        <v>2.82</v>
      </c>
      <c r="F301" s="55">
        <f t="shared" si="29"/>
        <v>5.64</v>
      </c>
      <c r="G301" s="106">
        <f>+G300</f>
        <v>1.2</v>
      </c>
      <c r="H301" s="56">
        <f t="shared" si="30"/>
        <v>6.77</v>
      </c>
      <c r="I301" s="2"/>
    </row>
    <row r="302" spans="1:11" x14ac:dyDescent="0.25">
      <c r="A302" s="103">
        <v>20004</v>
      </c>
      <c r="B302" s="71" t="str">
        <f>IF($A302=0,"",VLOOKUP($A302,'BASE M-OBRA'!$A:$D,2))</f>
        <v>CARPINTERO</v>
      </c>
      <c r="C302" s="2"/>
      <c r="D302" s="108">
        <v>2</v>
      </c>
      <c r="E302" s="70">
        <f>IF($A302=0,"",VLOOKUP($A302,'BASE M-OBRA'!$A:$D,4))</f>
        <v>2.82</v>
      </c>
      <c r="F302" s="55">
        <f t="shared" si="29"/>
        <v>5.64</v>
      </c>
      <c r="G302" s="106">
        <v>8.1999999999999993</v>
      </c>
      <c r="H302" s="56">
        <f t="shared" si="30"/>
        <v>46.25</v>
      </c>
      <c r="I302" s="2"/>
      <c r="K302" s="1">
        <f>16*2.9</f>
        <v>46.4</v>
      </c>
    </row>
    <row r="303" spans="1:11" x14ac:dyDescent="0.25">
      <c r="B303" s="72" t="str">
        <f>IF($A303=0,"",VLOOKUP($A303,'BASE M-OBRA'!$A:$D,2))</f>
        <v/>
      </c>
      <c r="C303" s="2"/>
      <c r="D303" s="108"/>
      <c r="E303" s="70" t="str">
        <f>IF($A303=0,"",VLOOKUP($A303,'BASE M-OBRA'!$A:$D,4))</f>
        <v/>
      </c>
      <c r="F303" s="55" t="str">
        <f t="shared" si="29"/>
        <v/>
      </c>
      <c r="G303" s="106"/>
      <c r="H303" s="56" t="str">
        <f t="shared" si="30"/>
        <v/>
      </c>
      <c r="I303" s="2"/>
      <c r="K303" s="1">
        <f>+F313*0.15</f>
        <v>1.7999999999999998</v>
      </c>
    </row>
    <row r="304" spans="1:11" x14ac:dyDescent="0.25">
      <c r="B304" s="38" t="str">
        <f>IF($A304=0,"",VLOOKUP($A304,'BASE M-OBRA'!$A:$D,2))</f>
        <v/>
      </c>
      <c r="C304" s="2"/>
      <c r="D304" s="55"/>
      <c r="E304" s="55" t="str">
        <f>IF($A304=0,"",VLOOKUP($A304,'BASE M-OBRA'!$A:$D,4))</f>
        <v/>
      </c>
      <c r="F304" s="55" t="str">
        <f t="shared" si="29"/>
        <v/>
      </c>
      <c r="G304" s="106"/>
      <c r="H304" s="56" t="str">
        <f t="shared" si="30"/>
        <v/>
      </c>
      <c r="I304" s="2"/>
    </row>
    <row r="305" spans="1:16" x14ac:dyDescent="0.25">
      <c r="B305" s="57" t="str">
        <f>IF($A305=0,"",VLOOKUP($A305,'BASE M-OBRA'!$A:$D,2))</f>
        <v/>
      </c>
      <c r="C305" s="58"/>
      <c r="D305" s="59"/>
      <c r="E305" s="59" t="str">
        <f>IF($A305=0,"",VLOOKUP($A305,'BASE M-OBRA'!$A:$D,4))</f>
        <v/>
      </c>
      <c r="F305" s="59" t="str">
        <f t="shared" si="29"/>
        <v/>
      </c>
      <c r="G305" s="107"/>
      <c r="H305" s="60" t="str">
        <f t="shared" si="30"/>
        <v/>
      </c>
      <c r="I305" s="2"/>
    </row>
    <row r="306" spans="1:16" x14ac:dyDescent="0.25">
      <c r="B306" s="73" t="s">
        <v>1685</v>
      </c>
      <c r="C306" s="65"/>
      <c r="D306" s="74"/>
      <c r="E306" s="74"/>
      <c r="F306" s="74"/>
      <c r="G306" s="74"/>
      <c r="H306" s="75">
        <f>ROUND(SUM(H298:H305),2)</f>
        <v>95.76</v>
      </c>
      <c r="I306" s="2"/>
      <c r="K306" s="1">
        <f>SUM(K302:K305)+15</f>
        <v>63.199999999999996</v>
      </c>
      <c r="L306" s="1">
        <f>+H306*1.02</f>
        <v>97.675200000000004</v>
      </c>
    </row>
    <row r="307" spans="1:16" x14ac:dyDescent="0.25">
      <c r="B307" s="38" t="s">
        <v>1684</v>
      </c>
      <c r="C307" s="2"/>
      <c r="D307" s="3"/>
      <c r="E307" s="3"/>
      <c r="F307" s="3"/>
      <c r="G307" s="3"/>
      <c r="H307" s="56"/>
      <c r="I307" s="2"/>
    </row>
    <row r="308" spans="1:16" ht="25.5" x14ac:dyDescent="0.25">
      <c r="B308" s="64" t="s">
        <v>1409</v>
      </c>
      <c r="C308" s="65"/>
      <c r="D308" s="76"/>
      <c r="E308" s="66" t="s">
        <v>1408</v>
      </c>
      <c r="F308" s="66" t="s">
        <v>1679</v>
      </c>
      <c r="G308" s="66" t="s">
        <v>1683</v>
      </c>
      <c r="H308" s="68" t="s">
        <v>1675</v>
      </c>
      <c r="I308" s="2"/>
    </row>
    <row r="309" spans="1:16" x14ac:dyDescent="0.25">
      <c r="A309" s="103">
        <v>11008</v>
      </c>
      <c r="B309" s="37" t="s">
        <v>628</v>
      </c>
      <c r="C309" s="2"/>
      <c r="D309" s="77"/>
      <c r="E309" s="78" t="s">
        <v>1566</v>
      </c>
      <c r="F309" s="55">
        <v>1</v>
      </c>
      <c r="G309" s="55">
        <v>1.38</v>
      </c>
      <c r="H309" s="56">
        <f t="shared" ref="H309:H323" si="31">IF($A309=0,"",ROUND(F309*G309,2))</f>
        <v>1.38</v>
      </c>
      <c r="I309" s="2"/>
      <c r="L309" s="2"/>
      <c r="M309" s="2"/>
      <c r="N309" s="39"/>
      <c r="O309" s="2"/>
      <c r="P309" s="2"/>
    </row>
    <row r="310" spans="1:16" x14ac:dyDescent="0.25">
      <c r="A310" s="103">
        <v>11009</v>
      </c>
      <c r="B310" s="38" t="s">
        <v>630</v>
      </c>
      <c r="C310" s="2"/>
      <c r="D310" s="77"/>
      <c r="E310" s="78" t="s">
        <v>1521</v>
      </c>
      <c r="F310" s="55">
        <v>1.02</v>
      </c>
      <c r="G310" s="55">
        <f>106.7*1.12</f>
        <v>119.50400000000002</v>
      </c>
      <c r="H310" s="56">
        <f t="shared" si="31"/>
        <v>121.89</v>
      </c>
      <c r="I310" s="2"/>
      <c r="K310" s="1">
        <v>0.06</v>
      </c>
      <c r="L310" s="2"/>
      <c r="M310" s="2"/>
      <c r="N310" s="39"/>
      <c r="O310" s="2"/>
      <c r="P310" s="2"/>
    </row>
    <row r="311" spans="1:16" x14ac:dyDescent="0.25">
      <c r="B311" s="38"/>
      <c r="C311" s="2"/>
      <c r="D311" s="77"/>
      <c r="E311" s="78"/>
      <c r="F311" s="55"/>
      <c r="G311" s="55"/>
      <c r="H311" s="56" t="str">
        <f t="shared" si="31"/>
        <v/>
      </c>
      <c r="I311" s="2"/>
      <c r="K311" s="1">
        <f>3.6*0.12*0.19</f>
        <v>8.208E-2</v>
      </c>
      <c r="L311" s="2"/>
      <c r="M311" s="2"/>
      <c r="N311" s="39"/>
      <c r="O311" s="2"/>
      <c r="P311" s="2"/>
    </row>
    <row r="312" spans="1:16" x14ac:dyDescent="0.25">
      <c r="A312" s="103">
        <v>1</v>
      </c>
      <c r="B312" s="38" t="s">
        <v>631</v>
      </c>
      <c r="C312" s="2"/>
      <c r="D312" s="77"/>
      <c r="E312" s="78" t="s">
        <v>1509</v>
      </c>
      <c r="F312" s="55">
        <v>5.25</v>
      </c>
      <c r="G312" s="55">
        <v>1.4</v>
      </c>
      <c r="H312" s="56">
        <f t="shared" si="31"/>
        <v>7.35</v>
      </c>
      <c r="I312" s="2"/>
      <c r="K312" s="1">
        <f>SUM(K310:K311)</f>
        <v>0.14207999999999998</v>
      </c>
      <c r="L312" s="2"/>
      <c r="M312" s="2"/>
      <c r="N312" s="39"/>
      <c r="O312" s="2"/>
      <c r="P312" s="2"/>
    </row>
    <row r="313" spans="1:16" x14ac:dyDescent="0.25">
      <c r="A313" s="103">
        <v>1</v>
      </c>
      <c r="B313" s="38" t="s">
        <v>629</v>
      </c>
      <c r="C313" s="2"/>
      <c r="D313" s="77"/>
      <c r="E313" s="78" t="s">
        <v>1520</v>
      </c>
      <c r="F313" s="55">
        <v>12</v>
      </c>
      <c r="G313" s="55">
        <v>3</v>
      </c>
      <c r="H313" s="56">
        <f t="shared" si="31"/>
        <v>36</v>
      </c>
      <c r="I313" s="2"/>
      <c r="K313" s="1">
        <f>1/K312</f>
        <v>7.0382882882882889</v>
      </c>
      <c r="L313" s="2"/>
      <c r="M313" s="2"/>
      <c r="N313" s="39"/>
      <c r="O313" s="2"/>
      <c r="P313" s="2"/>
    </row>
    <row r="314" spans="1:16" x14ac:dyDescent="0.25">
      <c r="B314" s="38"/>
      <c r="C314" s="2"/>
      <c r="D314" s="77"/>
      <c r="E314" s="78"/>
      <c r="F314" s="55"/>
      <c r="G314" s="55"/>
      <c r="H314" s="56" t="str">
        <f t="shared" si="31"/>
        <v/>
      </c>
      <c r="I314" s="2"/>
      <c r="L314" s="2"/>
      <c r="M314" s="2"/>
      <c r="N314" s="39"/>
      <c r="O314" s="2"/>
      <c r="P314" s="2"/>
    </row>
    <row r="315" spans="1:16" x14ac:dyDescent="0.25">
      <c r="B315" s="38"/>
      <c r="C315" s="2"/>
      <c r="D315" s="77"/>
      <c r="E315" s="78"/>
      <c r="F315" s="55"/>
      <c r="G315" s="55"/>
      <c r="H315" s="56" t="str">
        <f t="shared" si="31"/>
        <v/>
      </c>
      <c r="I315" s="2"/>
      <c r="L315" s="2"/>
      <c r="M315" s="2"/>
      <c r="N315" s="39"/>
      <c r="O315" s="2"/>
      <c r="P315" s="2"/>
    </row>
    <row r="316" spans="1:16" x14ac:dyDescent="0.25">
      <c r="B316" s="38" t="str">
        <f>IF($A316=0,"",VLOOKUP($A316,'BASE MATERIAL'!$A:$D,2))</f>
        <v/>
      </c>
      <c r="C316" s="2"/>
      <c r="D316" s="77"/>
      <c r="E316" s="78" t="str">
        <f>IF($A316=0,"",VLOOKUP($A316,'BASE MATERIAL'!$A:$D,3))</f>
        <v/>
      </c>
      <c r="F316" s="55"/>
      <c r="G316" s="55" t="str">
        <f>IF($A316=0,"",VLOOKUP($A316,'BASE MATERIAL'!$A:$D,4))</f>
        <v/>
      </c>
      <c r="H316" s="56" t="str">
        <f t="shared" si="31"/>
        <v/>
      </c>
      <c r="I316" s="2"/>
      <c r="L316" s="2"/>
      <c r="M316" s="2"/>
      <c r="N316" s="39"/>
      <c r="O316" s="2"/>
      <c r="P316" s="2"/>
    </row>
    <row r="317" spans="1:16" x14ac:dyDescent="0.25">
      <c r="B317" s="38" t="str">
        <f>IF($A317=0,"",VLOOKUP($A317,'BASE MATERIAL'!$A:$D,2))</f>
        <v/>
      </c>
      <c r="C317" s="2"/>
      <c r="D317" s="77"/>
      <c r="E317" s="78" t="str">
        <f>IF($A317=0,"",VLOOKUP($A317,'BASE MATERIAL'!$A:$D,3))</f>
        <v/>
      </c>
      <c r="F317" s="55"/>
      <c r="G317" s="80" t="str">
        <f>IF($A317=0,"",VLOOKUP($A317,'BASE MATERIAL'!$A:$D,4))</f>
        <v/>
      </c>
      <c r="H317" s="56" t="str">
        <f t="shared" si="31"/>
        <v/>
      </c>
      <c r="I317" s="2"/>
    </row>
    <row r="318" spans="1:16" x14ac:dyDescent="0.25">
      <c r="B318" s="38" t="str">
        <f>IF($A318=0,"",VLOOKUP($A318,'BASE MATERIAL'!$A:$D,2))</f>
        <v/>
      </c>
      <c r="C318" s="2"/>
      <c r="D318" s="77"/>
      <c r="E318" s="78" t="str">
        <f>IF($A318=0,"",VLOOKUP($A318,'BASE MATERIAL'!$A:$D,3))</f>
        <v/>
      </c>
      <c r="F318" s="55"/>
      <c r="G318" s="80" t="str">
        <f>IF($A318=0,"",VLOOKUP($A318,'BASE MATERIAL'!$A:$D,4))</f>
        <v/>
      </c>
      <c r="H318" s="56" t="str">
        <f t="shared" si="31"/>
        <v/>
      </c>
      <c r="I318" s="2"/>
      <c r="L318" s="2"/>
      <c r="M318" s="2"/>
      <c r="N318" s="39"/>
      <c r="O318" s="2"/>
      <c r="P318" s="2"/>
    </row>
    <row r="319" spans="1:16" x14ac:dyDescent="0.25">
      <c r="B319" s="38" t="str">
        <f>IF($A319=0,"",VLOOKUP($A319,'BASE MATERIAL'!$A:$D,2))</f>
        <v/>
      </c>
      <c r="C319" s="2"/>
      <c r="D319" s="77"/>
      <c r="E319" s="78" t="str">
        <f>IF($A319=0,"",VLOOKUP($A319,'BASE MATERIAL'!$A:$D,3))</f>
        <v/>
      </c>
      <c r="F319" s="55"/>
      <c r="G319" s="55" t="str">
        <f>IF($A319=0,"",VLOOKUP($A319,'BASE MATERIAL'!$A:$D,4))</f>
        <v/>
      </c>
      <c r="H319" s="56" t="str">
        <f t="shared" si="31"/>
        <v/>
      </c>
      <c r="I319" s="2"/>
      <c r="L319" s="2"/>
      <c r="M319" s="2"/>
      <c r="N319" s="39"/>
      <c r="O319" s="2"/>
      <c r="P319" s="2"/>
    </row>
    <row r="320" spans="1:16" x14ac:dyDescent="0.25">
      <c r="B320" s="38" t="str">
        <f>IF($A320=0,"",VLOOKUP($A320,'BASE MATERIAL'!$A:$D,2))</f>
        <v/>
      </c>
      <c r="C320" s="2"/>
      <c r="D320" s="77"/>
      <c r="E320" s="78" t="str">
        <f>IF($A320=0,"",VLOOKUP($A320,'BASE MATERIAL'!$A:$D,3))</f>
        <v/>
      </c>
      <c r="F320" s="55"/>
      <c r="G320" s="55" t="str">
        <f>IF($A320=0,"",VLOOKUP($A320,'BASE MATERIAL'!$A:$D,4))</f>
        <v/>
      </c>
      <c r="H320" s="56" t="str">
        <f t="shared" si="31"/>
        <v/>
      </c>
      <c r="I320" s="2"/>
    </row>
    <row r="321" spans="1:9" x14ac:dyDescent="0.25">
      <c r="B321" s="38" t="str">
        <f>IF($A321=0,"",VLOOKUP($A321,'BASE MATERIAL'!$A:$D,2))</f>
        <v/>
      </c>
      <c r="C321" s="2"/>
      <c r="D321" s="77"/>
      <c r="E321" s="78" t="str">
        <f>IF($A321=0,"",VLOOKUP($A321,'BASE MATERIAL'!$A:$D,3))</f>
        <v/>
      </c>
      <c r="F321" s="55"/>
      <c r="G321" s="55" t="str">
        <f>IF($A321=0,"",VLOOKUP($A321,'BASE MATERIAL'!$A:$D,4))</f>
        <v/>
      </c>
      <c r="H321" s="56" t="str">
        <f t="shared" si="31"/>
        <v/>
      </c>
      <c r="I321" s="2"/>
    </row>
    <row r="322" spans="1:9" x14ac:dyDescent="0.25">
      <c r="B322" s="38" t="str">
        <f>IF($A322=0,"",VLOOKUP($A322,'BASE MATERIAL'!$A:$D,2))</f>
        <v/>
      </c>
      <c r="C322" s="2"/>
      <c r="D322" s="77"/>
      <c r="E322" s="78" t="str">
        <f>IF($A322=0,"",VLOOKUP($A322,'BASE MATERIAL'!$A:$D,3))</f>
        <v/>
      </c>
      <c r="F322" s="55"/>
      <c r="G322" s="55" t="str">
        <f>IF($A322=0,"",VLOOKUP($A322,'BASE MATERIAL'!$A:$D,4))</f>
        <v/>
      </c>
      <c r="H322" s="56" t="str">
        <f t="shared" si="31"/>
        <v/>
      </c>
      <c r="I322" s="2"/>
    </row>
    <row r="323" spans="1:9" x14ac:dyDescent="0.25">
      <c r="B323" s="38" t="str">
        <f>IF($A323=0,"",VLOOKUP($A323,'BASE MATERIAL'!$A:$D,2))</f>
        <v/>
      </c>
      <c r="C323" s="2"/>
      <c r="D323" s="77"/>
      <c r="E323" s="78" t="str">
        <f>IF($A323=0,"",VLOOKUP($A323,'BASE MATERIAL'!$A:$D,3))</f>
        <v/>
      </c>
      <c r="F323" s="55"/>
      <c r="G323" s="55" t="str">
        <f>IF($A323=0,"",VLOOKUP($A323,'BASE MATERIAL'!$A:$D,4))</f>
        <v/>
      </c>
      <c r="H323" s="56" t="str">
        <f t="shared" si="31"/>
        <v/>
      </c>
      <c r="I323" s="2"/>
    </row>
    <row r="324" spans="1:9" x14ac:dyDescent="0.25">
      <c r="B324" s="38" t="str">
        <f>IF($A324=0,"",VLOOKUP($A324,'BASE MATERIAL'!$A:$D,2))</f>
        <v/>
      </c>
      <c r="C324" s="2"/>
      <c r="D324" s="81" t="s">
        <v>1682</v>
      </c>
      <c r="E324" s="55" t="str">
        <f>IF($A324=0,"",VLOOKUP($A324,'BASE MATERIAL'!$A:$D,3))</f>
        <v/>
      </c>
      <c r="F324" s="55" t="s">
        <v>1682</v>
      </c>
      <c r="G324" s="55" t="str">
        <f>IF($A324=0,"",VLOOKUP($A324,'BASE MATERIAL'!$A:$D,4))</f>
        <v/>
      </c>
      <c r="H324" s="56" t="str">
        <f>IF($A324=0,"",ROUND(E324*F324,2))</f>
        <v/>
      </c>
      <c r="I324" s="2"/>
    </row>
    <row r="325" spans="1:9" x14ac:dyDescent="0.25">
      <c r="B325" s="73" t="s">
        <v>1681</v>
      </c>
      <c r="C325" s="65"/>
      <c r="D325" s="74"/>
      <c r="E325" s="74"/>
      <c r="F325" s="74"/>
      <c r="G325" s="74"/>
      <c r="H325" s="75">
        <f>ROUND(SUM(H308:H324),2)</f>
        <v>166.62</v>
      </c>
      <c r="I325" s="2"/>
    </row>
    <row r="326" spans="1:9" x14ac:dyDescent="0.25">
      <c r="B326" s="38" t="s">
        <v>1680</v>
      </c>
      <c r="C326" s="2"/>
      <c r="D326" s="3"/>
      <c r="E326" s="3"/>
      <c r="F326" s="3"/>
      <c r="G326" s="3"/>
      <c r="H326" s="56"/>
      <c r="I326" s="2"/>
    </row>
    <row r="327" spans="1:9" ht="25.5" x14ac:dyDescent="0.25">
      <c r="B327" s="64" t="s">
        <v>1409</v>
      </c>
      <c r="C327" s="65"/>
      <c r="D327" s="76"/>
      <c r="E327" s="66" t="s">
        <v>1408</v>
      </c>
      <c r="F327" s="66" t="s">
        <v>1679</v>
      </c>
      <c r="G327" s="66" t="s">
        <v>1676</v>
      </c>
      <c r="H327" s="68" t="s">
        <v>1675</v>
      </c>
      <c r="I327" s="2"/>
    </row>
    <row r="328" spans="1:9" x14ac:dyDescent="0.25">
      <c r="A328" s="103">
        <v>19019</v>
      </c>
      <c r="B328" s="51" t="str">
        <f>IF($A328=0,"",VLOOKUP($A328,'BASE EQUIPO'!$A:$D,2))</f>
        <v>TRANSPORTE DE MATERIAL</v>
      </c>
      <c r="C328" s="52"/>
      <c r="D328" s="82"/>
      <c r="E328" s="78" t="str">
        <f>IF($A328=0,"",VLOOKUP($A328,'BASE EQUIPO'!$A:$D,3))</f>
        <v>GLOBAL</v>
      </c>
      <c r="F328" s="55">
        <v>1</v>
      </c>
      <c r="G328" s="83">
        <f>IF($A328=0,"",VLOOKUP($A328,'BASE EQUIPO'!$A:$D,4)*H325)+0.11</f>
        <v>5.1086</v>
      </c>
      <c r="H328" s="56">
        <f>IF($A328=0,"",ROUND(F328*G328,2))</f>
        <v>5.1100000000000003</v>
      </c>
      <c r="I328" s="2"/>
    </row>
    <row r="329" spans="1:9" x14ac:dyDescent="0.25">
      <c r="B329" s="38" t="str">
        <f>IF($A329=0,"",VLOOKUP($A329,'BASE EQUIPO'!$A:$D,2))</f>
        <v/>
      </c>
      <c r="C329" s="2"/>
      <c r="D329" s="84"/>
      <c r="E329" s="78" t="str">
        <f>IF($A329=0,"",VLOOKUP($A329,'BASE EQUIPO'!$A:$D,3))</f>
        <v/>
      </c>
      <c r="F329" s="55"/>
      <c r="G329" s="55" t="str">
        <f>IF($A329=0,"",VLOOKUP($A329,'BASE EQUIPO'!$A:$D,4)*H326)</f>
        <v/>
      </c>
      <c r="H329" s="56" t="str">
        <f>IF($A329=0,"",ROUND(F329*G329,2))</f>
        <v/>
      </c>
      <c r="I329" s="2"/>
    </row>
    <row r="330" spans="1:9" x14ac:dyDescent="0.25">
      <c r="B330" s="57" t="str">
        <f>IF($A330=0,"",VLOOKUP($A330,'BASE EQUIPO'!$A:$D,2))</f>
        <v/>
      </c>
      <c r="C330" s="58"/>
      <c r="D330" s="85"/>
      <c r="E330" s="86" t="str">
        <f>IF($A330=0,"",VLOOKUP($A330,'BASE EQUIPO'!$A:$D,3))</f>
        <v/>
      </c>
      <c r="F330" s="59"/>
      <c r="G330" s="59" t="str">
        <f>IF($A330=0,"",VLOOKUP($A330,'BASE EQUIPO'!$A:$D,4)*H327)</f>
        <v/>
      </c>
      <c r="H330" s="60" t="str">
        <f>IF($A330=0,"",ROUND(F330*G330,2))</f>
        <v/>
      </c>
      <c r="I330" s="2"/>
    </row>
    <row r="331" spans="1:9" ht="15.75" thickBot="1" x14ac:dyDescent="0.3">
      <c r="B331" s="87" t="s">
        <v>1674</v>
      </c>
      <c r="C331" s="88"/>
      <c r="D331" s="89"/>
      <c r="E331" s="89"/>
      <c r="F331" s="89"/>
      <c r="G331" s="89"/>
      <c r="H331" s="90">
        <f>ROUND(SUM(H327:H330),2)</f>
        <v>5.1100000000000003</v>
      </c>
      <c r="I331" s="2"/>
    </row>
    <row r="332" spans="1:9" ht="15.75" x14ac:dyDescent="0.25">
      <c r="B332" s="2"/>
      <c r="C332" s="2"/>
      <c r="D332" s="91" t="s">
        <v>1673</v>
      </c>
      <c r="E332" s="47"/>
      <c r="F332" s="47"/>
      <c r="G332" s="47"/>
      <c r="H332" s="92">
        <f>ROUND(SUM(H331,H325,H306,H296),2)</f>
        <v>275.36</v>
      </c>
      <c r="I332" s="2"/>
    </row>
    <row r="333" spans="1:9" ht="15.75" x14ac:dyDescent="0.25">
      <c r="A333" s="103">
        <v>40002</v>
      </c>
      <c r="B333" s="2"/>
      <c r="C333" s="2"/>
      <c r="D333" s="93" t="s">
        <v>1672</v>
      </c>
      <c r="E333" s="65"/>
      <c r="F333" s="65"/>
      <c r="G333" s="94">
        <f>IF($A333=0,"",VLOOKUP($A333,'BASE MATERIAL'!$M:$P,4))</f>
        <v>0</v>
      </c>
      <c r="H333" s="95">
        <f>IF($A333=0,"",ROUND(G333*H332,2))</f>
        <v>0</v>
      </c>
      <c r="I333" s="2"/>
    </row>
    <row r="334" spans="1:9" ht="15.75" x14ac:dyDescent="0.25">
      <c r="A334" s="103">
        <v>40003</v>
      </c>
      <c r="B334" s="2"/>
      <c r="C334" s="2"/>
      <c r="D334" s="93" t="s">
        <v>1671</v>
      </c>
      <c r="E334" s="65"/>
      <c r="F334" s="65"/>
      <c r="G334" s="94">
        <f>IF($A334=0,"",VLOOKUP($A334,'BASE MATERIAL'!$M:$P,4))</f>
        <v>0</v>
      </c>
      <c r="H334" s="95">
        <f>IF($A334=0,"",ROUND(G334*H332,2))</f>
        <v>0</v>
      </c>
      <c r="I334" s="2"/>
    </row>
    <row r="335" spans="1:9" ht="15.75" x14ac:dyDescent="0.25">
      <c r="B335" s="2"/>
      <c r="C335" s="2"/>
      <c r="D335" s="93" t="s">
        <v>1670</v>
      </c>
      <c r="E335" s="65"/>
      <c r="F335" s="65"/>
      <c r="G335" s="65"/>
      <c r="H335" s="96">
        <f>ROUND(SUM(H332:H334),2)</f>
        <v>275.36</v>
      </c>
      <c r="I335" s="2"/>
    </row>
    <row r="336" spans="1:9" ht="16.5" thickBot="1" x14ac:dyDescent="0.3">
      <c r="B336" s="25"/>
      <c r="C336" s="2"/>
      <c r="D336" s="97" t="s">
        <v>1650</v>
      </c>
      <c r="E336" s="88"/>
      <c r="F336" s="88"/>
      <c r="G336" s="88"/>
      <c r="H336" s="98">
        <f>ROUND(H335,2)</f>
        <v>275.36</v>
      </c>
      <c r="I336" s="2"/>
    </row>
    <row r="337" spans="1:15" ht="15.75" x14ac:dyDescent="0.25">
      <c r="B337" s="34" t="s">
        <v>1701</v>
      </c>
      <c r="C337" s="2"/>
      <c r="D337" s="3" t="str">
        <f>$D$1</f>
        <v>ESPOL</v>
      </c>
      <c r="E337" s="2"/>
      <c r="F337" s="2"/>
      <c r="H337" s="2" t="s">
        <v>108</v>
      </c>
      <c r="I337" s="2"/>
      <c r="L337" s="40">
        <f>A341</f>
        <v>6</v>
      </c>
      <c r="M337" s="1" t="str">
        <f>C342</f>
        <v xml:space="preserve">Vigas planta baja </v>
      </c>
      <c r="N337" s="2" t="str">
        <f>H341</f>
        <v>m3</v>
      </c>
      <c r="O337" s="2">
        <f>H392</f>
        <v>267.67</v>
      </c>
    </row>
    <row r="338" spans="1:15" ht="15.75" x14ac:dyDescent="0.25">
      <c r="B338" s="34" t="s">
        <v>1700</v>
      </c>
      <c r="C338" s="3">
        <f>'1.1'!$C$2</f>
        <v>0</v>
      </c>
      <c r="D338" s="2"/>
      <c r="E338" s="2"/>
      <c r="F338" s="2"/>
      <c r="G338" s="41" t="s">
        <v>1699</v>
      </c>
      <c r="H338" s="42"/>
      <c r="I338" s="2" t="s">
        <v>1698</v>
      </c>
    </row>
    <row r="339" spans="1:15" ht="15.75" x14ac:dyDescent="0.25">
      <c r="B339" s="34"/>
      <c r="C339" s="3">
        <f>'1.1'!$C$3</f>
        <v>0</v>
      </c>
      <c r="D339" s="2"/>
      <c r="E339" s="2"/>
      <c r="F339" s="2"/>
      <c r="G339" s="2"/>
      <c r="H339" s="2"/>
      <c r="I339" s="2"/>
    </row>
    <row r="340" spans="1:15" ht="15.75" x14ac:dyDescent="0.25">
      <c r="B340" s="34" t="s">
        <v>1697</v>
      </c>
      <c r="C340" s="3"/>
      <c r="D340" s="2"/>
      <c r="E340" s="2"/>
      <c r="F340" s="2"/>
      <c r="G340" s="2"/>
      <c r="H340" s="2"/>
      <c r="I340" s="2"/>
    </row>
    <row r="341" spans="1:15" x14ac:dyDescent="0.25">
      <c r="A341" s="104">
        <v>6</v>
      </c>
      <c r="B341" s="2" t="s">
        <v>1586</v>
      </c>
      <c r="C341" s="36" t="s">
        <v>1559</v>
      </c>
      <c r="D341" s="2"/>
      <c r="G341" s="2" t="s">
        <v>1696</v>
      </c>
      <c r="H341" s="3" t="s">
        <v>1521</v>
      </c>
      <c r="I341" s="2"/>
    </row>
    <row r="342" spans="1:15" x14ac:dyDescent="0.25">
      <c r="B342" s="1" t="s">
        <v>1585</v>
      </c>
      <c r="C342" s="36" t="s">
        <v>643</v>
      </c>
      <c r="D342" s="2"/>
      <c r="E342" s="2"/>
      <c r="F342" s="2"/>
      <c r="G342" s="2"/>
      <c r="H342" s="2"/>
      <c r="I342" s="2"/>
    </row>
    <row r="343" spans="1:15" ht="15.75" thickBot="1" x14ac:dyDescent="0.3">
      <c r="D343" s="2"/>
      <c r="E343" s="2"/>
      <c r="F343" s="2"/>
      <c r="G343" s="2"/>
      <c r="H343" s="2"/>
      <c r="I343" s="2"/>
    </row>
    <row r="344" spans="1:15" ht="15.75" thickBot="1" x14ac:dyDescent="0.3">
      <c r="B344" s="43" t="s">
        <v>1695</v>
      </c>
      <c r="C344" s="44"/>
      <c r="D344" s="44"/>
      <c r="E344" s="44"/>
      <c r="F344" s="44"/>
      <c r="G344" s="44"/>
      <c r="H344" s="45"/>
      <c r="I344" s="2"/>
    </row>
    <row r="345" spans="1:15" ht="25.5" x14ac:dyDescent="0.25">
      <c r="B345" s="46" t="s">
        <v>1409</v>
      </c>
      <c r="C345" s="47"/>
      <c r="D345" s="48" t="s">
        <v>1690</v>
      </c>
      <c r="E345" s="48" t="s">
        <v>1694</v>
      </c>
      <c r="F345" s="48" t="s">
        <v>1693</v>
      </c>
      <c r="G345" s="49" t="s">
        <v>1687</v>
      </c>
      <c r="H345" s="50" t="s">
        <v>1686</v>
      </c>
      <c r="I345" s="2"/>
    </row>
    <row r="346" spans="1:15" x14ac:dyDescent="0.25">
      <c r="A346" s="103">
        <v>19015</v>
      </c>
      <c r="B346" s="51" t="str">
        <f>IF($A346=0,"",VLOOKUP($A346,'BASE EQUIPO'!$A:$D,2))</f>
        <v>HERRAMIENTA MENOR</v>
      </c>
      <c r="C346" s="52"/>
      <c r="D346" s="53">
        <v>1</v>
      </c>
      <c r="E346" s="53">
        <f>IF($A346=0,"",VLOOKUP($A346,'BASE EQUIPO'!$A:$D,4)*H362)</f>
        <v>2.8319999999999999</v>
      </c>
      <c r="F346" s="53">
        <f t="shared" ref="F346:F351" si="32">IF($A346=0,"",ROUND(D346*E346,2))</f>
        <v>2.83</v>
      </c>
      <c r="G346" s="105">
        <v>1</v>
      </c>
      <c r="H346" s="54">
        <f t="shared" ref="H346:H351" si="33">IF($A346=0,"",ROUND(G346*F346,2))</f>
        <v>2.83</v>
      </c>
      <c r="I346" s="2"/>
    </row>
    <row r="347" spans="1:15" x14ac:dyDescent="0.25">
      <c r="B347" s="38" t="str">
        <f>IF($A347=0,"",VLOOKUP($A347,'BASE EQUIPO'!$A:$D,2))</f>
        <v/>
      </c>
      <c r="C347" s="2"/>
      <c r="D347" s="55"/>
      <c r="E347" s="55" t="str">
        <f>IF($A347=0,"",VLOOKUP($A347,'BASE EQUIPO'!$A:$D,4))</f>
        <v/>
      </c>
      <c r="F347" s="55" t="str">
        <f t="shared" si="32"/>
        <v/>
      </c>
      <c r="G347" s="106"/>
      <c r="H347" s="56" t="str">
        <f t="shared" si="33"/>
        <v/>
      </c>
      <c r="I347" s="2"/>
    </row>
    <row r="348" spans="1:15" x14ac:dyDescent="0.25">
      <c r="A348" s="103">
        <v>19008</v>
      </c>
      <c r="B348" s="38" t="str">
        <f>IF($A348=0,"",VLOOKUP($A348,'BASE EQUIPO'!$A:$D,2))</f>
        <v>VIBRADOR</v>
      </c>
      <c r="C348" s="2"/>
      <c r="D348" s="55">
        <v>1</v>
      </c>
      <c r="E348" s="55">
        <f>IF($A348=0,"",VLOOKUP($A348,'BASE EQUIPO'!$A:$D,4))</f>
        <v>2.5</v>
      </c>
      <c r="F348" s="55">
        <f t="shared" si="32"/>
        <v>2.5</v>
      </c>
      <c r="G348" s="106">
        <f>G356</f>
        <v>1.2</v>
      </c>
      <c r="H348" s="56">
        <f t="shared" si="33"/>
        <v>3</v>
      </c>
      <c r="I348" s="2"/>
    </row>
    <row r="349" spans="1:15" x14ac:dyDescent="0.25">
      <c r="A349" s="103">
        <v>1</v>
      </c>
      <c r="B349" s="38" t="s">
        <v>627</v>
      </c>
      <c r="C349" s="2"/>
      <c r="D349" s="55">
        <v>4</v>
      </c>
      <c r="E349" s="55">
        <v>0.5</v>
      </c>
      <c r="F349" s="55">
        <f t="shared" si="32"/>
        <v>2</v>
      </c>
      <c r="G349" s="106">
        <v>1</v>
      </c>
      <c r="H349" s="56">
        <f t="shared" si="33"/>
        <v>2</v>
      </c>
      <c r="I349" s="2"/>
    </row>
    <row r="350" spans="1:15" x14ac:dyDescent="0.25">
      <c r="B350" s="38" t="str">
        <f>IF($A350=0,"",VLOOKUP($A350,'BASE EQUIPO'!$A:$D,2))</f>
        <v/>
      </c>
      <c r="C350" s="2"/>
      <c r="D350" s="55"/>
      <c r="E350" s="55" t="str">
        <f>IF($A350=0,"",VLOOKUP($A350,'BASE EQUIPO'!$A:$D,4))</f>
        <v/>
      </c>
      <c r="F350" s="55" t="str">
        <f t="shared" si="32"/>
        <v/>
      </c>
      <c r="G350" s="106"/>
      <c r="H350" s="56" t="str">
        <f t="shared" si="33"/>
        <v/>
      </c>
      <c r="I350" s="2"/>
    </row>
    <row r="351" spans="1:15" x14ac:dyDescent="0.25">
      <c r="B351" s="57" t="str">
        <f>IF($A351=0,"",VLOOKUP($A351,'BASE EQUIPO'!$A:$D,2))</f>
        <v/>
      </c>
      <c r="C351" s="58"/>
      <c r="D351" s="59"/>
      <c r="E351" s="59" t="str">
        <f>IF($A351=0,"",VLOOKUP($A351,'BASE EQUIPO'!$A:$D,4))</f>
        <v/>
      </c>
      <c r="F351" s="59" t="str">
        <f t="shared" si="32"/>
        <v/>
      </c>
      <c r="G351" s="107"/>
      <c r="H351" s="60" t="str">
        <f t="shared" si="33"/>
        <v/>
      </c>
      <c r="I351" s="2"/>
    </row>
    <row r="352" spans="1:15" x14ac:dyDescent="0.25">
      <c r="B352" s="57" t="s">
        <v>1692</v>
      </c>
      <c r="C352" s="58"/>
      <c r="D352" s="61"/>
      <c r="E352" s="61"/>
      <c r="F352" s="61"/>
      <c r="G352" s="62"/>
      <c r="H352" s="60">
        <f>ROUND(SUM(H345:H351),2)</f>
        <v>7.83</v>
      </c>
      <c r="I352" s="2"/>
    </row>
    <row r="353" spans="1:16" x14ac:dyDescent="0.25">
      <c r="B353" s="38" t="s">
        <v>1503</v>
      </c>
      <c r="C353" s="2"/>
      <c r="D353" s="3"/>
      <c r="E353" s="3"/>
      <c r="F353" s="3"/>
      <c r="G353" s="63"/>
      <c r="H353" s="56"/>
      <c r="I353" s="2"/>
    </row>
    <row r="354" spans="1:16" ht="25.5" x14ac:dyDescent="0.25">
      <c r="B354" s="64" t="s">
        <v>1691</v>
      </c>
      <c r="C354" s="65"/>
      <c r="D354" s="66" t="s">
        <v>1690</v>
      </c>
      <c r="E354" s="66" t="s">
        <v>1689</v>
      </c>
      <c r="F354" s="66" t="s">
        <v>1688</v>
      </c>
      <c r="G354" s="67" t="s">
        <v>1687</v>
      </c>
      <c r="H354" s="68" t="s">
        <v>1686</v>
      </c>
      <c r="I354" s="2"/>
    </row>
    <row r="355" spans="1:16" x14ac:dyDescent="0.25">
      <c r="A355" s="103">
        <v>20001</v>
      </c>
      <c r="B355" s="69" t="str">
        <f>IF($A355=0,"",VLOOKUP($A355,'BASE M-OBRA'!$A:$D,2))</f>
        <v>MAESTRO</v>
      </c>
      <c r="C355" s="2"/>
      <c r="D355" s="108">
        <v>1</v>
      </c>
      <c r="E355" s="70">
        <f>IF($A355=0,"",VLOOKUP($A355,'BASE M-OBRA'!$A:$D,4))</f>
        <v>3.02</v>
      </c>
      <c r="F355" s="55">
        <f t="shared" ref="F355:F361" si="34">IF($A355=0,"",ROUND(D355*E355,2))</f>
        <v>3.02</v>
      </c>
      <c r="G355" s="106">
        <f>IF($A355=0,"",ROUND(H355/F355,2))</f>
        <v>5.21</v>
      </c>
      <c r="H355" s="56">
        <f>IF($A355=0,"",ROUND(SUM(H356:H361)*'BASE M-OBRA'!$D$23,2))</f>
        <v>15.73</v>
      </c>
      <c r="I355" s="2"/>
    </row>
    <row r="356" spans="1:16" x14ac:dyDescent="0.25">
      <c r="A356" s="103">
        <v>20002</v>
      </c>
      <c r="B356" s="69" t="str">
        <f>IF($A356=0,"",VLOOKUP($A356,'BASE M-OBRA'!$A:$D,2))</f>
        <v>PEON</v>
      </c>
      <c r="C356" s="2"/>
      <c r="D356" s="108">
        <v>8</v>
      </c>
      <c r="E356" s="70">
        <f>IF($A356=0,"",VLOOKUP($A356,'BASE M-OBRA'!$A:$D,4))</f>
        <v>2.79</v>
      </c>
      <c r="F356" s="55">
        <f t="shared" si="34"/>
        <v>22.32</v>
      </c>
      <c r="G356" s="106">
        <v>1.2</v>
      </c>
      <c r="H356" s="56">
        <f t="shared" ref="H356:H361" si="35">IF($A356=0,"",ROUND(G356*F356,2))</f>
        <v>26.78</v>
      </c>
      <c r="I356" s="2"/>
    </row>
    <row r="357" spans="1:16" x14ac:dyDescent="0.25">
      <c r="A357" s="103">
        <v>20003</v>
      </c>
      <c r="B357" s="69" t="str">
        <f>IF($A357=0,"",VLOOKUP($A357,'BASE M-OBRA'!$A:$D,2))</f>
        <v>ALBAÑIL</v>
      </c>
      <c r="C357" s="2"/>
      <c r="D357" s="108">
        <v>2</v>
      </c>
      <c r="E357" s="70">
        <f>IF($A357=0,"",VLOOKUP($A357,'BASE M-OBRA'!$A:$D,4))</f>
        <v>2.82</v>
      </c>
      <c r="F357" s="55">
        <f t="shared" si="34"/>
        <v>5.64</v>
      </c>
      <c r="G357" s="106">
        <f>+G356</f>
        <v>1.2</v>
      </c>
      <c r="H357" s="56">
        <f t="shared" si="35"/>
        <v>6.77</v>
      </c>
      <c r="I357" s="2"/>
    </row>
    <row r="358" spans="1:16" x14ac:dyDescent="0.25">
      <c r="A358" s="103">
        <v>20004</v>
      </c>
      <c r="B358" s="71" t="str">
        <f>IF($A358=0,"",VLOOKUP($A358,'BASE M-OBRA'!$A:$D,2))</f>
        <v>CARPINTERO</v>
      </c>
      <c r="C358" s="2"/>
      <c r="D358" s="108">
        <v>2</v>
      </c>
      <c r="E358" s="70">
        <f>IF($A358=0,"",VLOOKUP($A358,'BASE M-OBRA'!$A:$D,4))</f>
        <v>2.82</v>
      </c>
      <c r="F358" s="55">
        <f t="shared" si="34"/>
        <v>5.64</v>
      </c>
      <c r="G358" s="106">
        <v>8</v>
      </c>
      <c r="H358" s="56">
        <f t="shared" si="35"/>
        <v>45.12</v>
      </c>
      <c r="I358" s="2"/>
      <c r="K358" s="1">
        <f>7*2.9</f>
        <v>20.3</v>
      </c>
    </row>
    <row r="359" spans="1:16" x14ac:dyDescent="0.25">
      <c r="B359" s="72" t="str">
        <f>IF($A359=0,"",VLOOKUP($A359,'BASE M-OBRA'!$A:$D,2))</f>
        <v/>
      </c>
      <c r="C359" s="2"/>
      <c r="D359" s="108"/>
      <c r="E359" s="70" t="str">
        <f>IF($A359=0,"",VLOOKUP($A359,'BASE M-OBRA'!$A:$D,4))</f>
        <v/>
      </c>
      <c r="F359" s="55" t="str">
        <f t="shared" si="34"/>
        <v/>
      </c>
      <c r="G359" s="106"/>
      <c r="H359" s="56" t="str">
        <f t="shared" si="35"/>
        <v/>
      </c>
      <c r="I359" s="2"/>
      <c r="K359" s="1">
        <f>+F369*0.15</f>
        <v>1.5</v>
      </c>
    </row>
    <row r="360" spans="1:16" x14ac:dyDescent="0.25">
      <c r="B360" s="38" t="str">
        <f>IF($A360=0,"",VLOOKUP($A360,'BASE M-OBRA'!$A:$D,2))</f>
        <v/>
      </c>
      <c r="C360" s="2"/>
      <c r="D360" s="55"/>
      <c r="E360" s="55" t="str">
        <f>IF($A360=0,"",VLOOKUP($A360,'BASE M-OBRA'!$A:$D,4))</f>
        <v/>
      </c>
      <c r="F360" s="55" t="str">
        <f t="shared" si="34"/>
        <v/>
      </c>
      <c r="G360" s="106"/>
      <c r="H360" s="56" t="str">
        <f t="shared" si="35"/>
        <v/>
      </c>
      <c r="I360" s="2"/>
    </row>
    <row r="361" spans="1:16" x14ac:dyDescent="0.25">
      <c r="B361" s="57" t="str">
        <f>IF($A361=0,"",VLOOKUP($A361,'BASE M-OBRA'!$A:$D,2))</f>
        <v/>
      </c>
      <c r="C361" s="58"/>
      <c r="D361" s="59"/>
      <c r="E361" s="59" t="str">
        <f>IF($A361=0,"",VLOOKUP($A361,'BASE M-OBRA'!$A:$D,4))</f>
        <v/>
      </c>
      <c r="F361" s="59" t="str">
        <f t="shared" si="34"/>
        <v/>
      </c>
      <c r="G361" s="107"/>
      <c r="H361" s="60" t="str">
        <f t="shared" si="35"/>
        <v/>
      </c>
      <c r="I361" s="2"/>
    </row>
    <row r="362" spans="1:16" x14ac:dyDescent="0.25">
      <c r="B362" s="73" t="s">
        <v>1685</v>
      </c>
      <c r="C362" s="65"/>
      <c r="D362" s="74"/>
      <c r="E362" s="74"/>
      <c r="F362" s="74"/>
      <c r="G362" s="74"/>
      <c r="H362" s="75">
        <f>ROUND(SUM(H354:H361),2)</f>
        <v>94.4</v>
      </c>
      <c r="I362" s="2"/>
      <c r="K362" s="1">
        <f>SUM(K358:K361)+15</f>
        <v>36.799999999999997</v>
      </c>
    </row>
    <row r="363" spans="1:16" x14ac:dyDescent="0.25">
      <c r="B363" s="38" t="s">
        <v>1684</v>
      </c>
      <c r="C363" s="2"/>
      <c r="D363" s="3"/>
      <c r="E363" s="3"/>
      <c r="F363" s="3"/>
      <c r="G363" s="3"/>
      <c r="H363" s="56"/>
      <c r="I363" s="2"/>
    </row>
    <row r="364" spans="1:16" ht="25.5" x14ac:dyDescent="0.25">
      <c r="B364" s="64" t="s">
        <v>1409</v>
      </c>
      <c r="C364" s="65"/>
      <c r="D364" s="76"/>
      <c r="E364" s="66" t="s">
        <v>1408</v>
      </c>
      <c r="F364" s="66" t="s">
        <v>1679</v>
      </c>
      <c r="G364" s="66" t="s">
        <v>1683</v>
      </c>
      <c r="H364" s="68" t="s">
        <v>1675</v>
      </c>
      <c r="I364" s="2"/>
    </row>
    <row r="365" spans="1:16" x14ac:dyDescent="0.25">
      <c r="A365" s="103">
        <v>11008</v>
      </c>
      <c r="B365" s="37" t="s">
        <v>628</v>
      </c>
      <c r="C365" s="2"/>
      <c r="D365" s="77"/>
      <c r="E365" s="78" t="s">
        <v>1566</v>
      </c>
      <c r="F365" s="55">
        <v>1</v>
      </c>
      <c r="G365" s="55">
        <v>1.38</v>
      </c>
      <c r="H365" s="56">
        <f t="shared" ref="H365:H379" si="36">IF($A365=0,"",ROUND(F365*G365,2))</f>
        <v>1.38</v>
      </c>
      <c r="I365" s="2"/>
      <c r="L365" s="2"/>
      <c r="M365" s="2"/>
      <c r="N365" s="39"/>
      <c r="O365" s="2"/>
      <c r="P365" s="2"/>
    </row>
    <row r="366" spans="1:16" x14ac:dyDescent="0.25">
      <c r="A366" s="103">
        <v>11009</v>
      </c>
      <c r="B366" s="38" t="s">
        <v>630</v>
      </c>
      <c r="C366" s="2"/>
      <c r="D366" s="77"/>
      <c r="E366" s="78" t="s">
        <v>1521</v>
      </c>
      <c r="F366" s="55">
        <v>1.02</v>
      </c>
      <c r="G366" s="55">
        <f>106.7*1.12</f>
        <v>119.50400000000002</v>
      </c>
      <c r="H366" s="56">
        <f t="shared" si="36"/>
        <v>121.89</v>
      </c>
      <c r="I366" s="2"/>
      <c r="K366" s="1">
        <v>0.06</v>
      </c>
      <c r="L366" s="2"/>
      <c r="M366" s="2"/>
      <c r="N366" s="39"/>
      <c r="O366" s="2"/>
      <c r="P366" s="2"/>
    </row>
    <row r="367" spans="1:16" x14ac:dyDescent="0.25">
      <c r="B367" s="38"/>
      <c r="C367" s="2"/>
      <c r="D367" s="77"/>
      <c r="E367" s="78"/>
      <c r="F367" s="55"/>
      <c r="G367" s="55"/>
      <c r="H367" s="56" t="str">
        <f t="shared" si="36"/>
        <v/>
      </c>
      <c r="I367" s="2"/>
      <c r="K367" s="1">
        <f>3.6*0.12*0.19</f>
        <v>8.208E-2</v>
      </c>
      <c r="L367" s="2"/>
      <c r="M367" s="2"/>
      <c r="N367" s="39"/>
      <c r="O367" s="2"/>
      <c r="P367" s="2"/>
    </row>
    <row r="368" spans="1:16" x14ac:dyDescent="0.25">
      <c r="A368" s="103">
        <v>1</v>
      </c>
      <c r="B368" s="38" t="s">
        <v>631</v>
      </c>
      <c r="C368" s="2"/>
      <c r="D368" s="77"/>
      <c r="E368" s="78" t="s">
        <v>1509</v>
      </c>
      <c r="F368" s="55">
        <v>5.25</v>
      </c>
      <c r="G368" s="55">
        <v>1.4</v>
      </c>
      <c r="H368" s="56">
        <f t="shared" si="36"/>
        <v>7.35</v>
      </c>
      <c r="I368" s="2"/>
      <c r="K368" s="1">
        <f>SUM(K366:K367)</f>
        <v>0.14207999999999998</v>
      </c>
      <c r="L368" s="2"/>
      <c r="M368" s="2"/>
      <c r="N368" s="39"/>
      <c r="O368" s="2"/>
      <c r="P368" s="2"/>
    </row>
    <row r="369" spans="1:16" x14ac:dyDescent="0.25">
      <c r="A369" s="103">
        <v>1</v>
      </c>
      <c r="B369" s="38" t="s">
        <v>629</v>
      </c>
      <c r="C369" s="2"/>
      <c r="D369" s="77"/>
      <c r="E369" s="78" t="s">
        <v>1520</v>
      </c>
      <c r="F369" s="55">
        <v>10</v>
      </c>
      <c r="G369" s="55">
        <v>3</v>
      </c>
      <c r="H369" s="56">
        <f t="shared" si="36"/>
        <v>30</v>
      </c>
      <c r="I369" s="2"/>
      <c r="K369" s="1">
        <f>1/K368</f>
        <v>7.0382882882882889</v>
      </c>
      <c r="L369" s="2"/>
      <c r="M369" s="2"/>
      <c r="N369" s="39"/>
      <c r="O369" s="2"/>
      <c r="P369" s="2"/>
    </row>
    <row r="370" spans="1:16" x14ac:dyDescent="0.25">
      <c r="B370" s="38"/>
      <c r="C370" s="2"/>
      <c r="D370" s="77"/>
      <c r="E370" s="78"/>
      <c r="F370" s="55"/>
      <c r="G370" s="55"/>
      <c r="H370" s="56" t="str">
        <f t="shared" si="36"/>
        <v/>
      </c>
      <c r="I370" s="2"/>
      <c r="L370" s="2"/>
      <c r="M370" s="2"/>
      <c r="N370" s="39"/>
      <c r="O370" s="2"/>
      <c r="P370" s="2"/>
    </row>
    <row r="371" spans="1:16" x14ac:dyDescent="0.25">
      <c r="B371" s="38"/>
      <c r="C371" s="2"/>
      <c r="D371" s="77"/>
      <c r="E371" s="78"/>
      <c r="F371" s="55"/>
      <c r="G371" s="55"/>
      <c r="H371" s="56" t="str">
        <f t="shared" si="36"/>
        <v/>
      </c>
      <c r="I371" s="2"/>
      <c r="L371" s="2"/>
      <c r="M371" s="2"/>
      <c r="N371" s="39"/>
      <c r="O371" s="2"/>
      <c r="P371" s="2"/>
    </row>
    <row r="372" spans="1:16" x14ac:dyDescent="0.25">
      <c r="B372" s="38" t="str">
        <f>IF($A372=0,"",VLOOKUP($A372,'BASE MATERIAL'!$A:$D,2))</f>
        <v/>
      </c>
      <c r="C372" s="2"/>
      <c r="D372" s="77"/>
      <c r="E372" s="78" t="str">
        <f>IF($A372=0,"",VLOOKUP($A372,'BASE MATERIAL'!$A:$D,3))</f>
        <v/>
      </c>
      <c r="F372" s="55"/>
      <c r="G372" s="55" t="str">
        <f>IF($A372=0,"",VLOOKUP($A372,'BASE MATERIAL'!$A:$D,4))</f>
        <v/>
      </c>
      <c r="H372" s="56" t="str">
        <f t="shared" si="36"/>
        <v/>
      </c>
      <c r="I372" s="2"/>
      <c r="L372" s="2"/>
      <c r="M372" s="2"/>
      <c r="N372" s="39"/>
      <c r="O372" s="2"/>
      <c r="P372" s="2"/>
    </row>
    <row r="373" spans="1:16" x14ac:dyDescent="0.25">
      <c r="B373" s="38" t="str">
        <f>IF($A373=0,"",VLOOKUP($A373,'BASE MATERIAL'!$A:$D,2))</f>
        <v/>
      </c>
      <c r="C373" s="2"/>
      <c r="D373" s="77"/>
      <c r="E373" s="78" t="str">
        <f>IF($A373=0,"",VLOOKUP($A373,'BASE MATERIAL'!$A:$D,3))</f>
        <v/>
      </c>
      <c r="F373" s="55"/>
      <c r="G373" s="55" t="str">
        <f>IF($A373=0,"",VLOOKUP($A373,'BASE MATERIAL'!$A:$D,4))</f>
        <v/>
      </c>
      <c r="H373" s="56" t="str">
        <f t="shared" si="36"/>
        <v/>
      </c>
      <c r="I373" s="2"/>
    </row>
    <row r="374" spans="1:16" x14ac:dyDescent="0.25">
      <c r="B374" s="38" t="str">
        <f>IF($A374=0,"",VLOOKUP($A374,'BASE MATERIAL'!$A:$D,2))</f>
        <v/>
      </c>
      <c r="C374" s="2"/>
      <c r="D374" s="77"/>
      <c r="E374" s="78" t="str">
        <f>IF($A374=0,"",VLOOKUP($A374,'BASE MATERIAL'!$A:$D,3))</f>
        <v/>
      </c>
      <c r="F374" s="55"/>
      <c r="G374" s="80" t="str">
        <f>IF($A374=0,"",VLOOKUP($A374,'BASE MATERIAL'!$A:$D,4))</f>
        <v/>
      </c>
      <c r="H374" s="56" t="str">
        <f t="shared" si="36"/>
        <v/>
      </c>
      <c r="I374" s="2"/>
      <c r="L374" s="2"/>
      <c r="M374" s="2"/>
      <c r="N374" s="39"/>
      <c r="O374" s="2"/>
      <c r="P374" s="2"/>
    </row>
    <row r="375" spans="1:16" x14ac:dyDescent="0.25">
      <c r="B375" s="38" t="str">
        <f>IF($A375=0,"",VLOOKUP($A375,'BASE MATERIAL'!$A:$D,2))</f>
        <v/>
      </c>
      <c r="C375" s="2"/>
      <c r="D375" s="77"/>
      <c r="E375" s="78" t="str">
        <f>IF($A375=0,"",VLOOKUP($A375,'BASE MATERIAL'!$A:$D,3))</f>
        <v/>
      </c>
      <c r="F375" s="55"/>
      <c r="G375" s="55" t="str">
        <f>IF($A375=0,"",VLOOKUP($A375,'BASE MATERIAL'!$A:$D,4))</f>
        <v/>
      </c>
      <c r="H375" s="56" t="str">
        <f t="shared" si="36"/>
        <v/>
      </c>
      <c r="I375" s="2"/>
      <c r="L375" s="2"/>
      <c r="M375" s="2"/>
      <c r="N375" s="39"/>
      <c r="O375" s="2"/>
      <c r="P375" s="2"/>
    </row>
    <row r="376" spans="1:16" x14ac:dyDescent="0.25">
      <c r="B376" s="38" t="str">
        <f>IF($A376=0,"",VLOOKUP($A376,'BASE MATERIAL'!$A:$D,2))</f>
        <v/>
      </c>
      <c r="C376" s="2"/>
      <c r="D376" s="77"/>
      <c r="E376" s="78" t="str">
        <f>IF($A376=0,"",VLOOKUP($A376,'BASE MATERIAL'!$A:$D,3))</f>
        <v/>
      </c>
      <c r="F376" s="55"/>
      <c r="G376" s="55" t="str">
        <f>IF($A376=0,"",VLOOKUP($A376,'BASE MATERIAL'!$A:$D,4))</f>
        <v/>
      </c>
      <c r="H376" s="56" t="str">
        <f t="shared" si="36"/>
        <v/>
      </c>
      <c r="I376" s="2"/>
    </row>
    <row r="377" spans="1:16" x14ac:dyDescent="0.25">
      <c r="B377" s="38" t="str">
        <f>IF($A377=0,"",VLOOKUP($A377,'BASE MATERIAL'!$A:$D,2))</f>
        <v/>
      </c>
      <c r="C377" s="2"/>
      <c r="D377" s="77"/>
      <c r="E377" s="78" t="str">
        <f>IF($A377=0,"",VLOOKUP($A377,'BASE MATERIAL'!$A:$D,3))</f>
        <v/>
      </c>
      <c r="F377" s="55"/>
      <c r="G377" s="55" t="str">
        <f>IF($A377=0,"",VLOOKUP($A377,'BASE MATERIAL'!$A:$D,4))</f>
        <v/>
      </c>
      <c r="H377" s="56" t="str">
        <f t="shared" si="36"/>
        <v/>
      </c>
      <c r="I377" s="2"/>
    </row>
    <row r="378" spans="1:16" x14ac:dyDescent="0.25">
      <c r="B378" s="38" t="str">
        <f>IF($A378=0,"",VLOOKUP($A378,'BASE MATERIAL'!$A:$D,2))</f>
        <v/>
      </c>
      <c r="C378" s="2"/>
      <c r="D378" s="77"/>
      <c r="E378" s="78" t="str">
        <f>IF($A378=0,"",VLOOKUP($A378,'BASE MATERIAL'!$A:$D,3))</f>
        <v/>
      </c>
      <c r="F378" s="55"/>
      <c r="G378" s="55" t="str">
        <f>IF($A378=0,"",VLOOKUP($A378,'BASE MATERIAL'!$A:$D,4))</f>
        <v/>
      </c>
      <c r="H378" s="56" t="str">
        <f t="shared" si="36"/>
        <v/>
      </c>
      <c r="I378" s="2"/>
    </row>
    <row r="379" spans="1:16" x14ac:dyDescent="0.25">
      <c r="B379" s="38" t="str">
        <f>IF($A379=0,"",VLOOKUP($A379,'BASE MATERIAL'!$A:$D,2))</f>
        <v/>
      </c>
      <c r="C379" s="2"/>
      <c r="D379" s="77"/>
      <c r="E379" s="78" t="str">
        <f>IF($A379=0,"",VLOOKUP($A379,'BASE MATERIAL'!$A:$D,3))</f>
        <v/>
      </c>
      <c r="F379" s="55"/>
      <c r="G379" s="55" t="str">
        <f>IF($A379=0,"",VLOOKUP($A379,'BASE MATERIAL'!$A:$D,4))</f>
        <v/>
      </c>
      <c r="H379" s="56" t="str">
        <f t="shared" si="36"/>
        <v/>
      </c>
      <c r="I379" s="2"/>
    </row>
    <row r="380" spans="1:16" x14ac:dyDescent="0.25">
      <c r="B380" s="38" t="str">
        <f>IF($A380=0,"",VLOOKUP($A380,'BASE MATERIAL'!$A:$D,2))</f>
        <v/>
      </c>
      <c r="C380" s="2"/>
      <c r="D380" s="81" t="s">
        <v>1682</v>
      </c>
      <c r="E380" s="55" t="str">
        <f>IF($A380=0,"",VLOOKUP($A380,'BASE MATERIAL'!$A:$D,3))</f>
        <v/>
      </c>
      <c r="F380" s="55" t="s">
        <v>1682</v>
      </c>
      <c r="G380" s="55" t="str">
        <f>IF($A380=0,"",VLOOKUP($A380,'BASE MATERIAL'!$A:$D,4))</f>
        <v/>
      </c>
      <c r="H380" s="56" t="str">
        <f>IF($A380=0,"",ROUND(E380*F380,2))</f>
        <v/>
      </c>
      <c r="I380" s="2"/>
    </row>
    <row r="381" spans="1:16" x14ac:dyDescent="0.25">
      <c r="B381" s="73" t="s">
        <v>1681</v>
      </c>
      <c r="C381" s="65"/>
      <c r="D381" s="74"/>
      <c r="E381" s="74"/>
      <c r="F381" s="74"/>
      <c r="G381" s="74"/>
      <c r="H381" s="75">
        <f>ROUND(SUM(H364:H380),2)</f>
        <v>160.62</v>
      </c>
      <c r="I381" s="2"/>
    </row>
    <row r="382" spans="1:16" x14ac:dyDescent="0.25">
      <c r="B382" s="38" t="s">
        <v>1680</v>
      </c>
      <c r="C382" s="2"/>
      <c r="D382" s="3"/>
      <c r="E382" s="3"/>
      <c r="F382" s="3"/>
      <c r="G382" s="3"/>
      <c r="H382" s="56"/>
      <c r="I382" s="2"/>
    </row>
    <row r="383" spans="1:16" ht="25.5" x14ac:dyDescent="0.25">
      <c r="B383" s="64" t="s">
        <v>1409</v>
      </c>
      <c r="C383" s="65"/>
      <c r="D383" s="76"/>
      <c r="E383" s="66" t="s">
        <v>1408</v>
      </c>
      <c r="F383" s="66" t="s">
        <v>1679</v>
      </c>
      <c r="G383" s="66" t="s">
        <v>1676</v>
      </c>
      <c r="H383" s="68" t="s">
        <v>1675</v>
      </c>
      <c r="I383" s="2"/>
    </row>
    <row r="384" spans="1:16" x14ac:dyDescent="0.25">
      <c r="A384" s="103">
        <v>19019</v>
      </c>
      <c r="B384" s="51" t="str">
        <f>IF($A384=0,"",VLOOKUP($A384,'BASE EQUIPO'!$A:$D,2))</f>
        <v>TRANSPORTE DE MATERIAL</v>
      </c>
      <c r="C384" s="52"/>
      <c r="D384" s="82"/>
      <c r="E384" s="78" t="str">
        <f>IF($A384=0,"",VLOOKUP($A384,'BASE EQUIPO'!$A:$D,3))</f>
        <v>GLOBAL</v>
      </c>
      <c r="F384" s="55">
        <v>1</v>
      </c>
      <c r="G384" s="83">
        <f>IF($A384=0,"",VLOOKUP($A384,'BASE EQUIPO'!$A:$D,4)*H381)</f>
        <v>4.8186</v>
      </c>
      <c r="H384" s="56">
        <f>IF($A384=0,"",ROUND(F384*G384,2))</f>
        <v>4.82</v>
      </c>
      <c r="I384" s="2"/>
    </row>
    <row r="385" spans="1:15" x14ac:dyDescent="0.25">
      <c r="B385" s="38" t="str">
        <f>IF($A385=0,"",VLOOKUP($A385,'BASE EQUIPO'!$A:$D,2))</f>
        <v/>
      </c>
      <c r="C385" s="2"/>
      <c r="D385" s="84"/>
      <c r="E385" s="78" t="str">
        <f>IF($A385=0,"",VLOOKUP($A385,'BASE EQUIPO'!$A:$D,3))</f>
        <v/>
      </c>
      <c r="F385" s="55"/>
      <c r="G385" s="55" t="str">
        <f>IF($A385=0,"",VLOOKUP($A385,'BASE EQUIPO'!$A:$D,4)*H382)</f>
        <v/>
      </c>
      <c r="H385" s="56" t="str">
        <f>IF($A385=0,"",ROUND(F385*G385,2))</f>
        <v/>
      </c>
      <c r="I385" s="2"/>
    </row>
    <row r="386" spans="1:15" x14ac:dyDescent="0.25">
      <c r="B386" s="57" t="str">
        <f>IF($A386=0,"",VLOOKUP($A386,'BASE EQUIPO'!$A:$D,2))</f>
        <v/>
      </c>
      <c r="C386" s="58"/>
      <c r="D386" s="85"/>
      <c r="E386" s="86" t="str">
        <f>IF($A386=0,"",VLOOKUP($A386,'BASE EQUIPO'!$A:$D,3))</f>
        <v/>
      </c>
      <c r="F386" s="59"/>
      <c r="G386" s="59" t="str">
        <f>IF($A386=0,"",VLOOKUP($A386,'BASE EQUIPO'!$A:$D,4)*H383)</f>
        <v/>
      </c>
      <c r="H386" s="60" t="str">
        <f>IF($A386=0,"",ROUND(F386*G386,2))</f>
        <v/>
      </c>
      <c r="I386" s="2"/>
    </row>
    <row r="387" spans="1:15" ht="15.75" thickBot="1" x14ac:dyDescent="0.3">
      <c r="B387" s="87" t="s">
        <v>1674</v>
      </c>
      <c r="C387" s="88"/>
      <c r="D387" s="89"/>
      <c r="E387" s="89"/>
      <c r="F387" s="89"/>
      <c r="G387" s="89"/>
      <c r="H387" s="90">
        <f>ROUND(SUM(H383:H386),2)</f>
        <v>4.82</v>
      </c>
      <c r="I387" s="2"/>
    </row>
    <row r="388" spans="1:15" ht="15.75" x14ac:dyDescent="0.25">
      <c r="B388" s="2"/>
      <c r="C388" s="2"/>
      <c r="D388" s="91" t="s">
        <v>1673</v>
      </c>
      <c r="E388" s="47"/>
      <c r="F388" s="47"/>
      <c r="G388" s="47"/>
      <c r="H388" s="92">
        <f>ROUND(SUM(H387,H381,H362,H352),2)</f>
        <v>267.67</v>
      </c>
      <c r="I388" s="2"/>
      <c r="K388" s="1">
        <v>195.67</v>
      </c>
    </row>
    <row r="389" spans="1:15" ht="15.75" x14ac:dyDescent="0.25">
      <c r="A389" s="103">
        <v>40002</v>
      </c>
      <c r="B389" s="2"/>
      <c r="C389" s="2"/>
      <c r="D389" s="93" t="s">
        <v>1672</v>
      </c>
      <c r="E389" s="65"/>
      <c r="F389" s="65"/>
      <c r="G389" s="94">
        <f>IF($A389=0,"",VLOOKUP($A389,'BASE MATERIAL'!$M:$P,4))</f>
        <v>0</v>
      </c>
      <c r="H389" s="95">
        <f>IF($A389=0,"",ROUND(G389*H388,2))</f>
        <v>0</v>
      </c>
      <c r="I389" s="2"/>
    </row>
    <row r="390" spans="1:15" ht="15.75" x14ac:dyDescent="0.25">
      <c r="A390" s="103">
        <v>40003</v>
      </c>
      <c r="B390" s="2"/>
      <c r="C390" s="2"/>
      <c r="D390" s="93" t="s">
        <v>1671</v>
      </c>
      <c r="E390" s="65"/>
      <c r="F390" s="65"/>
      <c r="G390" s="94">
        <f>IF($A390=0,"",VLOOKUP($A390,'BASE MATERIAL'!$M:$P,4))</f>
        <v>0</v>
      </c>
      <c r="H390" s="95">
        <f>IF($A390=0,"",ROUND(G390*H388,2))</f>
        <v>0</v>
      </c>
      <c r="I390" s="2"/>
    </row>
    <row r="391" spans="1:15" ht="15.75" x14ac:dyDescent="0.25">
      <c r="B391" s="2"/>
      <c r="C391" s="2"/>
      <c r="D391" s="93" t="s">
        <v>1670</v>
      </c>
      <c r="E391" s="65"/>
      <c r="F391" s="65"/>
      <c r="G391" s="65"/>
      <c r="H391" s="96">
        <f>ROUND(SUM(H388:H390),2)</f>
        <v>267.67</v>
      </c>
      <c r="I391" s="2"/>
    </row>
    <row r="392" spans="1:15" ht="16.5" thickBot="1" x14ac:dyDescent="0.3">
      <c r="B392" s="25"/>
      <c r="C392" s="2"/>
      <c r="D392" s="97" t="s">
        <v>1650</v>
      </c>
      <c r="E392" s="88"/>
      <c r="F392" s="88"/>
      <c r="G392" s="88"/>
      <c r="H392" s="98">
        <f>ROUND(H391,2)</f>
        <v>267.67</v>
      </c>
      <c r="I392" s="2"/>
    </row>
    <row r="393" spans="1:15" ht="15.75" x14ac:dyDescent="0.25">
      <c r="B393" s="34" t="s">
        <v>1701</v>
      </c>
      <c r="C393" s="2"/>
      <c r="D393" s="3" t="str">
        <f>$D$1</f>
        <v>ESPOL</v>
      </c>
      <c r="E393" s="2"/>
      <c r="F393" s="2"/>
      <c r="H393" s="2" t="s">
        <v>108</v>
      </c>
      <c r="I393" s="2"/>
      <c r="L393" s="40">
        <f>A397</f>
        <v>6</v>
      </c>
      <c r="M393" s="1" t="str">
        <f>C398</f>
        <v>Vigas primer alto</v>
      </c>
      <c r="N393" s="2" t="str">
        <f>H397</f>
        <v>m3</v>
      </c>
      <c r="O393" s="2">
        <f>H448</f>
        <v>274.87</v>
      </c>
    </row>
    <row r="394" spans="1:15" ht="15.75" x14ac:dyDescent="0.25">
      <c r="B394" s="34" t="s">
        <v>1700</v>
      </c>
      <c r="C394" s="3">
        <f>'1.1'!$C$2</f>
        <v>0</v>
      </c>
      <c r="D394" s="2"/>
      <c r="E394" s="2"/>
      <c r="F394" s="2"/>
      <c r="G394" s="41" t="s">
        <v>1699</v>
      </c>
      <c r="H394" s="42"/>
      <c r="I394" s="2" t="s">
        <v>1698</v>
      </c>
    </row>
    <row r="395" spans="1:15" ht="15.75" x14ac:dyDescent="0.25">
      <c r="B395" s="34"/>
      <c r="C395" s="3">
        <f>'1.1'!$C$3</f>
        <v>0</v>
      </c>
      <c r="D395" s="2"/>
      <c r="E395" s="2"/>
      <c r="F395" s="2"/>
      <c r="G395" s="2"/>
      <c r="H395" s="2"/>
      <c r="I395" s="2"/>
    </row>
    <row r="396" spans="1:15" ht="15.75" x14ac:dyDescent="0.25">
      <c r="B396" s="34" t="s">
        <v>1697</v>
      </c>
      <c r="C396" s="3"/>
      <c r="D396" s="2"/>
      <c r="E396" s="2"/>
      <c r="F396" s="2"/>
      <c r="G396" s="2"/>
      <c r="H396" s="2"/>
      <c r="I396" s="2"/>
    </row>
    <row r="397" spans="1:15" x14ac:dyDescent="0.25">
      <c r="A397" s="104">
        <v>6</v>
      </c>
      <c r="B397" s="2" t="s">
        <v>1586</v>
      </c>
      <c r="C397" s="36" t="s">
        <v>1558</v>
      </c>
      <c r="D397" s="2"/>
      <c r="G397" s="2" t="s">
        <v>1696</v>
      </c>
      <c r="H397" s="3" t="s">
        <v>1521</v>
      </c>
      <c r="I397" s="2"/>
    </row>
    <row r="398" spans="1:15" x14ac:dyDescent="0.25">
      <c r="B398" s="1" t="s">
        <v>1585</v>
      </c>
      <c r="C398" s="36" t="s">
        <v>644</v>
      </c>
      <c r="D398" s="2"/>
      <c r="E398" s="2"/>
      <c r="F398" s="2"/>
      <c r="G398" s="2"/>
      <c r="H398" s="2"/>
      <c r="I398" s="2"/>
    </row>
    <row r="399" spans="1:15" ht="15.75" thickBot="1" x14ac:dyDescent="0.3">
      <c r="D399" s="2"/>
      <c r="E399" s="2"/>
      <c r="F399" s="2"/>
      <c r="G399" s="2"/>
      <c r="H399" s="2"/>
      <c r="I399" s="2"/>
    </row>
    <row r="400" spans="1:15" ht="15.75" thickBot="1" x14ac:dyDescent="0.3">
      <c r="B400" s="43" t="s">
        <v>1695</v>
      </c>
      <c r="C400" s="44"/>
      <c r="D400" s="44"/>
      <c r="E400" s="44"/>
      <c r="F400" s="44"/>
      <c r="G400" s="44"/>
      <c r="H400" s="45"/>
      <c r="I400" s="2"/>
    </row>
    <row r="401" spans="1:11" ht="25.5" x14ac:dyDescent="0.25">
      <c r="B401" s="46" t="s">
        <v>1409</v>
      </c>
      <c r="C401" s="47"/>
      <c r="D401" s="48" t="s">
        <v>1690</v>
      </c>
      <c r="E401" s="48" t="s">
        <v>1694</v>
      </c>
      <c r="F401" s="48" t="s">
        <v>1693</v>
      </c>
      <c r="G401" s="49" t="s">
        <v>1687</v>
      </c>
      <c r="H401" s="50" t="s">
        <v>1686</v>
      </c>
      <c r="I401" s="2"/>
    </row>
    <row r="402" spans="1:11" x14ac:dyDescent="0.25">
      <c r="A402" s="103">
        <v>19015</v>
      </c>
      <c r="B402" s="51" t="str">
        <f>IF($A402=0,"",VLOOKUP($A402,'BASE EQUIPO'!$A:$D,2))</f>
        <v>HERRAMIENTA MENOR</v>
      </c>
      <c r="C402" s="52"/>
      <c r="D402" s="53">
        <v>1</v>
      </c>
      <c r="E402" s="53">
        <f>IF($A402=0,"",VLOOKUP($A402,'BASE EQUIPO'!$A:$D,4)*H418)</f>
        <v>3.0345</v>
      </c>
      <c r="F402" s="53">
        <f t="shared" ref="F402:F407" si="37">IF($A402=0,"",ROUND(D402*E402,2))</f>
        <v>3.03</v>
      </c>
      <c r="G402" s="105">
        <v>1</v>
      </c>
      <c r="H402" s="54">
        <f t="shared" ref="H402:H407" si="38">IF($A402=0,"",ROUND(G402*F402,2))</f>
        <v>3.03</v>
      </c>
      <c r="I402" s="2"/>
    </row>
    <row r="403" spans="1:11" x14ac:dyDescent="0.25">
      <c r="B403" s="38" t="str">
        <f>IF($A403=0,"",VLOOKUP($A403,'BASE EQUIPO'!$A:$D,2))</f>
        <v/>
      </c>
      <c r="C403" s="2"/>
      <c r="D403" s="55"/>
      <c r="E403" s="55" t="str">
        <f>IF($A403=0,"",VLOOKUP($A403,'BASE EQUIPO'!$A:$D,4))</f>
        <v/>
      </c>
      <c r="F403" s="55" t="str">
        <f t="shared" si="37"/>
        <v/>
      </c>
      <c r="G403" s="106"/>
      <c r="H403" s="56" t="str">
        <f t="shared" si="38"/>
        <v/>
      </c>
      <c r="I403" s="2"/>
    </row>
    <row r="404" spans="1:11" x14ac:dyDescent="0.25">
      <c r="A404" s="103">
        <v>19008</v>
      </c>
      <c r="B404" s="38" t="str">
        <f>IF($A404=0,"",VLOOKUP($A404,'BASE EQUIPO'!$A:$D,2))</f>
        <v>VIBRADOR</v>
      </c>
      <c r="C404" s="2"/>
      <c r="D404" s="55">
        <v>1</v>
      </c>
      <c r="E404" s="55">
        <f>IF($A404=0,"",VLOOKUP($A404,'BASE EQUIPO'!$A:$D,4))</f>
        <v>2.5</v>
      </c>
      <c r="F404" s="55">
        <f t="shared" si="37"/>
        <v>2.5</v>
      </c>
      <c r="G404" s="106">
        <f>G412</f>
        <v>1.3</v>
      </c>
      <c r="H404" s="56">
        <f t="shared" si="38"/>
        <v>3.25</v>
      </c>
      <c r="I404" s="2"/>
    </row>
    <row r="405" spans="1:11" x14ac:dyDescent="0.25">
      <c r="A405" s="103">
        <v>1</v>
      </c>
      <c r="B405" s="38" t="s">
        <v>627</v>
      </c>
      <c r="C405" s="2"/>
      <c r="D405" s="55">
        <v>4</v>
      </c>
      <c r="E405" s="55">
        <v>0.5</v>
      </c>
      <c r="F405" s="55">
        <f t="shared" si="37"/>
        <v>2</v>
      </c>
      <c r="G405" s="106">
        <v>1</v>
      </c>
      <c r="H405" s="56">
        <f t="shared" si="38"/>
        <v>2</v>
      </c>
      <c r="I405" s="2"/>
    </row>
    <row r="406" spans="1:11" x14ac:dyDescent="0.25">
      <c r="B406" s="38" t="str">
        <f>IF($A406=0,"",VLOOKUP($A406,'BASE EQUIPO'!$A:$D,2))</f>
        <v/>
      </c>
      <c r="C406" s="2"/>
      <c r="D406" s="55"/>
      <c r="E406" s="55" t="str">
        <f>IF($A406=0,"",VLOOKUP($A406,'BASE EQUIPO'!$A:$D,4))</f>
        <v/>
      </c>
      <c r="F406" s="55" t="str">
        <f t="shared" si="37"/>
        <v/>
      </c>
      <c r="G406" s="106"/>
      <c r="H406" s="56" t="str">
        <f t="shared" si="38"/>
        <v/>
      </c>
      <c r="I406" s="2"/>
    </row>
    <row r="407" spans="1:11" x14ac:dyDescent="0.25">
      <c r="B407" s="57" t="str">
        <f>IF($A407=0,"",VLOOKUP($A407,'BASE EQUIPO'!$A:$D,2))</f>
        <v/>
      </c>
      <c r="C407" s="58"/>
      <c r="D407" s="59"/>
      <c r="E407" s="59" t="str">
        <f>IF($A407=0,"",VLOOKUP($A407,'BASE EQUIPO'!$A:$D,4))</f>
        <v/>
      </c>
      <c r="F407" s="59" t="str">
        <f t="shared" si="37"/>
        <v/>
      </c>
      <c r="G407" s="107"/>
      <c r="H407" s="60" t="str">
        <f t="shared" si="38"/>
        <v/>
      </c>
      <c r="I407" s="2"/>
    </row>
    <row r="408" spans="1:11" x14ac:dyDescent="0.25">
      <c r="B408" s="57" t="s">
        <v>1692</v>
      </c>
      <c r="C408" s="58"/>
      <c r="D408" s="61"/>
      <c r="E408" s="61"/>
      <c r="F408" s="61"/>
      <c r="G408" s="62"/>
      <c r="H408" s="60">
        <f>ROUND(SUM(H401:H407),2)</f>
        <v>8.2799999999999994</v>
      </c>
      <c r="I408" s="2"/>
    </row>
    <row r="409" spans="1:11" x14ac:dyDescent="0.25">
      <c r="B409" s="38" t="s">
        <v>1503</v>
      </c>
      <c r="C409" s="2"/>
      <c r="D409" s="3"/>
      <c r="E409" s="3"/>
      <c r="F409" s="3"/>
      <c r="G409" s="63"/>
      <c r="H409" s="56"/>
      <c r="I409" s="2"/>
    </row>
    <row r="410" spans="1:11" ht="25.5" x14ac:dyDescent="0.25">
      <c r="B410" s="64" t="s">
        <v>1691</v>
      </c>
      <c r="C410" s="65"/>
      <c r="D410" s="66" t="s">
        <v>1690</v>
      </c>
      <c r="E410" s="66" t="s">
        <v>1689</v>
      </c>
      <c r="F410" s="66" t="s">
        <v>1688</v>
      </c>
      <c r="G410" s="67" t="s">
        <v>1687</v>
      </c>
      <c r="H410" s="68" t="s">
        <v>1686</v>
      </c>
      <c r="I410" s="2"/>
    </row>
    <row r="411" spans="1:11" x14ac:dyDescent="0.25">
      <c r="A411" s="103">
        <v>20001</v>
      </c>
      <c r="B411" s="69" t="str">
        <f>IF($A411=0,"",VLOOKUP($A411,'BASE M-OBRA'!$A:$D,2))</f>
        <v>MAESTRO</v>
      </c>
      <c r="C411" s="2"/>
      <c r="D411" s="108">
        <v>1</v>
      </c>
      <c r="E411" s="70">
        <f>IF($A411=0,"",VLOOKUP($A411,'BASE M-OBRA'!$A:$D,4))</f>
        <v>3.02</v>
      </c>
      <c r="F411" s="55">
        <f t="shared" ref="F411:F417" si="39">IF($A411=0,"",ROUND(D411*E411,2))</f>
        <v>3.02</v>
      </c>
      <c r="G411" s="106">
        <f>IF($A411=0,"",ROUND(H411/F411,2))</f>
        <v>5.58</v>
      </c>
      <c r="H411" s="56">
        <f>IF($A411=0,"",ROUND(SUM(H412:H417)*'BASE M-OBRA'!$D$23,2))</f>
        <v>16.86</v>
      </c>
      <c r="I411" s="2"/>
    </row>
    <row r="412" spans="1:11" x14ac:dyDescent="0.25">
      <c r="A412" s="103">
        <v>20002</v>
      </c>
      <c r="B412" s="69" t="str">
        <f>IF($A412=0,"",VLOOKUP($A412,'BASE M-OBRA'!$A:$D,2))</f>
        <v>PEON</v>
      </c>
      <c r="C412" s="2"/>
      <c r="D412" s="108">
        <v>8</v>
      </c>
      <c r="E412" s="70">
        <f>IF($A412=0,"",VLOOKUP($A412,'BASE M-OBRA'!$A:$D,4))</f>
        <v>2.79</v>
      </c>
      <c r="F412" s="55">
        <f t="shared" si="39"/>
        <v>22.32</v>
      </c>
      <c r="G412" s="106">
        <v>1.3</v>
      </c>
      <c r="H412" s="56">
        <f t="shared" ref="H412:H417" si="40">IF($A412=0,"",ROUND(G412*F412,2))</f>
        <v>29.02</v>
      </c>
      <c r="I412" s="2"/>
    </row>
    <row r="413" spans="1:11" x14ac:dyDescent="0.25">
      <c r="A413" s="103">
        <v>20003</v>
      </c>
      <c r="B413" s="69" t="str">
        <f>IF($A413=0,"",VLOOKUP($A413,'BASE M-OBRA'!$A:$D,2))</f>
        <v>ALBAÑIL</v>
      </c>
      <c r="C413" s="2"/>
      <c r="D413" s="108">
        <v>2</v>
      </c>
      <c r="E413" s="70">
        <f>IF($A413=0,"",VLOOKUP($A413,'BASE M-OBRA'!$A:$D,4))</f>
        <v>2.82</v>
      </c>
      <c r="F413" s="55">
        <f t="shared" si="39"/>
        <v>5.64</v>
      </c>
      <c r="G413" s="106">
        <f>+G412</f>
        <v>1.3</v>
      </c>
      <c r="H413" s="56">
        <f t="shared" si="40"/>
        <v>7.33</v>
      </c>
      <c r="I413" s="2"/>
    </row>
    <row r="414" spans="1:11" x14ac:dyDescent="0.25">
      <c r="A414" s="103">
        <v>20004</v>
      </c>
      <c r="B414" s="71" t="str">
        <f>IF($A414=0,"",VLOOKUP($A414,'BASE M-OBRA'!$A:$D,2))</f>
        <v>CARPINTERO</v>
      </c>
      <c r="C414" s="2"/>
      <c r="D414" s="108">
        <v>2</v>
      </c>
      <c r="E414" s="70">
        <f>IF($A414=0,"",VLOOKUP($A414,'BASE M-OBRA'!$A:$D,4))</f>
        <v>2.82</v>
      </c>
      <c r="F414" s="55">
        <f t="shared" si="39"/>
        <v>5.64</v>
      </c>
      <c r="G414" s="106">
        <v>8.5</v>
      </c>
      <c r="H414" s="56">
        <f t="shared" si="40"/>
        <v>47.94</v>
      </c>
      <c r="I414" s="2"/>
      <c r="K414" s="1">
        <f>7*2.9</f>
        <v>20.3</v>
      </c>
    </row>
    <row r="415" spans="1:11" x14ac:dyDescent="0.25">
      <c r="B415" s="72" t="str">
        <f>IF($A415=0,"",VLOOKUP($A415,'BASE M-OBRA'!$A:$D,2))</f>
        <v/>
      </c>
      <c r="C415" s="2"/>
      <c r="D415" s="108"/>
      <c r="E415" s="70" t="str">
        <f>IF($A415=0,"",VLOOKUP($A415,'BASE M-OBRA'!$A:$D,4))</f>
        <v/>
      </c>
      <c r="F415" s="55" t="str">
        <f t="shared" si="39"/>
        <v/>
      </c>
      <c r="G415" s="106"/>
      <c r="H415" s="56" t="str">
        <f t="shared" si="40"/>
        <v/>
      </c>
      <c r="I415" s="2"/>
      <c r="K415" s="1">
        <f>+F425*0.15</f>
        <v>1.5</v>
      </c>
    </row>
    <row r="416" spans="1:11" x14ac:dyDescent="0.25">
      <c r="B416" s="38" t="str">
        <f>IF($A416=0,"",VLOOKUP($A416,'BASE M-OBRA'!$A:$D,2))</f>
        <v/>
      </c>
      <c r="C416" s="2"/>
      <c r="D416" s="55"/>
      <c r="E416" s="55" t="str">
        <f>IF($A416=0,"",VLOOKUP($A416,'BASE M-OBRA'!$A:$D,4))</f>
        <v/>
      </c>
      <c r="F416" s="55" t="str">
        <f t="shared" si="39"/>
        <v/>
      </c>
      <c r="G416" s="106"/>
      <c r="H416" s="56" t="str">
        <f t="shared" si="40"/>
        <v/>
      </c>
      <c r="I416" s="2"/>
    </row>
    <row r="417" spans="1:16" x14ac:dyDescent="0.25">
      <c r="B417" s="57" t="str">
        <f>IF($A417=0,"",VLOOKUP($A417,'BASE M-OBRA'!$A:$D,2))</f>
        <v/>
      </c>
      <c r="C417" s="58"/>
      <c r="D417" s="59"/>
      <c r="E417" s="59" t="str">
        <f>IF($A417=0,"",VLOOKUP($A417,'BASE M-OBRA'!$A:$D,4))</f>
        <v/>
      </c>
      <c r="F417" s="59" t="str">
        <f t="shared" si="39"/>
        <v/>
      </c>
      <c r="G417" s="107"/>
      <c r="H417" s="60" t="str">
        <f t="shared" si="40"/>
        <v/>
      </c>
      <c r="I417" s="2"/>
    </row>
    <row r="418" spans="1:16" x14ac:dyDescent="0.25">
      <c r="B418" s="73" t="s">
        <v>1685</v>
      </c>
      <c r="C418" s="65"/>
      <c r="D418" s="74"/>
      <c r="E418" s="74"/>
      <c r="F418" s="74"/>
      <c r="G418" s="74"/>
      <c r="H418" s="75">
        <f>ROUND(SUM(H410:H417),2)</f>
        <v>101.15</v>
      </c>
      <c r="I418" s="2"/>
      <c r="K418" s="1">
        <f>SUM(K414:K417)+15</f>
        <v>36.799999999999997</v>
      </c>
    </row>
    <row r="419" spans="1:16" x14ac:dyDescent="0.25">
      <c r="B419" s="38" t="s">
        <v>1684</v>
      </c>
      <c r="C419" s="2"/>
      <c r="D419" s="3"/>
      <c r="E419" s="3"/>
      <c r="F419" s="3"/>
      <c r="G419" s="3"/>
      <c r="H419" s="56"/>
      <c r="I419" s="2"/>
    </row>
    <row r="420" spans="1:16" ht="25.5" x14ac:dyDescent="0.25">
      <c r="B420" s="64" t="s">
        <v>1409</v>
      </c>
      <c r="C420" s="65"/>
      <c r="D420" s="76"/>
      <c r="E420" s="66" t="s">
        <v>1408</v>
      </c>
      <c r="F420" s="66" t="s">
        <v>1679</v>
      </c>
      <c r="G420" s="66" t="s">
        <v>1683</v>
      </c>
      <c r="H420" s="68" t="s">
        <v>1675</v>
      </c>
      <c r="I420" s="2"/>
    </row>
    <row r="421" spans="1:16" x14ac:dyDescent="0.25">
      <c r="A421" s="103">
        <v>11008</v>
      </c>
      <c r="B421" s="37" t="s">
        <v>628</v>
      </c>
      <c r="C421" s="2"/>
      <c r="D421" s="77"/>
      <c r="E421" s="78" t="s">
        <v>1566</v>
      </c>
      <c r="F421" s="55">
        <v>1</v>
      </c>
      <c r="G421" s="55">
        <v>1.38</v>
      </c>
      <c r="H421" s="56">
        <f t="shared" ref="H421:H435" si="41">IF($A421=0,"",ROUND(F421*G421,2))</f>
        <v>1.38</v>
      </c>
      <c r="I421" s="2"/>
      <c r="L421" s="2"/>
      <c r="M421" s="2"/>
      <c r="N421" s="39"/>
      <c r="O421" s="2"/>
      <c r="P421" s="2"/>
    </row>
    <row r="422" spans="1:16" x14ac:dyDescent="0.25">
      <c r="A422" s="103">
        <v>11009</v>
      </c>
      <c r="B422" s="38" t="s">
        <v>630</v>
      </c>
      <c r="C422" s="2"/>
      <c r="D422" s="77"/>
      <c r="E422" s="78" t="s">
        <v>1521</v>
      </c>
      <c r="F422" s="55">
        <v>1.02</v>
      </c>
      <c r="G422" s="55">
        <f>106.7*1.12</f>
        <v>119.50400000000002</v>
      </c>
      <c r="H422" s="56">
        <f t="shared" si="41"/>
        <v>121.89</v>
      </c>
      <c r="I422" s="2"/>
      <c r="K422" s="1">
        <v>0.06</v>
      </c>
      <c r="L422" s="2"/>
      <c r="M422" s="2"/>
      <c r="N422" s="39"/>
      <c r="O422" s="2"/>
      <c r="P422" s="2"/>
    </row>
    <row r="423" spans="1:16" x14ac:dyDescent="0.25">
      <c r="B423" s="38"/>
      <c r="C423" s="2"/>
      <c r="D423" s="77"/>
      <c r="E423" s="78"/>
      <c r="F423" s="55"/>
      <c r="G423" s="55"/>
      <c r="H423" s="56" t="str">
        <f t="shared" si="41"/>
        <v/>
      </c>
      <c r="I423" s="2"/>
      <c r="K423" s="1">
        <f>3.6*0.12*0.19</f>
        <v>8.208E-2</v>
      </c>
      <c r="L423" s="2"/>
      <c r="M423" s="2"/>
      <c r="N423" s="39"/>
      <c r="O423" s="2"/>
      <c r="P423" s="2"/>
    </row>
    <row r="424" spans="1:16" x14ac:dyDescent="0.25">
      <c r="A424" s="103">
        <v>1</v>
      </c>
      <c r="B424" s="38" t="s">
        <v>631</v>
      </c>
      <c r="C424" s="2"/>
      <c r="D424" s="77"/>
      <c r="E424" s="78" t="s">
        <v>1509</v>
      </c>
      <c r="F424" s="55">
        <v>5.25</v>
      </c>
      <c r="G424" s="55">
        <v>1.4</v>
      </c>
      <c r="H424" s="56">
        <f t="shared" si="41"/>
        <v>7.35</v>
      </c>
      <c r="I424" s="2"/>
      <c r="K424" s="1">
        <f>SUM(K422:K423)</f>
        <v>0.14207999999999998</v>
      </c>
      <c r="L424" s="2"/>
      <c r="M424" s="2"/>
      <c r="N424" s="39"/>
      <c r="O424" s="2"/>
      <c r="P424" s="2"/>
    </row>
    <row r="425" spans="1:16" x14ac:dyDescent="0.25">
      <c r="A425" s="103">
        <v>1</v>
      </c>
      <c r="B425" s="38" t="s">
        <v>629</v>
      </c>
      <c r="C425" s="2"/>
      <c r="D425" s="77"/>
      <c r="E425" s="78" t="s">
        <v>1520</v>
      </c>
      <c r="F425" s="55">
        <v>10</v>
      </c>
      <c r="G425" s="55">
        <v>3</v>
      </c>
      <c r="H425" s="56">
        <f t="shared" si="41"/>
        <v>30</v>
      </c>
      <c r="I425" s="2"/>
      <c r="K425" s="1">
        <f>1/K424</f>
        <v>7.0382882882882889</v>
      </c>
      <c r="L425" s="2"/>
      <c r="M425" s="2"/>
      <c r="N425" s="39"/>
      <c r="O425" s="2"/>
      <c r="P425" s="2"/>
    </row>
    <row r="426" spans="1:16" x14ac:dyDescent="0.25">
      <c r="B426" s="38"/>
      <c r="C426" s="2"/>
      <c r="D426" s="77"/>
      <c r="E426" s="78"/>
      <c r="F426" s="55"/>
      <c r="G426" s="55"/>
      <c r="H426" s="56" t="str">
        <f t="shared" si="41"/>
        <v/>
      </c>
      <c r="I426" s="2"/>
      <c r="L426" s="2"/>
      <c r="M426" s="2"/>
      <c r="N426" s="39"/>
      <c r="O426" s="2"/>
      <c r="P426" s="2"/>
    </row>
    <row r="427" spans="1:16" x14ac:dyDescent="0.25">
      <c r="B427" s="38"/>
      <c r="C427" s="2"/>
      <c r="D427" s="77"/>
      <c r="E427" s="78"/>
      <c r="F427" s="55"/>
      <c r="G427" s="55"/>
      <c r="H427" s="56" t="str">
        <f t="shared" si="41"/>
        <v/>
      </c>
      <c r="I427" s="2"/>
      <c r="L427" s="2"/>
      <c r="M427" s="2"/>
      <c r="N427" s="39"/>
      <c r="O427" s="2"/>
      <c r="P427" s="2"/>
    </row>
    <row r="428" spans="1:16" x14ac:dyDescent="0.25">
      <c r="B428" s="38" t="str">
        <f>IF($A428=0,"",VLOOKUP($A428,'BASE MATERIAL'!$A:$D,2))</f>
        <v/>
      </c>
      <c r="C428" s="2"/>
      <c r="D428" s="77"/>
      <c r="E428" s="78" t="str">
        <f>IF($A428=0,"",VLOOKUP($A428,'BASE MATERIAL'!$A:$D,3))</f>
        <v/>
      </c>
      <c r="F428" s="55"/>
      <c r="G428" s="55" t="str">
        <f>IF($A428=0,"",VLOOKUP($A428,'BASE MATERIAL'!$A:$D,4))</f>
        <v/>
      </c>
      <c r="H428" s="56" t="str">
        <f t="shared" si="41"/>
        <v/>
      </c>
      <c r="I428" s="2"/>
      <c r="L428" s="2"/>
      <c r="M428" s="2"/>
      <c r="N428" s="39"/>
      <c r="O428" s="2"/>
      <c r="P428" s="2"/>
    </row>
    <row r="429" spans="1:16" x14ac:dyDescent="0.25">
      <c r="B429" s="38" t="str">
        <f>IF($A429=0,"",VLOOKUP($A429,'BASE MATERIAL'!$A:$D,2))</f>
        <v/>
      </c>
      <c r="C429" s="2"/>
      <c r="D429" s="77"/>
      <c r="E429" s="78" t="str">
        <f>IF($A429=0,"",VLOOKUP($A429,'BASE MATERIAL'!$A:$D,3))</f>
        <v/>
      </c>
      <c r="F429" s="55"/>
      <c r="G429" s="55" t="str">
        <f>IF($A429=0,"",VLOOKUP($A429,'BASE MATERIAL'!$A:$D,4))</f>
        <v/>
      </c>
      <c r="H429" s="56" t="str">
        <f t="shared" si="41"/>
        <v/>
      </c>
      <c r="I429" s="2"/>
    </row>
    <row r="430" spans="1:16" x14ac:dyDescent="0.25">
      <c r="B430" s="38" t="str">
        <f>IF($A430=0,"",VLOOKUP($A430,'BASE MATERIAL'!$A:$D,2))</f>
        <v/>
      </c>
      <c r="C430" s="2"/>
      <c r="D430" s="77"/>
      <c r="E430" s="78" t="str">
        <f>IF($A430=0,"",VLOOKUP($A430,'BASE MATERIAL'!$A:$D,3))</f>
        <v/>
      </c>
      <c r="F430" s="55"/>
      <c r="G430" s="80" t="str">
        <f>IF($A430=0,"",VLOOKUP($A430,'BASE MATERIAL'!$A:$D,4))</f>
        <v/>
      </c>
      <c r="H430" s="56" t="str">
        <f t="shared" si="41"/>
        <v/>
      </c>
      <c r="I430" s="2"/>
      <c r="L430" s="2"/>
      <c r="M430" s="2"/>
      <c r="N430" s="39"/>
      <c r="O430" s="2"/>
      <c r="P430" s="2"/>
    </row>
    <row r="431" spans="1:16" x14ac:dyDescent="0.25">
      <c r="B431" s="38" t="str">
        <f>IF($A431=0,"",VLOOKUP($A431,'BASE MATERIAL'!$A:$D,2))</f>
        <v/>
      </c>
      <c r="C431" s="2"/>
      <c r="D431" s="77"/>
      <c r="E431" s="78" t="str">
        <f>IF($A431=0,"",VLOOKUP($A431,'BASE MATERIAL'!$A:$D,3))</f>
        <v/>
      </c>
      <c r="F431" s="55"/>
      <c r="G431" s="55" t="str">
        <f>IF($A431=0,"",VLOOKUP($A431,'BASE MATERIAL'!$A:$D,4))</f>
        <v/>
      </c>
      <c r="H431" s="56" t="str">
        <f t="shared" si="41"/>
        <v/>
      </c>
      <c r="I431" s="2"/>
      <c r="L431" s="2"/>
      <c r="M431" s="2"/>
      <c r="N431" s="39"/>
      <c r="O431" s="2"/>
      <c r="P431" s="2"/>
    </row>
    <row r="432" spans="1:16" x14ac:dyDescent="0.25">
      <c r="B432" s="38" t="str">
        <f>IF($A432=0,"",VLOOKUP($A432,'BASE MATERIAL'!$A:$D,2))</f>
        <v/>
      </c>
      <c r="C432" s="2"/>
      <c r="D432" s="77"/>
      <c r="E432" s="78" t="str">
        <f>IF($A432=0,"",VLOOKUP($A432,'BASE MATERIAL'!$A:$D,3))</f>
        <v/>
      </c>
      <c r="F432" s="55"/>
      <c r="G432" s="55" t="str">
        <f>IF($A432=0,"",VLOOKUP($A432,'BASE MATERIAL'!$A:$D,4))</f>
        <v/>
      </c>
      <c r="H432" s="56" t="str">
        <f t="shared" si="41"/>
        <v/>
      </c>
      <c r="I432" s="2"/>
    </row>
    <row r="433" spans="1:11" x14ac:dyDescent="0.25">
      <c r="B433" s="38" t="str">
        <f>IF($A433=0,"",VLOOKUP($A433,'BASE MATERIAL'!$A:$D,2))</f>
        <v/>
      </c>
      <c r="C433" s="2"/>
      <c r="D433" s="77"/>
      <c r="E433" s="78" t="str">
        <f>IF($A433=0,"",VLOOKUP($A433,'BASE MATERIAL'!$A:$D,3))</f>
        <v/>
      </c>
      <c r="F433" s="55"/>
      <c r="G433" s="55" t="str">
        <f>IF($A433=0,"",VLOOKUP($A433,'BASE MATERIAL'!$A:$D,4))</f>
        <v/>
      </c>
      <c r="H433" s="56" t="str">
        <f t="shared" si="41"/>
        <v/>
      </c>
      <c r="I433" s="2"/>
    </row>
    <row r="434" spans="1:11" x14ac:dyDescent="0.25">
      <c r="B434" s="38" t="str">
        <f>IF($A434=0,"",VLOOKUP($A434,'BASE MATERIAL'!$A:$D,2))</f>
        <v/>
      </c>
      <c r="C434" s="2"/>
      <c r="D434" s="77"/>
      <c r="E434" s="78" t="str">
        <f>IF($A434=0,"",VLOOKUP($A434,'BASE MATERIAL'!$A:$D,3))</f>
        <v/>
      </c>
      <c r="F434" s="55"/>
      <c r="G434" s="55" t="str">
        <f>IF($A434=0,"",VLOOKUP($A434,'BASE MATERIAL'!$A:$D,4))</f>
        <v/>
      </c>
      <c r="H434" s="56" t="str">
        <f t="shared" si="41"/>
        <v/>
      </c>
      <c r="I434" s="2"/>
    </row>
    <row r="435" spans="1:11" x14ac:dyDescent="0.25">
      <c r="B435" s="38" t="str">
        <f>IF($A435=0,"",VLOOKUP($A435,'BASE MATERIAL'!$A:$D,2))</f>
        <v/>
      </c>
      <c r="C435" s="2"/>
      <c r="D435" s="77"/>
      <c r="E435" s="78" t="str">
        <f>IF($A435=0,"",VLOOKUP($A435,'BASE MATERIAL'!$A:$D,3))</f>
        <v/>
      </c>
      <c r="F435" s="55"/>
      <c r="G435" s="55" t="str">
        <f>IF($A435=0,"",VLOOKUP($A435,'BASE MATERIAL'!$A:$D,4))</f>
        <v/>
      </c>
      <c r="H435" s="56" t="str">
        <f t="shared" si="41"/>
        <v/>
      </c>
      <c r="I435" s="2"/>
    </row>
    <row r="436" spans="1:11" x14ac:dyDescent="0.25">
      <c r="B436" s="38" t="str">
        <f>IF($A436=0,"",VLOOKUP($A436,'BASE MATERIAL'!$A:$D,2))</f>
        <v/>
      </c>
      <c r="C436" s="2"/>
      <c r="D436" s="81" t="s">
        <v>1682</v>
      </c>
      <c r="E436" s="55" t="str">
        <f>IF($A436=0,"",VLOOKUP($A436,'BASE MATERIAL'!$A:$D,3))</f>
        <v/>
      </c>
      <c r="F436" s="55" t="s">
        <v>1682</v>
      </c>
      <c r="G436" s="55" t="str">
        <f>IF($A436=0,"",VLOOKUP($A436,'BASE MATERIAL'!$A:$D,4))</f>
        <v/>
      </c>
      <c r="H436" s="56" t="str">
        <f>IF($A436=0,"",ROUND(E436*F436,2))</f>
        <v/>
      </c>
      <c r="I436" s="2"/>
    </row>
    <row r="437" spans="1:11" x14ac:dyDescent="0.25">
      <c r="B437" s="73" t="s">
        <v>1681</v>
      </c>
      <c r="C437" s="65"/>
      <c r="D437" s="74"/>
      <c r="E437" s="74"/>
      <c r="F437" s="74"/>
      <c r="G437" s="74"/>
      <c r="H437" s="75">
        <f>ROUND(SUM(H420:H436),2)</f>
        <v>160.62</v>
      </c>
      <c r="I437" s="2"/>
    </row>
    <row r="438" spans="1:11" x14ac:dyDescent="0.25">
      <c r="B438" s="38" t="s">
        <v>1680</v>
      </c>
      <c r="C438" s="2"/>
      <c r="D438" s="3"/>
      <c r="E438" s="3"/>
      <c r="F438" s="3"/>
      <c r="G438" s="3"/>
      <c r="H438" s="56"/>
      <c r="I438" s="2"/>
    </row>
    <row r="439" spans="1:11" ht="25.5" x14ac:dyDescent="0.25">
      <c r="B439" s="64" t="s">
        <v>1409</v>
      </c>
      <c r="C439" s="65"/>
      <c r="D439" s="76"/>
      <c r="E439" s="66" t="s">
        <v>1408</v>
      </c>
      <c r="F439" s="66" t="s">
        <v>1679</v>
      </c>
      <c r="G439" s="66" t="s">
        <v>1676</v>
      </c>
      <c r="H439" s="68" t="s">
        <v>1675</v>
      </c>
      <c r="I439" s="2"/>
    </row>
    <row r="440" spans="1:11" x14ac:dyDescent="0.25">
      <c r="A440" s="103">
        <v>19019</v>
      </c>
      <c r="B440" s="51" t="str">
        <f>IF($A440=0,"",VLOOKUP($A440,'BASE EQUIPO'!$A:$D,2))</f>
        <v>TRANSPORTE DE MATERIAL</v>
      </c>
      <c r="C440" s="52"/>
      <c r="D440" s="82"/>
      <c r="E440" s="78" t="str">
        <f>IF($A440=0,"",VLOOKUP($A440,'BASE EQUIPO'!$A:$D,3))</f>
        <v>GLOBAL</v>
      </c>
      <c r="F440" s="55">
        <v>1</v>
      </c>
      <c r="G440" s="83">
        <f>IF($A440=0,"",VLOOKUP($A440,'BASE EQUIPO'!$A:$D,4)*H437)</f>
        <v>4.8186</v>
      </c>
      <c r="H440" s="56">
        <f>IF($A440=0,"",ROUND(F440*G440,2))</f>
        <v>4.82</v>
      </c>
      <c r="I440" s="2"/>
    </row>
    <row r="441" spans="1:11" x14ac:dyDescent="0.25">
      <c r="B441" s="38" t="str">
        <f>IF($A441=0,"",VLOOKUP($A441,'BASE EQUIPO'!$A:$D,2))</f>
        <v/>
      </c>
      <c r="C441" s="2"/>
      <c r="D441" s="84"/>
      <c r="E441" s="78" t="str">
        <f>IF($A441=0,"",VLOOKUP($A441,'BASE EQUIPO'!$A:$D,3))</f>
        <v/>
      </c>
      <c r="F441" s="55"/>
      <c r="G441" s="55" t="str">
        <f>IF($A441=0,"",VLOOKUP($A441,'BASE EQUIPO'!$A:$D,4)*H438)</f>
        <v/>
      </c>
      <c r="H441" s="56" t="str">
        <f>IF($A441=0,"",ROUND(F441*G441,2))</f>
        <v/>
      </c>
      <c r="I441" s="2"/>
    </row>
    <row r="442" spans="1:11" x14ac:dyDescent="0.25">
      <c r="B442" s="57" t="str">
        <f>IF($A442=0,"",VLOOKUP($A442,'BASE EQUIPO'!$A:$D,2))</f>
        <v/>
      </c>
      <c r="C442" s="58"/>
      <c r="D442" s="85"/>
      <c r="E442" s="86" t="str">
        <f>IF($A442=0,"",VLOOKUP($A442,'BASE EQUIPO'!$A:$D,3))</f>
        <v/>
      </c>
      <c r="F442" s="59"/>
      <c r="G442" s="59" t="str">
        <f>IF($A442=0,"",VLOOKUP($A442,'BASE EQUIPO'!$A:$D,4)*H439)</f>
        <v/>
      </c>
      <c r="H442" s="60" t="str">
        <f>IF($A442=0,"",ROUND(F442*G442,2))</f>
        <v/>
      </c>
      <c r="I442" s="2"/>
    </row>
    <row r="443" spans="1:11" ht="15.75" thickBot="1" x14ac:dyDescent="0.3">
      <c r="B443" s="87" t="s">
        <v>1674</v>
      </c>
      <c r="C443" s="88"/>
      <c r="D443" s="89"/>
      <c r="E443" s="89"/>
      <c r="F443" s="89"/>
      <c r="G443" s="89"/>
      <c r="H443" s="90">
        <f>ROUND(SUM(H439:H442),2)</f>
        <v>4.82</v>
      </c>
      <c r="I443" s="2"/>
    </row>
    <row r="444" spans="1:11" ht="15.75" x14ac:dyDescent="0.25">
      <c r="B444" s="2"/>
      <c r="C444" s="2"/>
      <c r="D444" s="91" t="s">
        <v>1673</v>
      </c>
      <c r="E444" s="47"/>
      <c r="F444" s="47"/>
      <c r="G444" s="47"/>
      <c r="H444" s="92">
        <f>ROUND(SUM(H443,H437,H418,H408),2)</f>
        <v>274.87</v>
      </c>
      <c r="I444" s="2"/>
      <c r="K444" s="1">
        <v>195.67</v>
      </c>
    </row>
    <row r="445" spans="1:11" ht="15.75" x14ac:dyDescent="0.25">
      <c r="A445" s="103">
        <v>40002</v>
      </c>
      <c r="B445" s="2"/>
      <c r="C445" s="2"/>
      <c r="D445" s="93" t="s">
        <v>1672</v>
      </c>
      <c r="E445" s="65"/>
      <c r="F445" s="65"/>
      <c r="G445" s="94">
        <f>IF($A445=0,"",VLOOKUP($A445,'BASE MATERIAL'!$M:$P,4))</f>
        <v>0</v>
      </c>
      <c r="H445" s="95">
        <f>IF($A445=0,"",ROUND(G445*H444,2))</f>
        <v>0</v>
      </c>
      <c r="I445" s="2"/>
    </row>
    <row r="446" spans="1:11" ht="15.75" x14ac:dyDescent="0.25">
      <c r="A446" s="103">
        <v>40003</v>
      </c>
      <c r="B446" s="2"/>
      <c r="C446" s="2"/>
      <c r="D446" s="93" t="s">
        <v>1671</v>
      </c>
      <c r="E446" s="65"/>
      <c r="F446" s="65"/>
      <c r="G446" s="94">
        <f>IF($A446=0,"",VLOOKUP($A446,'BASE MATERIAL'!$M:$P,4))</f>
        <v>0</v>
      </c>
      <c r="H446" s="95">
        <f>IF($A446=0,"",ROUND(G446*H444,2))</f>
        <v>0</v>
      </c>
      <c r="I446" s="2"/>
    </row>
    <row r="447" spans="1:11" ht="15.75" x14ac:dyDescent="0.25">
      <c r="B447" s="2"/>
      <c r="C447" s="2"/>
      <c r="D447" s="93" t="s">
        <v>1670</v>
      </c>
      <c r="E447" s="65"/>
      <c r="F447" s="65"/>
      <c r="G447" s="65"/>
      <c r="H447" s="96">
        <f>ROUND(SUM(H444:H446),2)</f>
        <v>274.87</v>
      </c>
      <c r="I447" s="2"/>
    </row>
    <row r="448" spans="1:11" ht="16.5" thickBot="1" x14ac:dyDescent="0.3">
      <c r="B448" s="25"/>
      <c r="C448" s="2"/>
      <c r="D448" s="97" t="s">
        <v>1650</v>
      </c>
      <c r="E448" s="88"/>
      <c r="F448" s="88"/>
      <c r="G448" s="88"/>
      <c r="H448" s="98">
        <f>ROUND(H447,2)</f>
        <v>274.87</v>
      </c>
      <c r="I448" s="2"/>
    </row>
    <row r="449" spans="1:15" ht="15.75" x14ac:dyDescent="0.25">
      <c r="B449" s="34" t="s">
        <v>1701</v>
      </c>
      <c r="C449" s="2"/>
      <c r="D449" s="3" t="str">
        <f>$D$1</f>
        <v>ESPOL</v>
      </c>
      <c r="E449" s="2"/>
      <c r="F449" s="2"/>
      <c r="H449" s="2" t="s">
        <v>108</v>
      </c>
      <c r="I449" s="2"/>
      <c r="L449" s="40">
        <f>A453</f>
        <v>6</v>
      </c>
      <c r="M449" s="1" t="str">
        <f>C454</f>
        <v xml:space="preserve">Vigas de cubierta </v>
      </c>
      <c r="N449" s="2" t="str">
        <f>H453</f>
        <v>m3</v>
      </c>
      <c r="O449" s="2">
        <f>H504</f>
        <v>282.07</v>
      </c>
    </row>
    <row r="450" spans="1:15" ht="15.75" x14ac:dyDescent="0.25">
      <c r="B450" s="34" t="s">
        <v>1700</v>
      </c>
      <c r="C450" s="3">
        <f>'1.1'!$C$2</f>
        <v>0</v>
      </c>
      <c r="D450" s="2"/>
      <c r="E450" s="2"/>
      <c r="F450" s="2"/>
      <c r="G450" s="41" t="s">
        <v>1699</v>
      </c>
      <c r="H450" s="42"/>
      <c r="I450" s="2" t="s">
        <v>1698</v>
      </c>
    </row>
    <row r="451" spans="1:15" ht="15.75" x14ac:dyDescent="0.25">
      <c r="B451" s="34"/>
      <c r="C451" s="3">
        <f>'1.1'!$C$3</f>
        <v>0</v>
      </c>
      <c r="D451" s="2"/>
      <c r="E451" s="2"/>
      <c r="F451" s="2"/>
      <c r="G451" s="2"/>
      <c r="H451" s="2"/>
      <c r="I451" s="2"/>
    </row>
    <row r="452" spans="1:15" ht="15.75" x14ac:dyDescent="0.25">
      <c r="B452" s="34" t="s">
        <v>1697</v>
      </c>
      <c r="C452" s="3"/>
      <c r="D452" s="2"/>
      <c r="E452" s="2"/>
      <c r="F452" s="2"/>
      <c r="G452" s="2"/>
      <c r="H452" s="2"/>
      <c r="I452" s="2"/>
    </row>
    <row r="453" spans="1:15" x14ac:dyDescent="0.25">
      <c r="A453" s="104">
        <v>6</v>
      </c>
      <c r="B453" s="2" t="s">
        <v>1586</v>
      </c>
      <c r="C453" s="36" t="s">
        <v>624</v>
      </c>
      <c r="D453" s="2"/>
      <c r="G453" s="2" t="s">
        <v>1696</v>
      </c>
      <c r="H453" s="3" t="s">
        <v>1521</v>
      </c>
      <c r="I453" s="2"/>
    </row>
    <row r="454" spans="1:15" x14ac:dyDescent="0.25">
      <c r="B454" s="1" t="s">
        <v>1585</v>
      </c>
      <c r="C454" s="36" t="s">
        <v>645</v>
      </c>
      <c r="D454" s="2"/>
      <c r="E454" s="2"/>
      <c r="F454" s="2"/>
      <c r="G454" s="2"/>
      <c r="H454" s="2"/>
      <c r="I454" s="2"/>
    </row>
    <row r="455" spans="1:15" ht="15.75" thickBot="1" x14ac:dyDescent="0.3">
      <c r="D455" s="2"/>
      <c r="E455" s="2"/>
      <c r="F455" s="2"/>
      <c r="G455" s="2"/>
      <c r="H455" s="2"/>
      <c r="I455" s="2"/>
    </row>
    <row r="456" spans="1:15" ht="15.75" thickBot="1" x14ac:dyDescent="0.3">
      <c r="B456" s="43" t="s">
        <v>1695</v>
      </c>
      <c r="C456" s="44"/>
      <c r="D456" s="44"/>
      <c r="E456" s="44"/>
      <c r="F456" s="44"/>
      <c r="G456" s="44"/>
      <c r="H456" s="45"/>
      <c r="I456" s="2"/>
    </row>
    <row r="457" spans="1:15" ht="25.5" x14ac:dyDescent="0.25">
      <c r="B457" s="46" t="s">
        <v>1409</v>
      </c>
      <c r="C457" s="47"/>
      <c r="D457" s="48" t="s">
        <v>1690</v>
      </c>
      <c r="E457" s="48" t="s">
        <v>1694</v>
      </c>
      <c r="F457" s="48" t="s">
        <v>1693</v>
      </c>
      <c r="G457" s="49" t="s">
        <v>1687</v>
      </c>
      <c r="H457" s="50" t="s">
        <v>1686</v>
      </c>
      <c r="I457" s="2"/>
    </row>
    <row r="458" spans="1:15" x14ac:dyDescent="0.25">
      <c r="A458" s="103">
        <v>19015</v>
      </c>
      <c r="B458" s="51" t="str">
        <f>IF($A458=0,"",VLOOKUP($A458,'BASE EQUIPO'!$A:$D,2))</f>
        <v>HERRAMIENTA MENOR</v>
      </c>
      <c r="C458" s="52"/>
      <c r="D458" s="53">
        <v>1</v>
      </c>
      <c r="E458" s="53">
        <f>IF($A458=0,"",VLOOKUP($A458,'BASE EQUIPO'!$A:$D,4)*H474)</f>
        <v>3.2366999999999999</v>
      </c>
      <c r="F458" s="53">
        <f t="shared" ref="F458:F463" si="42">IF($A458=0,"",ROUND(D458*E458,2))</f>
        <v>3.24</v>
      </c>
      <c r="G458" s="105">
        <v>1</v>
      </c>
      <c r="H458" s="54">
        <f t="shared" ref="H458:H463" si="43">IF($A458=0,"",ROUND(G458*F458,2))</f>
        <v>3.24</v>
      </c>
      <c r="I458" s="2"/>
    </row>
    <row r="459" spans="1:15" x14ac:dyDescent="0.25">
      <c r="B459" s="38" t="str">
        <f>IF($A459=0,"",VLOOKUP($A459,'BASE EQUIPO'!$A:$D,2))</f>
        <v/>
      </c>
      <c r="C459" s="2"/>
      <c r="D459" s="55"/>
      <c r="E459" s="55" t="str">
        <f>IF($A459=0,"",VLOOKUP($A459,'BASE EQUIPO'!$A:$D,4))</f>
        <v/>
      </c>
      <c r="F459" s="55" t="str">
        <f t="shared" si="42"/>
        <v/>
      </c>
      <c r="G459" s="106"/>
      <c r="H459" s="56" t="str">
        <f t="shared" si="43"/>
        <v/>
      </c>
      <c r="I459" s="2"/>
    </row>
    <row r="460" spans="1:15" x14ac:dyDescent="0.25">
      <c r="A460" s="103">
        <v>19008</v>
      </c>
      <c r="B460" s="38" t="str">
        <f>IF($A460=0,"",VLOOKUP($A460,'BASE EQUIPO'!$A:$D,2))</f>
        <v>VIBRADOR</v>
      </c>
      <c r="C460" s="2"/>
      <c r="D460" s="55">
        <v>1</v>
      </c>
      <c r="E460" s="55">
        <f>IF($A460=0,"",VLOOKUP($A460,'BASE EQUIPO'!$A:$D,4))</f>
        <v>2.5</v>
      </c>
      <c r="F460" s="55">
        <f t="shared" si="42"/>
        <v>2.5</v>
      </c>
      <c r="G460" s="106">
        <f>G468</f>
        <v>1.4</v>
      </c>
      <c r="H460" s="56">
        <f t="shared" si="43"/>
        <v>3.5</v>
      </c>
      <c r="I460" s="2"/>
    </row>
    <row r="461" spans="1:15" x14ac:dyDescent="0.25">
      <c r="A461" s="103">
        <v>1</v>
      </c>
      <c r="B461" s="38" t="s">
        <v>627</v>
      </c>
      <c r="C461" s="2"/>
      <c r="D461" s="55">
        <v>4</v>
      </c>
      <c r="E461" s="55">
        <v>0.5</v>
      </c>
      <c r="F461" s="55">
        <f t="shared" si="42"/>
        <v>2</v>
      </c>
      <c r="G461" s="106">
        <v>1</v>
      </c>
      <c r="H461" s="56">
        <f t="shared" si="43"/>
        <v>2</v>
      </c>
      <c r="I461" s="2"/>
    </row>
    <row r="462" spans="1:15" x14ac:dyDescent="0.25">
      <c r="B462" s="38" t="str">
        <f>IF($A462=0,"",VLOOKUP($A462,'BASE EQUIPO'!$A:$D,2))</f>
        <v/>
      </c>
      <c r="C462" s="2"/>
      <c r="D462" s="55"/>
      <c r="E462" s="55" t="str">
        <f>IF($A462=0,"",VLOOKUP($A462,'BASE EQUIPO'!$A:$D,4))</f>
        <v/>
      </c>
      <c r="F462" s="55" t="str">
        <f t="shared" si="42"/>
        <v/>
      </c>
      <c r="G462" s="106"/>
      <c r="H462" s="56" t="str">
        <f t="shared" si="43"/>
        <v/>
      </c>
      <c r="I462" s="2"/>
    </row>
    <row r="463" spans="1:15" x14ac:dyDescent="0.25">
      <c r="B463" s="57" t="str">
        <f>IF($A463=0,"",VLOOKUP($A463,'BASE EQUIPO'!$A:$D,2))</f>
        <v/>
      </c>
      <c r="C463" s="58"/>
      <c r="D463" s="59"/>
      <c r="E463" s="59" t="str">
        <f>IF($A463=0,"",VLOOKUP($A463,'BASE EQUIPO'!$A:$D,4))</f>
        <v/>
      </c>
      <c r="F463" s="59" t="str">
        <f t="shared" si="42"/>
        <v/>
      </c>
      <c r="G463" s="107"/>
      <c r="H463" s="60" t="str">
        <f t="shared" si="43"/>
        <v/>
      </c>
      <c r="I463" s="2"/>
    </row>
    <row r="464" spans="1:15" x14ac:dyDescent="0.25">
      <c r="B464" s="57" t="s">
        <v>1692</v>
      </c>
      <c r="C464" s="58"/>
      <c r="D464" s="61"/>
      <c r="E464" s="61"/>
      <c r="F464" s="61"/>
      <c r="G464" s="62"/>
      <c r="H464" s="60">
        <f>ROUND(SUM(H457:H463),2)</f>
        <v>8.74</v>
      </c>
      <c r="I464" s="2"/>
    </row>
    <row r="465" spans="1:16" x14ac:dyDescent="0.25">
      <c r="B465" s="38" t="s">
        <v>1503</v>
      </c>
      <c r="C465" s="2"/>
      <c r="D465" s="3"/>
      <c r="E465" s="3"/>
      <c r="F465" s="3"/>
      <c r="G465" s="63"/>
      <c r="H465" s="56"/>
      <c r="I465" s="2"/>
    </row>
    <row r="466" spans="1:16" ht="25.5" x14ac:dyDescent="0.25">
      <c r="B466" s="64" t="s">
        <v>1691</v>
      </c>
      <c r="C466" s="65"/>
      <c r="D466" s="66" t="s">
        <v>1690</v>
      </c>
      <c r="E466" s="66" t="s">
        <v>1689</v>
      </c>
      <c r="F466" s="66" t="s">
        <v>1688</v>
      </c>
      <c r="G466" s="67" t="s">
        <v>1687</v>
      </c>
      <c r="H466" s="68" t="s">
        <v>1686</v>
      </c>
      <c r="I466" s="2"/>
    </row>
    <row r="467" spans="1:16" x14ac:dyDescent="0.25">
      <c r="A467" s="103">
        <v>20001</v>
      </c>
      <c r="B467" s="69" t="str">
        <f>IF($A467=0,"",VLOOKUP($A467,'BASE M-OBRA'!$A:$D,2))</f>
        <v>MAESTRO</v>
      </c>
      <c r="C467" s="2"/>
      <c r="D467" s="108">
        <v>1</v>
      </c>
      <c r="E467" s="70">
        <f>IF($A467=0,"",VLOOKUP($A467,'BASE M-OBRA'!$A:$D,4))</f>
        <v>3.02</v>
      </c>
      <c r="F467" s="55">
        <f t="shared" ref="F467:F473" si="44">IF($A467=0,"",ROUND(D467*E467,2))</f>
        <v>3.02</v>
      </c>
      <c r="G467" s="106">
        <f>IF($A467=0,"",ROUND(H467/F467,2))</f>
        <v>5.95</v>
      </c>
      <c r="H467" s="56">
        <f>IF($A467=0,"",ROUND(SUM(H468:H473)*'BASE M-OBRA'!$D$23,2))</f>
        <v>17.98</v>
      </c>
      <c r="I467" s="2"/>
    </row>
    <row r="468" spans="1:16" x14ac:dyDescent="0.25">
      <c r="A468" s="103">
        <v>20002</v>
      </c>
      <c r="B468" s="69" t="str">
        <f>IF($A468=0,"",VLOOKUP($A468,'BASE M-OBRA'!$A:$D,2))</f>
        <v>PEON</v>
      </c>
      <c r="C468" s="2"/>
      <c r="D468" s="108">
        <v>8</v>
      </c>
      <c r="E468" s="70">
        <f>IF($A468=0,"",VLOOKUP($A468,'BASE M-OBRA'!$A:$D,4))</f>
        <v>2.79</v>
      </c>
      <c r="F468" s="55">
        <f t="shared" si="44"/>
        <v>22.32</v>
      </c>
      <c r="G468" s="106">
        <v>1.4</v>
      </c>
      <c r="H468" s="56">
        <f t="shared" ref="H468:H473" si="45">IF($A468=0,"",ROUND(G468*F468,2))</f>
        <v>31.25</v>
      </c>
      <c r="I468" s="2"/>
    </row>
    <row r="469" spans="1:16" x14ac:dyDescent="0.25">
      <c r="A469" s="103">
        <v>20003</v>
      </c>
      <c r="B469" s="69" t="str">
        <f>IF($A469=0,"",VLOOKUP($A469,'BASE M-OBRA'!$A:$D,2))</f>
        <v>ALBAÑIL</v>
      </c>
      <c r="C469" s="2"/>
      <c r="D469" s="108">
        <v>2</v>
      </c>
      <c r="E469" s="70">
        <f>IF($A469=0,"",VLOOKUP($A469,'BASE M-OBRA'!$A:$D,4))</f>
        <v>2.82</v>
      </c>
      <c r="F469" s="55">
        <f t="shared" si="44"/>
        <v>5.64</v>
      </c>
      <c r="G469" s="106">
        <f>+G468</f>
        <v>1.4</v>
      </c>
      <c r="H469" s="56">
        <f t="shared" si="45"/>
        <v>7.9</v>
      </c>
      <c r="I469" s="2"/>
    </row>
    <row r="470" spans="1:16" x14ac:dyDescent="0.25">
      <c r="A470" s="103">
        <v>20004</v>
      </c>
      <c r="B470" s="71" t="str">
        <f>IF($A470=0,"",VLOOKUP($A470,'BASE M-OBRA'!$A:$D,2))</f>
        <v>CARPINTERO</v>
      </c>
      <c r="C470" s="2"/>
      <c r="D470" s="108">
        <v>2</v>
      </c>
      <c r="E470" s="70">
        <f>IF($A470=0,"",VLOOKUP($A470,'BASE M-OBRA'!$A:$D,4))</f>
        <v>2.82</v>
      </c>
      <c r="F470" s="55">
        <f t="shared" si="44"/>
        <v>5.64</v>
      </c>
      <c r="G470" s="106">
        <v>9</v>
      </c>
      <c r="H470" s="56">
        <f t="shared" si="45"/>
        <v>50.76</v>
      </c>
      <c r="I470" s="2"/>
      <c r="K470" s="1">
        <f>7*2.9</f>
        <v>20.3</v>
      </c>
    </row>
    <row r="471" spans="1:16" x14ac:dyDescent="0.25">
      <c r="B471" s="72" t="str">
        <f>IF($A471=0,"",VLOOKUP($A471,'BASE M-OBRA'!$A:$D,2))</f>
        <v/>
      </c>
      <c r="C471" s="2"/>
      <c r="D471" s="108"/>
      <c r="E471" s="70" t="str">
        <f>IF($A471=0,"",VLOOKUP($A471,'BASE M-OBRA'!$A:$D,4))</f>
        <v/>
      </c>
      <c r="F471" s="55" t="str">
        <f t="shared" si="44"/>
        <v/>
      </c>
      <c r="G471" s="106"/>
      <c r="H471" s="56" t="str">
        <f t="shared" si="45"/>
        <v/>
      </c>
      <c r="I471" s="2"/>
      <c r="K471" s="1">
        <f>+F481*0.15</f>
        <v>1.5</v>
      </c>
    </row>
    <row r="472" spans="1:16" x14ac:dyDescent="0.25">
      <c r="B472" s="38" t="str">
        <f>IF($A472=0,"",VLOOKUP($A472,'BASE M-OBRA'!$A:$D,2))</f>
        <v/>
      </c>
      <c r="C472" s="2"/>
      <c r="D472" s="55"/>
      <c r="E472" s="55" t="str">
        <f>IF($A472=0,"",VLOOKUP($A472,'BASE M-OBRA'!$A:$D,4))</f>
        <v/>
      </c>
      <c r="F472" s="55" t="str">
        <f t="shared" si="44"/>
        <v/>
      </c>
      <c r="G472" s="106"/>
      <c r="H472" s="56" t="str">
        <f t="shared" si="45"/>
        <v/>
      </c>
      <c r="I472" s="2"/>
    </row>
    <row r="473" spans="1:16" x14ac:dyDescent="0.25">
      <c r="B473" s="57" t="str">
        <f>IF($A473=0,"",VLOOKUP($A473,'BASE M-OBRA'!$A:$D,2))</f>
        <v/>
      </c>
      <c r="C473" s="58"/>
      <c r="D473" s="59"/>
      <c r="E473" s="59" t="str">
        <f>IF($A473=0,"",VLOOKUP($A473,'BASE M-OBRA'!$A:$D,4))</f>
        <v/>
      </c>
      <c r="F473" s="59" t="str">
        <f t="shared" si="44"/>
        <v/>
      </c>
      <c r="G473" s="107"/>
      <c r="H473" s="60" t="str">
        <f t="shared" si="45"/>
        <v/>
      </c>
      <c r="I473" s="2"/>
    </row>
    <row r="474" spans="1:16" x14ac:dyDescent="0.25">
      <c r="B474" s="73" t="s">
        <v>1685</v>
      </c>
      <c r="C474" s="65"/>
      <c r="D474" s="74"/>
      <c r="E474" s="74"/>
      <c r="F474" s="74"/>
      <c r="G474" s="74"/>
      <c r="H474" s="75">
        <f>ROUND(SUM(H466:H473),2)</f>
        <v>107.89</v>
      </c>
      <c r="I474" s="2"/>
      <c r="K474" s="1">
        <f>SUM(K470:K473)+15</f>
        <v>36.799999999999997</v>
      </c>
    </row>
    <row r="475" spans="1:16" x14ac:dyDescent="0.25">
      <c r="B475" s="38" t="s">
        <v>1684</v>
      </c>
      <c r="C475" s="2"/>
      <c r="D475" s="3"/>
      <c r="E475" s="3"/>
      <c r="F475" s="3"/>
      <c r="G475" s="3"/>
      <c r="H475" s="56"/>
      <c r="I475" s="2"/>
    </row>
    <row r="476" spans="1:16" ht="25.5" x14ac:dyDescent="0.25">
      <c r="B476" s="64" t="s">
        <v>1409</v>
      </c>
      <c r="C476" s="65"/>
      <c r="D476" s="76"/>
      <c r="E476" s="66" t="s">
        <v>1408</v>
      </c>
      <c r="F476" s="66" t="s">
        <v>1679</v>
      </c>
      <c r="G476" s="66" t="s">
        <v>1683</v>
      </c>
      <c r="H476" s="68" t="s">
        <v>1675</v>
      </c>
      <c r="I476" s="2"/>
    </row>
    <row r="477" spans="1:16" x14ac:dyDescent="0.25">
      <c r="A477" s="103">
        <v>11008</v>
      </c>
      <c r="B477" s="37" t="s">
        <v>628</v>
      </c>
      <c r="C477" s="2"/>
      <c r="D477" s="77"/>
      <c r="E477" s="78" t="s">
        <v>1566</v>
      </c>
      <c r="F477" s="55">
        <v>1</v>
      </c>
      <c r="G477" s="55">
        <v>1.38</v>
      </c>
      <c r="H477" s="56">
        <f t="shared" ref="H477:H491" si="46">IF($A477=0,"",ROUND(F477*G477,2))</f>
        <v>1.38</v>
      </c>
      <c r="I477" s="2"/>
      <c r="L477" s="2"/>
      <c r="M477" s="2"/>
      <c r="N477" s="39"/>
      <c r="O477" s="2"/>
      <c r="P477" s="2"/>
    </row>
    <row r="478" spans="1:16" x14ac:dyDescent="0.25">
      <c r="A478" s="103">
        <v>11009</v>
      </c>
      <c r="B478" s="38" t="s">
        <v>630</v>
      </c>
      <c r="C478" s="2"/>
      <c r="D478" s="77"/>
      <c r="E478" s="78" t="s">
        <v>1521</v>
      </c>
      <c r="F478" s="55">
        <v>1.02</v>
      </c>
      <c r="G478" s="55">
        <f>106.7*1.12</f>
        <v>119.50400000000002</v>
      </c>
      <c r="H478" s="56">
        <f t="shared" si="46"/>
        <v>121.89</v>
      </c>
      <c r="I478" s="2"/>
      <c r="K478" s="1">
        <v>0.06</v>
      </c>
      <c r="L478" s="2"/>
      <c r="M478" s="2"/>
      <c r="N478" s="39"/>
      <c r="O478" s="2"/>
      <c r="P478" s="2"/>
    </row>
    <row r="479" spans="1:16" x14ac:dyDescent="0.25">
      <c r="B479" s="38"/>
      <c r="C479" s="2"/>
      <c r="D479" s="77"/>
      <c r="E479" s="78"/>
      <c r="F479" s="55"/>
      <c r="G479" s="55"/>
      <c r="H479" s="56" t="str">
        <f t="shared" si="46"/>
        <v/>
      </c>
      <c r="I479" s="2"/>
      <c r="K479" s="1">
        <f>3.6*0.12*0.19</f>
        <v>8.208E-2</v>
      </c>
      <c r="L479" s="2"/>
      <c r="M479" s="2"/>
      <c r="N479" s="39"/>
      <c r="O479" s="2"/>
      <c r="P479" s="2"/>
    </row>
    <row r="480" spans="1:16" x14ac:dyDescent="0.25">
      <c r="A480" s="103">
        <v>1</v>
      </c>
      <c r="B480" s="38" t="s">
        <v>631</v>
      </c>
      <c r="C480" s="2"/>
      <c r="D480" s="77"/>
      <c r="E480" s="78" t="s">
        <v>1509</v>
      </c>
      <c r="F480" s="55">
        <v>5.25</v>
      </c>
      <c r="G480" s="55">
        <v>1.4</v>
      </c>
      <c r="H480" s="56">
        <f t="shared" si="46"/>
        <v>7.35</v>
      </c>
      <c r="I480" s="2"/>
      <c r="K480" s="1">
        <f>SUM(K478:K479)</f>
        <v>0.14207999999999998</v>
      </c>
      <c r="L480" s="2"/>
      <c r="M480" s="2"/>
      <c r="N480" s="39"/>
      <c r="O480" s="2"/>
      <c r="P480" s="2"/>
    </row>
    <row r="481" spans="1:16" x14ac:dyDescent="0.25">
      <c r="A481" s="103">
        <v>1</v>
      </c>
      <c r="B481" s="38" t="s">
        <v>629</v>
      </c>
      <c r="C481" s="2"/>
      <c r="D481" s="77"/>
      <c r="E481" s="78" t="s">
        <v>1520</v>
      </c>
      <c r="F481" s="55">
        <v>10</v>
      </c>
      <c r="G481" s="55">
        <v>3</v>
      </c>
      <c r="H481" s="56">
        <f t="shared" si="46"/>
        <v>30</v>
      </c>
      <c r="I481" s="2"/>
      <c r="K481" s="1">
        <f>1/K480</f>
        <v>7.0382882882882889</v>
      </c>
      <c r="L481" s="2"/>
      <c r="M481" s="2"/>
      <c r="N481" s="39"/>
      <c r="O481" s="2"/>
      <c r="P481" s="2"/>
    </row>
    <row r="482" spans="1:16" x14ac:dyDescent="0.25">
      <c r="B482" s="38"/>
      <c r="C482" s="2"/>
      <c r="D482" s="77"/>
      <c r="E482" s="78"/>
      <c r="F482" s="55"/>
      <c r="G482" s="55"/>
      <c r="H482" s="56" t="str">
        <f t="shared" si="46"/>
        <v/>
      </c>
      <c r="I482" s="2"/>
      <c r="L482" s="2"/>
      <c r="M482" s="2"/>
      <c r="N482" s="39"/>
      <c r="O482" s="2"/>
      <c r="P482" s="2"/>
    </row>
    <row r="483" spans="1:16" x14ac:dyDescent="0.25">
      <c r="B483" s="38"/>
      <c r="C483" s="2"/>
      <c r="D483" s="77"/>
      <c r="E483" s="78"/>
      <c r="F483" s="55"/>
      <c r="G483" s="55"/>
      <c r="H483" s="56" t="str">
        <f t="shared" si="46"/>
        <v/>
      </c>
      <c r="I483" s="2"/>
      <c r="L483" s="2"/>
      <c r="M483" s="2"/>
      <c r="N483" s="39"/>
      <c r="O483" s="2"/>
      <c r="P483" s="2"/>
    </row>
    <row r="484" spans="1:16" x14ac:dyDescent="0.25">
      <c r="B484" s="38" t="str">
        <f>IF($A484=0,"",VLOOKUP($A484,'BASE MATERIAL'!$A:$D,2))</f>
        <v/>
      </c>
      <c r="C484" s="2"/>
      <c r="D484" s="77"/>
      <c r="E484" s="78" t="str">
        <f>IF($A484=0,"",VLOOKUP($A484,'BASE MATERIAL'!$A:$D,3))</f>
        <v/>
      </c>
      <c r="F484" s="55"/>
      <c r="G484" s="55" t="str">
        <f>IF($A484=0,"",VLOOKUP($A484,'BASE MATERIAL'!$A:$D,4))</f>
        <v/>
      </c>
      <c r="H484" s="56" t="str">
        <f t="shared" si="46"/>
        <v/>
      </c>
      <c r="I484" s="2"/>
      <c r="L484" s="2"/>
      <c r="M484" s="2"/>
      <c r="N484" s="39"/>
      <c r="O484" s="2"/>
      <c r="P484" s="2"/>
    </row>
    <row r="485" spans="1:16" x14ac:dyDescent="0.25">
      <c r="B485" s="38" t="str">
        <f>IF($A485=0,"",VLOOKUP($A485,'BASE MATERIAL'!$A:$D,2))</f>
        <v/>
      </c>
      <c r="C485" s="2"/>
      <c r="D485" s="77"/>
      <c r="E485" s="78" t="str">
        <f>IF($A485=0,"",VLOOKUP($A485,'BASE MATERIAL'!$A:$D,3))</f>
        <v/>
      </c>
      <c r="F485" s="55"/>
      <c r="G485" s="55" t="str">
        <f>IF($A485=0,"",VLOOKUP($A485,'BASE MATERIAL'!$A:$D,4))</f>
        <v/>
      </c>
      <c r="H485" s="56" t="str">
        <f t="shared" si="46"/>
        <v/>
      </c>
      <c r="I485" s="2"/>
    </row>
    <row r="486" spans="1:16" x14ac:dyDescent="0.25">
      <c r="B486" s="38" t="str">
        <f>IF($A486=0,"",VLOOKUP($A486,'BASE MATERIAL'!$A:$D,2))</f>
        <v/>
      </c>
      <c r="C486" s="2"/>
      <c r="D486" s="77"/>
      <c r="E486" s="78" t="str">
        <f>IF($A486=0,"",VLOOKUP($A486,'BASE MATERIAL'!$A:$D,3))</f>
        <v/>
      </c>
      <c r="F486" s="55"/>
      <c r="G486" s="80" t="str">
        <f>IF($A486=0,"",VLOOKUP($A486,'BASE MATERIAL'!$A:$D,4))</f>
        <v/>
      </c>
      <c r="H486" s="56" t="str">
        <f t="shared" si="46"/>
        <v/>
      </c>
      <c r="I486" s="2"/>
      <c r="L486" s="2"/>
      <c r="M486" s="2"/>
      <c r="N486" s="39"/>
      <c r="O486" s="2"/>
      <c r="P486" s="2"/>
    </row>
    <row r="487" spans="1:16" x14ac:dyDescent="0.25">
      <c r="B487" s="38" t="str">
        <f>IF($A487=0,"",VLOOKUP($A487,'BASE MATERIAL'!$A:$D,2))</f>
        <v/>
      </c>
      <c r="C487" s="2"/>
      <c r="D487" s="77"/>
      <c r="E487" s="78" t="str">
        <f>IF($A487=0,"",VLOOKUP($A487,'BASE MATERIAL'!$A:$D,3))</f>
        <v/>
      </c>
      <c r="F487" s="55"/>
      <c r="G487" s="55" t="str">
        <f>IF($A487=0,"",VLOOKUP($A487,'BASE MATERIAL'!$A:$D,4))</f>
        <v/>
      </c>
      <c r="H487" s="56" t="str">
        <f t="shared" si="46"/>
        <v/>
      </c>
      <c r="I487" s="2"/>
      <c r="L487" s="2"/>
      <c r="M487" s="2"/>
      <c r="N487" s="39"/>
      <c r="O487" s="2"/>
      <c r="P487" s="2"/>
    </row>
    <row r="488" spans="1:16" x14ac:dyDescent="0.25">
      <c r="B488" s="38" t="str">
        <f>IF($A488=0,"",VLOOKUP($A488,'BASE MATERIAL'!$A:$D,2))</f>
        <v/>
      </c>
      <c r="C488" s="2"/>
      <c r="D488" s="77"/>
      <c r="E488" s="78" t="str">
        <f>IF($A488=0,"",VLOOKUP($A488,'BASE MATERIAL'!$A:$D,3))</f>
        <v/>
      </c>
      <c r="F488" s="55"/>
      <c r="G488" s="55" t="str">
        <f>IF($A488=0,"",VLOOKUP($A488,'BASE MATERIAL'!$A:$D,4))</f>
        <v/>
      </c>
      <c r="H488" s="56" t="str">
        <f t="shared" si="46"/>
        <v/>
      </c>
      <c r="I488" s="2"/>
    </row>
    <row r="489" spans="1:16" x14ac:dyDescent="0.25">
      <c r="B489" s="38" t="str">
        <f>IF($A489=0,"",VLOOKUP($A489,'BASE MATERIAL'!$A:$D,2))</f>
        <v/>
      </c>
      <c r="C489" s="2"/>
      <c r="D489" s="77"/>
      <c r="E489" s="78" t="str">
        <f>IF($A489=0,"",VLOOKUP($A489,'BASE MATERIAL'!$A:$D,3))</f>
        <v/>
      </c>
      <c r="F489" s="55"/>
      <c r="G489" s="55" t="str">
        <f>IF($A489=0,"",VLOOKUP($A489,'BASE MATERIAL'!$A:$D,4))</f>
        <v/>
      </c>
      <c r="H489" s="56" t="str">
        <f t="shared" si="46"/>
        <v/>
      </c>
      <c r="I489" s="2"/>
    </row>
    <row r="490" spans="1:16" x14ac:dyDescent="0.25">
      <c r="B490" s="38" t="str">
        <f>IF($A490=0,"",VLOOKUP($A490,'BASE MATERIAL'!$A:$D,2))</f>
        <v/>
      </c>
      <c r="C490" s="2"/>
      <c r="D490" s="77"/>
      <c r="E490" s="78" t="str">
        <f>IF($A490=0,"",VLOOKUP($A490,'BASE MATERIAL'!$A:$D,3))</f>
        <v/>
      </c>
      <c r="F490" s="55"/>
      <c r="G490" s="55" t="str">
        <f>IF($A490=0,"",VLOOKUP($A490,'BASE MATERIAL'!$A:$D,4))</f>
        <v/>
      </c>
      <c r="H490" s="56" t="str">
        <f t="shared" si="46"/>
        <v/>
      </c>
      <c r="I490" s="2"/>
    </row>
    <row r="491" spans="1:16" x14ac:dyDescent="0.25">
      <c r="B491" s="38" t="str">
        <f>IF($A491=0,"",VLOOKUP($A491,'BASE MATERIAL'!$A:$D,2))</f>
        <v/>
      </c>
      <c r="C491" s="2"/>
      <c r="D491" s="77"/>
      <c r="E491" s="78" t="str">
        <f>IF($A491=0,"",VLOOKUP($A491,'BASE MATERIAL'!$A:$D,3))</f>
        <v/>
      </c>
      <c r="F491" s="55"/>
      <c r="G491" s="55" t="str">
        <f>IF($A491=0,"",VLOOKUP($A491,'BASE MATERIAL'!$A:$D,4))</f>
        <v/>
      </c>
      <c r="H491" s="56" t="str">
        <f t="shared" si="46"/>
        <v/>
      </c>
      <c r="I491" s="2"/>
    </row>
    <row r="492" spans="1:16" x14ac:dyDescent="0.25">
      <c r="B492" s="38" t="str">
        <f>IF($A492=0,"",VLOOKUP($A492,'BASE MATERIAL'!$A:$D,2))</f>
        <v/>
      </c>
      <c r="C492" s="2"/>
      <c r="D492" s="81" t="s">
        <v>1682</v>
      </c>
      <c r="E492" s="55" t="str">
        <f>IF($A492=0,"",VLOOKUP($A492,'BASE MATERIAL'!$A:$D,3))</f>
        <v/>
      </c>
      <c r="F492" s="55" t="s">
        <v>1682</v>
      </c>
      <c r="G492" s="55" t="str">
        <f>IF($A492=0,"",VLOOKUP($A492,'BASE MATERIAL'!$A:$D,4))</f>
        <v/>
      </c>
      <c r="H492" s="56" t="str">
        <f>IF($A492=0,"",ROUND(E492*F492,2))</f>
        <v/>
      </c>
      <c r="I492" s="2"/>
    </row>
    <row r="493" spans="1:16" x14ac:dyDescent="0.25">
      <c r="B493" s="73" t="s">
        <v>1681</v>
      </c>
      <c r="C493" s="65"/>
      <c r="D493" s="74"/>
      <c r="E493" s="74"/>
      <c r="F493" s="74"/>
      <c r="G493" s="74"/>
      <c r="H493" s="75">
        <f>ROUND(SUM(H476:H492),2)</f>
        <v>160.62</v>
      </c>
      <c r="I493" s="2"/>
    </row>
    <row r="494" spans="1:16" x14ac:dyDescent="0.25">
      <c r="B494" s="38" t="s">
        <v>1680</v>
      </c>
      <c r="C494" s="2"/>
      <c r="D494" s="3"/>
      <c r="E494" s="3"/>
      <c r="F494" s="3"/>
      <c r="G494" s="3"/>
      <c r="H494" s="56"/>
      <c r="I494" s="2"/>
    </row>
    <row r="495" spans="1:16" ht="25.5" x14ac:dyDescent="0.25">
      <c r="B495" s="64" t="s">
        <v>1409</v>
      </c>
      <c r="C495" s="65"/>
      <c r="D495" s="76"/>
      <c r="E495" s="66" t="s">
        <v>1408</v>
      </c>
      <c r="F495" s="66" t="s">
        <v>1679</v>
      </c>
      <c r="G495" s="66" t="s">
        <v>1676</v>
      </c>
      <c r="H495" s="68" t="s">
        <v>1675</v>
      </c>
      <c r="I495" s="2"/>
    </row>
    <row r="496" spans="1:16" x14ac:dyDescent="0.25">
      <c r="A496" s="103">
        <v>19019</v>
      </c>
      <c r="B496" s="51" t="str">
        <f>IF($A496=0,"",VLOOKUP($A496,'BASE EQUIPO'!$A:$D,2))</f>
        <v>TRANSPORTE DE MATERIAL</v>
      </c>
      <c r="C496" s="52"/>
      <c r="D496" s="82"/>
      <c r="E496" s="78" t="str">
        <f>IF($A496=0,"",VLOOKUP($A496,'BASE EQUIPO'!$A:$D,3))</f>
        <v>GLOBAL</v>
      </c>
      <c r="F496" s="55">
        <v>1</v>
      </c>
      <c r="G496" s="83">
        <f>IF($A496=0,"",VLOOKUP($A496,'BASE EQUIPO'!$A:$D,4)*H493)</f>
        <v>4.8186</v>
      </c>
      <c r="H496" s="56">
        <f>IF($A496=0,"",ROUND(F496*G496,2))</f>
        <v>4.82</v>
      </c>
      <c r="I496" s="2"/>
    </row>
    <row r="497" spans="1:15" x14ac:dyDescent="0.25">
      <c r="B497" s="38" t="str">
        <f>IF($A497=0,"",VLOOKUP($A497,'BASE EQUIPO'!$A:$D,2))</f>
        <v/>
      </c>
      <c r="C497" s="2"/>
      <c r="D497" s="84"/>
      <c r="E497" s="78" t="str">
        <f>IF($A497=0,"",VLOOKUP($A497,'BASE EQUIPO'!$A:$D,3))</f>
        <v/>
      </c>
      <c r="F497" s="55"/>
      <c r="G497" s="55" t="str">
        <f>IF($A497=0,"",VLOOKUP($A497,'BASE EQUIPO'!$A:$D,4)*H494)</f>
        <v/>
      </c>
      <c r="H497" s="56" t="str">
        <f>IF($A497=0,"",ROUND(F497*G497,2))</f>
        <v/>
      </c>
      <c r="I497" s="2"/>
    </row>
    <row r="498" spans="1:15" x14ac:dyDescent="0.25">
      <c r="B498" s="57" t="str">
        <f>IF($A498=0,"",VLOOKUP($A498,'BASE EQUIPO'!$A:$D,2))</f>
        <v/>
      </c>
      <c r="C498" s="58"/>
      <c r="D498" s="85"/>
      <c r="E498" s="86" t="str">
        <f>IF($A498=0,"",VLOOKUP($A498,'BASE EQUIPO'!$A:$D,3))</f>
        <v/>
      </c>
      <c r="F498" s="59"/>
      <c r="G498" s="59" t="str">
        <f>IF($A498=0,"",VLOOKUP($A498,'BASE EQUIPO'!$A:$D,4)*H495)</f>
        <v/>
      </c>
      <c r="H498" s="60" t="str">
        <f>IF($A498=0,"",ROUND(F498*G498,2))</f>
        <v/>
      </c>
      <c r="I498" s="2"/>
    </row>
    <row r="499" spans="1:15" ht="15.75" thickBot="1" x14ac:dyDescent="0.3">
      <c r="B499" s="87" t="s">
        <v>1674</v>
      </c>
      <c r="C499" s="88"/>
      <c r="D499" s="89"/>
      <c r="E499" s="89"/>
      <c r="F499" s="89"/>
      <c r="G499" s="89"/>
      <c r="H499" s="90">
        <f>ROUND(SUM(H495:H498),2)</f>
        <v>4.82</v>
      </c>
      <c r="I499" s="2"/>
    </row>
    <row r="500" spans="1:15" ht="15.75" x14ac:dyDescent="0.25">
      <c r="B500" s="2"/>
      <c r="C500" s="2"/>
      <c r="D500" s="91" t="s">
        <v>1673</v>
      </c>
      <c r="E500" s="47"/>
      <c r="F500" s="47"/>
      <c r="G500" s="47"/>
      <c r="H500" s="92">
        <f>ROUND(SUM(H499,H493,H474,H464),2)</f>
        <v>282.07</v>
      </c>
      <c r="I500" s="2"/>
      <c r="K500" s="1">
        <v>195.67</v>
      </c>
    </row>
    <row r="501" spans="1:15" ht="15.75" x14ac:dyDescent="0.25">
      <c r="A501" s="103">
        <v>40002</v>
      </c>
      <c r="B501" s="2"/>
      <c r="C501" s="2"/>
      <c r="D501" s="93" t="s">
        <v>1672</v>
      </c>
      <c r="E501" s="65"/>
      <c r="F501" s="65"/>
      <c r="G501" s="94">
        <f>IF($A501=0,"",VLOOKUP($A501,'BASE MATERIAL'!$M:$P,4))</f>
        <v>0</v>
      </c>
      <c r="H501" s="95">
        <f>IF($A501=0,"",ROUND(G501*H500,2))</f>
        <v>0</v>
      </c>
      <c r="I501" s="2"/>
    </row>
    <row r="502" spans="1:15" ht="15.75" x14ac:dyDescent="0.25">
      <c r="A502" s="103">
        <v>40003</v>
      </c>
      <c r="B502" s="2"/>
      <c r="C502" s="2"/>
      <c r="D502" s="93" t="s">
        <v>1671</v>
      </c>
      <c r="E502" s="65"/>
      <c r="F502" s="65"/>
      <c r="G502" s="94">
        <f>IF($A502=0,"",VLOOKUP($A502,'BASE MATERIAL'!$M:$P,4))</f>
        <v>0</v>
      </c>
      <c r="H502" s="95">
        <f>IF($A502=0,"",ROUND(G502*H500,2))</f>
        <v>0</v>
      </c>
      <c r="I502" s="2"/>
    </row>
    <row r="503" spans="1:15" ht="15.75" x14ac:dyDescent="0.25">
      <c r="B503" s="2"/>
      <c r="C503" s="2"/>
      <c r="D503" s="93" t="s">
        <v>1670</v>
      </c>
      <c r="E503" s="65"/>
      <c r="F503" s="65"/>
      <c r="G503" s="65"/>
      <c r="H503" s="96">
        <f>ROUND(SUM(H500:H502),2)</f>
        <v>282.07</v>
      </c>
      <c r="I503" s="2"/>
    </row>
    <row r="504" spans="1:15" ht="16.5" thickBot="1" x14ac:dyDescent="0.3">
      <c r="B504" s="25"/>
      <c r="C504" s="2"/>
      <c r="D504" s="97" t="s">
        <v>1650</v>
      </c>
      <c r="E504" s="88"/>
      <c r="F504" s="88"/>
      <c r="G504" s="88"/>
      <c r="H504" s="98">
        <f>ROUND(H503,2)</f>
        <v>282.07</v>
      </c>
      <c r="I504" s="2"/>
    </row>
    <row r="505" spans="1:15" ht="15.75" x14ac:dyDescent="0.25">
      <c r="B505" s="34" t="s">
        <v>1701</v>
      </c>
      <c r="C505" s="2"/>
      <c r="D505" s="3" t="str">
        <f>$D$1</f>
        <v>ESPOL</v>
      </c>
      <c r="E505" s="2"/>
      <c r="F505" s="2"/>
      <c r="H505" s="2" t="s">
        <v>108</v>
      </c>
      <c r="I505" s="2"/>
      <c r="L505" s="40">
        <f>A509</f>
        <v>6</v>
      </c>
      <c r="M505" s="1" t="str">
        <f>C510</f>
        <v>Losas primer alto</v>
      </c>
      <c r="N505" s="2" t="str">
        <f>H509</f>
        <v>m3</v>
      </c>
      <c r="O505" s="2">
        <f>H560</f>
        <v>235.6</v>
      </c>
    </row>
    <row r="506" spans="1:15" ht="15.75" x14ac:dyDescent="0.25">
      <c r="B506" s="34" t="s">
        <v>1700</v>
      </c>
      <c r="C506" s="3">
        <f>'1.1'!$C$2</f>
        <v>0</v>
      </c>
      <c r="D506" s="2"/>
      <c r="E506" s="2"/>
      <c r="F506" s="2"/>
      <c r="G506" s="41" t="s">
        <v>1699</v>
      </c>
      <c r="H506" s="42"/>
      <c r="I506" s="2" t="s">
        <v>1698</v>
      </c>
    </row>
    <row r="507" spans="1:15" ht="15.75" x14ac:dyDescent="0.25">
      <c r="B507" s="34"/>
      <c r="C507" s="3">
        <f>'1.1'!$C$3</f>
        <v>0</v>
      </c>
      <c r="D507" s="2"/>
      <c r="E507" s="2"/>
      <c r="F507" s="2"/>
      <c r="G507" s="2"/>
      <c r="H507" s="2"/>
      <c r="I507" s="2"/>
    </row>
    <row r="508" spans="1:15" ht="15.75" x14ac:dyDescent="0.25">
      <c r="B508" s="34" t="s">
        <v>1697</v>
      </c>
      <c r="C508" s="3"/>
      <c r="D508" s="2"/>
      <c r="E508" s="2"/>
      <c r="F508" s="2"/>
      <c r="G508" s="2"/>
      <c r="H508" s="2"/>
      <c r="I508" s="2"/>
    </row>
    <row r="509" spans="1:15" x14ac:dyDescent="0.25">
      <c r="A509" s="104">
        <v>6</v>
      </c>
      <c r="B509" s="2" t="s">
        <v>1586</v>
      </c>
      <c r="C509" s="36" t="s">
        <v>625</v>
      </c>
      <c r="D509" s="2"/>
      <c r="G509" s="2" t="s">
        <v>1696</v>
      </c>
      <c r="H509" s="3" t="s">
        <v>1521</v>
      </c>
      <c r="I509" s="2"/>
    </row>
    <row r="510" spans="1:15" x14ac:dyDescent="0.25">
      <c r="B510" s="1" t="s">
        <v>1585</v>
      </c>
      <c r="C510" s="36" t="s">
        <v>646</v>
      </c>
      <c r="D510" s="2"/>
      <c r="E510" s="2"/>
      <c r="F510" s="2"/>
      <c r="G510" s="2"/>
      <c r="H510" s="2"/>
      <c r="I510" s="2"/>
    </row>
    <row r="511" spans="1:15" ht="15.75" thickBot="1" x14ac:dyDescent="0.3">
      <c r="D511" s="2"/>
      <c r="E511" s="2"/>
      <c r="F511" s="2"/>
      <c r="G511" s="2"/>
      <c r="H511" s="2"/>
      <c r="I511" s="2"/>
    </row>
    <row r="512" spans="1:15" ht="15.75" thickBot="1" x14ac:dyDescent="0.3">
      <c r="B512" s="43" t="s">
        <v>1695</v>
      </c>
      <c r="C512" s="44"/>
      <c r="D512" s="44"/>
      <c r="E512" s="44"/>
      <c r="F512" s="44"/>
      <c r="G512" s="44"/>
      <c r="H512" s="45"/>
      <c r="I512" s="2"/>
    </row>
    <row r="513" spans="1:11" ht="25.5" x14ac:dyDescent="0.25">
      <c r="B513" s="46" t="s">
        <v>1409</v>
      </c>
      <c r="C513" s="47"/>
      <c r="D513" s="48" t="s">
        <v>1690</v>
      </c>
      <c r="E513" s="48" t="s">
        <v>1694</v>
      </c>
      <c r="F513" s="48" t="s">
        <v>1693</v>
      </c>
      <c r="G513" s="49" t="s">
        <v>1687</v>
      </c>
      <c r="H513" s="50" t="s">
        <v>1686</v>
      </c>
      <c r="I513" s="2"/>
    </row>
    <row r="514" spans="1:11" x14ac:dyDescent="0.25">
      <c r="A514" s="103">
        <v>19015</v>
      </c>
      <c r="B514" s="51" t="str">
        <f>IF($A514=0,"",VLOOKUP($A514,'BASE EQUIPO'!$A:$D,2))</f>
        <v>HERRAMIENTA MENOR</v>
      </c>
      <c r="C514" s="52"/>
      <c r="D514" s="53">
        <v>1</v>
      </c>
      <c r="E514" s="53">
        <f>IF($A514=0,"",VLOOKUP($A514,'BASE EQUIPO'!$A:$D,4)*H530)</f>
        <v>1.8185999999999998</v>
      </c>
      <c r="F514" s="53">
        <f t="shared" ref="F514:F519" si="47">IF($A514=0,"",ROUND(D514*E514,2))</f>
        <v>1.82</v>
      </c>
      <c r="G514" s="105">
        <v>1</v>
      </c>
      <c r="H514" s="54">
        <f t="shared" ref="H514:H519" si="48">IF($A514=0,"",ROUND(G514*F514,2))</f>
        <v>1.82</v>
      </c>
      <c r="I514" s="2"/>
    </row>
    <row r="515" spans="1:11" x14ac:dyDescent="0.25">
      <c r="B515" s="38" t="str">
        <f>IF($A515=0,"",VLOOKUP($A515,'BASE EQUIPO'!$A:$D,2))</f>
        <v/>
      </c>
      <c r="C515" s="2"/>
      <c r="D515" s="55"/>
      <c r="E515" s="55" t="str">
        <f>IF($A515=0,"",VLOOKUP($A515,'BASE EQUIPO'!$A:$D,4))</f>
        <v/>
      </c>
      <c r="F515" s="55" t="str">
        <f t="shared" si="47"/>
        <v/>
      </c>
      <c r="G515" s="106"/>
      <c r="H515" s="56" t="str">
        <f t="shared" si="48"/>
        <v/>
      </c>
      <c r="I515" s="2"/>
    </row>
    <row r="516" spans="1:11" x14ac:dyDescent="0.25">
      <c r="A516" s="103">
        <v>19008</v>
      </c>
      <c r="B516" s="38" t="str">
        <f>IF($A516=0,"",VLOOKUP($A516,'BASE EQUIPO'!$A:$D,2))</f>
        <v>VIBRADOR</v>
      </c>
      <c r="C516" s="2"/>
      <c r="D516" s="55">
        <v>1</v>
      </c>
      <c r="E516" s="55">
        <f>IF($A516=0,"",VLOOKUP($A516,'BASE EQUIPO'!$A:$D,4))</f>
        <v>2.5</v>
      </c>
      <c r="F516" s="55">
        <f t="shared" si="47"/>
        <v>2.5</v>
      </c>
      <c r="G516" s="106">
        <v>1</v>
      </c>
      <c r="H516" s="56">
        <f t="shared" si="48"/>
        <v>2.5</v>
      </c>
      <c r="I516" s="2"/>
    </row>
    <row r="517" spans="1:11" x14ac:dyDescent="0.25">
      <c r="A517" s="103">
        <v>1</v>
      </c>
      <c r="B517" s="38" t="s">
        <v>627</v>
      </c>
      <c r="C517" s="2"/>
      <c r="D517" s="55">
        <v>4</v>
      </c>
      <c r="E517" s="55">
        <v>0.5</v>
      </c>
      <c r="F517" s="55">
        <f t="shared" si="47"/>
        <v>2</v>
      </c>
      <c r="G517" s="106">
        <v>1</v>
      </c>
      <c r="H517" s="56">
        <f t="shared" si="48"/>
        <v>2</v>
      </c>
      <c r="I517" s="2"/>
    </row>
    <row r="518" spans="1:11" x14ac:dyDescent="0.25">
      <c r="B518" s="38" t="str">
        <f>IF($A518=0,"",VLOOKUP($A518,'BASE EQUIPO'!$A:$D,2))</f>
        <v/>
      </c>
      <c r="C518" s="2"/>
      <c r="D518" s="55"/>
      <c r="E518" s="55" t="str">
        <f>IF($A518=0,"",VLOOKUP($A518,'BASE EQUIPO'!$A:$D,4))</f>
        <v/>
      </c>
      <c r="F518" s="55" t="str">
        <f t="shared" si="47"/>
        <v/>
      </c>
      <c r="G518" s="106"/>
      <c r="H518" s="56" t="str">
        <f t="shared" si="48"/>
        <v/>
      </c>
      <c r="I518" s="2"/>
    </row>
    <row r="519" spans="1:11" x14ac:dyDescent="0.25">
      <c r="B519" s="57" t="str">
        <f>IF($A519=0,"",VLOOKUP($A519,'BASE EQUIPO'!$A:$D,2))</f>
        <v/>
      </c>
      <c r="C519" s="58"/>
      <c r="D519" s="59"/>
      <c r="E519" s="59" t="str">
        <f>IF($A519=0,"",VLOOKUP($A519,'BASE EQUIPO'!$A:$D,4))</f>
        <v/>
      </c>
      <c r="F519" s="59" t="str">
        <f t="shared" si="47"/>
        <v/>
      </c>
      <c r="G519" s="107"/>
      <c r="H519" s="60" t="str">
        <f t="shared" si="48"/>
        <v/>
      </c>
      <c r="I519" s="2"/>
    </row>
    <row r="520" spans="1:11" x14ac:dyDescent="0.25">
      <c r="B520" s="57" t="s">
        <v>1692</v>
      </c>
      <c r="C520" s="58"/>
      <c r="D520" s="61"/>
      <c r="E520" s="61"/>
      <c r="F520" s="61"/>
      <c r="G520" s="62"/>
      <c r="H520" s="60">
        <f>ROUND(SUM(H513:H519),2)</f>
        <v>6.32</v>
      </c>
      <c r="I520" s="2"/>
    </row>
    <row r="521" spans="1:11" x14ac:dyDescent="0.25">
      <c r="B521" s="38" t="s">
        <v>1503</v>
      </c>
      <c r="C521" s="2"/>
      <c r="D521" s="3"/>
      <c r="E521" s="3"/>
      <c r="F521" s="3"/>
      <c r="G521" s="63"/>
      <c r="H521" s="56"/>
      <c r="I521" s="2"/>
    </row>
    <row r="522" spans="1:11" ht="25.5" x14ac:dyDescent="0.25">
      <c r="B522" s="64" t="s">
        <v>1691</v>
      </c>
      <c r="C522" s="65"/>
      <c r="D522" s="66" t="s">
        <v>1690</v>
      </c>
      <c r="E522" s="66" t="s">
        <v>1689</v>
      </c>
      <c r="F522" s="66" t="s">
        <v>1688</v>
      </c>
      <c r="G522" s="67" t="s">
        <v>1687</v>
      </c>
      <c r="H522" s="68" t="s">
        <v>1686</v>
      </c>
      <c r="I522" s="2"/>
    </row>
    <row r="523" spans="1:11" x14ac:dyDescent="0.25">
      <c r="A523" s="103">
        <v>20001</v>
      </c>
      <c r="B523" s="69" t="str">
        <f>IF($A523=0,"",VLOOKUP($A523,'BASE M-OBRA'!$A:$D,2))</f>
        <v>MAESTRO</v>
      </c>
      <c r="C523" s="2"/>
      <c r="D523" s="108">
        <v>1</v>
      </c>
      <c r="E523" s="70">
        <f>IF($A523=0,"",VLOOKUP($A523,'BASE M-OBRA'!$A:$D,4))</f>
        <v>3.02</v>
      </c>
      <c r="F523" s="55">
        <f t="shared" ref="F523:F529" si="49">IF($A523=0,"",ROUND(D523*E523,2))</f>
        <v>3.02</v>
      </c>
      <c r="G523" s="106">
        <f>IF($A523=0,"",ROUND(H523/F523,2))</f>
        <v>3.34</v>
      </c>
      <c r="H523" s="56">
        <f>IF($A523=0,"",ROUND(SUM(H524:H529)*'BASE M-OBRA'!$D$23,2))</f>
        <v>10.1</v>
      </c>
      <c r="I523" s="2"/>
    </row>
    <row r="524" spans="1:11" x14ac:dyDescent="0.25">
      <c r="A524" s="103">
        <v>20002</v>
      </c>
      <c r="B524" s="69" t="str">
        <f>IF($A524=0,"",VLOOKUP($A524,'BASE M-OBRA'!$A:$D,2))</f>
        <v>PEON</v>
      </c>
      <c r="C524" s="2"/>
      <c r="D524" s="108">
        <v>8</v>
      </c>
      <c r="E524" s="70">
        <f>IF($A524=0,"",VLOOKUP($A524,'BASE M-OBRA'!$A:$D,4))</f>
        <v>2.79</v>
      </c>
      <c r="F524" s="55">
        <f t="shared" si="49"/>
        <v>22.32</v>
      </c>
      <c r="G524" s="106">
        <v>1</v>
      </c>
      <c r="H524" s="56">
        <f t="shared" ref="H524:H529" si="50">IF($A524=0,"",ROUND(G524*F524,2))</f>
        <v>22.32</v>
      </c>
      <c r="I524" s="2"/>
    </row>
    <row r="525" spans="1:11" x14ac:dyDescent="0.25">
      <c r="A525" s="103">
        <v>20003</v>
      </c>
      <c r="B525" s="69" t="str">
        <f>IF($A525=0,"",VLOOKUP($A525,'BASE M-OBRA'!$A:$D,2))</f>
        <v>ALBAÑIL</v>
      </c>
      <c r="C525" s="2"/>
      <c r="D525" s="108">
        <v>2</v>
      </c>
      <c r="E525" s="70">
        <f>IF($A525=0,"",VLOOKUP($A525,'BASE M-OBRA'!$A:$D,4))</f>
        <v>2.82</v>
      </c>
      <c r="F525" s="55">
        <f t="shared" si="49"/>
        <v>5.64</v>
      </c>
      <c r="G525" s="106">
        <f>+G524</f>
        <v>1</v>
      </c>
      <c r="H525" s="56">
        <f t="shared" si="50"/>
        <v>5.64</v>
      </c>
      <c r="I525" s="2"/>
    </row>
    <row r="526" spans="1:11" x14ac:dyDescent="0.25">
      <c r="A526" s="103">
        <v>20004</v>
      </c>
      <c r="B526" s="71" t="str">
        <f>IF($A526=0,"",VLOOKUP($A526,'BASE M-OBRA'!$A:$D,2))</f>
        <v>CARPINTERO</v>
      </c>
      <c r="C526" s="2"/>
      <c r="D526" s="108">
        <v>2</v>
      </c>
      <c r="E526" s="70">
        <f>IF($A526=0,"",VLOOKUP($A526,'BASE M-OBRA'!$A:$D,4))</f>
        <v>2.82</v>
      </c>
      <c r="F526" s="55">
        <f t="shared" si="49"/>
        <v>5.64</v>
      </c>
      <c r="G526" s="106">
        <v>4</v>
      </c>
      <c r="H526" s="56">
        <f t="shared" si="50"/>
        <v>22.56</v>
      </c>
      <c r="I526" s="2"/>
      <c r="K526" s="1">
        <f>7*2.9</f>
        <v>20.3</v>
      </c>
    </row>
    <row r="527" spans="1:11" x14ac:dyDescent="0.25">
      <c r="B527" s="72" t="str">
        <f>IF($A527=0,"",VLOOKUP($A527,'BASE M-OBRA'!$A:$D,2))</f>
        <v/>
      </c>
      <c r="C527" s="2"/>
      <c r="D527" s="108"/>
      <c r="E527" s="70" t="str">
        <f>IF($A527=0,"",VLOOKUP($A527,'BASE M-OBRA'!$A:$D,4))</f>
        <v/>
      </c>
      <c r="F527" s="55" t="str">
        <f t="shared" si="49"/>
        <v/>
      </c>
      <c r="G527" s="106"/>
      <c r="H527" s="56" t="str">
        <f t="shared" si="50"/>
        <v/>
      </c>
      <c r="I527" s="2"/>
      <c r="K527" s="1">
        <f>+F537*0.15</f>
        <v>1.5</v>
      </c>
    </row>
    <row r="528" spans="1:11" x14ac:dyDescent="0.25">
      <c r="B528" s="38" t="str">
        <f>IF($A528=0,"",VLOOKUP($A528,'BASE M-OBRA'!$A:$D,2))</f>
        <v/>
      </c>
      <c r="C528" s="2"/>
      <c r="D528" s="55"/>
      <c r="E528" s="55" t="str">
        <f>IF($A528=0,"",VLOOKUP($A528,'BASE M-OBRA'!$A:$D,4))</f>
        <v/>
      </c>
      <c r="F528" s="55" t="str">
        <f t="shared" si="49"/>
        <v/>
      </c>
      <c r="G528" s="106"/>
      <c r="H528" s="56" t="str">
        <f t="shared" si="50"/>
        <v/>
      </c>
      <c r="I528" s="2"/>
    </row>
    <row r="529" spans="1:16" x14ac:dyDescent="0.25">
      <c r="B529" s="57" t="str">
        <f>IF($A529=0,"",VLOOKUP($A529,'BASE M-OBRA'!$A:$D,2))</f>
        <v/>
      </c>
      <c r="C529" s="58"/>
      <c r="D529" s="59"/>
      <c r="E529" s="59" t="str">
        <f>IF($A529=0,"",VLOOKUP($A529,'BASE M-OBRA'!$A:$D,4))</f>
        <v/>
      </c>
      <c r="F529" s="59" t="str">
        <f t="shared" si="49"/>
        <v/>
      </c>
      <c r="G529" s="107"/>
      <c r="H529" s="60" t="str">
        <f t="shared" si="50"/>
        <v/>
      </c>
      <c r="I529" s="2"/>
    </row>
    <row r="530" spans="1:16" x14ac:dyDescent="0.25">
      <c r="B530" s="73" t="s">
        <v>1685</v>
      </c>
      <c r="C530" s="65"/>
      <c r="D530" s="74"/>
      <c r="E530" s="74"/>
      <c r="F530" s="74"/>
      <c r="G530" s="74"/>
      <c r="H530" s="75">
        <f>ROUND(SUM(H522:H529),2)</f>
        <v>60.62</v>
      </c>
      <c r="I530" s="2"/>
      <c r="K530" s="1">
        <f>SUM(K526:K529)+15</f>
        <v>36.799999999999997</v>
      </c>
    </row>
    <row r="531" spans="1:16" x14ac:dyDescent="0.25">
      <c r="B531" s="38" t="s">
        <v>1684</v>
      </c>
      <c r="C531" s="2"/>
      <c r="D531" s="3"/>
      <c r="E531" s="3"/>
      <c r="F531" s="3"/>
      <c r="G531" s="3"/>
      <c r="H531" s="56"/>
      <c r="I531" s="2"/>
    </row>
    <row r="532" spans="1:16" ht="25.5" x14ac:dyDescent="0.25">
      <c r="B532" s="64" t="s">
        <v>1409</v>
      </c>
      <c r="C532" s="65"/>
      <c r="D532" s="76"/>
      <c r="E532" s="66" t="s">
        <v>1408</v>
      </c>
      <c r="F532" s="66" t="s">
        <v>1679</v>
      </c>
      <c r="G532" s="66" t="s">
        <v>1683</v>
      </c>
      <c r="H532" s="68" t="s">
        <v>1675</v>
      </c>
      <c r="I532" s="2"/>
    </row>
    <row r="533" spans="1:16" x14ac:dyDescent="0.25">
      <c r="A533" s="103">
        <v>11008</v>
      </c>
      <c r="B533" s="37" t="s">
        <v>628</v>
      </c>
      <c r="C533" s="2"/>
      <c r="D533" s="77"/>
      <c r="E533" s="78" t="s">
        <v>1566</v>
      </c>
      <c r="F533" s="55">
        <v>1</v>
      </c>
      <c r="G533" s="55">
        <v>2</v>
      </c>
      <c r="H533" s="56">
        <f t="shared" ref="H533:H547" si="51">IF($A533=0,"",ROUND(F533*G533,2))</f>
        <v>2</v>
      </c>
      <c r="I533" s="2"/>
      <c r="L533" s="2"/>
      <c r="M533" s="2"/>
      <c r="N533" s="39"/>
      <c r="O533" s="2"/>
      <c r="P533" s="2"/>
    </row>
    <row r="534" spans="1:16" x14ac:dyDescent="0.25">
      <c r="A534" s="103">
        <v>11009</v>
      </c>
      <c r="B534" s="38" t="s">
        <v>630</v>
      </c>
      <c r="C534" s="2"/>
      <c r="D534" s="77"/>
      <c r="E534" s="78" t="s">
        <v>1521</v>
      </c>
      <c r="F534" s="55">
        <v>1.02</v>
      </c>
      <c r="G534" s="55">
        <f>106.7*1.12</f>
        <v>119.50400000000002</v>
      </c>
      <c r="H534" s="56">
        <f t="shared" si="51"/>
        <v>121.89</v>
      </c>
      <c r="I534" s="2"/>
      <c r="K534" s="1">
        <v>0.06</v>
      </c>
      <c r="L534" s="2"/>
      <c r="M534" s="2"/>
      <c r="N534" s="39"/>
      <c r="O534" s="2"/>
      <c r="P534" s="2"/>
    </row>
    <row r="535" spans="1:16" x14ac:dyDescent="0.25">
      <c r="B535" s="38"/>
      <c r="C535" s="2"/>
      <c r="D535" s="77"/>
      <c r="E535" s="78"/>
      <c r="F535" s="55"/>
      <c r="G535" s="55"/>
      <c r="H535" s="56" t="str">
        <f t="shared" si="51"/>
        <v/>
      </c>
      <c r="I535" s="2"/>
      <c r="K535" s="1">
        <f>3.6*0.12*0.19</f>
        <v>8.208E-2</v>
      </c>
      <c r="L535" s="2"/>
      <c r="M535" s="2"/>
      <c r="N535" s="39"/>
      <c r="O535" s="2"/>
      <c r="P535" s="2"/>
    </row>
    <row r="536" spans="1:16" x14ac:dyDescent="0.25">
      <c r="A536" s="103">
        <v>11002</v>
      </c>
      <c r="B536" s="38" t="str">
        <f>IF($A536=0,"",VLOOKUP($A536,'BASE MATERIAL'!$A:$D,2))</f>
        <v>ALAMBRE #18 RECOCIDO</v>
      </c>
      <c r="C536" s="2"/>
      <c r="D536" s="77"/>
      <c r="E536" s="78" t="str">
        <f>IF($A536=0,"",VLOOKUP($A536,'BASE MATERIAL'!$A:$D,3))</f>
        <v>KG</v>
      </c>
      <c r="F536" s="55">
        <v>5.25</v>
      </c>
      <c r="G536" s="55">
        <f>IF($A536=0,"",VLOOKUP($A536,'BASE MATERIAL'!$A:$D,4))</f>
        <v>1.87</v>
      </c>
      <c r="H536" s="56">
        <f t="shared" si="51"/>
        <v>9.82</v>
      </c>
      <c r="I536" s="2"/>
      <c r="K536" s="1">
        <v>0.06</v>
      </c>
      <c r="L536" s="2"/>
      <c r="M536" s="2"/>
      <c r="N536" s="39"/>
      <c r="O536" s="2"/>
      <c r="P536" s="2"/>
    </row>
    <row r="537" spans="1:16" x14ac:dyDescent="0.25">
      <c r="A537" s="103">
        <v>1</v>
      </c>
      <c r="B537" s="38" t="s">
        <v>629</v>
      </c>
      <c r="C537" s="2"/>
      <c r="D537" s="77"/>
      <c r="E537" s="78" t="s">
        <v>1520</v>
      </c>
      <c r="F537" s="55">
        <v>10</v>
      </c>
      <c r="G537" s="55">
        <v>3</v>
      </c>
      <c r="H537" s="56">
        <f t="shared" si="51"/>
        <v>30</v>
      </c>
      <c r="I537" s="2"/>
      <c r="K537" s="1">
        <f>1/K536</f>
        <v>16.666666666666668</v>
      </c>
      <c r="L537" s="2"/>
      <c r="M537" s="2"/>
      <c r="N537" s="39"/>
      <c r="O537" s="2"/>
      <c r="P537" s="2"/>
    </row>
    <row r="538" spans="1:16" x14ac:dyDescent="0.25">
      <c r="B538" s="38"/>
      <c r="C538" s="2"/>
      <c r="D538" s="77"/>
      <c r="E538" s="78"/>
      <c r="F538" s="55"/>
      <c r="G538" s="55"/>
      <c r="H538" s="56" t="str">
        <f t="shared" si="51"/>
        <v/>
      </c>
      <c r="I538" s="2"/>
      <c r="L538" s="2"/>
      <c r="M538" s="2"/>
      <c r="N538" s="39"/>
      <c r="O538" s="2"/>
      <c r="P538" s="2"/>
    </row>
    <row r="539" spans="1:16" x14ac:dyDescent="0.25">
      <c r="B539" s="38"/>
      <c r="C539" s="2"/>
      <c r="D539" s="77"/>
      <c r="E539" s="78"/>
      <c r="F539" s="55"/>
      <c r="G539" s="55"/>
      <c r="H539" s="56" t="str">
        <f t="shared" si="51"/>
        <v/>
      </c>
      <c r="I539" s="2"/>
      <c r="L539" s="2"/>
      <c r="M539" s="2"/>
      <c r="N539" s="39"/>
      <c r="O539" s="2"/>
      <c r="P539" s="2"/>
    </row>
    <row r="540" spans="1:16" x14ac:dyDescent="0.25">
      <c r="B540" s="38"/>
      <c r="C540" s="2"/>
      <c r="D540" s="77"/>
      <c r="E540" s="78"/>
      <c r="F540" s="55"/>
      <c r="G540" s="55"/>
      <c r="H540" s="56" t="str">
        <f t="shared" si="51"/>
        <v/>
      </c>
      <c r="I540" s="2"/>
      <c r="L540" s="2"/>
      <c r="M540" s="2"/>
      <c r="N540" s="39"/>
      <c r="O540" s="2"/>
      <c r="P540" s="2"/>
    </row>
    <row r="541" spans="1:16" x14ac:dyDescent="0.25">
      <c r="B541" s="38"/>
      <c r="C541" s="2"/>
      <c r="D541" s="77"/>
      <c r="E541" s="78"/>
      <c r="F541" s="55"/>
      <c r="G541" s="55"/>
      <c r="H541" s="56" t="str">
        <f t="shared" si="51"/>
        <v/>
      </c>
      <c r="I541" s="2"/>
    </row>
    <row r="542" spans="1:16" x14ac:dyDescent="0.25">
      <c r="B542" s="38"/>
      <c r="C542" s="2"/>
      <c r="D542" s="77"/>
      <c r="E542" s="78"/>
      <c r="F542" s="55"/>
      <c r="G542" s="80"/>
      <c r="H542" s="56" t="str">
        <f t="shared" si="51"/>
        <v/>
      </c>
      <c r="I542" s="2"/>
      <c r="L542" s="2"/>
      <c r="M542" s="2"/>
      <c r="N542" s="39"/>
      <c r="O542" s="2"/>
      <c r="P542" s="2"/>
    </row>
    <row r="543" spans="1:16" x14ac:dyDescent="0.25">
      <c r="B543" s="38"/>
      <c r="C543" s="2"/>
      <c r="D543" s="77"/>
      <c r="E543" s="78"/>
      <c r="F543" s="55"/>
      <c r="G543" s="55"/>
      <c r="H543" s="56" t="str">
        <f t="shared" si="51"/>
        <v/>
      </c>
      <c r="I543" s="2"/>
      <c r="L543" s="2"/>
      <c r="M543" s="2"/>
      <c r="N543" s="39"/>
      <c r="O543" s="2"/>
      <c r="P543" s="2"/>
    </row>
    <row r="544" spans="1:16" x14ac:dyDescent="0.25">
      <c r="B544" s="38"/>
      <c r="C544" s="2"/>
      <c r="D544" s="77"/>
      <c r="E544" s="78"/>
      <c r="F544" s="55"/>
      <c r="G544" s="55"/>
      <c r="H544" s="56" t="str">
        <f t="shared" si="51"/>
        <v/>
      </c>
      <c r="I544" s="2"/>
    </row>
    <row r="545" spans="1:9" x14ac:dyDescent="0.25">
      <c r="B545" s="38" t="str">
        <f>IF($A545=0,"",VLOOKUP($A545,'BASE MATERIAL'!$A:$D,2))</f>
        <v/>
      </c>
      <c r="C545" s="2"/>
      <c r="D545" s="77"/>
      <c r="E545" s="78" t="str">
        <f>IF($A545=0,"",VLOOKUP($A545,'BASE MATERIAL'!$A:$D,3))</f>
        <v/>
      </c>
      <c r="F545" s="55"/>
      <c r="G545" s="55" t="str">
        <f>IF($A545=0,"",VLOOKUP($A545,'BASE MATERIAL'!$A:$D,4))</f>
        <v/>
      </c>
      <c r="H545" s="56" t="str">
        <f t="shared" si="51"/>
        <v/>
      </c>
      <c r="I545" s="2"/>
    </row>
    <row r="546" spans="1:9" x14ac:dyDescent="0.25">
      <c r="B546" s="38" t="str">
        <f>IF($A546=0,"",VLOOKUP($A546,'BASE MATERIAL'!$A:$D,2))</f>
        <v/>
      </c>
      <c r="C546" s="2"/>
      <c r="D546" s="77"/>
      <c r="E546" s="78" t="str">
        <f>IF($A546=0,"",VLOOKUP($A546,'BASE MATERIAL'!$A:$D,3))</f>
        <v/>
      </c>
      <c r="F546" s="55"/>
      <c r="G546" s="55" t="str">
        <f>IF($A546=0,"",VLOOKUP($A546,'BASE MATERIAL'!$A:$D,4))</f>
        <v/>
      </c>
      <c r="H546" s="56" t="str">
        <f t="shared" si="51"/>
        <v/>
      </c>
      <c r="I546" s="2"/>
    </row>
    <row r="547" spans="1:9" x14ac:dyDescent="0.25">
      <c r="B547" s="38" t="str">
        <f>IF($A547=0,"",VLOOKUP($A547,'BASE MATERIAL'!$A:$D,2))</f>
        <v/>
      </c>
      <c r="C547" s="2"/>
      <c r="D547" s="77"/>
      <c r="E547" s="78" t="str">
        <f>IF($A547=0,"",VLOOKUP($A547,'BASE MATERIAL'!$A:$D,3))</f>
        <v/>
      </c>
      <c r="F547" s="55"/>
      <c r="G547" s="55" t="str">
        <f>IF($A547=0,"",VLOOKUP($A547,'BASE MATERIAL'!$A:$D,4))</f>
        <v/>
      </c>
      <c r="H547" s="56" t="str">
        <f t="shared" si="51"/>
        <v/>
      </c>
      <c r="I547" s="2"/>
    </row>
    <row r="548" spans="1:9" x14ac:dyDescent="0.25">
      <c r="B548" s="38" t="str">
        <f>IF($A548=0,"",VLOOKUP($A548,'BASE MATERIAL'!$A:$D,2))</f>
        <v/>
      </c>
      <c r="C548" s="2"/>
      <c r="D548" s="81" t="s">
        <v>1682</v>
      </c>
      <c r="E548" s="55" t="str">
        <f>IF($A548=0,"",VLOOKUP($A548,'BASE MATERIAL'!$A:$D,3))</f>
        <v/>
      </c>
      <c r="F548" s="55" t="s">
        <v>1682</v>
      </c>
      <c r="G548" s="55" t="str">
        <f>IF($A548=0,"",VLOOKUP($A548,'BASE MATERIAL'!$A:$D,4))</f>
        <v/>
      </c>
      <c r="H548" s="56" t="str">
        <f>IF($A548=0,"",ROUND(E548*F548,2))</f>
        <v/>
      </c>
      <c r="I548" s="2"/>
    </row>
    <row r="549" spans="1:9" x14ac:dyDescent="0.25">
      <c r="B549" s="73" t="s">
        <v>1681</v>
      </c>
      <c r="C549" s="65"/>
      <c r="D549" s="74"/>
      <c r="E549" s="74"/>
      <c r="F549" s="74"/>
      <c r="G549" s="74"/>
      <c r="H549" s="75">
        <f>ROUND(SUM(H532:H548),2)</f>
        <v>163.71</v>
      </c>
      <c r="I549" s="2"/>
    </row>
    <row r="550" spans="1:9" x14ac:dyDescent="0.25">
      <c r="B550" s="38" t="s">
        <v>1680</v>
      </c>
      <c r="C550" s="2"/>
      <c r="D550" s="3"/>
      <c r="E550" s="3"/>
      <c r="F550" s="3"/>
      <c r="G550" s="3"/>
      <c r="H550" s="56"/>
      <c r="I550" s="2"/>
    </row>
    <row r="551" spans="1:9" ht="25.5" x14ac:dyDescent="0.25">
      <c r="B551" s="64" t="s">
        <v>1409</v>
      </c>
      <c r="C551" s="65"/>
      <c r="D551" s="76"/>
      <c r="E551" s="66" t="s">
        <v>1408</v>
      </c>
      <c r="F551" s="66" t="s">
        <v>1679</v>
      </c>
      <c r="G551" s="66" t="s">
        <v>1676</v>
      </c>
      <c r="H551" s="68" t="s">
        <v>1675</v>
      </c>
      <c r="I551" s="2"/>
    </row>
    <row r="552" spans="1:9" x14ac:dyDescent="0.25">
      <c r="A552" s="103">
        <v>19019</v>
      </c>
      <c r="B552" s="51" t="str">
        <f>IF($A552=0,"",VLOOKUP($A552,'BASE EQUIPO'!$A:$D,2))</f>
        <v>TRANSPORTE DE MATERIAL</v>
      </c>
      <c r="C552" s="52"/>
      <c r="D552" s="82"/>
      <c r="E552" s="78" t="str">
        <f>IF($A552=0,"",VLOOKUP($A552,'BASE EQUIPO'!$A:$D,3))</f>
        <v>GLOBAL</v>
      </c>
      <c r="F552" s="55">
        <v>1</v>
      </c>
      <c r="G552" s="83">
        <f>IF($A552=0,"",VLOOKUP($A552,'BASE EQUIPO'!$A:$D,4)*H549)+0.04</f>
        <v>4.9512999999999998</v>
      </c>
      <c r="H552" s="56">
        <f>IF($A552=0,"",ROUND(F552*G552,2))</f>
        <v>4.95</v>
      </c>
      <c r="I552" s="2"/>
    </row>
    <row r="553" spans="1:9" x14ac:dyDescent="0.25">
      <c r="B553" s="38" t="str">
        <f>IF($A553=0,"",VLOOKUP($A553,'BASE EQUIPO'!$A:$D,2))</f>
        <v/>
      </c>
      <c r="C553" s="2"/>
      <c r="D553" s="84"/>
      <c r="E553" s="78" t="str">
        <f>IF($A553=0,"",VLOOKUP($A553,'BASE EQUIPO'!$A:$D,3))</f>
        <v/>
      </c>
      <c r="F553" s="55"/>
      <c r="G553" s="55" t="str">
        <f>IF($A553=0,"",VLOOKUP($A553,'BASE EQUIPO'!$A:$D,4)*H550)</f>
        <v/>
      </c>
      <c r="H553" s="56" t="str">
        <f>IF($A553=0,"",ROUND(F553*G553,2))</f>
        <v/>
      </c>
      <c r="I553" s="2"/>
    </row>
    <row r="554" spans="1:9" x14ac:dyDescent="0.25">
      <c r="B554" s="57" t="str">
        <f>IF($A554=0,"",VLOOKUP($A554,'BASE EQUIPO'!$A:$D,2))</f>
        <v/>
      </c>
      <c r="C554" s="58"/>
      <c r="D554" s="85"/>
      <c r="E554" s="86" t="str">
        <f>IF($A554=0,"",VLOOKUP($A554,'BASE EQUIPO'!$A:$D,3))</f>
        <v/>
      </c>
      <c r="F554" s="59"/>
      <c r="G554" s="59" t="str">
        <f>IF($A554=0,"",VLOOKUP($A554,'BASE EQUIPO'!$A:$D,4)*H551)</f>
        <v/>
      </c>
      <c r="H554" s="60" t="str">
        <f>IF($A554=0,"",ROUND(F554*G554,2))</f>
        <v/>
      </c>
      <c r="I554" s="2"/>
    </row>
    <row r="555" spans="1:9" ht="15.75" thickBot="1" x14ac:dyDescent="0.3">
      <c r="B555" s="87" t="s">
        <v>1674</v>
      </c>
      <c r="C555" s="88"/>
      <c r="D555" s="89"/>
      <c r="E555" s="89"/>
      <c r="F555" s="89"/>
      <c r="G555" s="89"/>
      <c r="H555" s="90">
        <f>ROUND(SUM(H551:H554),2)</f>
        <v>4.95</v>
      </c>
      <c r="I555" s="2"/>
    </row>
    <row r="556" spans="1:9" ht="15.75" x14ac:dyDescent="0.25">
      <c r="B556" s="2"/>
      <c r="C556" s="2"/>
      <c r="D556" s="91" t="s">
        <v>1673</v>
      </c>
      <c r="E556" s="47"/>
      <c r="F556" s="47"/>
      <c r="G556" s="47"/>
      <c r="H556" s="92">
        <f>ROUND(SUM(H555,H549,H530,H520),2)</f>
        <v>235.6</v>
      </c>
      <c r="I556" s="2"/>
    </row>
    <row r="557" spans="1:9" ht="15.75" x14ac:dyDescent="0.25">
      <c r="A557" s="103">
        <v>40002</v>
      </c>
      <c r="B557" s="2"/>
      <c r="C557" s="2"/>
      <c r="D557" s="93" t="s">
        <v>1672</v>
      </c>
      <c r="E557" s="65"/>
      <c r="F557" s="65"/>
      <c r="G557" s="94">
        <f>IF($A557=0,"",VLOOKUP($A557,'BASE MATERIAL'!$M:$P,4))</f>
        <v>0</v>
      </c>
      <c r="H557" s="95">
        <f>IF($A557=0,"",ROUND(G557*H556,2))</f>
        <v>0</v>
      </c>
      <c r="I557" s="2"/>
    </row>
    <row r="558" spans="1:9" ht="15.75" x14ac:dyDescent="0.25">
      <c r="A558" s="103">
        <v>40003</v>
      </c>
      <c r="B558" s="2"/>
      <c r="C558" s="2"/>
      <c r="D558" s="93" t="s">
        <v>1671</v>
      </c>
      <c r="E558" s="65"/>
      <c r="F558" s="65"/>
      <c r="G558" s="94">
        <f>IF($A558=0,"",VLOOKUP($A558,'BASE MATERIAL'!$M:$P,4))</f>
        <v>0</v>
      </c>
      <c r="H558" s="95">
        <f>IF($A558=0,"",ROUND(G558*H556,2))</f>
        <v>0</v>
      </c>
      <c r="I558" s="2"/>
    </row>
    <row r="559" spans="1:9" ht="15.75" x14ac:dyDescent="0.25">
      <c r="B559" s="2"/>
      <c r="C559" s="2"/>
      <c r="D559" s="93" t="s">
        <v>1670</v>
      </c>
      <c r="E559" s="65"/>
      <c r="F559" s="65"/>
      <c r="G559" s="65"/>
      <c r="H559" s="96">
        <f>ROUND(SUM(H556:H558),2)</f>
        <v>235.6</v>
      </c>
      <c r="I559" s="2"/>
    </row>
    <row r="560" spans="1:9" ht="16.5" thickBot="1" x14ac:dyDescent="0.3">
      <c r="B560" s="25"/>
      <c r="C560" s="2"/>
      <c r="D560" s="97" t="s">
        <v>1650</v>
      </c>
      <c r="E560" s="88"/>
      <c r="F560" s="88"/>
      <c r="G560" s="88"/>
      <c r="H560" s="98">
        <f>ROUND(H559,2)</f>
        <v>235.6</v>
      </c>
      <c r="I560" s="2"/>
    </row>
    <row r="561" spans="1:15" ht="15.75" x14ac:dyDescent="0.25">
      <c r="B561" s="34" t="s">
        <v>1701</v>
      </c>
      <c r="C561" s="2"/>
      <c r="D561" s="3" t="str">
        <f>$D$1</f>
        <v>ESPOL</v>
      </c>
      <c r="E561" s="2"/>
      <c r="F561" s="2"/>
      <c r="H561" s="2" t="s">
        <v>108</v>
      </c>
      <c r="I561" s="2"/>
      <c r="L561" s="40">
        <f>A565</f>
        <v>6</v>
      </c>
      <c r="M561" s="1" t="str">
        <f>C566</f>
        <v>Losas segundo alto</v>
      </c>
      <c r="N561" s="2" t="str">
        <f>H565</f>
        <v>m3</v>
      </c>
      <c r="O561" s="2">
        <f>H616</f>
        <v>239.28</v>
      </c>
    </row>
    <row r="562" spans="1:15" ht="15.75" x14ac:dyDescent="0.25">
      <c r="B562" s="34" t="s">
        <v>1700</v>
      </c>
      <c r="C562" s="3">
        <f>'1.1'!$C$2</f>
        <v>0</v>
      </c>
      <c r="D562" s="2"/>
      <c r="E562" s="2"/>
      <c r="F562" s="2"/>
      <c r="G562" s="41" t="s">
        <v>1699</v>
      </c>
      <c r="H562" s="42"/>
      <c r="I562" s="2" t="s">
        <v>1698</v>
      </c>
    </row>
    <row r="563" spans="1:15" ht="15.75" x14ac:dyDescent="0.25">
      <c r="B563" s="34"/>
      <c r="C563" s="3">
        <f>'1.1'!$C$3</f>
        <v>0</v>
      </c>
      <c r="D563" s="2"/>
      <c r="E563" s="2"/>
      <c r="F563" s="2"/>
      <c r="G563" s="2"/>
      <c r="H563" s="2"/>
      <c r="I563" s="2"/>
    </row>
    <row r="564" spans="1:15" ht="15.75" x14ac:dyDescent="0.25">
      <c r="B564" s="34" t="s">
        <v>1697</v>
      </c>
      <c r="C564" s="3"/>
      <c r="D564" s="2"/>
      <c r="E564" s="2"/>
      <c r="F564" s="2"/>
      <c r="G564" s="2"/>
      <c r="H564" s="2"/>
      <c r="I564" s="2"/>
    </row>
    <row r="565" spans="1:15" x14ac:dyDescent="0.25">
      <c r="A565" s="104">
        <v>6</v>
      </c>
      <c r="B565" s="2" t="s">
        <v>1586</v>
      </c>
      <c r="C565" s="36" t="s">
        <v>626</v>
      </c>
      <c r="D565" s="2"/>
      <c r="G565" s="2" t="s">
        <v>1696</v>
      </c>
      <c r="H565" s="3" t="s">
        <v>1521</v>
      </c>
      <c r="I565" s="2"/>
    </row>
    <row r="566" spans="1:15" x14ac:dyDescent="0.25">
      <c r="B566" s="1" t="s">
        <v>1585</v>
      </c>
      <c r="C566" s="36" t="s">
        <v>647</v>
      </c>
      <c r="D566" s="2"/>
      <c r="E566" s="2"/>
      <c r="F566" s="2"/>
      <c r="G566" s="2"/>
      <c r="H566" s="2"/>
      <c r="I566" s="2"/>
    </row>
    <row r="567" spans="1:15" ht="15.75" thickBot="1" x14ac:dyDescent="0.3">
      <c r="D567" s="2"/>
      <c r="E567" s="2"/>
      <c r="F567" s="2"/>
      <c r="G567" s="2"/>
      <c r="H567" s="2"/>
      <c r="I567" s="2"/>
    </row>
    <row r="568" spans="1:15" ht="15.75" thickBot="1" x14ac:dyDescent="0.3">
      <c r="B568" s="43" t="s">
        <v>1695</v>
      </c>
      <c r="C568" s="44"/>
      <c r="D568" s="44"/>
      <c r="E568" s="44"/>
      <c r="F568" s="44"/>
      <c r="G568" s="44"/>
      <c r="H568" s="45"/>
      <c r="I568" s="2"/>
    </row>
    <row r="569" spans="1:15" ht="25.5" x14ac:dyDescent="0.25">
      <c r="B569" s="46" t="s">
        <v>1409</v>
      </c>
      <c r="C569" s="47"/>
      <c r="D569" s="48" t="s">
        <v>1690</v>
      </c>
      <c r="E569" s="48" t="s">
        <v>1694</v>
      </c>
      <c r="F569" s="48" t="s">
        <v>1693</v>
      </c>
      <c r="G569" s="49" t="s">
        <v>1687</v>
      </c>
      <c r="H569" s="50" t="s">
        <v>1686</v>
      </c>
      <c r="I569" s="2"/>
    </row>
    <row r="570" spans="1:15" x14ac:dyDescent="0.25">
      <c r="A570" s="103">
        <v>19015</v>
      </c>
      <c r="B570" s="51" t="str">
        <f>IF($A570=0,"",VLOOKUP($A570,'BASE EQUIPO'!$A:$D,2))</f>
        <v>HERRAMIENTA MENOR</v>
      </c>
      <c r="C570" s="52"/>
      <c r="D570" s="53">
        <v>1</v>
      </c>
      <c r="E570" s="53">
        <f>IF($A570=0,"",VLOOKUP($A570,'BASE EQUIPO'!$A:$D,4)*H586)</f>
        <v>1.9190999999999998</v>
      </c>
      <c r="F570" s="53">
        <f t="shared" ref="F570:F575" si="52">IF($A570=0,"",ROUND(D570*E570,2))</f>
        <v>1.92</v>
      </c>
      <c r="G570" s="105">
        <v>1</v>
      </c>
      <c r="H570" s="54">
        <f t="shared" ref="H570:H575" si="53">IF($A570=0,"",ROUND(G570*F570,2))</f>
        <v>1.92</v>
      </c>
      <c r="I570" s="2"/>
    </row>
    <row r="571" spans="1:15" x14ac:dyDescent="0.25">
      <c r="B571" s="38" t="str">
        <f>IF($A571=0,"",VLOOKUP($A571,'BASE EQUIPO'!$A:$D,2))</f>
        <v/>
      </c>
      <c r="C571" s="2"/>
      <c r="D571" s="55"/>
      <c r="E571" s="55" t="str">
        <f>IF($A571=0,"",VLOOKUP($A571,'BASE EQUIPO'!$A:$D,4))</f>
        <v/>
      </c>
      <c r="F571" s="55" t="str">
        <f t="shared" si="52"/>
        <v/>
      </c>
      <c r="G571" s="106"/>
      <c r="H571" s="56" t="str">
        <f t="shared" si="53"/>
        <v/>
      </c>
      <c r="I571" s="2"/>
    </row>
    <row r="572" spans="1:15" x14ac:dyDescent="0.25">
      <c r="A572" s="103">
        <v>19008</v>
      </c>
      <c r="B572" s="38" t="str">
        <f>IF($A572=0,"",VLOOKUP($A572,'BASE EQUIPO'!$A:$D,2))</f>
        <v>VIBRADOR</v>
      </c>
      <c r="C572" s="2"/>
      <c r="D572" s="55">
        <v>1</v>
      </c>
      <c r="E572" s="55">
        <f>IF($A572=0,"",VLOOKUP($A572,'BASE EQUIPO'!$A:$D,4))</f>
        <v>2.5</v>
      </c>
      <c r="F572" s="55">
        <f t="shared" si="52"/>
        <v>2.5</v>
      </c>
      <c r="G572" s="106">
        <f>G580</f>
        <v>1.1000000000000001</v>
      </c>
      <c r="H572" s="56">
        <f t="shared" si="53"/>
        <v>2.75</v>
      </c>
      <c r="I572" s="2"/>
    </row>
    <row r="573" spans="1:15" x14ac:dyDescent="0.25">
      <c r="A573" s="103">
        <v>1</v>
      </c>
      <c r="B573" s="38" t="s">
        <v>627</v>
      </c>
      <c r="C573" s="2"/>
      <c r="D573" s="55">
        <v>4</v>
      </c>
      <c r="E573" s="55">
        <v>0.5</v>
      </c>
      <c r="F573" s="55">
        <f t="shared" si="52"/>
        <v>2</v>
      </c>
      <c r="G573" s="106">
        <v>1</v>
      </c>
      <c r="H573" s="56">
        <f t="shared" si="53"/>
        <v>2</v>
      </c>
      <c r="I573" s="2"/>
    </row>
    <row r="574" spans="1:15" x14ac:dyDescent="0.25">
      <c r="B574" s="38" t="str">
        <f>IF($A574=0,"",VLOOKUP($A574,'BASE EQUIPO'!$A:$D,2))</f>
        <v/>
      </c>
      <c r="C574" s="2"/>
      <c r="D574" s="55"/>
      <c r="E574" s="55" t="str">
        <f>IF($A574=0,"",VLOOKUP($A574,'BASE EQUIPO'!$A:$D,4))</f>
        <v/>
      </c>
      <c r="F574" s="55" t="str">
        <f t="shared" si="52"/>
        <v/>
      </c>
      <c r="G574" s="106"/>
      <c r="H574" s="56" t="str">
        <f t="shared" si="53"/>
        <v/>
      </c>
      <c r="I574" s="2"/>
    </row>
    <row r="575" spans="1:15" x14ac:dyDescent="0.25">
      <c r="B575" s="57" t="str">
        <f>IF($A575=0,"",VLOOKUP($A575,'BASE EQUIPO'!$A:$D,2))</f>
        <v/>
      </c>
      <c r="C575" s="58"/>
      <c r="D575" s="59"/>
      <c r="E575" s="59" t="str">
        <f>IF($A575=0,"",VLOOKUP($A575,'BASE EQUIPO'!$A:$D,4))</f>
        <v/>
      </c>
      <c r="F575" s="59" t="str">
        <f t="shared" si="52"/>
        <v/>
      </c>
      <c r="G575" s="107"/>
      <c r="H575" s="60" t="str">
        <f t="shared" si="53"/>
        <v/>
      </c>
      <c r="I575" s="2"/>
    </row>
    <row r="576" spans="1:15" x14ac:dyDescent="0.25">
      <c r="B576" s="57" t="s">
        <v>1692</v>
      </c>
      <c r="C576" s="58"/>
      <c r="D576" s="61"/>
      <c r="E576" s="61"/>
      <c r="F576" s="61"/>
      <c r="G576" s="62"/>
      <c r="H576" s="60">
        <f>ROUND(SUM(H569:H575),2)</f>
        <v>6.67</v>
      </c>
      <c r="I576" s="2"/>
    </row>
    <row r="577" spans="1:16" x14ac:dyDescent="0.25">
      <c r="B577" s="38" t="s">
        <v>1503</v>
      </c>
      <c r="C577" s="2"/>
      <c r="D577" s="3"/>
      <c r="E577" s="3"/>
      <c r="F577" s="3"/>
      <c r="G577" s="63"/>
      <c r="H577" s="56"/>
      <c r="I577" s="2"/>
    </row>
    <row r="578" spans="1:16" ht="25.5" x14ac:dyDescent="0.25">
      <c r="B578" s="64" t="s">
        <v>1691</v>
      </c>
      <c r="C578" s="65"/>
      <c r="D578" s="66" t="s">
        <v>1690</v>
      </c>
      <c r="E578" s="66" t="s">
        <v>1689</v>
      </c>
      <c r="F578" s="66" t="s">
        <v>1688</v>
      </c>
      <c r="G578" s="67" t="s">
        <v>1687</v>
      </c>
      <c r="H578" s="68" t="s">
        <v>1686</v>
      </c>
      <c r="I578" s="2"/>
    </row>
    <row r="579" spans="1:16" x14ac:dyDescent="0.25">
      <c r="A579" s="103">
        <v>20001</v>
      </c>
      <c r="B579" s="69" t="str">
        <f>IF($A579=0,"",VLOOKUP($A579,'BASE M-OBRA'!$A:$D,2))</f>
        <v>MAESTRO</v>
      </c>
      <c r="C579" s="2"/>
      <c r="D579" s="108">
        <v>1</v>
      </c>
      <c r="E579" s="70">
        <f>IF($A579=0,"",VLOOKUP($A579,'BASE M-OBRA'!$A:$D,4))</f>
        <v>3.02</v>
      </c>
      <c r="F579" s="55">
        <f t="shared" ref="F579:F585" si="54">IF($A579=0,"",ROUND(D579*E579,2))</f>
        <v>3.02</v>
      </c>
      <c r="G579" s="106">
        <f>IF($A579=0,"",ROUND(H579/F579,2))</f>
        <v>3.53</v>
      </c>
      <c r="H579" s="56">
        <f>IF($A579=0,"",ROUND(SUM(H580:H585)*'BASE M-OBRA'!$D$23,2))</f>
        <v>10.66</v>
      </c>
      <c r="I579" s="2"/>
    </row>
    <row r="580" spans="1:16" x14ac:dyDescent="0.25">
      <c r="A580" s="103">
        <v>20002</v>
      </c>
      <c r="B580" s="69" t="str">
        <f>IF($A580=0,"",VLOOKUP($A580,'BASE M-OBRA'!$A:$D,2))</f>
        <v>PEON</v>
      </c>
      <c r="C580" s="2"/>
      <c r="D580" s="108">
        <v>8</v>
      </c>
      <c r="E580" s="70">
        <f>IF($A580=0,"",VLOOKUP($A580,'BASE M-OBRA'!$A:$D,4))</f>
        <v>2.79</v>
      </c>
      <c r="F580" s="55">
        <f t="shared" si="54"/>
        <v>22.32</v>
      </c>
      <c r="G580" s="106">
        <v>1.1000000000000001</v>
      </c>
      <c r="H580" s="56">
        <f t="shared" ref="H580:H585" si="55">IF($A580=0,"",ROUND(G580*F580,2))</f>
        <v>24.55</v>
      </c>
      <c r="I580" s="2"/>
    </row>
    <row r="581" spans="1:16" x14ac:dyDescent="0.25">
      <c r="A581" s="103">
        <v>20003</v>
      </c>
      <c r="B581" s="69" t="str">
        <f>IF($A581=0,"",VLOOKUP($A581,'BASE M-OBRA'!$A:$D,2))</f>
        <v>ALBAÑIL</v>
      </c>
      <c r="C581" s="2"/>
      <c r="D581" s="108">
        <v>2</v>
      </c>
      <c r="E581" s="70">
        <f>IF($A581=0,"",VLOOKUP($A581,'BASE M-OBRA'!$A:$D,4))</f>
        <v>2.82</v>
      </c>
      <c r="F581" s="55">
        <f t="shared" si="54"/>
        <v>5.64</v>
      </c>
      <c r="G581" s="106">
        <f>+G580</f>
        <v>1.1000000000000001</v>
      </c>
      <c r="H581" s="56">
        <f t="shared" si="55"/>
        <v>6.2</v>
      </c>
      <c r="I581" s="2"/>
    </row>
    <row r="582" spans="1:16" x14ac:dyDescent="0.25">
      <c r="A582" s="103">
        <v>20004</v>
      </c>
      <c r="B582" s="71" t="str">
        <f>IF($A582=0,"",VLOOKUP($A582,'BASE M-OBRA'!$A:$D,2))</f>
        <v>CARPINTERO</v>
      </c>
      <c r="C582" s="2"/>
      <c r="D582" s="108">
        <v>2</v>
      </c>
      <c r="E582" s="70">
        <f>IF($A582=0,"",VLOOKUP($A582,'BASE M-OBRA'!$A:$D,4))</f>
        <v>2.82</v>
      </c>
      <c r="F582" s="55">
        <f t="shared" si="54"/>
        <v>5.64</v>
      </c>
      <c r="G582" s="106">
        <v>4</v>
      </c>
      <c r="H582" s="56">
        <f t="shared" si="55"/>
        <v>22.56</v>
      </c>
      <c r="I582" s="2"/>
      <c r="K582" s="1">
        <f>7*2.9</f>
        <v>20.3</v>
      </c>
    </row>
    <row r="583" spans="1:16" x14ac:dyDescent="0.25">
      <c r="B583" s="72" t="str">
        <f>IF($A583=0,"",VLOOKUP($A583,'BASE M-OBRA'!$A:$D,2))</f>
        <v/>
      </c>
      <c r="C583" s="2"/>
      <c r="D583" s="108"/>
      <c r="E583" s="70" t="str">
        <f>IF($A583=0,"",VLOOKUP($A583,'BASE M-OBRA'!$A:$D,4))</f>
        <v/>
      </c>
      <c r="F583" s="55" t="str">
        <f t="shared" si="54"/>
        <v/>
      </c>
      <c r="G583" s="106"/>
      <c r="H583" s="56" t="str">
        <f t="shared" si="55"/>
        <v/>
      </c>
      <c r="I583" s="2"/>
      <c r="K583" s="1">
        <f>+F593*0.15</f>
        <v>1.5</v>
      </c>
    </row>
    <row r="584" spans="1:16" x14ac:dyDescent="0.25">
      <c r="B584" s="38" t="str">
        <f>IF($A584=0,"",VLOOKUP($A584,'BASE M-OBRA'!$A:$D,2))</f>
        <v/>
      </c>
      <c r="C584" s="2"/>
      <c r="D584" s="55"/>
      <c r="E584" s="55" t="str">
        <f>IF($A584=0,"",VLOOKUP($A584,'BASE M-OBRA'!$A:$D,4))</f>
        <v/>
      </c>
      <c r="F584" s="55" t="str">
        <f t="shared" si="54"/>
        <v/>
      </c>
      <c r="G584" s="106"/>
      <c r="H584" s="56" t="str">
        <f t="shared" si="55"/>
        <v/>
      </c>
      <c r="I584" s="2"/>
    </row>
    <row r="585" spans="1:16" x14ac:dyDescent="0.25">
      <c r="B585" s="57" t="str">
        <f>IF($A585=0,"",VLOOKUP($A585,'BASE M-OBRA'!$A:$D,2))</f>
        <v/>
      </c>
      <c r="C585" s="58"/>
      <c r="D585" s="59"/>
      <c r="E585" s="59" t="str">
        <f>IF($A585=0,"",VLOOKUP($A585,'BASE M-OBRA'!$A:$D,4))</f>
        <v/>
      </c>
      <c r="F585" s="59" t="str">
        <f t="shared" si="54"/>
        <v/>
      </c>
      <c r="G585" s="107"/>
      <c r="H585" s="60" t="str">
        <f t="shared" si="55"/>
        <v/>
      </c>
      <c r="I585" s="2"/>
    </row>
    <row r="586" spans="1:16" x14ac:dyDescent="0.25">
      <c r="B586" s="73" t="s">
        <v>1685</v>
      </c>
      <c r="C586" s="65"/>
      <c r="D586" s="74"/>
      <c r="E586" s="74"/>
      <c r="F586" s="74"/>
      <c r="G586" s="74"/>
      <c r="H586" s="75">
        <f>ROUND(SUM(H578:H585),2)</f>
        <v>63.97</v>
      </c>
      <c r="I586" s="2"/>
      <c r="K586" s="1">
        <f>SUM(K582:K585)+15</f>
        <v>36.799999999999997</v>
      </c>
    </row>
    <row r="587" spans="1:16" x14ac:dyDescent="0.25">
      <c r="B587" s="38" t="s">
        <v>1684</v>
      </c>
      <c r="C587" s="2"/>
      <c r="D587" s="3"/>
      <c r="E587" s="3"/>
      <c r="F587" s="3"/>
      <c r="G587" s="3"/>
      <c r="H587" s="56"/>
      <c r="I587" s="2"/>
    </row>
    <row r="588" spans="1:16" ht="25.5" x14ac:dyDescent="0.25">
      <c r="B588" s="64" t="s">
        <v>1409</v>
      </c>
      <c r="C588" s="65"/>
      <c r="D588" s="76"/>
      <c r="E588" s="66" t="s">
        <v>1408</v>
      </c>
      <c r="F588" s="66" t="s">
        <v>1679</v>
      </c>
      <c r="G588" s="66" t="s">
        <v>1683</v>
      </c>
      <c r="H588" s="68" t="s">
        <v>1675</v>
      </c>
      <c r="I588" s="2"/>
    </row>
    <row r="589" spans="1:16" x14ac:dyDescent="0.25">
      <c r="A589" s="103">
        <v>11008</v>
      </c>
      <c r="B589" s="37" t="s">
        <v>628</v>
      </c>
      <c r="C589" s="2"/>
      <c r="D589" s="77"/>
      <c r="E589" s="78" t="s">
        <v>1566</v>
      </c>
      <c r="F589" s="55">
        <v>1</v>
      </c>
      <c r="G589" s="55">
        <v>2</v>
      </c>
      <c r="H589" s="56">
        <f t="shared" ref="H589:H594" si="56">IF($A589=0,"",ROUND(F589*G589,2))</f>
        <v>2</v>
      </c>
      <c r="I589" s="2"/>
      <c r="L589" s="2"/>
      <c r="M589" s="2"/>
      <c r="N589" s="39"/>
      <c r="O589" s="2"/>
      <c r="P589" s="2"/>
    </row>
    <row r="590" spans="1:16" x14ac:dyDescent="0.25">
      <c r="A590" s="103">
        <v>11009</v>
      </c>
      <c r="B590" s="38" t="s">
        <v>630</v>
      </c>
      <c r="C590" s="2"/>
      <c r="D590" s="77"/>
      <c r="E590" s="78" t="s">
        <v>1521</v>
      </c>
      <c r="F590" s="55">
        <v>1.02</v>
      </c>
      <c r="G590" s="55">
        <f>106.7*1.12</f>
        <v>119.50400000000002</v>
      </c>
      <c r="H590" s="56">
        <f t="shared" si="56"/>
        <v>121.89</v>
      </c>
      <c r="I590" s="2"/>
      <c r="K590" s="1">
        <v>0.06</v>
      </c>
      <c r="L590" s="2"/>
      <c r="M590" s="2"/>
      <c r="N590" s="39"/>
      <c r="O590" s="2"/>
      <c r="P590" s="2"/>
    </row>
    <row r="591" spans="1:16" x14ac:dyDescent="0.25">
      <c r="B591" s="38"/>
      <c r="C591" s="2"/>
      <c r="D591" s="77"/>
      <c r="E591" s="78"/>
      <c r="F591" s="55"/>
      <c r="G591" s="55"/>
      <c r="H591" s="56" t="str">
        <f t="shared" si="56"/>
        <v/>
      </c>
      <c r="I591" s="2"/>
      <c r="K591" s="1">
        <f>3.6*0.12*0.19</f>
        <v>8.208E-2</v>
      </c>
      <c r="L591" s="2"/>
      <c r="M591" s="2"/>
      <c r="N591" s="39"/>
      <c r="O591" s="2"/>
      <c r="P591" s="2"/>
    </row>
    <row r="592" spans="1:16" x14ac:dyDescent="0.25">
      <c r="A592" s="103">
        <v>11002</v>
      </c>
      <c r="B592" s="38" t="str">
        <f>IF($A592=0,"",VLOOKUP($A592,'BASE MATERIAL'!$A:$D,2))</f>
        <v>ALAMBRE #18 RECOCIDO</v>
      </c>
      <c r="C592" s="2"/>
      <c r="D592" s="77"/>
      <c r="E592" s="78" t="str">
        <f>IF($A592=0,"",VLOOKUP($A592,'BASE MATERIAL'!$A:$D,3))</f>
        <v>KG</v>
      </c>
      <c r="F592" s="55">
        <v>5.25</v>
      </c>
      <c r="G592" s="55">
        <f>IF($A592=0,"",VLOOKUP($A592,'BASE MATERIAL'!$A:$D,4))</f>
        <v>1.87</v>
      </c>
      <c r="H592" s="56">
        <f t="shared" si="56"/>
        <v>9.82</v>
      </c>
      <c r="I592" s="2"/>
      <c r="K592" s="1">
        <v>0.06</v>
      </c>
      <c r="L592" s="2"/>
      <c r="M592" s="2"/>
      <c r="N592" s="39"/>
      <c r="O592" s="2"/>
      <c r="P592" s="2"/>
    </row>
    <row r="593" spans="1:16" x14ac:dyDescent="0.25">
      <c r="A593" s="103">
        <v>1</v>
      </c>
      <c r="B593" s="38" t="s">
        <v>629</v>
      </c>
      <c r="C593" s="2"/>
      <c r="D593" s="77"/>
      <c r="E593" s="78" t="s">
        <v>1520</v>
      </c>
      <c r="F593" s="55">
        <v>10</v>
      </c>
      <c r="G593" s="55">
        <v>3</v>
      </c>
      <c r="H593" s="56">
        <f t="shared" si="56"/>
        <v>30</v>
      </c>
      <c r="I593" s="2"/>
      <c r="K593" s="1">
        <f>1/K592</f>
        <v>16.666666666666668</v>
      </c>
      <c r="L593" s="2"/>
      <c r="M593" s="2"/>
      <c r="N593" s="39"/>
      <c r="O593" s="2"/>
      <c r="P593" s="2"/>
    </row>
    <row r="594" spans="1:16" x14ac:dyDescent="0.25">
      <c r="B594" s="38"/>
      <c r="C594" s="2"/>
      <c r="D594" s="77"/>
      <c r="E594" s="78"/>
      <c r="F594" s="55"/>
      <c r="G594" s="55"/>
      <c r="H594" s="56" t="str">
        <f t="shared" si="56"/>
        <v/>
      </c>
      <c r="I594" s="2"/>
      <c r="L594" s="2"/>
      <c r="M594" s="2"/>
      <c r="N594" s="39"/>
      <c r="O594" s="2"/>
      <c r="P594" s="2"/>
    </row>
    <row r="595" spans="1:16" x14ac:dyDescent="0.25">
      <c r="B595" s="38"/>
      <c r="C595" s="2"/>
      <c r="D595" s="77"/>
      <c r="E595" s="78"/>
      <c r="F595" s="55"/>
      <c r="G595" s="55"/>
      <c r="H595" s="56" t="str">
        <f t="shared" ref="H595:H603" si="57">IF($A595=0,"",ROUND(F595*G595,2))</f>
        <v/>
      </c>
      <c r="I595" s="2"/>
      <c r="L595" s="2"/>
      <c r="M595" s="2"/>
      <c r="N595" s="39"/>
      <c r="O595" s="2"/>
      <c r="P595" s="2"/>
    </row>
    <row r="596" spans="1:16" x14ac:dyDescent="0.25">
      <c r="B596" s="38" t="str">
        <f>IF($A596=0,"",VLOOKUP($A596,'BASE MATERIAL'!$A:$D,2))</f>
        <v/>
      </c>
      <c r="C596" s="2"/>
      <c r="D596" s="77"/>
      <c r="E596" s="78"/>
      <c r="F596" s="55"/>
      <c r="G596" s="55"/>
      <c r="H596" s="56" t="str">
        <f t="shared" si="57"/>
        <v/>
      </c>
      <c r="I596" s="2"/>
      <c r="L596" s="2"/>
      <c r="M596" s="2"/>
      <c r="N596" s="39"/>
      <c r="O596" s="2"/>
      <c r="P596" s="2"/>
    </row>
    <row r="597" spans="1:16" x14ac:dyDescent="0.25">
      <c r="B597" s="38" t="str">
        <f>IF($A597=0,"",VLOOKUP($A597,'BASE MATERIAL'!$A:$D,2))</f>
        <v/>
      </c>
      <c r="C597" s="2"/>
      <c r="D597" s="77"/>
      <c r="E597" s="78"/>
      <c r="F597" s="55"/>
      <c r="G597" s="55"/>
      <c r="H597" s="56" t="str">
        <f t="shared" si="57"/>
        <v/>
      </c>
      <c r="I597" s="2"/>
    </row>
    <row r="598" spans="1:16" x14ac:dyDescent="0.25">
      <c r="B598" s="38" t="str">
        <f>IF($A598=0,"",VLOOKUP($A598,'BASE MATERIAL'!$A:$D,2))</f>
        <v/>
      </c>
      <c r="C598" s="2"/>
      <c r="D598" s="77"/>
      <c r="E598" s="78"/>
      <c r="F598" s="55"/>
      <c r="G598" s="80"/>
      <c r="H598" s="56" t="str">
        <f t="shared" si="57"/>
        <v/>
      </c>
      <c r="I598" s="2"/>
      <c r="L598" s="2"/>
      <c r="M598" s="2"/>
      <c r="N598" s="39"/>
      <c r="O598" s="2"/>
      <c r="P598" s="2"/>
    </row>
    <row r="599" spans="1:16" x14ac:dyDescent="0.25">
      <c r="B599" s="38" t="str">
        <f>IF($A599=0,"",VLOOKUP($A599,'BASE MATERIAL'!$A:$D,2))</f>
        <v/>
      </c>
      <c r="C599" s="2"/>
      <c r="D599" s="77"/>
      <c r="E599" s="78"/>
      <c r="F599" s="55"/>
      <c r="G599" s="55"/>
      <c r="H599" s="56" t="str">
        <f t="shared" si="57"/>
        <v/>
      </c>
      <c r="I599" s="2"/>
      <c r="L599" s="2"/>
      <c r="M599" s="2"/>
      <c r="N599" s="39"/>
      <c r="O599" s="2"/>
      <c r="P599" s="2"/>
    </row>
    <row r="600" spans="1:16" x14ac:dyDescent="0.25">
      <c r="B600" s="38" t="str">
        <f>IF($A600=0,"",VLOOKUP($A600,'BASE MATERIAL'!$A:$D,2))</f>
        <v/>
      </c>
      <c r="C600" s="2"/>
      <c r="D600" s="77"/>
      <c r="E600" s="78" t="str">
        <f>IF($A600=0,"",VLOOKUP($A600,'BASE MATERIAL'!$A:$D,3))</f>
        <v/>
      </c>
      <c r="F600" s="55"/>
      <c r="G600" s="55" t="str">
        <f>IF($A600=0,"",VLOOKUP($A600,'BASE MATERIAL'!$A:$D,4))</f>
        <v/>
      </c>
      <c r="H600" s="56" t="str">
        <f t="shared" si="57"/>
        <v/>
      </c>
      <c r="I600" s="2"/>
    </row>
    <row r="601" spans="1:16" x14ac:dyDescent="0.25">
      <c r="B601" s="38" t="str">
        <f>IF($A601=0,"",VLOOKUP($A601,'BASE MATERIAL'!$A:$D,2))</f>
        <v/>
      </c>
      <c r="C601" s="2"/>
      <c r="D601" s="77"/>
      <c r="E601" s="78" t="str">
        <f>IF($A601=0,"",VLOOKUP($A601,'BASE MATERIAL'!$A:$D,3))</f>
        <v/>
      </c>
      <c r="F601" s="55"/>
      <c r="G601" s="55" t="str">
        <f>IF($A601=0,"",VLOOKUP($A601,'BASE MATERIAL'!$A:$D,4))</f>
        <v/>
      </c>
      <c r="H601" s="56" t="str">
        <f t="shared" si="57"/>
        <v/>
      </c>
      <c r="I601" s="2"/>
    </row>
    <row r="602" spans="1:16" x14ac:dyDescent="0.25">
      <c r="B602" s="38" t="str">
        <f>IF($A602=0,"",VLOOKUP($A602,'BASE MATERIAL'!$A:$D,2))</f>
        <v/>
      </c>
      <c r="C602" s="2"/>
      <c r="D602" s="77"/>
      <c r="E602" s="78" t="str">
        <f>IF($A602=0,"",VLOOKUP($A602,'BASE MATERIAL'!$A:$D,3))</f>
        <v/>
      </c>
      <c r="F602" s="55"/>
      <c r="G602" s="55" t="str">
        <f>IF($A602=0,"",VLOOKUP($A602,'BASE MATERIAL'!$A:$D,4))</f>
        <v/>
      </c>
      <c r="H602" s="56" t="str">
        <f t="shared" si="57"/>
        <v/>
      </c>
      <c r="I602" s="2"/>
    </row>
    <row r="603" spans="1:16" x14ac:dyDescent="0.25">
      <c r="B603" s="38" t="str">
        <f>IF($A603=0,"",VLOOKUP($A603,'BASE MATERIAL'!$A:$D,2))</f>
        <v/>
      </c>
      <c r="C603" s="2"/>
      <c r="D603" s="77"/>
      <c r="E603" s="78" t="str">
        <f>IF($A603=0,"",VLOOKUP($A603,'BASE MATERIAL'!$A:$D,3))</f>
        <v/>
      </c>
      <c r="F603" s="55"/>
      <c r="G603" s="55" t="str">
        <f>IF($A603=0,"",VLOOKUP($A603,'BASE MATERIAL'!$A:$D,4))</f>
        <v/>
      </c>
      <c r="H603" s="56" t="str">
        <f t="shared" si="57"/>
        <v/>
      </c>
      <c r="I603" s="2"/>
    </row>
    <row r="604" spans="1:16" x14ac:dyDescent="0.25">
      <c r="B604" s="38" t="str">
        <f>IF($A604=0,"",VLOOKUP($A604,'BASE MATERIAL'!$A:$D,2))</f>
        <v/>
      </c>
      <c r="C604" s="2"/>
      <c r="D604" s="81" t="s">
        <v>1682</v>
      </c>
      <c r="E604" s="55" t="str">
        <f>IF($A604=0,"",VLOOKUP($A604,'BASE MATERIAL'!$A:$D,3))</f>
        <v/>
      </c>
      <c r="F604" s="55" t="s">
        <v>1682</v>
      </c>
      <c r="G604" s="55" t="str">
        <f>IF($A604=0,"",VLOOKUP($A604,'BASE MATERIAL'!$A:$D,4))</f>
        <v/>
      </c>
      <c r="H604" s="56" t="str">
        <f>IF($A604=0,"",ROUND(E604*F604,2))</f>
        <v/>
      </c>
      <c r="I604" s="2"/>
    </row>
    <row r="605" spans="1:16" x14ac:dyDescent="0.25">
      <c r="B605" s="73" t="s">
        <v>1681</v>
      </c>
      <c r="C605" s="65"/>
      <c r="D605" s="74"/>
      <c r="E605" s="74"/>
      <c r="F605" s="74"/>
      <c r="G605" s="74"/>
      <c r="H605" s="75">
        <f>ROUND(SUM(H588:H604),2)</f>
        <v>163.71</v>
      </c>
      <c r="I605" s="2"/>
    </row>
    <row r="606" spans="1:16" x14ac:dyDescent="0.25">
      <c r="B606" s="38" t="s">
        <v>1680</v>
      </c>
      <c r="C606" s="2"/>
      <c r="D606" s="3"/>
      <c r="E606" s="3"/>
      <c r="F606" s="3"/>
      <c r="G606" s="3"/>
      <c r="H606" s="56"/>
      <c r="I606" s="2"/>
    </row>
    <row r="607" spans="1:16" ht="25.5" x14ac:dyDescent="0.25">
      <c r="B607" s="64" t="s">
        <v>1409</v>
      </c>
      <c r="C607" s="65"/>
      <c r="D607" s="76"/>
      <c r="E607" s="66" t="s">
        <v>1408</v>
      </c>
      <c r="F607" s="66" t="s">
        <v>1679</v>
      </c>
      <c r="G607" s="66" t="s">
        <v>1676</v>
      </c>
      <c r="H607" s="68" t="s">
        <v>1675</v>
      </c>
      <c r="I607" s="2"/>
    </row>
    <row r="608" spans="1:16" x14ac:dyDescent="0.25">
      <c r="A608" s="103">
        <v>19019</v>
      </c>
      <c r="B608" s="51" t="str">
        <f>IF($A608=0,"",VLOOKUP($A608,'BASE EQUIPO'!$A:$D,2))</f>
        <v>TRANSPORTE DE MATERIAL</v>
      </c>
      <c r="C608" s="52"/>
      <c r="D608" s="82"/>
      <c r="E608" s="78" t="str">
        <f>IF($A608=0,"",VLOOKUP($A608,'BASE EQUIPO'!$A:$D,3))</f>
        <v>GLOBAL</v>
      </c>
      <c r="F608" s="55">
        <v>1</v>
      </c>
      <c r="G608" s="83">
        <f>IF($A608=0,"",VLOOKUP($A608,'BASE EQUIPO'!$A:$D,4)*H605)+0.02</f>
        <v>4.9312999999999994</v>
      </c>
      <c r="H608" s="56">
        <f>IF($A608=0,"",ROUND(F608*G608,2))</f>
        <v>4.93</v>
      </c>
      <c r="I608" s="2"/>
    </row>
    <row r="609" spans="1:15" x14ac:dyDescent="0.25">
      <c r="B609" s="38" t="str">
        <f>IF($A609=0,"",VLOOKUP($A609,'BASE EQUIPO'!$A:$D,2))</f>
        <v/>
      </c>
      <c r="C609" s="2"/>
      <c r="D609" s="84"/>
      <c r="E609" s="78" t="str">
        <f>IF($A609=0,"",VLOOKUP($A609,'BASE EQUIPO'!$A:$D,3))</f>
        <v/>
      </c>
      <c r="F609" s="55"/>
      <c r="G609" s="55" t="str">
        <f>IF($A609=0,"",VLOOKUP($A609,'BASE EQUIPO'!$A:$D,4)*H606)</f>
        <v/>
      </c>
      <c r="H609" s="56" t="str">
        <f>IF($A609=0,"",ROUND(F609*G609,2))</f>
        <v/>
      </c>
      <c r="I609" s="2"/>
    </row>
    <row r="610" spans="1:15" x14ac:dyDescent="0.25">
      <c r="B610" s="57" t="str">
        <f>IF($A610=0,"",VLOOKUP($A610,'BASE EQUIPO'!$A:$D,2))</f>
        <v/>
      </c>
      <c r="C610" s="58"/>
      <c r="D610" s="85"/>
      <c r="E610" s="86" t="str">
        <f>IF($A610=0,"",VLOOKUP($A610,'BASE EQUIPO'!$A:$D,3))</f>
        <v/>
      </c>
      <c r="F610" s="59"/>
      <c r="G610" s="59" t="str">
        <f>IF($A610=0,"",VLOOKUP($A610,'BASE EQUIPO'!$A:$D,4)*H607)</f>
        <v/>
      </c>
      <c r="H610" s="60" t="str">
        <f>IF($A610=0,"",ROUND(F610*G610,2))</f>
        <v/>
      </c>
      <c r="I610" s="2"/>
    </row>
    <row r="611" spans="1:15" ht="15.75" thickBot="1" x14ac:dyDescent="0.3">
      <c r="B611" s="87" t="s">
        <v>1674</v>
      </c>
      <c r="C611" s="88"/>
      <c r="D611" s="89"/>
      <c r="E611" s="89"/>
      <c r="F611" s="89"/>
      <c r="G611" s="89"/>
      <c r="H611" s="90">
        <f>ROUND(SUM(H607:H610),2)</f>
        <v>4.93</v>
      </c>
      <c r="I611" s="2"/>
    </row>
    <row r="612" spans="1:15" ht="15.75" x14ac:dyDescent="0.25">
      <c r="B612" s="2"/>
      <c r="C612" s="2"/>
      <c r="D612" s="91" t="s">
        <v>1673</v>
      </c>
      <c r="E612" s="47"/>
      <c r="F612" s="47"/>
      <c r="G612" s="47"/>
      <c r="H612" s="92">
        <f>ROUND(SUM(H611,H605,H586,H576),2)</f>
        <v>239.28</v>
      </c>
      <c r="I612" s="2"/>
      <c r="K612" s="1">
        <v>240.64</v>
      </c>
    </row>
    <row r="613" spans="1:15" ht="15.75" x14ac:dyDescent="0.25">
      <c r="A613" s="103">
        <v>40002</v>
      </c>
      <c r="B613" s="2"/>
      <c r="C613" s="2"/>
      <c r="D613" s="93" t="s">
        <v>1672</v>
      </c>
      <c r="E613" s="65"/>
      <c r="F613" s="65"/>
      <c r="G613" s="94">
        <f>IF($A613=0,"",VLOOKUP($A613,'BASE MATERIAL'!$M:$P,4))</f>
        <v>0</v>
      </c>
      <c r="H613" s="95">
        <f>IF($A613=0,"",ROUND(G613*H612,2))</f>
        <v>0</v>
      </c>
      <c r="I613" s="2"/>
    </row>
    <row r="614" spans="1:15" ht="15.75" x14ac:dyDescent="0.25">
      <c r="A614" s="103">
        <v>40003</v>
      </c>
      <c r="B614" s="2"/>
      <c r="C614" s="2"/>
      <c r="D614" s="93" t="s">
        <v>1671</v>
      </c>
      <c r="E614" s="65"/>
      <c r="F614" s="65"/>
      <c r="G614" s="94">
        <f>IF($A614=0,"",VLOOKUP($A614,'BASE MATERIAL'!$M:$P,4))</f>
        <v>0</v>
      </c>
      <c r="H614" s="95">
        <f>IF($A614=0,"",ROUND(G614*H612,2))</f>
        <v>0</v>
      </c>
      <c r="I614" s="2"/>
    </row>
    <row r="615" spans="1:15" ht="15.75" x14ac:dyDescent="0.25">
      <c r="B615" s="2"/>
      <c r="C615" s="2"/>
      <c r="D615" s="93" t="s">
        <v>1670</v>
      </c>
      <c r="E615" s="65"/>
      <c r="F615" s="65"/>
      <c r="G615" s="65"/>
      <c r="H615" s="96">
        <f>ROUND(SUM(H612:H614),2)</f>
        <v>239.28</v>
      </c>
      <c r="I615" s="2"/>
    </row>
    <row r="616" spans="1:15" ht="16.5" thickBot="1" x14ac:dyDescent="0.3">
      <c r="B616" s="25"/>
      <c r="C616" s="2"/>
      <c r="D616" s="97" t="s">
        <v>1650</v>
      </c>
      <c r="E616" s="88"/>
      <c r="F616" s="88"/>
      <c r="G616" s="88"/>
      <c r="H616" s="98">
        <f>ROUND(H615,2)</f>
        <v>239.28</v>
      </c>
      <c r="I616" s="2"/>
    </row>
    <row r="617" spans="1:15" ht="15.75" x14ac:dyDescent="0.25">
      <c r="B617" s="34" t="s">
        <v>1701</v>
      </c>
      <c r="C617" s="2"/>
      <c r="D617" s="3" t="str">
        <f>$D$1</f>
        <v>ESPOL</v>
      </c>
      <c r="E617" s="2"/>
      <c r="F617" s="2"/>
      <c r="H617" s="2" t="s">
        <v>108</v>
      </c>
      <c r="I617" s="2"/>
      <c r="L617" s="40">
        <f>A621</f>
        <v>6</v>
      </c>
      <c r="M617" s="1" t="str">
        <f>C622</f>
        <v xml:space="preserve">Losas de cubierta </v>
      </c>
      <c r="N617" s="2" t="str">
        <f>H621</f>
        <v>m3</v>
      </c>
      <c r="O617" s="2">
        <f>H672</f>
        <v>243.03</v>
      </c>
    </row>
    <row r="618" spans="1:15" ht="15.75" x14ac:dyDescent="0.25">
      <c r="B618" s="34" t="s">
        <v>1700</v>
      </c>
      <c r="C618" s="3">
        <f>'1.1'!$C$2</f>
        <v>0</v>
      </c>
      <c r="D618" s="2"/>
      <c r="E618" s="2"/>
      <c r="F618" s="2"/>
      <c r="G618" s="41" t="s">
        <v>1699</v>
      </c>
      <c r="H618" s="42"/>
      <c r="I618" s="2" t="s">
        <v>1698</v>
      </c>
    </row>
    <row r="619" spans="1:15" ht="15.75" x14ac:dyDescent="0.25">
      <c r="B619" s="34"/>
      <c r="C619" s="3">
        <f>'1.1'!$C$3</f>
        <v>0</v>
      </c>
      <c r="D619" s="2"/>
      <c r="E619" s="2"/>
      <c r="F619" s="2"/>
      <c r="G619" s="2"/>
      <c r="H619" s="2"/>
      <c r="I619" s="2"/>
    </row>
    <row r="620" spans="1:15" ht="15.75" x14ac:dyDescent="0.25">
      <c r="B620" s="34" t="s">
        <v>1697</v>
      </c>
      <c r="C620" s="3"/>
      <c r="D620" s="2"/>
      <c r="E620" s="2"/>
      <c r="F620" s="2"/>
      <c r="G620" s="2"/>
      <c r="H620" s="2"/>
      <c r="I620" s="2"/>
    </row>
    <row r="621" spans="1:15" x14ac:dyDescent="0.25">
      <c r="A621" s="104">
        <v>6</v>
      </c>
      <c r="B621" s="2" t="s">
        <v>1586</v>
      </c>
      <c r="C621" s="36" t="s">
        <v>650</v>
      </c>
      <c r="D621" s="2"/>
      <c r="G621" s="2" t="s">
        <v>1696</v>
      </c>
      <c r="H621" s="3" t="s">
        <v>1521</v>
      </c>
      <c r="I621" s="2"/>
    </row>
    <row r="622" spans="1:15" x14ac:dyDescent="0.25">
      <c r="B622" s="1" t="s">
        <v>1585</v>
      </c>
      <c r="C622" s="36" t="s">
        <v>648</v>
      </c>
      <c r="D622" s="2"/>
      <c r="E622" s="2"/>
      <c r="F622" s="2"/>
      <c r="G622" s="2"/>
      <c r="H622" s="2"/>
      <c r="I622" s="2"/>
    </row>
    <row r="623" spans="1:15" ht="15.75" thickBot="1" x14ac:dyDescent="0.3">
      <c r="D623" s="2"/>
      <c r="E623" s="2"/>
      <c r="F623" s="2"/>
      <c r="G623" s="2"/>
      <c r="H623" s="2"/>
      <c r="I623" s="2"/>
    </row>
    <row r="624" spans="1:15" ht="15.75" thickBot="1" x14ac:dyDescent="0.3">
      <c r="B624" s="43" t="s">
        <v>1695</v>
      </c>
      <c r="C624" s="44"/>
      <c r="D624" s="44"/>
      <c r="E624" s="44"/>
      <c r="F624" s="44"/>
      <c r="G624" s="44"/>
      <c r="H624" s="45"/>
      <c r="I624" s="2"/>
    </row>
    <row r="625" spans="1:11" ht="25.5" x14ac:dyDescent="0.25">
      <c r="B625" s="46" t="s">
        <v>1409</v>
      </c>
      <c r="C625" s="47"/>
      <c r="D625" s="48" t="s">
        <v>1690</v>
      </c>
      <c r="E625" s="48" t="s">
        <v>1694</v>
      </c>
      <c r="F625" s="48" t="s">
        <v>1693</v>
      </c>
      <c r="G625" s="49" t="s">
        <v>1687</v>
      </c>
      <c r="H625" s="50" t="s">
        <v>1686</v>
      </c>
      <c r="I625" s="2"/>
    </row>
    <row r="626" spans="1:11" x14ac:dyDescent="0.25">
      <c r="A626" s="103">
        <v>19015</v>
      </c>
      <c r="B626" s="51" t="str">
        <f>IF($A626=0,"",VLOOKUP($A626,'BASE EQUIPO'!$A:$D,2))</f>
        <v>HERRAMIENTA MENOR</v>
      </c>
      <c r="C626" s="52"/>
      <c r="D626" s="53">
        <v>1</v>
      </c>
      <c r="E626" s="53">
        <f>IF($A626=0,"",VLOOKUP($A626,'BASE EQUIPO'!$A:$D,4)*H642)</f>
        <v>2.0198999999999998</v>
      </c>
      <c r="F626" s="53">
        <f t="shared" ref="F626:F631" si="58">IF($A626=0,"",ROUND(D626*E626,2))</f>
        <v>2.02</v>
      </c>
      <c r="G626" s="105">
        <v>1</v>
      </c>
      <c r="H626" s="54">
        <f t="shared" ref="H626:H631" si="59">IF($A626=0,"",ROUND(G626*F626,2))</f>
        <v>2.02</v>
      </c>
      <c r="I626" s="2"/>
    </row>
    <row r="627" spans="1:11" x14ac:dyDescent="0.25">
      <c r="B627" s="38" t="str">
        <f>IF($A627=0,"",VLOOKUP($A627,'BASE EQUIPO'!$A:$D,2))</f>
        <v/>
      </c>
      <c r="C627" s="2"/>
      <c r="D627" s="55"/>
      <c r="E627" s="55" t="str">
        <f>IF($A627=0,"",VLOOKUP($A627,'BASE EQUIPO'!$A:$D,4))</f>
        <v/>
      </c>
      <c r="F627" s="55" t="str">
        <f t="shared" si="58"/>
        <v/>
      </c>
      <c r="G627" s="106"/>
      <c r="H627" s="56" t="str">
        <f t="shared" si="59"/>
        <v/>
      </c>
      <c r="I627" s="2"/>
    </row>
    <row r="628" spans="1:11" x14ac:dyDescent="0.25">
      <c r="A628" s="103">
        <v>19008</v>
      </c>
      <c r="B628" s="38" t="str">
        <f>IF($A628=0,"",VLOOKUP($A628,'BASE EQUIPO'!$A:$D,2))</f>
        <v>VIBRADOR</v>
      </c>
      <c r="C628" s="2"/>
      <c r="D628" s="55">
        <v>1</v>
      </c>
      <c r="E628" s="55">
        <f>IF($A628=0,"",VLOOKUP($A628,'BASE EQUIPO'!$A:$D,4))</f>
        <v>2.5</v>
      </c>
      <c r="F628" s="55">
        <f t="shared" si="58"/>
        <v>2.5</v>
      </c>
      <c r="G628" s="106">
        <f>G636</f>
        <v>1.2</v>
      </c>
      <c r="H628" s="56">
        <f t="shared" si="59"/>
        <v>3</v>
      </c>
      <c r="I628" s="2"/>
    </row>
    <row r="629" spans="1:11" x14ac:dyDescent="0.25">
      <c r="A629" s="103">
        <v>1</v>
      </c>
      <c r="B629" s="38" t="s">
        <v>627</v>
      </c>
      <c r="C629" s="2"/>
      <c r="D629" s="55">
        <v>4</v>
      </c>
      <c r="E629" s="55">
        <v>0.5</v>
      </c>
      <c r="F629" s="55">
        <f t="shared" si="58"/>
        <v>2</v>
      </c>
      <c r="G629" s="106">
        <v>1</v>
      </c>
      <c r="H629" s="56">
        <f t="shared" si="59"/>
        <v>2</v>
      </c>
      <c r="I629" s="2"/>
    </row>
    <row r="630" spans="1:11" x14ac:dyDescent="0.25">
      <c r="B630" s="38" t="str">
        <f>IF($A630=0,"",VLOOKUP($A630,'BASE EQUIPO'!$A:$D,2))</f>
        <v/>
      </c>
      <c r="C630" s="2"/>
      <c r="D630" s="55"/>
      <c r="E630" s="55" t="str">
        <f>IF($A630=0,"",VLOOKUP($A630,'BASE EQUIPO'!$A:$D,4))</f>
        <v/>
      </c>
      <c r="F630" s="55" t="str">
        <f t="shared" si="58"/>
        <v/>
      </c>
      <c r="G630" s="106"/>
      <c r="H630" s="56" t="str">
        <f t="shared" si="59"/>
        <v/>
      </c>
      <c r="I630" s="2"/>
    </row>
    <row r="631" spans="1:11" x14ac:dyDescent="0.25">
      <c r="B631" s="57" t="str">
        <f>IF($A631=0,"",VLOOKUP($A631,'BASE EQUIPO'!$A:$D,2))</f>
        <v/>
      </c>
      <c r="C631" s="58"/>
      <c r="D631" s="59"/>
      <c r="E631" s="59" t="str">
        <f>IF($A631=0,"",VLOOKUP($A631,'BASE EQUIPO'!$A:$D,4))</f>
        <v/>
      </c>
      <c r="F631" s="59" t="str">
        <f t="shared" si="58"/>
        <v/>
      </c>
      <c r="G631" s="107"/>
      <c r="H631" s="60" t="str">
        <f t="shared" si="59"/>
        <v/>
      </c>
      <c r="I631" s="2"/>
    </row>
    <row r="632" spans="1:11" x14ac:dyDescent="0.25">
      <c r="B632" s="57" t="s">
        <v>1692</v>
      </c>
      <c r="C632" s="58"/>
      <c r="D632" s="61"/>
      <c r="E632" s="61"/>
      <c r="F632" s="61"/>
      <c r="G632" s="62"/>
      <c r="H632" s="60">
        <f>ROUND(SUM(H625:H631),2)</f>
        <v>7.02</v>
      </c>
      <c r="I632" s="2"/>
    </row>
    <row r="633" spans="1:11" x14ac:dyDescent="0.25">
      <c r="B633" s="38" t="s">
        <v>1503</v>
      </c>
      <c r="C633" s="2"/>
      <c r="D633" s="3"/>
      <c r="E633" s="3"/>
      <c r="F633" s="3"/>
      <c r="G633" s="63"/>
      <c r="H633" s="56"/>
      <c r="I633" s="2"/>
    </row>
    <row r="634" spans="1:11" ht="25.5" x14ac:dyDescent="0.25">
      <c r="B634" s="64" t="s">
        <v>1691</v>
      </c>
      <c r="C634" s="65"/>
      <c r="D634" s="66" t="s">
        <v>1690</v>
      </c>
      <c r="E634" s="66" t="s">
        <v>1689</v>
      </c>
      <c r="F634" s="66" t="s">
        <v>1688</v>
      </c>
      <c r="G634" s="67" t="s">
        <v>1687</v>
      </c>
      <c r="H634" s="68" t="s">
        <v>1686</v>
      </c>
      <c r="I634" s="2"/>
    </row>
    <row r="635" spans="1:11" x14ac:dyDescent="0.25">
      <c r="A635" s="103">
        <v>20001</v>
      </c>
      <c r="B635" s="69" t="str">
        <f>IF($A635=0,"",VLOOKUP($A635,'BASE M-OBRA'!$A:$D,2))</f>
        <v>MAESTRO</v>
      </c>
      <c r="C635" s="2"/>
      <c r="D635" s="108">
        <v>1</v>
      </c>
      <c r="E635" s="70">
        <f>IF($A635=0,"",VLOOKUP($A635,'BASE M-OBRA'!$A:$D,4))</f>
        <v>3.02</v>
      </c>
      <c r="F635" s="55">
        <f t="shared" ref="F635:F641" si="60">IF($A635=0,"",ROUND(D635*E635,2))</f>
        <v>3.02</v>
      </c>
      <c r="G635" s="106">
        <f>IF($A635=0,"",ROUND(H635/F635,2))</f>
        <v>3.72</v>
      </c>
      <c r="H635" s="56">
        <f>IF($A635=0,"",ROUND(SUM(H636:H641)*'BASE M-OBRA'!$D$23,2))</f>
        <v>11.22</v>
      </c>
      <c r="I635" s="2"/>
    </row>
    <row r="636" spans="1:11" x14ac:dyDescent="0.25">
      <c r="A636" s="103">
        <v>20002</v>
      </c>
      <c r="B636" s="69" t="str">
        <f>IF($A636=0,"",VLOOKUP($A636,'BASE M-OBRA'!$A:$D,2))</f>
        <v>PEON</v>
      </c>
      <c r="C636" s="2"/>
      <c r="D636" s="108">
        <v>8</v>
      </c>
      <c r="E636" s="70">
        <f>IF($A636=0,"",VLOOKUP($A636,'BASE M-OBRA'!$A:$D,4))</f>
        <v>2.79</v>
      </c>
      <c r="F636" s="55">
        <f t="shared" si="60"/>
        <v>22.32</v>
      </c>
      <c r="G636" s="106">
        <v>1.2</v>
      </c>
      <c r="H636" s="56">
        <f t="shared" ref="H636:H641" si="61">IF($A636=0,"",ROUND(G636*F636,2))</f>
        <v>26.78</v>
      </c>
      <c r="I636" s="2"/>
    </row>
    <row r="637" spans="1:11" x14ac:dyDescent="0.25">
      <c r="A637" s="103">
        <v>20003</v>
      </c>
      <c r="B637" s="69" t="str">
        <f>IF($A637=0,"",VLOOKUP($A637,'BASE M-OBRA'!$A:$D,2))</f>
        <v>ALBAÑIL</v>
      </c>
      <c r="C637" s="2"/>
      <c r="D637" s="108">
        <v>2</v>
      </c>
      <c r="E637" s="70">
        <f>IF($A637=0,"",VLOOKUP($A637,'BASE M-OBRA'!$A:$D,4))</f>
        <v>2.82</v>
      </c>
      <c r="F637" s="55">
        <f t="shared" si="60"/>
        <v>5.64</v>
      </c>
      <c r="G637" s="106">
        <f>+G636</f>
        <v>1.2</v>
      </c>
      <c r="H637" s="56">
        <f t="shared" si="61"/>
        <v>6.77</v>
      </c>
      <c r="I637" s="2"/>
    </row>
    <row r="638" spans="1:11" x14ac:dyDescent="0.25">
      <c r="A638" s="103">
        <v>20004</v>
      </c>
      <c r="B638" s="71" t="str">
        <f>IF($A638=0,"",VLOOKUP($A638,'BASE M-OBRA'!$A:$D,2))</f>
        <v>CARPINTERO</v>
      </c>
      <c r="C638" s="2"/>
      <c r="D638" s="108">
        <v>2</v>
      </c>
      <c r="E638" s="70">
        <f>IF($A638=0,"",VLOOKUP($A638,'BASE M-OBRA'!$A:$D,4))</f>
        <v>2.82</v>
      </c>
      <c r="F638" s="55">
        <f t="shared" si="60"/>
        <v>5.64</v>
      </c>
      <c r="G638" s="106">
        <v>4</v>
      </c>
      <c r="H638" s="56">
        <f t="shared" si="61"/>
        <v>22.56</v>
      </c>
      <c r="I638" s="2"/>
      <c r="K638" s="1">
        <f>7*2.9</f>
        <v>20.3</v>
      </c>
    </row>
    <row r="639" spans="1:11" x14ac:dyDescent="0.25">
      <c r="B639" s="72" t="str">
        <f>IF($A639=0,"",VLOOKUP($A639,'BASE M-OBRA'!$A:$D,2))</f>
        <v/>
      </c>
      <c r="C639" s="2"/>
      <c r="D639" s="108"/>
      <c r="E639" s="70" t="str">
        <f>IF($A639=0,"",VLOOKUP($A639,'BASE M-OBRA'!$A:$D,4))</f>
        <v/>
      </c>
      <c r="F639" s="55" t="str">
        <f t="shared" si="60"/>
        <v/>
      </c>
      <c r="G639" s="106"/>
      <c r="H639" s="56" t="str">
        <f t="shared" si="61"/>
        <v/>
      </c>
      <c r="I639" s="2"/>
      <c r="K639" s="1">
        <f>+F649*0.15</f>
        <v>1.5</v>
      </c>
    </row>
    <row r="640" spans="1:11" x14ac:dyDescent="0.25">
      <c r="B640" s="38" t="str">
        <f>IF($A640=0,"",VLOOKUP($A640,'BASE M-OBRA'!$A:$D,2))</f>
        <v/>
      </c>
      <c r="C640" s="2"/>
      <c r="D640" s="55"/>
      <c r="E640" s="55" t="str">
        <f>IF($A640=0,"",VLOOKUP($A640,'BASE M-OBRA'!$A:$D,4))</f>
        <v/>
      </c>
      <c r="F640" s="55" t="str">
        <f t="shared" si="60"/>
        <v/>
      </c>
      <c r="G640" s="106"/>
      <c r="H640" s="56" t="str">
        <f t="shared" si="61"/>
        <v/>
      </c>
      <c r="I640" s="2"/>
    </row>
    <row r="641" spans="1:16" x14ac:dyDescent="0.25">
      <c r="B641" s="57" t="str">
        <f>IF($A641=0,"",VLOOKUP($A641,'BASE M-OBRA'!$A:$D,2))</f>
        <v/>
      </c>
      <c r="C641" s="58"/>
      <c r="D641" s="59"/>
      <c r="E641" s="59" t="str">
        <f>IF($A641=0,"",VLOOKUP($A641,'BASE M-OBRA'!$A:$D,4))</f>
        <v/>
      </c>
      <c r="F641" s="59" t="str">
        <f t="shared" si="60"/>
        <v/>
      </c>
      <c r="G641" s="107"/>
      <c r="H641" s="60" t="str">
        <f t="shared" si="61"/>
        <v/>
      </c>
      <c r="I641" s="2"/>
    </row>
    <row r="642" spans="1:16" x14ac:dyDescent="0.25">
      <c r="B642" s="73" t="s">
        <v>1685</v>
      </c>
      <c r="C642" s="65"/>
      <c r="D642" s="74"/>
      <c r="E642" s="74"/>
      <c r="F642" s="74"/>
      <c r="G642" s="74"/>
      <c r="H642" s="75">
        <f>ROUND(SUM(H634:H641),2)</f>
        <v>67.33</v>
      </c>
      <c r="I642" s="2"/>
      <c r="K642" s="1">
        <f>SUM(K638:K641)+15</f>
        <v>36.799999999999997</v>
      </c>
    </row>
    <row r="643" spans="1:16" x14ac:dyDescent="0.25">
      <c r="B643" s="38" t="s">
        <v>1684</v>
      </c>
      <c r="C643" s="2"/>
      <c r="D643" s="3"/>
      <c r="E643" s="3"/>
      <c r="F643" s="3"/>
      <c r="G643" s="3"/>
      <c r="H643" s="56"/>
      <c r="I643" s="2"/>
    </row>
    <row r="644" spans="1:16" ht="25.5" x14ac:dyDescent="0.25">
      <c r="B644" s="64" t="s">
        <v>1409</v>
      </c>
      <c r="C644" s="65"/>
      <c r="D644" s="76"/>
      <c r="E644" s="66" t="s">
        <v>1408</v>
      </c>
      <c r="F644" s="66" t="s">
        <v>1679</v>
      </c>
      <c r="G644" s="66" t="s">
        <v>1683</v>
      </c>
      <c r="H644" s="68" t="s">
        <v>1675</v>
      </c>
      <c r="I644" s="2"/>
    </row>
    <row r="645" spans="1:16" x14ac:dyDescent="0.25">
      <c r="A645" s="103">
        <v>11008</v>
      </c>
      <c r="B645" s="37" t="s">
        <v>628</v>
      </c>
      <c r="C645" s="2"/>
      <c r="D645" s="77"/>
      <c r="E645" s="78" t="s">
        <v>1566</v>
      </c>
      <c r="F645" s="55">
        <v>1</v>
      </c>
      <c r="G645" s="55">
        <v>2</v>
      </c>
      <c r="H645" s="56">
        <f t="shared" ref="H645:H657" si="62">IF($A645=0,"",ROUND(F645*G645,2))</f>
        <v>2</v>
      </c>
      <c r="I645" s="2"/>
      <c r="L645" s="2"/>
      <c r="M645" s="2"/>
      <c r="N645" s="39"/>
      <c r="O645" s="2"/>
      <c r="P645" s="2"/>
    </row>
    <row r="646" spans="1:16" x14ac:dyDescent="0.25">
      <c r="A646" s="103">
        <v>11009</v>
      </c>
      <c r="B646" s="38" t="s">
        <v>630</v>
      </c>
      <c r="C646" s="2"/>
      <c r="D646" s="77"/>
      <c r="E646" s="78" t="s">
        <v>1521</v>
      </c>
      <c r="F646" s="55">
        <v>1.02</v>
      </c>
      <c r="G646" s="55">
        <f>106.7*1.12</f>
        <v>119.50400000000002</v>
      </c>
      <c r="H646" s="56">
        <f t="shared" si="62"/>
        <v>121.89</v>
      </c>
      <c r="I646" s="2"/>
      <c r="K646" s="1">
        <v>0.06</v>
      </c>
      <c r="L646" s="2"/>
      <c r="M646" s="2"/>
      <c r="N646" s="39"/>
      <c r="O646" s="2"/>
      <c r="P646" s="2"/>
    </row>
    <row r="647" spans="1:16" x14ac:dyDescent="0.25">
      <c r="B647" s="38"/>
      <c r="C647" s="2"/>
      <c r="D647" s="77"/>
      <c r="E647" s="78"/>
      <c r="F647" s="55"/>
      <c r="G647" s="55"/>
      <c r="H647" s="56" t="str">
        <f t="shared" si="62"/>
        <v/>
      </c>
      <c r="I647" s="2"/>
      <c r="K647" s="1">
        <f>3.6*0.12*0.19</f>
        <v>8.208E-2</v>
      </c>
      <c r="L647" s="2"/>
      <c r="M647" s="2"/>
      <c r="N647" s="39"/>
      <c r="O647" s="2"/>
      <c r="P647" s="2"/>
    </row>
    <row r="648" spans="1:16" x14ac:dyDescent="0.25">
      <c r="A648" s="103">
        <v>11002</v>
      </c>
      <c r="B648" s="38" t="str">
        <f>IF($A648=0,"",VLOOKUP($A648,'BASE MATERIAL'!$A:$D,2))</f>
        <v>ALAMBRE #18 RECOCIDO</v>
      </c>
      <c r="C648" s="2"/>
      <c r="D648" s="77"/>
      <c r="E648" s="78" t="str">
        <f>IF($A648=0,"",VLOOKUP($A648,'BASE MATERIAL'!$A:$D,3))</f>
        <v>KG</v>
      </c>
      <c r="F648" s="55">
        <v>5.25</v>
      </c>
      <c r="G648" s="55">
        <f>IF($A648=0,"",VLOOKUP($A648,'BASE MATERIAL'!$A:$D,4))</f>
        <v>1.87</v>
      </c>
      <c r="H648" s="56">
        <f t="shared" si="62"/>
        <v>9.82</v>
      </c>
      <c r="I648" s="2"/>
      <c r="K648" s="1">
        <v>0.06</v>
      </c>
      <c r="L648" s="2"/>
      <c r="M648" s="2"/>
      <c r="N648" s="39"/>
      <c r="O648" s="2"/>
      <c r="P648" s="2"/>
    </row>
    <row r="649" spans="1:16" x14ac:dyDescent="0.25">
      <c r="A649" s="103">
        <v>1</v>
      </c>
      <c r="B649" s="38" t="s">
        <v>629</v>
      </c>
      <c r="C649" s="2"/>
      <c r="D649" s="77"/>
      <c r="E649" s="78" t="s">
        <v>1520</v>
      </c>
      <c r="F649" s="55">
        <v>10</v>
      </c>
      <c r="G649" s="55">
        <v>3</v>
      </c>
      <c r="H649" s="56">
        <f t="shared" si="62"/>
        <v>30</v>
      </c>
      <c r="I649" s="2"/>
      <c r="K649" s="1">
        <f>1/K648</f>
        <v>16.666666666666668</v>
      </c>
      <c r="L649" s="2"/>
      <c r="M649" s="2"/>
      <c r="N649" s="39"/>
      <c r="O649" s="2"/>
      <c r="P649" s="2"/>
    </row>
    <row r="650" spans="1:16" x14ac:dyDescent="0.25">
      <c r="B650" s="38"/>
      <c r="C650" s="2"/>
      <c r="D650" s="77"/>
      <c r="E650" s="78"/>
      <c r="F650" s="55"/>
      <c r="G650" s="55"/>
      <c r="H650" s="56" t="str">
        <f t="shared" si="62"/>
        <v/>
      </c>
      <c r="I650" s="2"/>
      <c r="L650" s="2"/>
      <c r="M650" s="2"/>
      <c r="N650" s="39"/>
      <c r="O650" s="2"/>
      <c r="P650" s="2"/>
    </row>
    <row r="651" spans="1:16" x14ac:dyDescent="0.25">
      <c r="B651" s="38"/>
      <c r="C651" s="2"/>
      <c r="D651" s="77"/>
      <c r="E651" s="78"/>
      <c r="F651" s="55"/>
      <c r="G651" s="55"/>
      <c r="H651" s="56" t="str">
        <f t="shared" si="62"/>
        <v/>
      </c>
      <c r="I651" s="2"/>
      <c r="L651" s="2"/>
      <c r="M651" s="2"/>
      <c r="N651" s="39"/>
      <c r="O651" s="2"/>
      <c r="P651" s="2"/>
    </row>
    <row r="652" spans="1:16" x14ac:dyDescent="0.25">
      <c r="B652" s="38" t="str">
        <f>IF($A652=0,"",VLOOKUP($A652,'BASE MATERIAL'!$A:$D,2))</f>
        <v/>
      </c>
      <c r="C652" s="2"/>
      <c r="D652" s="77"/>
      <c r="E652" s="78"/>
      <c r="F652" s="55"/>
      <c r="G652" s="55"/>
      <c r="H652" s="56" t="str">
        <f t="shared" si="62"/>
        <v/>
      </c>
      <c r="I652" s="2"/>
      <c r="L652" s="2"/>
      <c r="M652" s="2"/>
      <c r="N652" s="39"/>
      <c r="O652" s="2"/>
      <c r="P652" s="2"/>
    </row>
    <row r="653" spans="1:16" x14ac:dyDescent="0.25">
      <c r="B653" s="38" t="str">
        <f>IF($A653=0,"",VLOOKUP($A653,'BASE MATERIAL'!$A:$D,2))</f>
        <v/>
      </c>
      <c r="C653" s="2"/>
      <c r="D653" s="77"/>
      <c r="E653" s="78"/>
      <c r="F653" s="55"/>
      <c r="G653" s="55"/>
      <c r="H653" s="56" t="str">
        <f t="shared" si="62"/>
        <v/>
      </c>
      <c r="I653" s="2"/>
    </row>
    <row r="654" spans="1:16" x14ac:dyDescent="0.25">
      <c r="B654" s="38" t="str">
        <f>IF($A654=0,"",VLOOKUP($A654,'BASE MATERIAL'!$A:$D,2))</f>
        <v/>
      </c>
      <c r="C654" s="2"/>
      <c r="D654" s="77"/>
      <c r="E654" s="78"/>
      <c r="F654" s="55"/>
      <c r="G654" s="80"/>
      <c r="H654" s="56" t="str">
        <f t="shared" si="62"/>
        <v/>
      </c>
      <c r="I654" s="2"/>
      <c r="L654" s="2"/>
      <c r="M654" s="2"/>
      <c r="N654" s="39"/>
      <c r="O654" s="2"/>
      <c r="P654" s="2"/>
    </row>
    <row r="655" spans="1:16" x14ac:dyDescent="0.25">
      <c r="B655" s="38" t="str">
        <f>IF($A655=0,"",VLOOKUP($A655,'BASE MATERIAL'!$A:$D,2))</f>
        <v/>
      </c>
      <c r="C655" s="2"/>
      <c r="D655" s="77"/>
      <c r="E655" s="78"/>
      <c r="F655" s="55"/>
      <c r="G655" s="55"/>
      <c r="H655" s="56" t="str">
        <f t="shared" si="62"/>
        <v/>
      </c>
      <c r="I655" s="2"/>
      <c r="L655" s="2"/>
      <c r="M655" s="2"/>
      <c r="N655" s="39"/>
      <c r="O655" s="2"/>
      <c r="P655" s="2"/>
    </row>
    <row r="656" spans="1:16" x14ac:dyDescent="0.25">
      <c r="B656" s="38" t="str">
        <f>IF($A656=0,"",VLOOKUP($A656,'BASE MATERIAL'!$A:$D,2))</f>
        <v/>
      </c>
      <c r="C656" s="2"/>
      <c r="D656" s="77"/>
      <c r="E656" s="78" t="str">
        <f>IF($A656=0,"",VLOOKUP($A656,'BASE MATERIAL'!$A:$D,3))</f>
        <v/>
      </c>
      <c r="F656" s="55"/>
      <c r="G656" s="55" t="str">
        <f>IF($A656=0,"",VLOOKUP($A656,'BASE MATERIAL'!$A:$D,4))</f>
        <v/>
      </c>
      <c r="H656" s="56" t="str">
        <f t="shared" si="62"/>
        <v/>
      </c>
      <c r="I656" s="2"/>
    </row>
    <row r="657" spans="1:11" x14ac:dyDescent="0.25">
      <c r="B657" s="38" t="str">
        <f>IF($A657=0,"",VLOOKUP($A657,'BASE MATERIAL'!$A:$D,2))</f>
        <v/>
      </c>
      <c r="C657" s="2"/>
      <c r="D657" s="77"/>
      <c r="E657" s="78" t="str">
        <f>IF($A657=0,"",VLOOKUP($A657,'BASE MATERIAL'!$A:$D,3))</f>
        <v/>
      </c>
      <c r="F657" s="55"/>
      <c r="G657" s="55" t="str">
        <f>IF($A657=0,"",VLOOKUP($A657,'BASE MATERIAL'!$A:$D,4))</f>
        <v/>
      </c>
      <c r="H657" s="56" t="str">
        <f t="shared" si="62"/>
        <v/>
      </c>
      <c r="I657" s="2"/>
    </row>
    <row r="658" spans="1:11" x14ac:dyDescent="0.25">
      <c r="B658" s="38" t="str">
        <f>IF($A658=0,"",VLOOKUP($A658,'BASE MATERIAL'!$A:$D,2))</f>
        <v/>
      </c>
      <c r="C658" s="2"/>
      <c r="D658" s="77"/>
      <c r="E658" s="78" t="str">
        <f>IF($A658=0,"",VLOOKUP($A658,'BASE MATERIAL'!$A:$D,3))</f>
        <v/>
      </c>
      <c r="F658" s="55"/>
      <c r="G658" s="55" t="str">
        <f>IF($A658=0,"",VLOOKUP($A658,'BASE MATERIAL'!$A:$D,4))</f>
        <v/>
      </c>
      <c r="H658" s="56" t="str">
        <f>IF($A658=0,"",ROUND(F658*G658,2))</f>
        <v/>
      </c>
      <c r="I658" s="2"/>
    </row>
    <row r="659" spans="1:11" x14ac:dyDescent="0.25">
      <c r="B659" s="38" t="str">
        <f>IF($A659=0,"",VLOOKUP($A659,'BASE MATERIAL'!$A:$D,2))</f>
        <v/>
      </c>
      <c r="C659" s="2"/>
      <c r="D659" s="77"/>
      <c r="E659" s="78" t="str">
        <f>IF($A659=0,"",VLOOKUP($A659,'BASE MATERIAL'!$A:$D,3))</f>
        <v/>
      </c>
      <c r="F659" s="55"/>
      <c r="G659" s="55" t="str">
        <f>IF($A659=0,"",VLOOKUP($A659,'BASE MATERIAL'!$A:$D,4))</f>
        <v/>
      </c>
      <c r="H659" s="56" t="str">
        <f>IF($A659=0,"",ROUND(F659*G659,2))</f>
        <v/>
      </c>
      <c r="I659" s="2"/>
    </row>
    <row r="660" spans="1:11" x14ac:dyDescent="0.25">
      <c r="B660" s="38" t="str">
        <f>IF($A660=0,"",VLOOKUP($A660,'BASE MATERIAL'!$A:$D,2))</f>
        <v/>
      </c>
      <c r="C660" s="2"/>
      <c r="D660" s="81" t="s">
        <v>1682</v>
      </c>
      <c r="E660" s="55" t="str">
        <f>IF($A660=0,"",VLOOKUP($A660,'BASE MATERIAL'!$A:$D,3))</f>
        <v/>
      </c>
      <c r="F660" s="55" t="s">
        <v>1682</v>
      </c>
      <c r="G660" s="55" t="str">
        <f>IF($A660=0,"",VLOOKUP($A660,'BASE MATERIAL'!$A:$D,4))</f>
        <v/>
      </c>
      <c r="H660" s="56" t="str">
        <f>IF($A660=0,"",ROUND(E660*F660,2))</f>
        <v/>
      </c>
      <c r="I660" s="2"/>
    </row>
    <row r="661" spans="1:11" x14ac:dyDescent="0.25">
      <c r="B661" s="73" t="s">
        <v>1681</v>
      </c>
      <c r="C661" s="65"/>
      <c r="D661" s="74"/>
      <c r="E661" s="74"/>
      <c r="F661" s="74"/>
      <c r="G661" s="74"/>
      <c r="H661" s="75">
        <f>ROUND(SUM(H644:H660),2)</f>
        <v>163.71</v>
      </c>
      <c r="I661" s="2"/>
    </row>
    <row r="662" spans="1:11" x14ac:dyDescent="0.25">
      <c r="B662" s="38" t="s">
        <v>1680</v>
      </c>
      <c r="C662" s="2"/>
      <c r="D662" s="3"/>
      <c r="E662" s="3"/>
      <c r="F662" s="3"/>
      <c r="G662" s="3"/>
      <c r="H662" s="56"/>
      <c r="I662" s="2"/>
    </row>
    <row r="663" spans="1:11" ht="25.5" x14ac:dyDescent="0.25">
      <c r="B663" s="64" t="s">
        <v>1409</v>
      </c>
      <c r="C663" s="65"/>
      <c r="D663" s="76"/>
      <c r="E663" s="66" t="s">
        <v>1408</v>
      </c>
      <c r="F663" s="66" t="s">
        <v>1679</v>
      </c>
      <c r="G663" s="66" t="s">
        <v>1676</v>
      </c>
      <c r="H663" s="68" t="s">
        <v>1675</v>
      </c>
      <c r="I663" s="2"/>
    </row>
    <row r="664" spans="1:11" x14ac:dyDescent="0.25">
      <c r="A664" s="103">
        <v>19019</v>
      </c>
      <c r="B664" s="51" t="str">
        <f>IF($A664=0,"",VLOOKUP($A664,'BASE EQUIPO'!$A:$D,2))</f>
        <v>TRANSPORTE DE MATERIAL</v>
      </c>
      <c r="C664" s="52"/>
      <c r="D664" s="82"/>
      <c r="E664" s="78" t="str">
        <f>IF($A664=0,"",VLOOKUP($A664,'BASE EQUIPO'!$A:$D,3))</f>
        <v>GLOBAL</v>
      </c>
      <c r="F664" s="55">
        <v>1</v>
      </c>
      <c r="G664" s="83">
        <f>IF($A664=0,"",VLOOKUP($A664,'BASE EQUIPO'!$A:$D,4)*H661)+0.06</f>
        <v>4.9712999999999994</v>
      </c>
      <c r="H664" s="56">
        <f>IF($A664=0,"",ROUND(F664*G664,2))</f>
        <v>4.97</v>
      </c>
      <c r="I664" s="2"/>
    </row>
    <row r="665" spans="1:11" x14ac:dyDescent="0.25">
      <c r="B665" s="38" t="str">
        <f>IF($A665=0,"",VLOOKUP($A665,'BASE EQUIPO'!$A:$D,2))</f>
        <v/>
      </c>
      <c r="C665" s="2"/>
      <c r="D665" s="84"/>
      <c r="E665" s="78" t="str">
        <f>IF($A665=0,"",VLOOKUP($A665,'BASE EQUIPO'!$A:$D,3))</f>
        <v/>
      </c>
      <c r="F665" s="55"/>
      <c r="G665" s="55" t="str">
        <f>IF($A665=0,"",VLOOKUP($A665,'BASE EQUIPO'!$A:$D,4)*H662)</f>
        <v/>
      </c>
      <c r="H665" s="56" t="str">
        <f>IF($A665=0,"",ROUND(F665*G665,2))</f>
        <v/>
      </c>
      <c r="I665" s="2"/>
    </row>
    <row r="666" spans="1:11" x14ac:dyDescent="0.25">
      <c r="B666" s="57" t="str">
        <f>IF($A666=0,"",VLOOKUP($A666,'BASE EQUIPO'!$A:$D,2))</f>
        <v/>
      </c>
      <c r="C666" s="58"/>
      <c r="D666" s="85"/>
      <c r="E666" s="86" t="str">
        <f>IF($A666=0,"",VLOOKUP($A666,'BASE EQUIPO'!$A:$D,3))</f>
        <v/>
      </c>
      <c r="F666" s="59"/>
      <c r="G666" s="59" t="str">
        <f>IF($A666=0,"",VLOOKUP($A666,'BASE EQUIPO'!$A:$D,4)*H663)</f>
        <v/>
      </c>
      <c r="H666" s="60" t="str">
        <f>IF($A666=0,"",ROUND(F666*G666,2))</f>
        <v/>
      </c>
      <c r="I666" s="2"/>
    </row>
    <row r="667" spans="1:11" ht="15.75" thickBot="1" x14ac:dyDescent="0.3">
      <c r="B667" s="87" t="s">
        <v>1674</v>
      </c>
      <c r="C667" s="88"/>
      <c r="D667" s="89"/>
      <c r="E667" s="89"/>
      <c r="F667" s="89"/>
      <c r="G667" s="89"/>
      <c r="H667" s="90">
        <f>ROUND(SUM(H663:H666),2)</f>
        <v>4.97</v>
      </c>
      <c r="I667" s="2"/>
    </row>
    <row r="668" spans="1:11" ht="15.75" x14ac:dyDescent="0.25">
      <c r="B668" s="2"/>
      <c r="C668" s="2"/>
      <c r="D668" s="91" t="s">
        <v>1673</v>
      </c>
      <c r="E668" s="47"/>
      <c r="F668" s="47"/>
      <c r="G668" s="47"/>
      <c r="H668" s="92">
        <f>ROUND(SUM(H667,H661,H642,H632),2)</f>
        <v>243.03</v>
      </c>
      <c r="I668" s="2"/>
      <c r="K668" s="1">
        <v>242.9</v>
      </c>
    </row>
    <row r="669" spans="1:11" ht="15.75" x14ac:dyDescent="0.25">
      <c r="A669" s="103">
        <v>40002</v>
      </c>
      <c r="B669" s="2"/>
      <c r="C669" s="2"/>
      <c r="D669" s="93" t="s">
        <v>1672</v>
      </c>
      <c r="E669" s="65"/>
      <c r="F669" s="65"/>
      <c r="G669" s="94">
        <f>IF($A669=0,"",VLOOKUP($A669,'BASE MATERIAL'!$M:$P,4))</f>
        <v>0</v>
      </c>
      <c r="H669" s="95">
        <f>IF($A669=0,"",ROUND(G669*H668,2))</f>
        <v>0</v>
      </c>
      <c r="I669" s="2"/>
    </row>
    <row r="670" spans="1:11" ht="15.75" x14ac:dyDescent="0.25">
      <c r="A670" s="103">
        <v>40003</v>
      </c>
      <c r="B670" s="2"/>
      <c r="C670" s="2"/>
      <c r="D670" s="93" t="s">
        <v>1671</v>
      </c>
      <c r="E670" s="65"/>
      <c r="F670" s="65"/>
      <c r="G670" s="94">
        <f>IF($A670=0,"",VLOOKUP($A670,'BASE MATERIAL'!$M:$P,4))</f>
        <v>0</v>
      </c>
      <c r="H670" s="95">
        <f>IF($A670=0,"",ROUND(G670*H668,2))</f>
        <v>0</v>
      </c>
      <c r="I670" s="2"/>
    </row>
    <row r="671" spans="1:11" ht="15.75" x14ac:dyDescent="0.25">
      <c r="B671" s="2"/>
      <c r="C671" s="2"/>
      <c r="D671" s="93" t="s">
        <v>1670</v>
      </c>
      <c r="E671" s="65"/>
      <c r="F671" s="65"/>
      <c r="G671" s="65"/>
      <c r="H671" s="96">
        <f>ROUND(SUM(H668:H670),2)</f>
        <v>243.03</v>
      </c>
      <c r="I671" s="2"/>
    </row>
    <row r="672" spans="1:11" ht="16.5" thickBot="1" x14ac:dyDescent="0.3">
      <c r="B672" s="25"/>
      <c r="C672" s="2"/>
      <c r="D672" s="97" t="s">
        <v>1650</v>
      </c>
      <c r="E672" s="88"/>
      <c r="F672" s="88"/>
      <c r="G672" s="88"/>
      <c r="H672" s="98">
        <f>ROUND(H671,2)</f>
        <v>243.03</v>
      </c>
      <c r="I672" s="2"/>
    </row>
    <row r="673" spans="1:15" ht="15.75" x14ac:dyDescent="0.25">
      <c r="B673" s="34" t="s">
        <v>1701</v>
      </c>
      <c r="C673" s="2"/>
      <c r="D673" s="3" t="str">
        <f>$D$1</f>
        <v>ESPOL</v>
      </c>
      <c r="E673" s="2"/>
      <c r="F673" s="2"/>
      <c r="H673" s="2" t="s">
        <v>108</v>
      </c>
      <c r="I673" s="2"/>
      <c r="L673" s="40">
        <f>A677</f>
        <v>6</v>
      </c>
      <c r="M673" s="1" t="str">
        <f>C678</f>
        <v>Escalera  f'c= 250 kg/cm2</v>
      </c>
      <c r="N673" s="2" t="str">
        <f>H677</f>
        <v>m3</v>
      </c>
      <c r="O673" s="2">
        <f>H728</f>
        <v>274.24</v>
      </c>
    </row>
    <row r="674" spans="1:15" ht="15.75" x14ac:dyDescent="0.25">
      <c r="B674" s="34" t="s">
        <v>1700</v>
      </c>
      <c r="C674" s="3">
        <f>'1.1'!$C$2</f>
        <v>0</v>
      </c>
      <c r="D674" s="2"/>
      <c r="E674" s="2"/>
      <c r="F674" s="2"/>
      <c r="G674" s="41" t="s">
        <v>1699</v>
      </c>
      <c r="H674" s="42"/>
      <c r="I674" s="2" t="s">
        <v>1698</v>
      </c>
    </row>
    <row r="675" spans="1:15" ht="15.75" x14ac:dyDescent="0.25">
      <c r="B675" s="34"/>
      <c r="C675" s="3">
        <f>'1.1'!$C$3</f>
        <v>0</v>
      </c>
      <c r="D675" s="2"/>
      <c r="E675" s="2"/>
      <c r="F675" s="2"/>
      <c r="G675" s="2"/>
      <c r="H675" s="2"/>
      <c r="I675" s="2"/>
    </row>
    <row r="676" spans="1:15" ht="15.75" x14ac:dyDescent="0.25">
      <c r="B676" s="34" t="s">
        <v>1697</v>
      </c>
      <c r="C676" s="3"/>
      <c r="D676" s="2"/>
      <c r="E676" s="2"/>
      <c r="F676" s="2"/>
      <c r="G676" s="2"/>
      <c r="H676" s="2"/>
      <c r="I676" s="2"/>
    </row>
    <row r="677" spans="1:15" x14ac:dyDescent="0.25">
      <c r="A677" s="104">
        <v>6</v>
      </c>
      <c r="B677" s="2" t="s">
        <v>1586</v>
      </c>
      <c r="C677" s="36" t="s">
        <v>651</v>
      </c>
      <c r="D677" s="2"/>
      <c r="G677" s="2" t="s">
        <v>1696</v>
      </c>
      <c r="H677" s="3" t="s">
        <v>1521</v>
      </c>
      <c r="I677" s="2"/>
    </row>
    <row r="678" spans="1:15" x14ac:dyDescent="0.25">
      <c r="B678" s="1" t="s">
        <v>1585</v>
      </c>
      <c r="C678" s="36" t="s">
        <v>623</v>
      </c>
      <c r="D678" s="2"/>
      <c r="E678" s="2"/>
      <c r="F678" s="2"/>
      <c r="G678" s="2"/>
      <c r="H678" s="2"/>
      <c r="I678" s="2"/>
    </row>
    <row r="679" spans="1:15" ht="15.75" thickBot="1" x14ac:dyDescent="0.3">
      <c r="D679" s="2"/>
      <c r="E679" s="2"/>
      <c r="F679" s="2"/>
      <c r="G679" s="2"/>
      <c r="H679" s="2"/>
      <c r="I679" s="2"/>
    </row>
    <row r="680" spans="1:15" ht="15.75" thickBot="1" x14ac:dyDescent="0.3">
      <c r="B680" s="43" t="s">
        <v>1695</v>
      </c>
      <c r="C680" s="44"/>
      <c r="D680" s="44"/>
      <c r="E680" s="44"/>
      <c r="F680" s="44"/>
      <c r="G680" s="44"/>
      <c r="H680" s="45"/>
      <c r="I680" s="2"/>
    </row>
    <row r="681" spans="1:15" ht="25.5" x14ac:dyDescent="0.25">
      <c r="B681" s="46" t="s">
        <v>1409</v>
      </c>
      <c r="C681" s="47"/>
      <c r="D681" s="48" t="s">
        <v>1690</v>
      </c>
      <c r="E681" s="48" t="s">
        <v>1694</v>
      </c>
      <c r="F681" s="48" t="s">
        <v>1693</v>
      </c>
      <c r="G681" s="49" t="s">
        <v>1687</v>
      </c>
      <c r="H681" s="50" t="s">
        <v>1686</v>
      </c>
      <c r="I681" s="2"/>
    </row>
    <row r="682" spans="1:15" x14ac:dyDescent="0.25">
      <c r="A682" s="103">
        <v>19015</v>
      </c>
      <c r="B682" s="51" t="str">
        <f>IF($A682=0,"",VLOOKUP($A682,'BASE EQUIPO'!$A:$D,2))</f>
        <v>HERRAMIENTA MENOR</v>
      </c>
      <c r="C682" s="52"/>
      <c r="D682" s="53">
        <v>1</v>
      </c>
      <c r="E682" s="53">
        <f>IF($A682=0,"",VLOOKUP($A682,'BASE EQUIPO'!$A:$D,4)*H698)</f>
        <v>2.2247999999999997</v>
      </c>
      <c r="F682" s="53">
        <f t="shared" ref="F682:F687" si="63">IF($A682=0,"",ROUND(D682*E682,2))</f>
        <v>2.2200000000000002</v>
      </c>
      <c r="G682" s="105">
        <v>1</v>
      </c>
      <c r="H682" s="54">
        <f t="shared" ref="H682:H687" si="64">IF($A682=0,"",ROUND(G682*F682,2))</f>
        <v>2.2200000000000002</v>
      </c>
      <c r="I682" s="2"/>
    </row>
    <row r="683" spans="1:15" x14ac:dyDescent="0.25">
      <c r="A683" s="103">
        <v>19003</v>
      </c>
      <c r="B683" s="38" t="str">
        <f>IF($A683=0,"",VLOOKUP($A683,'BASE EQUIPO'!$A:$D,2))</f>
        <v>CONCRETERA</v>
      </c>
      <c r="C683" s="2"/>
      <c r="D683" s="55">
        <v>1</v>
      </c>
      <c r="E683" s="55">
        <f>IF($A683=0,"",VLOOKUP($A683,'BASE EQUIPO'!$A:$D,4))</f>
        <v>3.5</v>
      </c>
      <c r="F683" s="55">
        <f t="shared" si="63"/>
        <v>3.5</v>
      </c>
      <c r="G683" s="106">
        <f>+G692*0.5</f>
        <v>0.5</v>
      </c>
      <c r="H683" s="56">
        <f t="shared" si="64"/>
        <v>1.75</v>
      </c>
      <c r="I683" s="2"/>
    </row>
    <row r="684" spans="1:15" x14ac:dyDescent="0.25">
      <c r="A684" s="103">
        <v>19008</v>
      </c>
      <c r="B684" s="38" t="str">
        <f>IF($A684=0,"",VLOOKUP($A684,'BASE EQUIPO'!$A:$D,2))</f>
        <v>VIBRADOR</v>
      </c>
      <c r="C684" s="2"/>
      <c r="D684" s="55">
        <v>2</v>
      </c>
      <c r="E684" s="55">
        <f>IF($A684=0,"",VLOOKUP($A684,'BASE EQUIPO'!$A:$D,4))</f>
        <v>2.5</v>
      </c>
      <c r="F684" s="55">
        <f t="shared" si="63"/>
        <v>5</v>
      </c>
      <c r="G684" s="106">
        <f>+G683</f>
        <v>0.5</v>
      </c>
      <c r="H684" s="56">
        <f t="shared" si="64"/>
        <v>2.5</v>
      </c>
      <c r="I684" s="2"/>
    </row>
    <row r="685" spans="1:15" x14ac:dyDescent="0.25">
      <c r="B685" s="38" t="str">
        <f>IF($A685=0,"",VLOOKUP($A685,'BASE EQUIPO'!$A:$D,2))</f>
        <v/>
      </c>
      <c r="C685" s="2"/>
      <c r="D685" s="55"/>
      <c r="E685" s="55" t="str">
        <f>IF($A685=0,"",VLOOKUP($A685,'BASE EQUIPO'!$A:$D,4))</f>
        <v/>
      </c>
      <c r="F685" s="55" t="str">
        <f t="shared" si="63"/>
        <v/>
      </c>
      <c r="G685" s="106"/>
      <c r="H685" s="56" t="str">
        <f t="shared" si="64"/>
        <v/>
      </c>
      <c r="I685" s="2"/>
    </row>
    <row r="686" spans="1:15" x14ac:dyDescent="0.25">
      <c r="B686" s="38" t="str">
        <f>IF($A686=0,"",VLOOKUP($A686,'BASE EQUIPO'!$A:$D,2))</f>
        <v/>
      </c>
      <c r="C686" s="2"/>
      <c r="D686" s="55"/>
      <c r="E686" s="55" t="str">
        <f>IF($A686=0,"",VLOOKUP($A686,'BASE EQUIPO'!$A:$D,4))</f>
        <v/>
      </c>
      <c r="F686" s="55" t="str">
        <f t="shared" si="63"/>
        <v/>
      </c>
      <c r="G686" s="106"/>
      <c r="H686" s="56" t="str">
        <f t="shared" si="64"/>
        <v/>
      </c>
      <c r="I686" s="2"/>
    </row>
    <row r="687" spans="1:15" x14ac:dyDescent="0.25">
      <c r="B687" s="57" t="str">
        <f>IF($A687=0,"",VLOOKUP($A687,'BASE EQUIPO'!$A:$D,2))</f>
        <v/>
      </c>
      <c r="C687" s="58"/>
      <c r="D687" s="59"/>
      <c r="E687" s="59" t="str">
        <f>IF($A687=0,"",VLOOKUP($A687,'BASE EQUIPO'!$A:$D,4))</f>
        <v/>
      </c>
      <c r="F687" s="59" t="str">
        <f t="shared" si="63"/>
        <v/>
      </c>
      <c r="G687" s="107"/>
      <c r="H687" s="60" t="str">
        <f t="shared" si="64"/>
        <v/>
      </c>
      <c r="I687" s="2"/>
    </row>
    <row r="688" spans="1:15" x14ac:dyDescent="0.25">
      <c r="B688" s="57" t="s">
        <v>1692</v>
      </c>
      <c r="C688" s="58"/>
      <c r="D688" s="61"/>
      <c r="E688" s="61"/>
      <c r="F688" s="61"/>
      <c r="G688" s="62"/>
      <c r="H688" s="60">
        <f>ROUND(SUM(H681:H687),2)</f>
        <v>6.47</v>
      </c>
      <c r="I688" s="2"/>
    </row>
    <row r="689" spans="1:16" x14ac:dyDescent="0.25">
      <c r="B689" s="38" t="s">
        <v>1503</v>
      </c>
      <c r="C689" s="2"/>
      <c r="D689" s="3"/>
      <c r="E689" s="3"/>
      <c r="F689" s="3"/>
      <c r="G689" s="63"/>
      <c r="H689" s="56"/>
      <c r="I689" s="2"/>
    </row>
    <row r="690" spans="1:16" ht="25.5" x14ac:dyDescent="0.25">
      <c r="B690" s="64" t="s">
        <v>1691</v>
      </c>
      <c r="C690" s="65"/>
      <c r="D690" s="66" t="s">
        <v>1690</v>
      </c>
      <c r="E690" s="66" t="s">
        <v>1689</v>
      </c>
      <c r="F690" s="66" t="s">
        <v>1688</v>
      </c>
      <c r="G690" s="67" t="s">
        <v>1687</v>
      </c>
      <c r="H690" s="68" t="s">
        <v>1686</v>
      </c>
      <c r="I690" s="2"/>
    </row>
    <row r="691" spans="1:16" x14ac:dyDescent="0.25">
      <c r="A691" s="103">
        <v>20001</v>
      </c>
      <c r="B691" s="69" t="str">
        <f>IF($A691=0,"",VLOOKUP($A691,'BASE M-OBRA'!$A:$D,2))</f>
        <v>MAESTRO</v>
      </c>
      <c r="C691" s="2"/>
      <c r="D691" s="108">
        <v>1</v>
      </c>
      <c r="E691" s="70">
        <f>IF($A691=0,"",VLOOKUP($A691,'BASE M-OBRA'!$A:$D,4))</f>
        <v>3.02</v>
      </c>
      <c r="F691" s="55">
        <f t="shared" ref="F691:F697" si="65">IF($A691=0,"",ROUND(D691*E691,2))</f>
        <v>3.02</v>
      </c>
      <c r="G691" s="106">
        <f>IF($A691=0,"",ROUND(H691/F691,2))</f>
        <v>4.09</v>
      </c>
      <c r="H691" s="56">
        <f>IF($A691=0,"",ROUND(SUM(H692:H697)*'BASE M-OBRA'!$D$23,2))</f>
        <v>12.36</v>
      </c>
      <c r="I691" s="2"/>
    </row>
    <row r="692" spans="1:16" x14ac:dyDescent="0.25">
      <c r="A692" s="103">
        <v>20002</v>
      </c>
      <c r="B692" s="69" t="str">
        <f>IF($A692=0,"",VLOOKUP($A692,'BASE M-OBRA'!$A:$D,2))</f>
        <v>PEON</v>
      </c>
      <c r="C692" s="2"/>
      <c r="D692" s="108">
        <v>8</v>
      </c>
      <c r="E692" s="70">
        <f>IF($A692=0,"",VLOOKUP($A692,'BASE M-OBRA'!$A:$D,4))</f>
        <v>2.79</v>
      </c>
      <c r="F692" s="55">
        <f t="shared" si="65"/>
        <v>22.32</v>
      </c>
      <c r="G692" s="106">
        <v>1</v>
      </c>
      <c r="H692" s="56">
        <f t="shared" ref="H692:H697" si="66">IF($A692=0,"",ROUND(G692*F692,2))</f>
        <v>22.32</v>
      </c>
      <c r="I692" s="2"/>
    </row>
    <row r="693" spans="1:16" x14ac:dyDescent="0.25">
      <c r="A693" s="103">
        <v>20003</v>
      </c>
      <c r="B693" s="69" t="str">
        <f>IF($A693=0,"",VLOOKUP($A693,'BASE M-OBRA'!$A:$D,2))</f>
        <v>ALBAÑIL</v>
      </c>
      <c r="C693" s="2"/>
      <c r="D693" s="108">
        <v>2</v>
      </c>
      <c r="E693" s="70">
        <f>IF($A693=0,"",VLOOKUP($A693,'BASE M-OBRA'!$A:$D,4))</f>
        <v>2.82</v>
      </c>
      <c r="F693" s="55">
        <f t="shared" si="65"/>
        <v>5.64</v>
      </c>
      <c r="G693" s="106">
        <f>+G692</f>
        <v>1</v>
      </c>
      <c r="H693" s="56">
        <f t="shared" si="66"/>
        <v>5.64</v>
      </c>
      <c r="I693" s="2"/>
    </row>
    <row r="694" spans="1:16" x14ac:dyDescent="0.25">
      <c r="A694" s="103">
        <v>20004</v>
      </c>
      <c r="B694" s="71" t="str">
        <f>IF($A694=0,"",VLOOKUP($A694,'BASE M-OBRA'!$A:$D,2))</f>
        <v>CARPINTERO</v>
      </c>
      <c r="C694" s="2"/>
      <c r="D694" s="108">
        <v>2</v>
      </c>
      <c r="E694" s="70">
        <f>IF($A694=0,"",VLOOKUP($A694,'BASE M-OBRA'!$A:$D,4))</f>
        <v>2.82</v>
      </c>
      <c r="F694" s="55">
        <f t="shared" si="65"/>
        <v>5.64</v>
      </c>
      <c r="G694" s="106">
        <v>6</v>
      </c>
      <c r="H694" s="56">
        <f t="shared" si="66"/>
        <v>33.840000000000003</v>
      </c>
      <c r="I694" s="2"/>
      <c r="K694" s="1">
        <f>7*2.9</f>
        <v>20.3</v>
      </c>
    </row>
    <row r="695" spans="1:16" x14ac:dyDescent="0.25">
      <c r="B695" s="72" t="str">
        <f>IF($A695=0,"",VLOOKUP($A695,'BASE M-OBRA'!$A:$D,2))</f>
        <v/>
      </c>
      <c r="C695" s="2"/>
      <c r="D695" s="108"/>
      <c r="E695" s="70" t="str">
        <f>IF($A695=0,"",VLOOKUP($A695,'BASE M-OBRA'!$A:$D,4))</f>
        <v/>
      </c>
      <c r="F695" s="55" t="str">
        <f t="shared" si="65"/>
        <v/>
      </c>
      <c r="G695" s="106"/>
      <c r="H695" s="56" t="str">
        <f t="shared" si="66"/>
        <v/>
      </c>
      <c r="I695" s="2"/>
      <c r="K695" s="1">
        <f>+F705*0.15</f>
        <v>0</v>
      </c>
    </row>
    <row r="696" spans="1:16" x14ac:dyDescent="0.25">
      <c r="B696" s="38" t="str">
        <f>IF($A696=0,"",VLOOKUP($A696,'BASE M-OBRA'!$A:$D,2))</f>
        <v/>
      </c>
      <c r="C696" s="2"/>
      <c r="D696" s="55"/>
      <c r="E696" s="55" t="str">
        <f>IF($A696=0,"",VLOOKUP($A696,'BASE M-OBRA'!$A:$D,4))</f>
        <v/>
      </c>
      <c r="F696" s="55" t="str">
        <f t="shared" si="65"/>
        <v/>
      </c>
      <c r="G696" s="106"/>
      <c r="H696" s="56" t="str">
        <f t="shared" si="66"/>
        <v/>
      </c>
      <c r="I696" s="2"/>
    </row>
    <row r="697" spans="1:16" x14ac:dyDescent="0.25">
      <c r="B697" s="57" t="str">
        <f>IF($A697=0,"",VLOOKUP($A697,'BASE M-OBRA'!$A:$D,2))</f>
        <v/>
      </c>
      <c r="C697" s="58"/>
      <c r="D697" s="59"/>
      <c r="E697" s="59" t="str">
        <f>IF($A697=0,"",VLOOKUP($A697,'BASE M-OBRA'!$A:$D,4))</f>
        <v/>
      </c>
      <c r="F697" s="59" t="str">
        <f t="shared" si="65"/>
        <v/>
      </c>
      <c r="G697" s="107"/>
      <c r="H697" s="60" t="str">
        <f t="shared" si="66"/>
        <v/>
      </c>
      <c r="I697" s="2"/>
    </row>
    <row r="698" spans="1:16" x14ac:dyDescent="0.25">
      <c r="B698" s="73" t="s">
        <v>1685</v>
      </c>
      <c r="C698" s="65"/>
      <c r="D698" s="74"/>
      <c r="E698" s="74"/>
      <c r="F698" s="74"/>
      <c r="G698" s="74"/>
      <c r="H698" s="75">
        <f>ROUND(SUM(H690:H697),2)</f>
        <v>74.16</v>
      </c>
      <c r="I698" s="2"/>
      <c r="K698" s="1">
        <f>SUM(K694:K697)+15</f>
        <v>35.299999999999997</v>
      </c>
    </row>
    <row r="699" spans="1:16" x14ac:dyDescent="0.25">
      <c r="B699" s="38" t="s">
        <v>1684</v>
      </c>
      <c r="C699" s="2"/>
      <c r="D699" s="3"/>
      <c r="E699" s="3"/>
      <c r="F699" s="3"/>
      <c r="G699" s="3"/>
      <c r="H699" s="56"/>
      <c r="I699" s="2"/>
    </row>
    <row r="700" spans="1:16" ht="25.5" x14ac:dyDescent="0.25">
      <c r="B700" s="64" t="s">
        <v>1409</v>
      </c>
      <c r="C700" s="65"/>
      <c r="D700" s="76"/>
      <c r="E700" s="66" t="s">
        <v>1408</v>
      </c>
      <c r="F700" s="66" t="s">
        <v>1679</v>
      </c>
      <c r="G700" s="66" t="s">
        <v>1683</v>
      </c>
      <c r="H700" s="68" t="s">
        <v>1675</v>
      </c>
      <c r="I700" s="2"/>
    </row>
    <row r="701" spans="1:16" x14ac:dyDescent="0.25">
      <c r="A701" s="103">
        <v>11008</v>
      </c>
      <c r="B701" s="37" t="str">
        <f>IF($A701=0,"",VLOOKUP($A701,'BASE MATERIAL'!$A:$D,2))</f>
        <v>TABLA</v>
      </c>
      <c r="C701" s="2"/>
      <c r="D701" s="77"/>
      <c r="E701" s="78" t="str">
        <f>IF($A701=0,"",VLOOKUP($A701,'BASE MATERIAL'!$A:$D,3))</f>
        <v>U</v>
      </c>
      <c r="F701" s="55">
        <f>ROUND(16*5/(4*3),2)</f>
        <v>6.67</v>
      </c>
      <c r="G701" s="55">
        <f>IF($A701=0,"",VLOOKUP($A701,'BASE MATERIAL'!$A:$D,4))</f>
        <v>3.5</v>
      </c>
      <c r="H701" s="56">
        <f t="shared" ref="H701:H715" si="67">IF($A701=0,"",ROUND(F701*G701,2))</f>
        <v>23.35</v>
      </c>
      <c r="I701" s="2"/>
      <c r="L701" s="2"/>
      <c r="M701" s="2"/>
      <c r="N701" s="39"/>
      <c r="O701" s="2"/>
      <c r="P701" s="2"/>
    </row>
    <row r="702" spans="1:16" x14ac:dyDescent="0.25">
      <c r="A702" s="103">
        <v>11009</v>
      </c>
      <c r="B702" s="38" t="str">
        <f>IF($A702=0,"",VLOOKUP($A702,'BASE MATERIAL'!$A:$D,2))</f>
        <v>CUARTON</v>
      </c>
      <c r="C702" s="2"/>
      <c r="D702" s="77"/>
      <c r="E702" s="78" t="str">
        <f>IF($A702=0,"",VLOOKUP($A702,'BASE MATERIAL'!$A:$D,3))</f>
        <v>U</v>
      </c>
      <c r="F702" s="55">
        <f>ROUND(16*8/(4*3),2)</f>
        <v>10.67</v>
      </c>
      <c r="G702" s="55">
        <f>IF($A702=0,"",VLOOKUP($A702,'BASE MATERIAL'!$A:$D,4))</f>
        <v>2.42</v>
      </c>
      <c r="H702" s="56">
        <f t="shared" si="67"/>
        <v>25.82</v>
      </c>
      <c r="I702" s="2"/>
      <c r="K702" s="1">
        <v>0.06</v>
      </c>
      <c r="L702" s="2"/>
      <c r="M702" s="2"/>
      <c r="N702" s="39"/>
      <c r="O702" s="2"/>
      <c r="P702" s="2"/>
    </row>
    <row r="703" spans="1:16" x14ac:dyDescent="0.25">
      <c r="A703" s="103">
        <v>11005</v>
      </c>
      <c r="B703" s="38" t="str">
        <f>IF($A703=0,"",VLOOKUP($A703,'BASE MATERIAL'!$A:$D,2))</f>
        <v>CAÑA</v>
      </c>
      <c r="C703" s="2"/>
      <c r="D703" s="77"/>
      <c r="E703" s="78" t="str">
        <f>IF($A703=0,"",VLOOKUP($A703,'BASE MATERIAL'!$A:$D,3))</f>
        <v>U</v>
      </c>
      <c r="F703" s="55">
        <v>4</v>
      </c>
      <c r="G703" s="55">
        <f>IF($A703=0,"",VLOOKUP($A703,'BASE MATERIAL'!$A:$D,4))</f>
        <v>2</v>
      </c>
      <c r="H703" s="56">
        <f t="shared" si="67"/>
        <v>8</v>
      </c>
      <c r="I703" s="2"/>
      <c r="K703" s="1">
        <f>3.6*0.12*0.19</f>
        <v>8.208E-2</v>
      </c>
      <c r="L703" s="2"/>
      <c r="M703" s="2"/>
      <c r="N703" s="39"/>
      <c r="O703" s="2"/>
      <c r="P703" s="2"/>
    </row>
    <row r="704" spans="1:16" x14ac:dyDescent="0.25">
      <c r="A704" s="103">
        <v>11007</v>
      </c>
      <c r="B704" s="38" t="str">
        <f>IF($A704=0,"",VLOOKUP($A704,'BASE MATERIAL'!$A:$D,2))</f>
        <v>CLAVO 2 1/2"</v>
      </c>
      <c r="C704" s="2"/>
      <c r="D704" s="77"/>
      <c r="E704" s="78" t="str">
        <f>IF($A704=0,"",VLOOKUP($A704,'BASE MATERIAL'!$A:$D,3))</f>
        <v>KG</v>
      </c>
      <c r="F704" s="55">
        <f>ROUND(16*56/(178*1.5),2)</f>
        <v>3.36</v>
      </c>
      <c r="G704" s="55">
        <f>IF($A704=0,"",VLOOKUP($A704,'BASE MATERIAL'!$A:$D,4))</f>
        <v>2.6520000000000001</v>
      </c>
      <c r="H704" s="56">
        <f t="shared" si="67"/>
        <v>8.91</v>
      </c>
      <c r="I704" s="2"/>
      <c r="K704" s="1">
        <f>SUM(K702:K703)</f>
        <v>0.14207999999999998</v>
      </c>
      <c r="L704" s="2"/>
      <c r="M704" s="2"/>
      <c r="N704" s="39"/>
      <c r="O704" s="2"/>
      <c r="P704" s="2"/>
    </row>
    <row r="705" spans="1:16" x14ac:dyDescent="0.25">
      <c r="B705" s="38" t="str">
        <f>IF($A705=0,"",VLOOKUP($A705,'BASE MATERIAL'!$A:$D,2))</f>
        <v/>
      </c>
      <c r="C705" s="2"/>
      <c r="D705" s="77"/>
      <c r="E705" s="78" t="str">
        <f>IF($A705=0,"",VLOOKUP($A705,'BASE MATERIAL'!$A:$D,3))</f>
        <v/>
      </c>
      <c r="F705" s="55"/>
      <c r="G705" s="55" t="str">
        <f>IF($A705=0,"",VLOOKUP($A705,'BASE MATERIAL'!$A:$D,4))</f>
        <v/>
      </c>
      <c r="H705" s="56" t="str">
        <f t="shared" si="67"/>
        <v/>
      </c>
      <c r="I705" s="2"/>
      <c r="K705" s="1">
        <f>1/K704</f>
        <v>7.0382882882882889</v>
      </c>
      <c r="L705" s="2"/>
      <c r="M705" s="2"/>
      <c r="N705" s="39"/>
      <c r="O705" s="2"/>
      <c r="P705" s="2"/>
    </row>
    <row r="706" spans="1:16" x14ac:dyDescent="0.25">
      <c r="B706" s="38" t="str">
        <f>IF($A706=0,"",VLOOKUP($A706,'BASE MATERIAL'!$A:$D,2))</f>
        <v/>
      </c>
      <c r="C706" s="2"/>
      <c r="D706" s="77"/>
      <c r="E706" s="78" t="str">
        <f>IF($A706=0,"",VLOOKUP($A706,'BASE MATERIAL'!$A:$D,3))</f>
        <v/>
      </c>
      <c r="F706" s="55"/>
      <c r="G706" s="55" t="str">
        <f>IF($A706=0,"",VLOOKUP($A706,'BASE MATERIAL'!$A:$D,4))</f>
        <v/>
      </c>
      <c r="H706" s="56" t="str">
        <f t="shared" si="67"/>
        <v/>
      </c>
      <c r="I706" s="2"/>
      <c r="L706" s="2"/>
      <c r="M706" s="2"/>
      <c r="N706" s="39"/>
      <c r="O706" s="2"/>
      <c r="P706" s="2"/>
    </row>
    <row r="707" spans="1:16" x14ac:dyDescent="0.25">
      <c r="A707" s="103">
        <v>11009</v>
      </c>
      <c r="B707" s="38" t="s">
        <v>630</v>
      </c>
      <c r="C707" s="2"/>
      <c r="D707" s="77"/>
      <c r="E707" s="78" t="s">
        <v>1521</v>
      </c>
      <c r="F707" s="55">
        <v>1.02</v>
      </c>
      <c r="G707" s="55">
        <f>106.7*1.12</f>
        <v>119.50400000000002</v>
      </c>
      <c r="H707" s="56">
        <f t="shared" si="67"/>
        <v>121.89</v>
      </c>
      <c r="I707" s="2"/>
      <c r="K707" s="1">
        <v>0.06</v>
      </c>
      <c r="L707" s="2"/>
      <c r="M707" s="2"/>
      <c r="N707" s="39"/>
      <c r="O707" s="2"/>
      <c r="P707" s="2"/>
    </row>
    <row r="708" spans="1:16" x14ac:dyDescent="0.25">
      <c r="B708" s="38" t="str">
        <f>IF($A708=0,"",VLOOKUP($A708,'BASE MATERIAL'!$A:$D,2))</f>
        <v/>
      </c>
      <c r="C708" s="2"/>
      <c r="D708" s="77"/>
      <c r="E708" s="78" t="str">
        <f>IF($A708=0,"",VLOOKUP($A708,'BASE MATERIAL'!$A:$D,3))</f>
        <v/>
      </c>
      <c r="F708" s="55"/>
      <c r="G708" s="55" t="str">
        <f>IF($A708=0,"",VLOOKUP($A708,'BASE MATERIAL'!$A:$D,4))</f>
        <v/>
      </c>
      <c r="H708" s="56" t="str">
        <f t="shared" si="67"/>
        <v/>
      </c>
      <c r="I708" s="2"/>
      <c r="L708" s="2"/>
      <c r="M708" s="2"/>
      <c r="N708" s="39"/>
      <c r="O708" s="2"/>
      <c r="P708" s="2"/>
    </row>
    <row r="709" spans="1:16" x14ac:dyDescent="0.25">
      <c r="B709" s="38" t="str">
        <f>IF($A709=0,"",VLOOKUP($A709,'BASE MATERIAL'!$A:$D,2))</f>
        <v/>
      </c>
      <c r="C709" s="2"/>
      <c r="D709" s="77"/>
      <c r="E709" s="78" t="str">
        <f>IF($A709=0,"",VLOOKUP($A709,'BASE MATERIAL'!$A:$D,3))</f>
        <v/>
      </c>
      <c r="F709" s="55"/>
      <c r="G709" s="55" t="str">
        <f>IF($A709=0,"",VLOOKUP($A709,'BASE MATERIAL'!$A:$D,4))</f>
        <v/>
      </c>
      <c r="H709" s="56" t="str">
        <f t="shared" si="67"/>
        <v/>
      </c>
      <c r="I709" s="2"/>
    </row>
    <row r="710" spans="1:16" x14ac:dyDescent="0.25">
      <c r="B710" s="38" t="str">
        <f>IF($A710=0,"",VLOOKUP($A710,'BASE MATERIAL'!$A:$D,2))</f>
        <v/>
      </c>
      <c r="C710" s="2"/>
      <c r="D710" s="77"/>
      <c r="E710" s="78" t="str">
        <f>IF($A710=0,"",VLOOKUP($A710,'BASE MATERIAL'!$A:$D,3))</f>
        <v/>
      </c>
      <c r="F710" s="55"/>
      <c r="G710" s="80" t="str">
        <f>IF($A710=0,"",VLOOKUP($A710,'BASE MATERIAL'!$A:$D,4))</f>
        <v/>
      </c>
      <c r="H710" s="56" t="str">
        <f t="shared" si="67"/>
        <v/>
      </c>
      <c r="I710" s="2"/>
      <c r="L710" s="2"/>
      <c r="M710" s="2"/>
      <c r="N710" s="39"/>
      <c r="O710" s="2"/>
      <c r="P710" s="2"/>
    </row>
    <row r="711" spans="1:16" x14ac:dyDescent="0.25">
      <c r="B711" s="38" t="str">
        <f>IF($A711=0,"",VLOOKUP($A711,'BASE MATERIAL'!$A:$D,2))</f>
        <v/>
      </c>
      <c r="C711" s="2"/>
      <c r="D711" s="77"/>
      <c r="E711" s="78" t="str">
        <f>IF($A711=0,"",VLOOKUP($A711,'BASE MATERIAL'!$A:$D,3))</f>
        <v/>
      </c>
      <c r="F711" s="55"/>
      <c r="G711" s="55" t="str">
        <f>IF($A711=0,"",VLOOKUP($A711,'BASE MATERIAL'!$A:$D,4))</f>
        <v/>
      </c>
      <c r="H711" s="56" t="str">
        <f t="shared" si="67"/>
        <v/>
      </c>
      <c r="I711" s="2"/>
      <c r="L711" s="2"/>
      <c r="M711" s="2"/>
      <c r="N711" s="39"/>
      <c r="O711" s="2"/>
      <c r="P711" s="2"/>
    </row>
    <row r="712" spans="1:16" x14ac:dyDescent="0.25">
      <c r="B712" s="38" t="str">
        <f>IF($A712=0,"",VLOOKUP($A712,'BASE MATERIAL'!$A:$D,2))</f>
        <v/>
      </c>
      <c r="C712" s="2"/>
      <c r="D712" s="77"/>
      <c r="E712" s="78" t="str">
        <f>IF($A712=0,"",VLOOKUP($A712,'BASE MATERIAL'!$A:$D,3))</f>
        <v/>
      </c>
      <c r="F712" s="55"/>
      <c r="G712" s="55" t="str">
        <f>IF($A712=0,"",VLOOKUP($A712,'BASE MATERIAL'!$A:$D,4))</f>
        <v/>
      </c>
      <c r="H712" s="56" t="str">
        <f t="shared" si="67"/>
        <v/>
      </c>
      <c r="I712" s="2"/>
    </row>
    <row r="713" spans="1:16" x14ac:dyDescent="0.25">
      <c r="B713" s="38" t="str">
        <f>IF($A713=0,"",VLOOKUP($A713,'BASE MATERIAL'!$A:$D,2))</f>
        <v/>
      </c>
      <c r="C713" s="2"/>
      <c r="D713" s="77"/>
      <c r="E713" s="78" t="str">
        <f>IF($A713=0,"",VLOOKUP($A713,'BASE MATERIAL'!$A:$D,3))</f>
        <v/>
      </c>
      <c r="F713" s="55"/>
      <c r="G713" s="55" t="str">
        <f>IF($A713=0,"",VLOOKUP($A713,'BASE MATERIAL'!$A:$D,4))</f>
        <v/>
      </c>
      <c r="H713" s="56" t="str">
        <f t="shared" si="67"/>
        <v/>
      </c>
      <c r="I713" s="2"/>
    </row>
    <row r="714" spans="1:16" x14ac:dyDescent="0.25">
      <c r="B714" s="38" t="str">
        <f>IF($A714=0,"",VLOOKUP($A714,'BASE MATERIAL'!$A:$D,2))</f>
        <v/>
      </c>
      <c r="C714" s="2"/>
      <c r="D714" s="77"/>
      <c r="E714" s="78" t="str">
        <f>IF($A714=0,"",VLOOKUP($A714,'BASE MATERIAL'!$A:$D,3))</f>
        <v/>
      </c>
      <c r="F714" s="55"/>
      <c r="G714" s="55" t="str">
        <f>IF($A714=0,"",VLOOKUP($A714,'BASE MATERIAL'!$A:$D,4))</f>
        <v/>
      </c>
      <c r="H714" s="56" t="str">
        <f t="shared" si="67"/>
        <v/>
      </c>
      <c r="I714" s="2"/>
    </row>
    <row r="715" spans="1:16" x14ac:dyDescent="0.25">
      <c r="B715" s="38" t="str">
        <f>IF($A715=0,"",VLOOKUP($A715,'BASE MATERIAL'!$A:$D,2))</f>
        <v/>
      </c>
      <c r="C715" s="2"/>
      <c r="D715" s="77"/>
      <c r="E715" s="78" t="str">
        <f>IF($A715=0,"",VLOOKUP($A715,'BASE MATERIAL'!$A:$D,3))</f>
        <v/>
      </c>
      <c r="F715" s="55"/>
      <c r="G715" s="55" t="str">
        <f>IF($A715=0,"",VLOOKUP($A715,'BASE MATERIAL'!$A:$D,4))</f>
        <v/>
      </c>
      <c r="H715" s="56" t="str">
        <f t="shared" si="67"/>
        <v/>
      </c>
      <c r="I715" s="2"/>
    </row>
    <row r="716" spans="1:16" x14ac:dyDescent="0.25">
      <c r="B716" s="38" t="str">
        <f>IF($A716=0,"",VLOOKUP($A716,'BASE MATERIAL'!$A:$D,2))</f>
        <v/>
      </c>
      <c r="C716" s="2"/>
      <c r="D716" s="81" t="s">
        <v>1682</v>
      </c>
      <c r="E716" s="55" t="str">
        <f>IF($A716=0,"",VLOOKUP($A716,'BASE MATERIAL'!$A:$D,3))</f>
        <v/>
      </c>
      <c r="F716" s="55" t="s">
        <v>1682</v>
      </c>
      <c r="G716" s="55" t="str">
        <f>IF($A716=0,"",VLOOKUP($A716,'BASE MATERIAL'!$A:$D,4))</f>
        <v/>
      </c>
      <c r="H716" s="56" t="str">
        <f>IF($A716=0,"",ROUND(E716*F716,2))</f>
        <v/>
      </c>
      <c r="I716" s="2"/>
    </row>
    <row r="717" spans="1:16" x14ac:dyDescent="0.25">
      <c r="B717" s="73" t="s">
        <v>1681</v>
      </c>
      <c r="C717" s="65"/>
      <c r="D717" s="74"/>
      <c r="E717" s="74"/>
      <c r="F717" s="74"/>
      <c r="G717" s="74"/>
      <c r="H717" s="75">
        <f>ROUND(SUM(H700:H716),2)</f>
        <v>187.97</v>
      </c>
      <c r="I717" s="2"/>
    </row>
    <row r="718" spans="1:16" x14ac:dyDescent="0.25">
      <c r="B718" s="38" t="s">
        <v>1680</v>
      </c>
      <c r="C718" s="2"/>
      <c r="D718" s="3"/>
      <c r="E718" s="3"/>
      <c r="F718" s="3"/>
      <c r="G718" s="3"/>
      <c r="H718" s="56"/>
      <c r="I718" s="2"/>
    </row>
    <row r="719" spans="1:16" ht="25.5" x14ac:dyDescent="0.25">
      <c r="B719" s="64" t="s">
        <v>1409</v>
      </c>
      <c r="C719" s="65"/>
      <c r="D719" s="76"/>
      <c r="E719" s="66" t="s">
        <v>1408</v>
      </c>
      <c r="F719" s="66" t="s">
        <v>1679</v>
      </c>
      <c r="G719" s="66" t="s">
        <v>1676</v>
      </c>
      <c r="H719" s="68" t="s">
        <v>1675</v>
      </c>
      <c r="I719" s="2"/>
    </row>
    <row r="720" spans="1:16" x14ac:dyDescent="0.25">
      <c r="A720" s="103">
        <v>19019</v>
      </c>
      <c r="B720" s="51" t="str">
        <f>IF($A720=0,"",VLOOKUP($A720,'BASE EQUIPO'!$A:$D,2))</f>
        <v>TRANSPORTE DE MATERIAL</v>
      </c>
      <c r="C720" s="52"/>
      <c r="D720" s="82"/>
      <c r="E720" s="78" t="str">
        <f>IF($A720=0,"",VLOOKUP($A720,'BASE EQUIPO'!$A:$D,3))</f>
        <v>GLOBAL</v>
      </c>
      <c r="F720" s="55">
        <v>1</v>
      </c>
      <c r="G720" s="83">
        <f>IF($A720=0,"",VLOOKUP($A720,'BASE EQUIPO'!$A:$D,4)*H717)</f>
        <v>5.6391</v>
      </c>
      <c r="H720" s="56">
        <f>IF($A720=0,"",ROUND(F720*G720,2))</f>
        <v>5.64</v>
      </c>
      <c r="I720" s="2"/>
    </row>
    <row r="721" spans="1:15" x14ac:dyDescent="0.25">
      <c r="B721" s="38" t="str">
        <f>IF($A721=0,"",VLOOKUP($A721,'BASE EQUIPO'!$A:$D,2))</f>
        <v/>
      </c>
      <c r="C721" s="2"/>
      <c r="D721" s="84"/>
      <c r="E721" s="78" t="str">
        <f>IF($A721=0,"",VLOOKUP($A721,'BASE EQUIPO'!$A:$D,3))</f>
        <v/>
      </c>
      <c r="F721" s="55"/>
      <c r="G721" s="55" t="str">
        <f>IF($A721=0,"",VLOOKUP($A721,'BASE EQUIPO'!$A:$D,4)*H718)</f>
        <v/>
      </c>
      <c r="H721" s="56" t="str">
        <f>IF($A721=0,"",ROUND(F721*G721,2))</f>
        <v/>
      </c>
      <c r="I721" s="2"/>
    </row>
    <row r="722" spans="1:15" x14ac:dyDescent="0.25">
      <c r="B722" s="57" t="str">
        <f>IF($A722=0,"",VLOOKUP($A722,'BASE EQUIPO'!$A:$D,2))</f>
        <v/>
      </c>
      <c r="C722" s="58"/>
      <c r="D722" s="85"/>
      <c r="E722" s="86" t="str">
        <f>IF($A722=0,"",VLOOKUP($A722,'BASE EQUIPO'!$A:$D,3))</f>
        <v/>
      </c>
      <c r="F722" s="59"/>
      <c r="G722" s="59" t="str">
        <f>IF($A722=0,"",VLOOKUP($A722,'BASE EQUIPO'!$A:$D,4)*H719)</f>
        <v/>
      </c>
      <c r="H722" s="60" t="str">
        <f>IF($A722=0,"",ROUND(F722*G722,2))</f>
        <v/>
      </c>
      <c r="I722" s="2"/>
    </row>
    <row r="723" spans="1:15" ht="15.75" thickBot="1" x14ac:dyDescent="0.3">
      <c r="B723" s="87" t="s">
        <v>1674</v>
      </c>
      <c r="C723" s="88"/>
      <c r="D723" s="89"/>
      <c r="E723" s="89"/>
      <c r="F723" s="89"/>
      <c r="G723" s="89"/>
      <c r="H723" s="90">
        <f>ROUND(SUM(H719:H722),2)</f>
        <v>5.64</v>
      </c>
      <c r="I723" s="2"/>
    </row>
    <row r="724" spans="1:15" ht="15.75" x14ac:dyDescent="0.25">
      <c r="B724" s="2"/>
      <c r="C724" s="2"/>
      <c r="D724" s="91" t="s">
        <v>1673</v>
      </c>
      <c r="E724" s="47"/>
      <c r="F724" s="47"/>
      <c r="G724" s="47"/>
      <c r="H724" s="92">
        <f>ROUND(SUM(H723,H717,H698,H688),2)</f>
        <v>274.24</v>
      </c>
      <c r="I724" s="2"/>
      <c r="K724" s="1">
        <v>195.67</v>
      </c>
    </row>
    <row r="725" spans="1:15" ht="15.75" x14ac:dyDescent="0.25">
      <c r="A725" s="103">
        <v>40002</v>
      </c>
      <c r="B725" s="2"/>
      <c r="C725" s="2"/>
      <c r="D725" s="93" t="s">
        <v>1672</v>
      </c>
      <c r="E725" s="65"/>
      <c r="F725" s="65"/>
      <c r="G725" s="94">
        <f>IF($A725=0,"",VLOOKUP($A725,'BASE MATERIAL'!$M:$P,4))</f>
        <v>0</v>
      </c>
      <c r="H725" s="95">
        <f>IF($A725=0,"",ROUND(G725*H724,2))</f>
        <v>0</v>
      </c>
      <c r="I725" s="2"/>
    </row>
    <row r="726" spans="1:15" ht="15.75" x14ac:dyDescent="0.25">
      <c r="A726" s="103">
        <v>40003</v>
      </c>
      <c r="B726" s="2"/>
      <c r="C726" s="2"/>
      <c r="D726" s="93" t="s">
        <v>1671</v>
      </c>
      <c r="E726" s="65"/>
      <c r="F726" s="65"/>
      <c r="G726" s="94">
        <f>IF($A726=0,"",VLOOKUP($A726,'BASE MATERIAL'!$M:$P,4))</f>
        <v>0</v>
      </c>
      <c r="H726" s="95">
        <f>IF($A726=0,"",ROUND(G726*H724,2))</f>
        <v>0</v>
      </c>
      <c r="I726" s="2"/>
    </row>
    <row r="727" spans="1:15" ht="15.75" x14ac:dyDescent="0.25">
      <c r="B727" s="2"/>
      <c r="C727" s="2"/>
      <c r="D727" s="93" t="s">
        <v>1670</v>
      </c>
      <c r="E727" s="65"/>
      <c r="F727" s="65"/>
      <c r="G727" s="65"/>
      <c r="H727" s="96">
        <f>ROUND(SUM(H724:H726),2)</f>
        <v>274.24</v>
      </c>
      <c r="I727" s="2"/>
    </row>
    <row r="728" spans="1:15" ht="16.5" thickBot="1" x14ac:dyDescent="0.3">
      <c r="B728" s="25"/>
      <c r="C728" s="2"/>
      <c r="D728" s="97" t="s">
        <v>1650</v>
      </c>
      <c r="E728" s="88"/>
      <c r="F728" s="88"/>
      <c r="G728" s="88"/>
      <c r="H728" s="98">
        <f>ROUND(H727,2)</f>
        <v>274.24</v>
      </c>
      <c r="I728" s="2"/>
    </row>
    <row r="729" spans="1:15" ht="15.75" x14ac:dyDescent="0.25">
      <c r="B729" s="34" t="s">
        <v>1701</v>
      </c>
      <c r="C729" s="2"/>
      <c r="D729" s="3" t="str">
        <f>$D$1</f>
        <v>ESPOL</v>
      </c>
      <c r="E729" s="2"/>
      <c r="F729" s="2"/>
      <c r="H729" s="2" t="s">
        <v>108</v>
      </c>
      <c r="I729" s="2"/>
      <c r="L729" s="40">
        <f>A733</f>
        <v>6</v>
      </c>
      <c r="M729" s="1" t="str">
        <f>C734</f>
        <v>Acero de refuerzo</v>
      </c>
      <c r="N729" s="2" t="str">
        <f>H733</f>
        <v>kg</v>
      </c>
      <c r="O729" s="2">
        <f>H784</f>
        <v>1.59</v>
      </c>
    </row>
    <row r="730" spans="1:15" ht="15.75" x14ac:dyDescent="0.25">
      <c r="B730" s="34" t="s">
        <v>1700</v>
      </c>
      <c r="C730" s="3">
        <f>'1.1'!$C$2</f>
        <v>0</v>
      </c>
      <c r="D730" s="2"/>
      <c r="E730" s="2"/>
      <c r="F730" s="2"/>
      <c r="G730" s="41" t="s">
        <v>1699</v>
      </c>
      <c r="H730" s="42"/>
      <c r="I730" s="2" t="s">
        <v>1698</v>
      </c>
    </row>
    <row r="731" spans="1:15" ht="15.75" x14ac:dyDescent="0.25">
      <c r="B731" s="34"/>
      <c r="C731" s="3">
        <f>'1.1'!$C$3</f>
        <v>0</v>
      </c>
      <c r="D731" s="2"/>
      <c r="E731" s="2"/>
      <c r="F731" s="2"/>
      <c r="G731" s="2"/>
      <c r="H731" s="2"/>
      <c r="I731" s="2"/>
    </row>
    <row r="732" spans="1:15" ht="15.75" x14ac:dyDescent="0.25">
      <c r="B732" s="34" t="s">
        <v>1697</v>
      </c>
      <c r="C732" s="3"/>
      <c r="D732" s="2"/>
      <c r="E732" s="2"/>
      <c r="F732" s="2"/>
      <c r="G732" s="2"/>
      <c r="H732" s="2"/>
      <c r="I732" s="2"/>
    </row>
    <row r="733" spans="1:15" x14ac:dyDescent="0.25">
      <c r="A733" s="104">
        <v>6</v>
      </c>
      <c r="B733" s="2" t="s">
        <v>1586</v>
      </c>
      <c r="C733" s="36" t="s">
        <v>652</v>
      </c>
      <c r="D733" s="2"/>
      <c r="G733" s="2" t="s">
        <v>1696</v>
      </c>
      <c r="H733" s="3" t="s">
        <v>1509</v>
      </c>
      <c r="I733" s="2"/>
    </row>
    <row r="734" spans="1:15" x14ac:dyDescent="0.25">
      <c r="B734" s="1" t="s">
        <v>1585</v>
      </c>
      <c r="C734" s="36" t="s">
        <v>712</v>
      </c>
      <c r="D734" s="2"/>
      <c r="E734" s="2"/>
      <c r="F734" s="2"/>
      <c r="G734" s="2"/>
      <c r="H734" s="2"/>
      <c r="I734" s="2"/>
    </row>
    <row r="735" spans="1:15" ht="15.75" thickBot="1" x14ac:dyDescent="0.3">
      <c r="D735" s="2"/>
      <c r="E735" s="2"/>
      <c r="F735" s="2"/>
      <c r="G735" s="2"/>
      <c r="H735" s="2"/>
      <c r="I735" s="2"/>
    </row>
    <row r="736" spans="1:15" ht="15.75" thickBot="1" x14ac:dyDescent="0.3">
      <c r="B736" s="43" t="s">
        <v>1695</v>
      </c>
      <c r="C736" s="44"/>
      <c r="D736" s="44"/>
      <c r="E736" s="44"/>
      <c r="F736" s="44"/>
      <c r="G736" s="44"/>
      <c r="H736" s="45"/>
      <c r="I736" s="2"/>
    </row>
    <row r="737" spans="1:11" ht="25.5" x14ac:dyDescent="0.25">
      <c r="B737" s="46" t="s">
        <v>1409</v>
      </c>
      <c r="C737" s="47"/>
      <c r="D737" s="48" t="s">
        <v>1690</v>
      </c>
      <c r="E737" s="48" t="s">
        <v>1694</v>
      </c>
      <c r="F737" s="48" t="s">
        <v>1693</v>
      </c>
      <c r="G737" s="49" t="s">
        <v>1687</v>
      </c>
      <c r="H737" s="50" t="s">
        <v>1686</v>
      </c>
      <c r="I737" s="2"/>
    </row>
    <row r="738" spans="1:11" x14ac:dyDescent="0.25">
      <c r="A738" s="103">
        <v>19015</v>
      </c>
      <c r="B738" s="51" t="str">
        <f>IF($A738=0,"",VLOOKUP($A738,'BASE EQUIPO'!$A:$D,2))</f>
        <v>HERRAMIENTA MENOR</v>
      </c>
      <c r="C738" s="52"/>
      <c r="D738" s="53">
        <v>1</v>
      </c>
      <c r="E738" s="53">
        <f>IF($A738=0,"",VLOOKUP($A738,'BASE EQUIPO'!$A:$D,4)*H754)</f>
        <v>1.0200000000000001E-2</v>
      </c>
      <c r="F738" s="53">
        <f t="shared" ref="F738:F743" si="68">IF($A738=0,"",ROUND(D738*E738,2))</f>
        <v>0.01</v>
      </c>
      <c r="G738" s="105">
        <v>1</v>
      </c>
      <c r="H738" s="54">
        <f t="shared" ref="H738:H743" si="69">IF($A738=0,"",ROUND(G738*F738,2))</f>
        <v>0.01</v>
      </c>
      <c r="I738" s="2"/>
    </row>
    <row r="739" spans="1:11" x14ac:dyDescent="0.25">
      <c r="B739" s="38" t="str">
        <f>IF($A739=0,"",VLOOKUP($A739,'BASE EQUIPO'!$A:$D,2))</f>
        <v/>
      </c>
      <c r="C739" s="2"/>
      <c r="D739" s="55"/>
      <c r="E739" s="55" t="str">
        <f>IF($A739=0,"",VLOOKUP($A739,'BASE EQUIPO'!$A:$D,4))</f>
        <v/>
      </c>
      <c r="F739" s="55" t="str">
        <f t="shared" si="68"/>
        <v/>
      </c>
      <c r="G739" s="106"/>
      <c r="H739" s="56" t="str">
        <f t="shared" si="69"/>
        <v/>
      </c>
      <c r="I739" s="2"/>
    </row>
    <row r="740" spans="1:11" x14ac:dyDescent="0.25">
      <c r="B740" s="38" t="str">
        <f>IF($A740=0,"",VLOOKUP($A740,'BASE EQUIPO'!$A:$D,2))</f>
        <v/>
      </c>
      <c r="C740" s="2"/>
      <c r="D740" s="55"/>
      <c r="E740" s="55" t="str">
        <f>IF($A740=0,"",VLOOKUP($A740,'BASE EQUIPO'!$A:$D,4))</f>
        <v/>
      </c>
      <c r="F740" s="55" t="str">
        <f t="shared" si="68"/>
        <v/>
      </c>
      <c r="G740" s="106"/>
      <c r="H740" s="56" t="str">
        <f t="shared" si="69"/>
        <v/>
      </c>
      <c r="I740" s="2"/>
    </row>
    <row r="741" spans="1:11" x14ac:dyDescent="0.25">
      <c r="B741" s="38" t="str">
        <f>IF($A741=0,"",VLOOKUP($A741,'BASE EQUIPO'!$A:$D,2))</f>
        <v/>
      </c>
      <c r="C741" s="2"/>
      <c r="D741" s="55"/>
      <c r="E741" s="55" t="str">
        <f>IF($A741=0,"",VLOOKUP($A741,'BASE EQUIPO'!$A:$D,4))</f>
        <v/>
      </c>
      <c r="F741" s="55" t="str">
        <f t="shared" si="68"/>
        <v/>
      </c>
      <c r="G741" s="106"/>
      <c r="H741" s="56" t="str">
        <f t="shared" si="69"/>
        <v/>
      </c>
      <c r="I741" s="2"/>
    </row>
    <row r="742" spans="1:11" x14ac:dyDescent="0.25">
      <c r="B742" s="38" t="str">
        <f>IF($A742=0,"",VLOOKUP($A742,'BASE EQUIPO'!$A:$D,2))</f>
        <v/>
      </c>
      <c r="C742" s="2"/>
      <c r="D742" s="55"/>
      <c r="E742" s="55" t="str">
        <f>IF($A742=0,"",VLOOKUP($A742,'BASE EQUIPO'!$A:$D,4))</f>
        <v/>
      </c>
      <c r="F742" s="55" t="str">
        <f t="shared" si="68"/>
        <v/>
      </c>
      <c r="G742" s="106"/>
      <c r="H742" s="56" t="str">
        <f t="shared" si="69"/>
        <v/>
      </c>
      <c r="I742" s="2"/>
    </row>
    <row r="743" spans="1:11" x14ac:dyDescent="0.25">
      <c r="B743" s="57" t="str">
        <f>IF($A743=0,"",VLOOKUP($A743,'BASE EQUIPO'!$A:$D,2))</f>
        <v/>
      </c>
      <c r="C743" s="58"/>
      <c r="D743" s="59"/>
      <c r="E743" s="59" t="str">
        <f>IF($A743=0,"",VLOOKUP($A743,'BASE EQUIPO'!$A:$D,4))</f>
        <v/>
      </c>
      <c r="F743" s="59" t="str">
        <f t="shared" si="68"/>
        <v/>
      </c>
      <c r="G743" s="107"/>
      <c r="H743" s="60" t="str">
        <f t="shared" si="69"/>
        <v/>
      </c>
      <c r="I743" s="2"/>
    </row>
    <row r="744" spans="1:11" x14ac:dyDescent="0.25">
      <c r="B744" s="57" t="s">
        <v>1692</v>
      </c>
      <c r="C744" s="58"/>
      <c r="D744" s="61"/>
      <c r="E744" s="61"/>
      <c r="F744" s="61"/>
      <c r="G744" s="62"/>
      <c r="H744" s="60">
        <f>ROUND(SUM(H737:H743),2)</f>
        <v>0.01</v>
      </c>
      <c r="I744" s="2"/>
    </row>
    <row r="745" spans="1:11" x14ac:dyDescent="0.25">
      <c r="B745" s="38" t="s">
        <v>1503</v>
      </c>
      <c r="C745" s="2"/>
      <c r="D745" s="3"/>
      <c r="E745" s="3"/>
      <c r="F745" s="3"/>
      <c r="G745" s="63"/>
      <c r="H745" s="56"/>
      <c r="I745" s="2"/>
    </row>
    <row r="746" spans="1:11" ht="25.5" x14ac:dyDescent="0.25">
      <c r="B746" s="64" t="s">
        <v>1691</v>
      </c>
      <c r="C746" s="65"/>
      <c r="D746" s="66" t="s">
        <v>1690</v>
      </c>
      <c r="E746" s="66" t="s">
        <v>1689</v>
      </c>
      <c r="F746" s="66" t="s">
        <v>1688</v>
      </c>
      <c r="G746" s="67" t="s">
        <v>1687</v>
      </c>
      <c r="H746" s="68" t="s">
        <v>1686</v>
      </c>
      <c r="I746" s="2"/>
    </row>
    <row r="747" spans="1:11" x14ac:dyDescent="0.25">
      <c r="A747" s="103">
        <v>20001</v>
      </c>
      <c r="B747" s="69" t="str">
        <f>IF($A747=0,"",VLOOKUP($A747,'BASE M-OBRA'!$A:$D,2))</f>
        <v>MAESTRO</v>
      </c>
      <c r="C747" s="2"/>
      <c r="D747" s="108">
        <v>1</v>
      </c>
      <c r="E747" s="70">
        <f>IF($A747=0,"",VLOOKUP($A747,'BASE M-OBRA'!$A:$D,4))</f>
        <v>3.02</v>
      </c>
      <c r="F747" s="55">
        <f t="shared" ref="F747:F753" si="70">IF($A747=0,"",ROUND(D747*E747,2))</f>
        <v>3.02</v>
      </c>
      <c r="G747" s="106">
        <f>IF($A747=0,"",ROUND(H747/F747,2))</f>
        <v>0.02</v>
      </c>
      <c r="H747" s="56">
        <f>IF($A747=0,"",ROUND(SUM(H748:H753)*'BASE M-OBRA'!$D$23,2))</f>
        <v>0.06</v>
      </c>
      <c r="I747" s="2"/>
    </row>
    <row r="748" spans="1:11" x14ac:dyDescent="0.25">
      <c r="A748" s="103">
        <v>20002</v>
      </c>
      <c r="B748" s="69" t="str">
        <f>IF($A748=0,"",VLOOKUP($A748,'BASE M-OBRA'!$A:$D,2))</f>
        <v>PEON</v>
      </c>
      <c r="C748" s="2"/>
      <c r="D748" s="108">
        <v>2</v>
      </c>
      <c r="E748" s="70">
        <f>IF($A748=0,"",VLOOKUP($A748,'BASE M-OBRA'!$A:$D,4))</f>
        <v>2.79</v>
      </c>
      <c r="F748" s="55">
        <f t="shared" si="70"/>
        <v>5.58</v>
      </c>
      <c r="G748" s="106">
        <v>2.5000000000000001E-2</v>
      </c>
      <c r="H748" s="56">
        <f t="shared" ref="H748:H753" si="71">IF($A748=0,"",ROUND(G748*F748,2))</f>
        <v>0.14000000000000001</v>
      </c>
      <c r="I748" s="2"/>
    </row>
    <row r="749" spans="1:11" x14ac:dyDescent="0.25">
      <c r="B749" s="69" t="str">
        <f>IF($A749=0,"",VLOOKUP($A749,'BASE M-OBRA'!$A:$D,2))</f>
        <v/>
      </c>
      <c r="C749" s="2"/>
      <c r="D749" s="108"/>
      <c r="E749" s="70" t="str">
        <f>IF($A749=0,"",VLOOKUP($A749,'BASE M-OBRA'!$A:$D,4))</f>
        <v/>
      </c>
      <c r="F749" s="55" t="str">
        <f t="shared" si="70"/>
        <v/>
      </c>
      <c r="G749" s="106"/>
      <c r="H749" s="56" t="str">
        <f t="shared" si="71"/>
        <v/>
      </c>
      <c r="I749" s="2"/>
    </row>
    <row r="750" spans="1:11" x14ac:dyDescent="0.25">
      <c r="B750" s="71" t="str">
        <f>IF($A750=0,"",VLOOKUP($A750,'BASE M-OBRA'!$A:$D,2))</f>
        <v/>
      </c>
      <c r="C750" s="2"/>
      <c r="D750" s="108"/>
      <c r="E750" s="70" t="str">
        <f>IF($A750=0,"",VLOOKUP($A750,'BASE M-OBRA'!$A:$D,4))</f>
        <v/>
      </c>
      <c r="F750" s="55" t="str">
        <f t="shared" si="70"/>
        <v/>
      </c>
      <c r="G750" s="106"/>
      <c r="H750" s="56" t="str">
        <f t="shared" si="71"/>
        <v/>
      </c>
      <c r="I750" s="2"/>
      <c r="K750" s="1">
        <f>7*2.9</f>
        <v>20.3</v>
      </c>
    </row>
    <row r="751" spans="1:11" x14ac:dyDescent="0.25">
      <c r="A751" s="103">
        <v>20005</v>
      </c>
      <c r="B751" s="72" t="str">
        <f>IF($A751=0,"",VLOOKUP($A751,'BASE M-OBRA'!$A:$D,2))</f>
        <v>FIERRERO</v>
      </c>
      <c r="C751" s="2"/>
      <c r="D751" s="108">
        <v>2</v>
      </c>
      <c r="E751" s="70">
        <f>IF($A751=0,"",VLOOKUP($A751,'BASE M-OBRA'!$A:$D,4))</f>
        <v>2.82</v>
      </c>
      <c r="F751" s="55">
        <f t="shared" si="70"/>
        <v>5.64</v>
      </c>
      <c r="G751" s="106">
        <f>+G748</f>
        <v>2.5000000000000001E-2</v>
      </c>
      <c r="H751" s="56">
        <f t="shared" si="71"/>
        <v>0.14000000000000001</v>
      </c>
      <c r="I751" s="2"/>
      <c r="K751" s="1">
        <f>+F761*0.15</f>
        <v>0</v>
      </c>
    </row>
    <row r="752" spans="1:11" x14ac:dyDescent="0.25">
      <c r="B752" s="38" t="str">
        <f>IF($A752=0,"",VLOOKUP($A752,'BASE M-OBRA'!$A:$D,2))</f>
        <v/>
      </c>
      <c r="C752" s="2"/>
      <c r="D752" s="55"/>
      <c r="E752" s="55" t="str">
        <f>IF($A752=0,"",VLOOKUP($A752,'BASE M-OBRA'!$A:$D,4))</f>
        <v/>
      </c>
      <c r="F752" s="55" t="str">
        <f t="shared" si="70"/>
        <v/>
      </c>
      <c r="G752" s="106"/>
      <c r="H752" s="56" t="str">
        <f t="shared" si="71"/>
        <v/>
      </c>
      <c r="I752" s="2"/>
    </row>
    <row r="753" spans="1:16" x14ac:dyDescent="0.25">
      <c r="B753" s="57" t="str">
        <f>IF($A753=0,"",VLOOKUP($A753,'BASE M-OBRA'!$A:$D,2))</f>
        <v/>
      </c>
      <c r="C753" s="58"/>
      <c r="D753" s="59"/>
      <c r="E753" s="59" t="str">
        <f>IF($A753=0,"",VLOOKUP($A753,'BASE M-OBRA'!$A:$D,4))</f>
        <v/>
      </c>
      <c r="F753" s="59" t="str">
        <f t="shared" si="70"/>
        <v/>
      </c>
      <c r="G753" s="107"/>
      <c r="H753" s="60" t="str">
        <f t="shared" si="71"/>
        <v/>
      </c>
      <c r="I753" s="2"/>
    </row>
    <row r="754" spans="1:16" x14ac:dyDescent="0.25">
      <c r="B754" s="73" t="s">
        <v>1685</v>
      </c>
      <c r="C754" s="65"/>
      <c r="D754" s="74"/>
      <c r="E754" s="74"/>
      <c r="F754" s="74"/>
      <c r="G754" s="74"/>
      <c r="H754" s="75">
        <f>ROUND(SUM(H746:H753),2)</f>
        <v>0.34</v>
      </c>
      <c r="I754" s="2"/>
      <c r="K754" s="1">
        <f>SUM(K750:K753)+15</f>
        <v>35.299999999999997</v>
      </c>
    </row>
    <row r="755" spans="1:16" x14ac:dyDescent="0.25">
      <c r="B755" s="38" t="s">
        <v>1684</v>
      </c>
      <c r="C755" s="2"/>
      <c r="D755" s="3"/>
      <c r="E755" s="3"/>
      <c r="F755" s="3"/>
      <c r="G755" s="3"/>
      <c r="H755" s="56"/>
      <c r="I755" s="2"/>
    </row>
    <row r="756" spans="1:16" ht="25.5" x14ac:dyDescent="0.25">
      <c r="B756" s="64" t="s">
        <v>1409</v>
      </c>
      <c r="C756" s="65"/>
      <c r="D756" s="76"/>
      <c r="E756" s="66" t="s">
        <v>1408</v>
      </c>
      <c r="F756" s="66" t="s">
        <v>1679</v>
      </c>
      <c r="G756" s="66" t="s">
        <v>1683</v>
      </c>
      <c r="H756" s="68" t="s">
        <v>1675</v>
      </c>
      <c r="I756" s="2"/>
    </row>
    <row r="757" spans="1:16" x14ac:dyDescent="0.25">
      <c r="A757" s="103">
        <v>1001</v>
      </c>
      <c r="B757" s="37" t="str">
        <f>IF($A757=0,"",VLOOKUP($A757,'BASE MATERIAL'!$A:$D,2))</f>
        <v>HIERRO</v>
      </c>
      <c r="C757" s="2"/>
      <c r="D757" s="77"/>
      <c r="E757" s="78" t="str">
        <f>IF($A757=0,"",VLOOKUP($A757,'BASE MATERIAL'!$A:$D,3))</f>
        <v>KG</v>
      </c>
      <c r="F757" s="55">
        <v>1.02</v>
      </c>
      <c r="G757" s="55">
        <f>IF($A757=0,"",VLOOKUP($A757,'BASE MATERIAL'!$A:$D,4))</f>
        <v>1.17</v>
      </c>
      <c r="H757" s="56">
        <f t="shared" ref="H757:H771" si="72">IF($A757=0,"",ROUND(F757*G757,2))</f>
        <v>1.19</v>
      </c>
      <c r="I757" s="2"/>
      <c r="L757" s="2"/>
      <c r="M757" s="2"/>
      <c r="N757" s="39"/>
      <c r="O757" s="2"/>
      <c r="P757" s="2"/>
    </row>
    <row r="758" spans="1:16" x14ac:dyDescent="0.25">
      <c r="A758" s="103">
        <v>11002</v>
      </c>
      <c r="B758" s="38" t="str">
        <f>IF($A758=0,"",VLOOKUP($A758,'BASE MATERIAL'!$A:$D,2))</f>
        <v>ALAMBRE #18 RECOCIDO</v>
      </c>
      <c r="C758" s="2"/>
      <c r="D758" s="77"/>
      <c r="E758" s="78" t="str">
        <f>IF($A758=0,"",VLOOKUP($A758,'BASE MATERIAL'!$A:$D,3))</f>
        <v>KG</v>
      </c>
      <c r="F758" s="55">
        <v>0.02</v>
      </c>
      <c r="G758" s="55">
        <f>IF($A758=0,"",VLOOKUP($A758,'BASE MATERIAL'!$A:$D,4))</f>
        <v>1.87</v>
      </c>
      <c r="H758" s="56">
        <f t="shared" si="72"/>
        <v>0.04</v>
      </c>
      <c r="I758" s="2"/>
      <c r="K758" s="1">
        <v>0.06</v>
      </c>
      <c r="L758" s="2"/>
      <c r="M758" s="2"/>
      <c r="N758" s="39"/>
      <c r="O758" s="2"/>
      <c r="P758" s="2"/>
    </row>
    <row r="759" spans="1:16" x14ac:dyDescent="0.25">
      <c r="B759" s="38" t="str">
        <f>IF($A759=0,"",VLOOKUP($A759,'BASE MATERIAL'!$A:$D,2))</f>
        <v/>
      </c>
      <c r="C759" s="2"/>
      <c r="D759" s="77"/>
      <c r="E759" s="78" t="str">
        <f>IF($A759=0,"",VLOOKUP($A759,'BASE MATERIAL'!$A:$D,3))</f>
        <v/>
      </c>
      <c r="F759" s="55"/>
      <c r="G759" s="55" t="str">
        <f>IF($A759=0,"",VLOOKUP($A759,'BASE MATERIAL'!$A:$D,4))</f>
        <v/>
      </c>
      <c r="H759" s="56" t="str">
        <f t="shared" si="72"/>
        <v/>
      </c>
      <c r="I759" s="2"/>
      <c r="K759" s="1">
        <f>3.6*0.12*0.19</f>
        <v>8.208E-2</v>
      </c>
      <c r="L759" s="2"/>
      <c r="M759" s="2"/>
      <c r="N759" s="39"/>
      <c r="O759" s="2"/>
      <c r="P759" s="2"/>
    </row>
    <row r="760" spans="1:16" x14ac:dyDescent="0.25">
      <c r="B760" s="38" t="str">
        <f>IF($A760=0,"",VLOOKUP($A760,'BASE MATERIAL'!$A:$D,2))</f>
        <v/>
      </c>
      <c r="C760" s="2"/>
      <c r="D760" s="77"/>
      <c r="E760" s="78" t="str">
        <f>IF($A760=0,"",VLOOKUP($A760,'BASE MATERIAL'!$A:$D,3))</f>
        <v/>
      </c>
      <c r="F760" s="55"/>
      <c r="G760" s="55" t="str">
        <f>IF($A760=0,"",VLOOKUP($A760,'BASE MATERIAL'!$A:$D,4))</f>
        <v/>
      </c>
      <c r="H760" s="56" t="str">
        <f t="shared" si="72"/>
        <v/>
      </c>
      <c r="I760" s="2"/>
      <c r="K760" s="1">
        <f>SUM(K758:K759)</f>
        <v>0.14207999999999998</v>
      </c>
      <c r="L760" s="2"/>
      <c r="M760" s="2"/>
      <c r="N760" s="39"/>
      <c r="O760" s="2"/>
      <c r="P760" s="2"/>
    </row>
    <row r="761" spans="1:16" x14ac:dyDescent="0.25">
      <c r="B761" s="38" t="str">
        <f>IF($A761=0,"",VLOOKUP($A761,'BASE MATERIAL'!$A:$D,2))</f>
        <v/>
      </c>
      <c r="C761" s="2"/>
      <c r="D761" s="77"/>
      <c r="E761" s="78" t="str">
        <f>IF($A761=0,"",VLOOKUP($A761,'BASE MATERIAL'!$A:$D,3))</f>
        <v/>
      </c>
      <c r="F761" s="55"/>
      <c r="G761" s="55" t="str">
        <f>IF($A761=0,"",VLOOKUP($A761,'BASE MATERIAL'!$A:$D,4))</f>
        <v/>
      </c>
      <c r="H761" s="56" t="str">
        <f t="shared" si="72"/>
        <v/>
      </c>
      <c r="I761" s="2"/>
      <c r="K761" s="1">
        <f>1/K760</f>
        <v>7.0382882882882889</v>
      </c>
      <c r="L761" s="2"/>
      <c r="M761" s="2"/>
      <c r="N761" s="39"/>
      <c r="O761" s="2"/>
      <c r="P761" s="2"/>
    </row>
    <row r="762" spans="1:16" x14ac:dyDescent="0.25">
      <c r="B762" s="38" t="str">
        <f>IF($A762=0,"",VLOOKUP($A762,'BASE MATERIAL'!$A:$D,2))</f>
        <v/>
      </c>
      <c r="C762" s="2"/>
      <c r="D762" s="77"/>
      <c r="E762" s="78" t="str">
        <f>IF($A762=0,"",VLOOKUP($A762,'BASE MATERIAL'!$A:$D,3))</f>
        <v/>
      </c>
      <c r="F762" s="55"/>
      <c r="G762" s="55" t="str">
        <f>IF($A762=0,"",VLOOKUP($A762,'BASE MATERIAL'!$A:$D,4))</f>
        <v/>
      </c>
      <c r="H762" s="56" t="str">
        <f t="shared" si="72"/>
        <v/>
      </c>
      <c r="I762" s="2"/>
      <c r="L762" s="2"/>
      <c r="M762" s="2"/>
      <c r="N762" s="39"/>
      <c r="O762" s="2"/>
      <c r="P762" s="2"/>
    </row>
    <row r="763" spans="1:16" x14ac:dyDescent="0.25">
      <c r="B763" s="38" t="str">
        <f>IF($A763=0,"",VLOOKUP($A763,'BASE MATERIAL'!$A:$D,2))</f>
        <v/>
      </c>
      <c r="C763" s="2"/>
      <c r="D763" s="77"/>
      <c r="E763" s="78" t="str">
        <f>IF($A763=0,"",VLOOKUP($A763,'BASE MATERIAL'!$A:$D,3))</f>
        <v/>
      </c>
      <c r="F763" s="55"/>
      <c r="G763" s="55" t="str">
        <f>IF($A763=0,"",VLOOKUP($A763,'BASE MATERIAL'!$A:$D,4))</f>
        <v/>
      </c>
      <c r="H763" s="56" t="str">
        <f t="shared" si="72"/>
        <v/>
      </c>
      <c r="I763" s="2"/>
      <c r="L763" s="2"/>
      <c r="M763" s="2"/>
      <c r="N763" s="39"/>
      <c r="O763" s="2"/>
      <c r="P763" s="2"/>
    </row>
    <row r="764" spans="1:16" x14ac:dyDescent="0.25">
      <c r="B764" s="38" t="str">
        <f>IF($A764=0,"",VLOOKUP($A764,'BASE MATERIAL'!$A:$D,2))</f>
        <v/>
      </c>
      <c r="C764" s="2"/>
      <c r="D764" s="77"/>
      <c r="E764" s="78" t="str">
        <f>IF($A764=0,"",VLOOKUP($A764,'BASE MATERIAL'!$A:$D,3))</f>
        <v/>
      </c>
      <c r="F764" s="55"/>
      <c r="G764" s="55" t="str">
        <f>IF($A764=0,"",VLOOKUP($A764,'BASE MATERIAL'!$A:$D,4))</f>
        <v/>
      </c>
      <c r="H764" s="56" t="str">
        <f t="shared" si="72"/>
        <v/>
      </c>
      <c r="I764" s="2"/>
      <c r="L764" s="2"/>
      <c r="M764" s="2"/>
      <c r="N764" s="39"/>
      <c r="O764" s="2"/>
      <c r="P764" s="2"/>
    </row>
    <row r="765" spans="1:16" x14ac:dyDescent="0.25">
      <c r="B765" s="38" t="str">
        <f>IF($A765=0,"",VLOOKUP($A765,'BASE MATERIAL'!$A:$D,2))</f>
        <v/>
      </c>
      <c r="C765" s="2"/>
      <c r="D765" s="77"/>
      <c r="E765" s="78" t="str">
        <f>IF($A765=0,"",VLOOKUP($A765,'BASE MATERIAL'!$A:$D,3))</f>
        <v/>
      </c>
      <c r="F765" s="55"/>
      <c r="G765" s="55" t="str">
        <f>IF($A765=0,"",VLOOKUP($A765,'BASE MATERIAL'!$A:$D,4))</f>
        <v/>
      </c>
      <c r="H765" s="56" t="str">
        <f t="shared" si="72"/>
        <v/>
      </c>
      <c r="I765" s="2"/>
    </row>
    <row r="766" spans="1:16" x14ac:dyDescent="0.25">
      <c r="B766" s="38" t="str">
        <f>IF($A766=0,"",VLOOKUP($A766,'BASE MATERIAL'!$A:$D,2))</f>
        <v/>
      </c>
      <c r="C766" s="2"/>
      <c r="D766" s="77"/>
      <c r="E766" s="78" t="str">
        <f>IF($A766=0,"",VLOOKUP($A766,'BASE MATERIAL'!$A:$D,3))</f>
        <v/>
      </c>
      <c r="F766" s="55"/>
      <c r="G766" s="80" t="str">
        <f>IF($A766=0,"",VLOOKUP($A766,'BASE MATERIAL'!$A:$D,4))</f>
        <v/>
      </c>
      <c r="H766" s="56" t="str">
        <f t="shared" si="72"/>
        <v/>
      </c>
      <c r="I766" s="2"/>
      <c r="L766" s="2"/>
      <c r="M766" s="2"/>
      <c r="N766" s="39"/>
      <c r="O766" s="2"/>
      <c r="P766" s="2"/>
    </row>
    <row r="767" spans="1:16" x14ac:dyDescent="0.25">
      <c r="B767" s="38" t="str">
        <f>IF($A767=0,"",VLOOKUP($A767,'BASE MATERIAL'!$A:$D,2))</f>
        <v/>
      </c>
      <c r="C767" s="2"/>
      <c r="D767" s="77"/>
      <c r="E767" s="78" t="str">
        <f>IF($A767=0,"",VLOOKUP($A767,'BASE MATERIAL'!$A:$D,3))</f>
        <v/>
      </c>
      <c r="F767" s="55"/>
      <c r="G767" s="55" t="str">
        <f>IF($A767=0,"",VLOOKUP($A767,'BASE MATERIAL'!$A:$D,4))</f>
        <v/>
      </c>
      <c r="H767" s="56" t="str">
        <f t="shared" si="72"/>
        <v/>
      </c>
      <c r="I767" s="2"/>
      <c r="L767" s="2"/>
      <c r="M767" s="2"/>
      <c r="N767" s="39"/>
      <c r="O767" s="2"/>
      <c r="P767" s="2"/>
    </row>
    <row r="768" spans="1:16" x14ac:dyDescent="0.25">
      <c r="B768" s="38" t="str">
        <f>IF($A768=0,"",VLOOKUP($A768,'BASE MATERIAL'!$A:$D,2))</f>
        <v/>
      </c>
      <c r="C768" s="2"/>
      <c r="D768" s="77"/>
      <c r="E768" s="78" t="str">
        <f>IF($A768=0,"",VLOOKUP($A768,'BASE MATERIAL'!$A:$D,3))</f>
        <v/>
      </c>
      <c r="F768" s="55"/>
      <c r="G768" s="55" t="str">
        <f>IF($A768=0,"",VLOOKUP($A768,'BASE MATERIAL'!$A:$D,4))</f>
        <v/>
      </c>
      <c r="H768" s="56" t="str">
        <f t="shared" si="72"/>
        <v/>
      </c>
      <c r="I768" s="2"/>
    </row>
    <row r="769" spans="1:9" x14ac:dyDescent="0.25">
      <c r="B769" s="38" t="str">
        <f>IF($A769=0,"",VLOOKUP($A769,'BASE MATERIAL'!$A:$D,2))</f>
        <v/>
      </c>
      <c r="C769" s="2"/>
      <c r="D769" s="77"/>
      <c r="E769" s="78" t="str">
        <f>IF($A769=0,"",VLOOKUP($A769,'BASE MATERIAL'!$A:$D,3))</f>
        <v/>
      </c>
      <c r="F769" s="55"/>
      <c r="G769" s="55" t="str">
        <f>IF($A769=0,"",VLOOKUP($A769,'BASE MATERIAL'!$A:$D,4))</f>
        <v/>
      </c>
      <c r="H769" s="56" t="str">
        <f t="shared" si="72"/>
        <v/>
      </c>
      <c r="I769" s="2"/>
    </row>
    <row r="770" spans="1:9" x14ac:dyDescent="0.25">
      <c r="B770" s="38" t="str">
        <f>IF($A770=0,"",VLOOKUP($A770,'BASE MATERIAL'!$A:$D,2))</f>
        <v/>
      </c>
      <c r="C770" s="2"/>
      <c r="D770" s="77"/>
      <c r="E770" s="78" t="str">
        <f>IF($A770=0,"",VLOOKUP($A770,'BASE MATERIAL'!$A:$D,3))</f>
        <v/>
      </c>
      <c r="F770" s="55"/>
      <c r="G770" s="55" t="str">
        <f>IF($A770=0,"",VLOOKUP($A770,'BASE MATERIAL'!$A:$D,4))</f>
        <v/>
      </c>
      <c r="H770" s="56" t="str">
        <f t="shared" si="72"/>
        <v/>
      </c>
      <c r="I770" s="2"/>
    </row>
    <row r="771" spans="1:9" x14ac:dyDescent="0.25">
      <c r="B771" s="38" t="str">
        <f>IF($A771=0,"",VLOOKUP($A771,'BASE MATERIAL'!$A:$D,2))</f>
        <v/>
      </c>
      <c r="C771" s="2"/>
      <c r="D771" s="77"/>
      <c r="E771" s="78" t="str">
        <f>IF($A771=0,"",VLOOKUP($A771,'BASE MATERIAL'!$A:$D,3))</f>
        <v/>
      </c>
      <c r="F771" s="55"/>
      <c r="G771" s="55" t="str">
        <f>IF($A771=0,"",VLOOKUP($A771,'BASE MATERIAL'!$A:$D,4))</f>
        <v/>
      </c>
      <c r="H771" s="56" t="str">
        <f t="shared" si="72"/>
        <v/>
      </c>
      <c r="I771" s="2"/>
    </row>
    <row r="772" spans="1:9" x14ac:dyDescent="0.25">
      <c r="B772" s="38" t="str">
        <f>IF($A772=0,"",VLOOKUP($A772,'BASE MATERIAL'!$A:$D,2))</f>
        <v/>
      </c>
      <c r="C772" s="2"/>
      <c r="D772" s="81" t="s">
        <v>1682</v>
      </c>
      <c r="E772" s="55" t="str">
        <f>IF($A772=0,"",VLOOKUP($A772,'BASE MATERIAL'!$A:$D,3))</f>
        <v/>
      </c>
      <c r="F772" s="55" t="s">
        <v>1682</v>
      </c>
      <c r="G772" s="55" t="str">
        <f>IF($A772=0,"",VLOOKUP($A772,'BASE MATERIAL'!$A:$D,4))</f>
        <v/>
      </c>
      <c r="H772" s="56" t="str">
        <f>IF($A772=0,"",ROUND(E772*F772,2))</f>
        <v/>
      </c>
      <c r="I772" s="2"/>
    </row>
    <row r="773" spans="1:9" x14ac:dyDescent="0.25">
      <c r="B773" s="73" t="s">
        <v>1681</v>
      </c>
      <c r="C773" s="65"/>
      <c r="D773" s="74"/>
      <c r="E773" s="74"/>
      <c r="F773" s="74"/>
      <c r="G773" s="74"/>
      <c r="H773" s="75">
        <f>ROUND(SUM(H756:H772),2)</f>
        <v>1.23</v>
      </c>
      <c r="I773" s="2"/>
    </row>
    <row r="774" spans="1:9" x14ac:dyDescent="0.25">
      <c r="B774" s="38" t="s">
        <v>1680</v>
      </c>
      <c r="C774" s="2"/>
      <c r="D774" s="3"/>
      <c r="E774" s="3"/>
      <c r="F774" s="3"/>
      <c r="G774" s="3"/>
      <c r="H774" s="56"/>
      <c r="I774" s="2"/>
    </row>
    <row r="775" spans="1:9" ht="25.5" x14ac:dyDescent="0.25">
      <c r="B775" s="64" t="s">
        <v>1409</v>
      </c>
      <c r="C775" s="65"/>
      <c r="D775" s="76"/>
      <c r="E775" s="66" t="s">
        <v>1408</v>
      </c>
      <c r="F775" s="66" t="s">
        <v>1679</v>
      </c>
      <c r="G775" s="66" t="s">
        <v>1676</v>
      </c>
      <c r="H775" s="68" t="s">
        <v>1675</v>
      </c>
      <c r="I775" s="2"/>
    </row>
    <row r="776" spans="1:9" x14ac:dyDescent="0.25">
      <c r="A776" s="103">
        <v>19019</v>
      </c>
      <c r="B776" s="51" t="str">
        <f>IF($A776=0,"",VLOOKUP($A776,'BASE EQUIPO'!$A:$D,2))</f>
        <v>TRANSPORTE DE MATERIAL</v>
      </c>
      <c r="C776" s="52"/>
      <c r="D776" s="82"/>
      <c r="E776" s="78" t="str">
        <f>IF($A776=0,"",VLOOKUP($A776,'BASE EQUIPO'!$A:$D,3))</f>
        <v>GLOBAL</v>
      </c>
      <c r="F776" s="55">
        <v>1</v>
      </c>
      <c r="G776" s="83">
        <f>IF($A776=0,"",VLOOKUP($A776,'BASE EQUIPO'!$A:$D,4)*H773)-0.03</f>
        <v>6.8999999999999964E-3</v>
      </c>
      <c r="H776" s="56">
        <f>IF($A776=0,"",ROUND(F776*G776,2))</f>
        <v>0.01</v>
      </c>
      <c r="I776" s="2"/>
    </row>
    <row r="777" spans="1:9" x14ac:dyDescent="0.25">
      <c r="B777" s="38" t="str">
        <f>IF($A777=0,"",VLOOKUP($A777,'BASE EQUIPO'!$A:$D,2))</f>
        <v/>
      </c>
      <c r="C777" s="2"/>
      <c r="D777" s="84"/>
      <c r="E777" s="78" t="str">
        <f>IF($A777=0,"",VLOOKUP($A777,'BASE EQUIPO'!$A:$D,3))</f>
        <v/>
      </c>
      <c r="F777" s="55"/>
      <c r="G777" s="55" t="str">
        <f>IF($A777=0,"",VLOOKUP($A777,'BASE EQUIPO'!$A:$D,4)*H774)</f>
        <v/>
      </c>
      <c r="H777" s="56" t="str">
        <f>IF($A777=0,"",ROUND(F777*G777,2))</f>
        <v/>
      </c>
      <c r="I777" s="2"/>
    </row>
    <row r="778" spans="1:9" x14ac:dyDescent="0.25">
      <c r="B778" s="57" t="str">
        <f>IF($A778=0,"",VLOOKUP($A778,'BASE EQUIPO'!$A:$D,2))</f>
        <v/>
      </c>
      <c r="C778" s="58"/>
      <c r="D778" s="85"/>
      <c r="E778" s="86" t="str">
        <f>IF($A778=0,"",VLOOKUP($A778,'BASE EQUIPO'!$A:$D,3))</f>
        <v/>
      </c>
      <c r="F778" s="59"/>
      <c r="G778" s="59" t="str">
        <f>IF($A778=0,"",VLOOKUP($A778,'BASE EQUIPO'!$A:$D,4)*H775)</f>
        <v/>
      </c>
      <c r="H778" s="60" t="str">
        <f>IF($A778=0,"",ROUND(F778*G778,2))</f>
        <v/>
      </c>
      <c r="I778" s="2"/>
    </row>
    <row r="779" spans="1:9" ht="15.75" thickBot="1" x14ac:dyDescent="0.3">
      <c r="B779" s="87" t="s">
        <v>1674</v>
      </c>
      <c r="C779" s="88"/>
      <c r="D779" s="89"/>
      <c r="E779" s="89"/>
      <c r="F779" s="89"/>
      <c r="G779" s="89"/>
      <c r="H779" s="90">
        <f>ROUND(SUM(H775:H778),2)</f>
        <v>0.01</v>
      </c>
      <c r="I779" s="2"/>
    </row>
    <row r="780" spans="1:9" ht="15.75" x14ac:dyDescent="0.25">
      <c r="B780" s="2"/>
      <c r="C780" s="2"/>
      <c r="D780" s="91" t="s">
        <v>1673</v>
      </c>
      <c r="E780" s="47"/>
      <c r="F780" s="47"/>
      <c r="G780" s="47"/>
      <c r="H780" s="92">
        <f>ROUND(SUM(H779,H773,H754,H744),2)</f>
        <v>1.59</v>
      </c>
      <c r="I780" s="2"/>
    </row>
    <row r="781" spans="1:9" ht="15.75" x14ac:dyDescent="0.25">
      <c r="A781" s="103">
        <v>40002</v>
      </c>
      <c r="B781" s="2"/>
      <c r="C781" s="2"/>
      <c r="D781" s="93" t="s">
        <v>1672</v>
      </c>
      <c r="E781" s="65"/>
      <c r="F781" s="65"/>
      <c r="G781" s="94">
        <f>IF($A781=0,"",VLOOKUP($A781,'BASE MATERIAL'!$M:$P,4))</f>
        <v>0</v>
      </c>
      <c r="H781" s="95">
        <f>IF($A781=0,"",ROUND(G781*H780,2))</f>
        <v>0</v>
      </c>
      <c r="I781" s="2"/>
    </row>
    <row r="782" spans="1:9" ht="15.75" x14ac:dyDescent="0.25">
      <c r="A782" s="103">
        <v>40003</v>
      </c>
      <c r="B782" s="2"/>
      <c r="C782" s="2"/>
      <c r="D782" s="93" t="s">
        <v>1671</v>
      </c>
      <c r="E782" s="65"/>
      <c r="F782" s="65"/>
      <c r="G782" s="94">
        <f>IF($A782=0,"",VLOOKUP($A782,'BASE MATERIAL'!$M:$P,4))</f>
        <v>0</v>
      </c>
      <c r="H782" s="95">
        <f>IF($A782=0,"",ROUND(G782*H780,2))</f>
        <v>0</v>
      </c>
      <c r="I782" s="2"/>
    </row>
    <row r="783" spans="1:9" ht="15.75" x14ac:dyDescent="0.25">
      <c r="B783" s="2"/>
      <c r="C783" s="2"/>
      <c r="D783" s="93" t="s">
        <v>1670</v>
      </c>
      <c r="E783" s="65"/>
      <c r="F783" s="65"/>
      <c r="G783" s="65"/>
      <c r="H783" s="96">
        <f>ROUND(SUM(H780:H782),2)</f>
        <v>1.59</v>
      </c>
      <c r="I783" s="2"/>
    </row>
    <row r="784" spans="1:9" ht="16.5" thickBot="1" x14ac:dyDescent="0.3">
      <c r="B784" s="25"/>
      <c r="C784" s="2"/>
      <c r="D784" s="97" t="s">
        <v>1650</v>
      </c>
      <c r="E784" s="88"/>
      <c r="F784" s="88"/>
      <c r="G784" s="88"/>
      <c r="H784" s="98">
        <f>ROUND(H783,2)</f>
        <v>1.59</v>
      </c>
      <c r="I784" s="2"/>
    </row>
  </sheetData>
  <phoneticPr fontId="2" type="noConversion"/>
  <pageMargins left="0.78740157480314965" right="0.78740157480314965" top="0.78740157480314965" bottom="0.78740157480314965" header="0" footer="0"/>
  <pageSetup paperSize="9" scale="85" orientation="portrait" r:id="rId1"/>
  <headerFooter alignWithMargins="0"/>
  <rowBreaks count="3" manualBreakCount="3">
    <brk id="112" max="16383" man="1"/>
    <brk id="672" max="16383" man="1"/>
    <brk id="728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F495E-7E8D-479E-9BF4-D0B077B7FE02}">
  <sheetPr codeName="Hoja11"/>
  <dimension ref="A1:P302"/>
  <sheetViews>
    <sheetView workbookViewId="0">
      <selection activeCell="G21" sqref="G21"/>
    </sheetView>
  </sheetViews>
  <sheetFormatPr baseColWidth="10" defaultColWidth="11.42578125" defaultRowHeight="15" x14ac:dyDescent="0.25"/>
  <cols>
    <col min="1" max="1" width="7" style="103" bestFit="1" customWidth="1"/>
    <col min="2" max="2" width="12.140625" style="1" customWidth="1"/>
    <col min="3" max="3" width="26.28515625" style="1" customWidth="1"/>
    <col min="4" max="4" width="10.7109375" style="1" customWidth="1"/>
    <col min="5" max="5" width="12.140625" style="1" customWidth="1"/>
    <col min="6" max="6" width="13.28515625" style="1" customWidth="1"/>
    <col min="7" max="7" width="13.85546875" style="1" customWidth="1"/>
    <col min="8" max="8" width="12.42578125" style="1" customWidth="1"/>
    <col min="9" max="9" width="3.140625" style="1" bestFit="1" customWidth="1"/>
    <col min="10" max="10" width="3.5703125" style="1" customWidth="1"/>
    <col min="11" max="11" width="8.42578125" style="1" customWidth="1"/>
    <col min="12" max="12" width="5.140625" style="1" bestFit="1" customWidth="1"/>
    <col min="13" max="13" width="33.85546875" style="1" bestFit="1" customWidth="1"/>
    <col min="14" max="14" width="6" style="1" bestFit="1" customWidth="1"/>
    <col min="15" max="28" width="8.42578125" style="1" customWidth="1"/>
    <col min="29" max="16384" width="11.42578125" style="1"/>
  </cols>
  <sheetData>
    <row r="1" spans="1:15" ht="15.75" x14ac:dyDescent="0.25">
      <c r="B1" s="34" t="s">
        <v>1701</v>
      </c>
      <c r="C1" s="2"/>
      <c r="D1" s="3" t="str">
        <f>'1.1'!$D$1</f>
        <v>ESPOL</v>
      </c>
      <c r="E1" s="2"/>
      <c r="F1" s="2"/>
      <c r="H1" s="2" t="s">
        <v>108</v>
      </c>
      <c r="I1" s="2"/>
      <c r="L1" s="40">
        <f>A5</f>
        <v>2</v>
      </c>
      <c r="M1" s="1" t="str">
        <f>C6</f>
        <v>Estructuras metalicas para cubiertas</v>
      </c>
      <c r="N1" s="2" t="str">
        <f>H5</f>
        <v>KG</v>
      </c>
      <c r="O1" s="2">
        <f>H56</f>
        <v>2.69</v>
      </c>
    </row>
    <row r="2" spans="1:15" ht="15.75" x14ac:dyDescent="0.25">
      <c r="B2" s="34" t="s">
        <v>1700</v>
      </c>
      <c r="C2" s="3">
        <f>'1.1'!$C$2</f>
        <v>0</v>
      </c>
      <c r="D2" s="2"/>
      <c r="E2" s="2"/>
      <c r="F2" s="2"/>
      <c r="G2" s="41" t="s">
        <v>1699</v>
      </c>
      <c r="H2" s="42"/>
      <c r="I2" s="2" t="s">
        <v>1698</v>
      </c>
    </row>
    <row r="3" spans="1:15" ht="15.75" x14ac:dyDescent="0.25">
      <c r="B3" s="34"/>
      <c r="C3" s="3">
        <f>'1.1'!$C$3</f>
        <v>0</v>
      </c>
      <c r="D3" s="2"/>
      <c r="E3" s="2"/>
      <c r="F3" s="2"/>
      <c r="G3" s="2"/>
      <c r="H3" s="2"/>
      <c r="I3" s="2"/>
    </row>
    <row r="4" spans="1:15" ht="15.75" x14ac:dyDescent="0.25">
      <c r="B4" s="34" t="s">
        <v>1697</v>
      </c>
      <c r="C4" s="3"/>
      <c r="D4" s="2"/>
      <c r="E4" s="2"/>
      <c r="F4" s="2"/>
      <c r="G4" s="2"/>
      <c r="H4" s="2"/>
      <c r="I4" s="2"/>
    </row>
    <row r="5" spans="1:15" x14ac:dyDescent="0.25">
      <c r="A5" s="104">
        <v>2</v>
      </c>
      <c r="B5" s="2" t="s">
        <v>1586</v>
      </c>
      <c r="C5" s="36" t="s">
        <v>1707</v>
      </c>
      <c r="D5" s="2"/>
      <c r="G5" s="2" t="s">
        <v>1696</v>
      </c>
      <c r="H5" s="3" t="s">
        <v>901</v>
      </c>
      <c r="I5" s="2"/>
    </row>
    <row r="6" spans="1:15" x14ac:dyDescent="0.25">
      <c r="B6" s="1" t="s">
        <v>1585</v>
      </c>
      <c r="C6" s="36" t="s">
        <v>110</v>
      </c>
      <c r="D6" s="2"/>
      <c r="E6" s="2"/>
      <c r="F6" s="2"/>
      <c r="G6" s="2"/>
      <c r="H6" s="2"/>
      <c r="I6" s="2"/>
    </row>
    <row r="7" spans="1:15" ht="15.75" thickBot="1" x14ac:dyDescent="0.3">
      <c r="D7" s="2"/>
      <c r="E7" s="2"/>
      <c r="F7" s="2"/>
      <c r="G7" s="2"/>
      <c r="H7" s="2"/>
      <c r="I7" s="2"/>
    </row>
    <row r="8" spans="1:15" ht="15.75" thickBot="1" x14ac:dyDescent="0.3">
      <c r="B8" s="43" t="s">
        <v>1695</v>
      </c>
      <c r="C8" s="44"/>
      <c r="D8" s="44"/>
      <c r="E8" s="44"/>
      <c r="F8" s="44"/>
      <c r="G8" s="44"/>
      <c r="H8" s="45"/>
      <c r="I8" s="2"/>
    </row>
    <row r="9" spans="1:15" ht="25.5" x14ac:dyDescent="0.25">
      <c r="B9" s="46" t="s">
        <v>1409</v>
      </c>
      <c r="C9" s="47"/>
      <c r="D9" s="48" t="s">
        <v>1690</v>
      </c>
      <c r="E9" s="48" t="s">
        <v>1694</v>
      </c>
      <c r="F9" s="48" t="s">
        <v>1693</v>
      </c>
      <c r="G9" s="49" t="s">
        <v>1687</v>
      </c>
      <c r="H9" s="50" t="s">
        <v>1686</v>
      </c>
      <c r="I9" s="2"/>
    </row>
    <row r="10" spans="1:15" x14ac:dyDescent="0.25">
      <c r="A10" s="103">
        <v>19015</v>
      </c>
      <c r="B10" s="51" t="str">
        <f>IF($A10=0,"",VLOOKUP($A10,'BASE EQUIPO'!$A:$D,2))</f>
        <v>HERRAMIENTA MENOR</v>
      </c>
      <c r="C10" s="52"/>
      <c r="D10" s="53">
        <v>1</v>
      </c>
      <c r="E10" s="53">
        <f>IF($A10=0,"",VLOOKUP($A10,'BASE EQUIPO'!$A:$D,4)*H26)</f>
        <v>2.1299999999999999E-2</v>
      </c>
      <c r="F10" s="53">
        <f t="shared" ref="F10:F15" si="0">IF($A10=0,"",ROUND(D10*E10,2))</f>
        <v>0.02</v>
      </c>
      <c r="G10" s="105">
        <v>1</v>
      </c>
      <c r="H10" s="54">
        <f t="shared" ref="H10:H15" si="1">IF($A10=0,"",ROUND(G10*F10,2))</f>
        <v>0.02</v>
      </c>
      <c r="I10" s="2"/>
    </row>
    <row r="11" spans="1:15" x14ac:dyDescent="0.25">
      <c r="A11" s="103">
        <v>19011</v>
      </c>
      <c r="B11" s="38" t="str">
        <f>IF($A11=0,"",VLOOKUP($A11,'BASE EQUIPO'!$A:$D,2))</f>
        <v>SOLDADORA</v>
      </c>
      <c r="C11" s="2"/>
      <c r="D11" s="55">
        <v>1</v>
      </c>
      <c r="E11" s="55">
        <f>IF($A11=0,"",VLOOKUP($A11,'BASE EQUIPO'!$A:$D,4))</f>
        <v>2.5</v>
      </c>
      <c r="F11" s="55">
        <f t="shared" si="0"/>
        <v>2.5</v>
      </c>
      <c r="G11" s="106">
        <f>ROUND(G20*0.25,3)</f>
        <v>1.2999999999999999E-2</v>
      </c>
      <c r="H11" s="56">
        <f t="shared" si="1"/>
        <v>0.03</v>
      </c>
      <c r="I11" s="2"/>
    </row>
    <row r="12" spans="1:15" x14ac:dyDescent="0.25">
      <c r="A12" s="103">
        <v>19023</v>
      </c>
      <c r="B12" s="38" t="str">
        <f>IF($A12=0,"",VLOOKUP($A12,'BASE EQUIPO'!$A:$D,2))</f>
        <v>COMPRESOR Y PISTOLA</v>
      </c>
      <c r="C12" s="2"/>
      <c r="D12" s="55">
        <v>1</v>
      </c>
      <c r="E12" s="55">
        <f>IF($A12=0,"",VLOOKUP($A12,'BASE EQUIPO'!$A:$D,4))</f>
        <v>1.875</v>
      </c>
      <c r="F12" s="55">
        <f t="shared" si="0"/>
        <v>1.88</v>
      </c>
      <c r="G12" s="106">
        <f>+G11</f>
        <v>1.2999999999999999E-2</v>
      </c>
      <c r="H12" s="56">
        <f t="shared" si="1"/>
        <v>0.02</v>
      </c>
      <c r="I12" s="2"/>
    </row>
    <row r="13" spans="1:15" x14ac:dyDescent="0.25">
      <c r="B13" s="38" t="str">
        <f>IF($A13=0,"",VLOOKUP($A13,'BASE EQUIPO'!$A:$D,2))</f>
        <v/>
      </c>
      <c r="C13" s="2"/>
      <c r="D13" s="55"/>
      <c r="E13" s="55" t="str">
        <f>IF($A13=0,"",VLOOKUP($A13,'BASE EQUIPO'!$A:$D,4))</f>
        <v/>
      </c>
      <c r="F13" s="55" t="str">
        <f t="shared" si="0"/>
        <v/>
      </c>
      <c r="G13" s="106"/>
      <c r="H13" s="56" t="str">
        <f t="shared" si="1"/>
        <v/>
      </c>
      <c r="I13" s="2"/>
    </row>
    <row r="14" spans="1:15" x14ac:dyDescent="0.25">
      <c r="B14" s="38" t="str">
        <f>IF($A14=0,"",VLOOKUP($A14,'BASE EQUIPO'!$A:$D,2))</f>
        <v/>
      </c>
      <c r="C14" s="2"/>
      <c r="D14" s="55"/>
      <c r="E14" s="55" t="str">
        <f>IF($A14=0,"",VLOOKUP($A14,'BASE EQUIPO'!$A:$D,4))</f>
        <v/>
      </c>
      <c r="F14" s="55" t="str">
        <f t="shared" si="0"/>
        <v/>
      </c>
      <c r="G14" s="106"/>
      <c r="H14" s="56" t="str">
        <f t="shared" si="1"/>
        <v/>
      </c>
      <c r="I14" s="2"/>
    </row>
    <row r="15" spans="1:15" x14ac:dyDescent="0.25">
      <c r="B15" s="57" t="str">
        <f>IF($A15=0,"",VLOOKUP($A15,'BASE EQUIPO'!$A:$D,2))</f>
        <v/>
      </c>
      <c r="C15" s="58"/>
      <c r="D15" s="59"/>
      <c r="E15" s="59" t="str">
        <f>IF($A15=0,"",VLOOKUP($A15,'BASE EQUIPO'!$A:$D,4))</f>
        <v/>
      </c>
      <c r="F15" s="59" t="str">
        <f t="shared" si="0"/>
        <v/>
      </c>
      <c r="G15" s="107"/>
      <c r="H15" s="60" t="str">
        <f t="shared" si="1"/>
        <v/>
      </c>
      <c r="I15" s="2"/>
    </row>
    <row r="16" spans="1:15" x14ac:dyDescent="0.25">
      <c r="B16" s="57" t="s">
        <v>1692</v>
      </c>
      <c r="C16" s="58"/>
      <c r="D16" s="61"/>
      <c r="E16" s="61"/>
      <c r="F16" s="61"/>
      <c r="G16" s="62"/>
      <c r="H16" s="60">
        <f>ROUND(SUM(H9:H15),2)</f>
        <v>7.0000000000000007E-2</v>
      </c>
      <c r="I16" s="2"/>
    </row>
    <row r="17" spans="1:16" x14ac:dyDescent="0.25">
      <c r="B17" s="38" t="s">
        <v>1503</v>
      </c>
      <c r="C17" s="2"/>
      <c r="D17" s="3"/>
      <c r="E17" s="3"/>
      <c r="F17" s="3"/>
      <c r="G17" s="63"/>
      <c r="H17" s="56"/>
      <c r="I17" s="2"/>
    </row>
    <row r="18" spans="1:16" ht="25.5" x14ac:dyDescent="0.25">
      <c r="B18" s="64" t="s">
        <v>1691</v>
      </c>
      <c r="C18" s="65"/>
      <c r="D18" s="66" t="s">
        <v>1690</v>
      </c>
      <c r="E18" s="66" t="s">
        <v>1689</v>
      </c>
      <c r="F18" s="66" t="s">
        <v>1688</v>
      </c>
      <c r="G18" s="67" t="s">
        <v>1687</v>
      </c>
      <c r="H18" s="68" t="s">
        <v>1686</v>
      </c>
      <c r="I18" s="2"/>
    </row>
    <row r="19" spans="1:16" x14ac:dyDescent="0.25">
      <c r="B19" s="69" t="str">
        <f>IF($A19=0,"",VLOOKUP($A19,'BASE M-OBRA'!$A:$D,2))</f>
        <v/>
      </c>
      <c r="C19" s="2"/>
      <c r="D19" s="108"/>
      <c r="E19" s="70" t="str">
        <f>IF($A19=0,"",VLOOKUP($A19,'BASE M-OBRA'!$A:$D,4))</f>
        <v/>
      </c>
      <c r="F19" s="55" t="str">
        <f t="shared" ref="F19:F25" si="2">IF($A19=0,"",ROUND(D19*E19,2))</f>
        <v/>
      </c>
      <c r="G19" s="106" t="str">
        <f>IF($A19=0,"",ROUND(H19/F19,2))</f>
        <v/>
      </c>
      <c r="H19" s="56" t="str">
        <f>IF($A19=0,"",ROUND(SUM(H20:H25)*'BASE M-OBRA'!$D$23,2))</f>
        <v/>
      </c>
      <c r="I19" s="2"/>
    </row>
    <row r="20" spans="1:16" x14ac:dyDescent="0.25">
      <c r="A20" s="103">
        <v>20006</v>
      </c>
      <c r="B20" s="69" t="str">
        <f>IF($A20=0,"",VLOOKUP($A20,'BASE M-OBRA'!$A:$D,2))</f>
        <v>MAESTRO  SOLDADOR</v>
      </c>
      <c r="C20" s="2"/>
      <c r="D20" s="108">
        <v>1</v>
      </c>
      <c r="E20" s="70">
        <f>IF($A20=0,"",VLOOKUP($A20,'BASE M-OBRA'!$A:$D,4))</f>
        <v>3.02</v>
      </c>
      <c r="F20" s="55">
        <f t="shared" si="2"/>
        <v>3.02</v>
      </c>
      <c r="G20" s="106">
        <v>5.0999999999999997E-2</v>
      </c>
      <c r="H20" s="56">
        <f t="shared" ref="H20:H25" si="3">IF($A20=0,"",ROUND(G20*F20,2))</f>
        <v>0.15</v>
      </c>
      <c r="I20" s="2"/>
    </row>
    <row r="21" spans="1:16" x14ac:dyDescent="0.25">
      <c r="A21" s="103">
        <v>20011</v>
      </c>
      <c r="B21" s="69" t="str">
        <f>IF($A21=0,"",VLOOKUP($A21,'BASE M-OBRA'!$A:$D,2))</f>
        <v>AYUDANTE ESPECIALISTA</v>
      </c>
      <c r="C21" s="2"/>
      <c r="D21" s="108">
        <v>2</v>
      </c>
      <c r="E21" s="70">
        <f>IF($A21=0,"",VLOOKUP($A21,'BASE M-OBRA'!$A:$D,4))</f>
        <v>2.79</v>
      </c>
      <c r="F21" s="55">
        <f t="shared" si="2"/>
        <v>5.58</v>
      </c>
      <c r="G21" s="106">
        <f>+G20</f>
        <v>5.0999999999999997E-2</v>
      </c>
      <c r="H21" s="56">
        <f t="shared" si="3"/>
        <v>0.28000000000000003</v>
      </c>
      <c r="I21" s="2"/>
    </row>
    <row r="22" spans="1:16" x14ac:dyDescent="0.25">
      <c r="A22" s="103">
        <v>20018</v>
      </c>
      <c r="B22" s="71" t="str">
        <f>IF($A22=0,"",VLOOKUP($A22,'BASE M-OBRA'!$A:$D,2))</f>
        <v>PINTOR</v>
      </c>
      <c r="C22" s="2"/>
      <c r="D22" s="108">
        <v>1</v>
      </c>
      <c r="E22" s="70">
        <f>IF($A22=0,"",VLOOKUP($A22,'BASE M-OBRA'!$A:$D,4))</f>
        <v>2.82</v>
      </c>
      <c r="F22" s="55">
        <f t="shared" si="2"/>
        <v>2.82</v>
      </c>
      <c r="G22" s="106">
        <f>+G21</f>
        <v>5.0999999999999997E-2</v>
      </c>
      <c r="H22" s="56">
        <f t="shared" si="3"/>
        <v>0.14000000000000001</v>
      </c>
      <c r="I22" s="2"/>
      <c r="K22" s="1">
        <f>3*2.9</f>
        <v>8.6999999999999993</v>
      </c>
    </row>
    <row r="23" spans="1:16" x14ac:dyDescent="0.25">
      <c r="A23" s="103">
        <v>20011</v>
      </c>
      <c r="B23" s="72" t="str">
        <f>IF($A23=0,"",VLOOKUP($A23,'BASE M-OBRA'!$A:$D,2))</f>
        <v>AYUDANTE ESPECIALISTA</v>
      </c>
      <c r="C23" s="2"/>
      <c r="D23" s="108">
        <v>1</v>
      </c>
      <c r="E23" s="70">
        <f>IF($A23=0,"",VLOOKUP($A23,'BASE M-OBRA'!$A:$D,4))</f>
        <v>2.79</v>
      </c>
      <c r="F23" s="55">
        <f t="shared" si="2"/>
        <v>2.79</v>
      </c>
      <c r="G23" s="106">
        <f>+G22</f>
        <v>5.0999999999999997E-2</v>
      </c>
      <c r="H23" s="56">
        <f t="shared" si="3"/>
        <v>0.14000000000000001</v>
      </c>
      <c r="I23" s="2"/>
      <c r="K23" s="1">
        <f>70*0.15</f>
        <v>10.5</v>
      </c>
    </row>
    <row r="24" spans="1:16" x14ac:dyDescent="0.25">
      <c r="B24" s="38" t="str">
        <f>IF($A24=0,"",VLOOKUP($A24,'BASE M-OBRA'!$A:$D,2))</f>
        <v/>
      </c>
      <c r="C24" s="2"/>
      <c r="D24" s="55"/>
      <c r="E24" s="55" t="str">
        <f>IF($A24=0,"",VLOOKUP($A24,'BASE M-OBRA'!$A:$D,4))</f>
        <v/>
      </c>
      <c r="F24" s="55" t="str">
        <f t="shared" si="2"/>
        <v/>
      </c>
      <c r="G24" s="106"/>
      <c r="H24" s="56" t="str">
        <f t="shared" si="3"/>
        <v/>
      </c>
      <c r="I24" s="2"/>
    </row>
    <row r="25" spans="1:16" x14ac:dyDescent="0.25">
      <c r="B25" s="57" t="str">
        <f>IF($A25=0,"",VLOOKUP($A25,'BASE M-OBRA'!$A:$D,2))</f>
        <v/>
      </c>
      <c r="C25" s="58"/>
      <c r="D25" s="59"/>
      <c r="E25" s="59" t="str">
        <f>IF($A25=0,"",VLOOKUP($A25,'BASE M-OBRA'!$A:$D,4))</f>
        <v/>
      </c>
      <c r="F25" s="59" t="str">
        <f t="shared" si="2"/>
        <v/>
      </c>
      <c r="G25" s="107"/>
      <c r="H25" s="60" t="str">
        <f t="shared" si="3"/>
        <v/>
      </c>
      <c r="I25" s="2"/>
    </row>
    <row r="26" spans="1:16" x14ac:dyDescent="0.25">
      <c r="B26" s="73" t="s">
        <v>1685</v>
      </c>
      <c r="C26" s="65"/>
      <c r="D26" s="74"/>
      <c r="E26" s="74"/>
      <c r="F26" s="74"/>
      <c r="G26" s="74"/>
      <c r="H26" s="75">
        <f>ROUND(SUM(H18:H25),2)</f>
        <v>0.71</v>
      </c>
      <c r="I26" s="2"/>
    </row>
    <row r="27" spans="1:16" x14ac:dyDescent="0.25">
      <c r="B27" s="38" t="s">
        <v>1684</v>
      </c>
      <c r="C27" s="2"/>
      <c r="D27" s="3"/>
      <c r="E27" s="3"/>
      <c r="F27" s="3"/>
      <c r="G27" s="3"/>
      <c r="H27" s="56"/>
      <c r="I27" s="2"/>
    </row>
    <row r="28" spans="1:16" ht="25.5" x14ac:dyDescent="0.25">
      <c r="B28" s="64" t="s">
        <v>1409</v>
      </c>
      <c r="C28" s="65"/>
      <c r="D28" s="76"/>
      <c r="E28" s="66" t="s">
        <v>1408</v>
      </c>
      <c r="F28" s="66" t="s">
        <v>1679</v>
      </c>
      <c r="G28" s="66" t="s">
        <v>1683</v>
      </c>
      <c r="H28" s="68" t="s">
        <v>1675</v>
      </c>
      <c r="I28" s="2"/>
    </row>
    <row r="29" spans="1:16" x14ac:dyDescent="0.25">
      <c r="A29" s="103">
        <v>14002</v>
      </c>
      <c r="B29" s="37" t="str">
        <f>IF($A29=0,"",VLOOKUP($A29,'BASE MATERIAL'!$A:$D,2))</f>
        <v>SOLDADURA aga 60/11</v>
      </c>
      <c r="C29" s="2"/>
      <c r="D29" s="77"/>
      <c r="E29" s="78" t="str">
        <f>IF($A29=0,"",VLOOKUP($A29,'BASE MATERIAL'!$A:$D,3))</f>
        <v>KG</v>
      </c>
      <c r="F29" s="80">
        <f>ROUND(0.044*F30,4)</f>
        <v>4.6199999999999998E-2</v>
      </c>
      <c r="G29" s="55">
        <f>IF($A29=0,"",VLOOKUP($A29,'BASE MATERIAL'!$A:$D,4))</f>
        <v>3.65</v>
      </c>
      <c r="H29" s="56">
        <f t="shared" ref="H29:H43" si="4">IF($A29=0,"",ROUND(F29*G29,2))</f>
        <v>0.17</v>
      </c>
      <c r="I29" s="2"/>
      <c r="L29" s="2"/>
      <c r="M29" s="2"/>
      <c r="N29" s="39"/>
      <c r="O29" s="2"/>
      <c r="P29" s="2"/>
    </row>
    <row r="30" spans="1:16" x14ac:dyDescent="0.25">
      <c r="A30" s="103">
        <v>1004</v>
      </c>
      <c r="B30" s="38" t="str">
        <f>IF($A30=0,"",VLOOKUP($A30,'BASE MATERIAL'!$A:$D,2))</f>
        <v>PERFILERIA METALICA</v>
      </c>
      <c r="C30" s="2"/>
      <c r="D30" s="77"/>
      <c r="E30" s="78" t="str">
        <f>IF($A30=0,"",VLOOKUP($A30,'BASE MATERIAL'!$A:$D,3))</f>
        <v>KG</v>
      </c>
      <c r="F30" s="80">
        <v>1.05</v>
      </c>
      <c r="G30" s="55">
        <f>IF($A30=0,"",VLOOKUP($A30,'BASE MATERIAL'!$A:$D,4))</f>
        <v>1.27</v>
      </c>
      <c r="H30" s="56">
        <f t="shared" si="4"/>
        <v>1.33</v>
      </c>
      <c r="I30" s="2"/>
      <c r="L30" s="2"/>
      <c r="M30" s="2"/>
      <c r="N30" s="39"/>
      <c r="O30" s="2"/>
      <c r="P30" s="2"/>
    </row>
    <row r="31" spans="1:16" x14ac:dyDescent="0.25">
      <c r="A31" s="103">
        <v>13001</v>
      </c>
      <c r="B31" s="38" t="str">
        <f>IF($A31=0,"",VLOOKUP($A31,'BASE MATERIAL'!$A:$D,2))</f>
        <v>PINTURA PARA PROTECCION METALICA</v>
      </c>
      <c r="C31" s="2"/>
      <c r="D31" s="77"/>
      <c r="E31" s="78" t="str">
        <f>IF($A31=0,"",VLOOKUP($A31,'BASE MATERIAL'!$A:$D,3))</f>
        <v>GL</v>
      </c>
      <c r="F31" s="80">
        <f>ROUND(0.0056*F30,4)</f>
        <v>5.8999999999999999E-3</v>
      </c>
      <c r="G31" s="55">
        <f>IF($A31=0,"",VLOOKUP($A31,'BASE MATERIAL'!$A:$D,4))</f>
        <v>37.72</v>
      </c>
      <c r="H31" s="56">
        <f t="shared" si="4"/>
        <v>0.22</v>
      </c>
      <c r="I31" s="2"/>
      <c r="L31" s="2"/>
      <c r="M31" s="2"/>
      <c r="N31" s="39"/>
      <c r="O31" s="2"/>
      <c r="P31" s="2"/>
    </row>
    <row r="32" spans="1:16" x14ac:dyDescent="0.25">
      <c r="A32" s="103">
        <v>13002</v>
      </c>
      <c r="B32" s="38" t="str">
        <f>IF($A32=0,"",VLOOKUP($A32,'BASE MATERIAL'!$A:$D,2))</f>
        <v>PINTURA PARA ACABADO METALICO</v>
      </c>
      <c r="C32" s="2"/>
      <c r="D32" s="77"/>
      <c r="E32" s="78" t="str">
        <f>IF($A32=0,"",VLOOKUP($A32,'BASE MATERIAL'!$A:$D,3))</f>
        <v>GL</v>
      </c>
      <c r="F32" s="80">
        <f>ROUND(0.0028*F30,4)</f>
        <v>2.8999999999999998E-3</v>
      </c>
      <c r="G32" s="55">
        <f>IF($A32=0,"",VLOOKUP($A32,'BASE MATERIAL'!$A:$D,4))</f>
        <v>38.520000000000003</v>
      </c>
      <c r="H32" s="56">
        <f t="shared" si="4"/>
        <v>0.11</v>
      </c>
      <c r="I32" s="2"/>
      <c r="L32" s="2"/>
      <c r="M32" s="2"/>
      <c r="N32" s="39"/>
      <c r="O32" s="2"/>
      <c r="P32" s="2"/>
    </row>
    <row r="33" spans="1:16" x14ac:dyDescent="0.25">
      <c r="A33" s="103">
        <v>13011</v>
      </c>
      <c r="B33" s="38" t="str">
        <f>IF($A33=0,"",VLOOKUP($A33,'BASE MATERIAL'!$A:$D,2))</f>
        <v>DESOXIDANTE</v>
      </c>
      <c r="C33" s="2"/>
      <c r="D33" s="77"/>
      <c r="E33" s="78" t="str">
        <f>IF($A33=0,"",VLOOKUP($A33,'BASE MATERIAL'!$A:$D,3))</f>
        <v>GL</v>
      </c>
      <c r="F33" s="80">
        <f>ROUND(0.2*(F31+F32),4)</f>
        <v>1.8E-3</v>
      </c>
      <c r="G33" s="55">
        <f>IF($A33=0,"",VLOOKUP($A33,'BASE MATERIAL'!$A:$D,4))</f>
        <v>12</v>
      </c>
      <c r="H33" s="56">
        <f t="shared" si="4"/>
        <v>0.02</v>
      </c>
      <c r="I33" s="2"/>
      <c r="L33" s="2"/>
      <c r="M33" s="2"/>
      <c r="N33" s="39"/>
      <c r="O33" s="2"/>
      <c r="P33" s="2"/>
    </row>
    <row r="34" spans="1:16" x14ac:dyDescent="0.25">
      <c r="B34" s="38" t="str">
        <f>IF($A34=0,"",VLOOKUP($A34,'BASE MATERIAL'!$A:$D,2))</f>
        <v/>
      </c>
      <c r="C34" s="2"/>
      <c r="D34" s="77"/>
      <c r="E34" s="78" t="str">
        <f>IF($A34=0,"",VLOOKUP($A34,'BASE MATERIAL'!$A:$D,3))</f>
        <v/>
      </c>
      <c r="F34" s="55"/>
      <c r="G34" s="55" t="str">
        <f>IF($A34=0,"",VLOOKUP($A34,'BASE MATERIAL'!$A:$D,4))</f>
        <v/>
      </c>
      <c r="H34" s="56" t="str">
        <f t="shared" si="4"/>
        <v/>
      </c>
      <c r="I34" s="2"/>
      <c r="L34" s="2"/>
      <c r="M34" s="2"/>
      <c r="N34" s="39"/>
      <c r="O34" s="2"/>
      <c r="P34" s="2"/>
    </row>
    <row r="35" spans="1:16" x14ac:dyDescent="0.25">
      <c r="B35" s="38" t="str">
        <f>IF($A35=0,"",VLOOKUP($A35,'BASE MATERIAL'!$A:$D,2))</f>
        <v/>
      </c>
      <c r="C35" s="2"/>
      <c r="D35" s="77"/>
      <c r="E35" s="78" t="str">
        <f>IF($A35=0,"",VLOOKUP($A35,'BASE MATERIAL'!$A:$D,3))</f>
        <v/>
      </c>
      <c r="F35" s="55"/>
      <c r="G35" s="55" t="str">
        <f>IF($A35=0,"",VLOOKUP($A35,'BASE MATERIAL'!$A:$D,4))</f>
        <v/>
      </c>
      <c r="H35" s="56" t="str">
        <f t="shared" si="4"/>
        <v/>
      </c>
      <c r="I35" s="2"/>
      <c r="L35" s="2"/>
      <c r="M35" s="2"/>
      <c r="N35" s="39"/>
      <c r="O35" s="2"/>
      <c r="P35" s="2"/>
    </row>
    <row r="36" spans="1:16" x14ac:dyDescent="0.25">
      <c r="B36" s="38" t="str">
        <f>IF($A36=0,"",VLOOKUP($A36,'BASE MATERIAL'!$A:$D,2))</f>
        <v/>
      </c>
      <c r="C36" s="2"/>
      <c r="D36" s="77"/>
      <c r="E36" s="78" t="str">
        <f>IF($A36=0,"",VLOOKUP($A36,'BASE MATERIAL'!$A:$D,3))</f>
        <v/>
      </c>
      <c r="F36" s="55"/>
      <c r="G36" s="55" t="str">
        <f>IF($A36=0,"",VLOOKUP($A36,'BASE MATERIAL'!$A:$D,4))</f>
        <v/>
      </c>
      <c r="H36" s="56" t="str">
        <f t="shared" si="4"/>
        <v/>
      </c>
      <c r="I36" s="2"/>
      <c r="L36" s="2"/>
      <c r="M36" s="2"/>
      <c r="N36" s="39"/>
      <c r="O36" s="2"/>
      <c r="P36" s="2"/>
    </row>
    <row r="37" spans="1:16" x14ac:dyDescent="0.25">
      <c r="B37" s="38" t="str">
        <f>IF($A37=0,"",VLOOKUP($A37,'BASE MATERIAL'!$A:$D,2))</f>
        <v/>
      </c>
      <c r="C37" s="2"/>
      <c r="D37" s="77"/>
      <c r="E37" s="78" t="str">
        <f>IF($A37=0,"",VLOOKUP($A37,'BASE MATERIAL'!$A:$D,3))</f>
        <v/>
      </c>
      <c r="F37" s="55"/>
      <c r="G37" s="80" t="str">
        <f>IF($A37=0,"",VLOOKUP($A37,'BASE MATERIAL'!$A:$D,4))</f>
        <v/>
      </c>
      <c r="H37" s="56" t="str">
        <f t="shared" si="4"/>
        <v/>
      </c>
      <c r="I37" s="2"/>
    </row>
    <row r="38" spans="1:16" x14ac:dyDescent="0.25">
      <c r="B38" s="38" t="str">
        <f>IF($A38=0,"",VLOOKUP($A38,'BASE MATERIAL'!$A:$D,2))</f>
        <v/>
      </c>
      <c r="C38" s="2"/>
      <c r="D38" s="77"/>
      <c r="E38" s="78" t="str">
        <f>IF($A38=0,"",VLOOKUP($A38,'BASE MATERIAL'!$A:$D,3))</f>
        <v/>
      </c>
      <c r="F38" s="55"/>
      <c r="G38" s="80" t="str">
        <f>IF($A38=0,"",VLOOKUP($A38,'BASE MATERIAL'!$A:$D,4))</f>
        <v/>
      </c>
      <c r="H38" s="56" t="str">
        <f t="shared" si="4"/>
        <v/>
      </c>
      <c r="I38" s="2"/>
      <c r="L38" s="2"/>
      <c r="M38" s="2"/>
      <c r="N38" s="39"/>
      <c r="O38" s="2"/>
      <c r="P38" s="2"/>
    </row>
    <row r="39" spans="1:16" x14ac:dyDescent="0.25">
      <c r="B39" s="38" t="str">
        <f>IF($A39=0,"",VLOOKUP($A39,'BASE MATERIAL'!$A:$D,2))</f>
        <v/>
      </c>
      <c r="C39" s="2"/>
      <c r="D39" s="77"/>
      <c r="E39" s="78" t="str">
        <f>IF($A39=0,"",VLOOKUP($A39,'BASE MATERIAL'!$A:$D,3))</f>
        <v/>
      </c>
      <c r="F39" s="55"/>
      <c r="G39" s="55" t="str">
        <f>IF($A39=0,"",VLOOKUP($A39,'BASE MATERIAL'!$A:$D,4))</f>
        <v/>
      </c>
      <c r="H39" s="56" t="str">
        <f t="shared" si="4"/>
        <v/>
      </c>
      <c r="I39" s="2"/>
      <c r="L39" s="2"/>
      <c r="M39" s="2"/>
      <c r="N39" s="39"/>
      <c r="O39" s="2"/>
      <c r="P39" s="2"/>
    </row>
    <row r="40" spans="1:16" x14ac:dyDescent="0.25">
      <c r="B40" s="38" t="str">
        <f>IF($A40=0,"",VLOOKUP($A40,'BASE MATERIAL'!$A:$D,2))</f>
        <v/>
      </c>
      <c r="C40" s="2"/>
      <c r="D40" s="77"/>
      <c r="E40" s="78" t="str">
        <f>IF($A40=0,"",VLOOKUP($A40,'BASE MATERIAL'!$A:$D,3))</f>
        <v/>
      </c>
      <c r="F40" s="55"/>
      <c r="G40" s="55" t="str">
        <f>IF($A40=0,"",VLOOKUP($A40,'BASE MATERIAL'!$A:$D,4))</f>
        <v/>
      </c>
      <c r="H40" s="56" t="str">
        <f t="shared" si="4"/>
        <v/>
      </c>
      <c r="I40" s="2"/>
    </row>
    <row r="41" spans="1:16" x14ac:dyDescent="0.25">
      <c r="B41" s="38" t="str">
        <f>IF($A41=0,"",VLOOKUP($A41,'BASE MATERIAL'!$A:$D,2))</f>
        <v/>
      </c>
      <c r="C41" s="2"/>
      <c r="D41" s="77"/>
      <c r="E41" s="78" t="str">
        <f>IF($A41=0,"",VLOOKUP($A41,'BASE MATERIAL'!$A:$D,3))</f>
        <v/>
      </c>
      <c r="F41" s="55"/>
      <c r="G41" s="55" t="str">
        <f>IF($A41=0,"",VLOOKUP($A41,'BASE MATERIAL'!$A:$D,4))</f>
        <v/>
      </c>
      <c r="H41" s="56" t="str">
        <f t="shared" si="4"/>
        <v/>
      </c>
      <c r="I41" s="2"/>
    </row>
    <row r="42" spans="1:16" x14ac:dyDescent="0.25">
      <c r="B42" s="38" t="str">
        <f>IF($A42=0,"",VLOOKUP($A42,'BASE MATERIAL'!$A:$D,2))</f>
        <v/>
      </c>
      <c r="C42" s="2"/>
      <c r="D42" s="77"/>
      <c r="E42" s="78" t="str">
        <f>IF($A42=0,"",VLOOKUP($A42,'BASE MATERIAL'!$A:$D,3))</f>
        <v/>
      </c>
      <c r="F42" s="55"/>
      <c r="G42" s="55" t="str">
        <f>IF($A42=0,"",VLOOKUP($A42,'BASE MATERIAL'!$A:$D,4))</f>
        <v/>
      </c>
      <c r="H42" s="56" t="str">
        <f t="shared" si="4"/>
        <v/>
      </c>
      <c r="I42" s="2"/>
    </row>
    <row r="43" spans="1:16" x14ac:dyDescent="0.25">
      <c r="B43" s="38" t="str">
        <f>IF($A43=0,"",VLOOKUP($A43,'BASE MATERIAL'!$A:$D,2))</f>
        <v/>
      </c>
      <c r="C43" s="2"/>
      <c r="D43" s="77"/>
      <c r="E43" s="78" t="str">
        <f>IF($A43=0,"",VLOOKUP($A43,'BASE MATERIAL'!$A:$D,3))</f>
        <v/>
      </c>
      <c r="F43" s="55"/>
      <c r="G43" s="55" t="str">
        <f>IF($A43=0,"",VLOOKUP($A43,'BASE MATERIAL'!$A:$D,4))</f>
        <v/>
      </c>
      <c r="H43" s="56" t="str">
        <f t="shared" si="4"/>
        <v/>
      </c>
      <c r="I43" s="2"/>
    </row>
    <row r="44" spans="1:16" x14ac:dyDescent="0.25">
      <c r="B44" s="38" t="str">
        <f>IF($A44=0,"",VLOOKUP($A44,'BASE MATERIAL'!$A:$D,2))</f>
        <v/>
      </c>
      <c r="C44" s="2"/>
      <c r="D44" s="81" t="s">
        <v>1682</v>
      </c>
      <c r="E44" s="55" t="str">
        <f>IF($A44=0,"",VLOOKUP($A44,'BASE MATERIAL'!$A:$D,3))</f>
        <v/>
      </c>
      <c r="F44" s="55" t="s">
        <v>1682</v>
      </c>
      <c r="G44" s="55" t="str">
        <f>IF($A44=0,"",VLOOKUP($A44,'BASE MATERIAL'!$A:$D,4))</f>
        <v/>
      </c>
      <c r="H44" s="56" t="str">
        <f>IF($A44=0,"",ROUND(E44*F44,2))</f>
        <v/>
      </c>
      <c r="I44" s="2"/>
    </row>
    <row r="45" spans="1:16" x14ac:dyDescent="0.25">
      <c r="B45" s="73" t="s">
        <v>1681</v>
      </c>
      <c r="C45" s="65"/>
      <c r="D45" s="74"/>
      <c r="E45" s="74"/>
      <c r="F45" s="74"/>
      <c r="G45" s="74"/>
      <c r="H45" s="75">
        <f>ROUND(SUM(H28:H44),2)</f>
        <v>1.85</v>
      </c>
      <c r="I45" s="2"/>
    </row>
    <row r="46" spans="1:16" x14ac:dyDescent="0.25">
      <c r="B46" s="38" t="s">
        <v>1680</v>
      </c>
      <c r="C46" s="2"/>
      <c r="D46" s="3"/>
      <c r="E46" s="3"/>
      <c r="F46" s="3"/>
      <c r="G46" s="3"/>
      <c r="H46" s="56"/>
      <c r="I46" s="2"/>
    </row>
    <row r="47" spans="1:16" ht="25.5" x14ac:dyDescent="0.25">
      <c r="B47" s="64" t="s">
        <v>1409</v>
      </c>
      <c r="C47" s="65"/>
      <c r="D47" s="76"/>
      <c r="E47" s="66" t="s">
        <v>1408</v>
      </c>
      <c r="F47" s="66" t="s">
        <v>1679</v>
      </c>
      <c r="G47" s="66" t="s">
        <v>1676</v>
      </c>
      <c r="H47" s="68" t="s">
        <v>1675</v>
      </c>
      <c r="I47" s="2"/>
    </row>
    <row r="48" spans="1:16" x14ac:dyDescent="0.25">
      <c r="A48" s="103">
        <v>19019</v>
      </c>
      <c r="B48" s="51" t="str">
        <f>IF($A48=0,"",VLOOKUP($A48,'BASE EQUIPO'!$A:$D,2))</f>
        <v>TRANSPORTE DE MATERIAL</v>
      </c>
      <c r="C48" s="52"/>
      <c r="D48" s="82"/>
      <c r="E48" s="78" t="str">
        <f>IF($A48=0,"",VLOOKUP($A48,'BASE EQUIPO'!$A:$D,3))</f>
        <v>GLOBAL</v>
      </c>
      <c r="F48" s="55">
        <v>1</v>
      </c>
      <c r="G48" s="83">
        <f>IF($A48=0,"",VLOOKUP($A48,'BASE EQUIPO'!$A:$D,4)*H45)</f>
        <v>5.5500000000000001E-2</v>
      </c>
      <c r="H48" s="56">
        <f>IF($A48=0,"",ROUND(F48*G48,2))</f>
        <v>0.06</v>
      </c>
      <c r="I48" s="2"/>
    </row>
    <row r="49" spans="1:15" x14ac:dyDescent="0.25">
      <c r="B49" s="38" t="str">
        <f>IF($A49=0,"",VLOOKUP($A49,'BASE EQUIPO'!$A:$D,2))</f>
        <v/>
      </c>
      <c r="C49" s="2"/>
      <c r="D49" s="84"/>
      <c r="E49" s="78" t="str">
        <f>IF($A49=0,"",VLOOKUP($A49,'BASE EQUIPO'!$A:$D,3))</f>
        <v/>
      </c>
      <c r="F49" s="55"/>
      <c r="G49" s="55" t="str">
        <f>IF($A49=0,"",VLOOKUP($A49,'BASE EQUIPO'!$A:$D,4)*H46)</f>
        <v/>
      </c>
      <c r="H49" s="56" t="str">
        <f>IF($A49=0,"",ROUND(F49*G49,2))</f>
        <v/>
      </c>
      <c r="I49" s="2"/>
    </row>
    <row r="50" spans="1:15" x14ac:dyDescent="0.25">
      <c r="B50" s="57" t="str">
        <f>IF($A50=0,"",VLOOKUP($A50,'BASE EQUIPO'!$A:$D,2))</f>
        <v/>
      </c>
      <c r="C50" s="58"/>
      <c r="D50" s="85"/>
      <c r="E50" s="86" t="str">
        <f>IF($A50=0,"",VLOOKUP($A50,'BASE EQUIPO'!$A:$D,3))</f>
        <v/>
      </c>
      <c r="F50" s="59"/>
      <c r="G50" s="59" t="str">
        <f>IF($A50=0,"",VLOOKUP($A50,'BASE EQUIPO'!$A:$D,4)*H47)</f>
        <v/>
      </c>
      <c r="H50" s="60" t="str">
        <f>IF($A50=0,"",ROUND(F50*G50,2))</f>
        <v/>
      </c>
      <c r="I50" s="2"/>
    </row>
    <row r="51" spans="1:15" ht="15.75" thickBot="1" x14ac:dyDescent="0.3">
      <c r="B51" s="87" t="s">
        <v>1674</v>
      </c>
      <c r="C51" s="88"/>
      <c r="D51" s="89"/>
      <c r="E51" s="89"/>
      <c r="F51" s="89"/>
      <c r="G51" s="89"/>
      <c r="H51" s="90">
        <f>ROUND(SUM(H47:H50),2)</f>
        <v>0.06</v>
      </c>
      <c r="I51" s="2"/>
    </row>
    <row r="52" spans="1:15" ht="15.75" x14ac:dyDescent="0.25">
      <c r="B52" s="2"/>
      <c r="C52" s="2"/>
      <c r="D52" s="91" t="s">
        <v>1673</v>
      </c>
      <c r="E52" s="47"/>
      <c r="F52" s="47"/>
      <c r="G52" s="47"/>
      <c r="H52" s="92">
        <f>ROUND(SUM(H51,H45,H26,H16),2)</f>
        <v>2.69</v>
      </c>
      <c r="I52" s="2"/>
    </row>
    <row r="53" spans="1:15" ht="15.75" x14ac:dyDescent="0.25">
      <c r="A53" s="103">
        <v>40002</v>
      </c>
      <c r="B53" s="2"/>
      <c r="C53" s="2"/>
      <c r="D53" s="93" t="s">
        <v>1672</v>
      </c>
      <c r="E53" s="65"/>
      <c r="F53" s="65"/>
      <c r="G53" s="94">
        <f>IF($A53=0,"",VLOOKUP($A53,'BASE MATERIAL'!$M:$P,4))</f>
        <v>0</v>
      </c>
      <c r="H53" s="95">
        <f>IF($A53=0,"",ROUND(G53*H52,2))</f>
        <v>0</v>
      </c>
      <c r="I53" s="2"/>
    </row>
    <row r="54" spans="1:15" ht="15.75" x14ac:dyDescent="0.25">
      <c r="A54" s="103">
        <v>40003</v>
      </c>
      <c r="B54" s="2"/>
      <c r="C54" s="2"/>
      <c r="D54" s="93" t="s">
        <v>1671</v>
      </c>
      <c r="E54" s="65"/>
      <c r="F54" s="65"/>
      <c r="G54" s="94">
        <f>IF($A54=0,"",VLOOKUP($A54,'BASE MATERIAL'!$M:$P,4))</f>
        <v>0</v>
      </c>
      <c r="H54" s="95">
        <f>IF($A54=0,"",ROUND(G54*H52,2))</f>
        <v>0</v>
      </c>
      <c r="I54" s="2"/>
    </row>
    <row r="55" spans="1:15" ht="15.75" x14ac:dyDescent="0.25">
      <c r="B55" s="2"/>
      <c r="C55" s="2"/>
      <c r="D55" s="93" t="s">
        <v>1670</v>
      </c>
      <c r="E55" s="65"/>
      <c r="F55" s="65"/>
      <c r="G55" s="65"/>
      <c r="H55" s="96">
        <f>ROUND(SUM(H52:H54),2)</f>
        <v>2.69</v>
      </c>
      <c r="I55" s="2"/>
    </row>
    <row r="56" spans="1:15" ht="16.5" thickBot="1" x14ac:dyDescent="0.3">
      <c r="B56" s="25"/>
      <c r="C56" s="2"/>
      <c r="D56" s="97" t="s">
        <v>1650</v>
      </c>
      <c r="E56" s="88"/>
      <c r="F56" s="88"/>
      <c r="G56" s="88"/>
      <c r="H56" s="98">
        <f>ROUND(H55,2)</f>
        <v>2.69</v>
      </c>
      <c r="I56" s="2"/>
    </row>
    <row r="57" spans="1:15" ht="15.75" x14ac:dyDescent="0.25">
      <c r="B57" s="34" t="s">
        <v>1701</v>
      </c>
      <c r="C57" s="2"/>
      <c r="D57" s="3" t="str">
        <f>'1.1'!$D$1</f>
        <v>ESPOL</v>
      </c>
      <c r="E57" s="2"/>
      <c r="F57" s="2"/>
      <c r="H57" s="2" t="s">
        <v>108</v>
      </c>
      <c r="I57" s="2"/>
      <c r="L57" s="40">
        <f>A61</f>
        <v>2</v>
      </c>
      <c r="M57" s="1" t="str">
        <f>C62</f>
        <v>Cubierta Steel Panel e= 0,45mm</v>
      </c>
      <c r="N57" s="2" t="str">
        <f>H61</f>
        <v>m2</v>
      </c>
      <c r="O57" s="2">
        <f>H112</f>
        <v>13.5</v>
      </c>
    </row>
    <row r="58" spans="1:15" ht="15.75" x14ac:dyDescent="0.25">
      <c r="B58" s="34" t="s">
        <v>1700</v>
      </c>
      <c r="C58" s="3">
        <f>'1.1'!$C$2</f>
        <v>0</v>
      </c>
      <c r="D58" s="2"/>
      <c r="E58" s="2"/>
      <c r="F58" s="2"/>
      <c r="G58" s="41" t="s">
        <v>1699</v>
      </c>
      <c r="H58" s="42"/>
      <c r="I58" s="2" t="s">
        <v>1698</v>
      </c>
    </row>
    <row r="59" spans="1:15" ht="15.75" x14ac:dyDescent="0.25">
      <c r="B59" s="34"/>
      <c r="C59" s="3">
        <f>'1.1'!$C$3</f>
        <v>0</v>
      </c>
      <c r="D59" s="2"/>
      <c r="E59" s="2"/>
      <c r="F59" s="2"/>
      <c r="G59" s="2"/>
      <c r="H59" s="2"/>
      <c r="I59" s="2"/>
    </row>
    <row r="60" spans="1:15" ht="15.75" x14ac:dyDescent="0.25">
      <c r="B60" s="34" t="s">
        <v>1697</v>
      </c>
      <c r="C60" s="3"/>
      <c r="D60" s="2"/>
      <c r="E60" s="2"/>
      <c r="F60" s="2"/>
      <c r="G60" s="2"/>
      <c r="H60" s="2"/>
      <c r="I60" s="2"/>
    </row>
    <row r="61" spans="1:15" x14ac:dyDescent="0.25">
      <c r="A61" s="104">
        <v>2</v>
      </c>
      <c r="B61" s="2" t="s">
        <v>1586</v>
      </c>
      <c r="C61" s="36"/>
      <c r="D61" s="2"/>
      <c r="G61" s="2" t="s">
        <v>1696</v>
      </c>
      <c r="H61" s="3" t="s">
        <v>1520</v>
      </c>
      <c r="I61" s="2"/>
    </row>
    <row r="62" spans="1:15" x14ac:dyDescent="0.25">
      <c r="B62" s="1" t="s">
        <v>1585</v>
      </c>
      <c r="C62" s="36" t="s">
        <v>1451</v>
      </c>
      <c r="D62" s="2"/>
      <c r="E62" s="2"/>
      <c r="F62" s="2"/>
      <c r="G62" s="2"/>
      <c r="H62" s="2"/>
      <c r="I62" s="2"/>
    </row>
    <row r="63" spans="1:15" ht="15.75" thickBot="1" x14ac:dyDescent="0.3">
      <c r="D63" s="2"/>
      <c r="E63" s="2"/>
      <c r="F63" s="2"/>
      <c r="G63" s="2"/>
      <c r="H63" s="2"/>
      <c r="I63" s="2"/>
    </row>
    <row r="64" spans="1:15" ht="15.75" thickBot="1" x14ac:dyDescent="0.3">
      <c r="B64" s="43" t="s">
        <v>1695</v>
      </c>
      <c r="C64" s="44"/>
      <c r="D64" s="44"/>
      <c r="E64" s="44"/>
      <c r="F64" s="44"/>
      <c r="G64" s="44"/>
      <c r="H64" s="45"/>
      <c r="I64" s="2"/>
    </row>
    <row r="65" spans="1:9" ht="25.5" x14ac:dyDescent="0.25">
      <c r="B65" s="46" t="s">
        <v>1409</v>
      </c>
      <c r="C65" s="47"/>
      <c r="D65" s="48" t="s">
        <v>1690</v>
      </c>
      <c r="E65" s="48" t="s">
        <v>1694</v>
      </c>
      <c r="F65" s="48" t="s">
        <v>1693</v>
      </c>
      <c r="G65" s="49" t="s">
        <v>1687</v>
      </c>
      <c r="H65" s="50" t="s">
        <v>1686</v>
      </c>
      <c r="I65" s="2"/>
    </row>
    <row r="66" spans="1:9" x14ac:dyDescent="0.25">
      <c r="A66" s="103">
        <v>19015</v>
      </c>
      <c r="B66" s="51" t="str">
        <f>IF($A66=0,"",VLOOKUP($A66,'BASE EQUIPO'!$A:$D,2))</f>
        <v>HERRAMIENTA MENOR</v>
      </c>
      <c r="C66" s="52"/>
      <c r="D66" s="53">
        <v>1</v>
      </c>
      <c r="E66" s="53">
        <f>IF($A66=0,"",VLOOKUP($A66,'BASE EQUIPO'!$A:$D,4)*H82)</f>
        <v>5.0699999999999995E-2</v>
      </c>
      <c r="F66" s="53">
        <f t="shared" ref="F66:F71" si="5">IF($A66=0,"",ROUND(D66*E66,2))</f>
        <v>0.05</v>
      </c>
      <c r="G66" s="105">
        <v>1</v>
      </c>
      <c r="H66" s="54">
        <f t="shared" ref="H66:H71" si="6">IF($A66=0,"",ROUND(G66*F66,2))</f>
        <v>0.05</v>
      </c>
      <c r="I66" s="2"/>
    </row>
    <row r="67" spans="1:9" x14ac:dyDescent="0.25">
      <c r="B67" s="38" t="str">
        <f>IF($A67=0,"",VLOOKUP($A67,'BASE EQUIPO'!$A:$D,2))</f>
        <v/>
      </c>
      <c r="C67" s="2"/>
      <c r="D67" s="55"/>
      <c r="E67" s="55" t="str">
        <f>IF($A67=0,"",VLOOKUP($A67,'BASE EQUIPO'!$A:$D,4))</f>
        <v/>
      </c>
      <c r="F67" s="55" t="str">
        <f t="shared" si="5"/>
        <v/>
      </c>
      <c r="G67" s="106"/>
      <c r="H67" s="56" t="str">
        <f t="shared" si="6"/>
        <v/>
      </c>
      <c r="I67" s="2"/>
    </row>
    <row r="68" spans="1:9" x14ac:dyDescent="0.25">
      <c r="B68" s="38" t="str">
        <f>IF($A68=0,"",VLOOKUP($A68,'BASE EQUIPO'!$A:$D,2))</f>
        <v/>
      </c>
      <c r="C68" s="2"/>
      <c r="D68" s="55"/>
      <c r="E68" s="55" t="str">
        <f>IF($A68=0,"",VLOOKUP($A68,'BASE EQUIPO'!$A:$D,4))</f>
        <v/>
      </c>
      <c r="F68" s="55" t="str">
        <f t="shared" si="5"/>
        <v/>
      </c>
      <c r="G68" s="106"/>
      <c r="H68" s="56" t="str">
        <f t="shared" si="6"/>
        <v/>
      </c>
      <c r="I68" s="2"/>
    </row>
    <row r="69" spans="1:9" x14ac:dyDescent="0.25">
      <c r="B69" s="38" t="str">
        <f>IF($A69=0,"",VLOOKUP($A69,'BASE EQUIPO'!$A:$D,2))</f>
        <v/>
      </c>
      <c r="C69" s="2"/>
      <c r="D69" s="55"/>
      <c r="E69" s="55" t="str">
        <f>IF($A69=0,"",VLOOKUP($A69,'BASE EQUIPO'!$A:$D,4))</f>
        <v/>
      </c>
      <c r="F69" s="55" t="str">
        <f t="shared" si="5"/>
        <v/>
      </c>
      <c r="G69" s="106"/>
      <c r="H69" s="56" t="str">
        <f t="shared" si="6"/>
        <v/>
      </c>
      <c r="I69" s="2"/>
    </row>
    <row r="70" spans="1:9" x14ac:dyDescent="0.25">
      <c r="B70" s="38" t="str">
        <f>IF($A70=0,"",VLOOKUP($A70,'BASE EQUIPO'!$A:$D,2))</f>
        <v/>
      </c>
      <c r="C70" s="2"/>
      <c r="D70" s="55"/>
      <c r="E70" s="55" t="str">
        <f>IF($A70=0,"",VLOOKUP($A70,'BASE EQUIPO'!$A:$D,4))</f>
        <v/>
      </c>
      <c r="F70" s="55" t="str">
        <f t="shared" si="5"/>
        <v/>
      </c>
      <c r="G70" s="106"/>
      <c r="H70" s="56" t="str">
        <f t="shared" si="6"/>
        <v/>
      </c>
      <c r="I70" s="2"/>
    </row>
    <row r="71" spans="1:9" x14ac:dyDescent="0.25">
      <c r="B71" s="57" t="str">
        <f>IF($A71=0,"",VLOOKUP($A71,'BASE EQUIPO'!$A:$D,2))</f>
        <v/>
      </c>
      <c r="C71" s="58"/>
      <c r="D71" s="59"/>
      <c r="E71" s="59" t="str">
        <f>IF($A71=0,"",VLOOKUP($A71,'BASE EQUIPO'!$A:$D,4))</f>
        <v/>
      </c>
      <c r="F71" s="59" t="str">
        <f t="shared" si="5"/>
        <v/>
      </c>
      <c r="G71" s="107"/>
      <c r="H71" s="60" t="str">
        <f t="shared" si="6"/>
        <v/>
      </c>
      <c r="I71" s="2"/>
    </row>
    <row r="72" spans="1:9" x14ac:dyDescent="0.25">
      <c r="B72" s="57" t="s">
        <v>1692</v>
      </c>
      <c r="C72" s="58"/>
      <c r="D72" s="61"/>
      <c r="E72" s="61"/>
      <c r="F72" s="61"/>
      <c r="G72" s="62"/>
      <c r="H72" s="60">
        <f>ROUND(SUM(H65:H71),2)</f>
        <v>0.05</v>
      </c>
      <c r="I72" s="2"/>
    </row>
    <row r="73" spans="1:9" x14ac:dyDescent="0.25">
      <c r="B73" s="38" t="s">
        <v>1503</v>
      </c>
      <c r="C73" s="2"/>
      <c r="D73" s="3"/>
      <c r="E73" s="3"/>
      <c r="F73" s="3"/>
      <c r="G73" s="63"/>
      <c r="H73" s="56"/>
      <c r="I73" s="2"/>
    </row>
    <row r="74" spans="1:9" ht="25.5" x14ac:dyDescent="0.25">
      <c r="B74" s="64" t="s">
        <v>1691</v>
      </c>
      <c r="C74" s="65"/>
      <c r="D74" s="66" t="s">
        <v>1690</v>
      </c>
      <c r="E74" s="66" t="s">
        <v>1689</v>
      </c>
      <c r="F74" s="66" t="s">
        <v>1688</v>
      </c>
      <c r="G74" s="67" t="s">
        <v>1687</v>
      </c>
      <c r="H74" s="68" t="s">
        <v>1686</v>
      </c>
      <c r="I74" s="2"/>
    </row>
    <row r="75" spans="1:9" x14ac:dyDescent="0.25">
      <c r="B75" s="69" t="str">
        <f>IF($A75=0,"",VLOOKUP($A75,'BASE M-OBRA'!$A:$D,2))</f>
        <v/>
      </c>
      <c r="C75" s="2"/>
      <c r="D75" s="108"/>
      <c r="E75" s="70" t="str">
        <f>IF($A75=0,"",VLOOKUP($A75,'BASE M-OBRA'!$A:$D,4))</f>
        <v/>
      </c>
      <c r="F75" s="55" t="str">
        <f t="shared" ref="F75:F81" si="7">IF($A75=0,"",ROUND(D75*E75,2))</f>
        <v/>
      </c>
      <c r="G75" s="106" t="str">
        <f>IF($A75=0,"",ROUND(H75/F75,2))</f>
        <v/>
      </c>
      <c r="H75" s="56" t="str">
        <f>IF($A75=0,"",ROUND(SUM(H76:H81)*'BASE M-OBRA'!$D$23,2))</f>
        <v/>
      </c>
      <c r="I75" s="2"/>
    </row>
    <row r="76" spans="1:9" x14ac:dyDescent="0.25">
      <c r="A76" s="103">
        <v>20019</v>
      </c>
      <c r="B76" s="69" t="str">
        <f>IF($A76=0,"",VLOOKUP($A76,'BASE M-OBRA'!$A:$D,2))</f>
        <v>INSTALADOR</v>
      </c>
      <c r="C76" s="2"/>
      <c r="D76" s="108">
        <v>1</v>
      </c>
      <c r="E76" s="70">
        <f>IF($A76=0,"",VLOOKUP($A76,'BASE M-OBRA'!$A:$D,4))</f>
        <v>2.82</v>
      </c>
      <c r="F76" s="55">
        <f t="shared" si="7"/>
        <v>2.82</v>
      </c>
      <c r="G76" s="106">
        <v>0.3</v>
      </c>
      <c r="H76" s="56">
        <f t="shared" ref="H76:H81" si="8">IF($A76=0,"",ROUND(G76*F76,2))</f>
        <v>0.85</v>
      </c>
      <c r="I76" s="2"/>
    </row>
    <row r="77" spans="1:9" x14ac:dyDescent="0.25">
      <c r="A77" s="103">
        <v>20011</v>
      </c>
      <c r="B77" s="69" t="str">
        <f>IF($A77=0,"",VLOOKUP($A77,'BASE M-OBRA'!$A:$D,2))</f>
        <v>AYUDANTE ESPECIALISTA</v>
      </c>
      <c r="C77" s="2"/>
      <c r="D77" s="108">
        <v>1</v>
      </c>
      <c r="E77" s="70">
        <f>IF($A77=0,"",VLOOKUP($A77,'BASE M-OBRA'!$A:$D,4))</f>
        <v>2.79</v>
      </c>
      <c r="F77" s="55">
        <f t="shared" si="7"/>
        <v>2.79</v>
      </c>
      <c r="G77" s="106">
        <f>+G76</f>
        <v>0.3</v>
      </c>
      <c r="H77" s="56">
        <f t="shared" si="8"/>
        <v>0.84</v>
      </c>
      <c r="I77" s="2"/>
    </row>
    <row r="78" spans="1:9" x14ac:dyDescent="0.25">
      <c r="B78" s="71" t="str">
        <f>IF($A78=0,"",VLOOKUP($A78,'BASE M-OBRA'!$A:$D,2))</f>
        <v/>
      </c>
      <c r="C78" s="2"/>
      <c r="D78" s="108"/>
      <c r="E78" s="70" t="str">
        <f>IF($A78=0,"",VLOOKUP($A78,'BASE M-OBRA'!$A:$D,4))</f>
        <v/>
      </c>
      <c r="F78" s="55" t="str">
        <f t="shared" si="7"/>
        <v/>
      </c>
      <c r="G78" s="106"/>
      <c r="H78" s="56" t="str">
        <f t="shared" si="8"/>
        <v/>
      </c>
      <c r="I78" s="2"/>
    </row>
    <row r="79" spans="1:9" x14ac:dyDescent="0.25">
      <c r="B79" s="72" t="str">
        <f>IF($A79=0,"",VLOOKUP($A79,'BASE M-OBRA'!$A:$D,2))</f>
        <v/>
      </c>
      <c r="C79" s="2"/>
      <c r="D79" s="108"/>
      <c r="E79" s="70" t="str">
        <f>IF($A79=0,"",VLOOKUP($A79,'BASE M-OBRA'!$A:$D,4))</f>
        <v/>
      </c>
      <c r="F79" s="55" t="str">
        <f t="shared" si="7"/>
        <v/>
      </c>
      <c r="G79" s="106"/>
      <c r="H79" s="56" t="str">
        <f t="shared" si="8"/>
        <v/>
      </c>
      <c r="I79" s="2"/>
    </row>
    <row r="80" spans="1:9" x14ac:dyDescent="0.25">
      <c r="B80" s="38" t="str">
        <f>IF($A80=0,"",VLOOKUP($A80,'BASE M-OBRA'!$A:$D,2))</f>
        <v/>
      </c>
      <c r="C80" s="2"/>
      <c r="D80" s="55"/>
      <c r="E80" s="55" t="str">
        <f>IF($A80=0,"",VLOOKUP($A80,'BASE M-OBRA'!$A:$D,4))</f>
        <v/>
      </c>
      <c r="F80" s="55" t="str">
        <f t="shared" si="7"/>
        <v/>
      </c>
      <c r="G80" s="106"/>
      <c r="H80" s="56" t="str">
        <f t="shared" si="8"/>
        <v/>
      </c>
      <c r="I80" s="2"/>
    </row>
    <row r="81" spans="1:16" x14ac:dyDescent="0.25">
      <c r="B81" s="57" t="str">
        <f>IF($A81=0,"",VLOOKUP($A81,'BASE M-OBRA'!$A:$D,2))</f>
        <v/>
      </c>
      <c r="C81" s="58"/>
      <c r="D81" s="59"/>
      <c r="E81" s="59" t="str">
        <f>IF($A81=0,"",VLOOKUP($A81,'BASE M-OBRA'!$A:$D,4))</f>
        <v/>
      </c>
      <c r="F81" s="59" t="str">
        <f t="shared" si="7"/>
        <v/>
      </c>
      <c r="G81" s="107"/>
      <c r="H81" s="60" t="str">
        <f t="shared" si="8"/>
        <v/>
      </c>
      <c r="I81" s="2"/>
    </row>
    <row r="82" spans="1:16" x14ac:dyDescent="0.25">
      <c r="B82" s="73" t="s">
        <v>1685</v>
      </c>
      <c r="C82" s="65"/>
      <c r="D82" s="74"/>
      <c r="E82" s="74"/>
      <c r="F82" s="74"/>
      <c r="G82" s="74"/>
      <c r="H82" s="75">
        <f>ROUND(SUM(H74:H81),2)</f>
        <v>1.69</v>
      </c>
      <c r="I82" s="2"/>
    </row>
    <row r="83" spans="1:16" x14ac:dyDescent="0.25">
      <c r="B83" s="38" t="s">
        <v>1684</v>
      </c>
      <c r="C83" s="2"/>
      <c r="D83" s="3"/>
      <c r="E83" s="3"/>
      <c r="F83" s="3"/>
      <c r="G83" s="3"/>
      <c r="H83" s="56"/>
      <c r="I83" s="2"/>
    </row>
    <row r="84" spans="1:16" ht="25.5" x14ac:dyDescent="0.25">
      <c r="B84" s="64" t="s">
        <v>1409</v>
      </c>
      <c r="C84" s="65"/>
      <c r="D84" s="76"/>
      <c r="E84" s="66" t="s">
        <v>1408</v>
      </c>
      <c r="F84" s="66" t="s">
        <v>1679</v>
      </c>
      <c r="G84" s="66" t="s">
        <v>1683</v>
      </c>
      <c r="H84" s="68" t="s">
        <v>1675</v>
      </c>
      <c r="I84" s="2"/>
    </row>
    <row r="85" spans="1:16" x14ac:dyDescent="0.25">
      <c r="A85" s="103">
        <v>14002</v>
      </c>
      <c r="B85" s="38" t="s">
        <v>111</v>
      </c>
      <c r="C85" s="2"/>
      <c r="D85" s="77"/>
      <c r="E85" s="78" t="s">
        <v>915</v>
      </c>
      <c r="F85" s="113">
        <v>1.2</v>
      </c>
      <c r="G85" s="55">
        <f>8.5*1.12</f>
        <v>9.5200000000000014</v>
      </c>
      <c r="H85" s="56">
        <f t="shared" ref="H85:H99" si="9">IF($A85=0,"",ROUND(F85*G85,2))</f>
        <v>11.42</v>
      </c>
      <c r="I85" s="2"/>
      <c r="L85" s="2"/>
      <c r="M85" s="2"/>
      <c r="N85" s="39"/>
      <c r="O85" s="2"/>
      <c r="P85" s="2"/>
    </row>
    <row r="86" spans="1:16" x14ac:dyDescent="0.25">
      <c r="B86" s="38"/>
      <c r="C86" s="2"/>
      <c r="D86" s="77"/>
      <c r="E86" s="78"/>
      <c r="F86" s="113"/>
      <c r="G86" s="55"/>
      <c r="H86" s="56" t="str">
        <f t="shared" si="9"/>
        <v/>
      </c>
      <c r="I86" s="2"/>
      <c r="L86" s="2"/>
      <c r="M86" s="2"/>
      <c r="N86" s="39"/>
      <c r="O86" s="2"/>
      <c r="P86" s="2"/>
    </row>
    <row r="87" spans="1:16" x14ac:dyDescent="0.25">
      <c r="B87" s="38"/>
      <c r="C87" s="2"/>
      <c r="D87" s="77"/>
      <c r="E87" s="78"/>
      <c r="F87" s="113"/>
      <c r="G87" s="55"/>
      <c r="H87" s="56" t="str">
        <f t="shared" si="9"/>
        <v/>
      </c>
      <c r="I87" s="2"/>
      <c r="J87" s="79"/>
      <c r="L87" s="2"/>
      <c r="M87" s="2"/>
      <c r="N87" s="39"/>
      <c r="O87" s="2"/>
      <c r="P87" s="2"/>
    </row>
    <row r="88" spans="1:16" x14ac:dyDescent="0.25">
      <c r="B88" s="38"/>
      <c r="C88" s="2"/>
      <c r="D88" s="77"/>
      <c r="E88" s="78"/>
      <c r="F88" s="113"/>
      <c r="G88" s="55"/>
      <c r="H88" s="56" t="str">
        <f t="shared" si="9"/>
        <v/>
      </c>
      <c r="I88" s="2"/>
      <c r="L88" s="2"/>
      <c r="M88" s="2"/>
      <c r="N88" s="39"/>
      <c r="O88" s="2"/>
      <c r="P88" s="2"/>
    </row>
    <row r="89" spans="1:16" x14ac:dyDescent="0.25">
      <c r="B89" s="38"/>
      <c r="C89" s="2"/>
      <c r="D89" s="77"/>
      <c r="E89" s="78"/>
      <c r="F89" s="113"/>
      <c r="G89" s="55"/>
      <c r="H89" s="56" t="str">
        <f t="shared" si="9"/>
        <v/>
      </c>
      <c r="I89" s="2"/>
      <c r="J89" s="79"/>
      <c r="L89" s="2"/>
      <c r="M89" s="2"/>
      <c r="N89" s="39"/>
      <c r="O89" s="2"/>
      <c r="P89" s="2"/>
    </row>
    <row r="90" spans="1:16" x14ac:dyDescent="0.25">
      <c r="B90" s="38"/>
      <c r="C90" s="2"/>
      <c r="D90" s="77"/>
      <c r="E90" s="78"/>
      <c r="F90" s="113"/>
      <c r="G90" s="55"/>
      <c r="H90" s="56" t="str">
        <f t="shared" si="9"/>
        <v/>
      </c>
      <c r="I90" s="2"/>
      <c r="J90" s="79"/>
      <c r="L90" s="2"/>
      <c r="M90" s="2"/>
      <c r="N90" s="39"/>
      <c r="O90" s="2"/>
      <c r="P90" s="2"/>
    </row>
    <row r="91" spans="1:16" x14ac:dyDescent="0.25">
      <c r="B91" s="38" t="str">
        <f>IF($A91=0,"",VLOOKUP($A91,'BASE MATERIAL'!$A:$D,2))</f>
        <v/>
      </c>
      <c r="C91" s="2"/>
      <c r="D91" s="77"/>
      <c r="E91" s="78" t="str">
        <f>IF($A91=0,"",VLOOKUP($A91,'BASE MATERIAL'!$A:$D,3))</f>
        <v/>
      </c>
      <c r="F91" s="55"/>
      <c r="G91" s="55" t="str">
        <f>IF($A91=0,"",VLOOKUP($A91,'BASE MATERIAL'!$A:$D,4))</f>
        <v/>
      </c>
      <c r="H91" s="56" t="str">
        <f t="shared" si="9"/>
        <v/>
      </c>
      <c r="I91" s="2"/>
      <c r="L91" s="2"/>
      <c r="M91" s="2"/>
      <c r="N91" s="39"/>
      <c r="O91" s="2"/>
      <c r="P91" s="2"/>
    </row>
    <row r="92" spans="1:16" x14ac:dyDescent="0.25">
      <c r="B92" s="38"/>
      <c r="C92" s="2"/>
      <c r="D92" s="77"/>
      <c r="E92" s="78"/>
      <c r="F92" s="55"/>
      <c r="G92" s="55"/>
      <c r="H92" s="56" t="str">
        <f t="shared" si="9"/>
        <v/>
      </c>
      <c r="I92" s="2"/>
      <c r="J92" s="79"/>
      <c r="L92" s="2"/>
      <c r="M92" s="2"/>
      <c r="N92" s="39"/>
      <c r="O92" s="2"/>
      <c r="P92" s="2"/>
    </row>
    <row r="93" spans="1:16" x14ac:dyDescent="0.25">
      <c r="B93" s="38"/>
      <c r="C93" s="2"/>
      <c r="D93" s="77"/>
      <c r="E93" s="78"/>
      <c r="F93" s="55"/>
      <c r="G93" s="55"/>
      <c r="H93" s="56" t="str">
        <f t="shared" si="9"/>
        <v/>
      </c>
      <c r="I93" s="2"/>
      <c r="J93" s="79"/>
    </row>
    <row r="94" spans="1:16" x14ac:dyDescent="0.25">
      <c r="B94" s="38"/>
      <c r="C94" s="2"/>
      <c r="D94" s="77"/>
      <c r="E94" s="78"/>
      <c r="F94" s="55"/>
      <c r="G94" s="55"/>
      <c r="H94" s="56" t="str">
        <f t="shared" si="9"/>
        <v/>
      </c>
      <c r="I94" s="2"/>
      <c r="L94" s="2"/>
      <c r="M94" s="2"/>
      <c r="N94" s="39"/>
      <c r="O94" s="2"/>
      <c r="P94" s="2"/>
    </row>
    <row r="95" spans="1:16" x14ac:dyDescent="0.25">
      <c r="B95" s="38"/>
      <c r="C95" s="2"/>
      <c r="D95" s="77"/>
      <c r="E95" s="78"/>
      <c r="F95" s="55"/>
      <c r="G95" s="55"/>
      <c r="H95" s="56" t="str">
        <f t="shared" si="9"/>
        <v/>
      </c>
      <c r="I95" s="2"/>
      <c r="J95" s="79">
        <f>0.13*3</f>
        <v>0.39</v>
      </c>
      <c r="L95" s="2"/>
      <c r="M95" s="2"/>
      <c r="N95" s="39"/>
      <c r="O95" s="2"/>
      <c r="P95" s="2"/>
    </row>
    <row r="96" spans="1:16" x14ac:dyDescent="0.25">
      <c r="B96" s="38" t="str">
        <f>IF($A96=0,"",VLOOKUP($A96,'BASE MATERIAL'!$A:$D,2))</f>
        <v/>
      </c>
      <c r="C96" s="2"/>
      <c r="D96" s="77"/>
      <c r="E96" s="78" t="str">
        <f>IF($A96=0,"",VLOOKUP($A96,'BASE MATERIAL'!$A:$D,3))</f>
        <v/>
      </c>
      <c r="F96" s="55"/>
      <c r="G96" s="55" t="str">
        <f>IF($A96=0,"",VLOOKUP($A96,'BASE MATERIAL'!$A:$D,4))</f>
        <v/>
      </c>
      <c r="H96" s="56" t="str">
        <f t="shared" si="9"/>
        <v/>
      </c>
      <c r="I96" s="2"/>
      <c r="J96" s="79">
        <f>0.1*2</f>
        <v>0.2</v>
      </c>
    </row>
    <row r="97" spans="1:10" x14ac:dyDescent="0.25">
      <c r="B97" s="38" t="str">
        <f>IF($A97=0,"",VLOOKUP($A97,'BASE MATERIAL'!$A:$D,2))</f>
        <v/>
      </c>
      <c r="C97" s="2"/>
      <c r="D97" s="77"/>
      <c r="E97" s="78" t="str">
        <f>IF($A97=0,"",VLOOKUP($A97,'BASE MATERIAL'!$A:$D,3))</f>
        <v/>
      </c>
      <c r="F97" s="55"/>
      <c r="G97" s="55" t="str">
        <f>IF($A97=0,"",VLOOKUP($A97,'BASE MATERIAL'!$A:$D,4))</f>
        <v/>
      </c>
      <c r="H97" s="56" t="str">
        <f t="shared" si="9"/>
        <v/>
      </c>
      <c r="I97" s="2"/>
      <c r="J97" s="79">
        <f>SUM(J95:J96)</f>
        <v>0.59000000000000008</v>
      </c>
    </row>
    <row r="98" spans="1:10" x14ac:dyDescent="0.25">
      <c r="B98" s="38" t="str">
        <f>IF($A98=0,"",VLOOKUP($A98,'BASE MATERIAL'!$A:$D,2))</f>
        <v/>
      </c>
      <c r="C98" s="2"/>
      <c r="D98" s="77"/>
      <c r="E98" s="78" t="str">
        <f>IF($A98=0,"",VLOOKUP($A98,'BASE MATERIAL'!$A:$D,3))</f>
        <v/>
      </c>
      <c r="F98" s="55"/>
      <c r="G98" s="55" t="str">
        <f>IF($A98=0,"",VLOOKUP($A98,'BASE MATERIAL'!$A:$D,4))</f>
        <v/>
      </c>
      <c r="H98" s="56" t="str">
        <f t="shared" si="9"/>
        <v/>
      </c>
      <c r="I98" s="2"/>
    </row>
    <row r="99" spans="1:10" x14ac:dyDescent="0.25">
      <c r="B99" s="38" t="str">
        <f>IF($A99=0,"",VLOOKUP($A99,'BASE MATERIAL'!$A:$D,2))</f>
        <v/>
      </c>
      <c r="C99" s="2"/>
      <c r="D99" s="77"/>
      <c r="E99" s="78" t="str">
        <f>IF($A99=0,"",VLOOKUP($A99,'BASE MATERIAL'!$A:$D,3))</f>
        <v/>
      </c>
      <c r="F99" s="55"/>
      <c r="G99" s="55" t="str">
        <f>IF($A99=0,"",VLOOKUP($A99,'BASE MATERIAL'!$A:$D,4))</f>
        <v/>
      </c>
      <c r="H99" s="56" t="str">
        <f t="shared" si="9"/>
        <v/>
      </c>
      <c r="I99" s="2"/>
    </row>
    <row r="100" spans="1:10" x14ac:dyDescent="0.25">
      <c r="B100" s="38" t="str">
        <f>IF($A100=0,"",VLOOKUP($A100,'BASE MATERIAL'!$A:$D,2))</f>
        <v/>
      </c>
      <c r="C100" s="2"/>
      <c r="D100" s="81" t="s">
        <v>1682</v>
      </c>
      <c r="E100" s="55" t="str">
        <f>IF($A100=0,"",VLOOKUP($A100,'BASE MATERIAL'!$A:$D,3))</f>
        <v/>
      </c>
      <c r="F100" s="55" t="s">
        <v>1682</v>
      </c>
      <c r="G100" s="55" t="str">
        <f>IF($A100=0,"",VLOOKUP($A100,'BASE MATERIAL'!$A:$D,4))</f>
        <v/>
      </c>
      <c r="H100" s="56" t="str">
        <f>IF($A100=0,"",ROUND(E100*F100,2))</f>
        <v/>
      </c>
      <c r="I100" s="2"/>
    </row>
    <row r="101" spans="1:10" x14ac:dyDescent="0.25">
      <c r="B101" s="73" t="s">
        <v>1681</v>
      </c>
      <c r="C101" s="65"/>
      <c r="D101" s="74"/>
      <c r="E101" s="74"/>
      <c r="F101" s="74"/>
      <c r="G101" s="74"/>
      <c r="H101" s="75">
        <f>ROUND(SUM(H84:H100),2)</f>
        <v>11.42</v>
      </c>
      <c r="I101" s="2"/>
    </row>
    <row r="102" spans="1:10" x14ac:dyDescent="0.25">
      <c r="B102" s="38" t="s">
        <v>1680</v>
      </c>
      <c r="C102" s="2"/>
      <c r="D102" s="3"/>
      <c r="E102" s="3"/>
      <c r="F102" s="3"/>
      <c r="G102" s="3"/>
      <c r="H102" s="56"/>
      <c r="I102" s="2"/>
    </row>
    <row r="103" spans="1:10" ht="25.5" x14ac:dyDescent="0.25">
      <c r="B103" s="64" t="s">
        <v>1409</v>
      </c>
      <c r="C103" s="65"/>
      <c r="D103" s="76"/>
      <c r="E103" s="66" t="s">
        <v>1408</v>
      </c>
      <c r="F103" s="66" t="s">
        <v>1679</v>
      </c>
      <c r="G103" s="66" t="s">
        <v>1676</v>
      </c>
      <c r="H103" s="68" t="s">
        <v>1675</v>
      </c>
      <c r="I103" s="2"/>
    </row>
    <row r="104" spans="1:10" x14ac:dyDescent="0.25">
      <c r="A104" s="103">
        <v>19019</v>
      </c>
      <c r="B104" s="51" t="str">
        <f>IF($A104=0,"",VLOOKUP($A104,'BASE EQUIPO'!$A:$D,2))</f>
        <v>TRANSPORTE DE MATERIAL</v>
      </c>
      <c r="C104" s="52"/>
      <c r="D104" s="82"/>
      <c r="E104" s="78" t="str">
        <f>IF($A104=0,"",VLOOKUP($A104,'BASE EQUIPO'!$A:$D,3))</f>
        <v>GLOBAL</v>
      </c>
      <c r="F104" s="55">
        <v>1</v>
      </c>
      <c r="G104" s="83">
        <f>IF($A104=0,"",VLOOKUP($A104,'BASE EQUIPO'!$A:$D,4)*H101)</f>
        <v>0.34259999999999996</v>
      </c>
      <c r="H104" s="56">
        <f>IF($A104=0,"",ROUND(F104*G104,2))</f>
        <v>0.34</v>
      </c>
      <c r="I104" s="2"/>
    </row>
    <row r="105" spans="1:10" x14ac:dyDescent="0.25">
      <c r="B105" s="38" t="str">
        <f>IF($A105=0,"",VLOOKUP($A105,'BASE EQUIPO'!$A:$D,2))</f>
        <v/>
      </c>
      <c r="C105" s="2"/>
      <c r="D105" s="84"/>
      <c r="E105" s="78" t="str">
        <f>IF($A105=0,"",VLOOKUP($A105,'BASE EQUIPO'!$A:$D,3))</f>
        <v/>
      </c>
      <c r="F105" s="55"/>
      <c r="G105" s="55" t="str">
        <f>IF($A105=0,"",VLOOKUP($A105,'BASE EQUIPO'!$A:$D,4)*H102)</f>
        <v/>
      </c>
      <c r="H105" s="56" t="str">
        <f>IF($A105=0,"",ROUND(F105*G105,2))</f>
        <v/>
      </c>
      <c r="I105" s="2"/>
    </row>
    <row r="106" spans="1:10" x14ac:dyDescent="0.25">
      <c r="B106" s="57" t="str">
        <f>IF($A106=0,"",VLOOKUP($A106,'BASE EQUIPO'!$A:$D,2))</f>
        <v/>
      </c>
      <c r="C106" s="58"/>
      <c r="D106" s="85"/>
      <c r="E106" s="86" t="str">
        <f>IF($A106=0,"",VLOOKUP($A106,'BASE EQUIPO'!$A:$D,3))</f>
        <v/>
      </c>
      <c r="F106" s="59"/>
      <c r="G106" s="59" t="str">
        <f>IF($A106=0,"",VLOOKUP($A106,'BASE EQUIPO'!$A:$D,4)*H103)</f>
        <v/>
      </c>
      <c r="H106" s="60" t="str">
        <f>IF($A106=0,"",ROUND(F106*G106,2))</f>
        <v/>
      </c>
      <c r="I106" s="2"/>
    </row>
    <row r="107" spans="1:10" ht="15.75" thickBot="1" x14ac:dyDescent="0.3">
      <c r="B107" s="87" t="s">
        <v>1674</v>
      </c>
      <c r="C107" s="88"/>
      <c r="D107" s="89"/>
      <c r="E107" s="89"/>
      <c r="F107" s="89"/>
      <c r="G107" s="89"/>
      <c r="H107" s="90">
        <f>ROUND(SUM(H103:H106),2)</f>
        <v>0.34</v>
      </c>
      <c r="I107" s="2"/>
    </row>
    <row r="108" spans="1:10" ht="15.75" x14ac:dyDescent="0.25">
      <c r="B108" s="2"/>
      <c r="C108" s="2"/>
      <c r="D108" s="91" t="s">
        <v>1673</v>
      </c>
      <c r="E108" s="47"/>
      <c r="F108" s="47"/>
      <c r="G108" s="47"/>
      <c r="H108" s="92">
        <f>ROUND(SUM(H107,H101,H82,H72),2)</f>
        <v>13.5</v>
      </c>
      <c r="I108" s="2"/>
    </row>
    <row r="109" spans="1:10" ht="15.75" x14ac:dyDescent="0.25">
      <c r="A109" s="103">
        <v>40002</v>
      </c>
      <c r="B109" s="2"/>
      <c r="C109" s="2"/>
      <c r="D109" s="93" t="s">
        <v>1672</v>
      </c>
      <c r="E109" s="65"/>
      <c r="F109" s="65"/>
      <c r="G109" s="94">
        <f>IF($A109=0,"",VLOOKUP($A109,'BASE MATERIAL'!$M:$P,4))</f>
        <v>0</v>
      </c>
      <c r="H109" s="95">
        <f>IF($A109=0,"",ROUND(G109*H108,2))</f>
        <v>0</v>
      </c>
      <c r="I109" s="2"/>
    </row>
    <row r="110" spans="1:10" ht="15.75" x14ac:dyDescent="0.25">
      <c r="A110" s="103">
        <v>40003</v>
      </c>
      <c r="B110" s="2"/>
      <c r="C110" s="2"/>
      <c r="D110" s="93" t="s">
        <v>1671</v>
      </c>
      <c r="E110" s="65"/>
      <c r="F110" s="65"/>
      <c r="G110" s="94">
        <f>IF($A110=0,"",VLOOKUP($A110,'BASE MATERIAL'!$M:$P,4))</f>
        <v>0</v>
      </c>
      <c r="H110" s="95">
        <f>IF($A110=0,"",ROUND(G110*H108,2))</f>
        <v>0</v>
      </c>
      <c r="I110" s="2"/>
    </row>
    <row r="111" spans="1:10" ht="15.75" x14ac:dyDescent="0.25">
      <c r="B111" s="2"/>
      <c r="C111" s="2"/>
      <c r="D111" s="93" t="s">
        <v>1670</v>
      </c>
      <c r="E111" s="65"/>
      <c r="F111" s="65"/>
      <c r="G111" s="65"/>
      <c r="H111" s="96">
        <f>ROUND(SUM(H108:H110),2)</f>
        <v>13.5</v>
      </c>
      <c r="I111" s="2"/>
    </row>
    <row r="112" spans="1:10" ht="16.5" thickBot="1" x14ac:dyDescent="0.3">
      <c r="B112" s="25"/>
      <c r="C112" s="2"/>
      <c r="D112" s="97" t="s">
        <v>1650</v>
      </c>
      <c r="E112" s="88"/>
      <c r="F112" s="88"/>
      <c r="G112" s="88"/>
      <c r="H112" s="98">
        <f>ROUND(H111,2)</f>
        <v>13.5</v>
      </c>
      <c r="I112" s="2"/>
    </row>
    <row r="113" spans="1:15" ht="15.75" x14ac:dyDescent="0.25">
      <c r="B113" s="34" t="s">
        <v>1701</v>
      </c>
      <c r="C113" s="2"/>
      <c r="D113" s="3" t="str">
        <f>'1.1'!$D$1</f>
        <v>ESPOL</v>
      </c>
      <c r="E113" s="2"/>
      <c r="F113" s="2"/>
      <c r="H113" s="2" t="s">
        <v>108</v>
      </c>
      <c r="I113" s="2"/>
      <c r="L113" s="40">
        <f>A117</f>
        <v>2</v>
      </c>
      <c r="M113" s="1" t="str">
        <f>C118</f>
        <v>Cubierta Eternit</v>
      </c>
      <c r="N113" s="2" t="str">
        <f>H117</f>
        <v>m2</v>
      </c>
      <c r="O113" s="2">
        <f>H168</f>
        <v>8.66</v>
      </c>
    </row>
    <row r="114" spans="1:15" ht="15.75" x14ac:dyDescent="0.25">
      <c r="B114" s="34" t="s">
        <v>1700</v>
      </c>
      <c r="C114" s="3">
        <f>'1.1'!$C$2</f>
        <v>0</v>
      </c>
      <c r="D114" s="2"/>
      <c r="E114" s="2"/>
      <c r="F114" s="2"/>
      <c r="G114" s="41" t="s">
        <v>1699</v>
      </c>
      <c r="H114" s="42"/>
      <c r="I114" s="2" t="s">
        <v>1698</v>
      </c>
    </row>
    <row r="115" spans="1:15" ht="15.75" x14ac:dyDescent="0.25">
      <c r="B115" s="34"/>
      <c r="C115" s="3">
        <f>'1.1'!$C$3</f>
        <v>0</v>
      </c>
      <c r="D115" s="2"/>
      <c r="E115" s="2"/>
      <c r="F115" s="2"/>
      <c r="G115" s="2"/>
      <c r="H115" s="2"/>
      <c r="I115" s="2"/>
    </row>
    <row r="116" spans="1:15" ht="15.75" x14ac:dyDescent="0.25">
      <c r="B116" s="34" t="s">
        <v>1697</v>
      </c>
      <c r="C116" s="3"/>
      <c r="D116" s="2"/>
      <c r="E116" s="2"/>
      <c r="F116" s="2"/>
      <c r="G116" s="2"/>
      <c r="H116" s="2"/>
      <c r="I116" s="2"/>
    </row>
    <row r="117" spans="1:15" x14ac:dyDescent="0.25">
      <c r="A117" s="104">
        <v>2</v>
      </c>
      <c r="B117" s="2" t="s">
        <v>1586</v>
      </c>
      <c r="C117" s="36"/>
      <c r="D117" s="2"/>
      <c r="G117" s="2" t="s">
        <v>1696</v>
      </c>
      <c r="H117" s="3" t="s">
        <v>1520</v>
      </c>
      <c r="I117" s="2"/>
    </row>
    <row r="118" spans="1:15" x14ac:dyDescent="0.25">
      <c r="B118" s="1" t="s">
        <v>1585</v>
      </c>
      <c r="C118" s="36" t="s">
        <v>285</v>
      </c>
      <c r="D118" s="2"/>
      <c r="E118" s="2"/>
      <c r="F118" s="2"/>
      <c r="G118" s="2"/>
      <c r="H118" s="2"/>
      <c r="I118" s="2"/>
    </row>
    <row r="119" spans="1:15" ht="15.75" thickBot="1" x14ac:dyDescent="0.3">
      <c r="D119" s="2"/>
      <c r="E119" s="2"/>
      <c r="F119" s="2"/>
      <c r="G119" s="2"/>
      <c r="H119" s="2"/>
      <c r="I119" s="2"/>
    </row>
    <row r="120" spans="1:15" ht="15.75" thickBot="1" x14ac:dyDescent="0.3">
      <c r="B120" s="43" t="s">
        <v>1695</v>
      </c>
      <c r="C120" s="44"/>
      <c r="D120" s="44"/>
      <c r="E120" s="44"/>
      <c r="F120" s="44"/>
      <c r="G120" s="44"/>
      <c r="H120" s="45"/>
      <c r="I120" s="2"/>
    </row>
    <row r="121" spans="1:15" ht="25.5" x14ac:dyDescent="0.25">
      <c r="B121" s="46" t="s">
        <v>1409</v>
      </c>
      <c r="C121" s="47"/>
      <c r="D121" s="48" t="s">
        <v>1690</v>
      </c>
      <c r="E121" s="48" t="s">
        <v>1694</v>
      </c>
      <c r="F121" s="48" t="s">
        <v>1693</v>
      </c>
      <c r="G121" s="49" t="s">
        <v>1687</v>
      </c>
      <c r="H121" s="50" t="s">
        <v>1686</v>
      </c>
      <c r="I121" s="2"/>
    </row>
    <row r="122" spans="1:15" x14ac:dyDescent="0.25">
      <c r="A122" s="103">
        <v>19015</v>
      </c>
      <c r="B122" s="51" t="str">
        <f>IF($A122=0,"",VLOOKUP($A122,'BASE EQUIPO'!$A:$D,2))</f>
        <v>HERRAMIENTA MENOR</v>
      </c>
      <c r="C122" s="52"/>
      <c r="D122" s="53">
        <v>1</v>
      </c>
      <c r="E122" s="53">
        <f>IF($A122=0,"",VLOOKUP($A122,'BASE EQUIPO'!$A:$D,4)*H138)</f>
        <v>8.43E-2</v>
      </c>
      <c r="F122" s="53">
        <f t="shared" ref="F122:F127" si="10">IF($A122=0,"",ROUND(D122*E122,2))</f>
        <v>0.08</v>
      </c>
      <c r="G122" s="105">
        <v>1</v>
      </c>
      <c r="H122" s="54">
        <f t="shared" ref="H122:H127" si="11">IF($A122=0,"",ROUND(G122*F122,2))</f>
        <v>0.08</v>
      </c>
      <c r="I122" s="2"/>
    </row>
    <row r="123" spans="1:15" x14ac:dyDescent="0.25">
      <c r="B123" s="38" t="str">
        <f>IF($A123=0,"",VLOOKUP($A123,'BASE EQUIPO'!$A:$D,2))</f>
        <v/>
      </c>
      <c r="C123" s="2"/>
      <c r="D123" s="55"/>
      <c r="E123" s="55" t="str">
        <f>IF($A123=0,"",VLOOKUP($A123,'BASE EQUIPO'!$A:$D,4))</f>
        <v/>
      </c>
      <c r="F123" s="55" t="str">
        <f t="shared" si="10"/>
        <v/>
      </c>
      <c r="G123" s="106"/>
      <c r="H123" s="56" t="str">
        <f t="shared" si="11"/>
        <v/>
      </c>
      <c r="I123" s="2"/>
    </row>
    <row r="124" spans="1:15" x14ac:dyDescent="0.25">
      <c r="B124" s="38" t="str">
        <f>IF($A124=0,"",VLOOKUP($A124,'BASE EQUIPO'!$A:$D,2))</f>
        <v/>
      </c>
      <c r="C124" s="2"/>
      <c r="D124" s="55"/>
      <c r="E124" s="55" t="str">
        <f>IF($A124=0,"",VLOOKUP($A124,'BASE EQUIPO'!$A:$D,4))</f>
        <v/>
      </c>
      <c r="F124" s="55" t="str">
        <f t="shared" si="10"/>
        <v/>
      </c>
      <c r="G124" s="106"/>
      <c r="H124" s="56" t="str">
        <f t="shared" si="11"/>
        <v/>
      </c>
      <c r="I124" s="2"/>
    </row>
    <row r="125" spans="1:15" x14ac:dyDescent="0.25">
      <c r="B125" s="38" t="str">
        <f>IF($A125=0,"",VLOOKUP($A125,'BASE EQUIPO'!$A:$D,2))</f>
        <v/>
      </c>
      <c r="C125" s="2"/>
      <c r="D125" s="55"/>
      <c r="E125" s="55" t="str">
        <f>IF($A125=0,"",VLOOKUP($A125,'BASE EQUIPO'!$A:$D,4))</f>
        <v/>
      </c>
      <c r="F125" s="55" t="str">
        <f t="shared" si="10"/>
        <v/>
      </c>
      <c r="G125" s="106"/>
      <c r="H125" s="56" t="str">
        <f t="shared" si="11"/>
        <v/>
      </c>
      <c r="I125" s="2"/>
    </row>
    <row r="126" spans="1:15" x14ac:dyDescent="0.25">
      <c r="B126" s="38" t="str">
        <f>IF($A126=0,"",VLOOKUP($A126,'BASE EQUIPO'!$A:$D,2))</f>
        <v/>
      </c>
      <c r="C126" s="2"/>
      <c r="D126" s="55"/>
      <c r="E126" s="55" t="str">
        <f>IF($A126=0,"",VLOOKUP($A126,'BASE EQUIPO'!$A:$D,4))</f>
        <v/>
      </c>
      <c r="F126" s="55" t="str">
        <f t="shared" si="10"/>
        <v/>
      </c>
      <c r="G126" s="106"/>
      <c r="H126" s="56" t="str">
        <f t="shared" si="11"/>
        <v/>
      </c>
      <c r="I126" s="2"/>
    </row>
    <row r="127" spans="1:15" x14ac:dyDescent="0.25">
      <c r="B127" s="57" t="str">
        <f>IF($A127=0,"",VLOOKUP($A127,'BASE EQUIPO'!$A:$D,2))</f>
        <v/>
      </c>
      <c r="C127" s="58"/>
      <c r="D127" s="59"/>
      <c r="E127" s="59" t="str">
        <f>IF($A127=0,"",VLOOKUP($A127,'BASE EQUIPO'!$A:$D,4))</f>
        <v/>
      </c>
      <c r="F127" s="59" t="str">
        <f t="shared" si="10"/>
        <v/>
      </c>
      <c r="G127" s="107"/>
      <c r="H127" s="60" t="str">
        <f t="shared" si="11"/>
        <v/>
      </c>
      <c r="I127" s="2"/>
    </row>
    <row r="128" spans="1:15" x14ac:dyDescent="0.25">
      <c r="B128" s="57" t="s">
        <v>1692</v>
      </c>
      <c r="C128" s="58"/>
      <c r="D128" s="61"/>
      <c r="E128" s="61"/>
      <c r="F128" s="61"/>
      <c r="G128" s="62"/>
      <c r="H128" s="60">
        <f>ROUND(SUM(H121:H127),2)</f>
        <v>0.08</v>
      </c>
      <c r="I128" s="2"/>
    </row>
    <row r="129" spans="1:16" x14ac:dyDescent="0.25">
      <c r="B129" s="38" t="s">
        <v>1503</v>
      </c>
      <c r="C129" s="2"/>
      <c r="D129" s="3"/>
      <c r="E129" s="3"/>
      <c r="F129" s="3"/>
      <c r="G129" s="63"/>
      <c r="H129" s="56"/>
      <c r="I129" s="2"/>
    </row>
    <row r="130" spans="1:16" ht="25.5" x14ac:dyDescent="0.25">
      <c r="B130" s="64" t="s">
        <v>1691</v>
      </c>
      <c r="C130" s="65"/>
      <c r="D130" s="66" t="s">
        <v>1690</v>
      </c>
      <c r="E130" s="66" t="s">
        <v>1689</v>
      </c>
      <c r="F130" s="66" t="s">
        <v>1688</v>
      </c>
      <c r="G130" s="67" t="s">
        <v>1687</v>
      </c>
      <c r="H130" s="68" t="s">
        <v>1686</v>
      </c>
      <c r="I130" s="2"/>
    </row>
    <row r="131" spans="1:16" x14ac:dyDescent="0.25">
      <c r="B131" s="69" t="str">
        <f>IF($A131=0,"",VLOOKUP($A131,'BASE M-OBRA'!$A:$D,2))</f>
        <v/>
      </c>
      <c r="C131" s="2"/>
      <c r="D131" s="108"/>
      <c r="E131" s="70" t="str">
        <f>IF($A131=0,"",VLOOKUP($A131,'BASE M-OBRA'!$A:$D,4))</f>
        <v/>
      </c>
      <c r="F131" s="55" t="str">
        <f t="shared" ref="F131:F137" si="12">IF($A131=0,"",ROUND(D131*E131,2))</f>
        <v/>
      </c>
      <c r="G131" s="106" t="str">
        <f>IF($A131=0,"",ROUND(H131/F131,2))</f>
        <v/>
      </c>
      <c r="H131" s="56" t="str">
        <f>IF($A131=0,"",ROUND(SUM(H132:H137)*'BASE M-OBRA'!$D$23,2))</f>
        <v/>
      </c>
      <c r="I131" s="2"/>
    </row>
    <row r="132" spans="1:16" x14ac:dyDescent="0.25">
      <c r="A132" s="103">
        <v>20019</v>
      </c>
      <c r="B132" s="69" t="str">
        <f>IF($A132=0,"",VLOOKUP($A132,'BASE M-OBRA'!$A:$D,2))</f>
        <v>INSTALADOR</v>
      </c>
      <c r="C132" s="2"/>
      <c r="D132" s="108">
        <v>1</v>
      </c>
      <c r="E132" s="70">
        <f>IF($A132=0,"",VLOOKUP($A132,'BASE M-OBRA'!$A:$D,4))</f>
        <v>2.82</v>
      </c>
      <c r="F132" s="55">
        <f t="shared" si="12"/>
        <v>2.82</v>
      </c>
      <c r="G132" s="106">
        <v>0.5</v>
      </c>
      <c r="H132" s="56">
        <f t="shared" ref="H132:H137" si="13">IF($A132=0,"",ROUND(G132*F132,2))</f>
        <v>1.41</v>
      </c>
      <c r="I132" s="2"/>
    </row>
    <row r="133" spans="1:16" x14ac:dyDescent="0.25">
      <c r="A133" s="103">
        <v>20011</v>
      </c>
      <c r="B133" s="69" t="str">
        <f>IF($A133=0,"",VLOOKUP($A133,'BASE M-OBRA'!$A:$D,2))</f>
        <v>AYUDANTE ESPECIALISTA</v>
      </c>
      <c r="C133" s="2"/>
      <c r="D133" s="108">
        <v>1</v>
      </c>
      <c r="E133" s="70">
        <f>IF($A133=0,"",VLOOKUP($A133,'BASE M-OBRA'!$A:$D,4))</f>
        <v>2.79</v>
      </c>
      <c r="F133" s="55">
        <f t="shared" si="12"/>
        <v>2.79</v>
      </c>
      <c r="G133" s="106">
        <f>+G132</f>
        <v>0.5</v>
      </c>
      <c r="H133" s="56">
        <f t="shared" si="13"/>
        <v>1.4</v>
      </c>
      <c r="I133" s="2"/>
    </row>
    <row r="134" spans="1:16" x14ac:dyDescent="0.25">
      <c r="B134" s="71" t="str">
        <f>IF($A134=0,"",VLOOKUP($A134,'BASE M-OBRA'!$A:$D,2))</f>
        <v/>
      </c>
      <c r="C134" s="2"/>
      <c r="D134" s="108"/>
      <c r="E134" s="70" t="str">
        <f>IF($A134=0,"",VLOOKUP($A134,'BASE M-OBRA'!$A:$D,4))</f>
        <v/>
      </c>
      <c r="F134" s="55" t="str">
        <f t="shared" si="12"/>
        <v/>
      </c>
      <c r="G134" s="106"/>
      <c r="H134" s="56" t="str">
        <f t="shared" si="13"/>
        <v/>
      </c>
      <c r="I134" s="2"/>
    </row>
    <row r="135" spans="1:16" x14ac:dyDescent="0.25">
      <c r="B135" s="72" t="str">
        <f>IF($A135=0,"",VLOOKUP($A135,'BASE M-OBRA'!$A:$D,2))</f>
        <v/>
      </c>
      <c r="C135" s="2"/>
      <c r="D135" s="108"/>
      <c r="E135" s="70" t="str">
        <f>IF($A135=0,"",VLOOKUP($A135,'BASE M-OBRA'!$A:$D,4))</f>
        <v/>
      </c>
      <c r="F135" s="55" t="str">
        <f t="shared" si="12"/>
        <v/>
      </c>
      <c r="G135" s="106"/>
      <c r="H135" s="56" t="str">
        <f t="shared" si="13"/>
        <v/>
      </c>
      <c r="I135" s="2"/>
    </row>
    <row r="136" spans="1:16" x14ac:dyDescent="0.25">
      <c r="B136" s="38" t="str">
        <f>IF($A136=0,"",VLOOKUP($A136,'BASE M-OBRA'!$A:$D,2))</f>
        <v/>
      </c>
      <c r="C136" s="2"/>
      <c r="D136" s="55"/>
      <c r="E136" s="55" t="str">
        <f>IF($A136=0,"",VLOOKUP($A136,'BASE M-OBRA'!$A:$D,4))</f>
        <v/>
      </c>
      <c r="F136" s="55" t="str">
        <f t="shared" si="12"/>
        <v/>
      </c>
      <c r="G136" s="106"/>
      <c r="H136" s="56" t="str">
        <f t="shared" si="13"/>
        <v/>
      </c>
      <c r="I136" s="2"/>
    </row>
    <row r="137" spans="1:16" x14ac:dyDescent="0.25">
      <c r="B137" s="57" t="str">
        <f>IF($A137=0,"",VLOOKUP($A137,'BASE M-OBRA'!$A:$D,2))</f>
        <v/>
      </c>
      <c r="C137" s="58"/>
      <c r="D137" s="59"/>
      <c r="E137" s="59" t="str">
        <f>IF($A137=0,"",VLOOKUP($A137,'BASE M-OBRA'!$A:$D,4))</f>
        <v/>
      </c>
      <c r="F137" s="59" t="str">
        <f t="shared" si="12"/>
        <v/>
      </c>
      <c r="G137" s="107"/>
      <c r="H137" s="60" t="str">
        <f t="shared" si="13"/>
        <v/>
      </c>
      <c r="I137" s="2"/>
    </row>
    <row r="138" spans="1:16" x14ac:dyDescent="0.25">
      <c r="B138" s="73" t="s">
        <v>1685</v>
      </c>
      <c r="C138" s="65"/>
      <c r="D138" s="74"/>
      <c r="E138" s="74"/>
      <c r="F138" s="74"/>
      <c r="G138" s="74"/>
      <c r="H138" s="75">
        <f>ROUND(SUM(H130:H137),2)</f>
        <v>2.81</v>
      </c>
      <c r="I138" s="2"/>
    </row>
    <row r="139" spans="1:16" x14ac:dyDescent="0.25">
      <c r="B139" s="38" t="s">
        <v>1684</v>
      </c>
      <c r="C139" s="2"/>
      <c r="D139" s="3"/>
      <c r="E139" s="3"/>
      <c r="F139" s="3"/>
      <c r="G139" s="3"/>
      <c r="H139" s="56"/>
      <c r="I139" s="2"/>
    </row>
    <row r="140" spans="1:16" ht="25.5" x14ac:dyDescent="0.25">
      <c r="B140" s="64" t="s">
        <v>1409</v>
      </c>
      <c r="C140" s="65"/>
      <c r="D140" s="76"/>
      <c r="E140" s="66" t="s">
        <v>1408</v>
      </c>
      <c r="F140" s="66" t="s">
        <v>1679</v>
      </c>
      <c r="G140" s="66" t="s">
        <v>1683</v>
      </c>
      <c r="H140" s="68" t="s">
        <v>1675</v>
      </c>
      <c r="I140" s="2"/>
    </row>
    <row r="141" spans="1:16" x14ac:dyDescent="0.25">
      <c r="A141" s="103">
        <v>12006</v>
      </c>
      <c r="B141" s="38" t="str">
        <f>IF($A141=0,"",VLOOKUP($A141,'BASE MATERIAL'!$A:$D,2))</f>
        <v xml:space="preserve">PLANCHA ETERNIT </v>
      </c>
      <c r="C141" s="2"/>
      <c r="D141" s="77"/>
      <c r="E141" s="78" t="str">
        <f>IF($A141=0,"",VLOOKUP($A141,'BASE MATERIAL'!$A:$D,3))</f>
        <v>M2</v>
      </c>
      <c r="F141" s="113">
        <v>1</v>
      </c>
      <c r="G141" s="55">
        <f>IF($A141=0,"",VLOOKUP($A141,'BASE MATERIAL'!$A:$D,4))</f>
        <v>5.604166666666667</v>
      </c>
      <c r="H141" s="56">
        <f t="shared" ref="H141:H151" si="14">IF($A141=0,"",ROUND(F141*G141,2))</f>
        <v>5.6</v>
      </c>
      <c r="I141" s="2"/>
      <c r="L141" s="2"/>
      <c r="M141" s="2"/>
      <c r="N141" s="39"/>
      <c r="O141" s="2"/>
      <c r="P141" s="2"/>
    </row>
    <row r="142" spans="1:16" x14ac:dyDescent="0.25">
      <c r="B142" s="38" t="str">
        <f>IF($A142=0,"",VLOOKUP($A142,'BASE MATERIAL'!$A:$D,2))</f>
        <v/>
      </c>
      <c r="C142" s="2"/>
      <c r="D142" s="77"/>
      <c r="E142" s="78" t="str">
        <f>IF($A142=0,"",VLOOKUP($A142,'BASE MATERIAL'!$A:$D,3))</f>
        <v/>
      </c>
      <c r="F142" s="113"/>
      <c r="G142" s="55" t="str">
        <f>IF($A142=0,"",VLOOKUP($A142,'BASE MATERIAL'!$A:$D,4))</f>
        <v/>
      </c>
      <c r="H142" s="56" t="str">
        <f t="shared" si="14"/>
        <v/>
      </c>
      <c r="I142" s="2"/>
      <c r="L142" s="2"/>
      <c r="M142" s="2"/>
      <c r="N142" s="39"/>
      <c r="O142" s="2"/>
      <c r="P142" s="2"/>
    </row>
    <row r="143" spans="1:16" x14ac:dyDescent="0.25">
      <c r="B143" s="38" t="str">
        <f>IF($A143=0,"",VLOOKUP($A143,'BASE MATERIAL'!$A:$D,2))</f>
        <v/>
      </c>
      <c r="C143" s="2"/>
      <c r="D143" s="77"/>
      <c r="E143" s="78" t="str">
        <f>IF($A143=0,"",VLOOKUP($A143,'BASE MATERIAL'!$A:$D,3))</f>
        <v/>
      </c>
      <c r="F143" s="113"/>
      <c r="G143" s="55" t="str">
        <f>IF($A143=0,"",VLOOKUP($A143,'BASE MATERIAL'!$A:$D,4))</f>
        <v/>
      </c>
      <c r="H143" s="56" t="str">
        <f t="shared" si="14"/>
        <v/>
      </c>
      <c r="I143" s="2"/>
      <c r="J143" s="79"/>
      <c r="L143" s="2"/>
      <c r="M143" s="2"/>
      <c r="N143" s="39"/>
      <c r="O143" s="2"/>
      <c r="P143" s="2"/>
    </row>
    <row r="144" spans="1:16" x14ac:dyDescent="0.25">
      <c r="B144" s="38" t="str">
        <f>IF($A144=0,"",VLOOKUP($A144,'BASE MATERIAL'!$A:$D,2))</f>
        <v/>
      </c>
      <c r="C144" s="2"/>
      <c r="D144" s="77"/>
      <c r="E144" s="78" t="str">
        <f>IF($A144=0,"",VLOOKUP($A144,'BASE MATERIAL'!$A:$D,3))</f>
        <v/>
      </c>
      <c r="F144" s="113"/>
      <c r="G144" s="55" t="str">
        <f>IF($A144=0,"",VLOOKUP($A144,'BASE MATERIAL'!$A:$D,4))</f>
        <v/>
      </c>
      <c r="H144" s="56" t="str">
        <f t="shared" si="14"/>
        <v/>
      </c>
      <c r="I144" s="2"/>
      <c r="L144" s="2"/>
      <c r="M144" s="2"/>
      <c r="N144" s="39"/>
      <c r="O144" s="2"/>
      <c r="P144" s="2"/>
    </row>
    <row r="145" spans="1:16" x14ac:dyDescent="0.25">
      <c r="B145" s="38" t="str">
        <f>IF($A145=0,"",VLOOKUP($A145,'BASE MATERIAL'!$A:$D,2))</f>
        <v/>
      </c>
      <c r="C145" s="2"/>
      <c r="D145" s="77"/>
      <c r="E145" s="78" t="str">
        <f>IF($A145=0,"",VLOOKUP($A145,'BASE MATERIAL'!$A:$D,3))</f>
        <v/>
      </c>
      <c r="F145" s="113"/>
      <c r="G145" s="55" t="str">
        <f>IF($A145=0,"",VLOOKUP($A145,'BASE MATERIAL'!$A:$D,4))</f>
        <v/>
      </c>
      <c r="H145" s="56" t="str">
        <f t="shared" si="14"/>
        <v/>
      </c>
      <c r="I145" s="2"/>
      <c r="J145" s="79"/>
      <c r="L145" s="2"/>
      <c r="M145" s="2"/>
      <c r="N145" s="39"/>
      <c r="O145" s="2"/>
      <c r="P145" s="2"/>
    </row>
    <row r="146" spans="1:16" x14ac:dyDescent="0.25">
      <c r="B146" s="38" t="str">
        <f>IF($A146=0,"",VLOOKUP($A146,'BASE MATERIAL'!$A:$D,2))</f>
        <v/>
      </c>
      <c r="C146" s="2"/>
      <c r="D146" s="77"/>
      <c r="E146" s="78" t="str">
        <f>IF($A146=0,"",VLOOKUP($A146,'BASE MATERIAL'!$A:$D,3))</f>
        <v/>
      </c>
      <c r="F146" s="113"/>
      <c r="G146" s="55" t="str">
        <f>IF($A146=0,"",VLOOKUP($A146,'BASE MATERIAL'!$A:$D,4))</f>
        <v/>
      </c>
      <c r="H146" s="56" t="str">
        <f t="shared" si="14"/>
        <v/>
      </c>
      <c r="I146" s="2"/>
      <c r="J146" s="79"/>
      <c r="L146" s="2"/>
      <c r="M146" s="2"/>
      <c r="N146" s="39"/>
      <c r="O146" s="2"/>
      <c r="P146" s="2"/>
    </row>
    <row r="147" spans="1:16" x14ac:dyDescent="0.25">
      <c r="B147" s="38" t="str">
        <f>IF($A147=0,"",VLOOKUP($A147,'BASE MATERIAL'!$A:$D,2))</f>
        <v/>
      </c>
      <c r="C147" s="2"/>
      <c r="D147" s="77"/>
      <c r="E147" s="78" t="str">
        <f>IF($A147=0,"",VLOOKUP($A147,'BASE MATERIAL'!$A:$D,3))</f>
        <v/>
      </c>
      <c r="F147" s="55"/>
      <c r="G147" s="55" t="str">
        <f>IF($A147=0,"",VLOOKUP($A147,'BASE MATERIAL'!$A:$D,4))</f>
        <v/>
      </c>
      <c r="H147" s="56" t="str">
        <f t="shared" si="14"/>
        <v/>
      </c>
      <c r="I147" s="2"/>
      <c r="L147" s="2"/>
      <c r="M147" s="2"/>
      <c r="N147" s="39"/>
      <c r="O147" s="2"/>
      <c r="P147" s="2"/>
    </row>
    <row r="148" spans="1:16" x14ac:dyDescent="0.25">
      <c r="B148" s="38" t="str">
        <f>IF($A148=0,"",VLOOKUP($A148,'BASE MATERIAL'!$A:$D,2))</f>
        <v/>
      </c>
      <c r="C148" s="2"/>
      <c r="D148" s="77"/>
      <c r="E148" s="78" t="str">
        <f>IF($A148=0,"",VLOOKUP($A148,'BASE MATERIAL'!$A:$D,3))</f>
        <v/>
      </c>
      <c r="F148" s="55"/>
      <c r="G148" s="55" t="str">
        <f>IF($A148=0,"",VLOOKUP($A148,'BASE MATERIAL'!$A:$D,4))</f>
        <v/>
      </c>
      <c r="H148" s="56" t="str">
        <f t="shared" si="14"/>
        <v/>
      </c>
      <c r="I148" s="2"/>
      <c r="J148" s="79"/>
      <c r="L148" s="2"/>
      <c r="M148" s="2"/>
      <c r="N148" s="39"/>
      <c r="O148" s="2"/>
      <c r="P148" s="2"/>
    </row>
    <row r="149" spans="1:16" x14ac:dyDescent="0.25">
      <c r="B149" s="38" t="str">
        <f>IF($A149=0,"",VLOOKUP($A149,'BASE MATERIAL'!$A:$D,2))</f>
        <v/>
      </c>
      <c r="C149" s="2"/>
      <c r="D149" s="77"/>
      <c r="E149" s="78" t="str">
        <f>IF($A149=0,"",VLOOKUP($A149,'BASE MATERIAL'!$A:$D,3))</f>
        <v/>
      </c>
      <c r="F149" s="55"/>
      <c r="G149" s="55" t="str">
        <f>IF($A149=0,"",VLOOKUP($A149,'BASE MATERIAL'!$A:$D,4))</f>
        <v/>
      </c>
      <c r="H149" s="56" t="str">
        <f t="shared" si="14"/>
        <v/>
      </c>
      <c r="I149" s="2"/>
      <c r="J149" s="79"/>
    </row>
    <row r="150" spans="1:16" x14ac:dyDescent="0.25">
      <c r="B150" s="38" t="str">
        <f>IF($A150=0,"",VLOOKUP($A150,'BASE MATERIAL'!$A:$D,2))</f>
        <v/>
      </c>
      <c r="C150" s="2"/>
      <c r="D150" s="77"/>
      <c r="E150" s="78" t="str">
        <f>IF($A150=0,"",VLOOKUP($A150,'BASE MATERIAL'!$A:$D,3))</f>
        <v/>
      </c>
      <c r="F150" s="55"/>
      <c r="G150" s="55" t="str">
        <f>IF($A150=0,"",VLOOKUP($A150,'BASE MATERIAL'!$A:$D,4))</f>
        <v/>
      </c>
      <c r="H150" s="56" t="str">
        <f t="shared" si="14"/>
        <v/>
      </c>
      <c r="I150" s="2"/>
      <c r="L150" s="2"/>
      <c r="M150" s="2"/>
      <c r="N150" s="39"/>
      <c r="O150" s="2"/>
      <c r="P150" s="2"/>
    </row>
    <row r="151" spans="1:16" x14ac:dyDescent="0.25">
      <c r="B151" s="38" t="str">
        <f>IF($A151=0,"",VLOOKUP($A151,'BASE MATERIAL'!$A:$D,2))</f>
        <v/>
      </c>
      <c r="C151" s="2"/>
      <c r="D151" s="77"/>
      <c r="E151" s="78" t="str">
        <f>IF($A151=0,"",VLOOKUP($A151,'BASE MATERIAL'!$A:$D,3))</f>
        <v/>
      </c>
      <c r="F151" s="55"/>
      <c r="G151" s="55" t="str">
        <f>IF($A151=0,"",VLOOKUP($A151,'BASE MATERIAL'!$A:$D,4))</f>
        <v/>
      </c>
      <c r="H151" s="56" t="str">
        <f t="shared" si="14"/>
        <v/>
      </c>
      <c r="I151" s="2"/>
      <c r="J151" s="79"/>
      <c r="L151" s="2"/>
      <c r="M151" s="2"/>
      <c r="N151" s="39"/>
      <c r="O151" s="2"/>
      <c r="P151" s="2"/>
    </row>
    <row r="152" spans="1:16" x14ac:dyDescent="0.25">
      <c r="B152" s="38" t="str">
        <f>IF($A152=0,"",VLOOKUP($A152,'BASE MATERIAL'!$A:$D,2))</f>
        <v/>
      </c>
      <c r="C152" s="2"/>
      <c r="D152" s="77"/>
      <c r="E152" s="78" t="str">
        <f>IF($A152=0,"",VLOOKUP($A152,'BASE MATERIAL'!$A:$D,3))</f>
        <v/>
      </c>
      <c r="F152" s="55"/>
      <c r="G152" s="55" t="str">
        <f>IF($A152=0,"",VLOOKUP($A152,'BASE MATERIAL'!$A:$D,4))</f>
        <v/>
      </c>
      <c r="H152" s="56" t="str">
        <f>IF($A152=0,"",ROUND(F152*G152,2))</f>
        <v/>
      </c>
      <c r="I152" s="2"/>
      <c r="J152" s="79"/>
    </row>
    <row r="153" spans="1:16" x14ac:dyDescent="0.25">
      <c r="B153" s="38" t="str">
        <f>IF($A153=0,"",VLOOKUP($A153,'BASE MATERIAL'!$A:$D,2))</f>
        <v/>
      </c>
      <c r="C153" s="2"/>
      <c r="D153" s="77"/>
      <c r="E153" s="78" t="str">
        <f>IF($A153=0,"",VLOOKUP($A153,'BASE MATERIAL'!$A:$D,3))</f>
        <v/>
      </c>
      <c r="F153" s="55"/>
      <c r="G153" s="55" t="str">
        <f>IF($A153=0,"",VLOOKUP($A153,'BASE MATERIAL'!$A:$D,4))</f>
        <v/>
      </c>
      <c r="H153" s="56" t="str">
        <f>IF($A153=0,"",ROUND(F153*G153,2))</f>
        <v/>
      </c>
      <c r="I153" s="2"/>
      <c r="J153" s="79"/>
    </row>
    <row r="154" spans="1:16" x14ac:dyDescent="0.25">
      <c r="B154" s="38" t="str">
        <f>IF($A154=0,"",VLOOKUP($A154,'BASE MATERIAL'!$A:$D,2))</f>
        <v/>
      </c>
      <c r="C154" s="2"/>
      <c r="D154" s="77"/>
      <c r="E154" s="78" t="str">
        <f>IF($A154=0,"",VLOOKUP($A154,'BASE MATERIAL'!$A:$D,3))</f>
        <v/>
      </c>
      <c r="F154" s="55"/>
      <c r="G154" s="55" t="str">
        <f>IF($A154=0,"",VLOOKUP($A154,'BASE MATERIAL'!$A:$D,4))</f>
        <v/>
      </c>
      <c r="H154" s="56" t="str">
        <f>IF($A154=0,"",ROUND(F154*G154,2))</f>
        <v/>
      </c>
      <c r="I154" s="2"/>
    </row>
    <row r="155" spans="1:16" x14ac:dyDescent="0.25">
      <c r="B155" s="38" t="str">
        <f>IF($A155=0,"",VLOOKUP($A155,'BASE MATERIAL'!$A:$D,2))</f>
        <v/>
      </c>
      <c r="C155" s="2"/>
      <c r="D155" s="77"/>
      <c r="E155" s="78" t="str">
        <f>IF($A155=0,"",VLOOKUP($A155,'BASE MATERIAL'!$A:$D,3))</f>
        <v/>
      </c>
      <c r="F155" s="55"/>
      <c r="G155" s="55" t="str">
        <f>IF($A155=0,"",VLOOKUP($A155,'BASE MATERIAL'!$A:$D,4))</f>
        <v/>
      </c>
      <c r="H155" s="56" t="str">
        <f>IF($A155=0,"",ROUND(F155*G155,2))</f>
        <v/>
      </c>
      <c r="I155" s="2"/>
    </row>
    <row r="156" spans="1:16" x14ac:dyDescent="0.25">
      <c r="B156" s="38" t="str">
        <f>IF($A156=0,"",VLOOKUP($A156,'BASE MATERIAL'!$A:$D,2))</f>
        <v/>
      </c>
      <c r="C156" s="2"/>
      <c r="D156" s="81" t="s">
        <v>1682</v>
      </c>
      <c r="E156" s="55" t="str">
        <f>IF($A156=0,"",VLOOKUP($A156,'BASE MATERIAL'!$A:$D,3))</f>
        <v/>
      </c>
      <c r="F156" s="55" t="s">
        <v>1682</v>
      </c>
      <c r="G156" s="55" t="str">
        <f>IF($A156=0,"",VLOOKUP($A156,'BASE MATERIAL'!$A:$D,4))</f>
        <v/>
      </c>
      <c r="H156" s="56" t="str">
        <f>IF($A156=0,"",ROUND(E156*F156,2))</f>
        <v/>
      </c>
      <c r="I156" s="2"/>
    </row>
    <row r="157" spans="1:16" x14ac:dyDescent="0.25">
      <c r="B157" s="73" t="s">
        <v>1681</v>
      </c>
      <c r="C157" s="65"/>
      <c r="D157" s="74"/>
      <c r="E157" s="74"/>
      <c r="F157" s="74"/>
      <c r="G157" s="74"/>
      <c r="H157" s="75">
        <f>ROUND(SUM(H140:H156),2)</f>
        <v>5.6</v>
      </c>
      <c r="I157" s="2"/>
    </row>
    <row r="158" spans="1:16" x14ac:dyDescent="0.25">
      <c r="B158" s="38" t="s">
        <v>1680</v>
      </c>
      <c r="C158" s="2"/>
      <c r="D158" s="3"/>
      <c r="E158" s="3"/>
      <c r="F158" s="3"/>
      <c r="G158" s="3"/>
      <c r="H158" s="56"/>
      <c r="I158" s="2"/>
    </row>
    <row r="159" spans="1:16" ht="25.5" x14ac:dyDescent="0.25">
      <c r="B159" s="64" t="s">
        <v>1409</v>
      </c>
      <c r="C159" s="65"/>
      <c r="D159" s="76"/>
      <c r="E159" s="66" t="s">
        <v>1408</v>
      </c>
      <c r="F159" s="66" t="s">
        <v>1679</v>
      </c>
      <c r="G159" s="66" t="s">
        <v>1676</v>
      </c>
      <c r="H159" s="68" t="s">
        <v>1675</v>
      </c>
      <c r="I159" s="2"/>
    </row>
    <row r="160" spans="1:16" x14ac:dyDescent="0.25">
      <c r="A160" s="103">
        <v>19019</v>
      </c>
      <c r="B160" s="51" t="str">
        <f>IF($A160=0,"",VLOOKUP($A160,'BASE EQUIPO'!$A:$D,2))</f>
        <v>TRANSPORTE DE MATERIAL</v>
      </c>
      <c r="C160" s="52"/>
      <c r="D160" s="82"/>
      <c r="E160" s="78" t="str">
        <f>IF($A160=0,"",VLOOKUP($A160,'BASE EQUIPO'!$A:$D,3))</f>
        <v>GLOBAL</v>
      </c>
      <c r="F160" s="55">
        <v>1</v>
      </c>
      <c r="G160" s="83">
        <f>IF($A160=0,"",VLOOKUP($A160,'BASE EQUIPO'!$A:$D,4)*H157)</f>
        <v>0.16799999999999998</v>
      </c>
      <c r="H160" s="56">
        <f>IF($A160=0,"",ROUND(F160*G160,2))</f>
        <v>0.17</v>
      </c>
      <c r="I160" s="2"/>
    </row>
    <row r="161" spans="1:15" x14ac:dyDescent="0.25">
      <c r="B161" s="38" t="str">
        <f>IF($A161=0,"",VLOOKUP($A161,'BASE EQUIPO'!$A:$D,2))</f>
        <v/>
      </c>
      <c r="C161" s="2"/>
      <c r="D161" s="84"/>
      <c r="E161" s="78" t="str">
        <f>IF($A161=0,"",VLOOKUP($A161,'BASE EQUIPO'!$A:$D,3))</f>
        <v/>
      </c>
      <c r="F161" s="55"/>
      <c r="G161" s="55" t="str">
        <f>IF($A161=0,"",VLOOKUP($A161,'BASE EQUIPO'!$A:$D,4)*H158)</f>
        <v/>
      </c>
      <c r="H161" s="56" t="str">
        <f>IF($A161=0,"",ROUND(F161*G161,2))</f>
        <v/>
      </c>
      <c r="I161" s="2"/>
    </row>
    <row r="162" spans="1:15" x14ac:dyDescent="0.25">
      <c r="B162" s="57" t="str">
        <f>IF($A162=0,"",VLOOKUP($A162,'BASE EQUIPO'!$A:$D,2))</f>
        <v/>
      </c>
      <c r="C162" s="58"/>
      <c r="D162" s="85"/>
      <c r="E162" s="86" t="str">
        <f>IF($A162=0,"",VLOOKUP($A162,'BASE EQUIPO'!$A:$D,3))</f>
        <v/>
      </c>
      <c r="F162" s="59"/>
      <c r="G162" s="59" t="str">
        <f>IF($A162=0,"",VLOOKUP($A162,'BASE EQUIPO'!$A:$D,4)*H159)</f>
        <v/>
      </c>
      <c r="H162" s="60" t="str">
        <f>IF($A162=0,"",ROUND(F162*G162,2))</f>
        <v/>
      </c>
      <c r="I162" s="2"/>
    </row>
    <row r="163" spans="1:15" ht="15.75" thickBot="1" x14ac:dyDescent="0.3">
      <c r="B163" s="87" t="s">
        <v>1674</v>
      </c>
      <c r="C163" s="88"/>
      <c r="D163" s="89"/>
      <c r="E163" s="89"/>
      <c r="F163" s="89"/>
      <c r="G163" s="89"/>
      <c r="H163" s="90">
        <f>ROUND(SUM(H159:H162),2)</f>
        <v>0.17</v>
      </c>
      <c r="I163" s="2"/>
    </row>
    <row r="164" spans="1:15" ht="15.75" x14ac:dyDescent="0.25">
      <c r="B164" s="2"/>
      <c r="C164" s="2"/>
      <c r="D164" s="91" t="s">
        <v>1673</v>
      </c>
      <c r="E164" s="47"/>
      <c r="F164" s="47"/>
      <c r="G164" s="47"/>
      <c r="H164" s="92">
        <f>ROUND(SUM(H163,H157,H138,H128),2)</f>
        <v>8.66</v>
      </c>
      <c r="I164" s="2"/>
    </row>
    <row r="165" spans="1:15" ht="15.75" x14ac:dyDescent="0.25">
      <c r="A165" s="103">
        <v>40002</v>
      </c>
      <c r="B165" s="2"/>
      <c r="C165" s="2"/>
      <c r="D165" s="93" t="s">
        <v>1672</v>
      </c>
      <c r="E165" s="65"/>
      <c r="F165" s="65"/>
      <c r="G165" s="94">
        <f>IF($A165=0,"",VLOOKUP($A165,'BASE MATERIAL'!$M:$P,4))</f>
        <v>0</v>
      </c>
      <c r="H165" s="95">
        <f>IF($A165=0,"",ROUND(G165*H164,2))</f>
        <v>0</v>
      </c>
      <c r="I165" s="2"/>
    </row>
    <row r="166" spans="1:15" ht="15.75" x14ac:dyDescent="0.25">
      <c r="A166" s="103">
        <v>40003</v>
      </c>
      <c r="B166" s="2"/>
      <c r="C166" s="2"/>
      <c r="D166" s="93" t="s">
        <v>1671</v>
      </c>
      <c r="E166" s="65"/>
      <c r="F166" s="65"/>
      <c r="G166" s="94">
        <f>IF($A166=0,"",VLOOKUP($A166,'BASE MATERIAL'!$M:$P,4))</f>
        <v>0</v>
      </c>
      <c r="H166" s="95">
        <f>IF($A166=0,"",ROUND(G166*H164,2))</f>
        <v>0</v>
      </c>
      <c r="I166" s="2"/>
    </row>
    <row r="167" spans="1:15" ht="15.75" x14ac:dyDescent="0.25">
      <c r="B167" s="2"/>
      <c r="C167" s="2"/>
      <c r="D167" s="93" t="s">
        <v>1670</v>
      </c>
      <c r="E167" s="65"/>
      <c r="F167" s="65"/>
      <c r="G167" s="65"/>
      <c r="H167" s="96">
        <f>ROUND(SUM(H164:H166),2)</f>
        <v>8.66</v>
      </c>
      <c r="I167" s="2"/>
    </row>
    <row r="168" spans="1:15" ht="16.5" thickBot="1" x14ac:dyDescent="0.3">
      <c r="B168" s="25"/>
      <c r="C168" s="2"/>
      <c r="D168" s="97" t="s">
        <v>1650</v>
      </c>
      <c r="E168" s="88"/>
      <c r="F168" s="88"/>
      <c r="G168" s="88"/>
      <c r="H168" s="98">
        <f>ROUND(H167,2)</f>
        <v>8.66</v>
      </c>
      <c r="I168" s="2"/>
    </row>
    <row r="169" spans="1:15" ht="15.75" x14ac:dyDescent="0.25">
      <c r="B169" s="34" t="s">
        <v>1701</v>
      </c>
      <c r="C169" s="2"/>
      <c r="D169" s="3" t="str">
        <f>'1.1'!$D$1</f>
        <v>ESPOL</v>
      </c>
      <c r="E169" s="2"/>
      <c r="F169" s="2"/>
      <c r="H169" s="2" t="s">
        <v>108</v>
      </c>
      <c r="I169" s="2"/>
      <c r="L169" s="40">
        <f>A173</f>
        <v>2</v>
      </c>
      <c r="M169" s="1" t="str">
        <f>C174</f>
        <v>Tapa metalica de cisterna</v>
      </c>
      <c r="N169" s="2" t="str">
        <f>H173</f>
        <v>KG</v>
      </c>
      <c r="O169" s="2">
        <f>H224</f>
        <v>61.34</v>
      </c>
    </row>
    <row r="170" spans="1:15" ht="15.75" x14ac:dyDescent="0.25">
      <c r="B170" s="34" t="s">
        <v>1700</v>
      </c>
      <c r="C170" s="3">
        <f>'1.1'!$C$2</f>
        <v>0</v>
      </c>
      <c r="D170" s="2"/>
      <c r="E170" s="2"/>
      <c r="F170" s="2"/>
      <c r="G170" s="41" t="s">
        <v>1699</v>
      </c>
      <c r="H170" s="42"/>
      <c r="I170" s="2" t="s">
        <v>1698</v>
      </c>
    </row>
    <row r="171" spans="1:15" ht="15.75" x14ac:dyDescent="0.25">
      <c r="B171" s="34"/>
      <c r="C171" s="3">
        <f>'1.1'!$C$3</f>
        <v>0</v>
      </c>
      <c r="D171" s="2"/>
      <c r="E171" s="2"/>
      <c r="F171" s="2"/>
      <c r="G171" s="2"/>
      <c r="H171" s="2"/>
      <c r="I171" s="2"/>
    </row>
    <row r="172" spans="1:15" ht="15.75" x14ac:dyDescent="0.25">
      <c r="B172" s="34" t="s">
        <v>1697</v>
      </c>
      <c r="C172" s="3"/>
      <c r="D172" s="2"/>
      <c r="E172" s="2"/>
      <c r="F172" s="2"/>
      <c r="G172" s="2"/>
      <c r="H172" s="2"/>
      <c r="I172" s="2"/>
    </row>
    <row r="173" spans="1:15" x14ac:dyDescent="0.25">
      <c r="A173" s="104">
        <v>2</v>
      </c>
      <c r="B173" s="2" t="s">
        <v>1586</v>
      </c>
      <c r="C173" s="36" t="s">
        <v>1707</v>
      </c>
      <c r="D173" s="2"/>
      <c r="G173" s="2" t="s">
        <v>1696</v>
      </c>
      <c r="H173" s="3" t="s">
        <v>901</v>
      </c>
      <c r="I173" s="2"/>
    </row>
    <row r="174" spans="1:15" x14ac:dyDescent="0.25">
      <c r="B174" s="1" t="s">
        <v>1585</v>
      </c>
      <c r="C174" s="36" t="s">
        <v>1875</v>
      </c>
      <c r="D174" s="2"/>
      <c r="E174" s="2"/>
      <c r="F174" s="2"/>
      <c r="G174" s="2"/>
      <c r="H174" s="2"/>
      <c r="I174" s="2"/>
    </row>
    <row r="175" spans="1:15" ht="15.75" thickBot="1" x14ac:dyDescent="0.3">
      <c r="D175" s="2"/>
      <c r="E175" s="2"/>
      <c r="F175" s="2"/>
      <c r="G175" s="2"/>
      <c r="H175" s="2"/>
      <c r="I175" s="2"/>
    </row>
    <row r="176" spans="1:15" ht="15.75" thickBot="1" x14ac:dyDescent="0.3">
      <c r="B176" s="43" t="s">
        <v>1695</v>
      </c>
      <c r="C176" s="44"/>
      <c r="D176" s="44"/>
      <c r="E176" s="44"/>
      <c r="F176" s="44"/>
      <c r="G176" s="44"/>
      <c r="H176" s="45"/>
      <c r="I176" s="2"/>
    </row>
    <row r="177" spans="1:11" ht="25.5" x14ac:dyDescent="0.25">
      <c r="B177" s="46" t="s">
        <v>1409</v>
      </c>
      <c r="C177" s="47"/>
      <c r="D177" s="48" t="s">
        <v>1690</v>
      </c>
      <c r="E177" s="48" t="s">
        <v>1694</v>
      </c>
      <c r="F177" s="48" t="s">
        <v>1693</v>
      </c>
      <c r="G177" s="49" t="s">
        <v>1687</v>
      </c>
      <c r="H177" s="50" t="s">
        <v>1686</v>
      </c>
      <c r="I177" s="2"/>
    </row>
    <row r="178" spans="1:11" x14ac:dyDescent="0.25">
      <c r="A178" s="103">
        <v>19015</v>
      </c>
      <c r="B178" s="51" t="str">
        <f>IF($A178=0,"",VLOOKUP($A178,'BASE EQUIPO'!$A:$D,2))</f>
        <v>HERRAMIENTA MENOR</v>
      </c>
      <c r="C178" s="52"/>
      <c r="D178" s="53">
        <v>1</v>
      </c>
      <c r="E178" s="53">
        <f>IF($A178=0,"",VLOOKUP($A178,'BASE EQUIPO'!$A:$D,4)*H194)</f>
        <v>0.87149999999999994</v>
      </c>
      <c r="F178" s="53">
        <f t="shared" ref="F178:F183" si="15">IF($A178=0,"",ROUND(D178*E178,2))</f>
        <v>0.87</v>
      </c>
      <c r="G178" s="105">
        <v>1</v>
      </c>
      <c r="H178" s="54">
        <f t="shared" ref="H178:H183" si="16">IF($A178=0,"",ROUND(G178*F178,2))</f>
        <v>0.87</v>
      </c>
      <c r="I178" s="2"/>
    </row>
    <row r="179" spans="1:11" x14ac:dyDescent="0.25">
      <c r="A179" s="103">
        <v>19011</v>
      </c>
      <c r="B179" s="38" t="str">
        <f>IF($A179=0,"",VLOOKUP($A179,'BASE EQUIPO'!$A:$D,2))</f>
        <v>SOLDADORA</v>
      </c>
      <c r="C179" s="2"/>
      <c r="D179" s="55">
        <v>1</v>
      </c>
      <c r="E179" s="55">
        <f>IF($A179=0,"",VLOOKUP($A179,'BASE EQUIPO'!$A:$D,4))</f>
        <v>2.5</v>
      </c>
      <c r="F179" s="55">
        <f t="shared" si="15"/>
        <v>2.5</v>
      </c>
      <c r="G179" s="106">
        <f>ROUND(G188*0.25,3)</f>
        <v>1.25</v>
      </c>
      <c r="H179" s="56">
        <f t="shared" si="16"/>
        <v>3.13</v>
      </c>
      <c r="I179" s="2"/>
    </row>
    <row r="180" spans="1:11" x14ac:dyDescent="0.25">
      <c r="A180" s="103">
        <v>19023</v>
      </c>
      <c r="B180" s="38" t="str">
        <f>IF($A180=0,"",VLOOKUP($A180,'BASE EQUIPO'!$A:$D,2))</f>
        <v>COMPRESOR Y PISTOLA</v>
      </c>
      <c r="C180" s="2"/>
      <c r="D180" s="55">
        <v>1</v>
      </c>
      <c r="E180" s="55">
        <f>IF($A180=0,"",VLOOKUP($A180,'BASE EQUIPO'!$A:$D,4))</f>
        <v>1.875</v>
      </c>
      <c r="F180" s="55">
        <f t="shared" si="15"/>
        <v>1.88</v>
      </c>
      <c r="G180" s="106">
        <f>+G179</f>
        <v>1.25</v>
      </c>
      <c r="H180" s="56">
        <f t="shared" si="16"/>
        <v>2.35</v>
      </c>
      <c r="I180" s="2"/>
    </row>
    <row r="181" spans="1:11" x14ac:dyDescent="0.25">
      <c r="B181" s="38" t="str">
        <f>IF($A181=0,"",VLOOKUP($A181,'BASE EQUIPO'!$A:$D,2))</f>
        <v/>
      </c>
      <c r="C181" s="2"/>
      <c r="D181" s="55"/>
      <c r="E181" s="55" t="str">
        <f>IF($A181=0,"",VLOOKUP($A181,'BASE EQUIPO'!$A:$D,4))</f>
        <v/>
      </c>
      <c r="F181" s="55" t="str">
        <f t="shared" si="15"/>
        <v/>
      </c>
      <c r="G181" s="106"/>
      <c r="H181" s="56" t="str">
        <f t="shared" si="16"/>
        <v/>
      </c>
      <c r="I181" s="2"/>
    </row>
    <row r="182" spans="1:11" x14ac:dyDescent="0.25">
      <c r="B182" s="38" t="str">
        <f>IF($A182=0,"",VLOOKUP($A182,'BASE EQUIPO'!$A:$D,2))</f>
        <v/>
      </c>
      <c r="C182" s="2"/>
      <c r="D182" s="55"/>
      <c r="E182" s="55" t="str">
        <f>IF($A182=0,"",VLOOKUP($A182,'BASE EQUIPO'!$A:$D,4))</f>
        <v/>
      </c>
      <c r="F182" s="55" t="str">
        <f t="shared" si="15"/>
        <v/>
      </c>
      <c r="G182" s="106"/>
      <c r="H182" s="56" t="str">
        <f t="shared" si="16"/>
        <v/>
      </c>
      <c r="I182" s="2"/>
    </row>
    <row r="183" spans="1:11" x14ac:dyDescent="0.25">
      <c r="B183" s="57" t="str">
        <f>IF($A183=0,"",VLOOKUP($A183,'BASE EQUIPO'!$A:$D,2))</f>
        <v/>
      </c>
      <c r="C183" s="58"/>
      <c r="D183" s="59"/>
      <c r="E183" s="59" t="str">
        <f>IF($A183=0,"",VLOOKUP($A183,'BASE EQUIPO'!$A:$D,4))</f>
        <v/>
      </c>
      <c r="F183" s="59" t="str">
        <f t="shared" si="15"/>
        <v/>
      </c>
      <c r="G183" s="107"/>
      <c r="H183" s="60" t="str">
        <f t="shared" si="16"/>
        <v/>
      </c>
      <c r="I183" s="2"/>
    </row>
    <row r="184" spans="1:11" x14ac:dyDescent="0.25">
      <c r="B184" s="57" t="s">
        <v>1692</v>
      </c>
      <c r="C184" s="58"/>
      <c r="D184" s="61"/>
      <c r="E184" s="61"/>
      <c r="F184" s="61"/>
      <c r="G184" s="62"/>
      <c r="H184" s="60">
        <f>ROUND(SUM(H177:H183),2)</f>
        <v>6.35</v>
      </c>
      <c r="I184" s="2"/>
    </row>
    <row r="185" spans="1:11" x14ac:dyDescent="0.25">
      <c r="B185" s="38" t="s">
        <v>1503</v>
      </c>
      <c r="C185" s="2"/>
      <c r="D185" s="3"/>
      <c r="E185" s="3"/>
      <c r="F185" s="3"/>
      <c r="G185" s="63"/>
      <c r="H185" s="56"/>
      <c r="I185" s="2"/>
    </row>
    <row r="186" spans="1:11" ht="25.5" x14ac:dyDescent="0.25">
      <c r="B186" s="64" t="s">
        <v>1691</v>
      </c>
      <c r="C186" s="65"/>
      <c r="D186" s="66" t="s">
        <v>1690</v>
      </c>
      <c r="E186" s="66" t="s">
        <v>1689</v>
      </c>
      <c r="F186" s="66" t="s">
        <v>1688</v>
      </c>
      <c r="G186" s="67" t="s">
        <v>1687</v>
      </c>
      <c r="H186" s="68" t="s">
        <v>1686</v>
      </c>
      <c r="I186" s="2"/>
    </row>
    <row r="187" spans="1:11" x14ac:dyDescent="0.25">
      <c r="B187" s="69" t="str">
        <f>IF($A187=0,"",VLOOKUP($A187,'BASE M-OBRA'!$A:$D,2))</f>
        <v/>
      </c>
      <c r="C187" s="2"/>
      <c r="D187" s="108"/>
      <c r="E187" s="70" t="str">
        <f>IF($A187=0,"",VLOOKUP($A187,'BASE M-OBRA'!$A:$D,4))</f>
        <v/>
      </c>
      <c r="F187" s="55" t="str">
        <f t="shared" ref="F187:F193" si="17">IF($A187=0,"",ROUND(D187*E187,2))</f>
        <v/>
      </c>
      <c r="G187" s="106" t="str">
        <f>IF($A187=0,"",ROUND(H187/F187,2))</f>
        <v/>
      </c>
      <c r="H187" s="56" t="str">
        <f>IF($A187=0,"",ROUND(SUM(H188:H193)*'BASE M-OBRA'!$D$23,2))</f>
        <v/>
      </c>
      <c r="I187" s="2"/>
    </row>
    <row r="188" spans="1:11" x14ac:dyDescent="0.25">
      <c r="A188" s="103">
        <v>20006</v>
      </c>
      <c r="B188" s="69" t="str">
        <f>IF($A188=0,"",VLOOKUP($A188,'BASE M-OBRA'!$A:$D,2))</f>
        <v>MAESTRO  SOLDADOR</v>
      </c>
      <c r="C188" s="2"/>
      <c r="D188" s="108">
        <v>1</v>
      </c>
      <c r="E188" s="70">
        <f>IF($A188=0,"",VLOOKUP($A188,'BASE M-OBRA'!$A:$D,4))</f>
        <v>3.02</v>
      </c>
      <c r="F188" s="55">
        <f t="shared" si="17"/>
        <v>3.02</v>
      </c>
      <c r="G188" s="106">
        <v>5</v>
      </c>
      <c r="H188" s="56">
        <f t="shared" ref="H188:H193" si="18">IF($A188=0,"",ROUND(G188*F188,2))</f>
        <v>15.1</v>
      </c>
      <c r="I188" s="2"/>
    </row>
    <row r="189" spans="1:11" x14ac:dyDescent="0.25">
      <c r="A189" s="103">
        <v>20011</v>
      </c>
      <c r="B189" s="69" t="str">
        <f>IF($A189=0,"",VLOOKUP($A189,'BASE M-OBRA'!$A:$D,2))</f>
        <v>AYUDANTE ESPECIALISTA</v>
      </c>
      <c r="C189" s="2"/>
      <c r="D189" s="108">
        <v>1</v>
      </c>
      <c r="E189" s="70">
        <f>IF($A189=0,"",VLOOKUP($A189,'BASE M-OBRA'!$A:$D,4))</f>
        <v>2.79</v>
      </c>
      <c r="F189" s="55">
        <f t="shared" si="17"/>
        <v>2.79</v>
      </c>
      <c r="G189" s="106">
        <f>+G188</f>
        <v>5</v>
      </c>
      <c r="H189" s="56">
        <f t="shared" si="18"/>
        <v>13.95</v>
      </c>
      <c r="I189" s="2"/>
    </row>
    <row r="190" spans="1:11" x14ac:dyDescent="0.25">
      <c r="B190" s="71" t="str">
        <f>IF($A190=0,"",VLOOKUP($A190,'BASE M-OBRA'!$A:$D,2))</f>
        <v/>
      </c>
      <c r="C190" s="2"/>
      <c r="D190" s="108"/>
      <c r="E190" s="70" t="str">
        <f>IF($A190=0,"",VLOOKUP($A190,'BASE M-OBRA'!$A:$D,4))</f>
        <v/>
      </c>
      <c r="F190" s="55" t="str">
        <f t="shared" si="17"/>
        <v/>
      </c>
      <c r="G190" s="106"/>
      <c r="H190" s="56" t="str">
        <f t="shared" si="18"/>
        <v/>
      </c>
      <c r="I190" s="2"/>
      <c r="K190" s="1">
        <f>3*2.9</f>
        <v>8.6999999999999993</v>
      </c>
    </row>
    <row r="191" spans="1:11" x14ac:dyDescent="0.25">
      <c r="B191" s="72" t="str">
        <f>IF($A191=0,"",VLOOKUP($A191,'BASE M-OBRA'!$A:$D,2))</f>
        <v/>
      </c>
      <c r="C191" s="2"/>
      <c r="D191" s="108"/>
      <c r="E191" s="70" t="str">
        <f>IF($A191=0,"",VLOOKUP($A191,'BASE M-OBRA'!$A:$D,4))</f>
        <v/>
      </c>
      <c r="F191" s="55" t="str">
        <f t="shared" si="17"/>
        <v/>
      </c>
      <c r="G191" s="106"/>
      <c r="H191" s="56" t="str">
        <f t="shared" si="18"/>
        <v/>
      </c>
      <c r="I191" s="2"/>
      <c r="K191" s="1">
        <f>70*0.15</f>
        <v>10.5</v>
      </c>
    </row>
    <row r="192" spans="1:11" x14ac:dyDescent="0.25">
      <c r="B192" s="38" t="str">
        <f>IF($A192=0,"",VLOOKUP($A192,'BASE M-OBRA'!$A:$D,2))</f>
        <v/>
      </c>
      <c r="C192" s="2"/>
      <c r="D192" s="55"/>
      <c r="E192" s="55" t="str">
        <f>IF($A192=0,"",VLOOKUP($A192,'BASE M-OBRA'!$A:$D,4))</f>
        <v/>
      </c>
      <c r="F192" s="55" t="str">
        <f t="shared" si="17"/>
        <v/>
      </c>
      <c r="G192" s="106"/>
      <c r="H192" s="56" t="str">
        <f t="shared" si="18"/>
        <v/>
      </c>
      <c r="I192" s="2"/>
    </row>
    <row r="193" spans="1:16" x14ac:dyDescent="0.25">
      <c r="B193" s="57" t="str">
        <f>IF($A193=0,"",VLOOKUP($A193,'BASE M-OBRA'!$A:$D,2))</f>
        <v/>
      </c>
      <c r="C193" s="58"/>
      <c r="D193" s="59"/>
      <c r="E193" s="59" t="str">
        <f>IF($A193=0,"",VLOOKUP($A193,'BASE M-OBRA'!$A:$D,4))</f>
        <v/>
      </c>
      <c r="F193" s="59" t="str">
        <f t="shared" si="17"/>
        <v/>
      </c>
      <c r="G193" s="107"/>
      <c r="H193" s="60" t="str">
        <f t="shared" si="18"/>
        <v/>
      </c>
      <c r="I193" s="2"/>
    </row>
    <row r="194" spans="1:16" x14ac:dyDescent="0.25">
      <c r="B194" s="73" t="s">
        <v>1685</v>
      </c>
      <c r="C194" s="65"/>
      <c r="D194" s="74"/>
      <c r="E194" s="74"/>
      <c r="F194" s="74"/>
      <c r="G194" s="74"/>
      <c r="H194" s="75">
        <f>ROUND(SUM(H186:H193),2)</f>
        <v>29.05</v>
      </c>
      <c r="I194" s="2"/>
    </row>
    <row r="195" spans="1:16" x14ac:dyDescent="0.25">
      <c r="B195" s="38" t="s">
        <v>1684</v>
      </c>
      <c r="C195" s="2"/>
      <c r="D195" s="3"/>
      <c r="E195" s="3"/>
      <c r="F195" s="3"/>
      <c r="G195" s="3"/>
      <c r="H195" s="56"/>
      <c r="I195" s="2"/>
    </row>
    <row r="196" spans="1:16" ht="25.5" x14ac:dyDescent="0.25">
      <c r="B196" s="64" t="s">
        <v>1409</v>
      </c>
      <c r="C196" s="65"/>
      <c r="D196" s="76"/>
      <c r="E196" s="66" t="s">
        <v>1408</v>
      </c>
      <c r="F196" s="66" t="s">
        <v>1679</v>
      </c>
      <c r="G196" s="66" t="s">
        <v>1683</v>
      </c>
      <c r="H196" s="68" t="s">
        <v>1675</v>
      </c>
      <c r="I196" s="2"/>
    </row>
    <row r="197" spans="1:16" x14ac:dyDescent="0.25">
      <c r="B197" s="37" t="str">
        <f>IF($A197=0,"",VLOOKUP($A197,'BASE MATERIAL'!$A:$D,2))</f>
        <v/>
      </c>
      <c r="C197" s="2"/>
      <c r="D197" s="77"/>
      <c r="E197" s="78" t="str">
        <f>IF($A197=0,"",VLOOKUP($A197,'BASE MATERIAL'!$A:$D,3))</f>
        <v/>
      </c>
      <c r="F197" s="80"/>
      <c r="G197" s="55" t="str">
        <f>IF($A197=0,"",VLOOKUP($A197,'BASE MATERIAL'!$A:$D,4))</f>
        <v/>
      </c>
      <c r="H197" s="56" t="str">
        <f t="shared" ref="H197:H211" si="19">IF($A197=0,"",ROUND(F197*G197,2))</f>
        <v/>
      </c>
      <c r="I197" s="2"/>
      <c r="L197" s="2"/>
      <c r="M197" s="2"/>
      <c r="N197" s="39"/>
      <c r="O197" s="2"/>
      <c r="P197" s="2"/>
    </row>
    <row r="198" spans="1:16" x14ac:dyDescent="0.25">
      <c r="B198" s="38" t="str">
        <f>IF($A198=0,"",VLOOKUP($A198,'BASE MATERIAL'!$A:$D,2))</f>
        <v/>
      </c>
      <c r="C198" s="2"/>
      <c r="D198" s="77"/>
      <c r="E198" s="78" t="str">
        <f>IF($A198=0,"",VLOOKUP($A198,'BASE MATERIAL'!$A:$D,3))</f>
        <v/>
      </c>
      <c r="F198" s="80"/>
      <c r="G198" s="55" t="str">
        <f>IF($A198=0,"",VLOOKUP($A198,'BASE MATERIAL'!$A:$D,4))</f>
        <v/>
      </c>
      <c r="H198" s="56" t="str">
        <f t="shared" si="19"/>
        <v/>
      </c>
      <c r="I198" s="2"/>
      <c r="L198" s="2"/>
      <c r="M198" s="2"/>
      <c r="N198" s="39"/>
      <c r="O198" s="2"/>
      <c r="P198" s="2"/>
    </row>
    <row r="199" spans="1:16" x14ac:dyDescent="0.25">
      <c r="B199" s="38" t="str">
        <f>IF($A199=0,"",VLOOKUP($A199,'BASE MATERIAL'!$A:$D,2))</f>
        <v/>
      </c>
      <c r="C199" s="2"/>
      <c r="D199" s="77"/>
      <c r="E199" s="78" t="str">
        <f>IF($A199=0,"",VLOOKUP($A199,'BASE MATERIAL'!$A:$D,3))</f>
        <v/>
      </c>
      <c r="F199" s="80"/>
      <c r="G199" s="55" t="str">
        <f>IF($A199=0,"",VLOOKUP($A199,'BASE MATERIAL'!$A:$D,4))</f>
        <v/>
      </c>
      <c r="H199" s="56" t="str">
        <f t="shared" si="19"/>
        <v/>
      </c>
      <c r="I199" s="2"/>
      <c r="L199" s="2"/>
      <c r="M199" s="2"/>
      <c r="N199" s="39"/>
      <c r="O199" s="2"/>
      <c r="P199" s="2"/>
    </row>
    <row r="200" spans="1:16" x14ac:dyDescent="0.25">
      <c r="B200" s="38" t="str">
        <f>IF($A200=0,"",VLOOKUP($A200,'BASE MATERIAL'!$A:$D,2))</f>
        <v/>
      </c>
      <c r="C200" s="2"/>
      <c r="D200" s="77"/>
      <c r="E200" s="78" t="str">
        <f>IF($A200=0,"",VLOOKUP($A200,'BASE MATERIAL'!$A:$D,3))</f>
        <v/>
      </c>
      <c r="F200" s="80"/>
      <c r="G200" s="55" t="str">
        <f>IF($A200=0,"",VLOOKUP($A200,'BASE MATERIAL'!$A:$D,4))</f>
        <v/>
      </c>
      <c r="H200" s="56" t="str">
        <f t="shared" si="19"/>
        <v/>
      </c>
      <c r="I200" s="2"/>
      <c r="L200" s="2"/>
      <c r="M200" s="2"/>
      <c r="N200" s="39"/>
      <c r="O200" s="2"/>
      <c r="P200" s="2"/>
    </row>
    <row r="201" spans="1:16" x14ac:dyDescent="0.25">
      <c r="B201" s="38" t="str">
        <f>IF($A201=0,"",VLOOKUP($A201,'BASE MATERIAL'!$A:$D,2))</f>
        <v/>
      </c>
      <c r="C201" s="2"/>
      <c r="D201" s="77"/>
      <c r="E201" s="78" t="str">
        <f>IF($A201=0,"",VLOOKUP($A201,'BASE MATERIAL'!$A:$D,3))</f>
        <v/>
      </c>
      <c r="F201" s="80"/>
      <c r="G201" s="55" t="str">
        <f>IF($A201=0,"",VLOOKUP($A201,'BASE MATERIAL'!$A:$D,4))</f>
        <v/>
      </c>
      <c r="H201" s="56" t="str">
        <f t="shared" si="19"/>
        <v/>
      </c>
      <c r="I201" s="2"/>
      <c r="L201" s="2"/>
      <c r="M201" s="2"/>
      <c r="N201" s="39"/>
      <c r="O201" s="2"/>
      <c r="P201" s="2"/>
    </row>
    <row r="202" spans="1:16" x14ac:dyDescent="0.25">
      <c r="B202" s="38" t="str">
        <f>IF($A202=0,"",VLOOKUP($A202,'BASE MATERIAL'!$A:$D,2))</f>
        <v/>
      </c>
      <c r="C202" s="2"/>
      <c r="D202" s="77"/>
      <c r="E202" s="78" t="str">
        <f>IF($A202=0,"",VLOOKUP($A202,'BASE MATERIAL'!$A:$D,3))</f>
        <v/>
      </c>
      <c r="F202" s="55"/>
      <c r="G202" s="55" t="str">
        <f>IF($A202=0,"",VLOOKUP($A202,'BASE MATERIAL'!$A:$D,4))</f>
        <v/>
      </c>
      <c r="H202" s="56" t="str">
        <f t="shared" si="19"/>
        <v/>
      </c>
      <c r="I202" s="2"/>
      <c r="L202" s="2"/>
      <c r="M202" s="2"/>
      <c r="N202" s="39"/>
      <c r="O202" s="2"/>
      <c r="P202" s="2"/>
    </row>
    <row r="203" spans="1:16" s="4" customFormat="1" x14ac:dyDescent="0.25">
      <c r="A203" s="103">
        <v>1003</v>
      </c>
      <c r="B203" s="38" t="str">
        <f>IF($A203=0,"",VLOOKUP($A203,'BASE MATERIAL'!$A:$D,2))</f>
        <v>ANGULO 50x50x3</v>
      </c>
      <c r="C203" s="2"/>
      <c r="D203" s="77"/>
      <c r="E203" s="78" t="str">
        <f>IF($A203=0,"",VLOOKUP($A203,'BASE MATERIAL'!$A:$D,3))</f>
        <v>ML</v>
      </c>
      <c r="F203" s="55">
        <f>0.6*4*2</f>
        <v>4.8</v>
      </c>
      <c r="G203" s="55">
        <f>IF($A203=0,"",VLOOKUP($A203,'BASE MATERIAL'!$A:$D,4))</f>
        <v>3</v>
      </c>
      <c r="H203" s="56">
        <f t="shared" si="19"/>
        <v>14.4</v>
      </c>
      <c r="I203" s="5"/>
      <c r="L203" s="5"/>
      <c r="M203" s="5"/>
      <c r="N203" s="160"/>
      <c r="O203" s="5"/>
      <c r="P203" s="5"/>
    </row>
    <row r="204" spans="1:16" s="4" customFormat="1" x14ac:dyDescent="0.25">
      <c r="A204" s="103">
        <v>14002</v>
      </c>
      <c r="B204" s="38" t="str">
        <f>IF($A204=0,"",VLOOKUP($A204,'BASE MATERIAL'!$A:$D,2))</f>
        <v>SOLDADURA aga 60/11</v>
      </c>
      <c r="C204" s="2"/>
      <c r="D204" s="77"/>
      <c r="E204" s="78" t="str">
        <f>IF($A204=0,"",VLOOKUP($A204,'BASE MATERIAL'!$A:$D,3))</f>
        <v>KG</v>
      </c>
      <c r="F204" s="55">
        <v>0.5</v>
      </c>
      <c r="G204" s="55">
        <f>IF($A204=0,"",VLOOKUP($A204,'BASE MATERIAL'!$A:$D,4))</f>
        <v>3.65</v>
      </c>
      <c r="H204" s="56">
        <f t="shared" si="19"/>
        <v>1.83</v>
      </c>
      <c r="I204" s="5"/>
    </row>
    <row r="205" spans="1:16" s="4" customFormat="1" x14ac:dyDescent="0.25">
      <c r="A205" s="103">
        <v>13016</v>
      </c>
      <c r="B205" s="38" t="str">
        <f>IF($A205=0,"",VLOOKUP($A205,'BASE MATERIAL'!$A:$D,2))</f>
        <v>PINTURA ANTICORROSIVA</v>
      </c>
      <c r="C205" s="2"/>
      <c r="D205" s="77"/>
      <c r="E205" s="78" t="str">
        <f>IF($A205=0,"",VLOOKUP($A205,'BASE MATERIAL'!$A:$D,3))</f>
        <v>GL</v>
      </c>
      <c r="F205" s="55">
        <v>0.1</v>
      </c>
      <c r="G205" s="55">
        <f>IF($A205=0,"",VLOOKUP($A205,'BASE MATERIAL'!$A:$D,4))</f>
        <v>16</v>
      </c>
      <c r="H205" s="56">
        <f t="shared" si="19"/>
        <v>1.6</v>
      </c>
      <c r="I205" s="5"/>
    </row>
    <row r="206" spans="1:16" x14ac:dyDescent="0.25">
      <c r="A206" s="103">
        <v>1</v>
      </c>
      <c r="B206" s="38" t="s">
        <v>1888</v>
      </c>
      <c r="C206" s="2"/>
      <c r="D206" s="77"/>
      <c r="E206" s="78" t="s">
        <v>915</v>
      </c>
      <c r="F206" s="55">
        <f>0.7*0.7</f>
        <v>0.48999999999999994</v>
      </c>
      <c r="G206" s="55">
        <f>ROUND(7.85*1.5*1.17,2)</f>
        <v>13.78</v>
      </c>
      <c r="H206" s="56">
        <f t="shared" si="19"/>
        <v>6.75</v>
      </c>
      <c r="I206" s="2"/>
      <c r="L206" s="2"/>
      <c r="M206" s="2"/>
      <c r="N206" s="39"/>
      <c r="O206" s="2"/>
      <c r="P206" s="2"/>
    </row>
    <row r="207" spans="1:16" x14ac:dyDescent="0.25">
      <c r="A207" s="103">
        <v>13010</v>
      </c>
      <c r="B207" s="38" t="str">
        <f>IF($A207=0,"",VLOOKUP($A207,'BASE MATERIAL'!$A:$D,2))</f>
        <v>DILUYENTE</v>
      </c>
      <c r="C207" s="2"/>
      <c r="D207" s="77"/>
      <c r="E207" s="78" t="str">
        <f>IF($A207=0,"",VLOOKUP($A207,'BASE MATERIAL'!$A:$D,3))</f>
        <v>GL</v>
      </c>
      <c r="F207" s="55">
        <v>0.1</v>
      </c>
      <c r="G207" s="55">
        <f>IF($A207=0,"",VLOOKUP($A207,'BASE MATERIAL'!$A:$D,4))</f>
        <v>6</v>
      </c>
      <c r="H207" s="56">
        <f>IF($A207=0,"",ROUND(F207*G207,2))</f>
        <v>0.6</v>
      </c>
      <c r="I207" s="2"/>
      <c r="L207" s="2"/>
      <c r="M207" s="2"/>
      <c r="N207" s="39"/>
      <c r="O207" s="2"/>
      <c r="P207" s="2"/>
    </row>
    <row r="208" spans="1:16" x14ac:dyDescent="0.25">
      <c r="B208" s="38" t="str">
        <f>IF($A208=0,"",VLOOKUP($A208,'BASE MATERIAL'!$A:$D,2))</f>
        <v/>
      </c>
      <c r="C208" s="2"/>
      <c r="D208" s="77"/>
      <c r="E208" s="78" t="str">
        <f>IF($A208=0,"",VLOOKUP($A208,'BASE MATERIAL'!$A:$D,3))</f>
        <v/>
      </c>
      <c r="F208" s="55"/>
      <c r="G208" s="55" t="str">
        <f>IF($A208=0,"",VLOOKUP($A208,'BASE MATERIAL'!$A:$D,4))</f>
        <v/>
      </c>
      <c r="H208" s="56" t="str">
        <f t="shared" si="19"/>
        <v/>
      </c>
      <c r="I208" s="2"/>
    </row>
    <row r="209" spans="1:9" x14ac:dyDescent="0.25">
      <c r="B209" s="38" t="str">
        <f>IF($A209=0,"",VLOOKUP($A209,'BASE MATERIAL'!$A:$D,2))</f>
        <v/>
      </c>
      <c r="C209" s="2"/>
      <c r="D209" s="77"/>
      <c r="E209" s="78" t="str">
        <f>IF($A209=0,"",VLOOKUP($A209,'BASE MATERIAL'!$A:$D,3))</f>
        <v/>
      </c>
      <c r="F209" s="55"/>
      <c r="G209" s="55" t="str">
        <f>IF($A209=0,"",VLOOKUP($A209,'BASE MATERIAL'!$A:$D,4))</f>
        <v/>
      </c>
      <c r="H209" s="56" t="str">
        <f t="shared" si="19"/>
        <v/>
      </c>
      <c r="I209" s="2"/>
    </row>
    <row r="210" spans="1:9" x14ac:dyDescent="0.25">
      <c r="B210" s="38" t="str">
        <f>IF($A210=0,"",VLOOKUP($A210,'BASE MATERIAL'!$A:$D,2))</f>
        <v/>
      </c>
      <c r="C210" s="2"/>
      <c r="D210" s="77"/>
      <c r="E210" s="78" t="str">
        <f>IF($A210=0,"",VLOOKUP($A210,'BASE MATERIAL'!$A:$D,3))</f>
        <v/>
      </c>
      <c r="F210" s="55"/>
      <c r="G210" s="55" t="str">
        <f>IF($A210=0,"",VLOOKUP($A210,'BASE MATERIAL'!$A:$D,4))</f>
        <v/>
      </c>
      <c r="H210" s="56" t="str">
        <f t="shared" si="19"/>
        <v/>
      </c>
      <c r="I210" s="2"/>
    </row>
    <row r="211" spans="1:9" x14ac:dyDescent="0.25">
      <c r="B211" s="38" t="str">
        <f>IF($A211=0,"",VLOOKUP($A211,'BASE MATERIAL'!$A:$D,2))</f>
        <v/>
      </c>
      <c r="C211" s="2"/>
      <c r="D211" s="77"/>
      <c r="E211" s="78" t="str">
        <f>IF($A211=0,"",VLOOKUP($A211,'BASE MATERIAL'!$A:$D,3))</f>
        <v/>
      </c>
      <c r="F211" s="55"/>
      <c r="G211" s="55" t="str">
        <f>IF($A211=0,"",VLOOKUP($A211,'BASE MATERIAL'!$A:$D,4))</f>
        <v/>
      </c>
      <c r="H211" s="56" t="str">
        <f t="shared" si="19"/>
        <v/>
      </c>
      <c r="I211" s="2"/>
    </row>
    <row r="212" spans="1:9" x14ac:dyDescent="0.25">
      <c r="B212" s="38" t="str">
        <f>IF($A212=0,"",VLOOKUP($A212,'BASE MATERIAL'!$A:$D,2))</f>
        <v/>
      </c>
      <c r="C212" s="2"/>
      <c r="D212" s="81" t="s">
        <v>1682</v>
      </c>
      <c r="E212" s="55" t="str">
        <f>IF($A212=0,"",VLOOKUP($A212,'BASE MATERIAL'!$A:$D,3))</f>
        <v/>
      </c>
      <c r="F212" s="55" t="s">
        <v>1682</v>
      </c>
      <c r="G212" s="55" t="str">
        <f>IF($A212=0,"",VLOOKUP($A212,'BASE MATERIAL'!$A:$D,4))</f>
        <v/>
      </c>
      <c r="H212" s="56" t="str">
        <f>IF($A212=0,"",ROUND(E212*F212,2))</f>
        <v/>
      </c>
      <c r="I212" s="2"/>
    </row>
    <row r="213" spans="1:9" x14ac:dyDescent="0.25">
      <c r="B213" s="73" t="s">
        <v>1681</v>
      </c>
      <c r="C213" s="65"/>
      <c r="D213" s="74"/>
      <c r="E213" s="74"/>
      <c r="F213" s="74"/>
      <c r="G213" s="74"/>
      <c r="H213" s="75">
        <f>ROUND(SUM(H196:H212),2)</f>
        <v>25.18</v>
      </c>
      <c r="I213" s="2"/>
    </row>
    <row r="214" spans="1:9" x14ac:dyDescent="0.25">
      <c r="B214" s="38" t="s">
        <v>1680</v>
      </c>
      <c r="C214" s="2"/>
      <c r="D214" s="3"/>
      <c r="E214" s="3"/>
      <c r="F214" s="3"/>
      <c r="G214" s="3"/>
      <c r="H214" s="56"/>
      <c r="I214" s="2"/>
    </row>
    <row r="215" spans="1:9" ht="25.5" x14ac:dyDescent="0.25">
      <c r="B215" s="64" t="s">
        <v>1409</v>
      </c>
      <c r="C215" s="65"/>
      <c r="D215" s="76"/>
      <c r="E215" s="66" t="s">
        <v>1408</v>
      </c>
      <c r="F215" s="66" t="s">
        <v>1679</v>
      </c>
      <c r="G215" s="66" t="s">
        <v>1676</v>
      </c>
      <c r="H215" s="68" t="s">
        <v>1675</v>
      </c>
      <c r="I215" s="2"/>
    </row>
    <row r="216" spans="1:9" x14ac:dyDescent="0.25">
      <c r="A216" s="103">
        <v>19019</v>
      </c>
      <c r="B216" s="51" t="str">
        <f>IF($A216=0,"",VLOOKUP($A216,'BASE EQUIPO'!$A:$D,2))</f>
        <v>TRANSPORTE DE MATERIAL</v>
      </c>
      <c r="C216" s="52"/>
      <c r="D216" s="82"/>
      <c r="E216" s="78" t="str">
        <f>IF($A216=0,"",VLOOKUP($A216,'BASE EQUIPO'!$A:$D,3))</f>
        <v>GLOBAL</v>
      </c>
      <c r="F216" s="55">
        <v>1</v>
      </c>
      <c r="G216" s="83">
        <f>IF($A216=0,"",VLOOKUP($A216,'BASE EQUIPO'!$A:$D,4)*H213)</f>
        <v>0.75539999999999996</v>
      </c>
      <c r="H216" s="56">
        <f>IF($A216=0,"",ROUND(F216*G216,2))</f>
        <v>0.76</v>
      </c>
      <c r="I216" s="2"/>
    </row>
    <row r="217" spans="1:9" x14ac:dyDescent="0.25">
      <c r="B217" s="38" t="str">
        <f>IF($A217=0,"",VLOOKUP($A217,'BASE EQUIPO'!$A:$D,2))</f>
        <v/>
      </c>
      <c r="C217" s="2"/>
      <c r="D217" s="84"/>
      <c r="E217" s="78" t="str">
        <f>IF($A217=0,"",VLOOKUP($A217,'BASE EQUIPO'!$A:$D,3))</f>
        <v/>
      </c>
      <c r="F217" s="55"/>
      <c r="G217" s="55" t="str">
        <f>IF($A217=0,"",VLOOKUP($A217,'BASE EQUIPO'!$A:$D,4)*H214)</f>
        <v/>
      </c>
      <c r="H217" s="56" t="str">
        <f>IF($A217=0,"",ROUND(F217*G217,2))</f>
        <v/>
      </c>
      <c r="I217" s="2"/>
    </row>
    <row r="218" spans="1:9" x14ac:dyDescent="0.25">
      <c r="B218" s="57" t="str">
        <f>IF($A218=0,"",VLOOKUP($A218,'BASE EQUIPO'!$A:$D,2))</f>
        <v/>
      </c>
      <c r="C218" s="58"/>
      <c r="D218" s="85"/>
      <c r="E218" s="86" t="str">
        <f>IF($A218=0,"",VLOOKUP($A218,'BASE EQUIPO'!$A:$D,3))</f>
        <v/>
      </c>
      <c r="F218" s="59"/>
      <c r="G218" s="59" t="str">
        <f>IF($A218=0,"",VLOOKUP($A218,'BASE EQUIPO'!$A:$D,4)*H215)</f>
        <v/>
      </c>
      <c r="H218" s="60" t="str">
        <f>IF($A218=0,"",ROUND(F218*G218,2))</f>
        <v/>
      </c>
      <c r="I218" s="2"/>
    </row>
    <row r="219" spans="1:9" ht="15.75" thickBot="1" x14ac:dyDescent="0.3">
      <c r="B219" s="87" t="s">
        <v>1674</v>
      </c>
      <c r="C219" s="88"/>
      <c r="D219" s="89"/>
      <c r="E219" s="89"/>
      <c r="F219" s="89"/>
      <c r="G219" s="89"/>
      <c r="H219" s="90">
        <f>ROUND(SUM(H215:H218),2)</f>
        <v>0.76</v>
      </c>
      <c r="I219" s="2"/>
    </row>
    <row r="220" spans="1:9" ht="15.75" x14ac:dyDescent="0.25">
      <c r="B220" s="2"/>
      <c r="C220" s="2"/>
      <c r="D220" s="91" t="s">
        <v>1673</v>
      </c>
      <c r="E220" s="47"/>
      <c r="F220" s="47"/>
      <c r="G220" s="47"/>
      <c r="H220" s="92">
        <f>ROUND(SUM(H219,H213,H194,H184),2)</f>
        <v>61.34</v>
      </c>
      <c r="I220" s="2"/>
    </row>
    <row r="221" spans="1:9" ht="15.75" x14ac:dyDescent="0.25">
      <c r="A221" s="103">
        <v>40002</v>
      </c>
      <c r="B221" s="2"/>
      <c r="C221" s="2"/>
      <c r="D221" s="93" t="s">
        <v>1672</v>
      </c>
      <c r="E221" s="65"/>
      <c r="F221" s="65"/>
      <c r="G221" s="94">
        <f>IF($A221=0,"",VLOOKUP($A221,'BASE MATERIAL'!$M:$P,4))</f>
        <v>0</v>
      </c>
      <c r="H221" s="95">
        <f>IF($A221=0,"",ROUND(G221*H220,2))</f>
        <v>0</v>
      </c>
      <c r="I221" s="2"/>
    </row>
    <row r="222" spans="1:9" ht="15.75" x14ac:dyDescent="0.25">
      <c r="A222" s="103">
        <v>40003</v>
      </c>
      <c r="B222" s="2"/>
      <c r="C222" s="2"/>
      <c r="D222" s="93" t="s">
        <v>1671</v>
      </c>
      <c r="E222" s="65"/>
      <c r="F222" s="65"/>
      <c r="G222" s="94">
        <f>IF($A222=0,"",VLOOKUP($A222,'BASE MATERIAL'!$M:$P,4))</f>
        <v>0</v>
      </c>
      <c r="H222" s="95">
        <f>IF($A222=0,"",ROUND(G222*H220,2))</f>
        <v>0</v>
      </c>
      <c r="I222" s="2"/>
    </row>
    <row r="223" spans="1:9" ht="15.75" x14ac:dyDescent="0.25">
      <c r="B223" s="2"/>
      <c r="C223" s="2"/>
      <c r="D223" s="93" t="s">
        <v>1670</v>
      </c>
      <c r="E223" s="65"/>
      <c r="F223" s="65"/>
      <c r="G223" s="65"/>
      <c r="H223" s="96">
        <f>ROUND(SUM(H220:H222),2)</f>
        <v>61.34</v>
      </c>
      <c r="I223" s="2"/>
    </row>
    <row r="224" spans="1:9" ht="16.5" thickBot="1" x14ac:dyDescent="0.3">
      <c r="B224" s="25"/>
      <c r="C224" s="2"/>
      <c r="D224" s="97" t="s">
        <v>1650</v>
      </c>
      <c r="E224" s="88"/>
      <c r="F224" s="88"/>
      <c r="G224" s="88"/>
      <c r="H224" s="98">
        <f>ROUND(H223,2)</f>
        <v>61.34</v>
      </c>
      <c r="I224" s="2"/>
    </row>
    <row r="225" spans="1:15" ht="15.75" x14ac:dyDescent="0.25">
      <c r="B225" s="34" t="s">
        <v>1701</v>
      </c>
      <c r="C225" s="2"/>
      <c r="D225" s="3" t="str">
        <f>'1.1'!$D$1</f>
        <v>ESPOL</v>
      </c>
      <c r="E225" s="2"/>
      <c r="F225" s="2"/>
      <c r="H225" s="2" t="s">
        <v>108</v>
      </c>
      <c r="I225" s="2"/>
      <c r="L225" s="40">
        <f>A229</f>
        <v>2</v>
      </c>
      <c r="M225" s="1" t="str">
        <f>C230</f>
        <v>Cubierta de teja</v>
      </c>
      <c r="N225" s="2" t="str">
        <f>H229</f>
        <v>m2</v>
      </c>
      <c r="O225" s="2">
        <f>H280</f>
        <v>21.46</v>
      </c>
    </row>
    <row r="226" spans="1:15" ht="15.75" x14ac:dyDescent="0.25">
      <c r="B226" s="34" t="s">
        <v>1700</v>
      </c>
      <c r="C226" s="3">
        <f>'1.1'!$C$2</f>
        <v>0</v>
      </c>
      <c r="D226" s="2"/>
      <c r="E226" s="2"/>
      <c r="F226" s="2"/>
      <c r="G226" s="41" t="s">
        <v>1699</v>
      </c>
      <c r="H226" s="42"/>
      <c r="I226" s="2" t="s">
        <v>1698</v>
      </c>
    </row>
    <row r="227" spans="1:15" ht="15.75" x14ac:dyDescent="0.25">
      <c r="B227" s="34"/>
      <c r="C227" s="3">
        <f>'1.1'!$C$3</f>
        <v>0</v>
      </c>
      <c r="D227" s="2"/>
      <c r="E227" s="2"/>
      <c r="F227" s="2"/>
      <c r="G227" s="2"/>
      <c r="H227" s="2"/>
      <c r="I227" s="2"/>
    </row>
    <row r="228" spans="1:15" ht="15.75" x14ac:dyDescent="0.25">
      <c r="B228" s="34" t="s">
        <v>1697</v>
      </c>
      <c r="C228" s="3"/>
      <c r="D228" s="2"/>
      <c r="E228" s="2"/>
      <c r="F228" s="2"/>
      <c r="G228" s="2"/>
      <c r="H228" s="2"/>
      <c r="I228" s="2"/>
    </row>
    <row r="229" spans="1:15" x14ac:dyDescent="0.25">
      <c r="A229" s="104">
        <v>2</v>
      </c>
      <c r="B229" s="2" t="s">
        <v>1586</v>
      </c>
      <c r="C229" s="36"/>
      <c r="D229" s="2"/>
      <c r="G229" s="2" t="s">
        <v>1696</v>
      </c>
      <c r="H229" s="3" t="s">
        <v>1520</v>
      </c>
      <c r="I229" s="2"/>
    </row>
    <row r="230" spans="1:15" x14ac:dyDescent="0.25">
      <c r="B230" s="1" t="s">
        <v>1585</v>
      </c>
      <c r="C230" s="36" t="s">
        <v>1958</v>
      </c>
      <c r="D230" s="2"/>
      <c r="E230" s="2"/>
      <c r="F230" s="2"/>
      <c r="G230" s="2"/>
      <c r="H230" s="2"/>
      <c r="I230" s="2"/>
    </row>
    <row r="231" spans="1:15" ht="15.75" thickBot="1" x14ac:dyDescent="0.3">
      <c r="D231" s="2"/>
      <c r="E231" s="2"/>
      <c r="F231" s="2"/>
      <c r="G231" s="2"/>
      <c r="H231" s="2"/>
      <c r="I231" s="2"/>
    </row>
    <row r="232" spans="1:15" ht="15.75" thickBot="1" x14ac:dyDescent="0.3">
      <c r="B232" s="43" t="s">
        <v>1695</v>
      </c>
      <c r="C232" s="44"/>
      <c r="D232" s="44"/>
      <c r="E232" s="44"/>
      <c r="F232" s="44"/>
      <c r="G232" s="44"/>
      <c r="H232" s="45"/>
      <c r="I232" s="2"/>
    </row>
    <row r="233" spans="1:15" ht="25.5" x14ac:dyDescent="0.25">
      <c r="B233" s="46" t="s">
        <v>1409</v>
      </c>
      <c r="C233" s="47"/>
      <c r="D233" s="48" t="s">
        <v>1690</v>
      </c>
      <c r="E233" s="48" t="s">
        <v>1694</v>
      </c>
      <c r="F233" s="48" t="s">
        <v>1693</v>
      </c>
      <c r="G233" s="49" t="s">
        <v>1687</v>
      </c>
      <c r="H233" s="50" t="s">
        <v>1686</v>
      </c>
      <c r="I233" s="2"/>
    </row>
    <row r="234" spans="1:15" x14ac:dyDescent="0.25">
      <c r="A234" s="103">
        <v>19015</v>
      </c>
      <c r="B234" s="51" t="str">
        <f>IF($A234=0,"",VLOOKUP($A234,'BASE EQUIPO'!$A:$D,2))</f>
        <v>HERRAMIENTA MENOR</v>
      </c>
      <c r="C234" s="52"/>
      <c r="D234" s="53">
        <v>1</v>
      </c>
      <c r="E234" s="53">
        <f>IF($A234=0,"",VLOOKUP($A234,'BASE EQUIPO'!$A:$D,4)*H250)</f>
        <v>0.19350000000000001</v>
      </c>
      <c r="F234" s="53">
        <f t="shared" ref="F234:F239" si="20">IF($A234=0,"",ROUND(D234*E234,2))</f>
        <v>0.19</v>
      </c>
      <c r="G234" s="105">
        <v>1</v>
      </c>
      <c r="H234" s="54">
        <f t="shared" ref="H234:H239" si="21">IF($A234=0,"",ROUND(G234*F234,2))</f>
        <v>0.19</v>
      </c>
      <c r="I234" s="2"/>
    </row>
    <row r="235" spans="1:15" x14ac:dyDescent="0.25">
      <c r="B235" s="38" t="str">
        <f>IF($A235=0,"",VLOOKUP($A235,'BASE EQUIPO'!$A:$D,2))</f>
        <v/>
      </c>
      <c r="C235" s="2"/>
      <c r="D235" s="55"/>
      <c r="E235" s="55" t="str">
        <f>IF($A235=0,"",VLOOKUP($A235,'BASE EQUIPO'!$A:$D,4))</f>
        <v/>
      </c>
      <c r="F235" s="55" t="str">
        <f t="shared" si="20"/>
        <v/>
      </c>
      <c r="G235" s="106"/>
      <c r="H235" s="56" t="str">
        <f t="shared" si="21"/>
        <v/>
      </c>
      <c r="I235" s="2"/>
    </row>
    <row r="236" spans="1:15" x14ac:dyDescent="0.25">
      <c r="B236" s="38" t="str">
        <f>IF($A236=0,"",VLOOKUP($A236,'BASE EQUIPO'!$A:$D,2))</f>
        <v/>
      </c>
      <c r="C236" s="2"/>
      <c r="D236" s="55"/>
      <c r="E236" s="55" t="str">
        <f>IF($A236=0,"",VLOOKUP($A236,'BASE EQUIPO'!$A:$D,4))</f>
        <v/>
      </c>
      <c r="F236" s="55" t="str">
        <f t="shared" si="20"/>
        <v/>
      </c>
      <c r="G236" s="106"/>
      <c r="H236" s="56" t="str">
        <f t="shared" si="21"/>
        <v/>
      </c>
      <c r="I236" s="2"/>
    </row>
    <row r="237" spans="1:15" x14ac:dyDescent="0.25">
      <c r="B237" s="38" t="str">
        <f>IF($A237=0,"",VLOOKUP($A237,'BASE EQUIPO'!$A:$D,2))</f>
        <v/>
      </c>
      <c r="C237" s="2"/>
      <c r="D237" s="55"/>
      <c r="E237" s="55" t="str">
        <f>IF($A237=0,"",VLOOKUP($A237,'BASE EQUIPO'!$A:$D,4))</f>
        <v/>
      </c>
      <c r="F237" s="55" t="str">
        <f t="shared" si="20"/>
        <v/>
      </c>
      <c r="G237" s="106"/>
      <c r="H237" s="56" t="str">
        <f t="shared" si="21"/>
        <v/>
      </c>
      <c r="I237" s="2"/>
    </row>
    <row r="238" spans="1:15" x14ac:dyDescent="0.25">
      <c r="B238" s="38" t="str">
        <f>IF($A238=0,"",VLOOKUP($A238,'BASE EQUIPO'!$A:$D,2))</f>
        <v/>
      </c>
      <c r="C238" s="2"/>
      <c r="D238" s="55"/>
      <c r="E238" s="55" t="str">
        <f>IF($A238=0,"",VLOOKUP($A238,'BASE EQUIPO'!$A:$D,4))</f>
        <v/>
      </c>
      <c r="F238" s="55" t="str">
        <f t="shared" si="20"/>
        <v/>
      </c>
      <c r="G238" s="106"/>
      <c r="H238" s="56" t="str">
        <f t="shared" si="21"/>
        <v/>
      </c>
      <c r="I238" s="2"/>
    </row>
    <row r="239" spans="1:15" x14ac:dyDescent="0.25">
      <c r="B239" s="57" t="str">
        <f>IF($A239=0,"",VLOOKUP($A239,'BASE EQUIPO'!$A:$D,2))</f>
        <v/>
      </c>
      <c r="C239" s="58"/>
      <c r="D239" s="59"/>
      <c r="E239" s="59" t="str">
        <f>IF($A239=0,"",VLOOKUP($A239,'BASE EQUIPO'!$A:$D,4))</f>
        <v/>
      </c>
      <c r="F239" s="59" t="str">
        <f t="shared" si="20"/>
        <v/>
      </c>
      <c r="G239" s="107"/>
      <c r="H239" s="60" t="str">
        <f t="shared" si="21"/>
        <v/>
      </c>
      <c r="I239" s="2"/>
    </row>
    <row r="240" spans="1:15" x14ac:dyDescent="0.25">
      <c r="B240" s="57" t="s">
        <v>1692</v>
      </c>
      <c r="C240" s="58"/>
      <c r="D240" s="61"/>
      <c r="E240" s="61"/>
      <c r="F240" s="61"/>
      <c r="G240" s="62"/>
      <c r="H240" s="60">
        <f>ROUND(SUM(H233:H239),2)</f>
        <v>0.19</v>
      </c>
      <c r="I240" s="2"/>
    </row>
    <row r="241" spans="1:16" x14ac:dyDescent="0.25">
      <c r="B241" s="38" t="s">
        <v>1503</v>
      </c>
      <c r="C241" s="2"/>
      <c r="D241" s="3"/>
      <c r="E241" s="3"/>
      <c r="F241" s="3"/>
      <c r="G241" s="63"/>
      <c r="H241" s="56"/>
      <c r="I241" s="2"/>
    </row>
    <row r="242" spans="1:16" ht="25.5" x14ac:dyDescent="0.25">
      <c r="B242" s="64" t="s">
        <v>1691</v>
      </c>
      <c r="C242" s="65"/>
      <c r="D242" s="66" t="s">
        <v>1690</v>
      </c>
      <c r="E242" s="66" t="s">
        <v>1689</v>
      </c>
      <c r="F242" s="66" t="s">
        <v>1688</v>
      </c>
      <c r="G242" s="67" t="s">
        <v>1687</v>
      </c>
      <c r="H242" s="68" t="s">
        <v>1686</v>
      </c>
      <c r="I242" s="2"/>
    </row>
    <row r="243" spans="1:16" x14ac:dyDescent="0.25">
      <c r="B243" s="69" t="str">
        <f>IF($A243=0,"",VLOOKUP($A243,'BASE M-OBRA'!$A:$D,2))</f>
        <v/>
      </c>
      <c r="C243" s="2"/>
      <c r="D243" s="108"/>
      <c r="E243" s="70" t="str">
        <f>IF($A243=0,"",VLOOKUP($A243,'BASE M-OBRA'!$A:$D,4))</f>
        <v/>
      </c>
      <c r="F243" s="55" t="str">
        <f t="shared" ref="F243:F249" si="22">IF($A243=0,"",ROUND(D243*E243,2))</f>
        <v/>
      </c>
      <c r="G243" s="106" t="str">
        <f>IF($A243=0,"",ROUND(H243/F243,2))</f>
        <v/>
      </c>
      <c r="H243" s="56" t="str">
        <f>IF($A243=0,"",ROUND(SUM(H244:H249)*'BASE M-OBRA'!$D$23,2))</f>
        <v/>
      </c>
      <c r="I243" s="2"/>
    </row>
    <row r="244" spans="1:16" x14ac:dyDescent="0.25">
      <c r="A244" s="103">
        <v>20019</v>
      </c>
      <c r="B244" s="69" t="str">
        <f>IF($A244=0,"",VLOOKUP($A244,'BASE M-OBRA'!$A:$D,2))</f>
        <v>INSTALADOR</v>
      </c>
      <c r="C244" s="2"/>
      <c r="D244" s="108">
        <v>1</v>
      </c>
      <c r="E244" s="70">
        <f>IF($A244=0,"",VLOOKUP($A244,'BASE M-OBRA'!$A:$D,4))</f>
        <v>2.82</v>
      </c>
      <c r="F244" s="55">
        <f t="shared" si="22"/>
        <v>2.82</v>
      </c>
      <c r="G244" s="106">
        <v>1.1499999999999999</v>
      </c>
      <c r="H244" s="56">
        <f t="shared" ref="H244:H249" si="23">IF($A244=0,"",ROUND(G244*F244,2))</f>
        <v>3.24</v>
      </c>
      <c r="I244" s="2"/>
    </row>
    <row r="245" spans="1:16" x14ac:dyDescent="0.25">
      <c r="A245" s="103">
        <v>20011</v>
      </c>
      <c r="B245" s="69" t="str">
        <f>IF($A245=0,"",VLOOKUP($A245,'BASE M-OBRA'!$A:$D,2))</f>
        <v>AYUDANTE ESPECIALISTA</v>
      </c>
      <c r="C245" s="2"/>
      <c r="D245" s="108">
        <v>1</v>
      </c>
      <c r="E245" s="70">
        <f>IF($A245=0,"",VLOOKUP($A245,'BASE M-OBRA'!$A:$D,4))</f>
        <v>2.79</v>
      </c>
      <c r="F245" s="55">
        <f t="shared" si="22"/>
        <v>2.79</v>
      </c>
      <c r="G245" s="106">
        <f>+G244</f>
        <v>1.1499999999999999</v>
      </c>
      <c r="H245" s="56">
        <f t="shared" si="23"/>
        <v>3.21</v>
      </c>
      <c r="I245" s="2"/>
    </row>
    <row r="246" spans="1:16" x14ac:dyDescent="0.25">
      <c r="B246" s="71" t="str">
        <f>IF($A246=0,"",VLOOKUP($A246,'BASE M-OBRA'!$A:$D,2))</f>
        <v/>
      </c>
      <c r="C246" s="2"/>
      <c r="D246" s="108"/>
      <c r="E246" s="70" t="str">
        <f>IF($A246=0,"",VLOOKUP($A246,'BASE M-OBRA'!$A:$D,4))</f>
        <v/>
      </c>
      <c r="F246" s="55" t="str">
        <f t="shared" si="22"/>
        <v/>
      </c>
      <c r="G246" s="106"/>
      <c r="H246" s="56" t="str">
        <f t="shared" si="23"/>
        <v/>
      </c>
      <c r="I246" s="2"/>
    </row>
    <row r="247" spans="1:16" x14ac:dyDescent="0.25">
      <c r="B247" s="72" t="str">
        <f>IF($A247=0,"",VLOOKUP($A247,'BASE M-OBRA'!$A:$D,2))</f>
        <v/>
      </c>
      <c r="C247" s="2"/>
      <c r="D247" s="108"/>
      <c r="E247" s="70" t="str">
        <f>IF($A247=0,"",VLOOKUP($A247,'BASE M-OBRA'!$A:$D,4))</f>
        <v/>
      </c>
      <c r="F247" s="55" t="str">
        <f t="shared" si="22"/>
        <v/>
      </c>
      <c r="G247" s="106"/>
      <c r="H247" s="56" t="str">
        <f t="shared" si="23"/>
        <v/>
      </c>
      <c r="I247" s="2"/>
    </row>
    <row r="248" spans="1:16" x14ac:dyDescent="0.25">
      <c r="B248" s="38" t="str">
        <f>IF($A248=0,"",VLOOKUP($A248,'BASE M-OBRA'!$A:$D,2))</f>
        <v/>
      </c>
      <c r="C248" s="2"/>
      <c r="D248" s="55"/>
      <c r="E248" s="55" t="str">
        <f>IF($A248=0,"",VLOOKUP($A248,'BASE M-OBRA'!$A:$D,4))</f>
        <v/>
      </c>
      <c r="F248" s="55" t="str">
        <f t="shared" si="22"/>
        <v/>
      </c>
      <c r="G248" s="106"/>
      <c r="H248" s="56" t="str">
        <f t="shared" si="23"/>
        <v/>
      </c>
      <c r="I248" s="2"/>
    </row>
    <row r="249" spans="1:16" x14ac:dyDescent="0.25">
      <c r="B249" s="57" t="str">
        <f>IF($A249=0,"",VLOOKUP($A249,'BASE M-OBRA'!$A:$D,2))</f>
        <v/>
      </c>
      <c r="C249" s="58"/>
      <c r="D249" s="59"/>
      <c r="E249" s="59" t="str">
        <f>IF($A249=0,"",VLOOKUP($A249,'BASE M-OBRA'!$A:$D,4))</f>
        <v/>
      </c>
      <c r="F249" s="59" t="str">
        <f t="shared" si="22"/>
        <v/>
      </c>
      <c r="G249" s="107"/>
      <c r="H249" s="60" t="str">
        <f t="shared" si="23"/>
        <v/>
      </c>
      <c r="I249" s="2"/>
    </row>
    <row r="250" spans="1:16" x14ac:dyDescent="0.25">
      <c r="B250" s="73" t="s">
        <v>1685</v>
      </c>
      <c r="C250" s="65"/>
      <c r="D250" s="74"/>
      <c r="E250" s="74"/>
      <c r="F250" s="74"/>
      <c r="G250" s="74"/>
      <c r="H250" s="75">
        <f>ROUND(SUM(H242:H249),2)</f>
        <v>6.45</v>
      </c>
      <c r="I250" s="2"/>
    </row>
    <row r="251" spans="1:16" x14ac:dyDescent="0.25">
      <c r="B251" s="38" t="s">
        <v>1684</v>
      </c>
      <c r="C251" s="2"/>
      <c r="D251" s="3"/>
      <c r="E251" s="3"/>
      <c r="F251" s="3"/>
      <c r="G251" s="3"/>
      <c r="H251" s="56"/>
      <c r="I251" s="2"/>
    </row>
    <row r="252" spans="1:16" ht="25.5" x14ac:dyDescent="0.25">
      <c r="B252" s="64" t="s">
        <v>1409</v>
      </c>
      <c r="C252" s="65"/>
      <c r="D252" s="76"/>
      <c r="E252" s="66" t="s">
        <v>1408</v>
      </c>
      <c r="F252" s="66" t="s">
        <v>1679</v>
      </c>
      <c r="G252" s="66" t="s">
        <v>1683</v>
      </c>
      <c r="H252" s="68" t="s">
        <v>1675</v>
      </c>
      <c r="I252" s="2"/>
    </row>
    <row r="253" spans="1:16" s="4" customFormat="1" x14ac:dyDescent="0.25">
      <c r="A253" s="103">
        <v>4001</v>
      </c>
      <c r="B253" s="38" t="str">
        <f>IF($A253=0,"",VLOOKUP($A253,'BASE MATERIAL'!$A:$D,2))</f>
        <v>CEMENTO</v>
      </c>
      <c r="C253" s="2"/>
      <c r="D253" s="77"/>
      <c r="E253" s="78" t="str">
        <f>IF($A253=0,"",VLOOKUP($A253,'BASE MATERIAL'!$A:$D,3))</f>
        <v>SACO</v>
      </c>
      <c r="F253" s="55">
        <f>10*0.03</f>
        <v>0.3</v>
      </c>
      <c r="G253" s="55">
        <f>IF($A253=0,"",VLOOKUP($A253,'BASE MATERIAL'!$A:$D,4))</f>
        <v>7.09</v>
      </c>
      <c r="H253" s="56">
        <f>IF($A253=0,"",ROUND(F253*G253,2))</f>
        <v>2.13</v>
      </c>
      <c r="I253" s="5"/>
      <c r="K253" s="4">
        <f>(0.8*2+0.7*2)*1+0.7*0.7*2</f>
        <v>3.98</v>
      </c>
      <c r="L253" s="5"/>
      <c r="M253" s="5"/>
      <c r="N253" s="160"/>
      <c r="O253" s="5"/>
      <c r="P253" s="5"/>
    </row>
    <row r="254" spans="1:16" s="4" customFormat="1" x14ac:dyDescent="0.25">
      <c r="A254" s="103">
        <v>5004</v>
      </c>
      <c r="B254" s="38" t="str">
        <f>IF($A254=0,"",VLOOKUP($A254,'BASE MATERIAL'!$A:$D,2))</f>
        <v>ARENA</v>
      </c>
      <c r="C254" s="2"/>
      <c r="D254" s="77"/>
      <c r="E254" s="78" t="str">
        <f>IF($A254=0,"",VLOOKUP($A254,'BASE MATERIAL'!$A:$D,3))</f>
        <v>M3</v>
      </c>
      <c r="F254" s="55">
        <v>0.02</v>
      </c>
      <c r="G254" s="55">
        <f>IF($A254=0,"",VLOOKUP($A254,'BASE MATERIAL'!$A:$D,4))</f>
        <v>12.276249999999999</v>
      </c>
      <c r="H254" s="56">
        <f>IF($A254=0,"",ROUND(F254*G254,2))</f>
        <v>0.25</v>
      </c>
      <c r="I254" s="5"/>
      <c r="L254" s="5"/>
      <c r="M254" s="5"/>
      <c r="N254" s="160"/>
      <c r="O254" s="5"/>
      <c r="P254" s="5"/>
    </row>
    <row r="255" spans="1:16" s="4" customFormat="1" x14ac:dyDescent="0.25">
      <c r="A255" s="103">
        <v>1</v>
      </c>
      <c r="B255" s="38" t="s">
        <v>1978</v>
      </c>
      <c r="C255" s="2"/>
      <c r="D255" s="77"/>
      <c r="E255" s="78" t="s">
        <v>1506</v>
      </c>
      <c r="F255" s="55">
        <v>30.2</v>
      </c>
      <c r="G255" s="55">
        <v>0.32</v>
      </c>
      <c r="H255" s="56">
        <f>IF($A255=0,"",ROUND(F255*G255,2))</f>
        <v>9.66</v>
      </c>
      <c r="I255" s="5"/>
    </row>
    <row r="256" spans="1:16" x14ac:dyDescent="0.25">
      <c r="A256" s="103">
        <v>1</v>
      </c>
      <c r="B256" s="38" t="s">
        <v>1980</v>
      </c>
      <c r="C256" s="2"/>
      <c r="D256" s="77"/>
      <c r="E256" s="78" t="s">
        <v>1506</v>
      </c>
      <c r="F256" s="55">
        <v>0.35</v>
      </c>
      <c r="G256" s="55">
        <v>0.96</v>
      </c>
      <c r="H256" s="56">
        <f t="shared" ref="H256:H263" si="24">IF($A256=0,"",ROUND(F256*G256,2))</f>
        <v>0.34</v>
      </c>
      <c r="I256" s="2"/>
      <c r="L256" s="2"/>
      <c r="M256" s="2"/>
      <c r="N256" s="39"/>
      <c r="O256" s="2"/>
      <c r="P256" s="2"/>
    </row>
    <row r="257" spans="1:16" x14ac:dyDescent="0.25">
      <c r="A257" s="103">
        <v>1</v>
      </c>
      <c r="B257" s="38" t="s">
        <v>1978</v>
      </c>
      <c r="C257" s="2"/>
      <c r="D257" s="77"/>
      <c r="E257" s="78" t="s">
        <v>1506</v>
      </c>
      <c r="F257" s="55">
        <v>0.5</v>
      </c>
      <c r="G257" s="55">
        <v>0.32</v>
      </c>
      <c r="H257" s="56">
        <f t="shared" si="24"/>
        <v>0.16</v>
      </c>
      <c r="I257" s="2"/>
      <c r="J257" s="79"/>
      <c r="L257" s="2"/>
      <c r="M257" s="2"/>
      <c r="N257" s="39"/>
      <c r="O257" s="2"/>
      <c r="P257" s="2"/>
    </row>
    <row r="258" spans="1:16" x14ac:dyDescent="0.25">
      <c r="A258" s="103">
        <v>1</v>
      </c>
      <c r="B258" s="38" t="s">
        <v>1978</v>
      </c>
      <c r="C258" s="2"/>
      <c r="D258" s="77"/>
      <c r="E258" s="78" t="s">
        <v>1506</v>
      </c>
      <c r="F258" s="55">
        <v>2.46</v>
      </c>
      <c r="G258" s="55">
        <v>0.32</v>
      </c>
      <c r="H258" s="56">
        <f t="shared" si="24"/>
        <v>0.79</v>
      </c>
      <c r="I258" s="2"/>
      <c r="J258" s="79"/>
      <c r="L258" s="2"/>
      <c r="M258" s="2"/>
      <c r="N258" s="39"/>
      <c r="O258" s="2"/>
      <c r="P258" s="2"/>
    </row>
    <row r="259" spans="1:16" x14ac:dyDescent="0.25">
      <c r="A259" s="103">
        <v>1</v>
      </c>
      <c r="B259" s="38" t="s">
        <v>1982</v>
      </c>
      <c r="C259" s="2"/>
      <c r="D259" s="77"/>
      <c r="E259" s="78" t="s">
        <v>1506</v>
      </c>
      <c r="F259" s="55">
        <v>0.1</v>
      </c>
      <c r="G259" s="55">
        <v>8.32</v>
      </c>
      <c r="H259" s="56">
        <f t="shared" si="24"/>
        <v>0.83</v>
      </c>
      <c r="I259" s="2"/>
      <c r="L259" s="2"/>
      <c r="M259" s="2"/>
      <c r="N259" s="39"/>
      <c r="O259" s="2"/>
      <c r="P259" s="2"/>
    </row>
    <row r="260" spans="1:16" x14ac:dyDescent="0.25">
      <c r="A260" s="103">
        <v>1</v>
      </c>
      <c r="B260" s="38" t="s">
        <v>1966</v>
      </c>
      <c r="C260" s="2"/>
      <c r="D260" s="77"/>
      <c r="E260" s="78" t="s">
        <v>1509</v>
      </c>
      <c r="F260" s="55">
        <v>0.03</v>
      </c>
      <c r="G260" s="55">
        <v>7.68</v>
      </c>
      <c r="H260" s="56">
        <f t="shared" si="24"/>
        <v>0.23</v>
      </c>
      <c r="I260" s="2"/>
      <c r="J260" s="79"/>
      <c r="L260" s="2"/>
      <c r="M260" s="2"/>
      <c r="N260" s="39"/>
      <c r="O260" s="2"/>
      <c r="P260" s="2"/>
    </row>
    <row r="261" spans="1:16" x14ac:dyDescent="0.25">
      <c r="B261" s="38" t="str">
        <f>IF($A261=0,"",VLOOKUP($A261,'BASE MATERIAL'!$A:$D,2))</f>
        <v/>
      </c>
      <c r="C261" s="2"/>
      <c r="D261" s="77"/>
      <c r="E261" s="78" t="str">
        <f>IF($A261=0,"",VLOOKUP($A261,'BASE MATERIAL'!$A:$D,3))</f>
        <v/>
      </c>
      <c r="F261" s="55"/>
      <c r="G261" s="55" t="str">
        <f>IF($A261=0,"",VLOOKUP($A261,'BASE MATERIAL'!$A:$D,4))</f>
        <v/>
      </c>
      <c r="H261" s="56" t="str">
        <f t="shared" si="24"/>
        <v/>
      </c>
      <c r="I261" s="2"/>
      <c r="J261" s="79"/>
    </row>
    <row r="262" spans="1:16" x14ac:dyDescent="0.25">
      <c r="B262" s="38" t="str">
        <f>IF($A262=0,"",VLOOKUP($A262,'BASE MATERIAL'!$A:$D,2))</f>
        <v/>
      </c>
      <c r="C262" s="2"/>
      <c r="D262" s="77"/>
      <c r="E262" s="78" t="str">
        <f>IF($A262=0,"",VLOOKUP($A262,'BASE MATERIAL'!$A:$D,3))</f>
        <v/>
      </c>
      <c r="F262" s="55"/>
      <c r="G262" s="55" t="str">
        <f>IF($A262=0,"",VLOOKUP($A262,'BASE MATERIAL'!$A:$D,4))</f>
        <v/>
      </c>
      <c r="H262" s="56" t="str">
        <f t="shared" si="24"/>
        <v/>
      </c>
      <c r="I262" s="2"/>
      <c r="L262" s="2"/>
      <c r="M262" s="2"/>
      <c r="N262" s="39"/>
      <c r="O262" s="2"/>
      <c r="P262" s="2"/>
    </row>
    <row r="263" spans="1:16" x14ac:dyDescent="0.25">
      <c r="B263" s="38" t="str">
        <f>IF($A263=0,"",VLOOKUP($A263,'BASE MATERIAL'!$A:$D,2))</f>
        <v/>
      </c>
      <c r="C263" s="2"/>
      <c r="D263" s="77"/>
      <c r="E263" s="78" t="str">
        <f>IF($A263=0,"",VLOOKUP($A263,'BASE MATERIAL'!$A:$D,3))</f>
        <v/>
      </c>
      <c r="F263" s="55"/>
      <c r="G263" s="55" t="str">
        <f>IF($A263=0,"",VLOOKUP($A263,'BASE MATERIAL'!$A:$D,4))</f>
        <v/>
      </c>
      <c r="H263" s="56" t="str">
        <f t="shared" si="24"/>
        <v/>
      </c>
      <c r="I263" s="2"/>
      <c r="J263" s="79"/>
      <c r="L263" s="2"/>
      <c r="M263" s="2"/>
      <c r="N263" s="39"/>
      <c r="O263" s="2"/>
      <c r="P263" s="2"/>
    </row>
    <row r="264" spans="1:16" x14ac:dyDescent="0.25">
      <c r="B264" s="38" t="str">
        <f>IF($A264=0,"",VLOOKUP($A264,'BASE MATERIAL'!$A:$D,2))</f>
        <v/>
      </c>
      <c r="C264" s="2"/>
      <c r="D264" s="77"/>
      <c r="E264" s="78" t="str">
        <f>IF($A264=0,"",VLOOKUP($A264,'BASE MATERIAL'!$A:$D,3))</f>
        <v/>
      </c>
      <c r="F264" s="55"/>
      <c r="G264" s="55" t="str">
        <f>IF($A264=0,"",VLOOKUP($A264,'BASE MATERIAL'!$A:$D,4))</f>
        <v/>
      </c>
      <c r="H264" s="56" t="str">
        <f>IF($A264=0,"",ROUND(F264*G264,2))</f>
        <v/>
      </c>
      <c r="I264" s="2"/>
      <c r="J264" s="79"/>
    </row>
    <row r="265" spans="1:16" x14ac:dyDescent="0.25">
      <c r="B265" s="38" t="str">
        <f>IF($A265=0,"",VLOOKUP($A265,'BASE MATERIAL'!$A:$D,2))</f>
        <v/>
      </c>
      <c r="C265" s="2"/>
      <c r="D265" s="77"/>
      <c r="E265" s="78" t="str">
        <f>IF($A265=0,"",VLOOKUP($A265,'BASE MATERIAL'!$A:$D,3))</f>
        <v/>
      </c>
      <c r="F265" s="55"/>
      <c r="G265" s="55" t="str">
        <f>IF($A265=0,"",VLOOKUP($A265,'BASE MATERIAL'!$A:$D,4))</f>
        <v/>
      </c>
      <c r="H265" s="56" t="str">
        <f>IF($A265=0,"",ROUND(F265*G265,2))</f>
        <v/>
      </c>
      <c r="I265" s="2"/>
      <c r="J265" s="79"/>
    </row>
    <row r="266" spans="1:16" x14ac:dyDescent="0.25">
      <c r="B266" s="38" t="str">
        <f>IF($A266=0,"",VLOOKUP($A266,'BASE MATERIAL'!$A:$D,2))</f>
        <v/>
      </c>
      <c r="C266" s="2"/>
      <c r="D266" s="77"/>
      <c r="E266" s="78" t="str">
        <f>IF($A266=0,"",VLOOKUP($A266,'BASE MATERIAL'!$A:$D,3))</f>
        <v/>
      </c>
      <c r="F266" s="55"/>
      <c r="G266" s="55" t="str">
        <f>IF($A266=0,"",VLOOKUP($A266,'BASE MATERIAL'!$A:$D,4))</f>
        <v/>
      </c>
      <c r="H266" s="56" t="str">
        <f>IF($A266=0,"",ROUND(F266*G266,2))</f>
        <v/>
      </c>
      <c r="I266" s="2"/>
    </row>
    <row r="267" spans="1:16" x14ac:dyDescent="0.25">
      <c r="B267" s="38" t="str">
        <f>IF($A267=0,"",VLOOKUP($A267,'BASE MATERIAL'!$A:$D,2))</f>
        <v/>
      </c>
      <c r="C267" s="2"/>
      <c r="D267" s="77"/>
      <c r="E267" s="78" t="str">
        <f>IF($A267=0,"",VLOOKUP($A267,'BASE MATERIAL'!$A:$D,3))</f>
        <v/>
      </c>
      <c r="F267" s="55"/>
      <c r="G267" s="55" t="str">
        <f>IF($A267=0,"",VLOOKUP($A267,'BASE MATERIAL'!$A:$D,4))</f>
        <v/>
      </c>
      <c r="H267" s="56" t="str">
        <f>IF($A267=0,"",ROUND(F267*G267,2))</f>
        <v/>
      </c>
      <c r="I267" s="2"/>
    </row>
    <row r="268" spans="1:16" x14ac:dyDescent="0.25">
      <c r="B268" s="38" t="str">
        <f>IF($A268=0,"",VLOOKUP($A268,'BASE MATERIAL'!$A:$D,2))</f>
        <v/>
      </c>
      <c r="C268" s="2"/>
      <c r="D268" s="81" t="s">
        <v>1682</v>
      </c>
      <c r="E268" s="55" t="str">
        <f>IF($A268=0,"",VLOOKUP($A268,'BASE MATERIAL'!$A:$D,3))</f>
        <v/>
      </c>
      <c r="F268" s="55" t="s">
        <v>1682</v>
      </c>
      <c r="G268" s="55" t="str">
        <f>IF($A268=0,"",VLOOKUP($A268,'BASE MATERIAL'!$A:$D,4))</f>
        <v/>
      </c>
      <c r="H268" s="56" t="str">
        <f>IF($A268=0,"",ROUND(E268*F268,2))</f>
        <v/>
      </c>
      <c r="I268" s="2"/>
    </row>
    <row r="269" spans="1:16" x14ac:dyDescent="0.25">
      <c r="B269" s="73" t="s">
        <v>1681</v>
      </c>
      <c r="C269" s="65"/>
      <c r="D269" s="74"/>
      <c r="E269" s="74"/>
      <c r="F269" s="74"/>
      <c r="G269" s="74"/>
      <c r="H269" s="75">
        <f>ROUND(SUM(H252:H268),2)</f>
        <v>14.39</v>
      </c>
      <c r="I269" s="2"/>
    </row>
    <row r="270" spans="1:16" x14ac:dyDescent="0.25">
      <c r="B270" s="38" t="s">
        <v>1680</v>
      </c>
      <c r="C270" s="2"/>
      <c r="D270" s="3"/>
      <c r="E270" s="3"/>
      <c r="F270" s="3"/>
      <c r="G270" s="3"/>
      <c r="H270" s="56"/>
      <c r="I270" s="2"/>
    </row>
    <row r="271" spans="1:16" ht="25.5" x14ac:dyDescent="0.25">
      <c r="B271" s="64" t="s">
        <v>1409</v>
      </c>
      <c r="C271" s="65"/>
      <c r="D271" s="76"/>
      <c r="E271" s="66" t="s">
        <v>1408</v>
      </c>
      <c r="F271" s="66" t="s">
        <v>1679</v>
      </c>
      <c r="G271" s="66" t="s">
        <v>1676</v>
      </c>
      <c r="H271" s="68" t="s">
        <v>1675</v>
      </c>
      <c r="I271" s="2"/>
    </row>
    <row r="272" spans="1:16" x14ac:dyDescent="0.25">
      <c r="A272" s="103">
        <v>19019</v>
      </c>
      <c r="B272" s="51" t="str">
        <f>IF($A272=0,"",VLOOKUP($A272,'BASE EQUIPO'!$A:$D,2))</f>
        <v>TRANSPORTE DE MATERIAL</v>
      </c>
      <c r="C272" s="52"/>
      <c r="D272" s="82"/>
      <c r="E272" s="78" t="str">
        <f>IF($A272=0,"",VLOOKUP($A272,'BASE EQUIPO'!$A:$D,3))</f>
        <v>GLOBAL</v>
      </c>
      <c r="F272" s="55">
        <v>1</v>
      </c>
      <c r="G272" s="83">
        <f>IF($A272=0,"",VLOOKUP($A272,'BASE EQUIPO'!$A:$D,4)*H269)</f>
        <v>0.43170000000000003</v>
      </c>
      <c r="H272" s="56">
        <f>IF($A272=0,"",ROUND(F272*G272,2))</f>
        <v>0.43</v>
      </c>
      <c r="I272" s="2"/>
    </row>
    <row r="273" spans="1:9" x14ac:dyDescent="0.25">
      <c r="B273" s="38" t="str">
        <f>IF($A273=0,"",VLOOKUP($A273,'BASE EQUIPO'!$A:$D,2))</f>
        <v/>
      </c>
      <c r="C273" s="2"/>
      <c r="D273" s="84"/>
      <c r="E273" s="78" t="str">
        <f>IF($A273=0,"",VLOOKUP($A273,'BASE EQUIPO'!$A:$D,3))</f>
        <v/>
      </c>
      <c r="F273" s="55"/>
      <c r="G273" s="55" t="str">
        <f>IF($A273=0,"",VLOOKUP($A273,'BASE EQUIPO'!$A:$D,4)*H270)</f>
        <v/>
      </c>
      <c r="H273" s="56" t="str">
        <f>IF($A273=0,"",ROUND(F273*G273,2))</f>
        <v/>
      </c>
      <c r="I273" s="2"/>
    </row>
    <row r="274" spans="1:9" x14ac:dyDescent="0.25">
      <c r="B274" s="57" t="str">
        <f>IF($A274=0,"",VLOOKUP($A274,'BASE EQUIPO'!$A:$D,2))</f>
        <v/>
      </c>
      <c r="C274" s="58"/>
      <c r="D274" s="85"/>
      <c r="E274" s="86" t="str">
        <f>IF($A274=0,"",VLOOKUP($A274,'BASE EQUIPO'!$A:$D,3))</f>
        <v/>
      </c>
      <c r="F274" s="59"/>
      <c r="G274" s="59" t="str">
        <f>IF($A274=0,"",VLOOKUP($A274,'BASE EQUIPO'!$A:$D,4)*H271)</f>
        <v/>
      </c>
      <c r="H274" s="60" t="str">
        <f>IF($A274=0,"",ROUND(F274*G274,2))</f>
        <v/>
      </c>
      <c r="I274" s="2"/>
    </row>
    <row r="275" spans="1:9" ht="15.75" thickBot="1" x14ac:dyDescent="0.3">
      <c r="B275" s="87" t="s">
        <v>1674</v>
      </c>
      <c r="C275" s="88"/>
      <c r="D275" s="89"/>
      <c r="E275" s="89"/>
      <c r="F275" s="89"/>
      <c r="G275" s="89"/>
      <c r="H275" s="90">
        <f>ROUND(SUM(H271:H274),2)</f>
        <v>0.43</v>
      </c>
      <c r="I275" s="2"/>
    </row>
    <row r="276" spans="1:9" ht="15.75" x14ac:dyDescent="0.25">
      <c r="B276" s="2"/>
      <c r="C276" s="2"/>
      <c r="D276" s="91" t="s">
        <v>1673</v>
      </c>
      <c r="E276" s="47"/>
      <c r="F276" s="47"/>
      <c r="G276" s="47"/>
      <c r="H276" s="92">
        <f>ROUND(SUM(H275,H269,H250,H240),2)</f>
        <v>21.46</v>
      </c>
      <c r="I276" s="2"/>
    </row>
    <row r="277" spans="1:9" ht="15.75" x14ac:dyDescent="0.25">
      <c r="A277" s="103">
        <v>40002</v>
      </c>
      <c r="B277" s="2"/>
      <c r="C277" s="2"/>
      <c r="D277" s="93" t="s">
        <v>1672</v>
      </c>
      <c r="E277" s="65"/>
      <c r="F277" s="65"/>
      <c r="G277" s="94">
        <f>IF($A277=0,"",VLOOKUP($A277,'BASE MATERIAL'!$M:$P,4))</f>
        <v>0</v>
      </c>
      <c r="H277" s="95">
        <f>IF($A277=0,"",ROUND(G277*H276,2))</f>
        <v>0</v>
      </c>
      <c r="I277" s="2"/>
    </row>
    <row r="278" spans="1:9" ht="15.75" x14ac:dyDescent="0.25">
      <c r="A278" s="103">
        <v>40003</v>
      </c>
      <c r="B278" s="2"/>
      <c r="C278" s="2"/>
      <c r="D278" s="93" t="s">
        <v>1671</v>
      </c>
      <c r="E278" s="65"/>
      <c r="F278" s="65"/>
      <c r="G278" s="94">
        <f>IF($A278=0,"",VLOOKUP($A278,'BASE MATERIAL'!$M:$P,4))</f>
        <v>0</v>
      </c>
      <c r="H278" s="95">
        <f>IF($A278=0,"",ROUND(G278*H276,2))</f>
        <v>0</v>
      </c>
      <c r="I278" s="2"/>
    </row>
    <row r="279" spans="1:9" ht="15.75" x14ac:dyDescent="0.25">
      <c r="B279" s="2"/>
      <c r="C279" s="2"/>
      <c r="D279" s="93" t="s">
        <v>1670</v>
      </c>
      <c r="E279" s="65"/>
      <c r="F279" s="65"/>
      <c r="G279" s="65"/>
      <c r="H279" s="96">
        <f>ROUND(SUM(H276:H278),2)</f>
        <v>21.46</v>
      </c>
      <c r="I279" s="2"/>
    </row>
    <row r="280" spans="1:9" ht="16.5" thickBot="1" x14ac:dyDescent="0.3">
      <c r="B280" s="25"/>
      <c r="C280" s="2"/>
      <c r="D280" s="97" t="s">
        <v>1650</v>
      </c>
      <c r="E280" s="88"/>
      <c r="F280" s="88"/>
      <c r="G280" s="88"/>
      <c r="H280" s="98">
        <f>ROUND(H279,2)</f>
        <v>21.46</v>
      </c>
      <c r="I280" s="2"/>
    </row>
    <row r="288" spans="1:9" ht="15.75" thickBot="1" x14ac:dyDescent="0.3"/>
    <row r="289" spans="1:6" ht="13.5" thickBot="1" x14ac:dyDescent="0.25">
      <c r="A289" s="399" t="s">
        <v>1972</v>
      </c>
      <c r="B289" s="400" t="s">
        <v>1964</v>
      </c>
      <c r="C289" s="400" t="s">
        <v>1973</v>
      </c>
      <c r="D289" s="400" t="s">
        <v>1974</v>
      </c>
      <c r="E289" s="400" t="s">
        <v>1975</v>
      </c>
      <c r="F289" s="400" t="s">
        <v>1976</v>
      </c>
    </row>
    <row r="290" spans="1:6" ht="36" x14ac:dyDescent="0.2">
      <c r="A290" s="401" t="s">
        <v>1961</v>
      </c>
      <c r="B290" s="402" t="s">
        <v>1962</v>
      </c>
      <c r="C290" s="403" t="s">
        <v>1963</v>
      </c>
      <c r="D290" s="404">
        <v>0.03</v>
      </c>
      <c r="E290" s="404">
        <v>138.35</v>
      </c>
      <c r="F290" s="404">
        <v>4.1500000000000004</v>
      </c>
    </row>
    <row r="291" spans="1:6" ht="18" x14ac:dyDescent="0.2">
      <c r="A291" s="401" t="s">
        <v>1977</v>
      </c>
      <c r="B291" s="402" t="s">
        <v>1964</v>
      </c>
      <c r="C291" s="403" t="s">
        <v>1978</v>
      </c>
      <c r="D291" s="404">
        <v>30.2</v>
      </c>
      <c r="E291" s="404">
        <v>0.32</v>
      </c>
      <c r="F291" s="404">
        <v>9.66</v>
      </c>
    </row>
    <row r="292" spans="1:6" ht="18" x14ac:dyDescent="0.2">
      <c r="A292" s="401" t="s">
        <v>1979</v>
      </c>
      <c r="B292" s="402" t="s">
        <v>1964</v>
      </c>
      <c r="C292" s="403" t="s">
        <v>1980</v>
      </c>
      <c r="D292" s="404">
        <v>0.35</v>
      </c>
      <c r="E292" s="404">
        <v>0.96</v>
      </c>
      <c r="F292" s="404">
        <v>0.34</v>
      </c>
    </row>
    <row r="293" spans="1:6" ht="18" x14ac:dyDescent="0.2">
      <c r="A293" s="401" t="s">
        <v>1977</v>
      </c>
      <c r="B293" s="402" t="s">
        <v>1964</v>
      </c>
      <c r="C293" s="403" t="s">
        <v>1978</v>
      </c>
      <c r="D293" s="404">
        <v>0.5</v>
      </c>
      <c r="E293" s="404">
        <v>0.32</v>
      </c>
      <c r="F293" s="404">
        <v>0.16</v>
      </c>
    </row>
    <row r="294" spans="1:6" ht="18" x14ac:dyDescent="0.2">
      <c r="A294" s="401" t="s">
        <v>1977</v>
      </c>
      <c r="B294" s="402" t="s">
        <v>1964</v>
      </c>
      <c r="C294" s="403" t="s">
        <v>1978</v>
      </c>
      <c r="D294" s="404">
        <v>2.4609999999999999</v>
      </c>
      <c r="E294" s="404">
        <v>0.32</v>
      </c>
      <c r="F294" s="404">
        <v>0.79</v>
      </c>
    </row>
    <row r="295" spans="1:6" ht="18" x14ac:dyDescent="0.2">
      <c r="A295" s="401" t="s">
        <v>1981</v>
      </c>
      <c r="B295" s="402" t="s">
        <v>1964</v>
      </c>
      <c r="C295" s="403" t="s">
        <v>1982</v>
      </c>
      <c r="D295" s="404">
        <v>0.1</v>
      </c>
      <c r="E295" s="404">
        <v>8.32</v>
      </c>
      <c r="F295" s="404">
        <v>0.83</v>
      </c>
    </row>
    <row r="296" spans="1:6" ht="36" x14ac:dyDescent="0.2">
      <c r="A296" s="401" t="s">
        <v>1961</v>
      </c>
      <c r="B296" s="402" t="s">
        <v>1962</v>
      </c>
      <c r="C296" s="403" t="s">
        <v>1963</v>
      </c>
      <c r="D296" s="404">
        <v>0.03</v>
      </c>
      <c r="E296" s="404">
        <v>138.35</v>
      </c>
      <c r="F296" s="404">
        <v>4.1500000000000004</v>
      </c>
    </row>
    <row r="297" spans="1:6" ht="12.75" x14ac:dyDescent="0.2">
      <c r="A297" s="401" t="s">
        <v>1965</v>
      </c>
      <c r="B297" s="402" t="s">
        <v>1509</v>
      </c>
      <c r="C297" s="403" t="s">
        <v>1966</v>
      </c>
      <c r="D297" s="404">
        <v>2.7E-2</v>
      </c>
      <c r="E297" s="404">
        <v>7.68</v>
      </c>
      <c r="F297" s="404">
        <v>0.21</v>
      </c>
    </row>
    <row r="298" spans="1:6" ht="12.75" x14ac:dyDescent="0.2">
      <c r="A298" s="401" t="s">
        <v>1967</v>
      </c>
      <c r="B298" s="402" t="s">
        <v>1968</v>
      </c>
      <c r="C298" s="403" t="s">
        <v>1969</v>
      </c>
      <c r="D298" s="404">
        <v>0.75800000000000001</v>
      </c>
      <c r="E298" s="404">
        <v>5.07</v>
      </c>
      <c r="F298" s="404">
        <v>3.84</v>
      </c>
    </row>
    <row r="299" spans="1:6" ht="13.5" thickBot="1" x14ac:dyDescent="0.25">
      <c r="A299" s="401" t="s">
        <v>1970</v>
      </c>
      <c r="B299" s="405" t="s">
        <v>1968</v>
      </c>
      <c r="C299" s="406" t="s">
        <v>1971</v>
      </c>
      <c r="D299" s="407">
        <v>0.75800000000000001</v>
      </c>
      <c r="E299" s="407">
        <v>3.38</v>
      </c>
      <c r="F299" s="407">
        <v>2.56</v>
      </c>
    </row>
    <row r="300" spans="1:6" ht="12.75" x14ac:dyDescent="0.2">
      <c r="A300" s="401"/>
      <c r="B300" s="402" t="s">
        <v>1387</v>
      </c>
      <c r="C300" s="403" t="s">
        <v>1983</v>
      </c>
      <c r="D300" s="404">
        <v>2</v>
      </c>
      <c r="E300" s="404">
        <v>26.69</v>
      </c>
      <c r="F300" s="404">
        <v>0.53</v>
      </c>
    </row>
    <row r="301" spans="1:6" ht="13.5" thickBot="1" x14ac:dyDescent="0.25">
      <c r="A301" s="408"/>
      <c r="B301" s="405" t="s">
        <v>1387</v>
      </c>
      <c r="C301" s="406" t="s">
        <v>1984</v>
      </c>
      <c r="D301" s="407">
        <v>3</v>
      </c>
      <c r="E301" s="407">
        <v>27.22</v>
      </c>
      <c r="F301" s="407">
        <v>0.82</v>
      </c>
    </row>
    <row r="302" spans="1:6" ht="13.5" thickBot="1" x14ac:dyDescent="0.25">
      <c r="A302" s="728" t="s">
        <v>1985</v>
      </c>
      <c r="B302" s="729"/>
      <c r="C302" s="729"/>
      <c r="D302" s="409"/>
      <c r="E302" s="410" t="s">
        <v>1986</v>
      </c>
      <c r="F302" s="407">
        <v>28.04</v>
      </c>
    </row>
  </sheetData>
  <mergeCells count="1">
    <mergeCell ref="A302:C302"/>
  </mergeCells>
  <phoneticPr fontId="2" type="noConversion"/>
  <pageMargins left="0.78740157480314965" right="0.78740157480314965" top="0.78740157480314965" bottom="0.78740157480314965" header="0" footer="0"/>
  <pageSetup paperSize="9" scale="85" orientation="portrait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567A8-DAD4-4CCC-BDAF-88EF323A8A12}">
  <sheetPr codeName="Hoja12"/>
  <dimension ref="A1:P112"/>
  <sheetViews>
    <sheetView topLeftCell="A100" workbookViewId="0">
      <selection activeCell="F87" sqref="F87"/>
    </sheetView>
  </sheetViews>
  <sheetFormatPr baseColWidth="10" defaultColWidth="11.42578125" defaultRowHeight="15" x14ac:dyDescent="0.25"/>
  <cols>
    <col min="1" max="1" width="7" style="103" bestFit="1" customWidth="1"/>
    <col min="2" max="2" width="12.140625" style="1" customWidth="1"/>
    <col min="3" max="3" width="26.28515625" style="1" customWidth="1"/>
    <col min="4" max="4" width="10.7109375" style="1" customWidth="1"/>
    <col min="5" max="5" width="12.140625" style="1" customWidth="1"/>
    <col min="6" max="6" width="13.28515625" style="1" customWidth="1"/>
    <col min="7" max="7" width="13.85546875" style="1" customWidth="1"/>
    <col min="8" max="8" width="12.42578125" style="1" customWidth="1"/>
    <col min="9" max="9" width="3.140625" style="1" bestFit="1" customWidth="1"/>
    <col min="10" max="10" width="3.5703125" style="1" customWidth="1"/>
    <col min="11" max="11" width="8.42578125" style="1" customWidth="1"/>
    <col min="12" max="12" width="5.140625" style="1" bestFit="1" customWidth="1"/>
    <col min="13" max="13" width="36.7109375" style="1" customWidth="1"/>
    <col min="14" max="14" width="3.7109375" style="1" bestFit="1" customWidth="1"/>
    <col min="15" max="15" width="5.5703125" style="1" bestFit="1" customWidth="1"/>
    <col min="16" max="28" width="8.42578125" style="1" customWidth="1"/>
    <col min="29" max="16384" width="11.42578125" style="1"/>
  </cols>
  <sheetData>
    <row r="1" spans="1:15" ht="15.75" x14ac:dyDescent="0.25">
      <c r="B1" s="34" t="s">
        <v>1701</v>
      </c>
      <c r="C1" s="5"/>
      <c r="D1" s="157" t="str">
        <f>'1.1'!$D$1</f>
        <v>ESPOL</v>
      </c>
      <c r="E1" s="2"/>
      <c r="F1" s="2"/>
      <c r="H1" s="2" t="s">
        <v>108</v>
      </c>
      <c r="I1" s="2"/>
      <c r="L1" s="40">
        <f>A5</f>
        <v>1</v>
      </c>
      <c r="M1" s="1" t="str">
        <f>C6</f>
        <v xml:space="preserve">Contrapiso hormigon simple   e= 10cm </v>
      </c>
      <c r="N1" s="2" t="str">
        <f>H5</f>
        <v>m2</v>
      </c>
      <c r="O1" s="2">
        <f>H56</f>
        <v>9.61</v>
      </c>
    </row>
    <row r="2" spans="1:15" s="4" customFormat="1" ht="15.75" x14ac:dyDescent="0.25">
      <c r="A2" s="103"/>
      <c r="B2" s="34" t="s">
        <v>1700</v>
      </c>
      <c r="C2" s="3">
        <f>'1.1'!$C$2</f>
        <v>0</v>
      </c>
      <c r="D2" s="5"/>
      <c r="E2" s="5"/>
      <c r="F2" s="5"/>
      <c r="G2" s="158" t="s">
        <v>1699</v>
      </c>
      <c r="H2" s="159"/>
      <c r="I2" s="5" t="s">
        <v>1698</v>
      </c>
    </row>
    <row r="3" spans="1:15" s="4" customFormat="1" ht="15.75" x14ac:dyDescent="0.25">
      <c r="A3" s="103"/>
      <c r="B3" s="34"/>
      <c r="C3" s="3">
        <f>'1.1'!$C$3</f>
        <v>0</v>
      </c>
      <c r="D3" s="5"/>
      <c r="E3" s="5"/>
      <c r="F3" s="5"/>
      <c r="G3" s="5"/>
      <c r="H3" s="5"/>
      <c r="I3" s="5"/>
    </row>
    <row r="4" spans="1:15" s="4" customFormat="1" ht="15.75" x14ac:dyDescent="0.25">
      <c r="A4" s="103"/>
      <c r="B4" s="34" t="s">
        <v>1697</v>
      </c>
      <c r="C4" s="3"/>
      <c r="D4" s="5"/>
      <c r="E4" s="5"/>
      <c r="F4" s="5"/>
      <c r="G4" s="5"/>
      <c r="H4" s="5"/>
      <c r="I4" s="5"/>
    </row>
    <row r="5" spans="1:15" x14ac:dyDescent="0.25">
      <c r="A5" s="104">
        <v>1</v>
      </c>
      <c r="B5" s="2" t="s">
        <v>1586</v>
      </c>
      <c r="C5" s="36"/>
      <c r="D5" s="5"/>
      <c r="E5" s="4"/>
      <c r="F5" s="4"/>
      <c r="G5" s="5" t="s">
        <v>1696</v>
      </c>
      <c r="H5" s="157" t="s">
        <v>1520</v>
      </c>
      <c r="I5" s="2"/>
    </row>
    <row r="6" spans="1:15" s="4" customFormat="1" x14ac:dyDescent="0.25">
      <c r="A6" s="103"/>
      <c r="B6" s="1" t="s">
        <v>1585</v>
      </c>
      <c r="C6" s="36" t="s">
        <v>46</v>
      </c>
      <c r="D6" s="5"/>
      <c r="E6" s="5"/>
      <c r="F6" s="5"/>
      <c r="G6" s="5"/>
      <c r="H6" s="5"/>
      <c r="I6" s="5"/>
    </row>
    <row r="7" spans="1:15" ht="15.75" thickBot="1" x14ac:dyDescent="0.3">
      <c r="D7" s="2"/>
      <c r="E7" s="2"/>
      <c r="F7" s="2"/>
      <c r="G7" s="2"/>
      <c r="H7" s="2"/>
      <c r="I7" s="2"/>
    </row>
    <row r="8" spans="1:15" ht="15.75" thickBot="1" x14ac:dyDescent="0.3">
      <c r="B8" s="43" t="s">
        <v>1695</v>
      </c>
      <c r="C8" s="44"/>
      <c r="D8" s="44"/>
      <c r="E8" s="44"/>
      <c r="F8" s="44"/>
      <c r="G8" s="44"/>
      <c r="H8" s="45"/>
      <c r="I8" s="2"/>
    </row>
    <row r="9" spans="1:15" ht="25.5" x14ac:dyDescent="0.25">
      <c r="B9" s="46" t="s">
        <v>1409</v>
      </c>
      <c r="C9" s="47"/>
      <c r="D9" s="48" t="s">
        <v>1690</v>
      </c>
      <c r="E9" s="48" t="s">
        <v>1694</v>
      </c>
      <c r="F9" s="48" t="s">
        <v>1693</v>
      </c>
      <c r="G9" s="49" t="s">
        <v>1687</v>
      </c>
      <c r="H9" s="50" t="s">
        <v>1686</v>
      </c>
      <c r="I9" s="2"/>
    </row>
    <row r="10" spans="1:15" s="4" customFormat="1" x14ac:dyDescent="0.25">
      <c r="A10" s="103">
        <v>19015</v>
      </c>
      <c r="B10" s="51" t="str">
        <f>IF($A10=0,"",VLOOKUP($A10,'BASE EQUIPO'!$A:$D,2))</f>
        <v>HERRAMIENTA MENOR</v>
      </c>
      <c r="C10" s="52"/>
      <c r="D10" s="53">
        <v>1</v>
      </c>
      <c r="E10" s="53">
        <f>IF($A10=0,"",VLOOKUP($A10,'BASE EQUIPO'!$A:$D,4)*H26)</f>
        <v>6.6600000000000006E-2</v>
      </c>
      <c r="F10" s="53">
        <f t="shared" ref="F10:F15" si="0">IF($A10=0,"",ROUND(D10*E10,2))</f>
        <v>7.0000000000000007E-2</v>
      </c>
      <c r="G10" s="105">
        <v>1</v>
      </c>
      <c r="H10" s="54">
        <f t="shared" ref="H10:H15" si="1">IF($A10=0,"",ROUND(G10*F10,2))</f>
        <v>7.0000000000000007E-2</v>
      </c>
      <c r="I10" s="5"/>
    </row>
    <row r="11" spans="1:15" s="4" customFormat="1" x14ac:dyDescent="0.25">
      <c r="A11" s="103">
        <v>19003</v>
      </c>
      <c r="B11" s="38" t="str">
        <f>IF($A11=0,"",VLOOKUP($A11,'BASE EQUIPO'!$A:$D,2))</f>
        <v>CONCRETERA</v>
      </c>
      <c r="C11" s="2"/>
      <c r="D11" s="55">
        <v>1</v>
      </c>
      <c r="E11" s="55">
        <f>IF($A11=0,"",VLOOKUP($A11,'BASE EQUIPO'!$A:$D,4))</f>
        <v>3.5</v>
      </c>
      <c r="F11" s="55">
        <f t="shared" si="0"/>
        <v>3.5</v>
      </c>
      <c r="G11" s="106">
        <f>+G20*0.5</f>
        <v>2.75E-2</v>
      </c>
      <c r="H11" s="56">
        <f t="shared" si="1"/>
        <v>0.1</v>
      </c>
      <c r="I11" s="5"/>
    </row>
    <row r="12" spans="1:15" s="4" customFormat="1" x14ac:dyDescent="0.25">
      <c r="A12" s="103"/>
      <c r="B12" s="38" t="str">
        <f>IF($A12=0,"",VLOOKUP($A12,'BASE EQUIPO'!$A:$D,2))</f>
        <v/>
      </c>
      <c r="C12" s="2"/>
      <c r="D12" s="55"/>
      <c r="E12" s="55" t="str">
        <f>IF($A12=0,"",VLOOKUP($A12,'BASE EQUIPO'!$A:$D,4))</f>
        <v/>
      </c>
      <c r="F12" s="55" t="str">
        <f t="shared" si="0"/>
        <v/>
      </c>
      <c r="G12" s="106"/>
      <c r="H12" s="56" t="str">
        <f t="shared" si="1"/>
        <v/>
      </c>
      <c r="I12" s="5"/>
    </row>
    <row r="13" spans="1:15" s="4" customFormat="1" x14ac:dyDescent="0.25">
      <c r="A13" s="103"/>
      <c r="B13" s="38" t="str">
        <f>IF($A13=0,"",VLOOKUP($A13,'BASE EQUIPO'!$A:$D,2))</f>
        <v/>
      </c>
      <c r="C13" s="2"/>
      <c r="D13" s="55"/>
      <c r="E13" s="55" t="str">
        <f>IF($A13=0,"",VLOOKUP($A13,'BASE EQUIPO'!$A:$D,4))</f>
        <v/>
      </c>
      <c r="F13" s="55" t="str">
        <f t="shared" si="0"/>
        <v/>
      </c>
      <c r="G13" s="106"/>
      <c r="H13" s="56" t="str">
        <f t="shared" si="1"/>
        <v/>
      </c>
      <c r="I13" s="5"/>
    </row>
    <row r="14" spans="1:15" s="4" customFormat="1" x14ac:dyDescent="0.25">
      <c r="A14" s="103"/>
      <c r="B14" s="38" t="str">
        <f>IF($A14=0,"",VLOOKUP($A14,'BASE EQUIPO'!$A:$D,2))</f>
        <v/>
      </c>
      <c r="C14" s="2"/>
      <c r="D14" s="55"/>
      <c r="E14" s="55" t="str">
        <f>IF($A14=0,"",VLOOKUP($A14,'BASE EQUIPO'!$A:$D,4))</f>
        <v/>
      </c>
      <c r="F14" s="55" t="str">
        <f t="shared" si="0"/>
        <v/>
      </c>
      <c r="G14" s="106"/>
      <c r="H14" s="56" t="str">
        <f t="shared" si="1"/>
        <v/>
      </c>
      <c r="I14" s="5"/>
    </row>
    <row r="15" spans="1:15" s="4" customFormat="1" x14ac:dyDescent="0.25">
      <c r="A15" s="103"/>
      <c r="B15" s="57" t="str">
        <f>IF($A15=0,"",VLOOKUP($A15,'BASE EQUIPO'!$A:$D,2))</f>
        <v/>
      </c>
      <c r="C15" s="58"/>
      <c r="D15" s="59"/>
      <c r="E15" s="59" t="str">
        <f>IF($A15=0,"",VLOOKUP($A15,'BASE EQUIPO'!$A:$D,4))</f>
        <v/>
      </c>
      <c r="F15" s="59" t="str">
        <f t="shared" si="0"/>
        <v/>
      </c>
      <c r="G15" s="107"/>
      <c r="H15" s="60" t="str">
        <f t="shared" si="1"/>
        <v/>
      </c>
      <c r="I15" s="5"/>
    </row>
    <row r="16" spans="1:15" s="4" customFormat="1" x14ac:dyDescent="0.25">
      <c r="A16" s="103"/>
      <c r="B16" s="57" t="s">
        <v>1692</v>
      </c>
      <c r="C16" s="58"/>
      <c r="D16" s="61"/>
      <c r="E16" s="61"/>
      <c r="F16" s="61"/>
      <c r="G16" s="62"/>
      <c r="H16" s="60">
        <f>ROUND(SUM(H9:H15),2)</f>
        <v>0.17</v>
      </c>
      <c r="I16" s="5"/>
    </row>
    <row r="17" spans="1:16" s="4" customFormat="1" x14ac:dyDescent="0.25">
      <c r="A17" s="103"/>
      <c r="B17" s="38" t="s">
        <v>1503</v>
      </c>
      <c r="C17" s="2"/>
      <c r="D17" s="3"/>
      <c r="E17" s="3"/>
      <c r="F17" s="3"/>
      <c r="G17" s="63"/>
      <c r="H17" s="56"/>
      <c r="I17" s="5"/>
    </row>
    <row r="18" spans="1:16" ht="25.5" x14ac:dyDescent="0.25">
      <c r="B18" s="64" t="s">
        <v>1691</v>
      </c>
      <c r="C18" s="65"/>
      <c r="D18" s="66" t="s">
        <v>1690</v>
      </c>
      <c r="E18" s="66" t="s">
        <v>1689</v>
      </c>
      <c r="F18" s="66" t="s">
        <v>1688</v>
      </c>
      <c r="G18" s="67" t="s">
        <v>1687</v>
      </c>
      <c r="H18" s="68" t="s">
        <v>1686</v>
      </c>
      <c r="I18" s="2"/>
    </row>
    <row r="19" spans="1:16" s="4" customFormat="1" x14ac:dyDescent="0.25">
      <c r="A19" s="103">
        <v>20001</v>
      </c>
      <c r="B19" s="69" t="str">
        <f>IF($A19=0,"",VLOOKUP($A19,'BASE M-OBRA'!$A:$D,2))</f>
        <v>MAESTRO</v>
      </c>
      <c r="C19" s="2"/>
      <c r="D19" s="108">
        <v>1</v>
      </c>
      <c r="E19" s="70">
        <f>IF($A19=0,"",VLOOKUP($A19,'BASE M-OBRA'!$A:$D,4))</f>
        <v>3.02</v>
      </c>
      <c r="F19" s="55">
        <f t="shared" ref="F19:F25" si="2">IF($A19=0,"",ROUND(D19*E19,2))</f>
        <v>3.02</v>
      </c>
      <c r="G19" s="106">
        <f>IF($A19=0,"",ROUND(H19/F19,2))</f>
        <v>0.12</v>
      </c>
      <c r="H19" s="56">
        <f>IF($A19=0,"",ROUND(SUM(H20:H25)*'BASE M-OBRA'!$D$23,2))</f>
        <v>0.37</v>
      </c>
      <c r="I19" s="5"/>
    </row>
    <row r="20" spans="1:16" s="4" customFormat="1" x14ac:dyDescent="0.25">
      <c r="A20" s="103">
        <v>20002</v>
      </c>
      <c r="B20" s="69" t="str">
        <f>IF($A20=0,"",VLOOKUP($A20,'BASE M-OBRA'!$A:$D,2))</f>
        <v>PEON</v>
      </c>
      <c r="C20" s="2"/>
      <c r="D20" s="108">
        <v>8</v>
      </c>
      <c r="E20" s="70">
        <f>IF($A20=0,"",VLOOKUP($A20,'BASE M-OBRA'!$A:$D,4))</f>
        <v>2.79</v>
      </c>
      <c r="F20" s="55">
        <f t="shared" si="2"/>
        <v>22.32</v>
      </c>
      <c r="G20" s="106">
        <v>5.5E-2</v>
      </c>
      <c r="H20" s="56">
        <f t="shared" ref="H20:H25" si="3">IF($A20=0,"",ROUND(G20*F20,2))</f>
        <v>1.23</v>
      </c>
      <c r="I20" s="5"/>
    </row>
    <row r="21" spans="1:16" s="4" customFormat="1" x14ac:dyDescent="0.25">
      <c r="A21" s="103">
        <v>20003</v>
      </c>
      <c r="B21" s="69" t="str">
        <f>IF($A21=0,"",VLOOKUP($A21,'BASE M-OBRA'!$A:$D,2))</f>
        <v>ALBAÑIL</v>
      </c>
      <c r="C21" s="2"/>
      <c r="D21" s="108">
        <v>2</v>
      </c>
      <c r="E21" s="70">
        <f>IF($A21=0,"",VLOOKUP($A21,'BASE M-OBRA'!$A:$D,4))</f>
        <v>2.82</v>
      </c>
      <c r="F21" s="55">
        <f t="shared" si="2"/>
        <v>5.64</v>
      </c>
      <c r="G21" s="106">
        <f>+G20</f>
        <v>5.5E-2</v>
      </c>
      <c r="H21" s="56">
        <f t="shared" si="3"/>
        <v>0.31</v>
      </c>
      <c r="I21" s="5"/>
    </row>
    <row r="22" spans="1:16" s="4" customFormat="1" x14ac:dyDescent="0.25">
      <c r="A22" s="103">
        <v>20004</v>
      </c>
      <c r="B22" s="71" t="str">
        <f>IF($A22=0,"",VLOOKUP($A22,'BASE M-OBRA'!$A:$D,2))</f>
        <v>CARPINTERO</v>
      </c>
      <c r="C22" s="2"/>
      <c r="D22" s="108">
        <v>2</v>
      </c>
      <c r="E22" s="70">
        <f>IF($A22=0,"",VLOOKUP($A22,'BASE M-OBRA'!$A:$D,4))</f>
        <v>2.82</v>
      </c>
      <c r="F22" s="55">
        <f t="shared" si="2"/>
        <v>5.64</v>
      </c>
      <c r="G22" s="106">
        <f>+G21</f>
        <v>5.5E-2</v>
      </c>
      <c r="H22" s="56">
        <f t="shared" si="3"/>
        <v>0.31</v>
      </c>
      <c r="I22" s="5"/>
    </row>
    <row r="23" spans="1:16" s="4" customFormat="1" x14ac:dyDescent="0.25">
      <c r="A23" s="103"/>
      <c r="B23" s="72" t="str">
        <f>IF($A23=0,"",VLOOKUP($A23,'BASE M-OBRA'!$A:$D,2))</f>
        <v/>
      </c>
      <c r="C23" s="2"/>
      <c r="D23" s="108"/>
      <c r="E23" s="70" t="str">
        <f>IF($A23=0,"",VLOOKUP($A23,'BASE M-OBRA'!$A:$D,4))</f>
        <v/>
      </c>
      <c r="F23" s="55" t="str">
        <f t="shared" si="2"/>
        <v/>
      </c>
      <c r="G23" s="106"/>
      <c r="H23" s="56" t="str">
        <f t="shared" si="3"/>
        <v/>
      </c>
      <c r="I23" s="5"/>
    </row>
    <row r="24" spans="1:16" s="4" customFormat="1" x14ac:dyDescent="0.25">
      <c r="A24" s="103"/>
      <c r="B24" s="38" t="str">
        <f>IF($A24=0,"",VLOOKUP($A24,'BASE M-OBRA'!$A:$D,2))</f>
        <v/>
      </c>
      <c r="C24" s="2"/>
      <c r="D24" s="55"/>
      <c r="E24" s="55" t="str">
        <f>IF($A24=0,"",VLOOKUP($A24,'BASE M-OBRA'!$A:$D,4))</f>
        <v/>
      </c>
      <c r="F24" s="55" t="str">
        <f t="shared" si="2"/>
        <v/>
      </c>
      <c r="G24" s="106"/>
      <c r="H24" s="56" t="str">
        <f t="shared" si="3"/>
        <v/>
      </c>
      <c r="I24" s="5"/>
    </row>
    <row r="25" spans="1:16" s="4" customFormat="1" x14ac:dyDescent="0.25">
      <c r="A25" s="103"/>
      <c r="B25" s="57" t="str">
        <f>IF($A25=0,"",VLOOKUP($A25,'BASE M-OBRA'!$A:$D,2))</f>
        <v/>
      </c>
      <c r="C25" s="58"/>
      <c r="D25" s="59"/>
      <c r="E25" s="59" t="str">
        <f>IF($A25=0,"",VLOOKUP($A25,'BASE M-OBRA'!$A:$D,4))</f>
        <v/>
      </c>
      <c r="F25" s="59" t="str">
        <f t="shared" si="2"/>
        <v/>
      </c>
      <c r="G25" s="107"/>
      <c r="H25" s="60" t="str">
        <f t="shared" si="3"/>
        <v/>
      </c>
      <c r="I25" s="5"/>
    </row>
    <row r="26" spans="1:16" s="4" customFormat="1" x14ac:dyDescent="0.25">
      <c r="A26" s="103"/>
      <c r="B26" s="73" t="s">
        <v>1685</v>
      </c>
      <c r="C26" s="65"/>
      <c r="D26" s="74"/>
      <c r="E26" s="74"/>
      <c r="F26" s="74"/>
      <c r="G26" s="74"/>
      <c r="H26" s="75">
        <f>ROUND(SUM(H18:H25),2)</f>
        <v>2.2200000000000002</v>
      </c>
      <c r="I26" s="5"/>
    </row>
    <row r="27" spans="1:16" s="4" customFormat="1" x14ac:dyDescent="0.25">
      <c r="A27" s="103"/>
      <c r="B27" s="38" t="s">
        <v>1684</v>
      </c>
      <c r="C27" s="2"/>
      <c r="D27" s="3"/>
      <c r="E27" s="3"/>
      <c r="F27" s="3"/>
      <c r="G27" s="3"/>
      <c r="H27" s="56"/>
      <c r="I27" s="5"/>
    </row>
    <row r="28" spans="1:16" ht="25.5" x14ac:dyDescent="0.25">
      <c r="B28" s="64" t="s">
        <v>1409</v>
      </c>
      <c r="C28" s="65"/>
      <c r="D28" s="76"/>
      <c r="E28" s="66" t="s">
        <v>1408</v>
      </c>
      <c r="F28" s="66" t="s">
        <v>1679</v>
      </c>
      <c r="G28" s="66" t="s">
        <v>1683</v>
      </c>
      <c r="H28" s="68" t="s">
        <v>1675</v>
      </c>
      <c r="I28" s="2"/>
    </row>
    <row r="29" spans="1:16" s="4" customFormat="1" x14ac:dyDescent="0.25">
      <c r="A29" s="103">
        <v>11009</v>
      </c>
      <c r="B29" s="37" t="str">
        <f>IF($A29=0,"",VLOOKUP($A29,'BASE MATERIAL'!$A:$D,2))</f>
        <v>CUARTON</v>
      </c>
      <c r="C29" s="2"/>
      <c r="D29" s="77"/>
      <c r="E29" s="78" t="str">
        <f>IF($A29=0,"",VLOOKUP($A29,'BASE MATERIAL'!$A:$D,3))</f>
        <v>U</v>
      </c>
      <c r="F29" s="55">
        <f>ROUND(0.13*8/(4*3),2)</f>
        <v>0.09</v>
      </c>
      <c r="G29" s="55">
        <f>IF($A29=0,"",VLOOKUP($A29,'BASE MATERIAL'!$A:$D,4))</f>
        <v>2.42</v>
      </c>
      <c r="H29" s="56">
        <f t="shared" ref="H29:H43" si="4">IF($A29=0,"",ROUND(F29*G29,2))</f>
        <v>0.22</v>
      </c>
      <c r="I29" s="5"/>
      <c r="K29" s="4">
        <f>(0.1*3*4)/(3*3)</f>
        <v>0.13333333333333336</v>
      </c>
      <c r="L29" s="5"/>
      <c r="M29" s="5"/>
      <c r="N29" s="160"/>
      <c r="O29" s="5"/>
      <c r="P29" s="5"/>
    </row>
    <row r="30" spans="1:16" s="4" customFormat="1" x14ac:dyDescent="0.25">
      <c r="A30" s="103">
        <v>11007</v>
      </c>
      <c r="B30" s="38" t="str">
        <f>IF($A30=0,"",VLOOKUP($A30,'BASE MATERIAL'!$A:$D,2))</f>
        <v>CLAVO 2 1/2"</v>
      </c>
      <c r="C30" s="2"/>
      <c r="D30" s="77"/>
      <c r="E30" s="78" t="str">
        <f>IF($A30=0,"",VLOOKUP($A30,'BASE MATERIAL'!$A:$D,3))</f>
        <v>KG</v>
      </c>
      <c r="F30" s="55">
        <f>ROUND(0.13*56/(178*1.5),2)</f>
        <v>0.03</v>
      </c>
      <c r="G30" s="55">
        <f>IF($A30=0,"",VLOOKUP($A30,'BASE MATERIAL'!$A:$D,4))</f>
        <v>2.6520000000000001</v>
      </c>
      <c r="H30" s="56">
        <f t="shared" si="4"/>
        <v>0.08</v>
      </c>
      <c r="I30" s="5"/>
      <c r="L30" s="5"/>
      <c r="M30" s="5"/>
      <c r="N30" s="160"/>
      <c r="O30" s="5"/>
      <c r="P30" s="5"/>
    </row>
    <row r="31" spans="1:16" s="4" customFormat="1" x14ac:dyDescent="0.25">
      <c r="A31" s="103">
        <v>4001</v>
      </c>
      <c r="B31" s="38" t="str">
        <f>IF($A31=0,"",VLOOKUP($A31,'BASE MATERIAL'!$A:$D,2))</f>
        <v>CEMENTO</v>
      </c>
      <c r="C31" s="2"/>
      <c r="D31" s="77"/>
      <c r="E31" s="78" t="str">
        <f>IF($A31=0,"",VLOOKUP($A31,'BASE MATERIAL'!$A:$D,3))</f>
        <v>SACO</v>
      </c>
      <c r="F31" s="55">
        <f>ROUND(7*1.03*0.1,2)</f>
        <v>0.72</v>
      </c>
      <c r="G31" s="55">
        <f>IF($A31=0,"",VLOOKUP($A31,'BASE MATERIAL'!$A:$D,4))</f>
        <v>7.09</v>
      </c>
      <c r="H31" s="56">
        <f t="shared" si="4"/>
        <v>5.0999999999999996</v>
      </c>
      <c r="I31" s="5"/>
      <c r="L31" s="5"/>
      <c r="M31" s="5"/>
      <c r="N31" s="160"/>
      <c r="O31" s="5"/>
      <c r="P31" s="5"/>
    </row>
    <row r="32" spans="1:16" s="4" customFormat="1" x14ac:dyDescent="0.25">
      <c r="A32" s="103">
        <v>5004</v>
      </c>
      <c r="B32" s="38" t="str">
        <f>IF($A32=0,"",VLOOKUP($A32,'BASE MATERIAL'!$A:$D,2))</f>
        <v>ARENA</v>
      </c>
      <c r="C32" s="2"/>
      <c r="D32" s="77"/>
      <c r="E32" s="78" t="str">
        <f>IF($A32=0,"",VLOOKUP($A32,'BASE MATERIAL'!$A:$D,3))</f>
        <v>M3</v>
      </c>
      <c r="F32" s="55">
        <f>ROUND(F31*0.032*2,2)</f>
        <v>0.05</v>
      </c>
      <c r="G32" s="55">
        <f>IF($A32=0,"",VLOOKUP($A32,'BASE MATERIAL'!$A:$D,4))</f>
        <v>12.276249999999999</v>
      </c>
      <c r="H32" s="56">
        <f t="shared" si="4"/>
        <v>0.61</v>
      </c>
      <c r="I32" s="5"/>
      <c r="L32" s="5"/>
      <c r="M32" s="5"/>
      <c r="N32" s="160"/>
      <c r="O32" s="5"/>
      <c r="P32" s="5"/>
    </row>
    <row r="33" spans="1:16" s="4" customFormat="1" x14ac:dyDescent="0.25">
      <c r="A33" s="103">
        <v>5002</v>
      </c>
      <c r="B33" s="38" t="str">
        <f>IF($A33=0,"",VLOOKUP($A33,'BASE MATERIAL'!$A:$D,2))</f>
        <v>PIEDRA 3-4</v>
      </c>
      <c r="C33" s="2"/>
      <c r="D33" s="77"/>
      <c r="E33" s="78" t="str">
        <f>IF($A33=0,"",VLOOKUP($A33,'BASE MATERIAL'!$A:$D,3))</f>
        <v>M3</v>
      </c>
      <c r="F33" s="55">
        <f>ROUND(F31*0.032*3,2)</f>
        <v>7.0000000000000007E-2</v>
      </c>
      <c r="G33" s="55">
        <f>IF($A33=0,"",VLOOKUP($A33,'BASE MATERIAL'!$A:$D,4))</f>
        <v>13.75</v>
      </c>
      <c r="H33" s="56">
        <f t="shared" si="4"/>
        <v>0.96</v>
      </c>
      <c r="I33" s="5"/>
      <c r="L33" s="5"/>
      <c r="M33" s="5"/>
      <c r="N33" s="160"/>
      <c r="O33" s="5"/>
      <c r="P33" s="5"/>
    </row>
    <row r="34" spans="1:16" s="4" customFormat="1" x14ac:dyDescent="0.25">
      <c r="A34" s="103">
        <v>5005</v>
      </c>
      <c r="B34" s="38" t="str">
        <f>IF($A34=0,"",VLOOKUP($A34,'BASE MATERIAL'!$A:$D,2))</f>
        <v>AGUA</v>
      </c>
      <c r="C34" s="2"/>
      <c r="D34" s="77"/>
      <c r="E34" s="78" t="str">
        <f>IF($A34=0,"",VLOOKUP($A34,'BASE MATERIAL'!$A:$D,3))</f>
        <v>LT</v>
      </c>
      <c r="F34" s="55">
        <f>26*F31</f>
        <v>18.72</v>
      </c>
      <c r="G34" s="80">
        <f>IF($A34=0,"",VLOOKUP($A34,'BASE MATERIAL'!$A:$D,4))</f>
        <v>2E-3</v>
      </c>
      <c r="H34" s="56">
        <f t="shared" si="4"/>
        <v>0.04</v>
      </c>
      <c r="I34" s="5"/>
      <c r="L34" s="5"/>
      <c r="M34" s="5"/>
      <c r="N34" s="160"/>
      <c r="O34" s="5"/>
      <c r="P34" s="5"/>
    </row>
    <row r="35" spans="1:16" s="4" customFormat="1" x14ac:dyDescent="0.25">
      <c r="A35" s="103"/>
      <c r="B35" s="38" t="str">
        <f>IF($A35=0,"",VLOOKUP($A35,'BASE MATERIAL'!$A:$D,2))</f>
        <v/>
      </c>
      <c r="C35" s="2"/>
      <c r="D35" s="77"/>
      <c r="E35" s="78" t="str">
        <f>IF($A35=0,"",VLOOKUP($A35,'BASE MATERIAL'!$A:$D,3))</f>
        <v/>
      </c>
      <c r="F35" s="55"/>
      <c r="G35" s="55" t="str">
        <f>IF($A35=0,"",VLOOKUP($A35,'BASE MATERIAL'!$A:$D,4))</f>
        <v/>
      </c>
      <c r="H35" s="56" t="str">
        <f t="shared" si="4"/>
        <v/>
      </c>
      <c r="I35" s="5"/>
      <c r="L35" s="5"/>
      <c r="M35" s="5"/>
      <c r="N35" s="160"/>
      <c r="O35" s="5"/>
      <c r="P35" s="5"/>
    </row>
    <row r="36" spans="1:16" s="4" customFormat="1" x14ac:dyDescent="0.25">
      <c r="A36" s="103"/>
      <c r="B36" s="38" t="str">
        <f>IF($A36=0,"",VLOOKUP($A36,'BASE MATERIAL'!$A:$D,2))</f>
        <v/>
      </c>
      <c r="C36" s="2"/>
      <c r="D36" s="77"/>
      <c r="E36" s="78" t="str">
        <f>IF($A36=0,"",VLOOKUP($A36,'BASE MATERIAL'!$A:$D,3))</f>
        <v/>
      </c>
      <c r="F36" s="55"/>
      <c r="G36" s="55" t="str">
        <f>IF($A36=0,"",VLOOKUP($A36,'BASE MATERIAL'!$A:$D,4))</f>
        <v/>
      </c>
      <c r="H36" s="56" t="str">
        <f t="shared" si="4"/>
        <v/>
      </c>
      <c r="I36" s="5"/>
      <c r="L36" s="5"/>
      <c r="M36" s="5"/>
      <c r="N36" s="160"/>
      <c r="O36" s="5"/>
      <c r="P36" s="5"/>
    </row>
    <row r="37" spans="1:16" s="4" customFormat="1" x14ac:dyDescent="0.25">
      <c r="A37" s="103"/>
      <c r="B37" s="38" t="str">
        <f>IF($A37=0,"",VLOOKUP($A37,'BASE MATERIAL'!$A:$D,2))</f>
        <v/>
      </c>
      <c r="C37" s="2"/>
      <c r="D37" s="77"/>
      <c r="E37" s="78" t="str">
        <f>IF($A37=0,"",VLOOKUP($A37,'BASE MATERIAL'!$A:$D,3))</f>
        <v/>
      </c>
      <c r="F37" s="55"/>
      <c r="G37" s="55" t="str">
        <f>IF($A37=0,"",VLOOKUP($A37,'BASE MATERIAL'!$A:$D,4))</f>
        <v/>
      </c>
      <c r="H37" s="56" t="str">
        <f t="shared" si="4"/>
        <v/>
      </c>
      <c r="I37" s="5"/>
    </row>
    <row r="38" spans="1:16" s="4" customFormat="1" x14ac:dyDescent="0.25">
      <c r="A38" s="103"/>
      <c r="B38" s="38" t="str">
        <f>IF($A38=0,"",VLOOKUP($A38,'BASE MATERIAL'!$A:$D,2))</f>
        <v/>
      </c>
      <c r="C38" s="2"/>
      <c r="D38" s="77"/>
      <c r="E38" s="78" t="str">
        <f>IF($A38=0,"",VLOOKUP($A38,'BASE MATERIAL'!$A:$D,3))</f>
        <v/>
      </c>
      <c r="F38" s="55"/>
      <c r="G38" s="55" t="str">
        <f>IF($A38=0,"",VLOOKUP($A38,'BASE MATERIAL'!$A:$D,4))</f>
        <v/>
      </c>
      <c r="H38" s="56" t="str">
        <f t="shared" si="4"/>
        <v/>
      </c>
      <c r="I38" s="5"/>
      <c r="L38" s="5"/>
      <c r="M38" s="5"/>
      <c r="N38" s="160"/>
      <c r="O38" s="5"/>
      <c r="P38" s="5"/>
    </row>
    <row r="39" spans="1:16" s="4" customFormat="1" x14ac:dyDescent="0.25">
      <c r="A39" s="103"/>
      <c r="B39" s="38" t="str">
        <f>IF($A39=0,"",VLOOKUP($A39,'BASE MATERIAL'!$A:$D,2))</f>
        <v/>
      </c>
      <c r="C39" s="2"/>
      <c r="D39" s="77"/>
      <c r="E39" s="78" t="str">
        <f>IF($A39=0,"",VLOOKUP($A39,'BASE MATERIAL'!$A:$D,3))</f>
        <v/>
      </c>
      <c r="F39" s="55"/>
      <c r="G39" s="55" t="str">
        <f>IF($A39=0,"",VLOOKUP($A39,'BASE MATERIAL'!$A:$D,4))</f>
        <v/>
      </c>
      <c r="H39" s="56" t="str">
        <f t="shared" si="4"/>
        <v/>
      </c>
      <c r="I39" s="5"/>
      <c r="L39" s="5"/>
      <c r="M39" s="5"/>
      <c r="N39" s="160"/>
      <c r="O39" s="5"/>
      <c r="P39" s="5"/>
    </row>
    <row r="40" spans="1:16" s="4" customFormat="1" x14ac:dyDescent="0.25">
      <c r="A40" s="103"/>
      <c r="B40" s="38" t="str">
        <f>IF($A40=0,"",VLOOKUP($A40,'BASE MATERIAL'!$A:$D,2))</f>
        <v/>
      </c>
      <c r="C40" s="2"/>
      <c r="D40" s="77"/>
      <c r="E40" s="78" t="str">
        <f>IF($A40=0,"",VLOOKUP($A40,'BASE MATERIAL'!$A:$D,3))</f>
        <v/>
      </c>
      <c r="F40" s="55"/>
      <c r="G40" s="55" t="str">
        <f>IF($A40=0,"",VLOOKUP($A40,'BASE MATERIAL'!$A:$D,4))</f>
        <v/>
      </c>
      <c r="H40" s="56" t="str">
        <f t="shared" si="4"/>
        <v/>
      </c>
      <c r="I40" s="5"/>
    </row>
    <row r="41" spans="1:16" s="4" customFormat="1" x14ac:dyDescent="0.25">
      <c r="A41" s="103"/>
      <c r="B41" s="38" t="str">
        <f>IF($A41=0,"",VLOOKUP($A41,'BASE MATERIAL'!$A:$D,2))</f>
        <v/>
      </c>
      <c r="C41" s="2"/>
      <c r="D41" s="77"/>
      <c r="E41" s="78" t="str">
        <f>IF($A41=0,"",VLOOKUP($A41,'BASE MATERIAL'!$A:$D,3))</f>
        <v/>
      </c>
      <c r="F41" s="55"/>
      <c r="G41" s="55" t="str">
        <f>IF($A41=0,"",VLOOKUP($A41,'BASE MATERIAL'!$A:$D,4))</f>
        <v/>
      </c>
      <c r="H41" s="56" t="str">
        <f t="shared" si="4"/>
        <v/>
      </c>
      <c r="I41" s="5"/>
    </row>
    <row r="42" spans="1:16" s="4" customFormat="1" x14ac:dyDescent="0.25">
      <c r="A42" s="103"/>
      <c r="B42" s="38" t="str">
        <f>IF($A42=0,"",VLOOKUP($A42,'BASE MATERIAL'!$A:$D,2))</f>
        <v/>
      </c>
      <c r="C42" s="2"/>
      <c r="D42" s="77"/>
      <c r="E42" s="78" t="str">
        <f>IF($A42=0,"",VLOOKUP($A42,'BASE MATERIAL'!$A:$D,3))</f>
        <v/>
      </c>
      <c r="F42" s="55"/>
      <c r="G42" s="55" t="str">
        <f>IF($A42=0,"",VLOOKUP($A42,'BASE MATERIAL'!$A:$D,4))</f>
        <v/>
      </c>
      <c r="H42" s="56" t="str">
        <f t="shared" si="4"/>
        <v/>
      </c>
      <c r="I42" s="5"/>
    </row>
    <row r="43" spans="1:16" s="4" customFormat="1" x14ac:dyDescent="0.25">
      <c r="A43" s="103"/>
      <c r="B43" s="38" t="str">
        <f>IF($A43=0,"",VLOOKUP($A43,'BASE MATERIAL'!$A:$D,2))</f>
        <v/>
      </c>
      <c r="C43" s="2"/>
      <c r="D43" s="77"/>
      <c r="E43" s="78" t="str">
        <f>IF($A43=0,"",VLOOKUP($A43,'BASE MATERIAL'!$A:$D,3))</f>
        <v/>
      </c>
      <c r="F43" s="55"/>
      <c r="G43" s="55" t="str">
        <f>IF($A43=0,"",VLOOKUP($A43,'BASE MATERIAL'!$A:$D,4))</f>
        <v/>
      </c>
      <c r="H43" s="56" t="str">
        <f t="shared" si="4"/>
        <v/>
      </c>
      <c r="I43" s="5"/>
    </row>
    <row r="44" spans="1:16" s="4" customFormat="1" x14ac:dyDescent="0.25">
      <c r="A44" s="103"/>
      <c r="B44" s="38" t="str">
        <f>IF($A44=0,"",VLOOKUP($A44,'BASE MATERIAL'!$A:$D,2))</f>
        <v/>
      </c>
      <c r="C44" s="2"/>
      <c r="D44" s="81" t="s">
        <v>1682</v>
      </c>
      <c r="E44" s="55" t="str">
        <f>IF($A44=0,"",VLOOKUP($A44,'BASE MATERIAL'!$A:$D,3))</f>
        <v/>
      </c>
      <c r="F44" s="55" t="s">
        <v>1682</v>
      </c>
      <c r="G44" s="55" t="str">
        <f>IF($A44=0,"",VLOOKUP($A44,'BASE MATERIAL'!$A:$D,4))</f>
        <v/>
      </c>
      <c r="H44" s="56" t="str">
        <f>IF($A44=0,"",ROUND(E44*F44,2))</f>
        <v/>
      </c>
      <c r="I44" s="5"/>
    </row>
    <row r="45" spans="1:16" s="4" customFormat="1" x14ac:dyDescent="0.25">
      <c r="A45" s="103"/>
      <c r="B45" s="73" t="s">
        <v>1681</v>
      </c>
      <c r="C45" s="65"/>
      <c r="D45" s="74"/>
      <c r="E45" s="74"/>
      <c r="F45" s="74"/>
      <c r="G45" s="74"/>
      <c r="H45" s="75">
        <f>ROUND(SUM(H28:H44),2)</f>
        <v>7.01</v>
      </c>
      <c r="I45" s="5"/>
    </row>
    <row r="46" spans="1:16" s="4" customFormat="1" x14ac:dyDescent="0.25">
      <c r="A46" s="103"/>
      <c r="B46" s="38" t="s">
        <v>1680</v>
      </c>
      <c r="C46" s="2"/>
      <c r="D46" s="3"/>
      <c r="E46" s="3"/>
      <c r="F46" s="3"/>
      <c r="G46" s="3"/>
      <c r="H46" s="56"/>
      <c r="I46" s="5"/>
    </row>
    <row r="47" spans="1:16" ht="25.5" x14ac:dyDescent="0.25">
      <c r="B47" s="64" t="s">
        <v>1409</v>
      </c>
      <c r="C47" s="65"/>
      <c r="D47" s="76"/>
      <c r="E47" s="66" t="s">
        <v>1408</v>
      </c>
      <c r="F47" s="66" t="s">
        <v>1679</v>
      </c>
      <c r="G47" s="66" t="s">
        <v>1676</v>
      </c>
      <c r="H47" s="68" t="s">
        <v>1675</v>
      </c>
      <c r="I47" s="2"/>
    </row>
    <row r="48" spans="1:16" s="4" customFormat="1" x14ac:dyDescent="0.25">
      <c r="A48" s="103">
        <v>19019</v>
      </c>
      <c r="B48" s="51" t="str">
        <f>IF($A48=0,"",VLOOKUP($A48,'BASE EQUIPO'!$A:$D,2))</f>
        <v>TRANSPORTE DE MATERIAL</v>
      </c>
      <c r="C48" s="52"/>
      <c r="D48" s="82"/>
      <c r="E48" s="78" t="str">
        <f>IF($A48=0,"",VLOOKUP($A48,'BASE EQUIPO'!$A:$D,3))</f>
        <v>GLOBAL</v>
      </c>
      <c r="F48" s="55">
        <v>1</v>
      </c>
      <c r="G48" s="83">
        <f>IF($A48=0,"",VLOOKUP($A48,'BASE EQUIPO'!$A:$D,4)*H45)</f>
        <v>0.21029999999999999</v>
      </c>
      <c r="H48" s="56">
        <f>IF($A48=0,"",ROUND(F48*G48,2))</f>
        <v>0.21</v>
      </c>
      <c r="I48" s="5"/>
    </row>
    <row r="49" spans="1:15" s="4" customFormat="1" x14ac:dyDescent="0.25">
      <c r="A49" s="103"/>
      <c r="B49" s="38" t="str">
        <f>IF($A49=0,"",VLOOKUP($A49,'BASE EQUIPO'!$A:$D,2))</f>
        <v/>
      </c>
      <c r="C49" s="2"/>
      <c r="D49" s="84"/>
      <c r="E49" s="78" t="str">
        <f>IF($A49=0,"",VLOOKUP($A49,'BASE EQUIPO'!$A:$D,3))</f>
        <v/>
      </c>
      <c r="F49" s="55"/>
      <c r="G49" s="55" t="str">
        <f>IF($A49=0,"",VLOOKUP($A49,'BASE EQUIPO'!$A:$D,4)*H46)</f>
        <v/>
      </c>
      <c r="H49" s="56" t="str">
        <f>IF($A49=0,"",ROUND(F49*G49,2))</f>
        <v/>
      </c>
      <c r="I49" s="5"/>
    </row>
    <row r="50" spans="1:15" s="4" customFormat="1" x14ac:dyDescent="0.25">
      <c r="A50" s="103"/>
      <c r="B50" s="57" t="str">
        <f>IF($A50=0,"",VLOOKUP($A50,'BASE EQUIPO'!$A:$D,2))</f>
        <v/>
      </c>
      <c r="C50" s="58"/>
      <c r="D50" s="85"/>
      <c r="E50" s="86" t="str">
        <f>IF($A50=0,"",VLOOKUP($A50,'BASE EQUIPO'!$A:$D,3))</f>
        <v/>
      </c>
      <c r="F50" s="59"/>
      <c r="G50" s="59" t="str">
        <f>IF($A50=0,"",VLOOKUP($A50,'BASE EQUIPO'!$A:$D,4)*H47)</f>
        <v/>
      </c>
      <c r="H50" s="60" t="str">
        <f>IF($A50=0,"",ROUND(F50*G50,2))</f>
        <v/>
      </c>
      <c r="I50" s="5"/>
    </row>
    <row r="51" spans="1:15" s="4" customFormat="1" ht="15.75" thickBot="1" x14ac:dyDescent="0.3">
      <c r="A51" s="103"/>
      <c r="B51" s="87" t="s">
        <v>1674</v>
      </c>
      <c r="C51" s="88"/>
      <c r="D51" s="89"/>
      <c r="E51" s="89"/>
      <c r="F51" s="89"/>
      <c r="G51" s="89"/>
      <c r="H51" s="90">
        <f>ROUND(SUM(H47:H50),2)</f>
        <v>0.21</v>
      </c>
      <c r="I51" s="5"/>
    </row>
    <row r="52" spans="1:15" s="4" customFormat="1" ht="15.75" x14ac:dyDescent="0.25">
      <c r="A52" s="103"/>
      <c r="B52" s="2"/>
      <c r="C52" s="2"/>
      <c r="D52" s="91" t="s">
        <v>1673</v>
      </c>
      <c r="E52" s="177"/>
      <c r="F52" s="177"/>
      <c r="G52" s="177"/>
      <c r="H52" s="92">
        <f>ROUND(SUM(H51,H45,H26,H16),2)</f>
        <v>9.61</v>
      </c>
      <c r="I52" s="5"/>
    </row>
    <row r="53" spans="1:15" s="4" customFormat="1" ht="15.75" x14ac:dyDescent="0.25">
      <c r="A53" s="103">
        <v>40002</v>
      </c>
      <c r="B53" s="2"/>
      <c r="C53" s="2"/>
      <c r="D53" s="93" t="s">
        <v>1672</v>
      </c>
      <c r="E53" s="166"/>
      <c r="F53" s="166"/>
      <c r="G53" s="178">
        <f>IF($A53=0,"",VLOOKUP($A53,'BASE MATERIAL'!$M:$P,4))</f>
        <v>0</v>
      </c>
      <c r="H53" s="95">
        <f>IF($A53=0,"",ROUND(G53*H52,2))</f>
        <v>0</v>
      </c>
      <c r="I53" s="5"/>
    </row>
    <row r="54" spans="1:15" s="4" customFormat="1" ht="15.75" x14ac:dyDescent="0.25">
      <c r="A54" s="103">
        <v>40003</v>
      </c>
      <c r="B54" s="2"/>
      <c r="C54" s="2"/>
      <c r="D54" s="93" t="s">
        <v>1671</v>
      </c>
      <c r="E54" s="166"/>
      <c r="F54" s="166"/>
      <c r="G54" s="178">
        <f>IF($A54=0,"",VLOOKUP($A54,'BASE MATERIAL'!$M:$P,4))</f>
        <v>0</v>
      </c>
      <c r="H54" s="95">
        <f>IF($A54=0,"",ROUND(G54*H52,2))</f>
        <v>0</v>
      </c>
      <c r="I54" s="5"/>
    </row>
    <row r="55" spans="1:15" s="4" customFormat="1" ht="15.75" x14ac:dyDescent="0.25">
      <c r="A55" s="103"/>
      <c r="B55" s="2"/>
      <c r="C55" s="2"/>
      <c r="D55" s="93" t="s">
        <v>1670</v>
      </c>
      <c r="E55" s="166"/>
      <c r="F55" s="166"/>
      <c r="G55" s="166"/>
      <c r="H55" s="96">
        <f>ROUND(SUM(H52:H54),2)</f>
        <v>9.61</v>
      </c>
      <c r="I55" s="5"/>
    </row>
    <row r="56" spans="1:15" s="4" customFormat="1" ht="16.5" thickBot="1" x14ac:dyDescent="0.3">
      <c r="A56" s="103"/>
      <c r="B56" s="25"/>
      <c r="C56" s="5"/>
      <c r="D56" s="97" t="s">
        <v>1650</v>
      </c>
      <c r="E56" s="179"/>
      <c r="F56" s="179"/>
      <c r="G56" s="179"/>
      <c r="H56" s="98">
        <f>ROUND(H55,2)</f>
        <v>9.61</v>
      </c>
      <c r="I56" s="5"/>
    </row>
    <row r="57" spans="1:15" ht="15.75" x14ac:dyDescent="0.25">
      <c r="B57" s="34" t="s">
        <v>1701</v>
      </c>
      <c r="C57" s="5"/>
      <c r="D57" s="157" t="str">
        <f>'1.1'!$D$1</f>
        <v>ESPOL</v>
      </c>
      <c r="E57" s="2"/>
      <c r="F57" s="2"/>
      <c r="H57" s="2" t="s">
        <v>108</v>
      </c>
      <c r="I57" s="2"/>
      <c r="L57" s="40">
        <f>A61</f>
        <v>1</v>
      </c>
      <c r="M57" s="1" t="str">
        <f>C62</f>
        <v xml:space="preserve">Contrapiso hormigon armado   e= 10cm </v>
      </c>
      <c r="N57" s="2" t="str">
        <f>H61</f>
        <v>m2</v>
      </c>
      <c r="O57" s="2">
        <f>H112</f>
        <v>14.11</v>
      </c>
    </row>
    <row r="58" spans="1:15" s="4" customFormat="1" ht="15.75" x14ac:dyDescent="0.25">
      <c r="A58" s="103"/>
      <c r="B58" s="34" t="s">
        <v>1700</v>
      </c>
      <c r="C58" s="3">
        <f>'1.1'!$C$2</f>
        <v>0</v>
      </c>
      <c r="D58" s="5"/>
      <c r="E58" s="5"/>
      <c r="F58" s="5"/>
      <c r="G58" s="158" t="s">
        <v>1699</v>
      </c>
      <c r="H58" s="159"/>
      <c r="I58" s="5" t="s">
        <v>1698</v>
      </c>
    </row>
    <row r="59" spans="1:15" s="4" customFormat="1" ht="15.75" x14ac:dyDescent="0.25">
      <c r="A59" s="103"/>
      <c r="B59" s="34"/>
      <c r="C59" s="3">
        <f>'1.1'!$C$3</f>
        <v>0</v>
      </c>
      <c r="D59" s="5"/>
      <c r="E59" s="5"/>
      <c r="F59" s="5"/>
      <c r="G59" s="5"/>
      <c r="H59" s="5"/>
      <c r="I59" s="5"/>
    </row>
    <row r="60" spans="1:15" s="4" customFormat="1" ht="15.75" x14ac:dyDescent="0.25">
      <c r="A60" s="103"/>
      <c r="B60" s="34" t="s">
        <v>1697</v>
      </c>
      <c r="C60" s="3"/>
      <c r="D60" s="5"/>
      <c r="E60" s="5"/>
      <c r="F60" s="5"/>
      <c r="G60" s="5"/>
      <c r="H60" s="5"/>
      <c r="I60" s="5"/>
    </row>
    <row r="61" spans="1:15" x14ac:dyDescent="0.25">
      <c r="A61" s="104">
        <v>1</v>
      </c>
      <c r="B61" s="2" t="s">
        <v>1586</v>
      </c>
      <c r="C61" s="36"/>
      <c r="D61" s="5"/>
      <c r="E61" s="4"/>
      <c r="F61" s="4"/>
      <c r="G61" s="5" t="s">
        <v>1696</v>
      </c>
      <c r="H61" s="157" t="s">
        <v>1520</v>
      </c>
      <c r="I61" s="2"/>
    </row>
    <row r="62" spans="1:15" s="4" customFormat="1" x14ac:dyDescent="0.25">
      <c r="A62" s="103"/>
      <c r="B62" s="1" t="s">
        <v>1585</v>
      </c>
      <c r="C62" s="36" t="s">
        <v>636</v>
      </c>
      <c r="D62" s="5"/>
      <c r="E62" s="5"/>
      <c r="F62" s="5"/>
      <c r="G62" s="5"/>
      <c r="H62" s="5"/>
      <c r="I62" s="5"/>
    </row>
    <row r="63" spans="1:15" ht="15.75" thickBot="1" x14ac:dyDescent="0.3">
      <c r="D63" s="2"/>
      <c r="E63" s="2"/>
      <c r="F63" s="2"/>
      <c r="G63" s="2"/>
      <c r="H63" s="2"/>
      <c r="I63" s="2"/>
    </row>
    <row r="64" spans="1:15" ht="15.75" thickBot="1" x14ac:dyDescent="0.3">
      <c r="B64" s="43" t="s">
        <v>1695</v>
      </c>
      <c r="C64" s="44"/>
      <c r="D64" s="44"/>
      <c r="E64" s="44"/>
      <c r="F64" s="44"/>
      <c r="G64" s="44"/>
      <c r="H64" s="45"/>
      <c r="I64" s="2"/>
    </row>
    <row r="65" spans="1:9" ht="25.5" x14ac:dyDescent="0.25">
      <c r="B65" s="46" t="s">
        <v>1409</v>
      </c>
      <c r="C65" s="47"/>
      <c r="D65" s="48" t="s">
        <v>1690</v>
      </c>
      <c r="E65" s="48" t="s">
        <v>1694</v>
      </c>
      <c r="F65" s="48" t="s">
        <v>1693</v>
      </c>
      <c r="G65" s="49" t="s">
        <v>1687</v>
      </c>
      <c r="H65" s="50" t="s">
        <v>1686</v>
      </c>
      <c r="I65" s="2"/>
    </row>
    <row r="66" spans="1:9" s="4" customFormat="1" x14ac:dyDescent="0.25">
      <c r="A66" s="103">
        <v>19015</v>
      </c>
      <c r="B66" s="51" t="str">
        <f>IF($A66=0,"",VLOOKUP($A66,'BASE EQUIPO'!$A:$D,2))</f>
        <v>HERRAMIENTA MENOR</v>
      </c>
      <c r="C66" s="52"/>
      <c r="D66" s="53">
        <v>1</v>
      </c>
      <c r="E66" s="53">
        <f>IF($A66=0,"",VLOOKUP($A66,'BASE EQUIPO'!$A:$D,4)*H82)</f>
        <v>9.0299999999999991E-2</v>
      </c>
      <c r="F66" s="53">
        <f t="shared" ref="F66:F71" si="5">IF($A66=0,"",ROUND(D66*E66,2))</f>
        <v>0.09</v>
      </c>
      <c r="G66" s="105">
        <v>1</v>
      </c>
      <c r="H66" s="54">
        <f t="shared" ref="H66:H71" si="6">IF($A66=0,"",ROUND(G66*F66,2))</f>
        <v>0.09</v>
      </c>
      <c r="I66" s="5"/>
    </row>
    <row r="67" spans="1:9" s="4" customFormat="1" x14ac:dyDescent="0.25">
      <c r="A67" s="103">
        <v>19003</v>
      </c>
      <c r="B67" s="38" t="str">
        <f>IF($A67=0,"",VLOOKUP($A67,'BASE EQUIPO'!$A:$D,2))</f>
        <v>CONCRETERA</v>
      </c>
      <c r="C67" s="2"/>
      <c r="D67" s="55">
        <v>1</v>
      </c>
      <c r="E67" s="55">
        <f>IF($A67=0,"",VLOOKUP($A67,'BASE EQUIPO'!$A:$D,4))</f>
        <v>3.5</v>
      </c>
      <c r="F67" s="55">
        <f t="shared" si="5"/>
        <v>3.5</v>
      </c>
      <c r="G67" s="106">
        <f>+G76*0.5</f>
        <v>3.7499999999999999E-2</v>
      </c>
      <c r="H67" s="56">
        <f t="shared" si="6"/>
        <v>0.13</v>
      </c>
      <c r="I67" s="5"/>
    </row>
    <row r="68" spans="1:9" s="4" customFormat="1" x14ac:dyDescent="0.25">
      <c r="A68" s="103"/>
      <c r="B68" s="38" t="str">
        <f>IF($A68=0,"",VLOOKUP($A68,'BASE EQUIPO'!$A:$D,2))</f>
        <v/>
      </c>
      <c r="C68" s="2"/>
      <c r="D68" s="55"/>
      <c r="E68" s="55" t="str">
        <f>IF($A68=0,"",VLOOKUP($A68,'BASE EQUIPO'!$A:$D,4))</f>
        <v/>
      </c>
      <c r="F68" s="55" t="str">
        <f t="shared" si="5"/>
        <v/>
      </c>
      <c r="G68" s="106"/>
      <c r="H68" s="56" t="str">
        <f t="shared" si="6"/>
        <v/>
      </c>
      <c r="I68" s="5"/>
    </row>
    <row r="69" spans="1:9" s="4" customFormat="1" x14ac:dyDescent="0.25">
      <c r="A69" s="103"/>
      <c r="B69" s="38" t="str">
        <f>IF($A69=0,"",VLOOKUP($A69,'BASE EQUIPO'!$A:$D,2))</f>
        <v/>
      </c>
      <c r="C69" s="2"/>
      <c r="D69" s="55"/>
      <c r="E69" s="55" t="str">
        <f>IF($A69=0,"",VLOOKUP($A69,'BASE EQUIPO'!$A:$D,4))</f>
        <v/>
      </c>
      <c r="F69" s="55" t="str">
        <f t="shared" si="5"/>
        <v/>
      </c>
      <c r="G69" s="106"/>
      <c r="H69" s="56" t="str">
        <f t="shared" si="6"/>
        <v/>
      </c>
      <c r="I69" s="5"/>
    </row>
    <row r="70" spans="1:9" s="4" customFormat="1" x14ac:dyDescent="0.25">
      <c r="A70" s="103"/>
      <c r="B70" s="38" t="str">
        <f>IF($A70=0,"",VLOOKUP($A70,'BASE EQUIPO'!$A:$D,2))</f>
        <v/>
      </c>
      <c r="C70" s="2"/>
      <c r="D70" s="55"/>
      <c r="E70" s="55" t="str">
        <f>IF($A70=0,"",VLOOKUP($A70,'BASE EQUIPO'!$A:$D,4))</f>
        <v/>
      </c>
      <c r="F70" s="55" t="str">
        <f t="shared" si="5"/>
        <v/>
      </c>
      <c r="G70" s="106"/>
      <c r="H70" s="56" t="str">
        <f t="shared" si="6"/>
        <v/>
      </c>
      <c r="I70" s="5"/>
    </row>
    <row r="71" spans="1:9" s="4" customFormat="1" x14ac:dyDescent="0.25">
      <c r="A71" s="103"/>
      <c r="B71" s="57" t="str">
        <f>IF($A71=0,"",VLOOKUP($A71,'BASE EQUIPO'!$A:$D,2))</f>
        <v/>
      </c>
      <c r="C71" s="58"/>
      <c r="D71" s="59"/>
      <c r="E71" s="59" t="str">
        <f>IF($A71=0,"",VLOOKUP($A71,'BASE EQUIPO'!$A:$D,4))</f>
        <v/>
      </c>
      <c r="F71" s="59" t="str">
        <f t="shared" si="5"/>
        <v/>
      </c>
      <c r="G71" s="107"/>
      <c r="H71" s="60" t="str">
        <f t="shared" si="6"/>
        <v/>
      </c>
      <c r="I71" s="5"/>
    </row>
    <row r="72" spans="1:9" s="4" customFormat="1" x14ac:dyDescent="0.25">
      <c r="A72" s="103"/>
      <c r="B72" s="57" t="s">
        <v>1692</v>
      </c>
      <c r="C72" s="58"/>
      <c r="D72" s="61"/>
      <c r="E72" s="61"/>
      <c r="F72" s="61"/>
      <c r="G72" s="62"/>
      <c r="H72" s="60">
        <f>ROUND(SUM(H65:H71),2)</f>
        <v>0.22</v>
      </c>
      <c r="I72" s="5"/>
    </row>
    <row r="73" spans="1:9" s="4" customFormat="1" x14ac:dyDescent="0.25">
      <c r="A73" s="103"/>
      <c r="B73" s="38" t="s">
        <v>1503</v>
      </c>
      <c r="C73" s="2"/>
      <c r="D73" s="3"/>
      <c r="E73" s="3"/>
      <c r="F73" s="3"/>
      <c r="G73" s="63"/>
      <c r="H73" s="56"/>
      <c r="I73" s="5"/>
    </row>
    <row r="74" spans="1:9" ht="25.5" x14ac:dyDescent="0.25">
      <c r="B74" s="64" t="s">
        <v>1691</v>
      </c>
      <c r="C74" s="65"/>
      <c r="D74" s="66" t="s">
        <v>1690</v>
      </c>
      <c r="E74" s="66" t="s">
        <v>1689</v>
      </c>
      <c r="F74" s="66" t="s">
        <v>1688</v>
      </c>
      <c r="G74" s="67" t="s">
        <v>1687</v>
      </c>
      <c r="H74" s="68" t="s">
        <v>1686</v>
      </c>
      <c r="I74" s="2"/>
    </row>
    <row r="75" spans="1:9" s="4" customFormat="1" x14ac:dyDescent="0.25">
      <c r="A75" s="103">
        <v>20001</v>
      </c>
      <c r="B75" s="69" t="str">
        <f>IF($A75=0,"",VLOOKUP($A75,'BASE M-OBRA'!$A:$D,2))</f>
        <v>MAESTRO</v>
      </c>
      <c r="C75" s="2"/>
      <c r="D75" s="108">
        <v>1</v>
      </c>
      <c r="E75" s="70">
        <f>IF($A75=0,"",VLOOKUP($A75,'BASE M-OBRA'!$A:$D,4))</f>
        <v>3.02</v>
      </c>
      <c r="F75" s="55">
        <f t="shared" ref="F75:F81" si="7">IF($A75=0,"",ROUND(D75*E75,2))</f>
        <v>3.02</v>
      </c>
      <c r="G75" s="106">
        <f>IF($A75=0,"",ROUND(H75/F75,2))</f>
        <v>0.17</v>
      </c>
      <c r="H75" s="56">
        <f>IF($A75=0,"",ROUND(SUM(H76:H81)*'BASE M-OBRA'!$D$23,2))</f>
        <v>0.5</v>
      </c>
      <c r="I75" s="5"/>
    </row>
    <row r="76" spans="1:9" s="4" customFormat="1" x14ac:dyDescent="0.25">
      <c r="A76" s="103">
        <v>20002</v>
      </c>
      <c r="B76" s="69" t="str">
        <f>IF($A76=0,"",VLOOKUP($A76,'BASE M-OBRA'!$A:$D,2))</f>
        <v>PEON</v>
      </c>
      <c r="C76" s="2"/>
      <c r="D76" s="108">
        <v>8</v>
      </c>
      <c r="E76" s="70">
        <f>IF($A76=0,"",VLOOKUP($A76,'BASE M-OBRA'!$A:$D,4))</f>
        <v>2.79</v>
      </c>
      <c r="F76" s="55">
        <f t="shared" si="7"/>
        <v>22.32</v>
      </c>
      <c r="G76" s="106">
        <v>7.4999999999999997E-2</v>
      </c>
      <c r="H76" s="56">
        <f t="shared" ref="H76:H81" si="8">IF($A76=0,"",ROUND(G76*F76,2))</f>
        <v>1.67</v>
      </c>
      <c r="I76" s="5"/>
    </row>
    <row r="77" spans="1:9" s="4" customFormat="1" x14ac:dyDescent="0.25">
      <c r="A77" s="103">
        <v>20003</v>
      </c>
      <c r="B77" s="69" t="str">
        <f>IF($A77=0,"",VLOOKUP($A77,'BASE M-OBRA'!$A:$D,2))</f>
        <v>ALBAÑIL</v>
      </c>
      <c r="C77" s="2"/>
      <c r="D77" s="108">
        <v>2</v>
      </c>
      <c r="E77" s="70">
        <f>IF($A77=0,"",VLOOKUP($A77,'BASE M-OBRA'!$A:$D,4))</f>
        <v>2.82</v>
      </c>
      <c r="F77" s="55">
        <f t="shared" si="7"/>
        <v>5.64</v>
      </c>
      <c r="G77" s="106">
        <f>+G76</f>
        <v>7.4999999999999997E-2</v>
      </c>
      <c r="H77" s="56">
        <f t="shared" si="8"/>
        <v>0.42</v>
      </c>
      <c r="I77" s="5"/>
    </row>
    <row r="78" spans="1:9" s="4" customFormat="1" x14ac:dyDescent="0.25">
      <c r="A78" s="103">
        <v>20004</v>
      </c>
      <c r="B78" s="71" t="str">
        <f>IF($A78=0,"",VLOOKUP($A78,'BASE M-OBRA'!$A:$D,2))</f>
        <v>CARPINTERO</v>
      </c>
      <c r="C78" s="2"/>
      <c r="D78" s="108">
        <v>2</v>
      </c>
      <c r="E78" s="70">
        <f>IF($A78=0,"",VLOOKUP($A78,'BASE M-OBRA'!$A:$D,4))</f>
        <v>2.82</v>
      </c>
      <c r="F78" s="55">
        <f t="shared" si="7"/>
        <v>5.64</v>
      </c>
      <c r="G78" s="106">
        <f>+G77</f>
        <v>7.4999999999999997E-2</v>
      </c>
      <c r="H78" s="56">
        <f t="shared" si="8"/>
        <v>0.42</v>
      </c>
      <c r="I78" s="5"/>
    </row>
    <row r="79" spans="1:9" s="4" customFormat="1" x14ac:dyDescent="0.25">
      <c r="A79" s="103"/>
      <c r="B79" s="72" t="str">
        <f>IF($A79=0,"",VLOOKUP($A79,'BASE M-OBRA'!$A:$D,2))</f>
        <v/>
      </c>
      <c r="C79" s="2"/>
      <c r="D79" s="108"/>
      <c r="E79" s="70" t="str">
        <f>IF($A79=0,"",VLOOKUP($A79,'BASE M-OBRA'!$A:$D,4))</f>
        <v/>
      </c>
      <c r="F79" s="55" t="str">
        <f t="shared" si="7"/>
        <v/>
      </c>
      <c r="G79" s="106"/>
      <c r="H79" s="56" t="str">
        <f t="shared" si="8"/>
        <v/>
      </c>
      <c r="I79" s="5"/>
    </row>
    <row r="80" spans="1:9" s="4" customFormat="1" x14ac:dyDescent="0.25">
      <c r="A80" s="103"/>
      <c r="B80" s="38" t="str">
        <f>IF($A80=0,"",VLOOKUP($A80,'BASE M-OBRA'!$A:$D,2))</f>
        <v/>
      </c>
      <c r="C80" s="2"/>
      <c r="D80" s="55"/>
      <c r="E80" s="55" t="str">
        <f>IF($A80=0,"",VLOOKUP($A80,'BASE M-OBRA'!$A:$D,4))</f>
        <v/>
      </c>
      <c r="F80" s="55" t="str">
        <f t="shared" si="7"/>
        <v/>
      </c>
      <c r="G80" s="106"/>
      <c r="H80" s="56" t="str">
        <f t="shared" si="8"/>
        <v/>
      </c>
      <c r="I80" s="5"/>
    </row>
    <row r="81" spans="1:16" s="4" customFormat="1" x14ac:dyDescent="0.25">
      <c r="A81" s="103"/>
      <c r="B81" s="57" t="str">
        <f>IF($A81=0,"",VLOOKUP($A81,'BASE M-OBRA'!$A:$D,2))</f>
        <v/>
      </c>
      <c r="C81" s="58"/>
      <c r="D81" s="59"/>
      <c r="E81" s="59" t="str">
        <f>IF($A81=0,"",VLOOKUP($A81,'BASE M-OBRA'!$A:$D,4))</f>
        <v/>
      </c>
      <c r="F81" s="59" t="str">
        <f t="shared" si="7"/>
        <v/>
      </c>
      <c r="G81" s="107"/>
      <c r="H81" s="60" t="str">
        <f t="shared" si="8"/>
        <v/>
      </c>
      <c r="I81" s="5"/>
    </row>
    <row r="82" spans="1:16" s="4" customFormat="1" x14ac:dyDescent="0.25">
      <c r="A82" s="103"/>
      <c r="B82" s="73" t="s">
        <v>1685</v>
      </c>
      <c r="C82" s="65"/>
      <c r="D82" s="74"/>
      <c r="E82" s="74"/>
      <c r="F82" s="74"/>
      <c r="G82" s="74"/>
      <c r="H82" s="75">
        <f>ROUND(SUM(H74:H81),2)</f>
        <v>3.01</v>
      </c>
      <c r="I82" s="5"/>
    </row>
    <row r="83" spans="1:16" s="4" customFormat="1" x14ac:dyDescent="0.25">
      <c r="A83" s="103"/>
      <c r="B83" s="38" t="s">
        <v>1684</v>
      </c>
      <c r="C83" s="2"/>
      <c r="D83" s="3"/>
      <c r="E83" s="3"/>
      <c r="F83" s="3"/>
      <c r="G83" s="3"/>
      <c r="H83" s="56"/>
      <c r="I83" s="5"/>
    </row>
    <row r="84" spans="1:16" ht="25.5" x14ac:dyDescent="0.25">
      <c r="B84" s="64" t="s">
        <v>1409</v>
      </c>
      <c r="C84" s="65"/>
      <c r="D84" s="76"/>
      <c r="E84" s="66" t="s">
        <v>1408</v>
      </c>
      <c r="F84" s="66" t="s">
        <v>1679</v>
      </c>
      <c r="G84" s="66" t="s">
        <v>1683</v>
      </c>
      <c r="H84" s="68" t="s">
        <v>1675</v>
      </c>
      <c r="I84" s="2"/>
    </row>
    <row r="85" spans="1:16" s="4" customFormat="1" x14ac:dyDescent="0.25">
      <c r="A85" s="103">
        <v>11009</v>
      </c>
      <c r="B85" s="37" t="str">
        <f>IF($A85=0,"",VLOOKUP($A85,'BASE MATERIAL'!$A:$D,2))</f>
        <v>CUARTON</v>
      </c>
      <c r="C85" s="2"/>
      <c r="D85" s="77"/>
      <c r="E85" s="78" t="str">
        <f>IF($A85=0,"",VLOOKUP($A85,'BASE MATERIAL'!$A:$D,3))</f>
        <v>U</v>
      </c>
      <c r="F85" s="55">
        <f>ROUND(0.13*8/(4*3),2)</f>
        <v>0.09</v>
      </c>
      <c r="G85" s="55">
        <f>IF($A85=0,"",VLOOKUP($A85,'BASE MATERIAL'!$A:$D,4))</f>
        <v>2.42</v>
      </c>
      <c r="H85" s="56">
        <f t="shared" ref="H85:H99" si="9">IF($A85=0,"",ROUND(F85*G85,2))</f>
        <v>0.22</v>
      </c>
      <c r="I85" s="5"/>
      <c r="K85" s="4">
        <f>(0.1*3*4)/(3*3)</f>
        <v>0.13333333333333336</v>
      </c>
      <c r="L85" s="5"/>
      <c r="M85" s="5"/>
      <c r="N85" s="160"/>
      <c r="O85" s="5"/>
      <c r="P85" s="5"/>
    </row>
    <row r="86" spans="1:16" s="4" customFormat="1" x14ac:dyDescent="0.25">
      <c r="A86" s="103">
        <v>11007</v>
      </c>
      <c r="B86" s="38" t="str">
        <f>IF($A86=0,"",VLOOKUP($A86,'BASE MATERIAL'!$A:$D,2))</f>
        <v>CLAVO 2 1/2"</v>
      </c>
      <c r="C86" s="2"/>
      <c r="D86" s="77"/>
      <c r="E86" s="78" t="str">
        <f>IF($A86=0,"",VLOOKUP($A86,'BASE MATERIAL'!$A:$D,3))</f>
        <v>KG</v>
      </c>
      <c r="F86" s="55">
        <f>ROUND(0.13*56/(178*1.5),2)</f>
        <v>0.03</v>
      </c>
      <c r="G86" s="55">
        <f>IF($A86=0,"",VLOOKUP($A86,'BASE MATERIAL'!$A:$D,4))</f>
        <v>2.6520000000000001</v>
      </c>
      <c r="H86" s="56">
        <f t="shared" si="9"/>
        <v>0.08</v>
      </c>
      <c r="I86" s="5"/>
      <c r="L86" s="5"/>
      <c r="M86" s="5"/>
      <c r="N86" s="160"/>
      <c r="O86" s="5"/>
      <c r="P86" s="5"/>
    </row>
    <row r="87" spans="1:16" s="4" customFormat="1" x14ac:dyDescent="0.25">
      <c r="A87" s="103">
        <v>4001</v>
      </c>
      <c r="B87" s="38" t="str">
        <f>IF($A87=0,"",VLOOKUP($A87,'BASE MATERIAL'!$A:$D,2))</f>
        <v>CEMENTO</v>
      </c>
      <c r="C87" s="2"/>
      <c r="D87" s="77"/>
      <c r="E87" s="78" t="str">
        <f>IF($A87=0,"",VLOOKUP($A87,'BASE MATERIAL'!$A:$D,3))</f>
        <v>SACO</v>
      </c>
      <c r="F87" s="55">
        <f>ROUND(7*1.03*0.1,2)</f>
        <v>0.72</v>
      </c>
      <c r="G87" s="55">
        <f>IF($A87=0,"",VLOOKUP($A87,'BASE MATERIAL'!$A:$D,4))</f>
        <v>7.09</v>
      </c>
      <c r="H87" s="56">
        <f t="shared" si="9"/>
        <v>5.0999999999999996</v>
      </c>
      <c r="I87" s="5"/>
      <c r="L87" s="5"/>
      <c r="M87" s="5"/>
      <c r="N87" s="160"/>
      <c r="O87" s="5"/>
      <c r="P87" s="5"/>
    </row>
    <row r="88" spans="1:16" s="4" customFormat="1" x14ac:dyDescent="0.25">
      <c r="A88" s="103">
        <v>5004</v>
      </c>
      <c r="B88" s="38" t="str">
        <f>IF($A88=0,"",VLOOKUP($A88,'BASE MATERIAL'!$A:$D,2))</f>
        <v>ARENA</v>
      </c>
      <c r="C88" s="2"/>
      <c r="D88" s="77"/>
      <c r="E88" s="78" t="str">
        <f>IF($A88=0,"",VLOOKUP($A88,'BASE MATERIAL'!$A:$D,3))</f>
        <v>M3</v>
      </c>
      <c r="F88" s="55">
        <f>ROUND(F87*0.032*2,2)</f>
        <v>0.05</v>
      </c>
      <c r="G88" s="55">
        <f>IF($A88=0,"",VLOOKUP($A88,'BASE MATERIAL'!$A:$D,4))</f>
        <v>12.276249999999999</v>
      </c>
      <c r="H88" s="56">
        <f t="shared" si="9"/>
        <v>0.61</v>
      </c>
      <c r="I88" s="5"/>
      <c r="L88" s="5"/>
      <c r="M88" s="5"/>
      <c r="N88" s="160"/>
      <c r="O88" s="5"/>
      <c r="P88" s="5"/>
    </row>
    <row r="89" spans="1:16" s="4" customFormat="1" x14ac:dyDescent="0.25">
      <c r="A89" s="103">
        <v>5002</v>
      </c>
      <c r="B89" s="38" t="str">
        <f>IF($A89=0,"",VLOOKUP($A89,'BASE MATERIAL'!$A:$D,2))</f>
        <v>PIEDRA 3-4</v>
      </c>
      <c r="C89" s="2"/>
      <c r="D89" s="77"/>
      <c r="E89" s="78" t="str">
        <f>IF($A89=0,"",VLOOKUP($A89,'BASE MATERIAL'!$A:$D,3))</f>
        <v>M3</v>
      </c>
      <c r="F89" s="55">
        <f>ROUND(F87*0.032*3,2)</f>
        <v>7.0000000000000007E-2</v>
      </c>
      <c r="G89" s="55">
        <f>IF($A89=0,"",VLOOKUP($A89,'BASE MATERIAL'!$A:$D,4))</f>
        <v>13.75</v>
      </c>
      <c r="H89" s="56">
        <f t="shared" si="9"/>
        <v>0.96</v>
      </c>
      <c r="I89" s="5"/>
      <c r="L89" s="5"/>
      <c r="M89" s="5"/>
      <c r="N89" s="160"/>
      <c r="O89" s="5"/>
      <c r="P89" s="5"/>
    </row>
    <row r="90" spans="1:16" s="4" customFormat="1" x14ac:dyDescent="0.25">
      <c r="A90" s="103">
        <v>5005</v>
      </c>
      <c r="B90" s="38" t="str">
        <f>IF($A90=0,"",VLOOKUP($A90,'BASE MATERIAL'!$A:$D,2))</f>
        <v>AGUA</v>
      </c>
      <c r="C90" s="2"/>
      <c r="D90" s="77"/>
      <c r="E90" s="78" t="str">
        <f>IF($A90=0,"",VLOOKUP($A90,'BASE MATERIAL'!$A:$D,3))</f>
        <v>LT</v>
      </c>
      <c r="F90" s="55">
        <f>26*F87</f>
        <v>18.72</v>
      </c>
      <c r="G90" s="80">
        <f>IF($A90=0,"",VLOOKUP($A90,'BASE MATERIAL'!$A:$D,4))</f>
        <v>2E-3</v>
      </c>
      <c r="H90" s="56">
        <f t="shared" si="9"/>
        <v>0.04</v>
      </c>
      <c r="I90" s="5"/>
      <c r="L90" s="5"/>
      <c r="M90" s="5"/>
      <c r="N90" s="160"/>
      <c r="O90" s="5"/>
      <c r="P90" s="5"/>
    </row>
    <row r="91" spans="1:16" s="4" customFormat="1" x14ac:dyDescent="0.25">
      <c r="A91" s="103">
        <v>14029</v>
      </c>
      <c r="B91" s="38" t="str">
        <f>IF($A91=0,"",VLOOKUP($A91,'BASE MATERIAL'!$A:$D,2))</f>
        <v>MALLA ELEC 5,5mm c/15cm</v>
      </c>
      <c r="C91" s="2"/>
      <c r="D91" s="77"/>
      <c r="E91" s="78" t="str">
        <f>IF($A91=0,"",VLOOKUP($A91,'BASE MATERIAL'!$A:$D,3))</f>
        <v>M2</v>
      </c>
      <c r="F91" s="55">
        <v>1</v>
      </c>
      <c r="G91" s="55">
        <f>IF($A91=0,"",VLOOKUP($A91,'BASE MATERIAL'!$A:$D,4))</f>
        <v>3.5481600000000006</v>
      </c>
      <c r="H91" s="56">
        <f t="shared" si="9"/>
        <v>3.55</v>
      </c>
      <c r="I91" s="5"/>
      <c r="L91" s="5"/>
      <c r="M91" s="5"/>
      <c r="N91" s="160"/>
      <c r="O91" s="5"/>
      <c r="P91" s="5"/>
    </row>
    <row r="92" spans="1:16" s="4" customFormat="1" x14ac:dyDescent="0.25">
      <c r="A92" s="103"/>
      <c r="B92" s="38" t="str">
        <f>IF($A92=0,"",VLOOKUP($A92,'BASE MATERIAL'!$A:$D,2))</f>
        <v/>
      </c>
      <c r="C92" s="2"/>
      <c r="D92" s="77"/>
      <c r="E92" s="78" t="str">
        <f>IF($A92=0,"",VLOOKUP($A92,'BASE MATERIAL'!$A:$D,3))</f>
        <v/>
      </c>
      <c r="F92" s="55"/>
      <c r="G92" s="55" t="str">
        <f>IF($A92=0,"",VLOOKUP($A92,'BASE MATERIAL'!$A:$D,4))</f>
        <v/>
      </c>
      <c r="H92" s="56" t="str">
        <f t="shared" si="9"/>
        <v/>
      </c>
      <c r="I92" s="5"/>
      <c r="L92" s="5"/>
      <c r="M92" s="5"/>
      <c r="N92" s="160"/>
      <c r="O92" s="5"/>
      <c r="P92" s="5"/>
    </row>
    <row r="93" spans="1:16" s="4" customFormat="1" x14ac:dyDescent="0.25">
      <c r="A93" s="103"/>
      <c r="B93" s="38" t="str">
        <f>IF($A93=0,"",VLOOKUP($A93,'BASE MATERIAL'!$A:$D,2))</f>
        <v/>
      </c>
      <c r="C93" s="2"/>
      <c r="D93" s="77"/>
      <c r="E93" s="78" t="str">
        <f>IF($A93=0,"",VLOOKUP($A93,'BASE MATERIAL'!$A:$D,3))</f>
        <v/>
      </c>
      <c r="F93" s="55"/>
      <c r="G93" s="55" t="str">
        <f>IF($A93=0,"",VLOOKUP($A93,'BASE MATERIAL'!$A:$D,4))</f>
        <v/>
      </c>
      <c r="H93" s="56" t="str">
        <f t="shared" si="9"/>
        <v/>
      </c>
      <c r="I93" s="5"/>
    </row>
    <row r="94" spans="1:16" s="4" customFormat="1" x14ac:dyDescent="0.25">
      <c r="A94" s="103"/>
      <c r="B94" s="38" t="str">
        <f>IF($A94=0,"",VLOOKUP($A94,'BASE MATERIAL'!$A:$D,2))</f>
        <v/>
      </c>
      <c r="C94" s="2"/>
      <c r="D94" s="77"/>
      <c r="E94" s="78" t="str">
        <f>IF($A94=0,"",VLOOKUP($A94,'BASE MATERIAL'!$A:$D,3))</f>
        <v/>
      </c>
      <c r="F94" s="55"/>
      <c r="G94" s="55" t="str">
        <f>IF($A94=0,"",VLOOKUP($A94,'BASE MATERIAL'!$A:$D,4))</f>
        <v/>
      </c>
      <c r="H94" s="56" t="str">
        <f t="shared" si="9"/>
        <v/>
      </c>
      <c r="I94" s="5"/>
      <c r="L94" s="5"/>
      <c r="M94" s="5"/>
      <c r="N94" s="160"/>
      <c r="O94" s="5"/>
      <c r="P94" s="5"/>
    </row>
    <row r="95" spans="1:16" s="4" customFormat="1" x14ac:dyDescent="0.25">
      <c r="A95" s="103"/>
      <c r="B95" s="38" t="str">
        <f>IF($A95=0,"",VLOOKUP($A95,'BASE MATERIAL'!$A:$D,2))</f>
        <v/>
      </c>
      <c r="C95" s="2"/>
      <c r="D95" s="77"/>
      <c r="E95" s="78" t="str">
        <f>IF($A95=0,"",VLOOKUP($A95,'BASE MATERIAL'!$A:$D,3))</f>
        <v/>
      </c>
      <c r="F95" s="55"/>
      <c r="G95" s="55" t="str">
        <f>IF($A95=0,"",VLOOKUP($A95,'BASE MATERIAL'!$A:$D,4))</f>
        <v/>
      </c>
      <c r="H95" s="56" t="str">
        <f t="shared" si="9"/>
        <v/>
      </c>
      <c r="I95" s="5"/>
      <c r="L95" s="5"/>
      <c r="M95" s="5"/>
      <c r="N95" s="160"/>
      <c r="O95" s="5"/>
      <c r="P95" s="5"/>
    </row>
    <row r="96" spans="1:16" s="4" customFormat="1" x14ac:dyDescent="0.25">
      <c r="A96" s="103"/>
      <c r="B96" s="38" t="str">
        <f>IF($A96=0,"",VLOOKUP($A96,'BASE MATERIAL'!$A:$D,2))</f>
        <v/>
      </c>
      <c r="C96" s="2"/>
      <c r="D96" s="77"/>
      <c r="E96" s="78" t="str">
        <f>IF($A96=0,"",VLOOKUP($A96,'BASE MATERIAL'!$A:$D,3))</f>
        <v/>
      </c>
      <c r="F96" s="55"/>
      <c r="G96" s="55" t="str">
        <f>IF($A96=0,"",VLOOKUP($A96,'BASE MATERIAL'!$A:$D,4))</f>
        <v/>
      </c>
      <c r="H96" s="56" t="str">
        <f t="shared" si="9"/>
        <v/>
      </c>
      <c r="I96" s="5"/>
    </row>
    <row r="97" spans="1:9" s="4" customFormat="1" x14ac:dyDescent="0.25">
      <c r="A97" s="103"/>
      <c r="B97" s="38" t="str">
        <f>IF($A97=0,"",VLOOKUP($A97,'BASE MATERIAL'!$A:$D,2))</f>
        <v/>
      </c>
      <c r="C97" s="2"/>
      <c r="D97" s="77"/>
      <c r="E97" s="78" t="str">
        <f>IF($A97=0,"",VLOOKUP($A97,'BASE MATERIAL'!$A:$D,3))</f>
        <v/>
      </c>
      <c r="F97" s="55"/>
      <c r="G97" s="55" t="str">
        <f>IF($A97=0,"",VLOOKUP($A97,'BASE MATERIAL'!$A:$D,4))</f>
        <v/>
      </c>
      <c r="H97" s="56" t="str">
        <f t="shared" si="9"/>
        <v/>
      </c>
      <c r="I97" s="5"/>
    </row>
    <row r="98" spans="1:9" s="4" customFormat="1" x14ac:dyDescent="0.25">
      <c r="A98" s="103"/>
      <c r="B98" s="38" t="str">
        <f>IF($A98=0,"",VLOOKUP($A98,'BASE MATERIAL'!$A:$D,2))</f>
        <v/>
      </c>
      <c r="C98" s="2"/>
      <c r="D98" s="77"/>
      <c r="E98" s="78" t="str">
        <f>IF($A98=0,"",VLOOKUP($A98,'BASE MATERIAL'!$A:$D,3))</f>
        <v/>
      </c>
      <c r="F98" s="55"/>
      <c r="G98" s="55" t="str">
        <f>IF($A98=0,"",VLOOKUP($A98,'BASE MATERIAL'!$A:$D,4))</f>
        <v/>
      </c>
      <c r="H98" s="56" t="str">
        <f t="shared" si="9"/>
        <v/>
      </c>
      <c r="I98" s="5"/>
    </row>
    <row r="99" spans="1:9" s="4" customFormat="1" x14ac:dyDescent="0.25">
      <c r="A99" s="103"/>
      <c r="B99" s="38" t="str">
        <f>IF($A99=0,"",VLOOKUP($A99,'BASE MATERIAL'!$A:$D,2))</f>
        <v/>
      </c>
      <c r="C99" s="2"/>
      <c r="D99" s="77"/>
      <c r="E99" s="78" t="str">
        <f>IF($A99=0,"",VLOOKUP($A99,'BASE MATERIAL'!$A:$D,3))</f>
        <v/>
      </c>
      <c r="F99" s="55"/>
      <c r="G99" s="55" t="str">
        <f>IF($A99=0,"",VLOOKUP($A99,'BASE MATERIAL'!$A:$D,4))</f>
        <v/>
      </c>
      <c r="H99" s="56" t="str">
        <f t="shared" si="9"/>
        <v/>
      </c>
      <c r="I99" s="5"/>
    </row>
    <row r="100" spans="1:9" s="4" customFormat="1" x14ac:dyDescent="0.25">
      <c r="A100" s="103"/>
      <c r="B100" s="38" t="str">
        <f>IF($A100=0,"",VLOOKUP($A100,'BASE MATERIAL'!$A:$D,2))</f>
        <v/>
      </c>
      <c r="C100" s="2"/>
      <c r="D100" s="81" t="s">
        <v>1682</v>
      </c>
      <c r="E100" s="55" t="str">
        <f>IF($A100=0,"",VLOOKUP($A100,'BASE MATERIAL'!$A:$D,3))</f>
        <v/>
      </c>
      <c r="F100" s="55" t="s">
        <v>1682</v>
      </c>
      <c r="G100" s="55" t="str">
        <f>IF($A100=0,"",VLOOKUP($A100,'BASE MATERIAL'!$A:$D,4))</f>
        <v/>
      </c>
      <c r="H100" s="56" t="str">
        <f>IF($A100=0,"",ROUND(E100*F100,2))</f>
        <v/>
      </c>
      <c r="I100" s="5"/>
    </row>
    <row r="101" spans="1:9" s="4" customFormat="1" x14ac:dyDescent="0.25">
      <c r="A101" s="103"/>
      <c r="B101" s="73" t="s">
        <v>1681</v>
      </c>
      <c r="C101" s="65"/>
      <c r="D101" s="74"/>
      <c r="E101" s="74"/>
      <c r="F101" s="74"/>
      <c r="G101" s="74"/>
      <c r="H101" s="75">
        <f>ROUND(SUM(H84:H100),2)</f>
        <v>10.56</v>
      </c>
      <c r="I101" s="5"/>
    </row>
    <row r="102" spans="1:9" s="4" customFormat="1" x14ac:dyDescent="0.25">
      <c r="A102" s="103"/>
      <c r="B102" s="38" t="s">
        <v>1680</v>
      </c>
      <c r="C102" s="2"/>
      <c r="D102" s="3"/>
      <c r="E102" s="3"/>
      <c r="F102" s="3"/>
      <c r="G102" s="3"/>
      <c r="H102" s="56"/>
      <c r="I102" s="5"/>
    </row>
    <row r="103" spans="1:9" ht="25.5" x14ac:dyDescent="0.25">
      <c r="B103" s="64" t="s">
        <v>1409</v>
      </c>
      <c r="C103" s="65"/>
      <c r="D103" s="76"/>
      <c r="E103" s="66" t="s">
        <v>1408</v>
      </c>
      <c r="F103" s="66" t="s">
        <v>1679</v>
      </c>
      <c r="G103" s="66" t="s">
        <v>1676</v>
      </c>
      <c r="H103" s="68" t="s">
        <v>1675</v>
      </c>
      <c r="I103" s="2"/>
    </row>
    <row r="104" spans="1:9" s="4" customFormat="1" x14ac:dyDescent="0.25">
      <c r="A104" s="103">
        <v>19019</v>
      </c>
      <c r="B104" s="51" t="str">
        <f>IF($A104=0,"",VLOOKUP($A104,'BASE EQUIPO'!$A:$D,2))</f>
        <v>TRANSPORTE DE MATERIAL</v>
      </c>
      <c r="C104" s="52"/>
      <c r="D104" s="82"/>
      <c r="E104" s="78" t="str">
        <f>IF($A104=0,"",VLOOKUP($A104,'BASE EQUIPO'!$A:$D,3))</f>
        <v>GLOBAL</v>
      </c>
      <c r="F104" s="55">
        <v>1</v>
      </c>
      <c r="G104" s="83">
        <f>IF($A104=0,"",VLOOKUP($A104,'BASE EQUIPO'!$A:$D,4)*H101)</f>
        <v>0.31680000000000003</v>
      </c>
      <c r="H104" s="56">
        <f>IF($A104=0,"",ROUND(F104*G104,2))</f>
        <v>0.32</v>
      </c>
      <c r="I104" s="5"/>
    </row>
    <row r="105" spans="1:9" s="4" customFormat="1" x14ac:dyDescent="0.25">
      <c r="A105" s="103"/>
      <c r="B105" s="38" t="str">
        <f>IF($A105=0,"",VLOOKUP($A105,'BASE EQUIPO'!$A:$D,2))</f>
        <v/>
      </c>
      <c r="C105" s="2"/>
      <c r="D105" s="84"/>
      <c r="E105" s="78" t="str">
        <f>IF($A105=0,"",VLOOKUP($A105,'BASE EQUIPO'!$A:$D,3))</f>
        <v/>
      </c>
      <c r="F105" s="55"/>
      <c r="G105" s="55" t="str">
        <f>IF($A105=0,"",VLOOKUP($A105,'BASE EQUIPO'!$A:$D,4)*H102)</f>
        <v/>
      </c>
      <c r="H105" s="56" t="str">
        <f>IF($A105=0,"",ROUND(F105*G105,2))</f>
        <v/>
      </c>
      <c r="I105" s="5"/>
    </row>
    <row r="106" spans="1:9" s="4" customFormat="1" x14ac:dyDescent="0.25">
      <c r="A106" s="103"/>
      <c r="B106" s="57" t="str">
        <f>IF($A106=0,"",VLOOKUP($A106,'BASE EQUIPO'!$A:$D,2))</f>
        <v/>
      </c>
      <c r="C106" s="58"/>
      <c r="D106" s="85"/>
      <c r="E106" s="86" t="str">
        <f>IF($A106=0,"",VLOOKUP($A106,'BASE EQUIPO'!$A:$D,3))</f>
        <v/>
      </c>
      <c r="F106" s="59"/>
      <c r="G106" s="59" t="str">
        <f>IF($A106=0,"",VLOOKUP($A106,'BASE EQUIPO'!$A:$D,4)*H103)</f>
        <v/>
      </c>
      <c r="H106" s="60" t="str">
        <f>IF($A106=0,"",ROUND(F106*G106,2))</f>
        <v/>
      </c>
      <c r="I106" s="5"/>
    </row>
    <row r="107" spans="1:9" s="4" customFormat="1" ht="15.75" thickBot="1" x14ac:dyDescent="0.3">
      <c r="A107" s="103"/>
      <c r="B107" s="87" t="s">
        <v>1674</v>
      </c>
      <c r="C107" s="88"/>
      <c r="D107" s="89"/>
      <c r="E107" s="89"/>
      <c r="F107" s="89"/>
      <c r="G107" s="89"/>
      <c r="H107" s="90">
        <f>ROUND(SUM(H103:H106),2)</f>
        <v>0.32</v>
      </c>
      <c r="I107" s="5"/>
    </row>
    <row r="108" spans="1:9" s="4" customFormat="1" ht="15.75" x14ac:dyDescent="0.25">
      <c r="A108" s="103"/>
      <c r="B108" s="2"/>
      <c r="C108" s="2"/>
      <c r="D108" s="91" t="s">
        <v>1673</v>
      </c>
      <c r="E108" s="177"/>
      <c r="F108" s="177"/>
      <c r="G108" s="177"/>
      <c r="H108" s="92">
        <f>ROUND(SUM(H107,H101,H82,H72),2)</f>
        <v>14.11</v>
      </c>
      <c r="I108" s="5"/>
    </row>
    <row r="109" spans="1:9" s="4" customFormat="1" ht="15.75" x14ac:dyDescent="0.25">
      <c r="A109" s="103">
        <v>40002</v>
      </c>
      <c r="B109" s="2"/>
      <c r="C109" s="2"/>
      <c r="D109" s="93" t="s">
        <v>1672</v>
      </c>
      <c r="E109" s="166"/>
      <c r="F109" s="166"/>
      <c r="G109" s="178">
        <f>IF($A109=0,"",VLOOKUP($A109,'BASE MATERIAL'!$M:$P,4))</f>
        <v>0</v>
      </c>
      <c r="H109" s="95">
        <f>IF($A109=0,"",ROUND(G109*H108,2))</f>
        <v>0</v>
      </c>
      <c r="I109" s="5"/>
    </row>
    <row r="110" spans="1:9" s="4" customFormat="1" ht="15.75" x14ac:dyDescent="0.25">
      <c r="A110" s="103">
        <v>40003</v>
      </c>
      <c r="B110" s="2"/>
      <c r="C110" s="2"/>
      <c r="D110" s="93" t="s">
        <v>1671</v>
      </c>
      <c r="E110" s="166"/>
      <c r="F110" s="166"/>
      <c r="G110" s="178">
        <f>IF($A110=0,"",VLOOKUP($A110,'BASE MATERIAL'!$M:$P,4))</f>
        <v>0</v>
      </c>
      <c r="H110" s="95">
        <f>IF($A110=0,"",ROUND(G110*H108,2))</f>
        <v>0</v>
      </c>
      <c r="I110" s="5"/>
    </row>
    <row r="111" spans="1:9" s="4" customFormat="1" ht="15.75" x14ac:dyDescent="0.25">
      <c r="A111" s="103"/>
      <c r="B111" s="2"/>
      <c r="C111" s="2"/>
      <c r="D111" s="93" t="s">
        <v>1670</v>
      </c>
      <c r="E111" s="166"/>
      <c r="F111" s="166"/>
      <c r="G111" s="166"/>
      <c r="H111" s="96">
        <f>ROUND(SUM(H108:H110),2)</f>
        <v>14.11</v>
      </c>
      <c r="I111" s="5"/>
    </row>
    <row r="112" spans="1:9" s="4" customFormat="1" ht="16.5" thickBot="1" x14ac:dyDescent="0.3">
      <c r="A112" s="103"/>
      <c r="B112" s="25"/>
      <c r="C112" s="5"/>
      <c r="D112" s="97" t="s">
        <v>1650</v>
      </c>
      <c r="E112" s="179"/>
      <c r="F112" s="179"/>
      <c r="G112" s="179"/>
      <c r="H112" s="98">
        <f>ROUND(H111,2)</f>
        <v>14.11</v>
      </c>
      <c r="I112" s="5"/>
    </row>
  </sheetData>
  <phoneticPr fontId="2" type="noConversion"/>
  <pageMargins left="0.78740157480314965" right="0.78740157480314965" top="0.78740157480314965" bottom="0.78740157480314965" header="0" footer="0"/>
  <pageSetup paperSize="9" scale="85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E77E8-B81D-4D8B-A5B0-6218861040CF}">
  <sheetPr codeName="Hoja13"/>
  <dimension ref="A1:P2184"/>
  <sheetViews>
    <sheetView topLeftCell="A326" workbookViewId="0">
      <selection activeCell="H391" sqref="H391"/>
    </sheetView>
  </sheetViews>
  <sheetFormatPr baseColWidth="10" defaultColWidth="11.42578125" defaultRowHeight="15" x14ac:dyDescent="0.25"/>
  <cols>
    <col min="1" max="1" width="9.140625" style="103" bestFit="1" customWidth="1"/>
    <col min="2" max="2" width="12.140625" style="1" customWidth="1"/>
    <col min="3" max="3" width="26.28515625" style="1" customWidth="1"/>
    <col min="4" max="4" width="10.7109375" style="1" customWidth="1"/>
    <col min="5" max="5" width="12.140625" style="1" customWidth="1"/>
    <col min="6" max="6" width="13.7109375" style="1" customWidth="1"/>
    <col min="7" max="7" width="13.85546875" style="1" customWidth="1"/>
    <col min="8" max="8" width="12.42578125" style="1" customWidth="1"/>
    <col min="9" max="9" width="9.7109375" style="1" customWidth="1"/>
    <col min="10" max="10" width="3.5703125" style="1" customWidth="1"/>
    <col min="11" max="11" width="13.140625" style="1" bestFit="1" customWidth="1"/>
    <col min="12" max="12" width="10" style="1" bestFit="1" customWidth="1"/>
    <col min="13" max="13" width="36.7109375" style="1" customWidth="1"/>
    <col min="14" max="14" width="3.7109375" style="1" bestFit="1" customWidth="1"/>
    <col min="15" max="15" width="5.5703125" style="1" bestFit="1" customWidth="1"/>
    <col min="16" max="28" width="8.42578125" style="1" customWidth="1"/>
    <col min="29" max="16384" width="11.42578125" style="1"/>
  </cols>
  <sheetData>
    <row r="1" spans="1:15" ht="15.75" x14ac:dyDescent="0.25">
      <c r="B1" s="34" t="s">
        <v>1701</v>
      </c>
      <c r="C1" s="5"/>
      <c r="D1" s="157" t="str">
        <f>'1.1'!$D$1</f>
        <v>ESPOL</v>
      </c>
      <c r="E1" s="2"/>
      <c r="F1" s="2"/>
      <c r="H1" s="2" t="s">
        <v>108</v>
      </c>
      <c r="I1" s="2"/>
      <c r="L1" s="40">
        <f>A5</f>
        <v>5</v>
      </c>
      <c r="M1" s="2" t="str">
        <f>C6</f>
        <v>Pared mamposteria bloque e= 19cm</v>
      </c>
      <c r="N1" s="2" t="str">
        <f>H5</f>
        <v>m2</v>
      </c>
      <c r="O1" s="2">
        <f>H56</f>
        <v>14.59</v>
      </c>
    </row>
    <row r="2" spans="1:15" s="4" customFormat="1" ht="15.75" x14ac:dyDescent="0.25">
      <c r="A2" s="103"/>
      <c r="B2" s="34" t="s">
        <v>1700</v>
      </c>
      <c r="C2" s="3">
        <f>'1.1'!$C$2</f>
        <v>0</v>
      </c>
      <c r="D2" s="5"/>
      <c r="E2" s="5"/>
      <c r="F2" s="5"/>
      <c r="G2" s="158" t="s">
        <v>1699</v>
      </c>
      <c r="H2" s="159"/>
      <c r="I2" s="5" t="s">
        <v>1698</v>
      </c>
    </row>
    <row r="3" spans="1:15" s="4" customFormat="1" ht="15.75" x14ac:dyDescent="0.25">
      <c r="A3" s="103"/>
      <c r="B3" s="34"/>
      <c r="C3" s="3">
        <f>'1.1'!$C$3</f>
        <v>0</v>
      </c>
      <c r="D3" s="5"/>
      <c r="E3" s="5"/>
      <c r="F3" s="5"/>
      <c r="G3" s="5"/>
      <c r="H3" s="5"/>
      <c r="I3" s="5"/>
    </row>
    <row r="4" spans="1:15" s="4" customFormat="1" ht="15.75" x14ac:dyDescent="0.25">
      <c r="A4" s="103"/>
      <c r="B4" s="34" t="s">
        <v>1697</v>
      </c>
      <c r="C4" s="3"/>
      <c r="D4" s="5"/>
      <c r="E4" s="5"/>
      <c r="F4" s="5"/>
      <c r="G4" s="5"/>
      <c r="H4" s="5"/>
      <c r="I4" s="5"/>
    </row>
    <row r="5" spans="1:15" x14ac:dyDescent="0.25">
      <c r="A5" s="104">
        <v>5</v>
      </c>
      <c r="B5" s="2" t="s">
        <v>1586</v>
      </c>
      <c r="C5" s="36" t="s">
        <v>1556</v>
      </c>
      <c r="D5" s="5"/>
      <c r="E5" s="4"/>
      <c r="F5" s="4"/>
      <c r="G5" s="5" t="s">
        <v>1696</v>
      </c>
      <c r="H5" s="157" t="s">
        <v>1520</v>
      </c>
      <c r="I5" s="2"/>
    </row>
    <row r="6" spans="1:15" s="4" customFormat="1" x14ac:dyDescent="0.25">
      <c r="A6" s="103"/>
      <c r="B6" s="1" t="s">
        <v>1585</v>
      </c>
      <c r="C6" s="36" t="s">
        <v>276</v>
      </c>
      <c r="D6" s="5"/>
      <c r="E6" s="5"/>
      <c r="F6" s="5"/>
      <c r="G6" s="5"/>
      <c r="H6" s="5"/>
      <c r="I6" s="5"/>
    </row>
    <row r="7" spans="1:15" ht="15.75" thickBot="1" x14ac:dyDescent="0.3">
      <c r="D7" s="2"/>
      <c r="E7" s="2"/>
      <c r="F7" s="2"/>
      <c r="G7" s="2"/>
      <c r="H7" s="2"/>
      <c r="I7" s="2"/>
    </row>
    <row r="8" spans="1:15" ht="15.75" thickBot="1" x14ac:dyDescent="0.3">
      <c r="B8" s="43" t="s">
        <v>1695</v>
      </c>
      <c r="C8" s="44"/>
      <c r="D8" s="44"/>
      <c r="E8" s="44"/>
      <c r="F8" s="44"/>
      <c r="G8" s="44"/>
      <c r="H8" s="45"/>
      <c r="I8" s="2"/>
    </row>
    <row r="9" spans="1:15" ht="25.5" x14ac:dyDescent="0.25">
      <c r="B9" s="46" t="s">
        <v>1409</v>
      </c>
      <c r="C9" s="47"/>
      <c r="D9" s="48" t="s">
        <v>1690</v>
      </c>
      <c r="E9" s="48" t="s">
        <v>1694</v>
      </c>
      <c r="F9" s="48" t="s">
        <v>1693</v>
      </c>
      <c r="G9" s="49" t="s">
        <v>1687</v>
      </c>
      <c r="H9" s="50" t="s">
        <v>1686</v>
      </c>
      <c r="I9" s="2"/>
    </row>
    <row r="10" spans="1:15" s="4" customFormat="1" x14ac:dyDescent="0.25">
      <c r="A10" s="103">
        <v>19015</v>
      </c>
      <c r="B10" s="51" t="str">
        <f>IF($A10=0,"",VLOOKUP($A10,'BASE EQUIPO'!$A:$D,2))</f>
        <v>HERRAMIENTA MENOR</v>
      </c>
      <c r="C10" s="52"/>
      <c r="D10" s="53">
        <v>1</v>
      </c>
      <c r="E10" s="53">
        <f>IF($A10=0,"",VLOOKUP($A10,'BASE EQUIPO'!$A:$D,4)*H26)</f>
        <v>0.15179999999999999</v>
      </c>
      <c r="F10" s="53">
        <f t="shared" ref="F10:F15" si="0">IF($A10=0,"",ROUND(D10*E10,2))</f>
        <v>0.15</v>
      </c>
      <c r="G10" s="105">
        <v>1</v>
      </c>
      <c r="H10" s="54">
        <f t="shared" ref="H10:H15" si="1">IF($A10=0,"",ROUND(G10*F10,2))</f>
        <v>0.15</v>
      </c>
      <c r="I10" s="5"/>
    </row>
    <row r="11" spans="1:15" s="4" customFormat="1" x14ac:dyDescent="0.25">
      <c r="A11" s="103"/>
      <c r="B11" s="38" t="str">
        <f>IF($A11=0,"",VLOOKUP($A11,'BASE EQUIPO'!$A:$D,2))</f>
        <v/>
      </c>
      <c r="C11" s="2"/>
      <c r="D11" s="55"/>
      <c r="E11" s="55" t="str">
        <f>IF($A11=0,"",VLOOKUP($A11,'BASE EQUIPO'!$A:$D,4))</f>
        <v/>
      </c>
      <c r="F11" s="55" t="str">
        <f t="shared" si="0"/>
        <v/>
      </c>
      <c r="G11" s="106"/>
      <c r="H11" s="56" t="str">
        <f t="shared" si="1"/>
        <v/>
      </c>
      <c r="I11" s="5"/>
    </row>
    <row r="12" spans="1:15" s="4" customFormat="1" x14ac:dyDescent="0.25">
      <c r="A12" s="103"/>
      <c r="B12" s="38" t="str">
        <f>IF($A12=0,"",VLOOKUP($A12,'BASE EQUIPO'!$A:$D,2))</f>
        <v/>
      </c>
      <c r="C12" s="2"/>
      <c r="D12" s="55"/>
      <c r="E12" s="55" t="str">
        <f>IF($A12=0,"",VLOOKUP($A12,'BASE EQUIPO'!$A:$D,4))</f>
        <v/>
      </c>
      <c r="F12" s="55" t="str">
        <f t="shared" si="0"/>
        <v/>
      </c>
      <c r="G12" s="106"/>
      <c r="H12" s="56" t="str">
        <f t="shared" si="1"/>
        <v/>
      </c>
      <c r="I12" s="5"/>
    </row>
    <row r="13" spans="1:15" s="4" customFormat="1" x14ac:dyDescent="0.25">
      <c r="A13" s="103"/>
      <c r="B13" s="38" t="str">
        <f>IF($A13=0,"",VLOOKUP($A13,'BASE EQUIPO'!$A:$D,2))</f>
        <v/>
      </c>
      <c r="C13" s="2"/>
      <c r="D13" s="55"/>
      <c r="E13" s="55" t="str">
        <f>IF($A13=0,"",VLOOKUP($A13,'BASE EQUIPO'!$A:$D,4))</f>
        <v/>
      </c>
      <c r="F13" s="55" t="str">
        <f t="shared" si="0"/>
        <v/>
      </c>
      <c r="G13" s="106"/>
      <c r="H13" s="56" t="str">
        <f t="shared" si="1"/>
        <v/>
      </c>
      <c r="I13" s="5"/>
    </row>
    <row r="14" spans="1:15" s="4" customFormat="1" x14ac:dyDescent="0.25">
      <c r="A14" s="103"/>
      <c r="B14" s="38" t="str">
        <f>IF($A14=0,"",VLOOKUP($A14,'BASE EQUIPO'!$A:$D,2))</f>
        <v/>
      </c>
      <c r="C14" s="2"/>
      <c r="D14" s="55"/>
      <c r="E14" s="55" t="str">
        <f>IF($A14=0,"",VLOOKUP($A14,'BASE EQUIPO'!$A:$D,4))</f>
        <v/>
      </c>
      <c r="F14" s="55" t="str">
        <f t="shared" si="0"/>
        <v/>
      </c>
      <c r="G14" s="106"/>
      <c r="H14" s="56" t="str">
        <f t="shared" si="1"/>
        <v/>
      </c>
      <c r="I14" s="5"/>
    </row>
    <row r="15" spans="1:15" s="4" customFormat="1" x14ac:dyDescent="0.25">
      <c r="A15" s="103"/>
      <c r="B15" s="57" t="str">
        <f>IF($A15=0,"",VLOOKUP($A15,'BASE EQUIPO'!$A:$D,2))</f>
        <v/>
      </c>
      <c r="C15" s="58"/>
      <c r="D15" s="59"/>
      <c r="E15" s="59" t="str">
        <f>IF($A15=0,"",VLOOKUP($A15,'BASE EQUIPO'!$A:$D,4))</f>
        <v/>
      </c>
      <c r="F15" s="59" t="str">
        <f t="shared" si="0"/>
        <v/>
      </c>
      <c r="G15" s="107"/>
      <c r="H15" s="60" t="str">
        <f t="shared" si="1"/>
        <v/>
      </c>
      <c r="I15" s="5"/>
    </row>
    <row r="16" spans="1:15" s="4" customFormat="1" x14ac:dyDescent="0.25">
      <c r="A16" s="103"/>
      <c r="B16" s="57" t="s">
        <v>1692</v>
      </c>
      <c r="C16" s="58"/>
      <c r="D16" s="61"/>
      <c r="E16" s="61"/>
      <c r="F16" s="61"/>
      <c r="G16" s="62"/>
      <c r="H16" s="60">
        <f>ROUND(SUM(H9:H15),2)</f>
        <v>0.15</v>
      </c>
      <c r="I16" s="5"/>
    </row>
    <row r="17" spans="1:16" s="4" customFormat="1" x14ac:dyDescent="0.25">
      <c r="A17" s="103"/>
      <c r="B17" s="38" t="s">
        <v>1503</v>
      </c>
      <c r="C17" s="2"/>
      <c r="D17" s="3"/>
      <c r="E17" s="3"/>
      <c r="F17" s="3"/>
      <c r="G17" s="63"/>
      <c r="H17" s="56"/>
      <c r="I17" s="5"/>
    </row>
    <row r="18" spans="1:16" ht="25.5" x14ac:dyDescent="0.25">
      <c r="B18" s="64" t="s">
        <v>1691</v>
      </c>
      <c r="C18" s="65"/>
      <c r="D18" s="66" t="s">
        <v>1690</v>
      </c>
      <c r="E18" s="66" t="s">
        <v>1689</v>
      </c>
      <c r="F18" s="66" t="s">
        <v>1688</v>
      </c>
      <c r="G18" s="67" t="s">
        <v>1687</v>
      </c>
      <c r="H18" s="68" t="s">
        <v>1686</v>
      </c>
      <c r="I18" s="2"/>
    </row>
    <row r="19" spans="1:16" s="4" customFormat="1" x14ac:dyDescent="0.25">
      <c r="A19" s="103">
        <v>20001</v>
      </c>
      <c r="B19" s="69" t="str">
        <f>IF($A19=0,"",VLOOKUP($A19,'BASE M-OBRA'!$A:$D,2))</f>
        <v>MAESTRO</v>
      </c>
      <c r="C19" s="2"/>
      <c r="D19" s="108">
        <v>1</v>
      </c>
      <c r="E19" s="70">
        <f>IF($A19=0,"",VLOOKUP($A19,'BASE M-OBRA'!$A:$D,4))</f>
        <v>3.02</v>
      </c>
      <c r="F19" s="55">
        <f t="shared" ref="F19:F25" si="2">IF($A19=0,"",ROUND(D19*E19,2))</f>
        <v>3.02</v>
      </c>
      <c r="G19" s="106">
        <f>IF($A19=0,"",ROUND(H19/F19,2))</f>
        <v>0.28000000000000003</v>
      </c>
      <c r="H19" s="56">
        <f>IF($A19=0,"",ROUND(SUM(H20:H25)*'BASE M-OBRA'!$D$23,2))</f>
        <v>0.84</v>
      </c>
      <c r="I19" s="5"/>
    </row>
    <row r="20" spans="1:16" s="4" customFormat="1" x14ac:dyDescent="0.25">
      <c r="A20" s="103">
        <v>20002</v>
      </c>
      <c r="B20" s="69" t="str">
        <f>IF($A20=0,"",VLOOKUP($A20,'BASE M-OBRA'!$A:$D,2))</f>
        <v>PEON</v>
      </c>
      <c r="C20" s="2"/>
      <c r="D20" s="108">
        <v>2</v>
      </c>
      <c r="E20" s="70">
        <f>IF($A20=0,"",VLOOKUP($A20,'BASE M-OBRA'!$A:$D,4))</f>
        <v>2.79</v>
      </c>
      <c r="F20" s="55">
        <f t="shared" si="2"/>
        <v>5.58</v>
      </c>
      <c r="G20" s="106">
        <v>0.25</v>
      </c>
      <c r="H20" s="56">
        <f t="shared" ref="H20:H25" si="3">IF($A20=0,"",ROUND(G20*F20,2))</f>
        <v>1.4</v>
      </c>
      <c r="I20" s="5"/>
    </row>
    <row r="21" spans="1:16" s="4" customFormat="1" x14ac:dyDescent="0.25">
      <c r="A21" s="103">
        <v>20003</v>
      </c>
      <c r="B21" s="69" t="str">
        <f>IF($A21=0,"",VLOOKUP($A21,'BASE M-OBRA'!$A:$D,2))</f>
        <v>ALBAÑIL</v>
      </c>
      <c r="C21" s="2"/>
      <c r="D21" s="108">
        <v>4</v>
      </c>
      <c r="E21" s="70">
        <f>IF($A21=0,"",VLOOKUP($A21,'BASE M-OBRA'!$A:$D,4))</f>
        <v>2.82</v>
      </c>
      <c r="F21" s="55">
        <f t="shared" si="2"/>
        <v>11.28</v>
      </c>
      <c r="G21" s="106">
        <f>+G20</f>
        <v>0.25</v>
      </c>
      <c r="H21" s="56">
        <f t="shared" si="3"/>
        <v>2.82</v>
      </c>
      <c r="I21" s="5"/>
    </row>
    <row r="22" spans="1:16" s="4" customFormat="1" x14ac:dyDescent="0.25">
      <c r="A22" s="103"/>
      <c r="B22" s="71" t="str">
        <f>IF($A22=0,"",VLOOKUP($A22,'BASE M-OBRA'!$A:$D,2))</f>
        <v/>
      </c>
      <c r="C22" s="2"/>
      <c r="D22" s="108"/>
      <c r="E22" s="70" t="str">
        <f>IF($A22=0,"",VLOOKUP($A22,'BASE M-OBRA'!$A:$D,4))</f>
        <v/>
      </c>
      <c r="F22" s="55" t="str">
        <f t="shared" si="2"/>
        <v/>
      </c>
      <c r="G22" s="106"/>
      <c r="H22" s="56" t="str">
        <f t="shared" si="3"/>
        <v/>
      </c>
      <c r="I22" s="5"/>
    </row>
    <row r="23" spans="1:16" s="4" customFormat="1" x14ac:dyDescent="0.25">
      <c r="A23" s="103"/>
      <c r="B23" s="72" t="str">
        <f>IF($A23=0,"",VLOOKUP($A23,'BASE M-OBRA'!$A:$D,2))</f>
        <v/>
      </c>
      <c r="C23" s="2"/>
      <c r="D23" s="108"/>
      <c r="E23" s="70" t="str">
        <f>IF($A23=0,"",VLOOKUP($A23,'BASE M-OBRA'!$A:$D,4))</f>
        <v/>
      </c>
      <c r="F23" s="55" t="str">
        <f t="shared" si="2"/>
        <v/>
      </c>
      <c r="G23" s="106"/>
      <c r="H23" s="56" t="str">
        <f t="shared" si="3"/>
        <v/>
      </c>
      <c r="I23" s="5"/>
    </row>
    <row r="24" spans="1:16" s="4" customFormat="1" x14ac:dyDescent="0.25">
      <c r="A24" s="103"/>
      <c r="B24" s="38" t="str">
        <f>IF($A24=0,"",VLOOKUP($A24,'BASE M-OBRA'!$A:$D,2))</f>
        <v/>
      </c>
      <c r="C24" s="2"/>
      <c r="D24" s="55"/>
      <c r="E24" s="55" t="str">
        <f>IF($A24=0,"",VLOOKUP($A24,'BASE M-OBRA'!$A:$D,4))</f>
        <v/>
      </c>
      <c r="F24" s="55" t="str">
        <f t="shared" si="2"/>
        <v/>
      </c>
      <c r="G24" s="106"/>
      <c r="H24" s="56" t="str">
        <f t="shared" si="3"/>
        <v/>
      </c>
      <c r="I24" s="5"/>
    </row>
    <row r="25" spans="1:16" s="4" customFormat="1" x14ac:dyDescent="0.25">
      <c r="A25" s="103"/>
      <c r="B25" s="57" t="str">
        <f>IF($A25=0,"",VLOOKUP($A25,'BASE M-OBRA'!$A:$D,2))</f>
        <v/>
      </c>
      <c r="C25" s="58"/>
      <c r="D25" s="59"/>
      <c r="E25" s="59" t="str">
        <f>IF($A25=0,"",VLOOKUP($A25,'BASE M-OBRA'!$A:$D,4))</f>
        <v/>
      </c>
      <c r="F25" s="59" t="str">
        <f t="shared" si="2"/>
        <v/>
      </c>
      <c r="G25" s="107"/>
      <c r="H25" s="60" t="str">
        <f t="shared" si="3"/>
        <v/>
      </c>
      <c r="I25" s="5"/>
    </row>
    <row r="26" spans="1:16" s="4" customFormat="1" x14ac:dyDescent="0.25">
      <c r="A26" s="103"/>
      <c r="B26" s="73" t="s">
        <v>1685</v>
      </c>
      <c r="C26" s="65"/>
      <c r="D26" s="74"/>
      <c r="E26" s="74"/>
      <c r="F26" s="74"/>
      <c r="G26" s="74"/>
      <c r="H26" s="75">
        <f>ROUND(SUM(H18:H25),2)</f>
        <v>5.0599999999999996</v>
      </c>
      <c r="I26" s="5"/>
    </row>
    <row r="27" spans="1:16" s="4" customFormat="1" x14ac:dyDescent="0.25">
      <c r="A27" s="103"/>
      <c r="B27" s="38" t="s">
        <v>1684</v>
      </c>
      <c r="C27" s="2"/>
      <c r="D27" s="3"/>
      <c r="E27" s="3"/>
      <c r="F27" s="3"/>
      <c r="G27" s="3"/>
      <c r="H27" s="56"/>
      <c r="I27" s="5"/>
    </row>
    <row r="28" spans="1:16" ht="25.5" x14ac:dyDescent="0.25">
      <c r="B28" s="64" t="s">
        <v>1409</v>
      </c>
      <c r="C28" s="65"/>
      <c r="D28" s="76"/>
      <c r="E28" s="66" t="s">
        <v>1408</v>
      </c>
      <c r="F28" s="66" t="s">
        <v>1679</v>
      </c>
      <c r="G28" s="66" t="s">
        <v>1683</v>
      </c>
      <c r="H28" s="68" t="s">
        <v>1675</v>
      </c>
      <c r="I28" s="2"/>
    </row>
    <row r="29" spans="1:16" s="4" customFormat="1" x14ac:dyDescent="0.25">
      <c r="A29" s="103">
        <v>4001</v>
      </c>
      <c r="B29" s="38" t="str">
        <f>IF($A29=0,"",VLOOKUP($A29,'BASE MATERIAL'!$A:$D,2))</f>
        <v>CEMENTO</v>
      </c>
      <c r="C29" s="2"/>
      <c r="D29" s="77"/>
      <c r="E29" s="78" t="str">
        <f>IF($A29=0,"",VLOOKUP($A29,'BASE MATERIAL'!$A:$D,3))</f>
        <v>SACO</v>
      </c>
      <c r="F29" s="55">
        <f>ROUND(8*0.19*0.015*10,3)</f>
        <v>0.22800000000000001</v>
      </c>
      <c r="G29" s="55">
        <f>IF($A29=0,"",VLOOKUP($A29,'BASE MATERIAL'!$A:$D,4))</f>
        <v>7.09</v>
      </c>
      <c r="H29" s="56">
        <f t="shared" ref="H29:H43" si="4">IF($A29=0,"",ROUND(F29*G29,2))</f>
        <v>1.62</v>
      </c>
      <c r="I29" s="5"/>
      <c r="L29" s="5"/>
      <c r="M29" s="5"/>
      <c r="N29" s="160"/>
      <c r="O29" s="5"/>
      <c r="P29" s="5"/>
    </row>
    <row r="30" spans="1:16" s="4" customFormat="1" x14ac:dyDescent="0.25">
      <c r="A30" s="103">
        <v>5004</v>
      </c>
      <c r="B30" s="38" t="str">
        <f>IF($A30=0,"",VLOOKUP($A30,'BASE MATERIAL'!$A:$D,2))</f>
        <v>ARENA</v>
      </c>
      <c r="C30" s="2"/>
      <c r="D30" s="77"/>
      <c r="E30" s="78" t="str">
        <f>IF($A30=0,"",VLOOKUP($A30,'BASE MATERIAL'!$A:$D,3))</f>
        <v>M3</v>
      </c>
      <c r="F30" s="55">
        <f>ROUND(F29*0.032*3,2)</f>
        <v>0.02</v>
      </c>
      <c r="G30" s="55">
        <f>IF($A30=0,"",VLOOKUP($A30,'BASE MATERIAL'!$A:$D,4))</f>
        <v>12.276249999999999</v>
      </c>
      <c r="H30" s="56">
        <f t="shared" si="4"/>
        <v>0.25</v>
      </c>
      <c r="I30" s="5"/>
      <c r="L30" s="5"/>
      <c r="M30" s="5"/>
      <c r="N30" s="160"/>
      <c r="O30" s="5"/>
      <c r="P30" s="5"/>
    </row>
    <row r="31" spans="1:16" s="4" customFormat="1" x14ac:dyDescent="0.25">
      <c r="A31" s="103">
        <v>5005</v>
      </c>
      <c r="B31" s="38" t="str">
        <f>IF($A31=0,"",VLOOKUP($A31,'BASE MATERIAL'!$A:$D,2))</f>
        <v>AGUA</v>
      </c>
      <c r="C31" s="2"/>
      <c r="D31" s="77"/>
      <c r="E31" s="78" t="str">
        <f>IF($A31=0,"",VLOOKUP($A31,'BASE MATERIAL'!$A:$D,3))</f>
        <v>LT</v>
      </c>
      <c r="F31" s="55">
        <f>ROUND(30*F29,2)</f>
        <v>6.84</v>
      </c>
      <c r="G31" s="112">
        <f>IF($A31=0,"",VLOOKUP($A31,'BASE MATERIAL'!$A:$D,4))</f>
        <v>2E-3</v>
      </c>
      <c r="H31" s="56">
        <f t="shared" si="4"/>
        <v>0.01</v>
      </c>
      <c r="I31" s="5"/>
      <c r="L31" s="5"/>
      <c r="M31" s="5"/>
      <c r="N31" s="160"/>
      <c r="O31" s="5"/>
      <c r="P31" s="5"/>
    </row>
    <row r="32" spans="1:16" s="4" customFormat="1" x14ac:dyDescent="0.25">
      <c r="A32" s="103">
        <v>8007</v>
      </c>
      <c r="B32" s="38" t="str">
        <f>IF($A32=0,"",VLOOKUP($A32,'BASE MATERIAL'!$A:$D,2))</f>
        <v>BLOQUE DE CONCRETO 19x19x39 PL19</v>
      </c>
      <c r="C32" s="2"/>
      <c r="D32" s="77"/>
      <c r="E32" s="78" t="str">
        <f>IF($A32=0,"",VLOOKUP($A32,'BASE MATERIAL'!$A:$D,3))</f>
        <v>U</v>
      </c>
      <c r="F32" s="55">
        <v>12.5</v>
      </c>
      <c r="G32" s="55">
        <f>IF($A32=0,"",VLOOKUP($A32,'BASE MATERIAL'!$A:$D,4))</f>
        <v>0.55000000000000004</v>
      </c>
      <c r="H32" s="56">
        <f t="shared" si="4"/>
        <v>6.88</v>
      </c>
      <c r="I32" s="5"/>
      <c r="L32" s="5"/>
      <c r="M32" s="5"/>
      <c r="N32" s="160"/>
      <c r="O32" s="5"/>
      <c r="P32" s="5"/>
    </row>
    <row r="33" spans="1:16" s="4" customFormat="1" x14ac:dyDescent="0.25">
      <c r="A33" s="103">
        <v>1001</v>
      </c>
      <c r="B33" s="38" t="str">
        <f>IF($A33=0,"",VLOOKUP($A33,'BASE MATERIAL'!$A:$D,2))</f>
        <v>HIERRO</v>
      </c>
      <c r="C33" s="2"/>
      <c r="D33" s="77"/>
      <c r="E33" s="78" t="str">
        <f>IF($A33=0,"",VLOOKUP($A33,'BASE MATERIAL'!$A:$D,3))</f>
        <v>KG</v>
      </c>
      <c r="F33" s="55">
        <v>0.3</v>
      </c>
      <c r="G33" s="55">
        <f>IF($A33=0,"",VLOOKUP($A33,'BASE MATERIAL'!$A:$D,4))</f>
        <v>1.17</v>
      </c>
      <c r="H33" s="56">
        <f t="shared" si="4"/>
        <v>0.35</v>
      </c>
      <c r="I33" s="5"/>
      <c r="L33" s="5"/>
      <c r="M33" s="5"/>
      <c r="N33" s="160"/>
      <c r="O33" s="5"/>
      <c r="P33" s="5"/>
    </row>
    <row r="34" spans="1:16" s="4" customFormat="1" x14ac:dyDescent="0.25">
      <c r="A34" s="103"/>
      <c r="B34" s="38" t="str">
        <f>IF($A34=0,"",VLOOKUP($A34,'BASE MATERIAL'!$A:$D,2))</f>
        <v/>
      </c>
      <c r="C34" s="2"/>
      <c r="D34" s="77"/>
      <c r="E34" s="78" t="str">
        <f>IF($A34=0,"",VLOOKUP($A34,'BASE MATERIAL'!$A:$D,3))</f>
        <v/>
      </c>
      <c r="F34" s="55"/>
      <c r="G34" s="55" t="str">
        <f>IF($A34=0,"",VLOOKUP($A34,'BASE MATERIAL'!$A:$D,4))</f>
        <v/>
      </c>
      <c r="H34" s="56" t="str">
        <f t="shared" si="4"/>
        <v/>
      </c>
      <c r="I34" s="5"/>
      <c r="L34" s="5"/>
      <c r="M34" s="5"/>
      <c r="N34" s="160"/>
      <c r="O34" s="5"/>
      <c r="P34" s="5"/>
    </row>
    <row r="35" spans="1:16" s="4" customFormat="1" x14ac:dyDescent="0.25">
      <c r="A35" s="103"/>
      <c r="B35" s="38" t="str">
        <f>IF($A35=0,"",VLOOKUP($A35,'BASE MATERIAL'!$A:$D,2))</f>
        <v/>
      </c>
      <c r="C35" s="2"/>
      <c r="D35" s="77"/>
      <c r="E35" s="78" t="str">
        <f>IF($A35=0,"",VLOOKUP($A35,'BASE MATERIAL'!$A:$D,3))</f>
        <v/>
      </c>
      <c r="F35" s="55"/>
      <c r="G35" s="55" t="str">
        <f>IF($A35=0,"",VLOOKUP($A35,'BASE MATERIAL'!$A:$D,4))</f>
        <v/>
      </c>
      <c r="H35" s="56" t="str">
        <f t="shared" si="4"/>
        <v/>
      </c>
      <c r="I35" s="5"/>
      <c r="L35" s="5"/>
      <c r="M35" s="5"/>
      <c r="N35" s="160"/>
      <c r="O35" s="5"/>
      <c r="P35" s="5"/>
    </row>
    <row r="36" spans="1:16" s="4" customFormat="1" x14ac:dyDescent="0.25">
      <c r="A36" s="103"/>
      <c r="B36" s="38" t="str">
        <f>IF($A36=0,"",VLOOKUP($A36,'BASE MATERIAL'!$A:$D,2))</f>
        <v/>
      </c>
      <c r="C36" s="2"/>
      <c r="D36" s="77"/>
      <c r="E36" s="78" t="str">
        <f>IF($A36=0,"",VLOOKUP($A36,'BASE MATERIAL'!$A:$D,3))</f>
        <v/>
      </c>
      <c r="F36" s="55"/>
      <c r="G36" s="55" t="str">
        <f>IF($A36=0,"",VLOOKUP($A36,'BASE MATERIAL'!$A:$D,4))</f>
        <v/>
      </c>
      <c r="H36" s="56" t="str">
        <f t="shared" si="4"/>
        <v/>
      </c>
      <c r="I36" s="5"/>
      <c r="L36" s="5"/>
      <c r="M36" s="5"/>
      <c r="N36" s="160"/>
      <c r="O36" s="5"/>
      <c r="P36" s="5"/>
    </row>
    <row r="37" spans="1:16" s="4" customFormat="1" x14ac:dyDescent="0.25">
      <c r="A37" s="103"/>
      <c r="B37" s="38" t="str">
        <f>IF($A37=0,"",VLOOKUP($A37,'BASE MATERIAL'!$A:$D,2))</f>
        <v/>
      </c>
      <c r="C37" s="2"/>
      <c r="D37" s="77"/>
      <c r="E37" s="78" t="str">
        <f>IF($A37=0,"",VLOOKUP($A37,'BASE MATERIAL'!$A:$D,3))</f>
        <v/>
      </c>
      <c r="F37" s="55"/>
      <c r="G37" s="55" t="str">
        <f>IF($A37=0,"",VLOOKUP($A37,'BASE MATERIAL'!$A:$D,4))</f>
        <v/>
      </c>
      <c r="H37" s="56" t="str">
        <f t="shared" si="4"/>
        <v/>
      </c>
      <c r="I37" s="5"/>
    </row>
    <row r="38" spans="1:16" s="4" customFormat="1" x14ac:dyDescent="0.25">
      <c r="A38" s="103"/>
      <c r="B38" s="38" t="str">
        <f>IF($A38=0,"",VLOOKUP($A38,'BASE MATERIAL'!$A:$D,2))</f>
        <v/>
      </c>
      <c r="C38" s="2"/>
      <c r="D38" s="77"/>
      <c r="E38" s="78" t="str">
        <f>IF($A38=0,"",VLOOKUP($A38,'BASE MATERIAL'!$A:$D,3))</f>
        <v/>
      </c>
      <c r="F38" s="55"/>
      <c r="G38" s="55" t="str">
        <f>IF($A38=0,"",VLOOKUP($A38,'BASE MATERIAL'!$A:$D,4))</f>
        <v/>
      </c>
      <c r="H38" s="56" t="str">
        <f t="shared" si="4"/>
        <v/>
      </c>
      <c r="I38" s="5"/>
      <c r="L38" s="5"/>
      <c r="M38" s="5"/>
      <c r="N38" s="160"/>
      <c r="O38" s="5"/>
      <c r="P38" s="5"/>
    </row>
    <row r="39" spans="1:16" s="4" customFormat="1" x14ac:dyDescent="0.25">
      <c r="A39" s="103"/>
      <c r="B39" s="38" t="str">
        <f>IF($A39=0,"",VLOOKUP($A39,'BASE MATERIAL'!$A:$D,2))</f>
        <v/>
      </c>
      <c r="C39" s="2"/>
      <c r="D39" s="77"/>
      <c r="E39" s="78" t="str">
        <f>IF($A39=0,"",VLOOKUP($A39,'BASE MATERIAL'!$A:$D,3))</f>
        <v/>
      </c>
      <c r="F39" s="55"/>
      <c r="G39" s="55" t="str">
        <f>IF($A39=0,"",VLOOKUP($A39,'BASE MATERIAL'!$A:$D,4))</f>
        <v/>
      </c>
      <c r="H39" s="56" t="str">
        <f t="shared" si="4"/>
        <v/>
      </c>
      <c r="I39" s="5"/>
      <c r="L39" s="5"/>
      <c r="M39" s="5"/>
      <c r="N39" s="160"/>
      <c r="O39" s="5"/>
      <c r="P39" s="5"/>
    </row>
    <row r="40" spans="1:16" s="4" customFormat="1" x14ac:dyDescent="0.25">
      <c r="A40" s="103"/>
      <c r="B40" s="38" t="str">
        <f>IF($A40=0,"",VLOOKUP($A40,'BASE MATERIAL'!$A:$D,2))</f>
        <v/>
      </c>
      <c r="C40" s="2"/>
      <c r="D40" s="77"/>
      <c r="E40" s="78" t="str">
        <f>IF($A40=0,"",VLOOKUP($A40,'BASE MATERIAL'!$A:$D,3))</f>
        <v/>
      </c>
      <c r="F40" s="55"/>
      <c r="G40" s="55" t="str">
        <f>IF($A40=0,"",VLOOKUP($A40,'BASE MATERIAL'!$A:$D,4))</f>
        <v/>
      </c>
      <c r="H40" s="56" t="str">
        <f t="shared" si="4"/>
        <v/>
      </c>
      <c r="I40" s="5"/>
    </row>
    <row r="41" spans="1:16" s="4" customFormat="1" x14ac:dyDescent="0.25">
      <c r="A41" s="103"/>
      <c r="B41" s="38" t="str">
        <f>IF($A41=0,"",VLOOKUP($A41,'BASE MATERIAL'!$A:$D,2))</f>
        <v/>
      </c>
      <c r="C41" s="2"/>
      <c r="D41" s="77"/>
      <c r="E41" s="78" t="str">
        <f>IF($A41=0,"",VLOOKUP($A41,'BASE MATERIAL'!$A:$D,3))</f>
        <v/>
      </c>
      <c r="F41" s="55"/>
      <c r="G41" s="55" t="str">
        <f>IF($A41=0,"",VLOOKUP($A41,'BASE MATERIAL'!$A:$D,4))</f>
        <v/>
      </c>
      <c r="H41" s="56" t="str">
        <f t="shared" si="4"/>
        <v/>
      </c>
      <c r="I41" s="5"/>
    </row>
    <row r="42" spans="1:16" s="4" customFormat="1" x14ac:dyDescent="0.25">
      <c r="A42" s="103"/>
      <c r="B42" s="38" t="str">
        <f>IF($A42=0,"",VLOOKUP($A42,'BASE MATERIAL'!$A:$D,2))</f>
        <v/>
      </c>
      <c r="C42" s="2"/>
      <c r="D42" s="77"/>
      <c r="E42" s="78" t="str">
        <f>IF($A42=0,"",VLOOKUP($A42,'BASE MATERIAL'!$A:$D,3))</f>
        <v/>
      </c>
      <c r="F42" s="55"/>
      <c r="G42" s="55" t="str">
        <f>IF($A42=0,"",VLOOKUP($A42,'BASE MATERIAL'!$A:$D,4))</f>
        <v/>
      </c>
      <c r="H42" s="56" t="str">
        <f t="shared" si="4"/>
        <v/>
      </c>
      <c r="I42" s="5"/>
    </row>
    <row r="43" spans="1:16" s="4" customFormat="1" x14ac:dyDescent="0.25">
      <c r="A43" s="103"/>
      <c r="B43" s="38" t="str">
        <f>IF($A43=0,"",VLOOKUP($A43,'BASE MATERIAL'!$A:$D,2))</f>
        <v/>
      </c>
      <c r="C43" s="2"/>
      <c r="D43" s="77"/>
      <c r="E43" s="78" t="str">
        <f>IF($A43=0,"",VLOOKUP($A43,'BASE MATERIAL'!$A:$D,3))</f>
        <v/>
      </c>
      <c r="F43" s="55"/>
      <c r="G43" s="55" t="str">
        <f>IF($A43=0,"",VLOOKUP($A43,'BASE MATERIAL'!$A:$D,4))</f>
        <v/>
      </c>
      <c r="H43" s="56" t="str">
        <f t="shared" si="4"/>
        <v/>
      </c>
      <c r="I43" s="5"/>
    </row>
    <row r="44" spans="1:16" s="4" customFormat="1" x14ac:dyDescent="0.25">
      <c r="A44" s="103"/>
      <c r="B44" s="38" t="str">
        <f>IF($A44=0,"",VLOOKUP($A44,'BASE MATERIAL'!$A:$D,2))</f>
        <v/>
      </c>
      <c r="C44" s="2"/>
      <c r="D44" s="81" t="s">
        <v>1682</v>
      </c>
      <c r="E44" s="55" t="str">
        <f>IF($A44=0,"",VLOOKUP($A44,'BASE MATERIAL'!$A:$D,3))</f>
        <v/>
      </c>
      <c r="F44" s="55" t="s">
        <v>1682</v>
      </c>
      <c r="G44" s="55" t="str">
        <f>IF($A44=0,"",VLOOKUP($A44,'BASE MATERIAL'!$A:$D,4))</f>
        <v/>
      </c>
      <c r="H44" s="56" t="str">
        <f>IF($A44=0,"",ROUND(E44*F44,2))</f>
        <v/>
      </c>
      <c r="I44" s="5"/>
    </row>
    <row r="45" spans="1:16" s="4" customFormat="1" x14ac:dyDescent="0.25">
      <c r="A45" s="103"/>
      <c r="B45" s="73" t="s">
        <v>1681</v>
      </c>
      <c r="C45" s="65"/>
      <c r="D45" s="74"/>
      <c r="E45" s="74"/>
      <c r="F45" s="74"/>
      <c r="G45" s="74"/>
      <c r="H45" s="75">
        <f>ROUND(SUM(H28:H44),2)</f>
        <v>9.11</v>
      </c>
      <c r="I45" s="5"/>
    </row>
    <row r="46" spans="1:16" s="4" customFormat="1" x14ac:dyDescent="0.25">
      <c r="A46" s="103"/>
      <c r="B46" s="38" t="s">
        <v>1680</v>
      </c>
      <c r="C46" s="2"/>
      <c r="D46" s="3"/>
      <c r="E46" s="3"/>
      <c r="F46" s="3"/>
      <c r="G46" s="3"/>
      <c r="H46" s="56"/>
      <c r="I46" s="5"/>
    </row>
    <row r="47" spans="1:16" ht="25.5" x14ac:dyDescent="0.25">
      <c r="B47" s="64" t="s">
        <v>1409</v>
      </c>
      <c r="C47" s="65"/>
      <c r="D47" s="76"/>
      <c r="E47" s="66" t="s">
        <v>1408</v>
      </c>
      <c r="F47" s="66" t="s">
        <v>1679</v>
      </c>
      <c r="G47" s="66" t="s">
        <v>1676</v>
      </c>
      <c r="H47" s="68" t="s">
        <v>1675</v>
      </c>
      <c r="I47" s="2"/>
    </row>
    <row r="48" spans="1:16" s="4" customFormat="1" x14ac:dyDescent="0.25">
      <c r="A48" s="103">
        <v>19019</v>
      </c>
      <c r="B48" s="51" t="str">
        <f>IF($A48=0,"",VLOOKUP($A48,'BASE EQUIPO'!$A:$D,2))</f>
        <v>TRANSPORTE DE MATERIAL</v>
      </c>
      <c r="C48" s="52"/>
      <c r="D48" s="82"/>
      <c r="E48" s="78" t="str">
        <f>IF($A48=0,"",VLOOKUP($A48,'BASE EQUIPO'!$A:$D,3))</f>
        <v>GLOBAL</v>
      </c>
      <c r="F48" s="55">
        <v>1</v>
      </c>
      <c r="G48" s="83">
        <f>IF($A48=0,"",VLOOKUP($A48,'BASE EQUIPO'!$A:$D,4)*H45)</f>
        <v>0.27329999999999999</v>
      </c>
      <c r="H48" s="56">
        <f>IF($A48=0,"",ROUND(F48*G48,2))</f>
        <v>0.27</v>
      </c>
      <c r="I48" s="5"/>
    </row>
    <row r="49" spans="1:15" s="4" customFormat="1" x14ac:dyDescent="0.25">
      <c r="A49" s="103"/>
      <c r="B49" s="38" t="str">
        <f>IF($A49=0,"",VLOOKUP($A49,'BASE EQUIPO'!$A:$D,2))</f>
        <v/>
      </c>
      <c r="C49" s="2"/>
      <c r="D49" s="84"/>
      <c r="E49" s="78" t="str">
        <f>IF($A49=0,"",VLOOKUP($A49,'BASE EQUIPO'!$A:$D,3))</f>
        <v/>
      </c>
      <c r="F49" s="55"/>
      <c r="G49" s="55" t="str">
        <f>IF($A49=0,"",VLOOKUP($A49,'BASE EQUIPO'!$A:$D,4)*H46)</f>
        <v/>
      </c>
      <c r="H49" s="56" t="str">
        <f>IF($A49=0,"",ROUND(F49*G49,2))</f>
        <v/>
      </c>
      <c r="I49" s="5"/>
    </row>
    <row r="50" spans="1:15" s="4" customFormat="1" x14ac:dyDescent="0.25">
      <c r="A50" s="103"/>
      <c r="B50" s="57" t="str">
        <f>IF($A50=0,"",VLOOKUP($A50,'BASE EQUIPO'!$A:$D,2))</f>
        <v/>
      </c>
      <c r="C50" s="58"/>
      <c r="D50" s="85"/>
      <c r="E50" s="86" t="str">
        <f>IF($A50=0,"",VLOOKUP($A50,'BASE EQUIPO'!$A:$D,3))</f>
        <v/>
      </c>
      <c r="F50" s="59"/>
      <c r="G50" s="59" t="str">
        <f>IF($A50=0,"",VLOOKUP($A50,'BASE EQUIPO'!$A:$D,4)*H47)</f>
        <v/>
      </c>
      <c r="H50" s="60" t="str">
        <f>IF($A50=0,"",ROUND(F50*G50,2))</f>
        <v/>
      </c>
      <c r="I50" s="5"/>
    </row>
    <row r="51" spans="1:15" s="4" customFormat="1" ht="15.75" thickBot="1" x14ac:dyDescent="0.3">
      <c r="A51" s="103"/>
      <c r="B51" s="87" t="s">
        <v>1674</v>
      </c>
      <c r="C51" s="88"/>
      <c r="D51" s="89"/>
      <c r="E51" s="89"/>
      <c r="F51" s="89"/>
      <c r="G51" s="89"/>
      <c r="H51" s="90">
        <f>ROUND(SUM(H47:H50),2)</f>
        <v>0.27</v>
      </c>
      <c r="I51" s="5"/>
    </row>
    <row r="52" spans="1:15" s="4" customFormat="1" ht="15.75" x14ac:dyDescent="0.25">
      <c r="A52" s="103"/>
      <c r="B52" s="2"/>
      <c r="C52" s="2"/>
      <c r="D52" s="91" t="s">
        <v>1673</v>
      </c>
      <c r="E52" s="177"/>
      <c r="F52" s="177"/>
      <c r="G52" s="177"/>
      <c r="H52" s="92">
        <f>ROUND(SUM(H51,H45,H26,H16),2)</f>
        <v>14.59</v>
      </c>
      <c r="I52" s="5"/>
    </row>
    <row r="53" spans="1:15" s="4" customFormat="1" ht="15.75" x14ac:dyDescent="0.25">
      <c r="A53" s="103">
        <v>40002</v>
      </c>
      <c r="B53" s="2"/>
      <c r="C53" s="2"/>
      <c r="D53" s="93" t="s">
        <v>1672</v>
      </c>
      <c r="E53" s="166"/>
      <c r="F53" s="166"/>
      <c r="G53" s="178">
        <f>IF($A53=0,"",VLOOKUP($A53,'BASE MATERIAL'!$M:$P,4))</f>
        <v>0</v>
      </c>
      <c r="H53" s="95">
        <f>IF($A53=0,"",ROUND(G53*H52,2))</f>
        <v>0</v>
      </c>
      <c r="I53" s="5"/>
    </row>
    <row r="54" spans="1:15" s="4" customFormat="1" ht="15.75" x14ac:dyDescent="0.25">
      <c r="A54" s="103">
        <v>40003</v>
      </c>
      <c r="B54" s="2"/>
      <c r="C54" s="2"/>
      <c r="D54" s="93" t="s">
        <v>1671</v>
      </c>
      <c r="E54" s="166"/>
      <c r="F54" s="166"/>
      <c r="G54" s="178">
        <f>IF($A54=0,"",VLOOKUP($A54,'BASE MATERIAL'!$M:$P,4))</f>
        <v>0</v>
      </c>
      <c r="H54" s="95">
        <f>IF($A54=0,"",ROUND(G54*H52,2))</f>
        <v>0</v>
      </c>
      <c r="I54" s="5"/>
    </row>
    <row r="55" spans="1:15" s="4" customFormat="1" ht="15.75" x14ac:dyDescent="0.25">
      <c r="A55" s="103"/>
      <c r="B55" s="2"/>
      <c r="C55" s="2"/>
      <c r="D55" s="93" t="s">
        <v>1670</v>
      </c>
      <c r="E55" s="166"/>
      <c r="F55" s="166"/>
      <c r="G55" s="166"/>
      <c r="H55" s="96">
        <f>ROUND(SUM(H52:H54),2)</f>
        <v>14.59</v>
      </c>
      <c r="I55" s="5"/>
    </row>
    <row r="56" spans="1:15" s="4" customFormat="1" ht="16.5" thickBot="1" x14ac:dyDescent="0.3">
      <c r="A56" s="103"/>
      <c r="B56" s="25"/>
      <c r="C56" s="5"/>
      <c r="D56" s="97" t="s">
        <v>1650</v>
      </c>
      <c r="E56" s="179"/>
      <c r="F56" s="179"/>
      <c r="G56" s="179"/>
      <c r="H56" s="98">
        <f>ROUND(H55,2)</f>
        <v>14.59</v>
      </c>
      <c r="I56" s="5"/>
    </row>
    <row r="57" spans="1:15" ht="15.75" x14ac:dyDescent="0.25">
      <c r="B57" s="34" t="s">
        <v>1701</v>
      </c>
      <c r="C57" s="5"/>
      <c r="D57" s="157" t="str">
        <f>'1.1'!$D$1</f>
        <v>ESPOL</v>
      </c>
      <c r="E57" s="2"/>
      <c r="F57" s="2"/>
      <c r="H57" s="2" t="s">
        <v>108</v>
      </c>
      <c r="I57" s="2"/>
      <c r="L57" s="40">
        <f>A61</f>
        <v>5</v>
      </c>
      <c r="M57" s="2" t="str">
        <f>C62</f>
        <v>Pared mamposteria bloque e= 14cm</v>
      </c>
      <c r="N57" s="2" t="str">
        <f>H61</f>
        <v>m2</v>
      </c>
      <c r="O57" s="2">
        <f>H112</f>
        <v>14.58</v>
      </c>
    </row>
    <row r="58" spans="1:15" s="4" customFormat="1" ht="15.75" x14ac:dyDescent="0.25">
      <c r="A58" s="103"/>
      <c r="B58" s="34" t="s">
        <v>1700</v>
      </c>
      <c r="C58" s="3">
        <f>'1.1'!$C$2</f>
        <v>0</v>
      </c>
      <c r="D58" s="5"/>
      <c r="E58" s="5"/>
      <c r="F58" s="5"/>
      <c r="G58" s="158" t="s">
        <v>1699</v>
      </c>
      <c r="H58" s="159"/>
      <c r="I58" s="5" t="s">
        <v>1698</v>
      </c>
    </row>
    <row r="59" spans="1:15" s="4" customFormat="1" ht="15.75" x14ac:dyDescent="0.25">
      <c r="A59" s="103"/>
      <c r="B59" s="34"/>
      <c r="C59" s="3">
        <f>'1.1'!$C$3</f>
        <v>0</v>
      </c>
      <c r="D59" s="5"/>
      <c r="E59" s="5"/>
      <c r="F59" s="5"/>
      <c r="G59" s="5"/>
      <c r="H59" s="5"/>
      <c r="I59" s="5"/>
    </row>
    <row r="60" spans="1:15" s="4" customFormat="1" ht="15.75" x14ac:dyDescent="0.25">
      <c r="A60" s="103"/>
      <c r="B60" s="34" t="s">
        <v>1697</v>
      </c>
      <c r="C60" s="3"/>
      <c r="D60" s="5"/>
      <c r="E60" s="5"/>
      <c r="F60" s="5"/>
      <c r="G60" s="5"/>
      <c r="H60" s="5"/>
      <c r="I60" s="5"/>
    </row>
    <row r="61" spans="1:15" x14ac:dyDescent="0.25">
      <c r="A61" s="104">
        <v>5</v>
      </c>
      <c r="B61" s="2" t="s">
        <v>1586</v>
      </c>
      <c r="C61" s="36" t="s">
        <v>1556</v>
      </c>
      <c r="D61" s="5"/>
      <c r="E61" s="4"/>
      <c r="F61" s="4"/>
      <c r="G61" s="5" t="s">
        <v>1696</v>
      </c>
      <c r="H61" s="157" t="s">
        <v>1520</v>
      </c>
      <c r="I61" s="2"/>
    </row>
    <row r="62" spans="1:15" s="4" customFormat="1" x14ac:dyDescent="0.25">
      <c r="A62" s="103"/>
      <c r="B62" s="1" t="s">
        <v>1585</v>
      </c>
      <c r="C62" s="36" t="s">
        <v>1110</v>
      </c>
      <c r="D62" s="5"/>
      <c r="E62" s="5"/>
      <c r="F62" s="5"/>
      <c r="G62" s="5"/>
      <c r="H62" s="5"/>
      <c r="I62" s="5"/>
    </row>
    <row r="63" spans="1:15" ht="15.75" thickBot="1" x14ac:dyDescent="0.3">
      <c r="D63" s="2"/>
      <c r="E63" s="2"/>
      <c r="F63" s="2"/>
      <c r="G63" s="2"/>
      <c r="H63" s="2"/>
      <c r="I63" s="2"/>
    </row>
    <row r="64" spans="1:15" ht="15.75" thickBot="1" x14ac:dyDescent="0.3">
      <c r="B64" s="43" t="s">
        <v>1695</v>
      </c>
      <c r="C64" s="44"/>
      <c r="D64" s="44"/>
      <c r="E64" s="44"/>
      <c r="F64" s="44"/>
      <c r="G64" s="44"/>
      <c r="H64" s="45"/>
      <c r="I64" s="2"/>
    </row>
    <row r="65" spans="1:9" ht="25.5" x14ac:dyDescent="0.25">
      <c r="B65" s="46" t="s">
        <v>1409</v>
      </c>
      <c r="C65" s="47"/>
      <c r="D65" s="48" t="s">
        <v>1690</v>
      </c>
      <c r="E65" s="48" t="s">
        <v>1694</v>
      </c>
      <c r="F65" s="48" t="s">
        <v>1693</v>
      </c>
      <c r="G65" s="49" t="s">
        <v>1687</v>
      </c>
      <c r="H65" s="50" t="s">
        <v>1686</v>
      </c>
      <c r="I65" s="2"/>
    </row>
    <row r="66" spans="1:9" s="4" customFormat="1" x14ac:dyDescent="0.25">
      <c r="A66" s="103">
        <v>19015</v>
      </c>
      <c r="B66" s="51" t="str">
        <f>IF($A66=0,"",VLOOKUP($A66,'BASE EQUIPO'!$A:$D,2))</f>
        <v>HERRAMIENTA MENOR</v>
      </c>
      <c r="C66" s="52"/>
      <c r="D66" s="53">
        <v>1</v>
      </c>
      <c r="E66" s="53">
        <f>IF($A66=0,"",VLOOKUP($A66,'BASE EQUIPO'!$A:$D,4)*H82)</f>
        <v>0.13350000000000001</v>
      </c>
      <c r="F66" s="53">
        <f t="shared" ref="F66:F71" si="5">IF($A66=0,"",ROUND(D66*E66,2))</f>
        <v>0.13</v>
      </c>
      <c r="G66" s="105">
        <v>1</v>
      </c>
      <c r="H66" s="54">
        <f t="shared" ref="H66:H71" si="6">IF($A66=0,"",ROUND(G66*F66,2))</f>
        <v>0.13</v>
      </c>
      <c r="I66" s="5"/>
    </row>
    <row r="67" spans="1:9" s="4" customFormat="1" x14ac:dyDescent="0.25">
      <c r="A67" s="103">
        <v>19025</v>
      </c>
      <c r="B67" s="38" t="str">
        <f>IF($A67=0,"",VLOOKUP($A67,'BASE EQUIPO'!$A:$D,2))</f>
        <v xml:space="preserve">ANDAMIOS </v>
      </c>
      <c r="C67" s="2"/>
      <c r="D67" s="55">
        <v>1</v>
      </c>
      <c r="E67" s="55">
        <f>IF($A67=0,"",VLOOKUP($A67,'BASE EQUIPO'!$A:$D,4))</f>
        <v>5.54</v>
      </c>
      <c r="F67" s="55">
        <f t="shared" si="5"/>
        <v>5.54</v>
      </c>
      <c r="G67" s="106">
        <v>0.1</v>
      </c>
      <c r="H67" s="56">
        <f t="shared" si="6"/>
        <v>0.55000000000000004</v>
      </c>
      <c r="I67" s="5"/>
    </row>
    <row r="68" spans="1:9" s="4" customFormat="1" x14ac:dyDescent="0.25">
      <c r="A68" s="103"/>
      <c r="B68" s="38" t="str">
        <f>IF($A68=0,"",VLOOKUP($A68,'BASE EQUIPO'!$A:$D,2))</f>
        <v/>
      </c>
      <c r="C68" s="2"/>
      <c r="D68" s="55"/>
      <c r="E68" s="55" t="str">
        <f>IF($A68=0,"",VLOOKUP($A68,'BASE EQUIPO'!$A:$D,4))</f>
        <v/>
      </c>
      <c r="F68" s="55" t="str">
        <f t="shared" si="5"/>
        <v/>
      </c>
      <c r="G68" s="106"/>
      <c r="H68" s="56" t="str">
        <f t="shared" si="6"/>
        <v/>
      </c>
      <c r="I68" s="5"/>
    </row>
    <row r="69" spans="1:9" s="4" customFormat="1" x14ac:dyDescent="0.25">
      <c r="A69" s="103"/>
      <c r="B69" s="38" t="str">
        <f>IF($A69=0,"",VLOOKUP($A69,'BASE EQUIPO'!$A:$D,2))</f>
        <v/>
      </c>
      <c r="C69" s="2"/>
      <c r="D69" s="55"/>
      <c r="E69" s="55" t="str">
        <f>IF($A69=0,"",VLOOKUP($A69,'BASE EQUIPO'!$A:$D,4))</f>
        <v/>
      </c>
      <c r="F69" s="55" t="str">
        <f t="shared" si="5"/>
        <v/>
      </c>
      <c r="G69" s="106"/>
      <c r="H69" s="56" t="str">
        <f t="shared" si="6"/>
        <v/>
      </c>
      <c r="I69" s="5"/>
    </row>
    <row r="70" spans="1:9" s="4" customFormat="1" x14ac:dyDescent="0.25">
      <c r="A70" s="103"/>
      <c r="B70" s="38" t="str">
        <f>IF($A70=0,"",VLOOKUP($A70,'BASE EQUIPO'!$A:$D,2))</f>
        <v/>
      </c>
      <c r="C70" s="2"/>
      <c r="D70" s="55"/>
      <c r="E70" s="55" t="str">
        <f>IF($A70=0,"",VLOOKUP($A70,'BASE EQUIPO'!$A:$D,4))</f>
        <v/>
      </c>
      <c r="F70" s="55" t="str">
        <f t="shared" si="5"/>
        <v/>
      </c>
      <c r="G70" s="106"/>
      <c r="H70" s="56" t="str">
        <f t="shared" si="6"/>
        <v/>
      </c>
      <c r="I70" s="5"/>
    </row>
    <row r="71" spans="1:9" s="4" customFormat="1" x14ac:dyDescent="0.25">
      <c r="A71" s="103"/>
      <c r="B71" s="57" t="str">
        <f>IF($A71=0,"",VLOOKUP($A71,'BASE EQUIPO'!$A:$D,2))</f>
        <v/>
      </c>
      <c r="C71" s="58"/>
      <c r="D71" s="59"/>
      <c r="E71" s="59" t="str">
        <f>IF($A71=0,"",VLOOKUP($A71,'BASE EQUIPO'!$A:$D,4))</f>
        <v/>
      </c>
      <c r="F71" s="59" t="str">
        <f t="shared" si="5"/>
        <v/>
      </c>
      <c r="G71" s="107"/>
      <c r="H71" s="60" t="str">
        <f t="shared" si="6"/>
        <v/>
      </c>
      <c r="I71" s="5"/>
    </row>
    <row r="72" spans="1:9" s="4" customFormat="1" x14ac:dyDescent="0.25">
      <c r="A72" s="103"/>
      <c r="B72" s="57" t="s">
        <v>1692</v>
      </c>
      <c r="C72" s="58"/>
      <c r="D72" s="61"/>
      <c r="E72" s="61"/>
      <c r="F72" s="61"/>
      <c r="G72" s="62"/>
      <c r="H72" s="60">
        <f>ROUND(SUM(H65:H71),2)</f>
        <v>0.68</v>
      </c>
      <c r="I72" s="5"/>
    </row>
    <row r="73" spans="1:9" s="4" customFormat="1" x14ac:dyDescent="0.25">
      <c r="A73" s="103"/>
      <c r="B73" s="38" t="s">
        <v>1503</v>
      </c>
      <c r="C73" s="2"/>
      <c r="D73" s="3"/>
      <c r="E73" s="3"/>
      <c r="F73" s="3"/>
      <c r="G73" s="63"/>
      <c r="H73" s="56"/>
      <c r="I73" s="5"/>
    </row>
    <row r="74" spans="1:9" ht="25.5" x14ac:dyDescent="0.25">
      <c r="B74" s="64" t="s">
        <v>1691</v>
      </c>
      <c r="C74" s="65"/>
      <c r="D74" s="66" t="s">
        <v>1690</v>
      </c>
      <c r="E74" s="66" t="s">
        <v>1689</v>
      </c>
      <c r="F74" s="66" t="s">
        <v>1688</v>
      </c>
      <c r="G74" s="67" t="s">
        <v>1687</v>
      </c>
      <c r="H74" s="68" t="s">
        <v>1686</v>
      </c>
      <c r="I74" s="2"/>
    </row>
    <row r="75" spans="1:9" s="4" customFormat="1" x14ac:dyDescent="0.25">
      <c r="A75" s="103">
        <v>20001</v>
      </c>
      <c r="B75" s="69" t="str">
        <f>IF($A75=0,"",VLOOKUP($A75,'BASE M-OBRA'!$A:$D,2))</f>
        <v>MAESTRO</v>
      </c>
      <c r="C75" s="2"/>
      <c r="D75" s="108">
        <v>1</v>
      </c>
      <c r="E75" s="70">
        <f>IF($A75=0,"",VLOOKUP($A75,'BASE M-OBRA'!$A:$D,4))</f>
        <v>3.02</v>
      </c>
      <c r="F75" s="55">
        <f t="shared" ref="F75:F81" si="7">IF($A75=0,"",ROUND(D75*E75,2))</f>
        <v>3.02</v>
      </c>
      <c r="G75" s="106">
        <f>IF($A75=0,"",ROUND(H75/F75,2))</f>
        <v>0.25</v>
      </c>
      <c r="H75" s="56">
        <f>IF($A75=0,"",ROUND(SUM(H76:H81)*'BASE M-OBRA'!$D$23,2))</f>
        <v>0.74</v>
      </c>
      <c r="I75" s="5"/>
    </row>
    <row r="76" spans="1:9" s="4" customFormat="1" x14ac:dyDescent="0.25">
      <c r="A76" s="103">
        <v>20002</v>
      </c>
      <c r="B76" s="69" t="str">
        <f>IF($A76=0,"",VLOOKUP($A76,'BASE M-OBRA'!$A:$D,2))</f>
        <v>PEON</v>
      </c>
      <c r="C76" s="2"/>
      <c r="D76" s="108">
        <v>2</v>
      </c>
      <c r="E76" s="70">
        <f>IF($A76=0,"",VLOOKUP($A76,'BASE M-OBRA'!$A:$D,4))</f>
        <v>2.79</v>
      </c>
      <c r="F76" s="55">
        <f t="shared" si="7"/>
        <v>5.58</v>
      </c>
      <c r="G76" s="106">
        <v>0.22</v>
      </c>
      <c r="H76" s="56">
        <f t="shared" ref="H76:H81" si="8">IF($A76=0,"",ROUND(G76*F76,2))</f>
        <v>1.23</v>
      </c>
      <c r="I76" s="5"/>
    </row>
    <row r="77" spans="1:9" s="4" customFormat="1" x14ac:dyDescent="0.25">
      <c r="A77" s="103">
        <v>20003</v>
      </c>
      <c r="B77" s="69" t="str">
        <f>IF($A77=0,"",VLOOKUP($A77,'BASE M-OBRA'!$A:$D,2))</f>
        <v>ALBAÑIL</v>
      </c>
      <c r="C77" s="2"/>
      <c r="D77" s="108">
        <v>4</v>
      </c>
      <c r="E77" s="70">
        <f>IF($A77=0,"",VLOOKUP($A77,'BASE M-OBRA'!$A:$D,4))</f>
        <v>2.82</v>
      </c>
      <c r="F77" s="55">
        <f t="shared" si="7"/>
        <v>11.28</v>
      </c>
      <c r="G77" s="106">
        <f>+G76</f>
        <v>0.22</v>
      </c>
      <c r="H77" s="56">
        <f t="shared" si="8"/>
        <v>2.48</v>
      </c>
      <c r="I77" s="5"/>
    </row>
    <row r="78" spans="1:9" s="4" customFormat="1" x14ac:dyDescent="0.25">
      <c r="A78" s="103"/>
      <c r="B78" s="71" t="str">
        <f>IF($A78=0,"",VLOOKUP($A78,'BASE M-OBRA'!$A:$D,2))</f>
        <v/>
      </c>
      <c r="C78" s="2"/>
      <c r="D78" s="108"/>
      <c r="E78" s="70" t="str">
        <f>IF($A78=0,"",VLOOKUP($A78,'BASE M-OBRA'!$A:$D,4))</f>
        <v/>
      </c>
      <c r="F78" s="55" t="str">
        <f t="shared" si="7"/>
        <v/>
      </c>
      <c r="G78" s="106"/>
      <c r="H78" s="56" t="str">
        <f t="shared" si="8"/>
        <v/>
      </c>
      <c r="I78" s="5"/>
    </row>
    <row r="79" spans="1:9" s="4" customFormat="1" x14ac:dyDescent="0.25">
      <c r="A79" s="103"/>
      <c r="B79" s="72" t="str">
        <f>IF($A79=0,"",VLOOKUP($A79,'BASE M-OBRA'!$A:$D,2))</f>
        <v/>
      </c>
      <c r="C79" s="2"/>
      <c r="D79" s="108"/>
      <c r="E79" s="70" t="str">
        <f>IF($A79=0,"",VLOOKUP($A79,'BASE M-OBRA'!$A:$D,4))</f>
        <v/>
      </c>
      <c r="F79" s="55" t="str">
        <f t="shared" si="7"/>
        <v/>
      </c>
      <c r="G79" s="106"/>
      <c r="H79" s="56" t="str">
        <f t="shared" si="8"/>
        <v/>
      </c>
      <c r="I79" s="5"/>
    </row>
    <row r="80" spans="1:9" s="4" customFormat="1" x14ac:dyDescent="0.25">
      <c r="A80" s="103"/>
      <c r="B80" s="38" t="str">
        <f>IF($A80=0,"",VLOOKUP($A80,'BASE M-OBRA'!$A:$D,2))</f>
        <v/>
      </c>
      <c r="C80" s="2"/>
      <c r="D80" s="55"/>
      <c r="E80" s="55" t="str">
        <f>IF($A80=0,"",VLOOKUP($A80,'BASE M-OBRA'!$A:$D,4))</f>
        <v/>
      </c>
      <c r="F80" s="55" t="str">
        <f t="shared" si="7"/>
        <v/>
      </c>
      <c r="G80" s="106"/>
      <c r="H80" s="56" t="str">
        <f t="shared" si="8"/>
        <v/>
      </c>
      <c r="I80" s="5"/>
    </row>
    <row r="81" spans="1:16" s="4" customFormat="1" x14ac:dyDescent="0.25">
      <c r="A81" s="103"/>
      <c r="B81" s="57" t="str">
        <f>IF($A81=0,"",VLOOKUP($A81,'BASE M-OBRA'!$A:$D,2))</f>
        <v/>
      </c>
      <c r="C81" s="58"/>
      <c r="D81" s="59"/>
      <c r="E81" s="59" t="str">
        <f>IF($A81=0,"",VLOOKUP($A81,'BASE M-OBRA'!$A:$D,4))</f>
        <v/>
      </c>
      <c r="F81" s="59" t="str">
        <f t="shared" si="7"/>
        <v/>
      </c>
      <c r="G81" s="107"/>
      <c r="H81" s="60" t="str">
        <f t="shared" si="8"/>
        <v/>
      </c>
      <c r="I81" s="5"/>
    </row>
    <row r="82" spans="1:16" s="4" customFormat="1" x14ac:dyDescent="0.25">
      <c r="A82" s="103"/>
      <c r="B82" s="73" t="s">
        <v>1685</v>
      </c>
      <c r="C82" s="65"/>
      <c r="D82" s="74"/>
      <c r="E82" s="74"/>
      <c r="F82" s="74"/>
      <c r="G82" s="74"/>
      <c r="H82" s="75">
        <f>ROUND(SUM(H74:H81),2)</f>
        <v>4.45</v>
      </c>
      <c r="I82" s="5"/>
    </row>
    <row r="83" spans="1:16" s="4" customFormat="1" x14ac:dyDescent="0.25">
      <c r="A83" s="103"/>
      <c r="B83" s="38" t="s">
        <v>1684</v>
      </c>
      <c r="C83" s="2"/>
      <c r="D83" s="3"/>
      <c r="E83" s="3"/>
      <c r="F83" s="3"/>
      <c r="G83" s="3"/>
      <c r="H83" s="56"/>
      <c r="I83" s="5"/>
    </row>
    <row r="84" spans="1:16" ht="25.5" x14ac:dyDescent="0.25">
      <c r="B84" s="64" t="s">
        <v>1409</v>
      </c>
      <c r="C84" s="65"/>
      <c r="D84" s="76"/>
      <c r="E84" s="66" t="s">
        <v>1408</v>
      </c>
      <c r="F84" s="66" t="s">
        <v>1679</v>
      </c>
      <c r="G84" s="66" t="s">
        <v>1683</v>
      </c>
      <c r="H84" s="68" t="s">
        <v>1675</v>
      </c>
      <c r="I84" s="2"/>
    </row>
    <row r="85" spans="1:16" s="4" customFormat="1" x14ac:dyDescent="0.25">
      <c r="A85" s="103">
        <v>4001</v>
      </c>
      <c r="B85" s="38" t="str">
        <f>IF($A85=0,"",VLOOKUP($A85,'BASE MATERIAL'!$A:$D,2))</f>
        <v>CEMENTO</v>
      </c>
      <c r="C85" s="2"/>
      <c r="D85" s="77"/>
      <c r="E85" s="78" t="str">
        <f>IF($A85=0,"",VLOOKUP($A85,'BASE MATERIAL'!$A:$D,3))</f>
        <v>SACO</v>
      </c>
      <c r="F85" s="55">
        <f>ROUND(8*0.14*0.025*10*1.1,3)</f>
        <v>0.308</v>
      </c>
      <c r="G85" s="55">
        <f>IF($A85=0,"",VLOOKUP($A85,'BASE MATERIAL'!$A:$D,4))</f>
        <v>7.09</v>
      </c>
      <c r="H85" s="56">
        <f t="shared" ref="H85:H99" si="9">IF($A85=0,"",ROUND(F85*G85,2))</f>
        <v>2.1800000000000002</v>
      </c>
      <c r="I85" s="5"/>
      <c r="L85" s="5"/>
      <c r="M85" s="5"/>
      <c r="N85" s="160"/>
      <c r="O85" s="5"/>
      <c r="P85" s="5"/>
    </row>
    <row r="86" spans="1:16" s="4" customFormat="1" x14ac:dyDescent="0.25">
      <c r="A86" s="103">
        <v>5004</v>
      </c>
      <c r="B86" s="38" t="str">
        <f>IF($A86=0,"",VLOOKUP($A86,'BASE MATERIAL'!$A:$D,2))</f>
        <v>ARENA</v>
      </c>
      <c r="C86" s="2"/>
      <c r="D86" s="77"/>
      <c r="E86" s="78" t="str">
        <f>IF($A86=0,"",VLOOKUP($A86,'BASE MATERIAL'!$A:$D,3))</f>
        <v>M3</v>
      </c>
      <c r="F86" s="55">
        <f>ROUND(F85*0.032*3,2)</f>
        <v>0.03</v>
      </c>
      <c r="G86" s="55">
        <f>IF($A86=0,"",VLOOKUP($A86,'BASE MATERIAL'!$A:$D,4))</f>
        <v>12.276249999999999</v>
      </c>
      <c r="H86" s="56">
        <f t="shared" si="9"/>
        <v>0.37</v>
      </c>
      <c r="I86" s="5"/>
      <c r="L86" s="5"/>
      <c r="M86" s="5"/>
      <c r="N86" s="160"/>
      <c r="O86" s="5"/>
      <c r="P86" s="5"/>
    </row>
    <row r="87" spans="1:16" s="4" customFormat="1" x14ac:dyDescent="0.25">
      <c r="A87" s="103">
        <v>5005</v>
      </c>
      <c r="B87" s="38" t="str">
        <f>IF($A87=0,"",VLOOKUP($A87,'BASE MATERIAL'!$A:$D,2))</f>
        <v>AGUA</v>
      </c>
      <c r="C87" s="2"/>
      <c r="D87" s="77"/>
      <c r="E87" s="78" t="str">
        <f>IF($A87=0,"",VLOOKUP($A87,'BASE MATERIAL'!$A:$D,3))</f>
        <v>LT</v>
      </c>
      <c r="F87" s="55">
        <f>ROUND(30*F85,2)</f>
        <v>9.24</v>
      </c>
      <c r="G87" s="112">
        <f>IF($A87=0,"",VLOOKUP($A87,'BASE MATERIAL'!$A:$D,4))</f>
        <v>2E-3</v>
      </c>
      <c r="H87" s="56">
        <f t="shared" si="9"/>
        <v>0.02</v>
      </c>
      <c r="I87" s="5"/>
      <c r="L87" s="5"/>
      <c r="M87" s="5"/>
      <c r="N87" s="160"/>
      <c r="O87" s="5"/>
      <c r="P87" s="5"/>
    </row>
    <row r="88" spans="1:16" s="4" customFormat="1" x14ac:dyDescent="0.25">
      <c r="A88" s="103">
        <v>8006</v>
      </c>
      <c r="B88" s="38" t="str">
        <f>IF($A88=0,"",VLOOKUP($A88,'BASE MATERIAL'!$A:$D,2))</f>
        <v>BLOQUE DE CONCRETO 14x19x39 PL14</v>
      </c>
      <c r="C88" s="2"/>
      <c r="D88" s="77"/>
      <c r="E88" s="78" t="str">
        <f>IF($A88=0,"",VLOOKUP($A88,'BASE MATERIAL'!$A:$D,3))</f>
        <v>U</v>
      </c>
      <c r="F88" s="55">
        <v>12.5</v>
      </c>
      <c r="G88" s="55">
        <f>IF($A88=0,"",VLOOKUP($A88,'BASE MATERIAL'!$A:$D,4))</f>
        <v>0.5</v>
      </c>
      <c r="H88" s="56">
        <f t="shared" si="9"/>
        <v>6.25</v>
      </c>
      <c r="I88" s="5"/>
      <c r="L88" s="5"/>
      <c r="M88" s="5"/>
      <c r="N88" s="160"/>
      <c r="O88" s="5"/>
      <c r="P88" s="5"/>
    </row>
    <row r="89" spans="1:16" s="4" customFormat="1" x14ac:dyDescent="0.25">
      <c r="A89" s="103">
        <v>1001</v>
      </c>
      <c r="B89" s="38" t="str">
        <f>IF($A89=0,"",VLOOKUP($A89,'BASE MATERIAL'!$A:$D,2))</f>
        <v>HIERRO</v>
      </c>
      <c r="C89" s="2"/>
      <c r="D89" s="77"/>
      <c r="E89" s="78" t="str">
        <f>IF($A89=0,"",VLOOKUP($A89,'BASE MATERIAL'!$A:$D,3))</f>
        <v>KG</v>
      </c>
      <c r="F89" s="55">
        <v>0.3</v>
      </c>
      <c r="G89" s="55">
        <f>IF($A89=0,"",VLOOKUP($A89,'BASE MATERIAL'!$A:$D,4))</f>
        <v>1.17</v>
      </c>
      <c r="H89" s="56">
        <f t="shared" si="9"/>
        <v>0.35</v>
      </c>
      <c r="I89" s="5"/>
      <c r="L89" s="5"/>
      <c r="M89" s="5"/>
      <c r="N89" s="160"/>
      <c r="O89" s="5"/>
      <c r="P89" s="5"/>
    </row>
    <row r="90" spans="1:16" s="4" customFormat="1" x14ac:dyDescent="0.25">
      <c r="A90" s="103"/>
      <c r="B90" s="38" t="str">
        <f>IF($A90=0,"",VLOOKUP($A90,'BASE MATERIAL'!$A:$D,2))</f>
        <v/>
      </c>
      <c r="C90" s="2"/>
      <c r="D90" s="77"/>
      <c r="E90" s="78" t="str">
        <f>IF($A90=0,"",VLOOKUP($A90,'BASE MATERIAL'!$A:$D,3))</f>
        <v/>
      </c>
      <c r="F90" s="55"/>
      <c r="G90" s="55" t="str">
        <f>IF($A90=0,"",VLOOKUP($A90,'BASE MATERIAL'!$A:$D,4))</f>
        <v/>
      </c>
      <c r="H90" s="56" t="str">
        <f t="shared" si="9"/>
        <v/>
      </c>
      <c r="I90" s="5"/>
      <c r="L90" s="5"/>
      <c r="M90" s="5"/>
      <c r="N90" s="160"/>
      <c r="O90" s="5"/>
      <c r="P90" s="5"/>
    </row>
    <row r="91" spans="1:16" s="4" customFormat="1" x14ac:dyDescent="0.25">
      <c r="A91" s="103"/>
      <c r="B91" s="38" t="str">
        <f>IF($A91=0,"",VLOOKUP($A91,'BASE MATERIAL'!$A:$D,2))</f>
        <v/>
      </c>
      <c r="C91" s="2"/>
      <c r="D91" s="77"/>
      <c r="E91" s="78" t="str">
        <f>IF($A91=0,"",VLOOKUP($A91,'BASE MATERIAL'!$A:$D,3))</f>
        <v/>
      </c>
      <c r="F91" s="55"/>
      <c r="G91" s="55" t="str">
        <f>IF($A91=0,"",VLOOKUP($A91,'BASE MATERIAL'!$A:$D,4))</f>
        <v/>
      </c>
      <c r="H91" s="56" t="str">
        <f t="shared" si="9"/>
        <v/>
      </c>
      <c r="I91" s="5"/>
      <c r="L91" s="5"/>
      <c r="M91" s="5"/>
      <c r="N91" s="160"/>
      <c r="O91" s="5"/>
      <c r="P91" s="5"/>
    </row>
    <row r="92" spans="1:16" s="4" customFormat="1" x14ac:dyDescent="0.25">
      <c r="A92" s="103"/>
      <c r="B92" s="38" t="str">
        <f>IF($A92=0,"",VLOOKUP($A92,'BASE MATERIAL'!$A:$D,2))</f>
        <v/>
      </c>
      <c r="C92" s="2"/>
      <c r="D92" s="77"/>
      <c r="E92" s="78" t="str">
        <f>IF($A92=0,"",VLOOKUP($A92,'BASE MATERIAL'!$A:$D,3))</f>
        <v/>
      </c>
      <c r="F92" s="55"/>
      <c r="G92" s="55" t="str">
        <f>IF($A92=0,"",VLOOKUP($A92,'BASE MATERIAL'!$A:$D,4))</f>
        <v/>
      </c>
      <c r="H92" s="56" t="str">
        <f t="shared" si="9"/>
        <v/>
      </c>
      <c r="I92" s="5"/>
      <c r="L92" s="5"/>
      <c r="M92" s="5"/>
      <c r="N92" s="160"/>
      <c r="O92" s="5"/>
      <c r="P92" s="5"/>
    </row>
    <row r="93" spans="1:16" s="4" customFormat="1" x14ac:dyDescent="0.25">
      <c r="A93" s="103"/>
      <c r="B93" s="38" t="str">
        <f>IF($A93=0,"",VLOOKUP($A93,'BASE MATERIAL'!$A:$D,2))</f>
        <v/>
      </c>
      <c r="C93" s="2"/>
      <c r="D93" s="77"/>
      <c r="E93" s="78" t="str">
        <f>IF($A93=0,"",VLOOKUP($A93,'BASE MATERIAL'!$A:$D,3))</f>
        <v/>
      </c>
      <c r="F93" s="55"/>
      <c r="G93" s="55" t="str">
        <f>IF($A93=0,"",VLOOKUP($A93,'BASE MATERIAL'!$A:$D,4))</f>
        <v/>
      </c>
      <c r="H93" s="56" t="str">
        <f t="shared" si="9"/>
        <v/>
      </c>
      <c r="I93" s="5"/>
    </row>
    <row r="94" spans="1:16" s="4" customFormat="1" x14ac:dyDescent="0.25">
      <c r="A94" s="103"/>
      <c r="B94" s="38" t="str">
        <f>IF($A94=0,"",VLOOKUP($A94,'BASE MATERIAL'!$A:$D,2))</f>
        <v/>
      </c>
      <c r="C94" s="2"/>
      <c r="D94" s="77"/>
      <c r="E94" s="78" t="str">
        <f>IF($A94=0,"",VLOOKUP($A94,'BASE MATERIAL'!$A:$D,3))</f>
        <v/>
      </c>
      <c r="F94" s="55"/>
      <c r="G94" s="55" t="str">
        <f>IF($A94=0,"",VLOOKUP($A94,'BASE MATERIAL'!$A:$D,4))</f>
        <v/>
      </c>
      <c r="H94" s="56" t="str">
        <f t="shared" si="9"/>
        <v/>
      </c>
      <c r="I94" s="5"/>
      <c r="L94" s="5"/>
      <c r="M94" s="5"/>
      <c r="N94" s="160"/>
      <c r="O94" s="5"/>
      <c r="P94" s="5"/>
    </row>
    <row r="95" spans="1:16" s="4" customFormat="1" x14ac:dyDescent="0.25">
      <c r="A95" s="103"/>
      <c r="B95" s="38" t="str">
        <f>IF($A95=0,"",VLOOKUP($A95,'BASE MATERIAL'!$A:$D,2))</f>
        <v/>
      </c>
      <c r="C95" s="2"/>
      <c r="D95" s="77"/>
      <c r="E95" s="78" t="str">
        <f>IF($A95=0,"",VLOOKUP($A95,'BASE MATERIAL'!$A:$D,3))</f>
        <v/>
      </c>
      <c r="F95" s="55"/>
      <c r="G95" s="55" t="str">
        <f>IF($A95=0,"",VLOOKUP($A95,'BASE MATERIAL'!$A:$D,4))</f>
        <v/>
      </c>
      <c r="H95" s="56" t="str">
        <f t="shared" si="9"/>
        <v/>
      </c>
      <c r="I95" s="5"/>
      <c r="L95" s="5"/>
      <c r="M95" s="5"/>
      <c r="N95" s="160"/>
      <c r="O95" s="5"/>
      <c r="P95" s="5"/>
    </row>
    <row r="96" spans="1:16" s="4" customFormat="1" x14ac:dyDescent="0.25">
      <c r="A96" s="103"/>
      <c r="B96" s="38" t="str">
        <f>IF($A96=0,"",VLOOKUP($A96,'BASE MATERIAL'!$A:$D,2))</f>
        <v/>
      </c>
      <c r="C96" s="2"/>
      <c r="D96" s="77"/>
      <c r="E96" s="78" t="str">
        <f>IF($A96=0,"",VLOOKUP($A96,'BASE MATERIAL'!$A:$D,3))</f>
        <v/>
      </c>
      <c r="F96" s="55"/>
      <c r="G96" s="55" t="str">
        <f>IF($A96=0,"",VLOOKUP($A96,'BASE MATERIAL'!$A:$D,4))</f>
        <v/>
      </c>
      <c r="H96" s="56" t="str">
        <f t="shared" si="9"/>
        <v/>
      </c>
      <c r="I96" s="5"/>
    </row>
    <row r="97" spans="1:9" s="4" customFormat="1" x14ac:dyDescent="0.25">
      <c r="A97" s="103"/>
      <c r="B97" s="38" t="str">
        <f>IF($A97=0,"",VLOOKUP($A97,'BASE MATERIAL'!$A:$D,2))</f>
        <v/>
      </c>
      <c r="C97" s="2"/>
      <c r="D97" s="77"/>
      <c r="E97" s="78" t="str">
        <f>IF($A97=0,"",VLOOKUP($A97,'BASE MATERIAL'!$A:$D,3))</f>
        <v/>
      </c>
      <c r="F97" s="55"/>
      <c r="G97" s="55" t="str">
        <f>IF($A97=0,"",VLOOKUP($A97,'BASE MATERIAL'!$A:$D,4))</f>
        <v/>
      </c>
      <c r="H97" s="56" t="str">
        <f t="shared" si="9"/>
        <v/>
      </c>
      <c r="I97" s="5"/>
    </row>
    <row r="98" spans="1:9" s="4" customFormat="1" x14ac:dyDescent="0.25">
      <c r="A98" s="103"/>
      <c r="B98" s="38" t="str">
        <f>IF($A98=0,"",VLOOKUP($A98,'BASE MATERIAL'!$A:$D,2))</f>
        <v/>
      </c>
      <c r="C98" s="2"/>
      <c r="D98" s="77"/>
      <c r="E98" s="78" t="str">
        <f>IF($A98=0,"",VLOOKUP($A98,'BASE MATERIAL'!$A:$D,3))</f>
        <v/>
      </c>
      <c r="F98" s="55"/>
      <c r="G98" s="55" t="str">
        <f>IF($A98=0,"",VLOOKUP($A98,'BASE MATERIAL'!$A:$D,4))</f>
        <v/>
      </c>
      <c r="H98" s="56" t="str">
        <f t="shared" si="9"/>
        <v/>
      </c>
      <c r="I98" s="5"/>
    </row>
    <row r="99" spans="1:9" s="4" customFormat="1" x14ac:dyDescent="0.25">
      <c r="A99" s="103"/>
      <c r="B99" s="38" t="str">
        <f>IF($A99=0,"",VLOOKUP($A99,'BASE MATERIAL'!$A:$D,2))</f>
        <v/>
      </c>
      <c r="C99" s="2"/>
      <c r="D99" s="77"/>
      <c r="E99" s="78" t="str">
        <f>IF($A99=0,"",VLOOKUP($A99,'BASE MATERIAL'!$A:$D,3))</f>
        <v/>
      </c>
      <c r="F99" s="55"/>
      <c r="G99" s="55" t="str">
        <f>IF($A99=0,"",VLOOKUP($A99,'BASE MATERIAL'!$A:$D,4))</f>
        <v/>
      </c>
      <c r="H99" s="56" t="str">
        <f t="shared" si="9"/>
        <v/>
      </c>
      <c r="I99" s="5"/>
    </row>
    <row r="100" spans="1:9" s="4" customFormat="1" x14ac:dyDescent="0.25">
      <c r="A100" s="103"/>
      <c r="B100" s="38" t="str">
        <f>IF($A100=0,"",VLOOKUP($A100,'BASE MATERIAL'!$A:$D,2))</f>
        <v/>
      </c>
      <c r="C100" s="2"/>
      <c r="D100" s="81" t="s">
        <v>1682</v>
      </c>
      <c r="E100" s="55" t="str">
        <f>IF($A100=0,"",VLOOKUP($A100,'BASE MATERIAL'!$A:$D,3))</f>
        <v/>
      </c>
      <c r="F100" s="55" t="s">
        <v>1682</v>
      </c>
      <c r="G100" s="55" t="str">
        <f>IF($A100=0,"",VLOOKUP($A100,'BASE MATERIAL'!$A:$D,4))</f>
        <v/>
      </c>
      <c r="H100" s="56" t="str">
        <f>IF($A100=0,"",ROUND(E100*F100,2))</f>
        <v/>
      </c>
      <c r="I100" s="5"/>
    </row>
    <row r="101" spans="1:9" s="4" customFormat="1" x14ac:dyDescent="0.25">
      <c r="A101" s="103"/>
      <c r="B101" s="73" t="s">
        <v>1681</v>
      </c>
      <c r="C101" s="65"/>
      <c r="D101" s="74"/>
      <c r="E101" s="74"/>
      <c r="F101" s="74"/>
      <c r="G101" s="74"/>
      <c r="H101" s="75">
        <f>ROUND(SUM(H84:H100),2)</f>
        <v>9.17</v>
      </c>
      <c r="I101" s="5"/>
    </row>
    <row r="102" spans="1:9" s="4" customFormat="1" x14ac:dyDescent="0.25">
      <c r="A102" s="103"/>
      <c r="B102" s="38" t="s">
        <v>1680</v>
      </c>
      <c r="C102" s="2"/>
      <c r="D102" s="3"/>
      <c r="E102" s="3"/>
      <c r="F102" s="3"/>
      <c r="G102" s="3"/>
      <c r="H102" s="56"/>
      <c r="I102" s="5"/>
    </row>
    <row r="103" spans="1:9" ht="25.5" x14ac:dyDescent="0.25">
      <c r="B103" s="64" t="s">
        <v>1409</v>
      </c>
      <c r="C103" s="65"/>
      <c r="D103" s="76"/>
      <c r="E103" s="66" t="s">
        <v>1408</v>
      </c>
      <c r="F103" s="66" t="s">
        <v>1679</v>
      </c>
      <c r="G103" s="66" t="s">
        <v>1676</v>
      </c>
      <c r="H103" s="68" t="s">
        <v>1675</v>
      </c>
      <c r="I103" s="2"/>
    </row>
    <row r="104" spans="1:9" s="4" customFormat="1" x14ac:dyDescent="0.25">
      <c r="A104" s="103">
        <v>19019</v>
      </c>
      <c r="B104" s="51" t="str">
        <f>IF($A104=0,"",VLOOKUP($A104,'BASE EQUIPO'!$A:$D,2))</f>
        <v>TRANSPORTE DE MATERIAL</v>
      </c>
      <c r="C104" s="52"/>
      <c r="D104" s="82"/>
      <c r="E104" s="78" t="str">
        <f>IF($A104=0,"",VLOOKUP($A104,'BASE EQUIPO'!$A:$D,3))</f>
        <v>GLOBAL</v>
      </c>
      <c r="F104" s="55">
        <v>1</v>
      </c>
      <c r="G104" s="83">
        <f>IF($A104=0,"",VLOOKUP($A104,'BASE EQUIPO'!$A:$D,4)*H101)</f>
        <v>0.27510000000000001</v>
      </c>
      <c r="H104" s="56">
        <f>IF($A104=0,"",ROUND(F104*G104,2))</f>
        <v>0.28000000000000003</v>
      </c>
      <c r="I104" s="5"/>
    </row>
    <row r="105" spans="1:9" s="4" customFormat="1" x14ac:dyDescent="0.25">
      <c r="A105" s="103"/>
      <c r="B105" s="38" t="str">
        <f>IF($A105=0,"",VLOOKUP($A105,'BASE EQUIPO'!$A:$D,2))</f>
        <v/>
      </c>
      <c r="C105" s="2"/>
      <c r="D105" s="84"/>
      <c r="E105" s="78" t="str">
        <f>IF($A105=0,"",VLOOKUP($A105,'BASE EQUIPO'!$A:$D,3))</f>
        <v/>
      </c>
      <c r="F105" s="55"/>
      <c r="G105" s="55" t="str">
        <f>IF($A105=0,"",VLOOKUP($A105,'BASE EQUIPO'!$A:$D,4)*H102)</f>
        <v/>
      </c>
      <c r="H105" s="56" t="str">
        <f>IF($A105=0,"",ROUND(F105*G105,2))</f>
        <v/>
      </c>
      <c r="I105" s="5"/>
    </row>
    <row r="106" spans="1:9" s="4" customFormat="1" x14ac:dyDescent="0.25">
      <c r="A106" s="103"/>
      <c r="B106" s="57" t="str">
        <f>IF($A106=0,"",VLOOKUP($A106,'BASE EQUIPO'!$A:$D,2))</f>
        <v/>
      </c>
      <c r="C106" s="58"/>
      <c r="D106" s="85"/>
      <c r="E106" s="86" t="str">
        <f>IF($A106=0,"",VLOOKUP($A106,'BASE EQUIPO'!$A:$D,3))</f>
        <v/>
      </c>
      <c r="F106" s="59"/>
      <c r="G106" s="59" t="str">
        <f>IF($A106=0,"",VLOOKUP($A106,'BASE EQUIPO'!$A:$D,4)*H103)</f>
        <v/>
      </c>
      <c r="H106" s="60" t="str">
        <f>IF($A106=0,"",ROUND(F106*G106,2))</f>
        <v/>
      </c>
      <c r="I106" s="5"/>
    </row>
    <row r="107" spans="1:9" s="4" customFormat="1" ht="15.75" thickBot="1" x14ac:dyDescent="0.3">
      <c r="A107" s="103"/>
      <c r="B107" s="87" t="s">
        <v>1674</v>
      </c>
      <c r="C107" s="88"/>
      <c r="D107" s="89"/>
      <c r="E107" s="89"/>
      <c r="F107" s="89"/>
      <c r="G107" s="89"/>
      <c r="H107" s="90">
        <f>ROUND(SUM(H103:H106),2)</f>
        <v>0.28000000000000003</v>
      </c>
      <c r="I107" s="5"/>
    </row>
    <row r="108" spans="1:9" s="4" customFormat="1" ht="15.75" x14ac:dyDescent="0.25">
      <c r="A108" s="103"/>
      <c r="B108" s="2"/>
      <c r="C108" s="2"/>
      <c r="D108" s="91" t="s">
        <v>1673</v>
      </c>
      <c r="E108" s="177"/>
      <c r="F108" s="177"/>
      <c r="G108" s="177"/>
      <c r="H108" s="92">
        <f>ROUND(SUM(H107,H101,H82,H72),2)</f>
        <v>14.58</v>
      </c>
      <c r="I108" s="5"/>
    </row>
    <row r="109" spans="1:9" s="4" customFormat="1" ht="15.75" x14ac:dyDescent="0.25">
      <c r="A109" s="103">
        <v>40002</v>
      </c>
      <c r="B109" s="2"/>
      <c r="C109" s="2"/>
      <c r="D109" s="93" t="s">
        <v>1672</v>
      </c>
      <c r="E109" s="166"/>
      <c r="F109" s="166"/>
      <c r="G109" s="178">
        <f>IF($A109=0,"",VLOOKUP($A109,'BASE MATERIAL'!$M:$P,4))</f>
        <v>0</v>
      </c>
      <c r="H109" s="95">
        <f>IF($A109=0,"",ROUND(G109*H108,2))</f>
        <v>0</v>
      </c>
      <c r="I109" s="5"/>
    </row>
    <row r="110" spans="1:9" s="4" customFormat="1" ht="15.75" x14ac:dyDescent="0.25">
      <c r="A110" s="103">
        <v>40003</v>
      </c>
      <c r="B110" s="2"/>
      <c r="C110" s="2"/>
      <c r="D110" s="93" t="s">
        <v>1671</v>
      </c>
      <c r="E110" s="166"/>
      <c r="F110" s="166"/>
      <c r="G110" s="178">
        <f>IF($A110=0,"",VLOOKUP($A110,'BASE MATERIAL'!$M:$P,4))</f>
        <v>0</v>
      </c>
      <c r="H110" s="95">
        <f>IF($A110=0,"",ROUND(G110*H108,2))</f>
        <v>0</v>
      </c>
      <c r="I110" s="5"/>
    </row>
    <row r="111" spans="1:9" s="4" customFormat="1" ht="15.75" x14ac:dyDescent="0.25">
      <c r="A111" s="103"/>
      <c r="B111" s="2"/>
      <c r="C111" s="2"/>
      <c r="D111" s="93" t="s">
        <v>1670</v>
      </c>
      <c r="E111" s="166"/>
      <c r="F111" s="166"/>
      <c r="G111" s="166"/>
      <c r="H111" s="96">
        <f>ROUND(SUM(H108:H110),2)</f>
        <v>14.58</v>
      </c>
      <c r="I111" s="5"/>
    </row>
    <row r="112" spans="1:9" s="4" customFormat="1" ht="16.5" thickBot="1" x14ac:dyDescent="0.3">
      <c r="A112" s="103"/>
      <c r="B112" s="25"/>
      <c r="C112" s="5"/>
      <c r="D112" s="97" t="s">
        <v>1650</v>
      </c>
      <c r="E112" s="179"/>
      <c r="F112" s="179"/>
      <c r="G112" s="179"/>
      <c r="H112" s="98">
        <f>ROUND(H111,2)</f>
        <v>14.58</v>
      </c>
      <c r="I112" s="5"/>
    </row>
    <row r="113" spans="1:15" ht="15.75" x14ac:dyDescent="0.25">
      <c r="B113" s="34" t="s">
        <v>1701</v>
      </c>
      <c r="C113" s="5"/>
      <c r="D113" s="157" t="str">
        <f>'1.1'!$D$1</f>
        <v>ESPOL</v>
      </c>
      <c r="E113" s="2"/>
      <c r="F113" s="2"/>
      <c r="H113" s="2" t="s">
        <v>108</v>
      </c>
      <c r="I113" s="2"/>
      <c r="L113" s="40">
        <f>A117</f>
        <v>5</v>
      </c>
      <c r="M113" s="2" t="str">
        <f>C118</f>
        <v>Pared mamposteria bloque e= 9cm</v>
      </c>
      <c r="N113" s="2" t="str">
        <f>H117</f>
        <v>m2</v>
      </c>
      <c r="O113" s="2">
        <f>H168</f>
        <v>10.88</v>
      </c>
    </row>
    <row r="114" spans="1:15" s="4" customFormat="1" ht="15.75" x14ac:dyDescent="0.25">
      <c r="A114" s="103"/>
      <c r="B114" s="34" t="s">
        <v>1700</v>
      </c>
      <c r="C114" s="3">
        <f>'1.1'!$C$2</f>
        <v>0</v>
      </c>
      <c r="D114" s="5"/>
      <c r="E114" s="5"/>
      <c r="F114" s="5"/>
      <c r="G114" s="158" t="s">
        <v>1699</v>
      </c>
      <c r="H114" s="159"/>
      <c r="I114" s="5" t="s">
        <v>1698</v>
      </c>
    </row>
    <row r="115" spans="1:15" s="4" customFormat="1" ht="15.75" x14ac:dyDescent="0.25">
      <c r="A115" s="103"/>
      <c r="B115" s="34"/>
      <c r="C115" s="3">
        <f>'1.1'!$C$3</f>
        <v>0</v>
      </c>
      <c r="D115" s="5"/>
      <c r="E115" s="5"/>
      <c r="F115" s="5"/>
      <c r="G115" s="5"/>
      <c r="H115" s="5"/>
      <c r="I115" s="5"/>
    </row>
    <row r="116" spans="1:15" s="4" customFormat="1" ht="15.75" x14ac:dyDescent="0.25">
      <c r="A116" s="103"/>
      <c r="B116" s="34" t="s">
        <v>1697</v>
      </c>
      <c r="C116" s="3"/>
      <c r="D116" s="5"/>
      <c r="E116" s="5"/>
      <c r="F116" s="5"/>
      <c r="G116" s="5"/>
      <c r="H116" s="5"/>
      <c r="I116" s="5"/>
    </row>
    <row r="117" spans="1:15" x14ac:dyDescent="0.25">
      <c r="A117" s="104">
        <v>5</v>
      </c>
      <c r="B117" s="2" t="s">
        <v>1586</v>
      </c>
      <c r="C117" s="36" t="s">
        <v>1556</v>
      </c>
      <c r="D117" s="5"/>
      <c r="E117" s="4"/>
      <c r="F117" s="4"/>
      <c r="G117" s="5" t="s">
        <v>1696</v>
      </c>
      <c r="H117" s="157" t="s">
        <v>1520</v>
      </c>
      <c r="I117" s="2"/>
    </row>
    <row r="118" spans="1:15" s="4" customFormat="1" x14ac:dyDescent="0.25">
      <c r="A118" s="103"/>
      <c r="B118" s="1" t="s">
        <v>1585</v>
      </c>
      <c r="C118" s="36" t="s">
        <v>1555</v>
      </c>
      <c r="D118" s="5"/>
      <c r="E118" s="5"/>
      <c r="F118" s="5"/>
      <c r="G118" s="5"/>
      <c r="H118" s="5"/>
      <c r="I118" s="5"/>
    </row>
    <row r="119" spans="1:15" ht="15.75" thickBot="1" x14ac:dyDescent="0.3">
      <c r="D119" s="2"/>
      <c r="E119" s="2"/>
      <c r="F119" s="2"/>
      <c r="G119" s="2"/>
      <c r="H119" s="2"/>
      <c r="I119" s="2"/>
    </row>
    <row r="120" spans="1:15" ht="15.75" thickBot="1" x14ac:dyDescent="0.3">
      <c r="B120" s="43" t="s">
        <v>1695</v>
      </c>
      <c r="C120" s="44"/>
      <c r="D120" s="44"/>
      <c r="E120" s="44"/>
      <c r="F120" s="44"/>
      <c r="G120" s="44"/>
      <c r="H120" s="45"/>
      <c r="I120" s="2"/>
    </row>
    <row r="121" spans="1:15" ht="25.5" x14ac:dyDescent="0.25">
      <c r="B121" s="46" t="s">
        <v>1409</v>
      </c>
      <c r="C121" s="47"/>
      <c r="D121" s="48" t="s">
        <v>1690</v>
      </c>
      <c r="E121" s="48" t="s">
        <v>1694</v>
      </c>
      <c r="F121" s="48" t="s">
        <v>1693</v>
      </c>
      <c r="G121" s="49" t="s">
        <v>1687</v>
      </c>
      <c r="H121" s="50" t="s">
        <v>1686</v>
      </c>
      <c r="I121" s="2"/>
    </row>
    <row r="122" spans="1:15" s="4" customFormat="1" x14ac:dyDescent="0.25">
      <c r="A122" s="103">
        <v>19015</v>
      </c>
      <c r="B122" s="51" t="str">
        <f>IF($A122=0,"",VLOOKUP($A122,'BASE EQUIPO'!$A:$D,2))</f>
        <v>HERRAMIENTA MENOR</v>
      </c>
      <c r="C122" s="52"/>
      <c r="D122" s="53">
        <v>1</v>
      </c>
      <c r="E122" s="53">
        <f>IF($A122=0,"",VLOOKUP($A122,'BASE EQUIPO'!$A:$D,4)*H138)</f>
        <v>0.12179999999999998</v>
      </c>
      <c r="F122" s="53">
        <f t="shared" ref="F122:F127" si="10">IF($A122=0,"",ROUND(D122*E122,2))</f>
        <v>0.12</v>
      </c>
      <c r="G122" s="105">
        <v>1</v>
      </c>
      <c r="H122" s="54">
        <f t="shared" ref="H122:H127" si="11">IF($A122=0,"",ROUND(G122*F122,2))</f>
        <v>0.12</v>
      </c>
      <c r="I122" s="5"/>
    </row>
    <row r="123" spans="1:15" s="4" customFormat="1" x14ac:dyDescent="0.25">
      <c r="A123" s="103"/>
      <c r="B123" s="38" t="str">
        <f>IF($A123=0,"",VLOOKUP($A123,'BASE EQUIPO'!$A:$D,2))</f>
        <v/>
      </c>
      <c r="C123" s="2"/>
      <c r="D123" s="55"/>
      <c r="E123" s="55" t="str">
        <f>IF($A123=0,"",VLOOKUP($A123,'BASE EQUIPO'!$A:$D,4))</f>
        <v/>
      </c>
      <c r="F123" s="55" t="str">
        <f t="shared" si="10"/>
        <v/>
      </c>
      <c r="G123" s="106"/>
      <c r="H123" s="56" t="str">
        <f t="shared" si="11"/>
        <v/>
      </c>
      <c r="I123" s="5"/>
    </row>
    <row r="124" spans="1:15" s="4" customFormat="1" x14ac:dyDescent="0.25">
      <c r="A124" s="103"/>
      <c r="B124" s="38" t="str">
        <f>IF($A124=0,"",VLOOKUP($A124,'BASE EQUIPO'!$A:$D,2))</f>
        <v/>
      </c>
      <c r="C124" s="2"/>
      <c r="D124" s="55"/>
      <c r="E124" s="55" t="str">
        <f>IF($A124=0,"",VLOOKUP($A124,'BASE EQUIPO'!$A:$D,4))</f>
        <v/>
      </c>
      <c r="F124" s="55" t="str">
        <f t="shared" si="10"/>
        <v/>
      </c>
      <c r="G124" s="106"/>
      <c r="H124" s="56" t="str">
        <f t="shared" si="11"/>
        <v/>
      </c>
      <c r="I124" s="5"/>
    </row>
    <row r="125" spans="1:15" s="4" customFormat="1" x14ac:dyDescent="0.25">
      <c r="A125" s="103"/>
      <c r="B125" s="38" t="str">
        <f>IF($A125=0,"",VLOOKUP($A125,'BASE EQUIPO'!$A:$D,2))</f>
        <v/>
      </c>
      <c r="C125" s="2"/>
      <c r="D125" s="55"/>
      <c r="E125" s="55" t="str">
        <f>IF($A125=0,"",VLOOKUP($A125,'BASE EQUIPO'!$A:$D,4))</f>
        <v/>
      </c>
      <c r="F125" s="55" t="str">
        <f t="shared" si="10"/>
        <v/>
      </c>
      <c r="G125" s="106"/>
      <c r="H125" s="56" t="str">
        <f t="shared" si="11"/>
        <v/>
      </c>
      <c r="I125" s="5"/>
    </row>
    <row r="126" spans="1:15" s="4" customFormat="1" x14ac:dyDescent="0.25">
      <c r="A126" s="103"/>
      <c r="B126" s="38" t="str">
        <f>IF($A126=0,"",VLOOKUP($A126,'BASE EQUIPO'!$A:$D,2))</f>
        <v/>
      </c>
      <c r="C126" s="2"/>
      <c r="D126" s="55"/>
      <c r="E126" s="55" t="str">
        <f>IF($A126=0,"",VLOOKUP($A126,'BASE EQUIPO'!$A:$D,4))</f>
        <v/>
      </c>
      <c r="F126" s="55" t="str">
        <f t="shared" si="10"/>
        <v/>
      </c>
      <c r="G126" s="106"/>
      <c r="H126" s="56" t="str">
        <f t="shared" si="11"/>
        <v/>
      </c>
      <c r="I126" s="5"/>
    </row>
    <row r="127" spans="1:15" s="4" customFormat="1" x14ac:dyDescent="0.25">
      <c r="A127" s="103"/>
      <c r="B127" s="57" t="str">
        <f>IF($A127=0,"",VLOOKUP($A127,'BASE EQUIPO'!$A:$D,2))</f>
        <v/>
      </c>
      <c r="C127" s="58"/>
      <c r="D127" s="59"/>
      <c r="E127" s="59" t="str">
        <f>IF($A127=0,"",VLOOKUP($A127,'BASE EQUIPO'!$A:$D,4))</f>
        <v/>
      </c>
      <c r="F127" s="59" t="str">
        <f t="shared" si="10"/>
        <v/>
      </c>
      <c r="G127" s="107"/>
      <c r="H127" s="60" t="str">
        <f t="shared" si="11"/>
        <v/>
      </c>
      <c r="I127" s="5"/>
    </row>
    <row r="128" spans="1:15" s="4" customFormat="1" x14ac:dyDescent="0.25">
      <c r="A128" s="103"/>
      <c r="B128" s="57" t="s">
        <v>1692</v>
      </c>
      <c r="C128" s="58"/>
      <c r="D128" s="61"/>
      <c r="E128" s="61"/>
      <c r="F128" s="61"/>
      <c r="G128" s="62"/>
      <c r="H128" s="60">
        <f>ROUND(SUM(H121:H127),2)</f>
        <v>0.12</v>
      </c>
      <c r="I128" s="5"/>
    </row>
    <row r="129" spans="1:16" s="4" customFormat="1" x14ac:dyDescent="0.25">
      <c r="A129" s="103"/>
      <c r="B129" s="38" t="s">
        <v>1503</v>
      </c>
      <c r="C129" s="2"/>
      <c r="D129" s="3"/>
      <c r="E129" s="3"/>
      <c r="F129" s="3"/>
      <c r="G129" s="63"/>
      <c r="H129" s="56"/>
      <c r="I129" s="5"/>
    </row>
    <row r="130" spans="1:16" ht="25.5" x14ac:dyDescent="0.25">
      <c r="B130" s="64" t="s">
        <v>1691</v>
      </c>
      <c r="C130" s="65"/>
      <c r="D130" s="66" t="s">
        <v>1690</v>
      </c>
      <c r="E130" s="66" t="s">
        <v>1689</v>
      </c>
      <c r="F130" s="66" t="s">
        <v>1688</v>
      </c>
      <c r="G130" s="67" t="s">
        <v>1687</v>
      </c>
      <c r="H130" s="68" t="s">
        <v>1686</v>
      </c>
      <c r="I130" s="2"/>
    </row>
    <row r="131" spans="1:16" s="4" customFormat="1" x14ac:dyDescent="0.25">
      <c r="A131" s="103">
        <v>20001</v>
      </c>
      <c r="B131" s="69" t="str">
        <f>IF($A131=0,"",VLOOKUP($A131,'BASE M-OBRA'!$A:$D,2))</f>
        <v>MAESTRO</v>
      </c>
      <c r="C131" s="2"/>
      <c r="D131" s="108">
        <v>1</v>
      </c>
      <c r="E131" s="70">
        <f>IF($A131=0,"",VLOOKUP($A131,'BASE M-OBRA'!$A:$D,4))</f>
        <v>3.02</v>
      </c>
      <c r="F131" s="55">
        <f t="shared" ref="F131:F137" si="12">IF($A131=0,"",ROUND(D131*E131,2))</f>
        <v>3.02</v>
      </c>
      <c r="G131" s="106">
        <f>IF($A131=0,"",ROUND(H131/F131,2))</f>
        <v>0.23</v>
      </c>
      <c r="H131" s="56">
        <f>IF($A131=0,"",ROUND(SUM(H132:H137)*'BASE M-OBRA'!$D$23,2))</f>
        <v>0.68</v>
      </c>
      <c r="I131" s="5"/>
    </row>
    <row r="132" spans="1:16" s="4" customFormat="1" x14ac:dyDescent="0.25">
      <c r="A132" s="103">
        <v>20002</v>
      </c>
      <c r="B132" s="69" t="str">
        <f>IF($A132=0,"",VLOOKUP($A132,'BASE M-OBRA'!$A:$D,2))</f>
        <v>PEON</v>
      </c>
      <c r="C132" s="2"/>
      <c r="D132" s="108">
        <v>2</v>
      </c>
      <c r="E132" s="70">
        <f>IF($A132=0,"",VLOOKUP($A132,'BASE M-OBRA'!$A:$D,4))</f>
        <v>2.79</v>
      </c>
      <c r="F132" s="55">
        <f t="shared" si="12"/>
        <v>5.58</v>
      </c>
      <c r="G132" s="106">
        <v>0.2</v>
      </c>
      <c r="H132" s="56">
        <f t="shared" ref="H132:H137" si="13">IF($A132=0,"",ROUND(G132*F132,2))</f>
        <v>1.1200000000000001</v>
      </c>
      <c r="I132" s="5"/>
    </row>
    <row r="133" spans="1:16" s="4" customFormat="1" x14ac:dyDescent="0.25">
      <c r="A133" s="103">
        <v>20003</v>
      </c>
      <c r="B133" s="69" t="str">
        <f>IF($A133=0,"",VLOOKUP($A133,'BASE M-OBRA'!$A:$D,2))</f>
        <v>ALBAÑIL</v>
      </c>
      <c r="C133" s="2"/>
      <c r="D133" s="108">
        <v>4</v>
      </c>
      <c r="E133" s="70">
        <f>IF($A133=0,"",VLOOKUP($A133,'BASE M-OBRA'!$A:$D,4))</f>
        <v>2.82</v>
      </c>
      <c r="F133" s="55">
        <f t="shared" si="12"/>
        <v>11.28</v>
      </c>
      <c r="G133" s="106">
        <f>+G132</f>
        <v>0.2</v>
      </c>
      <c r="H133" s="56">
        <f t="shared" si="13"/>
        <v>2.2599999999999998</v>
      </c>
      <c r="I133" s="5"/>
    </row>
    <row r="134" spans="1:16" s="4" customFormat="1" x14ac:dyDescent="0.25">
      <c r="A134" s="103"/>
      <c r="B134" s="71" t="str">
        <f>IF($A134=0,"",VLOOKUP($A134,'BASE M-OBRA'!$A:$D,2))</f>
        <v/>
      </c>
      <c r="C134" s="2"/>
      <c r="D134" s="108"/>
      <c r="E134" s="70" t="str">
        <f>IF($A134=0,"",VLOOKUP($A134,'BASE M-OBRA'!$A:$D,4))</f>
        <v/>
      </c>
      <c r="F134" s="55" t="str">
        <f t="shared" si="12"/>
        <v/>
      </c>
      <c r="G134" s="106"/>
      <c r="H134" s="56" t="str">
        <f t="shared" si="13"/>
        <v/>
      </c>
      <c r="I134" s="5"/>
    </row>
    <row r="135" spans="1:16" s="4" customFormat="1" x14ac:dyDescent="0.25">
      <c r="A135" s="103"/>
      <c r="B135" s="72" t="str">
        <f>IF($A135=0,"",VLOOKUP($A135,'BASE M-OBRA'!$A:$D,2))</f>
        <v/>
      </c>
      <c r="C135" s="2"/>
      <c r="D135" s="108"/>
      <c r="E135" s="70" t="str">
        <f>IF($A135=0,"",VLOOKUP($A135,'BASE M-OBRA'!$A:$D,4))</f>
        <v/>
      </c>
      <c r="F135" s="55" t="str">
        <f t="shared" si="12"/>
        <v/>
      </c>
      <c r="G135" s="106"/>
      <c r="H135" s="56" t="str">
        <f t="shared" si="13"/>
        <v/>
      </c>
      <c r="I135" s="5"/>
    </row>
    <row r="136" spans="1:16" s="4" customFormat="1" x14ac:dyDescent="0.25">
      <c r="A136" s="103"/>
      <c r="B136" s="38" t="str">
        <f>IF($A136=0,"",VLOOKUP($A136,'BASE M-OBRA'!$A:$D,2))</f>
        <v/>
      </c>
      <c r="C136" s="2"/>
      <c r="D136" s="55"/>
      <c r="E136" s="55" t="str">
        <f>IF($A136=0,"",VLOOKUP($A136,'BASE M-OBRA'!$A:$D,4))</f>
        <v/>
      </c>
      <c r="F136" s="55" t="str">
        <f t="shared" si="12"/>
        <v/>
      </c>
      <c r="G136" s="106"/>
      <c r="H136" s="56" t="str">
        <f t="shared" si="13"/>
        <v/>
      </c>
      <c r="I136" s="5"/>
    </row>
    <row r="137" spans="1:16" s="4" customFormat="1" x14ac:dyDescent="0.25">
      <c r="A137" s="103"/>
      <c r="B137" s="57" t="str">
        <f>IF($A137=0,"",VLOOKUP($A137,'BASE M-OBRA'!$A:$D,2))</f>
        <v/>
      </c>
      <c r="C137" s="58"/>
      <c r="D137" s="59"/>
      <c r="E137" s="59" t="str">
        <f>IF($A137=0,"",VLOOKUP($A137,'BASE M-OBRA'!$A:$D,4))</f>
        <v/>
      </c>
      <c r="F137" s="59" t="str">
        <f t="shared" si="12"/>
        <v/>
      </c>
      <c r="G137" s="107"/>
      <c r="H137" s="60" t="str">
        <f t="shared" si="13"/>
        <v/>
      </c>
      <c r="I137" s="5"/>
    </row>
    <row r="138" spans="1:16" s="4" customFormat="1" x14ac:dyDescent="0.25">
      <c r="A138" s="103"/>
      <c r="B138" s="73" t="s">
        <v>1685</v>
      </c>
      <c r="C138" s="65"/>
      <c r="D138" s="74"/>
      <c r="E138" s="74"/>
      <c r="F138" s="74"/>
      <c r="G138" s="74"/>
      <c r="H138" s="75">
        <f>ROUND(SUM(H130:H137),2)</f>
        <v>4.0599999999999996</v>
      </c>
      <c r="I138" s="5"/>
    </row>
    <row r="139" spans="1:16" s="4" customFormat="1" x14ac:dyDescent="0.25">
      <c r="A139" s="103"/>
      <c r="B139" s="38" t="s">
        <v>1684</v>
      </c>
      <c r="C139" s="2"/>
      <c r="D139" s="3"/>
      <c r="E139" s="3"/>
      <c r="F139" s="3"/>
      <c r="G139" s="3"/>
      <c r="H139" s="56"/>
      <c r="I139" s="5"/>
    </row>
    <row r="140" spans="1:16" ht="25.5" x14ac:dyDescent="0.25">
      <c r="B140" s="64" t="s">
        <v>1409</v>
      </c>
      <c r="C140" s="65"/>
      <c r="D140" s="76"/>
      <c r="E140" s="66" t="s">
        <v>1408</v>
      </c>
      <c r="F140" s="66" t="s">
        <v>1679</v>
      </c>
      <c r="G140" s="66" t="s">
        <v>1683</v>
      </c>
      <c r="H140" s="68" t="s">
        <v>1675</v>
      </c>
      <c r="I140" s="2"/>
    </row>
    <row r="141" spans="1:16" s="4" customFormat="1" x14ac:dyDescent="0.25">
      <c r="A141" s="103">
        <v>4001</v>
      </c>
      <c r="B141" s="38" t="str">
        <f>IF($A141=0,"",VLOOKUP($A141,'BASE MATERIAL'!$A:$D,2))</f>
        <v>CEMENTO</v>
      </c>
      <c r="C141" s="2"/>
      <c r="D141" s="77"/>
      <c r="E141" s="78" t="str">
        <f>IF($A141=0,"",VLOOKUP($A141,'BASE MATERIAL'!$A:$D,3))</f>
        <v>SACO</v>
      </c>
      <c r="F141" s="55">
        <f>ROUND(8*0.09*0.02*10,3)</f>
        <v>0.14399999999999999</v>
      </c>
      <c r="G141" s="55">
        <f>IF($A141=0,"",VLOOKUP($A141,'BASE MATERIAL'!$A:$D,4))</f>
        <v>7.09</v>
      </c>
      <c r="H141" s="56">
        <f t="shared" ref="H141:H155" si="14">IF($A141=0,"",ROUND(F141*G141,2))</f>
        <v>1.02</v>
      </c>
      <c r="I141" s="5"/>
      <c r="L141" s="5"/>
      <c r="M141" s="5"/>
      <c r="N141" s="160"/>
      <c r="O141" s="5"/>
      <c r="P141" s="5"/>
    </row>
    <row r="142" spans="1:16" s="4" customFormat="1" x14ac:dyDescent="0.25">
      <c r="A142" s="103">
        <v>5004</v>
      </c>
      <c r="B142" s="38" t="str">
        <f>IF($A142=0,"",VLOOKUP($A142,'BASE MATERIAL'!$A:$D,2))</f>
        <v>ARENA</v>
      </c>
      <c r="C142" s="2"/>
      <c r="D142" s="77"/>
      <c r="E142" s="78" t="str">
        <f>IF($A142=0,"",VLOOKUP($A142,'BASE MATERIAL'!$A:$D,3))</f>
        <v>M3</v>
      </c>
      <c r="F142" s="55">
        <f>ROUND(F141*0.032*3,2)</f>
        <v>0.01</v>
      </c>
      <c r="G142" s="55">
        <f>IF($A142=0,"",VLOOKUP($A142,'BASE MATERIAL'!$A:$D,4))</f>
        <v>12.276249999999999</v>
      </c>
      <c r="H142" s="56">
        <f t="shared" si="14"/>
        <v>0.12</v>
      </c>
      <c r="I142" s="5"/>
      <c r="L142" s="5"/>
      <c r="M142" s="5"/>
      <c r="N142" s="160"/>
      <c r="O142" s="5"/>
      <c r="P142" s="5"/>
    </row>
    <row r="143" spans="1:16" s="4" customFormat="1" x14ac:dyDescent="0.25">
      <c r="A143" s="103">
        <v>5005</v>
      </c>
      <c r="B143" s="38" t="str">
        <f>IF($A143=0,"",VLOOKUP($A143,'BASE MATERIAL'!$A:$D,2))</f>
        <v>AGUA</v>
      </c>
      <c r="C143" s="2"/>
      <c r="D143" s="77"/>
      <c r="E143" s="78" t="str">
        <f>IF($A143=0,"",VLOOKUP($A143,'BASE MATERIAL'!$A:$D,3))</f>
        <v>LT</v>
      </c>
      <c r="F143" s="55">
        <f>ROUND(30*F141,2)</f>
        <v>4.32</v>
      </c>
      <c r="G143" s="112">
        <f>IF($A143=0,"",VLOOKUP($A143,'BASE MATERIAL'!$A:$D,4))</f>
        <v>2E-3</v>
      </c>
      <c r="H143" s="56">
        <f t="shared" si="14"/>
        <v>0.01</v>
      </c>
      <c r="I143" s="5"/>
      <c r="L143" s="5"/>
      <c r="M143" s="5"/>
      <c r="N143" s="160"/>
      <c r="O143" s="5"/>
      <c r="P143" s="5"/>
    </row>
    <row r="144" spans="1:16" s="4" customFormat="1" x14ac:dyDescent="0.25">
      <c r="A144" s="103">
        <v>8004</v>
      </c>
      <c r="B144" s="38" t="str">
        <f>IF($A144=0,"",VLOOKUP($A144,'BASE MATERIAL'!$A:$D,2))</f>
        <v>BLOQUE DE CONCRETO 9x19x39 PL9</v>
      </c>
      <c r="C144" s="2"/>
      <c r="D144" s="77"/>
      <c r="E144" s="78" t="str">
        <f>IF($A144=0,"",VLOOKUP($A144,'BASE MATERIAL'!$A:$D,3))</f>
        <v>U</v>
      </c>
      <c r="F144" s="55">
        <v>12.5</v>
      </c>
      <c r="G144" s="55">
        <f>IF($A144=0,"",VLOOKUP($A144,'BASE MATERIAL'!$A:$D,4))</f>
        <v>0.4</v>
      </c>
      <c r="H144" s="56">
        <f t="shared" si="14"/>
        <v>5</v>
      </c>
      <c r="I144" s="5"/>
      <c r="L144" s="5"/>
      <c r="M144" s="5"/>
      <c r="N144" s="160"/>
      <c r="O144" s="5"/>
      <c r="P144" s="5"/>
    </row>
    <row r="145" spans="1:16" s="4" customFormat="1" x14ac:dyDescent="0.25">
      <c r="A145" s="103">
        <v>1001</v>
      </c>
      <c r="B145" s="38" t="str">
        <f>IF($A145=0,"",VLOOKUP($A145,'BASE MATERIAL'!$A:$D,2))</f>
        <v>HIERRO</v>
      </c>
      <c r="C145" s="2"/>
      <c r="D145" s="77"/>
      <c r="E145" s="78" t="str">
        <f>IF($A145=0,"",VLOOKUP($A145,'BASE MATERIAL'!$A:$D,3))</f>
        <v>KG</v>
      </c>
      <c r="F145" s="55">
        <v>0.3</v>
      </c>
      <c r="G145" s="55">
        <f>IF($A145=0,"",VLOOKUP($A145,'BASE MATERIAL'!$A:$D,4))</f>
        <v>1.17</v>
      </c>
      <c r="H145" s="56">
        <f t="shared" si="14"/>
        <v>0.35</v>
      </c>
      <c r="I145" s="5"/>
      <c r="L145" s="5"/>
      <c r="M145" s="5"/>
      <c r="N145" s="160"/>
      <c r="O145" s="5"/>
      <c r="P145" s="5"/>
    </row>
    <row r="146" spans="1:16" s="4" customFormat="1" x14ac:dyDescent="0.25">
      <c r="A146" s="103"/>
      <c r="B146" s="38" t="str">
        <f>IF($A146=0,"",VLOOKUP($A146,'BASE MATERIAL'!$A:$D,2))</f>
        <v/>
      </c>
      <c r="C146" s="2"/>
      <c r="D146" s="77"/>
      <c r="E146" s="78" t="str">
        <f>IF($A146=0,"",VLOOKUP($A146,'BASE MATERIAL'!$A:$D,3))</f>
        <v/>
      </c>
      <c r="F146" s="55"/>
      <c r="G146" s="55" t="str">
        <f>IF($A146=0,"",VLOOKUP($A146,'BASE MATERIAL'!$A:$D,4))</f>
        <v/>
      </c>
      <c r="H146" s="56" t="str">
        <f t="shared" si="14"/>
        <v/>
      </c>
      <c r="I146" s="5"/>
      <c r="L146" s="5"/>
      <c r="M146" s="5"/>
      <c r="N146" s="160"/>
      <c r="O146" s="5"/>
      <c r="P146" s="5"/>
    </row>
    <row r="147" spans="1:16" s="4" customFormat="1" x14ac:dyDescent="0.25">
      <c r="A147" s="103"/>
      <c r="B147" s="38" t="str">
        <f>IF($A147=0,"",VLOOKUP($A147,'BASE MATERIAL'!$A:$D,2))</f>
        <v/>
      </c>
      <c r="C147" s="2"/>
      <c r="D147" s="77"/>
      <c r="E147" s="78" t="str">
        <f>IF($A147=0,"",VLOOKUP($A147,'BASE MATERIAL'!$A:$D,3))</f>
        <v/>
      </c>
      <c r="F147" s="55"/>
      <c r="G147" s="55" t="str">
        <f>IF($A147=0,"",VLOOKUP($A147,'BASE MATERIAL'!$A:$D,4))</f>
        <v/>
      </c>
      <c r="H147" s="56" t="str">
        <f t="shared" si="14"/>
        <v/>
      </c>
      <c r="I147" s="5"/>
      <c r="L147" s="5"/>
      <c r="M147" s="5"/>
      <c r="N147" s="160"/>
      <c r="O147" s="5"/>
      <c r="P147" s="5"/>
    </row>
    <row r="148" spans="1:16" s="4" customFormat="1" x14ac:dyDescent="0.25">
      <c r="A148" s="103"/>
      <c r="B148" s="38" t="str">
        <f>IF($A148=0,"",VLOOKUP($A148,'BASE MATERIAL'!$A:$D,2))</f>
        <v/>
      </c>
      <c r="C148" s="2"/>
      <c r="D148" s="77"/>
      <c r="E148" s="78" t="str">
        <f>IF($A148=0,"",VLOOKUP($A148,'BASE MATERIAL'!$A:$D,3))</f>
        <v/>
      </c>
      <c r="F148" s="55"/>
      <c r="G148" s="55" t="str">
        <f>IF($A148=0,"",VLOOKUP($A148,'BASE MATERIAL'!$A:$D,4))</f>
        <v/>
      </c>
      <c r="H148" s="56" t="str">
        <f t="shared" si="14"/>
        <v/>
      </c>
      <c r="I148" s="5"/>
      <c r="L148" s="5"/>
      <c r="M148" s="5"/>
      <c r="N148" s="160"/>
      <c r="O148" s="5"/>
      <c r="P148" s="5"/>
    </row>
    <row r="149" spans="1:16" s="4" customFormat="1" x14ac:dyDescent="0.25">
      <c r="A149" s="103"/>
      <c r="B149" s="38" t="str">
        <f>IF($A149=0,"",VLOOKUP($A149,'BASE MATERIAL'!$A:$D,2))</f>
        <v/>
      </c>
      <c r="C149" s="2"/>
      <c r="D149" s="77"/>
      <c r="E149" s="78" t="str">
        <f>IF($A149=0,"",VLOOKUP($A149,'BASE MATERIAL'!$A:$D,3))</f>
        <v/>
      </c>
      <c r="F149" s="55"/>
      <c r="G149" s="55" t="str">
        <f>IF($A149=0,"",VLOOKUP($A149,'BASE MATERIAL'!$A:$D,4))</f>
        <v/>
      </c>
      <c r="H149" s="56" t="str">
        <f t="shared" si="14"/>
        <v/>
      </c>
      <c r="I149" s="5"/>
    </row>
    <row r="150" spans="1:16" s="4" customFormat="1" x14ac:dyDescent="0.25">
      <c r="A150" s="103"/>
      <c r="B150" s="38" t="str">
        <f>IF($A150=0,"",VLOOKUP($A150,'BASE MATERIAL'!$A:$D,2))</f>
        <v/>
      </c>
      <c r="C150" s="2"/>
      <c r="D150" s="77"/>
      <c r="E150" s="78" t="str">
        <f>IF($A150=0,"",VLOOKUP($A150,'BASE MATERIAL'!$A:$D,3))</f>
        <v/>
      </c>
      <c r="F150" s="55"/>
      <c r="G150" s="55" t="str">
        <f>IF($A150=0,"",VLOOKUP($A150,'BASE MATERIAL'!$A:$D,4))</f>
        <v/>
      </c>
      <c r="H150" s="56" t="str">
        <f t="shared" si="14"/>
        <v/>
      </c>
      <c r="I150" s="5"/>
      <c r="L150" s="5"/>
      <c r="M150" s="5"/>
      <c r="N150" s="160"/>
      <c r="O150" s="5"/>
      <c r="P150" s="5"/>
    </row>
    <row r="151" spans="1:16" s="4" customFormat="1" x14ac:dyDescent="0.25">
      <c r="A151" s="103"/>
      <c r="B151" s="38" t="str">
        <f>IF($A151=0,"",VLOOKUP($A151,'BASE MATERIAL'!$A:$D,2))</f>
        <v/>
      </c>
      <c r="C151" s="2"/>
      <c r="D151" s="77"/>
      <c r="E151" s="78" t="str">
        <f>IF($A151=0,"",VLOOKUP($A151,'BASE MATERIAL'!$A:$D,3))</f>
        <v/>
      </c>
      <c r="F151" s="55"/>
      <c r="G151" s="55" t="str">
        <f>IF($A151=0,"",VLOOKUP($A151,'BASE MATERIAL'!$A:$D,4))</f>
        <v/>
      </c>
      <c r="H151" s="56" t="str">
        <f t="shared" si="14"/>
        <v/>
      </c>
      <c r="I151" s="5"/>
      <c r="L151" s="5"/>
      <c r="M151" s="5"/>
      <c r="N151" s="160"/>
      <c r="O151" s="5"/>
      <c r="P151" s="5"/>
    </row>
    <row r="152" spans="1:16" s="4" customFormat="1" x14ac:dyDescent="0.25">
      <c r="A152" s="103"/>
      <c r="B152" s="38" t="str">
        <f>IF($A152=0,"",VLOOKUP($A152,'BASE MATERIAL'!$A:$D,2))</f>
        <v/>
      </c>
      <c r="C152" s="2"/>
      <c r="D152" s="77"/>
      <c r="E152" s="78" t="str">
        <f>IF($A152=0,"",VLOOKUP($A152,'BASE MATERIAL'!$A:$D,3))</f>
        <v/>
      </c>
      <c r="F152" s="55"/>
      <c r="G152" s="55" t="str">
        <f>IF($A152=0,"",VLOOKUP($A152,'BASE MATERIAL'!$A:$D,4))</f>
        <v/>
      </c>
      <c r="H152" s="56" t="str">
        <f t="shared" si="14"/>
        <v/>
      </c>
      <c r="I152" s="5"/>
    </row>
    <row r="153" spans="1:16" s="4" customFormat="1" x14ac:dyDescent="0.25">
      <c r="A153" s="103"/>
      <c r="B153" s="38" t="str">
        <f>IF($A153=0,"",VLOOKUP($A153,'BASE MATERIAL'!$A:$D,2))</f>
        <v/>
      </c>
      <c r="C153" s="2"/>
      <c r="D153" s="77"/>
      <c r="E153" s="78" t="str">
        <f>IF($A153=0,"",VLOOKUP($A153,'BASE MATERIAL'!$A:$D,3))</f>
        <v/>
      </c>
      <c r="F153" s="55"/>
      <c r="G153" s="55" t="str">
        <f>IF($A153=0,"",VLOOKUP($A153,'BASE MATERIAL'!$A:$D,4))</f>
        <v/>
      </c>
      <c r="H153" s="56" t="str">
        <f t="shared" si="14"/>
        <v/>
      </c>
      <c r="I153" s="5"/>
    </row>
    <row r="154" spans="1:16" s="4" customFormat="1" x14ac:dyDescent="0.25">
      <c r="A154" s="103"/>
      <c r="B154" s="38" t="str">
        <f>IF($A154=0,"",VLOOKUP($A154,'BASE MATERIAL'!$A:$D,2))</f>
        <v/>
      </c>
      <c r="C154" s="2"/>
      <c r="D154" s="77"/>
      <c r="E154" s="78" t="str">
        <f>IF($A154=0,"",VLOOKUP($A154,'BASE MATERIAL'!$A:$D,3))</f>
        <v/>
      </c>
      <c r="F154" s="55"/>
      <c r="G154" s="55" t="str">
        <f>IF($A154=0,"",VLOOKUP($A154,'BASE MATERIAL'!$A:$D,4))</f>
        <v/>
      </c>
      <c r="H154" s="56" t="str">
        <f t="shared" si="14"/>
        <v/>
      </c>
      <c r="I154" s="5"/>
    </row>
    <row r="155" spans="1:16" s="4" customFormat="1" x14ac:dyDescent="0.25">
      <c r="A155" s="103"/>
      <c r="B155" s="38" t="str">
        <f>IF($A155=0,"",VLOOKUP($A155,'BASE MATERIAL'!$A:$D,2))</f>
        <v/>
      </c>
      <c r="C155" s="2"/>
      <c r="D155" s="77"/>
      <c r="E155" s="78" t="str">
        <f>IF($A155=0,"",VLOOKUP($A155,'BASE MATERIAL'!$A:$D,3))</f>
        <v/>
      </c>
      <c r="F155" s="55"/>
      <c r="G155" s="55" t="str">
        <f>IF($A155=0,"",VLOOKUP($A155,'BASE MATERIAL'!$A:$D,4))</f>
        <v/>
      </c>
      <c r="H155" s="56" t="str">
        <f t="shared" si="14"/>
        <v/>
      </c>
      <c r="I155" s="5"/>
    </row>
    <row r="156" spans="1:16" s="4" customFormat="1" x14ac:dyDescent="0.25">
      <c r="A156" s="103"/>
      <c r="B156" s="38" t="str">
        <f>IF($A156=0,"",VLOOKUP($A156,'BASE MATERIAL'!$A:$D,2))</f>
        <v/>
      </c>
      <c r="C156" s="2"/>
      <c r="D156" s="81" t="s">
        <v>1682</v>
      </c>
      <c r="E156" s="55" t="str">
        <f>IF($A156=0,"",VLOOKUP($A156,'BASE MATERIAL'!$A:$D,3))</f>
        <v/>
      </c>
      <c r="F156" s="55" t="s">
        <v>1682</v>
      </c>
      <c r="G156" s="55" t="str">
        <f>IF($A156=0,"",VLOOKUP($A156,'BASE MATERIAL'!$A:$D,4))</f>
        <v/>
      </c>
      <c r="H156" s="56" t="str">
        <f>IF($A156=0,"",ROUND(E156*F156,2))</f>
        <v/>
      </c>
      <c r="I156" s="5"/>
    </row>
    <row r="157" spans="1:16" s="4" customFormat="1" x14ac:dyDescent="0.25">
      <c r="A157" s="103"/>
      <c r="B157" s="73" t="s">
        <v>1681</v>
      </c>
      <c r="C157" s="65"/>
      <c r="D157" s="74"/>
      <c r="E157" s="74"/>
      <c r="F157" s="74"/>
      <c r="G157" s="74"/>
      <c r="H157" s="75">
        <f>ROUND(SUM(H140:H156),2)</f>
        <v>6.5</v>
      </c>
      <c r="I157" s="5"/>
    </row>
    <row r="158" spans="1:16" s="4" customFormat="1" x14ac:dyDescent="0.25">
      <c r="A158" s="103"/>
      <c r="B158" s="38" t="s">
        <v>1680</v>
      </c>
      <c r="C158" s="2"/>
      <c r="D158" s="3"/>
      <c r="E158" s="3"/>
      <c r="F158" s="3"/>
      <c r="G158" s="3"/>
      <c r="H158" s="56"/>
      <c r="I158" s="5"/>
    </row>
    <row r="159" spans="1:16" ht="25.5" x14ac:dyDescent="0.25">
      <c r="B159" s="64" t="s">
        <v>1409</v>
      </c>
      <c r="C159" s="65"/>
      <c r="D159" s="76"/>
      <c r="E159" s="66" t="s">
        <v>1408</v>
      </c>
      <c r="F159" s="66" t="s">
        <v>1679</v>
      </c>
      <c r="G159" s="66" t="s">
        <v>1676</v>
      </c>
      <c r="H159" s="68" t="s">
        <v>1675</v>
      </c>
      <c r="I159" s="2"/>
    </row>
    <row r="160" spans="1:16" s="4" customFormat="1" x14ac:dyDescent="0.25">
      <c r="A160" s="103">
        <v>19019</v>
      </c>
      <c r="B160" s="51" t="str">
        <f>IF($A160=0,"",VLOOKUP($A160,'BASE EQUIPO'!$A:$D,2))</f>
        <v>TRANSPORTE DE MATERIAL</v>
      </c>
      <c r="C160" s="52"/>
      <c r="D160" s="82"/>
      <c r="E160" s="78" t="str">
        <f>IF($A160=0,"",VLOOKUP($A160,'BASE EQUIPO'!$A:$D,3))</f>
        <v>GLOBAL</v>
      </c>
      <c r="F160" s="55">
        <v>1</v>
      </c>
      <c r="G160" s="83">
        <f>IF($A160=0,"",VLOOKUP($A160,'BASE EQUIPO'!$A:$D,4)*H157)</f>
        <v>0.19500000000000001</v>
      </c>
      <c r="H160" s="56">
        <f>IF($A160=0,"",ROUND(F160*G160,2))</f>
        <v>0.2</v>
      </c>
      <c r="I160" s="5"/>
    </row>
    <row r="161" spans="1:15" s="4" customFormat="1" x14ac:dyDescent="0.25">
      <c r="A161" s="103"/>
      <c r="B161" s="38" t="str">
        <f>IF($A161=0,"",VLOOKUP($A161,'BASE EQUIPO'!$A:$D,2))</f>
        <v/>
      </c>
      <c r="C161" s="2"/>
      <c r="D161" s="84"/>
      <c r="E161" s="78" t="str">
        <f>IF($A161=0,"",VLOOKUP($A161,'BASE EQUIPO'!$A:$D,3))</f>
        <v/>
      </c>
      <c r="F161" s="55"/>
      <c r="G161" s="55" t="str">
        <f>IF($A161=0,"",VLOOKUP($A161,'BASE EQUIPO'!$A:$D,4)*H158)</f>
        <v/>
      </c>
      <c r="H161" s="56" t="str">
        <f>IF($A161=0,"",ROUND(F161*G161,2))</f>
        <v/>
      </c>
      <c r="I161" s="5"/>
    </row>
    <row r="162" spans="1:15" s="4" customFormat="1" x14ac:dyDescent="0.25">
      <c r="A162" s="103"/>
      <c r="B162" s="57" t="str">
        <f>IF($A162=0,"",VLOOKUP($A162,'BASE EQUIPO'!$A:$D,2))</f>
        <v/>
      </c>
      <c r="C162" s="58"/>
      <c r="D162" s="85"/>
      <c r="E162" s="86" t="str">
        <f>IF($A162=0,"",VLOOKUP($A162,'BASE EQUIPO'!$A:$D,3))</f>
        <v/>
      </c>
      <c r="F162" s="59"/>
      <c r="G162" s="59" t="str">
        <f>IF($A162=0,"",VLOOKUP($A162,'BASE EQUIPO'!$A:$D,4)*H159)</f>
        <v/>
      </c>
      <c r="H162" s="60" t="str">
        <f>IF($A162=0,"",ROUND(F162*G162,2))</f>
        <v/>
      </c>
      <c r="I162" s="5"/>
    </row>
    <row r="163" spans="1:15" s="4" customFormat="1" ht="15.75" thickBot="1" x14ac:dyDescent="0.3">
      <c r="A163" s="103"/>
      <c r="B163" s="87" t="s">
        <v>1674</v>
      </c>
      <c r="C163" s="88"/>
      <c r="D163" s="89"/>
      <c r="E163" s="89"/>
      <c r="F163" s="89"/>
      <c r="G163" s="89"/>
      <c r="H163" s="90">
        <f>ROUND(SUM(H159:H162),2)</f>
        <v>0.2</v>
      </c>
      <c r="I163" s="5"/>
    </row>
    <row r="164" spans="1:15" s="4" customFormat="1" ht="15.75" x14ac:dyDescent="0.25">
      <c r="A164" s="103"/>
      <c r="B164" s="2"/>
      <c r="C164" s="2"/>
      <c r="D164" s="91" t="s">
        <v>1673</v>
      </c>
      <c r="E164" s="177"/>
      <c r="F164" s="177"/>
      <c r="G164" s="177"/>
      <c r="H164" s="92">
        <f>ROUND(SUM(H163,H157,H138,H128),2)</f>
        <v>10.88</v>
      </c>
      <c r="I164" s="5"/>
    </row>
    <row r="165" spans="1:15" s="4" customFormat="1" ht="15.75" x14ac:dyDescent="0.25">
      <c r="A165" s="103">
        <v>40002</v>
      </c>
      <c r="B165" s="2"/>
      <c r="C165" s="2"/>
      <c r="D165" s="93" t="s">
        <v>1672</v>
      </c>
      <c r="E165" s="166"/>
      <c r="F165" s="166"/>
      <c r="G165" s="178">
        <f>IF($A165=0,"",VLOOKUP($A165,'BASE MATERIAL'!$M:$P,4))</f>
        <v>0</v>
      </c>
      <c r="H165" s="95">
        <f>IF($A165=0,"",ROUND(G165*H164,2))</f>
        <v>0</v>
      </c>
      <c r="I165" s="5"/>
    </row>
    <row r="166" spans="1:15" s="4" customFormat="1" ht="15.75" x14ac:dyDescent="0.25">
      <c r="A166" s="103">
        <v>40003</v>
      </c>
      <c r="B166" s="2"/>
      <c r="C166" s="2"/>
      <c r="D166" s="93" t="s">
        <v>1671</v>
      </c>
      <c r="E166" s="166"/>
      <c r="F166" s="166"/>
      <c r="G166" s="178">
        <f>IF($A166=0,"",VLOOKUP($A166,'BASE MATERIAL'!$M:$P,4))</f>
        <v>0</v>
      </c>
      <c r="H166" s="95">
        <f>IF($A166=0,"",ROUND(G166*H164,2))</f>
        <v>0</v>
      </c>
      <c r="I166" s="5"/>
    </row>
    <row r="167" spans="1:15" s="4" customFormat="1" ht="15.75" x14ac:dyDescent="0.25">
      <c r="A167" s="103"/>
      <c r="B167" s="2"/>
      <c r="C167" s="2"/>
      <c r="D167" s="93" t="s">
        <v>1670</v>
      </c>
      <c r="E167" s="166"/>
      <c r="F167" s="166"/>
      <c r="G167" s="166"/>
      <c r="H167" s="96">
        <f>ROUND(SUM(H164:H166),2)</f>
        <v>10.88</v>
      </c>
      <c r="I167" s="5"/>
    </row>
    <row r="168" spans="1:15" s="4" customFormat="1" ht="16.5" thickBot="1" x14ac:dyDescent="0.3">
      <c r="A168" s="103"/>
      <c r="B168" s="25"/>
      <c r="C168" s="5"/>
      <c r="D168" s="97" t="s">
        <v>1650</v>
      </c>
      <c r="E168" s="179"/>
      <c r="F168" s="179"/>
      <c r="G168" s="179"/>
      <c r="H168" s="98">
        <f>ROUND(H167,2)</f>
        <v>10.88</v>
      </c>
      <c r="I168" s="5"/>
    </row>
    <row r="169" spans="1:15" ht="15.75" x14ac:dyDescent="0.25">
      <c r="B169" s="34" t="s">
        <v>1701</v>
      </c>
      <c r="C169" s="5"/>
      <c r="D169" s="157" t="str">
        <f>'1.1'!$D$1</f>
        <v>ESPOL</v>
      </c>
      <c r="E169" s="2"/>
      <c r="F169" s="2"/>
      <c r="H169" s="2" t="s">
        <v>108</v>
      </c>
      <c r="I169" s="2"/>
      <c r="L169" s="40">
        <f>A173</f>
        <v>5</v>
      </c>
      <c r="M169" s="2" t="str">
        <f>C174</f>
        <v>Pared mamposteria bloque e= 6,5cm</v>
      </c>
      <c r="N169" s="2" t="str">
        <f>H173</f>
        <v>m2</v>
      </c>
      <c r="O169" s="2">
        <f>H224</f>
        <v>9.4700000000000006</v>
      </c>
    </row>
    <row r="170" spans="1:15" s="4" customFormat="1" ht="15.75" x14ac:dyDescent="0.25">
      <c r="A170" s="103"/>
      <c r="B170" s="34" t="s">
        <v>1700</v>
      </c>
      <c r="C170" s="3">
        <f>'1.1'!$C$2</f>
        <v>0</v>
      </c>
      <c r="D170" s="5"/>
      <c r="E170" s="5"/>
      <c r="F170" s="5"/>
      <c r="G170" s="158" t="s">
        <v>1699</v>
      </c>
      <c r="H170" s="159"/>
      <c r="I170" s="5" t="s">
        <v>1698</v>
      </c>
    </row>
    <row r="171" spans="1:15" s="4" customFormat="1" ht="15.75" x14ac:dyDescent="0.25">
      <c r="A171" s="103"/>
      <c r="B171" s="34"/>
      <c r="C171" s="3">
        <f>'1.1'!$C$3</f>
        <v>0</v>
      </c>
      <c r="D171" s="5"/>
      <c r="E171" s="5"/>
      <c r="F171" s="5"/>
      <c r="G171" s="5"/>
      <c r="H171" s="5"/>
      <c r="I171" s="5"/>
    </row>
    <row r="172" spans="1:15" s="4" customFormat="1" ht="15.75" x14ac:dyDescent="0.25">
      <c r="A172" s="103"/>
      <c r="B172" s="34" t="s">
        <v>1697</v>
      </c>
      <c r="C172" s="3"/>
      <c r="D172" s="5"/>
      <c r="E172" s="5"/>
      <c r="F172" s="5"/>
      <c r="G172" s="5"/>
      <c r="H172" s="5"/>
      <c r="I172" s="5"/>
    </row>
    <row r="173" spans="1:15" x14ac:dyDescent="0.25">
      <c r="A173" s="104">
        <v>5</v>
      </c>
      <c r="B173" s="2" t="s">
        <v>1586</v>
      </c>
      <c r="C173" s="36" t="s">
        <v>1556</v>
      </c>
      <c r="D173" s="5"/>
      <c r="E173" s="4"/>
      <c r="F173" s="4"/>
      <c r="G173" s="5" t="s">
        <v>1696</v>
      </c>
      <c r="H173" s="157" t="s">
        <v>1520</v>
      </c>
      <c r="I173" s="2"/>
    </row>
    <row r="174" spans="1:15" s="4" customFormat="1" x14ac:dyDescent="0.25">
      <c r="A174" s="103"/>
      <c r="B174" s="1" t="s">
        <v>1585</v>
      </c>
      <c r="C174" s="36" t="s">
        <v>1111</v>
      </c>
      <c r="D174" s="5"/>
      <c r="E174" s="5"/>
      <c r="F174" s="5"/>
      <c r="G174" s="5"/>
      <c r="H174" s="5"/>
      <c r="I174" s="5"/>
    </row>
    <row r="175" spans="1:15" ht="15.75" thickBot="1" x14ac:dyDescent="0.3">
      <c r="D175" s="2"/>
      <c r="E175" s="2"/>
      <c r="F175" s="2"/>
      <c r="G175" s="2"/>
      <c r="H175" s="2"/>
      <c r="I175" s="2"/>
    </row>
    <row r="176" spans="1:15" ht="15.75" thickBot="1" x14ac:dyDescent="0.3">
      <c r="B176" s="43" t="s">
        <v>1695</v>
      </c>
      <c r="C176" s="44"/>
      <c r="D176" s="44"/>
      <c r="E176" s="44"/>
      <c r="F176" s="44"/>
      <c r="G176" s="44"/>
      <c r="H176" s="45"/>
      <c r="I176" s="2"/>
    </row>
    <row r="177" spans="1:9" ht="25.5" x14ac:dyDescent="0.25">
      <c r="B177" s="46" t="s">
        <v>1409</v>
      </c>
      <c r="C177" s="47"/>
      <c r="D177" s="48" t="s">
        <v>1690</v>
      </c>
      <c r="E177" s="48" t="s">
        <v>1694</v>
      </c>
      <c r="F177" s="48" t="s">
        <v>1693</v>
      </c>
      <c r="G177" s="49" t="s">
        <v>1687</v>
      </c>
      <c r="H177" s="50" t="s">
        <v>1686</v>
      </c>
      <c r="I177" s="2"/>
    </row>
    <row r="178" spans="1:9" s="4" customFormat="1" x14ac:dyDescent="0.25">
      <c r="A178" s="103">
        <v>19015</v>
      </c>
      <c r="B178" s="51" t="str">
        <f>IF($A178=0,"",VLOOKUP($A178,'BASE EQUIPO'!$A:$D,2))</f>
        <v>HERRAMIENTA MENOR</v>
      </c>
      <c r="C178" s="52"/>
      <c r="D178" s="53">
        <v>1</v>
      </c>
      <c r="E178" s="53">
        <f>IF($A178=0,"",VLOOKUP($A178,'BASE EQUIPO'!$A:$D,4)*H194)</f>
        <v>9.1200000000000003E-2</v>
      </c>
      <c r="F178" s="53">
        <f t="shared" ref="F178:F183" si="15">IF($A178=0,"",ROUND(D178*E178,2))</f>
        <v>0.09</v>
      </c>
      <c r="G178" s="105">
        <v>1</v>
      </c>
      <c r="H178" s="54">
        <f t="shared" ref="H178:H183" si="16">IF($A178=0,"",ROUND(G178*F178,2))</f>
        <v>0.09</v>
      </c>
      <c r="I178" s="5"/>
    </row>
    <row r="179" spans="1:9" s="4" customFormat="1" x14ac:dyDescent="0.25">
      <c r="A179" s="103">
        <v>19025</v>
      </c>
      <c r="B179" s="38" t="str">
        <f>IF($A179=0,"",VLOOKUP($A179,'BASE EQUIPO'!$A:$D,2))</f>
        <v xml:space="preserve">ANDAMIOS </v>
      </c>
      <c r="C179" s="2"/>
      <c r="D179" s="55">
        <v>1</v>
      </c>
      <c r="E179" s="55">
        <f>IF($A179=0,"",VLOOKUP($A179,'BASE EQUIPO'!$A:$D,4))</f>
        <v>5.54</v>
      </c>
      <c r="F179" s="55">
        <f t="shared" si="15"/>
        <v>5.54</v>
      </c>
      <c r="G179" s="106">
        <v>0.1</v>
      </c>
      <c r="H179" s="56">
        <f t="shared" si="16"/>
        <v>0.55000000000000004</v>
      </c>
      <c r="I179" s="5"/>
    </row>
    <row r="180" spans="1:9" s="4" customFormat="1" x14ac:dyDescent="0.25">
      <c r="A180" s="103"/>
      <c r="B180" s="38" t="str">
        <f>IF($A180=0,"",VLOOKUP($A180,'BASE EQUIPO'!$A:$D,2))</f>
        <v/>
      </c>
      <c r="C180" s="2"/>
      <c r="D180" s="55"/>
      <c r="E180" s="55" t="str">
        <f>IF($A180=0,"",VLOOKUP($A180,'BASE EQUIPO'!$A:$D,4))</f>
        <v/>
      </c>
      <c r="F180" s="55" t="str">
        <f t="shared" si="15"/>
        <v/>
      </c>
      <c r="G180" s="106"/>
      <c r="H180" s="56" t="str">
        <f t="shared" si="16"/>
        <v/>
      </c>
      <c r="I180" s="5"/>
    </row>
    <row r="181" spans="1:9" s="4" customFormat="1" x14ac:dyDescent="0.25">
      <c r="A181" s="103"/>
      <c r="B181" s="38" t="str">
        <f>IF($A181=0,"",VLOOKUP($A181,'BASE EQUIPO'!$A:$D,2))</f>
        <v/>
      </c>
      <c r="C181" s="2"/>
      <c r="D181" s="55"/>
      <c r="E181" s="55" t="str">
        <f>IF($A181=0,"",VLOOKUP($A181,'BASE EQUIPO'!$A:$D,4))</f>
        <v/>
      </c>
      <c r="F181" s="55" t="str">
        <f t="shared" si="15"/>
        <v/>
      </c>
      <c r="G181" s="106"/>
      <c r="H181" s="56" t="str">
        <f t="shared" si="16"/>
        <v/>
      </c>
      <c r="I181" s="5"/>
    </row>
    <row r="182" spans="1:9" s="4" customFormat="1" x14ac:dyDescent="0.25">
      <c r="A182" s="103"/>
      <c r="B182" s="38" t="str">
        <f>IF($A182=0,"",VLOOKUP($A182,'BASE EQUIPO'!$A:$D,2))</f>
        <v/>
      </c>
      <c r="C182" s="2"/>
      <c r="D182" s="55"/>
      <c r="E182" s="55" t="str">
        <f>IF($A182=0,"",VLOOKUP($A182,'BASE EQUIPO'!$A:$D,4))</f>
        <v/>
      </c>
      <c r="F182" s="55" t="str">
        <f t="shared" si="15"/>
        <v/>
      </c>
      <c r="G182" s="106"/>
      <c r="H182" s="56" t="str">
        <f t="shared" si="16"/>
        <v/>
      </c>
      <c r="I182" s="5"/>
    </row>
    <row r="183" spans="1:9" s="4" customFormat="1" x14ac:dyDescent="0.25">
      <c r="A183" s="103"/>
      <c r="B183" s="57" t="str">
        <f>IF($A183=0,"",VLOOKUP($A183,'BASE EQUIPO'!$A:$D,2))</f>
        <v/>
      </c>
      <c r="C183" s="58"/>
      <c r="D183" s="59"/>
      <c r="E183" s="59" t="str">
        <f>IF($A183=0,"",VLOOKUP($A183,'BASE EQUIPO'!$A:$D,4))</f>
        <v/>
      </c>
      <c r="F183" s="59" t="str">
        <f t="shared" si="15"/>
        <v/>
      </c>
      <c r="G183" s="107"/>
      <c r="H183" s="60" t="str">
        <f t="shared" si="16"/>
        <v/>
      </c>
      <c r="I183" s="5"/>
    </row>
    <row r="184" spans="1:9" s="4" customFormat="1" x14ac:dyDescent="0.25">
      <c r="A184" s="103"/>
      <c r="B184" s="57" t="s">
        <v>1692</v>
      </c>
      <c r="C184" s="58"/>
      <c r="D184" s="61"/>
      <c r="E184" s="61"/>
      <c r="F184" s="61"/>
      <c r="G184" s="62"/>
      <c r="H184" s="60">
        <f>ROUND(SUM(H177:H183),2)</f>
        <v>0.64</v>
      </c>
      <c r="I184" s="5"/>
    </row>
    <row r="185" spans="1:9" s="4" customFormat="1" x14ac:dyDescent="0.25">
      <c r="A185" s="103"/>
      <c r="B185" s="38" t="s">
        <v>1503</v>
      </c>
      <c r="C185" s="2"/>
      <c r="D185" s="3"/>
      <c r="E185" s="3"/>
      <c r="F185" s="3"/>
      <c r="G185" s="63"/>
      <c r="H185" s="56"/>
      <c r="I185" s="5"/>
    </row>
    <row r="186" spans="1:9" ht="25.5" x14ac:dyDescent="0.25">
      <c r="B186" s="64" t="s">
        <v>1691</v>
      </c>
      <c r="C186" s="65"/>
      <c r="D186" s="66" t="s">
        <v>1690</v>
      </c>
      <c r="E186" s="66" t="s">
        <v>1689</v>
      </c>
      <c r="F186" s="66" t="s">
        <v>1688</v>
      </c>
      <c r="G186" s="67" t="s">
        <v>1687</v>
      </c>
      <c r="H186" s="68" t="s">
        <v>1686</v>
      </c>
      <c r="I186" s="2"/>
    </row>
    <row r="187" spans="1:9" s="4" customFormat="1" x14ac:dyDescent="0.25">
      <c r="A187" s="103">
        <v>20001</v>
      </c>
      <c r="B187" s="69" t="str">
        <f>IF($A187=0,"",VLOOKUP($A187,'BASE M-OBRA'!$A:$D,2))</f>
        <v>MAESTRO</v>
      </c>
      <c r="C187" s="2"/>
      <c r="D187" s="108">
        <v>1</v>
      </c>
      <c r="E187" s="70">
        <f>IF($A187=0,"",VLOOKUP($A187,'BASE M-OBRA'!$A:$D,4))</f>
        <v>3.02</v>
      </c>
      <c r="F187" s="55">
        <f t="shared" ref="F187:F193" si="17">IF($A187=0,"",ROUND(D187*E187,2))</f>
        <v>3.02</v>
      </c>
      <c r="G187" s="106">
        <f>IF($A187=0,"",ROUND(H187/F187,2))</f>
        <v>0.17</v>
      </c>
      <c r="H187" s="56">
        <f>IF($A187=0,"",ROUND(SUM(H188:H193)*'BASE M-OBRA'!$D$23,2))</f>
        <v>0.51</v>
      </c>
      <c r="I187" s="5"/>
    </row>
    <row r="188" spans="1:9" s="4" customFormat="1" x14ac:dyDescent="0.25">
      <c r="A188" s="103">
        <v>20002</v>
      </c>
      <c r="B188" s="69" t="str">
        <f>IF($A188=0,"",VLOOKUP($A188,'BASE M-OBRA'!$A:$D,2))</f>
        <v>PEON</v>
      </c>
      <c r="C188" s="2"/>
      <c r="D188" s="108">
        <v>2</v>
      </c>
      <c r="E188" s="70">
        <f>IF($A188=0,"",VLOOKUP($A188,'BASE M-OBRA'!$A:$D,4))</f>
        <v>2.79</v>
      </c>
      <c r="F188" s="55">
        <f t="shared" si="17"/>
        <v>5.58</v>
      </c>
      <c r="G188" s="106">
        <v>0.15</v>
      </c>
      <c r="H188" s="56">
        <f t="shared" ref="H188:H193" si="18">IF($A188=0,"",ROUND(G188*F188,2))</f>
        <v>0.84</v>
      </c>
      <c r="I188" s="5"/>
    </row>
    <row r="189" spans="1:9" s="4" customFormat="1" x14ac:dyDescent="0.25">
      <c r="A189" s="103">
        <v>20003</v>
      </c>
      <c r="B189" s="69" t="str">
        <f>IF($A189=0,"",VLOOKUP($A189,'BASE M-OBRA'!$A:$D,2))</f>
        <v>ALBAÑIL</v>
      </c>
      <c r="C189" s="2"/>
      <c r="D189" s="108">
        <v>4</v>
      </c>
      <c r="E189" s="70">
        <f>IF($A189=0,"",VLOOKUP($A189,'BASE M-OBRA'!$A:$D,4))</f>
        <v>2.82</v>
      </c>
      <c r="F189" s="55">
        <f t="shared" si="17"/>
        <v>11.28</v>
      </c>
      <c r="G189" s="106">
        <f>+G188</f>
        <v>0.15</v>
      </c>
      <c r="H189" s="56">
        <f t="shared" si="18"/>
        <v>1.69</v>
      </c>
      <c r="I189" s="5"/>
    </row>
    <row r="190" spans="1:9" s="4" customFormat="1" x14ac:dyDescent="0.25">
      <c r="A190" s="103"/>
      <c r="B190" s="71" t="str">
        <f>IF($A190=0,"",VLOOKUP($A190,'BASE M-OBRA'!$A:$D,2))</f>
        <v/>
      </c>
      <c r="C190" s="2"/>
      <c r="D190" s="108"/>
      <c r="E190" s="70" t="str">
        <f>IF($A190=0,"",VLOOKUP($A190,'BASE M-OBRA'!$A:$D,4))</f>
        <v/>
      </c>
      <c r="F190" s="55" t="str">
        <f t="shared" si="17"/>
        <v/>
      </c>
      <c r="G190" s="106"/>
      <c r="H190" s="56" t="str">
        <f t="shared" si="18"/>
        <v/>
      </c>
      <c r="I190" s="5"/>
    </row>
    <row r="191" spans="1:9" s="4" customFormat="1" x14ac:dyDescent="0.25">
      <c r="A191" s="103"/>
      <c r="B191" s="72" t="str">
        <f>IF($A191=0,"",VLOOKUP($A191,'BASE M-OBRA'!$A:$D,2))</f>
        <v/>
      </c>
      <c r="C191" s="2"/>
      <c r="D191" s="108"/>
      <c r="E191" s="70" t="str">
        <f>IF($A191=0,"",VLOOKUP($A191,'BASE M-OBRA'!$A:$D,4))</f>
        <v/>
      </c>
      <c r="F191" s="55" t="str">
        <f t="shared" si="17"/>
        <v/>
      </c>
      <c r="G191" s="106"/>
      <c r="H191" s="56" t="str">
        <f t="shared" si="18"/>
        <v/>
      </c>
      <c r="I191" s="5"/>
    </row>
    <row r="192" spans="1:9" s="4" customFormat="1" x14ac:dyDescent="0.25">
      <c r="A192" s="103"/>
      <c r="B192" s="38" t="str">
        <f>IF($A192=0,"",VLOOKUP($A192,'BASE M-OBRA'!$A:$D,2))</f>
        <v/>
      </c>
      <c r="C192" s="2"/>
      <c r="D192" s="55"/>
      <c r="E192" s="55" t="str">
        <f>IF($A192=0,"",VLOOKUP($A192,'BASE M-OBRA'!$A:$D,4))</f>
        <v/>
      </c>
      <c r="F192" s="55" t="str">
        <f t="shared" si="17"/>
        <v/>
      </c>
      <c r="G192" s="106"/>
      <c r="H192" s="56" t="str">
        <f t="shared" si="18"/>
        <v/>
      </c>
      <c r="I192" s="5"/>
    </row>
    <row r="193" spans="1:16" s="4" customFormat="1" x14ac:dyDescent="0.25">
      <c r="A193" s="103"/>
      <c r="B193" s="57" t="str">
        <f>IF($A193=0,"",VLOOKUP($A193,'BASE M-OBRA'!$A:$D,2))</f>
        <v/>
      </c>
      <c r="C193" s="58"/>
      <c r="D193" s="59"/>
      <c r="E193" s="59" t="str">
        <f>IF($A193=0,"",VLOOKUP($A193,'BASE M-OBRA'!$A:$D,4))</f>
        <v/>
      </c>
      <c r="F193" s="59" t="str">
        <f t="shared" si="17"/>
        <v/>
      </c>
      <c r="G193" s="107"/>
      <c r="H193" s="60" t="str">
        <f t="shared" si="18"/>
        <v/>
      </c>
      <c r="I193" s="5"/>
    </row>
    <row r="194" spans="1:16" s="4" customFormat="1" x14ac:dyDescent="0.25">
      <c r="A194" s="103"/>
      <c r="B194" s="73" t="s">
        <v>1685</v>
      </c>
      <c r="C194" s="65"/>
      <c r="D194" s="74"/>
      <c r="E194" s="74"/>
      <c r="F194" s="74"/>
      <c r="G194" s="74"/>
      <c r="H194" s="75">
        <f>ROUND(SUM(H186:H193),2)</f>
        <v>3.04</v>
      </c>
      <c r="I194" s="5"/>
    </row>
    <row r="195" spans="1:16" s="4" customFormat="1" x14ac:dyDescent="0.25">
      <c r="A195" s="103"/>
      <c r="B195" s="38" t="s">
        <v>1684</v>
      </c>
      <c r="C195" s="2"/>
      <c r="D195" s="3"/>
      <c r="E195" s="3"/>
      <c r="F195" s="3"/>
      <c r="G195" s="3"/>
      <c r="H195" s="56"/>
      <c r="I195" s="5"/>
    </row>
    <row r="196" spans="1:16" ht="25.5" x14ac:dyDescent="0.25">
      <c r="B196" s="64" t="s">
        <v>1409</v>
      </c>
      <c r="C196" s="65"/>
      <c r="D196" s="76"/>
      <c r="E196" s="66" t="s">
        <v>1408</v>
      </c>
      <c r="F196" s="66" t="s">
        <v>1679</v>
      </c>
      <c r="G196" s="66" t="s">
        <v>1683</v>
      </c>
      <c r="H196" s="68" t="s">
        <v>1675</v>
      </c>
      <c r="I196" s="2"/>
    </row>
    <row r="197" spans="1:16" s="4" customFormat="1" x14ac:dyDescent="0.25">
      <c r="A197" s="103">
        <v>4001</v>
      </c>
      <c r="B197" s="38" t="str">
        <f>IF($A197=0,"",VLOOKUP($A197,'BASE MATERIAL'!$A:$D,2))</f>
        <v>CEMENTO</v>
      </c>
      <c r="C197" s="2"/>
      <c r="D197" s="77"/>
      <c r="E197" s="78" t="str">
        <f>IF($A197=0,"",VLOOKUP($A197,'BASE MATERIAL'!$A:$D,3))</f>
        <v>SACO</v>
      </c>
      <c r="F197" s="55">
        <f>ROUND(8*0.065*0.025*10*1.1,3)</f>
        <v>0.14299999999999999</v>
      </c>
      <c r="G197" s="55">
        <f>IF($A197=0,"",VLOOKUP($A197,'BASE MATERIAL'!$A:$D,4))</f>
        <v>7.09</v>
      </c>
      <c r="H197" s="56">
        <f t="shared" ref="H197:H211" si="19">IF($A197=0,"",ROUND(F197*G197,2))</f>
        <v>1.01</v>
      </c>
      <c r="I197" s="5"/>
      <c r="L197" s="5"/>
      <c r="M197" s="5"/>
      <c r="N197" s="160"/>
      <c r="O197" s="5"/>
      <c r="P197" s="5"/>
    </row>
    <row r="198" spans="1:16" s="4" customFormat="1" x14ac:dyDescent="0.25">
      <c r="A198" s="103">
        <v>5004</v>
      </c>
      <c r="B198" s="38" t="str">
        <f>IF($A198=0,"",VLOOKUP($A198,'BASE MATERIAL'!$A:$D,2))</f>
        <v>ARENA</v>
      </c>
      <c r="C198" s="2"/>
      <c r="D198" s="77"/>
      <c r="E198" s="78" t="str">
        <f>IF($A198=0,"",VLOOKUP($A198,'BASE MATERIAL'!$A:$D,3))</f>
        <v>M3</v>
      </c>
      <c r="F198" s="55">
        <f>ROUND(F197*0.032*3,2)</f>
        <v>0.01</v>
      </c>
      <c r="G198" s="55">
        <f>IF($A198=0,"",VLOOKUP($A198,'BASE MATERIAL'!$A:$D,4))</f>
        <v>12.276249999999999</v>
      </c>
      <c r="H198" s="56">
        <f t="shared" si="19"/>
        <v>0.12</v>
      </c>
      <c r="I198" s="5"/>
      <c r="L198" s="5"/>
      <c r="M198" s="5"/>
      <c r="N198" s="160"/>
      <c r="O198" s="5"/>
      <c r="P198" s="5"/>
    </row>
    <row r="199" spans="1:16" s="4" customFormat="1" x14ac:dyDescent="0.25">
      <c r="A199" s="103">
        <v>5005</v>
      </c>
      <c r="B199" s="38" t="str">
        <f>IF($A199=0,"",VLOOKUP($A199,'BASE MATERIAL'!$A:$D,2))</f>
        <v>AGUA</v>
      </c>
      <c r="C199" s="2"/>
      <c r="D199" s="77"/>
      <c r="E199" s="78" t="str">
        <f>IF($A199=0,"",VLOOKUP($A199,'BASE MATERIAL'!$A:$D,3))</f>
        <v>LT</v>
      </c>
      <c r="F199" s="55">
        <f>ROUND(30*F197,2)</f>
        <v>4.29</v>
      </c>
      <c r="G199" s="112">
        <f>IF($A199=0,"",VLOOKUP($A199,'BASE MATERIAL'!$A:$D,4))</f>
        <v>2E-3</v>
      </c>
      <c r="H199" s="56">
        <f t="shared" si="19"/>
        <v>0.01</v>
      </c>
      <c r="I199" s="5"/>
      <c r="L199" s="5"/>
      <c r="M199" s="5"/>
      <c r="N199" s="160"/>
      <c r="O199" s="5"/>
      <c r="P199" s="5"/>
    </row>
    <row r="200" spans="1:16" s="4" customFormat="1" x14ac:dyDescent="0.25">
      <c r="A200" s="103">
        <v>8002</v>
      </c>
      <c r="B200" s="38" t="str">
        <f>IF($A200=0,"",VLOOKUP($A200,'BASE MATERIAL'!$A:$D,2))</f>
        <v>BLOQUE DE CONCRETO 6,5x19x39 PL6</v>
      </c>
      <c r="C200" s="2"/>
      <c r="D200" s="77"/>
      <c r="E200" s="78" t="str">
        <f>IF($A200=0,"",VLOOKUP($A200,'BASE MATERIAL'!$A:$D,3))</f>
        <v>U</v>
      </c>
      <c r="F200" s="55">
        <v>12.5</v>
      </c>
      <c r="G200" s="55">
        <f>IF($A200=0,"",VLOOKUP($A200,'BASE MATERIAL'!$A:$D,4))</f>
        <v>0.33</v>
      </c>
      <c r="H200" s="56">
        <f t="shared" si="19"/>
        <v>4.13</v>
      </c>
      <c r="I200" s="5"/>
      <c r="L200" s="5"/>
      <c r="M200" s="5"/>
      <c r="N200" s="160"/>
      <c r="O200" s="5"/>
      <c r="P200" s="5"/>
    </row>
    <row r="201" spans="1:16" s="4" customFormat="1" x14ac:dyDescent="0.25">
      <c r="A201" s="103">
        <v>1001</v>
      </c>
      <c r="B201" s="38" t="str">
        <f>IF($A201=0,"",VLOOKUP($A201,'BASE MATERIAL'!$A:$D,2))</f>
        <v>HIERRO</v>
      </c>
      <c r="C201" s="2"/>
      <c r="D201" s="77"/>
      <c r="E201" s="78" t="str">
        <f>IF($A201=0,"",VLOOKUP($A201,'BASE MATERIAL'!$A:$D,3))</f>
        <v>KG</v>
      </c>
      <c r="F201" s="55">
        <v>0.3</v>
      </c>
      <c r="G201" s="55">
        <f>IF($A201=0,"",VLOOKUP($A201,'BASE MATERIAL'!$A:$D,4))</f>
        <v>1.17</v>
      </c>
      <c r="H201" s="56">
        <f t="shared" si="19"/>
        <v>0.35</v>
      </c>
      <c r="I201" s="5"/>
      <c r="L201" s="5"/>
      <c r="M201" s="5"/>
      <c r="N201" s="160"/>
      <c r="O201" s="5"/>
      <c r="P201" s="5"/>
    </row>
    <row r="202" spans="1:16" s="4" customFormat="1" x14ac:dyDescent="0.25">
      <c r="A202" s="103"/>
      <c r="B202" s="38" t="str">
        <f>IF($A202=0,"",VLOOKUP($A202,'BASE MATERIAL'!$A:$D,2))</f>
        <v/>
      </c>
      <c r="C202" s="2"/>
      <c r="D202" s="77"/>
      <c r="E202" s="78" t="str">
        <f>IF($A202=0,"",VLOOKUP($A202,'BASE MATERIAL'!$A:$D,3))</f>
        <v/>
      </c>
      <c r="F202" s="55"/>
      <c r="G202" s="55" t="str">
        <f>IF($A202=0,"",VLOOKUP($A202,'BASE MATERIAL'!$A:$D,4))</f>
        <v/>
      </c>
      <c r="H202" s="56" t="str">
        <f t="shared" si="19"/>
        <v/>
      </c>
      <c r="I202" s="5"/>
      <c r="L202" s="5"/>
      <c r="M202" s="5"/>
      <c r="N202" s="160"/>
      <c r="O202" s="5"/>
      <c r="P202" s="5"/>
    </row>
    <row r="203" spans="1:16" s="4" customFormat="1" x14ac:dyDescent="0.25">
      <c r="A203" s="103"/>
      <c r="B203" s="38" t="str">
        <f>IF($A203=0,"",VLOOKUP($A203,'BASE MATERIAL'!$A:$D,2))</f>
        <v/>
      </c>
      <c r="C203" s="2"/>
      <c r="D203" s="77"/>
      <c r="E203" s="78" t="str">
        <f>IF($A203=0,"",VLOOKUP($A203,'BASE MATERIAL'!$A:$D,3))</f>
        <v/>
      </c>
      <c r="F203" s="55"/>
      <c r="G203" s="55" t="str">
        <f>IF($A203=0,"",VLOOKUP($A203,'BASE MATERIAL'!$A:$D,4))</f>
        <v/>
      </c>
      <c r="H203" s="56" t="str">
        <f t="shared" si="19"/>
        <v/>
      </c>
      <c r="I203" s="5"/>
      <c r="L203" s="5"/>
      <c r="M203" s="5"/>
      <c r="N203" s="160"/>
      <c r="O203" s="5"/>
      <c r="P203" s="5"/>
    </row>
    <row r="204" spans="1:16" s="4" customFormat="1" x14ac:dyDescent="0.25">
      <c r="A204" s="103"/>
      <c r="B204" s="38" t="str">
        <f>IF($A204=0,"",VLOOKUP($A204,'BASE MATERIAL'!$A:$D,2))</f>
        <v/>
      </c>
      <c r="C204" s="2"/>
      <c r="D204" s="77"/>
      <c r="E204" s="78" t="str">
        <f>IF($A204=0,"",VLOOKUP($A204,'BASE MATERIAL'!$A:$D,3))</f>
        <v/>
      </c>
      <c r="F204" s="55"/>
      <c r="G204" s="55" t="str">
        <f>IF($A204=0,"",VLOOKUP($A204,'BASE MATERIAL'!$A:$D,4))</f>
        <v/>
      </c>
      <c r="H204" s="56" t="str">
        <f t="shared" si="19"/>
        <v/>
      </c>
      <c r="I204" s="5"/>
      <c r="L204" s="5"/>
      <c r="M204" s="5"/>
      <c r="N204" s="160"/>
      <c r="O204" s="5"/>
      <c r="P204" s="5"/>
    </row>
    <row r="205" spans="1:16" s="4" customFormat="1" x14ac:dyDescent="0.25">
      <c r="A205" s="103"/>
      <c r="B205" s="38" t="str">
        <f>IF($A205=0,"",VLOOKUP($A205,'BASE MATERIAL'!$A:$D,2))</f>
        <v/>
      </c>
      <c r="C205" s="2"/>
      <c r="D205" s="77"/>
      <c r="E205" s="78" t="str">
        <f>IF($A205=0,"",VLOOKUP($A205,'BASE MATERIAL'!$A:$D,3))</f>
        <v/>
      </c>
      <c r="F205" s="55"/>
      <c r="G205" s="55" t="str">
        <f>IF($A205=0,"",VLOOKUP($A205,'BASE MATERIAL'!$A:$D,4))</f>
        <v/>
      </c>
      <c r="H205" s="56" t="str">
        <f t="shared" si="19"/>
        <v/>
      </c>
      <c r="I205" s="5"/>
    </row>
    <row r="206" spans="1:16" s="4" customFormat="1" x14ac:dyDescent="0.25">
      <c r="A206" s="103"/>
      <c r="B206" s="38" t="str">
        <f>IF($A206=0,"",VLOOKUP($A206,'BASE MATERIAL'!$A:$D,2))</f>
        <v/>
      </c>
      <c r="C206" s="2"/>
      <c r="D206" s="77"/>
      <c r="E206" s="78" t="str">
        <f>IF($A206=0,"",VLOOKUP($A206,'BASE MATERIAL'!$A:$D,3))</f>
        <v/>
      </c>
      <c r="F206" s="55"/>
      <c r="G206" s="55" t="str">
        <f>IF($A206=0,"",VLOOKUP($A206,'BASE MATERIAL'!$A:$D,4))</f>
        <v/>
      </c>
      <c r="H206" s="56" t="str">
        <f t="shared" si="19"/>
        <v/>
      </c>
      <c r="I206" s="5"/>
      <c r="L206" s="5"/>
      <c r="M206" s="5"/>
      <c r="N206" s="160"/>
      <c r="O206" s="5"/>
      <c r="P206" s="5"/>
    </row>
    <row r="207" spans="1:16" s="4" customFormat="1" x14ac:dyDescent="0.25">
      <c r="A207" s="103"/>
      <c r="B207" s="38" t="str">
        <f>IF($A207=0,"",VLOOKUP($A207,'BASE MATERIAL'!$A:$D,2))</f>
        <v/>
      </c>
      <c r="C207" s="2"/>
      <c r="D207" s="77"/>
      <c r="E207" s="78" t="str">
        <f>IF($A207=0,"",VLOOKUP($A207,'BASE MATERIAL'!$A:$D,3))</f>
        <v/>
      </c>
      <c r="F207" s="55"/>
      <c r="G207" s="55" t="str">
        <f>IF($A207=0,"",VLOOKUP($A207,'BASE MATERIAL'!$A:$D,4))</f>
        <v/>
      </c>
      <c r="H207" s="56" t="str">
        <f t="shared" si="19"/>
        <v/>
      </c>
      <c r="I207" s="5"/>
      <c r="L207" s="5"/>
      <c r="M207" s="5"/>
      <c r="N207" s="160"/>
      <c r="O207" s="5"/>
      <c r="P207" s="5"/>
    </row>
    <row r="208" spans="1:16" s="4" customFormat="1" x14ac:dyDescent="0.25">
      <c r="A208" s="103"/>
      <c r="B208" s="38" t="str">
        <f>IF($A208=0,"",VLOOKUP($A208,'BASE MATERIAL'!$A:$D,2))</f>
        <v/>
      </c>
      <c r="C208" s="2"/>
      <c r="D208" s="77"/>
      <c r="E208" s="78" t="str">
        <f>IF($A208=0,"",VLOOKUP($A208,'BASE MATERIAL'!$A:$D,3))</f>
        <v/>
      </c>
      <c r="F208" s="55"/>
      <c r="G208" s="55" t="str">
        <f>IF($A208=0,"",VLOOKUP($A208,'BASE MATERIAL'!$A:$D,4))</f>
        <v/>
      </c>
      <c r="H208" s="56" t="str">
        <f t="shared" si="19"/>
        <v/>
      </c>
      <c r="I208" s="5"/>
    </row>
    <row r="209" spans="1:9" s="4" customFormat="1" x14ac:dyDescent="0.25">
      <c r="A209" s="103"/>
      <c r="B209" s="38" t="str">
        <f>IF($A209=0,"",VLOOKUP($A209,'BASE MATERIAL'!$A:$D,2))</f>
        <v/>
      </c>
      <c r="C209" s="2"/>
      <c r="D209" s="77"/>
      <c r="E209" s="78" t="str">
        <f>IF($A209=0,"",VLOOKUP($A209,'BASE MATERIAL'!$A:$D,3))</f>
        <v/>
      </c>
      <c r="F209" s="55"/>
      <c r="G209" s="55" t="str">
        <f>IF($A209=0,"",VLOOKUP($A209,'BASE MATERIAL'!$A:$D,4))</f>
        <v/>
      </c>
      <c r="H209" s="56" t="str">
        <f t="shared" si="19"/>
        <v/>
      </c>
      <c r="I209" s="5"/>
    </row>
    <row r="210" spans="1:9" s="4" customFormat="1" x14ac:dyDescent="0.25">
      <c r="A210" s="103"/>
      <c r="B210" s="38" t="str">
        <f>IF($A210=0,"",VLOOKUP($A210,'BASE MATERIAL'!$A:$D,2))</f>
        <v/>
      </c>
      <c r="C210" s="2"/>
      <c r="D210" s="77"/>
      <c r="E210" s="78" t="str">
        <f>IF($A210=0,"",VLOOKUP($A210,'BASE MATERIAL'!$A:$D,3))</f>
        <v/>
      </c>
      <c r="F210" s="55"/>
      <c r="G210" s="55" t="str">
        <f>IF($A210=0,"",VLOOKUP($A210,'BASE MATERIAL'!$A:$D,4))</f>
        <v/>
      </c>
      <c r="H210" s="56" t="str">
        <f t="shared" si="19"/>
        <v/>
      </c>
      <c r="I210" s="5"/>
    </row>
    <row r="211" spans="1:9" s="4" customFormat="1" x14ac:dyDescent="0.25">
      <c r="A211" s="103"/>
      <c r="B211" s="38" t="str">
        <f>IF($A211=0,"",VLOOKUP($A211,'BASE MATERIAL'!$A:$D,2))</f>
        <v/>
      </c>
      <c r="C211" s="2"/>
      <c r="D211" s="77"/>
      <c r="E211" s="78" t="str">
        <f>IF($A211=0,"",VLOOKUP($A211,'BASE MATERIAL'!$A:$D,3))</f>
        <v/>
      </c>
      <c r="F211" s="55"/>
      <c r="G211" s="55" t="str">
        <f>IF($A211=0,"",VLOOKUP($A211,'BASE MATERIAL'!$A:$D,4))</f>
        <v/>
      </c>
      <c r="H211" s="56" t="str">
        <f t="shared" si="19"/>
        <v/>
      </c>
      <c r="I211" s="5"/>
    </row>
    <row r="212" spans="1:9" s="4" customFormat="1" x14ac:dyDescent="0.25">
      <c r="A212" s="103"/>
      <c r="B212" s="38" t="str">
        <f>IF($A212=0,"",VLOOKUP($A212,'BASE MATERIAL'!$A:$D,2))</f>
        <v/>
      </c>
      <c r="C212" s="2"/>
      <c r="D212" s="81" t="s">
        <v>1682</v>
      </c>
      <c r="E212" s="55" t="str">
        <f>IF($A212=0,"",VLOOKUP($A212,'BASE MATERIAL'!$A:$D,3))</f>
        <v/>
      </c>
      <c r="F212" s="55" t="s">
        <v>1682</v>
      </c>
      <c r="G212" s="55" t="str">
        <f>IF($A212=0,"",VLOOKUP($A212,'BASE MATERIAL'!$A:$D,4))</f>
        <v/>
      </c>
      <c r="H212" s="56" t="str">
        <f>IF($A212=0,"",ROUND(E212*F212,2))</f>
        <v/>
      </c>
      <c r="I212" s="5"/>
    </row>
    <row r="213" spans="1:9" s="4" customFormat="1" x14ac:dyDescent="0.25">
      <c r="A213" s="103"/>
      <c r="B213" s="73" t="s">
        <v>1681</v>
      </c>
      <c r="C213" s="65"/>
      <c r="D213" s="74"/>
      <c r="E213" s="74"/>
      <c r="F213" s="74"/>
      <c r="G213" s="74"/>
      <c r="H213" s="75">
        <f>ROUND(SUM(H196:H212),2)</f>
        <v>5.62</v>
      </c>
      <c r="I213" s="5"/>
    </row>
    <row r="214" spans="1:9" s="4" customFormat="1" x14ac:dyDescent="0.25">
      <c r="A214" s="103"/>
      <c r="B214" s="38" t="s">
        <v>1680</v>
      </c>
      <c r="C214" s="2"/>
      <c r="D214" s="3"/>
      <c r="E214" s="3"/>
      <c r="F214" s="3"/>
      <c r="G214" s="3"/>
      <c r="H214" s="56"/>
      <c r="I214" s="5"/>
    </row>
    <row r="215" spans="1:9" ht="25.5" x14ac:dyDescent="0.25">
      <c r="B215" s="64" t="s">
        <v>1409</v>
      </c>
      <c r="C215" s="65"/>
      <c r="D215" s="76"/>
      <c r="E215" s="66" t="s">
        <v>1408</v>
      </c>
      <c r="F215" s="66" t="s">
        <v>1679</v>
      </c>
      <c r="G215" s="66" t="s">
        <v>1676</v>
      </c>
      <c r="H215" s="68" t="s">
        <v>1675</v>
      </c>
      <c r="I215" s="2"/>
    </row>
    <row r="216" spans="1:9" s="4" customFormat="1" x14ac:dyDescent="0.25">
      <c r="A216" s="103">
        <v>19019</v>
      </c>
      <c r="B216" s="51" t="str">
        <f>IF($A216=0,"",VLOOKUP($A216,'BASE EQUIPO'!$A:$D,2))</f>
        <v>TRANSPORTE DE MATERIAL</v>
      </c>
      <c r="C216" s="52"/>
      <c r="D216" s="82"/>
      <c r="E216" s="78" t="str">
        <f>IF($A216=0,"",VLOOKUP($A216,'BASE EQUIPO'!$A:$D,3))</f>
        <v>GLOBAL</v>
      </c>
      <c r="F216" s="55">
        <v>1</v>
      </c>
      <c r="G216" s="83">
        <f>IF($A216=0,"",VLOOKUP($A216,'BASE EQUIPO'!$A:$D,4)*H213)</f>
        <v>0.1686</v>
      </c>
      <c r="H216" s="56">
        <f>IF($A216=0,"",ROUND(F216*G216,2))</f>
        <v>0.17</v>
      </c>
      <c r="I216" s="5"/>
    </row>
    <row r="217" spans="1:9" s="4" customFormat="1" x14ac:dyDescent="0.25">
      <c r="A217" s="103"/>
      <c r="B217" s="38" t="str">
        <f>IF($A217=0,"",VLOOKUP($A217,'BASE EQUIPO'!$A:$D,2))</f>
        <v/>
      </c>
      <c r="C217" s="2"/>
      <c r="D217" s="84"/>
      <c r="E217" s="78" t="str">
        <f>IF($A217=0,"",VLOOKUP($A217,'BASE EQUIPO'!$A:$D,3))</f>
        <v/>
      </c>
      <c r="F217" s="55"/>
      <c r="G217" s="55" t="str">
        <f>IF($A217=0,"",VLOOKUP($A217,'BASE EQUIPO'!$A:$D,4)*H214)</f>
        <v/>
      </c>
      <c r="H217" s="56" t="str">
        <f>IF($A217=0,"",ROUND(F217*G217,2))</f>
        <v/>
      </c>
      <c r="I217" s="5"/>
    </row>
    <row r="218" spans="1:9" s="4" customFormat="1" x14ac:dyDescent="0.25">
      <c r="A218" s="103"/>
      <c r="B218" s="57" t="str">
        <f>IF($A218=0,"",VLOOKUP($A218,'BASE EQUIPO'!$A:$D,2))</f>
        <v/>
      </c>
      <c r="C218" s="58"/>
      <c r="D218" s="85"/>
      <c r="E218" s="86" t="str">
        <f>IF($A218=0,"",VLOOKUP($A218,'BASE EQUIPO'!$A:$D,3))</f>
        <v/>
      </c>
      <c r="F218" s="59"/>
      <c r="G218" s="59" t="str">
        <f>IF($A218=0,"",VLOOKUP($A218,'BASE EQUIPO'!$A:$D,4)*H215)</f>
        <v/>
      </c>
      <c r="H218" s="60" t="str">
        <f>IF($A218=0,"",ROUND(F218*G218,2))</f>
        <v/>
      </c>
      <c r="I218" s="5"/>
    </row>
    <row r="219" spans="1:9" s="4" customFormat="1" ht="15.75" thickBot="1" x14ac:dyDescent="0.3">
      <c r="A219" s="103"/>
      <c r="B219" s="87" t="s">
        <v>1674</v>
      </c>
      <c r="C219" s="88"/>
      <c r="D219" s="89"/>
      <c r="E219" s="89"/>
      <c r="F219" s="89"/>
      <c r="G219" s="89"/>
      <c r="H219" s="90">
        <f>ROUND(SUM(H215:H218),2)</f>
        <v>0.17</v>
      </c>
      <c r="I219" s="5"/>
    </row>
    <row r="220" spans="1:9" s="4" customFormat="1" ht="15.75" x14ac:dyDescent="0.25">
      <c r="A220" s="103"/>
      <c r="B220" s="2"/>
      <c r="C220" s="2"/>
      <c r="D220" s="91" t="s">
        <v>1673</v>
      </c>
      <c r="E220" s="177"/>
      <c r="F220" s="177"/>
      <c r="G220" s="177"/>
      <c r="H220" s="92">
        <f>ROUND(SUM(H219,H213,H194,H184),2)</f>
        <v>9.4700000000000006</v>
      </c>
      <c r="I220" s="5"/>
    </row>
    <row r="221" spans="1:9" s="4" customFormat="1" ht="15.75" x14ac:dyDescent="0.25">
      <c r="A221" s="103">
        <v>40002</v>
      </c>
      <c r="B221" s="2"/>
      <c r="C221" s="2"/>
      <c r="D221" s="93" t="s">
        <v>1672</v>
      </c>
      <c r="E221" s="166"/>
      <c r="F221" s="166"/>
      <c r="G221" s="178">
        <f>IF($A221=0,"",VLOOKUP($A221,'BASE MATERIAL'!$M:$P,4))</f>
        <v>0</v>
      </c>
      <c r="H221" s="95">
        <f>IF($A221=0,"",ROUND(G221*H220,2))</f>
        <v>0</v>
      </c>
      <c r="I221" s="5"/>
    </row>
    <row r="222" spans="1:9" s="4" customFormat="1" ht="15.75" x14ac:dyDescent="0.25">
      <c r="A222" s="103">
        <v>40003</v>
      </c>
      <c r="B222" s="2"/>
      <c r="C222" s="2"/>
      <c r="D222" s="93" t="s">
        <v>1671</v>
      </c>
      <c r="E222" s="166"/>
      <c r="F222" s="166"/>
      <c r="G222" s="178">
        <f>IF($A222=0,"",VLOOKUP($A222,'BASE MATERIAL'!$M:$P,4))</f>
        <v>0</v>
      </c>
      <c r="H222" s="95">
        <f>IF($A222=0,"",ROUND(G222*H220,2))</f>
        <v>0</v>
      </c>
      <c r="I222" s="5"/>
    </row>
    <row r="223" spans="1:9" s="4" customFormat="1" ht="15.75" x14ac:dyDescent="0.25">
      <c r="A223" s="103"/>
      <c r="B223" s="2"/>
      <c r="C223" s="2"/>
      <c r="D223" s="93" t="s">
        <v>1670</v>
      </c>
      <c r="E223" s="166"/>
      <c r="F223" s="166"/>
      <c r="G223" s="166"/>
      <c r="H223" s="96">
        <f>ROUND(SUM(H220:H222),2)</f>
        <v>9.4700000000000006</v>
      </c>
      <c r="I223" s="5"/>
    </row>
    <row r="224" spans="1:9" s="4" customFormat="1" ht="16.5" thickBot="1" x14ac:dyDescent="0.3">
      <c r="A224" s="103"/>
      <c r="B224" s="25"/>
      <c r="C224" s="5"/>
      <c r="D224" s="97" t="s">
        <v>1650</v>
      </c>
      <c r="E224" s="179"/>
      <c r="F224" s="179"/>
      <c r="G224" s="179"/>
      <c r="H224" s="98">
        <f>ROUND(H223,2)</f>
        <v>9.4700000000000006</v>
      </c>
      <c r="I224" s="5"/>
    </row>
    <row r="225" spans="1:15" ht="15.75" x14ac:dyDescent="0.25">
      <c r="B225" s="34" t="s">
        <v>1701</v>
      </c>
      <c r="C225" s="5"/>
      <c r="D225" s="157" t="str">
        <f>$D$113</f>
        <v>ESPOL</v>
      </c>
      <c r="E225" s="2"/>
      <c r="F225" s="2"/>
      <c r="H225" s="2" t="s">
        <v>108</v>
      </c>
      <c r="I225" s="2"/>
      <c r="L225" s="40">
        <f>A229</f>
        <v>1</v>
      </c>
      <c r="M225" s="2" t="str">
        <f>C230</f>
        <v>Dinteles y Viguetas h. armado   19x20cm</v>
      </c>
      <c r="N225" s="2" t="str">
        <f>H229</f>
        <v>ml</v>
      </c>
      <c r="O225" s="2">
        <f>H280</f>
        <v>18.22</v>
      </c>
    </row>
    <row r="226" spans="1:15" s="4" customFormat="1" ht="15.75" x14ac:dyDescent="0.25">
      <c r="A226" s="103"/>
      <c r="B226" s="34" t="s">
        <v>1700</v>
      </c>
      <c r="C226" s="3">
        <f>'1.1'!$C$2</f>
        <v>0</v>
      </c>
      <c r="D226" s="5"/>
      <c r="E226" s="5"/>
      <c r="F226" s="5"/>
      <c r="G226" s="158" t="s">
        <v>1699</v>
      </c>
      <c r="H226" s="159"/>
      <c r="I226" s="5" t="s">
        <v>1698</v>
      </c>
    </row>
    <row r="227" spans="1:15" s="4" customFormat="1" ht="15.75" x14ac:dyDescent="0.25">
      <c r="A227" s="103"/>
      <c r="B227" s="34"/>
      <c r="C227" s="3">
        <f>'1.1'!$C$3</f>
        <v>0</v>
      </c>
      <c r="D227" s="5"/>
      <c r="E227" s="5"/>
      <c r="F227" s="5"/>
      <c r="G227" s="5"/>
      <c r="H227" s="5"/>
      <c r="I227" s="5"/>
    </row>
    <row r="228" spans="1:15" s="4" customFormat="1" ht="15.75" x14ac:dyDescent="0.25">
      <c r="A228" s="103"/>
      <c r="B228" s="34" t="s">
        <v>1697</v>
      </c>
      <c r="C228" s="3"/>
      <c r="D228" s="5"/>
      <c r="E228" s="5"/>
      <c r="F228" s="5"/>
      <c r="G228" s="5"/>
      <c r="H228" s="5"/>
      <c r="I228" s="5"/>
    </row>
    <row r="229" spans="1:15" x14ac:dyDescent="0.25">
      <c r="A229" s="104">
        <v>1</v>
      </c>
      <c r="B229" s="2" t="s">
        <v>1586</v>
      </c>
      <c r="C229" s="111"/>
      <c r="D229" s="5"/>
      <c r="E229" s="4"/>
      <c r="F229" s="4"/>
      <c r="G229" s="5" t="s">
        <v>1696</v>
      </c>
      <c r="H229" s="157" t="s">
        <v>961</v>
      </c>
      <c r="I229" s="2"/>
    </row>
    <row r="230" spans="1:15" s="4" customFormat="1" x14ac:dyDescent="0.25">
      <c r="A230" s="103"/>
      <c r="B230" s="1" t="s">
        <v>1585</v>
      </c>
      <c r="C230" s="36" t="s">
        <v>278</v>
      </c>
      <c r="D230" s="5"/>
      <c r="E230" s="5"/>
      <c r="F230" s="5"/>
      <c r="G230" s="5"/>
      <c r="H230" s="5"/>
      <c r="I230" s="5"/>
    </row>
    <row r="231" spans="1:15" ht="15.75" thickBot="1" x14ac:dyDescent="0.3">
      <c r="D231" s="2"/>
      <c r="E231" s="2"/>
      <c r="F231" s="2"/>
      <c r="G231" s="2"/>
      <c r="H231" s="2"/>
      <c r="I231" s="2"/>
    </row>
    <row r="232" spans="1:15" ht="15.75" thickBot="1" x14ac:dyDescent="0.3">
      <c r="B232" s="43" t="s">
        <v>1695</v>
      </c>
      <c r="C232" s="44"/>
      <c r="D232" s="44"/>
      <c r="E232" s="44"/>
      <c r="F232" s="44"/>
      <c r="G232" s="44"/>
      <c r="H232" s="45"/>
      <c r="I232" s="2"/>
    </row>
    <row r="233" spans="1:15" ht="25.5" x14ac:dyDescent="0.25">
      <c r="B233" s="46" t="s">
        <v>1409</v>
      </c>
      <c r="C233" s="47"/>
      <c r="D233" s="48" t="s">
        <v>1690</v>
      </c>
      <c r="E233" s="48" t="s">
        <v>1694</v>
      </c>
      <c r="F233" s="48" t="s">
        <v>1693</v>
      </c>
      <c r="G233" s="49" t="s">
        <v>1687</v>
      </c>
      <c r="H233" s="50" t="s">
        <v>1686</v>
      </c>
      <c r="I233" s="2"/>
    </row>
    <row r="234" spans="1:15" s="4" customFormat="1" x14ac:dyDescent="0.25">
      <c r="A234" s="103">
        <v>19015</v>
      </c>
      <c r="B234" s="51" t="str">
        <f>IF($A234=0,"",VLOOKUP($A234,'BASE EQUIPO'!$A:$D,2))</f>
        <v>HERRAMIENTA MENOR</v>
      </c>
      <c r="C234" s="52"/>
      <c r="D234" s="53">
        <v>1</v>
      </c>
      <c r="E234" s="53">
        <f>IF($A234=0,"",VLOOKUP($A234,'BASE EQUIPO'!$A:$D,4)*H250)</f>
        <v>0.20669999999999999</v>
      </c>
      <c r="F234" s="53">
        <f t="shared" ref="F234:F239" si="20">IF($A234=0,"",ROUND(D234*E234,2))</f>
        <v>0.21</v>
      </c>
      <c r="G234" s="105">
        <v>1</v>
      </c>
      <c r="H234" s="54">
        <f t="shared" ref="H234:H239" si="21">IF($A234=0,"",ROUND(G234*F234,2))</f>
        <v>0.21</v>
      </c>
      <c r="I234" s="5"/>
    </row>
    <row r="235" spans="1:15" s="4" customFormat="1" x14ac:dyDescent="0.25">
      <c r="A235" s="103"/>
      <c r="B235" s="38" t="str">
        <f>IF($A235=0,"",VLOOKUP($A235,'BASE EQUIPO'!$A:$D,2))</f>
        <v/>
      </c>
      <c r="C235" s="2"/>
      <c r="D235" s="55"/>
      <c r="E235" s="55" t="str">
        <f>IF($A235=0,"",VLOOKUP($A235,'BASE EQUIPO'!$A:$D,4))</f>
        <v/>
      </c>
      <c r="F235" s="55" t="str">
        <f t="shared" si="20"/>
        <v/>
      </c>
      <c r="G235" s="106"/>
      <c r="H235" s="56" t="str">
        <f t="shared" si="21"/>
        <v/>
      </c>
      <c r="I235" s="5"/>
    </row>
    <row r="236" spans="1:15" s="4" customFormat="1" x14ac:dyDescent="0.25">
      <c r="A236" s="103"/>
      <c r="B236" s="38" t="str">
        <f>IF($A236=0,"",VLOOKUP($A236,'BASE EQUIPO'!$A:$D,2))</f>
        <v/>
      </c>
      <c r="C236" s="2"/>
      <c r="D236" s="55"/>
      <c r="E236" s="55" t="str">
        <f>IF($A236=0,"",VLOOKUP($A236,'BASE EQUIPO'!$A:$D,4))</f>
        <v/>
      </c>
      <c r="F236" s="55" t="str">
        <f t="shared" si="20"/>
        <v/>
      </c>
      <c r="G236" s="106"/>
      <c r="H236" s="56" t="str">
        <f t="shared" si="21"/>
        <v/>
      </c>
      <c r="I236" s="5"/>
    </row>
    <row r="237" spans="1:15" s="4" customFormat="1" x14ac:dyDescent="0.25">
      <c r="A237" s="103"/>
      <c r="B237" s="38" t="str">
        <f>IF($A237=0,"",VLOOKUP($A237,'BASE EQUIPO'!$A:$D,2))</f>
        <v/>
      </c>
      <c r="C237" s="2"/>
      <c r="D237" s="55"/>
      <c r="E237" s="55" t="str">
        <f>IF($A237=0,"",VLOOKUP($A237,'BASE EQUIPO'!$A:$D,4))</f>
        <v/>
      </c>
      <c r="F237" s="55" t="str">
        <f t="shared" si="20"/>
        <v/>
      </c>
      <c r="G237" s="106"/>
      <c r="H237" s="56" t="str">
        <f t="shared" si="21"/>
        <v/>
      </c>
      <c r="I237" s="5"/>
    </row>
    <row r="238" spans="1:15" s="4" customFormat="1" x14ac:dyDescent="0.25">
      <c r="A238" s="103"/>
      <c r="B238" s="38" t="str">
        <f>IF($A238=0,"",VLOOKUP($A238,'BASE EQUIPO'!$A:$D,2))</f>
        <v/>
      </c>
      <c r="C238" s="2"/>
      <c r="D238" s="55"/>
      <c r="E238" s="55" t="str">
        <f>IF($A238=0,"",VLOOKUP($A238,'BASE EQUIPO'!$A:$D,4))</f>
        <v/>
      </c>
      <c r="F238" s="55" t="str">
        <f t="shared" si="20"/>
        <v/>
      </c>
      <c r="G238" s="106"/>
      <c r="H238" s="56" t="str">
        <f t="shared" si="21"/>
        <v/>
      </c>
      <c r="I238" s="5"/>
    </row>
    <row r="239" spans="1:15" s="4" customFormat="1" x14ac:dyDescent="0.25">
      <c r="A239" s="103"/>
      <c r="B239" s="57" t="str">
        <f>IF($A239=0,"",VLOOKUP($A239,'BASE EQUIPO'!$A:$D,2))</f>
        <v/>
      </c>
      <c r="C239" s="58"/>
      <c r="D239" s="59"/>
      <c r="E239" s="59" t="str">
        <f>IF($A239=0,"",VLOOKUP($A239,'BASE EQUIPO'!$A:$D,4))</f>
        <v/>
      </c>
      <c r="F239" s="59" t="str">
        <f t="shared" si="20"/>
        <v/>
      </c>
      <c r="G239" s="107"/>
      <c r="H239" s="60" t="str">
        <f t="shared" si="21"/>
        <v/>
      </c>
      <c r="I239" s="5"/>
    </row>
    <row r="240" spans="1:15" s="4" customFormat="1" x14ac:dyDescent="0.25">
      <c r="A240" s="103"/>
      <c r="B240" s="57" t="s">
        <v>1692</v>
      </c>
      <c r="C240" s="58"/>
      <c r="D240" s="61"/>
      <c r="E240" s="61"/>
      <c r="F240" s="61"/>
      <c r="G240" s="62"/>
      <c r="H240" s="60">
        <f>ROUND(SUM(H233:H239),2)</f>
        <v>0.21</v>
      </c>
      <c r="I240" s="5"/>
    </row>
    <row r="241" spans="1:16" s="4" customFormat="1" x14ac:dyDescent="0.25">
      <c r="A241" s="103"/>
      <c r="B241" s="38" t="s">
        <v>1503</v>
      </c>
      <c r="C241" s="2"/>
      <c r="D241" s="3"/>
      <c r="E241" s="3"/>
      <c r="F241" s="3"/>
      <c r="G241" s="63"/>
      <c r="H241" s="56"/>
      <c r="I241" s="5"/>
    </row>
    <row r="242" spans="1:16" ht="25.5" x14ac:dyDescent="0.25">
      <c r="B242" s="64" t="s">
        <v>1691</v>
      </c>
      <c r="C242" s="65"/>
      <c r="D242" s="66" t="s">
        <v>1690</v>
      </c>
      <c r="E242" s="66" t="s">
        <v>1689</v>
      </c>
      <c r="F242" s="66" t="s">
        <v>1688</v>
      </c>
      <c r="G242" s="67" t="s">
        <v>1687</v>
      </c>
      <c r="H242" s="68" t="s">
        <v>1686</v>
      </c>
      <c r="I242" s="2"/>
    </row>
    <row r="243" spans="1:16" s="4" customFormat="1" x14ac:dyDescent="0.25">
      <c r="A243" s="103">
        <v>20001</v>
      </c>
      <c r="B243" s="69" t="str">
        <f>IF($A243=0,"",VLOOKUP($A243,'BASE M-OBRA'!$A:$D,2))</f>
        <v>MAESTRO</v>
      </c>
      <c r="C243" s="2"/>
      <c r="D243" s="108">
        <v>1</v>
      </c>
      <c r="E243" s="70">
        <f>IF($A243=0,"",VLOOKUP($A243,'BASE M-OBRA'!$A:$D,4))</f>
        <v>3.02</v>
      </c>
      <c r="F243" s="55">
        <f t="shared" ref="F243:F249" si="22">IF($A243=0,"",ROUND(D243*E243,2))</f>
        <v>3.02</v>
      </c>
      <c r="G243" s="106">
        <f>IF($A243=0,"",ROUND(H243/F243,2))</f>
        <v>0.38</v>
      </c>
      <c r="H243" s="56">
        <f>IF($A243=0,"",ROUND(SUM(H244:H249)*'BASE M-OBRA'!$D$23,2))</f>
        <v>1.1499999999999999</v>
      </c>
      <c r="I243" s="5"/>
    </row>
    <row r="244" spans="1:16" s="4" customFormat="1" x14ac:dyDescent="0.25">
      <c r="A244" s="103">
        <v>20002</v>
      </c>
      <c r="B244" s="69" t="str">
        <f>IF($A244=0,"",VLOOKUP($A244,'BASE M-OBRA'!$A:$D,2))</f>
        <v>PEON</v>
      </c>
      <c r="C244" s="2"/>
      <c r="D244" s="108">
        <v>2</v>
      </c>
      <c r="E244" s="70">
        <f>IF($A244=0,"",VLOOKUP($A244,'BASE M-OBRA'!$A:$D,4))</f>
        <v>2.79</v>
      </c>
      <c r="F244" s="55">
        <f t="shared" si="22"/>
        <v>5.58</v>
      </c>
      <c r="G244" s="106">
        <v>0.2</v>
      </c>
      <c r="H244" s="56">
        <f t="shared" ref="H244:H249" si="23">IF($A244=0,"",ROUND(G244*F244,2))</f>
        <v>1.1200000000000001</v>
      </c>
      <c r="I244" s="5"/>
      <c r="K244" s="4">
        <f>20*0.2*0.2</f>
        <v>0.8</v>
      </c>
    </row>
    <row r="245" spans="1:16" s="4" customFormat="1" x14ac:dyDescent="0.25">
      <c r="A245" s="103">
        <v>20003</v>
      </c>
      <c r="B245" s="69" t="str">
        <f>IF($A245=0,"",VLOOKUP($A245,'BASE M-OBRA'!$A:$D,2))</f>
        <v>ALBAÑIL</v>
      </c>
      <c r="C245" s="2"/>
      <c r="D245" s="108">
        <v>2</v>
      </c>
      <c r="E245" s="70">
        <f>IF($A245=0,"",VLOOKUP($A245,'BASE M-OBRA'!$A:$D,4))</f>
        <v>2.82</v>
      </c>
      <c r="F245" s="55">
        <f t="shared" si="22"/>
        <v>5.64</v>
      </c>
      <c r="G245" s="106">
        <f>+G244</f>
        <v>0.2</v>
      </c>
      <c r="H245" s="56">
        <f t="shared" si="23"/>
        <v>1.1299999999999999</v>
      </c>
      <c r="I245" s="5"/>
    </row>
    <row r="246" spans="1:16" s="4" customFormat="1" x14ac:dyDescent="0.25">
      <c r="A246" s="103">
        <v>20004</v>
      </c>
      <c r="B246" s="71" t="str">
        <f>IF($A246=0,"",VLOOKUP($A246,'BASE M-OBRA'!$A:$D,2))</f>
        <v>CARPINTERO</v>
      </c>
      <c r="C246" s="2"/>
      <c r="D246" s="108">
        <v>2</v>
      </c>
      <c r="E246" s="70">
        <f>IF($A246=0,"",VLOOKUP($A246,'BASE M-OBRA'!$A:$D,4))</f>
        <v>2.82</v>
      </c>
      <c r="F246" s="55">
        <f t="shared" si="22"/>
        <v>5.64</v>
      </c>
      <c r="G246" s="106">
        <v>0.3</v>
      </c>
      <c r="H246" s="56">
        <f t="shared" si="23"/>
        <v>1.69</v>
      </c>
      <c r="I246" s="5"/>
      <c r="K246" s="4">
        <f>0.6*2.9</f>
        <v>1.74</v>
      </c>
    </row>
    <row r="247" spans="1:16" s="4" customFormat="1" x14ac:dyDescent="0.25">
      <c r="A247" s="103">
        <v>20005</v>
      </c>
      <c r="B247" s="72" t="str">
        <f>IF($A247=0,"",VLOOKUP($A247,'BASE M-OBRA'!$A:$D,2))</f>
        <v>FIERRERO</v>
      </c>
      <c r="C247" s="2"/>
      <c r="D247" s="108">
        <v>2</v>
      </c>
      <c r="E247" s="70">
        <f>IF($A247=0,"",VLOOKUP($A247,'BASE M-OBRA'!$A:$D,4))</f>
        <v>2.82</v>
      </c>
      <c r="F247" s="55">
        <f t="shared" si="22"/>
        <v>5.64</v>
      </c>
      <c r="G247" s="106">
        <v>0.32</v>
      </c>
      <c r="H247" s="56">
        <f t="shared" si="23"/>
        <v>1.8</v>
      </c>
      <c r="I247" s="5"/>
      <c r="K247" s="4">
        <f>0.3*F256</f>
        <v>1.49688</v>
      </c>
    </row>
    <row r="248" spans="1:16" s="4" customFormat="1" x14ac:dyDescent="0.25">
      <c r="A248" s="103"/>
      <c r="B248" s="38" t="str">
        <f>IF($A248=0,"",VLOOKUP($A248,'BASE M-OBRA'!$A:$D,2))</f>
        <v/>
      </c>
      <c r="C248" s="2"/>
      <c r="D248" s="55"/>
      <c r="E248" s="55" t="str">
        <f>IF($A248=0,"",VLOOKUP($A248,'BASE M-OBRA'!$A:$D,4))</f>
        <v/>
      </c>
      <c r="F248" s="55" t="str">
        <f t="shared" si="22"/>
        <v/>
      </c>
      <c r="G248" s="106"/>
      <c r="H248" s="56" t="str">
        <f t="shared" si="23"/>
        <v/>
      </c>
      <c r="I248" s="5"/>
    </row>
    <row r="249" spans="1:16" s="4" customFormat="1" x14ac:dyDescent="0.25">
      <c r="A249" s="103"/>
      <c r="B249" s="57" t="str">
        <f>IF($A249=0,"",VLOOKUP($A249,'BASE M-OBRA'!$A:$D,2))</f>
        <v/>
      </c>
      <c r="C249" s="58"/>
      <c r="D249" s="59"/>
      <c r="E249" s="59" t="str">
        <f>IF($A249=0,"",VLOOKUP($A249,'BASE M-OBRA'!$A:$D,4))</f>
        <v/>
      </c>
      <c r="F249" s="59" t="str">
        <f t="shared" si="22"/>
        <v/>
      </c>
      <c r="G249" s="107"/>
      <c r="H249" s="60" t="str">
        <f t="shared" si="23"/>
        <v/>
      </c>
      <c r="I249" s="5"/>
    </row>
    <row r="250" spans="1:16" s="4" customFormat="1" x14ac:dyDescent="0.25">
      <c r="A250" s="103"/>
      <c r="B250" s="73" t="s">
        <v>1685</v>
      </c>
      <c r="C250" s="65"/>
      <c r="D250" s="74"/>
      <c r="E250" s="74"/>
      <c r="F250" s="74"/>
      <c r="G250" s="74"/>
      <c r="H250" s="75">
        <f>ROUND(SUM(H242:H249),2)</f>
        <v>6.89</v>
      </c>
      <c r="I250" s="5"/>
    </row>
    <row r="251" spans="1:16" s="4" customFormat="1" x14ac:dyDescent="0.25">
      <c r="A251" s="103"/>
      <c r="B251" s="38" t="s">
        <v>1684</v>
      </c>
      <c r="C251" s="2"/>
      <c r="D251" s="3"/>
      <c r="E251" s="3"/>
      <c r="F251" s="3"/>
      <c r="G251" s="3"/>
      <c r="H251" s="56"/>
      <c r="I251" s="5"/>
    </row>
    <row r="252" spans="1:16" ht="25.5" x14ac:dyDescent="0.25">
      <c r="B252" s="64" t="s">
        <v>1409</v>
      </c>
      <c r="C252" s="65"/>
      <c r="D252" s="76"/>
      <c r="E252" s="66" t="s">
        <v>1408</v>
      </c>
      <c r="F252" s="66" t="s">
        <v>1679</v>
      </c>
      <c r="G252" s="66" t="s">
        <v>1683</v>
      </c>
      <c r="H252" s="68" t="s">
        <v>1675</v>
      </c>
      <c r="I252" s="2"/>
    </row>
    <row r="253" spans="1:16" s="4" customFormat="1" x14ac:dyDescent="0.25">
      <c r="A253" s="103">
        <v>11008</v>
      </c>
      <c r="B253" s="37" t="str">
        <f>IF($A253=0,"",VLOOKUP($A253,'BASE MATERIAL'!$A:$D,2))</f>
        <v>TABLA</v>
      </c>
      <c r="C253" s="2"/>
      <c r="D253" s="77"/>
      <c r="E253" s="78" t="str">
        <f>IF($A253=0,"",VLOOKUP($A253,'BASE MATERIAL'!$A:$D,3))</f>
        <v>U</v>
      </c>
      <c r="F253" s="55">
        <f>ROUND(0.6*5/(4*3),2)</f>
        <v>0.25</v>
      </c>
      <c r="G253" s="55">
        <f>IF($A253=0,"",VLOOKUP($A253,'BASE MATERIAL'!$A:$D,4))</f>
        <v>3.5</v>
      </c>
      <c r="H253" s="56">
        <f t="shared" ref="H253:H267" si="24">IF($A253=0,"",ROUND(F253*G253,2))</f>
        <v>0.88</v>
      </c>
      <c r="I253" s="5"/>
      <c r="L253" s="5"/>
      <c r="M253" s="5"/>
      <c r="N253" s="160"/>
      <c r="O253" s="5"/>
      <c r="P253" s="5"/>
    </row>
    <row r="254" spans="1:16" s="4" customFormat="1" x14ac:dyDescent="0.25">
      <c r="A254" s="103">
        <v>11009</v>
      </c>
      <c r="B254" s="38" t="str">
        <f>IF($A254=0,"",VLOOKUP($A254,'BASE MATERIAL'!$A:$D,2))</f>
        <v>CUARTON</v>
      </c>
      <c r="C254" s="2"/>
      <c r="D254" s="77"/>
      <c r="E254" s="78" t="str">
        <f>IF($A254=0,"",VLOOKUP($A254,'BASE MATERIAL'!$A:$D,3))</f>
        <v>U</v>
      </c>
      <c r="F254" s="55">
        <f>ROUND(0.6*8/(4*3),2)</f>
        <v>0.4</v>
      </c>
      <c r="G254" s="55">
        <f>IF($A254=0,"",VLOOKUP($A254,'BASE MATERIAL'!$A:$D,4))</f>
        <v>2.42</v>
      </c>
      <c r="H254" s="56">
        <f t="shared" si="24"/>
        <v>0.97</v>
      </c>
      <c r="I254" s="5"/>
      <c r="L254" s="5"/>
      <c r="M254" s="5"/>
      <c r="N254" s="160"/>
      <c r="O254" s="5"/>
      <c r="P254" s="5"/>
    </row>
    <row r="255" spans="1:16" s="4" customFormat="1" x14ac:dyDescent="0.25">
      <c r="A255" s="103">
        <v>11007</v>
      </c>
      <c r="B255" s="38" t="str">
        <f>IF($A255=0,"",VLOOKUP($A255,'BASE MATERIAL'!$A:$D,2))</f>
        <v>CLAVO 2 1/2"</v>
      </c>
      <c r="C255" s="2"/>
      <c r="D255" s="77"/>
      <c r="E255" s="78" t="str">
        <f>IF($A255=0,"",VLOOKUP($A255,'BASE MATERIAL'!$A:$D,3))</f>
        <v>KG</v>
      </c>
      <c r="F255" s="55">
        <f>ROUND(0.6*56/(178*1.5),2)</f>
        <v>0.13</v>
      </c>
      <c r="G255" s="55">
        <f>IF($A255=0,"",VLOOKUP($A255,'BASE MATERIAL'!$A:$D,4))</f>
        <v>2.6520000000000001</v>
      </c>
      <c r="H255" s="56">
        <f t="shared" si="24"/>
        <v>0.34</v>
      </c>
      <c r="I255" s="5"/>
      <c r="L255" s="5"/>
      <c r="M255" s="5"/>
      <c r="N255" s="160"/>
      <c r="O255" s="5"/>
      <c r="P255" s="5"/>
    </row>
    <row r="256" spans="1:16" s="4" customFormat="1" x14ac:dyDescent="0.25">
      <c r="A256" s="103">
        <v>1001</v>
      </c>
      <c r="B256" s="38" t="str">
        <f>IF($A256=0,"",VLOOKUP($A256,'BASE MATERIAL'!$A:$D,2))</f>
        <v>HIERRO</v>
      </c>
      <c r="C256" s="2"/>
      <c r="D256" s="77"/>
      <c r="E256" s="78" t="str">
        <f>IF($A256=0,"",VLOOKUP($A256,'BASE MATERIAL'!$A:$D,3))</f>
        <v>KG</v>
      </c>
      <c r="F256" s="55">
        <f>4*0.617+8*0.8*0.394</f>
        <v>4.9896000000000003</v>
      </c>
      <c r="G256" s="55">
        <f>IF($A256=0,"",VLOOKUP($A256,'BASE MATERIAL'!$A:$D,4))</f>
        <v>1.17</v>
      </c>
      <c r="H256" s="56">
        <f t="shared" si="24"/>
        <v>5.84</v>
      </c>
      <c r="I256" s="5"/>
      <c r="K256" s="4">
        <f>4*0.617</f>
        <v>2.468</v>
      </c>
      <c r="L256" s="5"/>
      <c r="M256" s="5"/>
      <c r="N256" s="160"/>
      <c r="O256" s="5"/>
      <c r="P256" s="5"/>
    </row>
    <row r="257" spans="1:16" s="4" customFormat="1" x14ac:dyDescent="0.25">
      <c r="A257" s="103">
        <v>11002</v>
      </c>
      <c r="B257" s="38" t="str">
        <f>IF($A257=0,"",VLOOKUP($A257,'BASE MATERIAL'!$A:$D,2))</f>
        <v>ALAMBRE #18 RECOCIDO</v>
      </c>
      <c r="C257" s="2"/>
      <c r="D257" s="77"/>
      <c r="E257" s="78" t="str">
        <f>IF($A257=0,"",VLOOKUP($A257,'BASE MATERIAL'!$A:$D,3))</f>
        <v>KG</v>
      </c>
      <c r="F257" s="55">
        <f>ROUND(F256*0.02,2)</f>
        <v>0.1</v>
      </c>
      <c r="G257" s="55">
        <f>IF($A257=0,"",VLOOKUP($A257,'BASE MATERIAL'!$A:$D,4))</f>
        <v>1.87</v>
      </c>
      <c r="H257" s="56">
        <f t="shared" si="24"/>
        <v>0.19</v>
      </c>
      <c r="I257" s="5"/>
      <c r="K257" s="4">
        <f>8*0.8*0.394</f>
        <v>2.5216000000000003</v>
      </c>
      <c r="L257" s="5"/>
      <c r="M257" s="5"/>
      <c r="N257" s="160"/>
      <c r="O257" s="5"/>
      <c r="P257" s="5"/>
    </row>
    <row r="258" spans="1:16" s="4" customFormat="1" x14ac:dyDescent="0.25">
      <c r="A258" s="103">
        <v>4001</v>
      </c>
      <c r="B258" s="38" t="str">
        <f>IF($A258=0,"",VLOOKUP($A258,'BASE MATERIAL'!$A:$D,2))</f>
        <v>CEMENTO</v>
      </c>
      <c r="C258" s="2"/>
      <c r="D258" s="77"/>
      <c r="E258" s="78" t="str">
        <f>IF($A258=0,"",VLOOKUP($A258,'BASE MATERIAL'!$A:$D,3))</f>
        <v>SACO</v>
      </c>
      <c r="F258" s="55">
        <f>ROUND(7*0.19*0.2,2)</f>
        <v>0.27</v>
      </c>
      <c r="G258" s="55">
        <f>IF($A258=0,"",VLOOKUP($A258,'BASE MATERIAL'!$A:$D,4))</f>
        <v>7.09</v>
      </c>
      <c r="H258" s="56">
        <f t="shared" si="24"/>
        <v>1.91</v>
      </c>
      <c r="I258" s="5"/>
      <c r="L258" s="5"/>
      <c r="M258" s="5"/>
      <c r="N258" s="160"/>
      <c r="O258" s="5"/>
      <c r="P258" s="5"/>
    </row>
    <row r="259" spans="1:16" s="4" customFormat="1" x14ac:dyDescent="0.25">
      <c r="A259" s="103">
        <v>5004</v>
      </c>
      <c r="B259" s="38" t="str">
        <f>IF($A259=0,"",VLOOKUP($A259,'BASE MATERIAL'!$A:$D,2))</f>
        <v>ARENA</v>
      </c>
      <c r="C259" s="2"/>
      <c r="D259" s="77"/>
      <c r="E259" s="78" t="str">
        <f>IF($A259=0,"",VLOOKUP($A259,'BASE MATERIAL'!$A:$D,3))</f>
        <v>M3</v>
      </c>
      <c r="F259" s="55">
        <f>ROUND(F258*0.032*2,2)</f>
        <v>0.02</v>
      </c>
      <c r="G259" s="55">
        <f>IF($A259=0,"",VLOOKUP($A259,'BASE MATERIAL'!$A:$D,4))</f>
        <v>12.276249999999999</v>
      </c>
      <c r="H259" s="56">
        <f t="shared" si="24"/>
        <v>0.25</v>
      </c>
      <c r="I259" s="5"/>
      <c r="L259" s="5"/>
      <c r="M259" s="5"/>
      <c r="N259" s="160"/>
      <c r="O259" s="5"/>
      <c r="P259" s="5"/>
    </row>
    <row r="260" spans="1:16" s="4" customFormat="1" x14ac:dyDescent="0.25">
      <c r="A260" s="103">
        <v>5002</v>
      </c>
      <c r="B260" s="38" t="str">
        <f>IF($A260=0,"",VLOOKUP($A260,'BASE MATERIAL'!$A:$D,2))</f>
        <v>PIEDRA 3-4</v>
      </c>
      <c r="C260" s="2"/>
      <c r="D260" s="77"/>
      <c r="E260" s="78" t="str">
        <f>IF($A260=0,"",VLOOKUP($A260,'BASE MATERIAL'!$A:$D,3))</f>
        <v>M3</v>
      </c>
      <c r="F260" s="55">
        <f>ROUND(F258*0.032*3,2)</f>
        <v>0.03</v>
      </c>
      <c r="G260" s="55">
        <f>IF($A260=0,"",VLOOKUP($A260,'BASE MATERIAL'!$A:$D,4))</f>
        <v>13.75</v>
      </c>
      <c r="H260" s="56">
        <f t="shared" si="24"/>
        <v>0.41</v>
      </c>
      <c r="I260" s="5"/>
      <c r="L260" s="5"/>
      <c r="M260" s="5"/>
      <c r="N260" s="160"/>
      <c r="O260" s="5"/>
      <c r="P260" s="5"/>
    </row>
    <row r="261" spans="1:16" s="4" customFormat="1" x14ac:dyDescent="0.25">
      <c r="A261" s="103">
        <v>5005</v>
      </c>
      <c r="B261" s="38" t="str">
        <f>IF($A261=0,"",VLOOKUP($A261,'BASE MATERIAL'!$A:$D,2))</f>
        <v>AGUA</v>
      </c>
      <c r="C261" s="2"/>
      <c r="D261" s="77"/>
      <c r="E261" s="78" t="str">
        <f>IF($A261=0,"",VLOOKUP($A261,'BASE MATERIAL'!$A:$D,3))</f>
        <v>LT</v>
      </c>
      <c r="F261" s="55">
        <f>ROUND(26*F258,2)</f>
        <v>7.02</v>
      </c>
      <c r="G261" s="80">
        <f>IF($A261=0,"",VLOOKUP($A261,'BASE MATERIAL'!$A:$D,4))</f>
        <v>2E-3</v>
      </c>
      <c r="H261" s="56">
        <f t="shared" si="24"/>
        <v>0.01</v>
      </c>
      <c r="I261" s="5"/>
    </row>
    <row r="262" spans="1:16" s="4" customFormat="1" x14ac:dyDescent="0.25">
      <c r="A262" s="103"/>
      <c r="B262" s="38" t="str">
        <f>IF($A262=0,"",VLOOKUP($A262,'BASE MATERIAL'!$A:$D,2))</f>
        <v/>
      </c>
      <c r="C262" s="2"/>
      <c r="D262" s="77"/>
      <c r="E262" s="78" t="str">
        <f>IF($A262=0,"",VLOOKUP($A262,'BASE MATERIAL'!$A:$D,3))</f>
        <v/>
      </c>
      <c r="F262" s="55"/>
      <c r="G262" s="55" t="str">
        <f>IF($A262=0,"",VLOOKUP($A262,'BASE MATERIAL'!$A:$D,4))</f>
        <v/>
      </c>
      <c r="H262" s="56" t="str">
        <f t="shared" si="24"/>
        <v/>
      </c>
      <c r="I262" s="5"/>
      <c r="L262" s="5"/>
      <c r="M262" s="5"/>
      <c r="N262" s="160"/>
      <c r="O262" s="5"/>
      <c r="P262" s="5"/>
    </row>
    <row r="263" spans="1:16" s="4" customFormat="1" x14ac:dyDescent="0.25">
      <c r="A263" s="103"/>
      <c r="B263" s="38" t="str">
        <f>IF($A263=0,"",VLOOKUP($A263,'BASE MATERIAL'!$A:$D,2))</f>
        <v/>
      </c>
      <c r="C263" s="2"/>
      <c r="D263" s="77"/>
      <c r="E263" s="78" t="str">
        <f>IF($A263=0,"",VLOOKUP($A263,'BASE MATERIAL'!$A:$D,3))</f>
        <v/>
      </c>
      <c r="F263" s="55"/>
      <c r="G263" s="55" t="str">
        <f>IF($A263=0,"",VLOOKUP($A263,'BASE MATERIAL'!$A:$D,4))</f>
        <v/>
      </c>
      <c r="H263" s="56" t="str">
        <f t="shared" si="24"/>
        <v/>
      </c>
      <c r="I263" s="5"/>
      <c r="L263" s="5"/>
      <c r="M263" s="5"/>
      <c r="N263" s="160"/>
      <c r="O263" s="5"/>
      <c r="P263" s="5"/>
    </row>
    <row r="264" spans="1:16" s="4" customFormat="1" x14ac:dyDescent="0.25">
      <c r="A264" s="103"/>
      <c r="B264" s="38" t="str">
        <f>IF($A264=0,"",VLOOKUP($A264,'BASE MATERIAL'!$A:$D,2))</f>
        <v/>
      </c>
      <c r="C264" s="2"/>
      <c r="D264" s="77"/>
      <c r="E264" s="78" t="str">
        <f>IF($A264=0,"",VLOOKUP($A264,'BASE MATERIAL'!$A:$D,3))</f>
        <v/>
      </c>
      <c r="F264" s="55"/>
      <c r="G264" s="55" t="str">
        <f>IF($A264=0,"",VLOOKUP($A264,'BASE MATERIAL'!$A:$D,4))</f>
        <v/>
      </c>
      <c r="H264" s="56" t="str">
        <f t="shared" si="24"/>
        <v/>
      </c>
      <c r="I264" s="5"/>
    </row>
    <row r="265" spans="1:16" s="4" customFormat="1" x14ac:dyDescent="0.25">
      <c r="A265" s="103"/>
      <c r="B265" s="38" t="str">
        <f>IF($A265=0,"",VLOOKUP($A265,'BASE MATERIAL'!$A:$D,2))</f>
        <v/>
      </c>
      <c r="C265" s="2"/>
      <c r="D265" s="77"/>
      <c r="E265" s="78" t="str">
        <f>IF($A265=0,"",VLOOKUP($A265,'BASE MATERIAL'!$A:$D,3))</f>
        <v/>
      </c>
      <c r="F265" s="55"/>
      <c r="G265" s="55" t="str">
        <f>IF($A265=0,"",VLOOKUP($A265,'BASE MATERIAL'!$A:$D,4))</f>
        <v/>
      </c>
      <c r="H265" s="56" t="str">
        <f t="shared" si="24"/>
        <v/>
      </c>
      <c r="I265" s="5"/>
    </row>
    <row r="266" spans="1:16" s="4" customFormat="1" x14ac:dyDescent="0.25">
      <c r="A266" s="103"/>
      <c r="B266" s="38" t="str">
        <f>IF($A266=0,"",VLOOKUP($A266,'BASE MATERIAL'!$A:$D,2))</f>
        <v/>
      </c>
      <c r="C266" s="2"/>
      <c r="D266" s="77"/>
      <c r="E266" s="78" t="str">
        <f>IF($A266=0,"",VLOOKUP($A266,'BASE MATERIAL'!$A:$D,3))</f>
        <v/>
      </c>
      <c r="F266" s="55"/>
      <c r="G266" s="55" t="str">
        <f>IF($A266=0,"",VLOOKUP($A266,'BASE MATERIAL'!$A:$D,4))</f>
        <v/>
      </c>
      <c r="H266" s="56" t="str">
        <f t="shared" si="24"/>
        <v/>
      </c>
      <c r="I266" s="5"/>
    </row>
    <row r="267" spans="1:16" s="4" customFormat="1" x14ac:dyDescent="0.25">
      <c r="A267" s="103"/>
      <c r="B267" s="38" t="str">
        <f>IF($A267=0,"",VLOOKUP($A267,'BASE MATERIAL'!$A:$D,2))</f>
        <v/>
      </c>
      <c r="C267" s="2"/>
      <c r="D267" s="77"/>
      <c r="E267" s="78" t="str">
        <f>IF($A267=0,"",VLOOKUP($A267,'BASE MATERIAL'!$A:$D,3))</f>
        <v/>
      </c>
      <c r="F267" s="55"/>
      <c r="G267" s="55" t="str">
        <f>IF($A267=0,"",VLOOKUP($A267,'BASE MATERIAL'!$A:$D,4))</f>
        <v/>
      </c>
      <c r="H267" s="56" t="str">
        <f t="shared" si="24"/>
        <v/>
      </c>
      <c r="I267" s="5"/>
    </row>
    <row r="268" spans="1:16" s="4" customFormat="1" x14ac:dyDescent="0.25">
      <c r="A268" s="103"/>
      <c r="B268" s="38" t="str">
        <f>IF($A268=0,"",VLOOKUP($A268,'BASE MATERIAL'!$A:$D,2))</f>
        <v/>
      </c>
      <c r="C268" s="2"/>
      <c r="D268" s="81" t="s">
        <v>1682</v>
      </c>
      <c r="E268" s="55" t="str">
        <f>IF($A268=0,"",VLOOKUP($A268,'BASE MATERIAL'!$A:$D,3))</f>
        <v/>
      </c>
      <c r="F268" s="55" t="s">
        <v>1682</v>
      </c>
      <c r="G268" s="55" t="str">
        <f>IF($A268=0,"",VLOOKUP($A268,'BASE MATERIAL'!$A:$D,4))</f>
        <v/>
      </c>
      <c r="H268" s="56" t="str">
        <f>IF($A268=0,"",ROUND(E268*F268,2))</f>
        <v/>
      </c>
      <c r="I268" s="5"/>
    </row>
    <row r="269" spans="1:16" s="4" customFormat="1" x14ac:dyDescent="0.25">
      <c r="A269" s="103"/>
      <c r="B269" s="73" t="s">
        <v>1681</v>
      </c>
      <c r="C269" s="65"/>
      <c r="D269" s="74"/>
      <c r="E269" s="74"/>
      <c r="F269" s="74"/>
      <c r="G269" s="74"/>
      <c r="H269" s="75">
        <f>ROUND(SUM(H252:H268),2)</f>
        <v>10.8</v>
      </c>
      <c r="I269" s="5"/>
    </row>
    <row r="270" spans="1:16" s="4" customFormat="1" x14ac:dyDescent="0.25">
      <c r="A270" s="103"/>
      <c r="B270" s="38" t="s">
        <v>1680</v>
      </c>
      <c r="C270" s="2"/>
      <c r="D270" s="3"/>
      <c r="E270" s="3"/>
      <c r="F270" s="3"/>
      <c r="G270" s="3"/>
      <c r="H270" s="56"/>
      <c r="I270" s="5"/>
    </row>
    <row r="271" spans="1:16" ht="25.5" x14ac:dyDescent="0.25">
      <c r="B271" s="64" t="s">
        <v>1409</v>
      </c>
      <c r="C271" s="65"/>
      <c r="D271" s="76"/>
      <c r="E271" s="66" t="s">
        <v>1408</v>
      </c>
      <c r="F271" s="66" t="s">
        <v>1679</v>
      </c>
      <c r="G271" s="66" t="s">
        <v>1676</v>
      </c>
      <c r="H271" s="68" t="s">
        <v>1675</v>
      </c>
      <c r="I271" s="2"/>
    </row>
    <row r="272" spans="1:16" s="4" customFormat="1" x14ac:dyDescent="0.25">
      <c r="A272" s="103">
        <v>19019</v>
      </c>
      <c r="B272" s="51" t="str">
        <f>IF($A272=0,"",VLOOKUP($A272,'BASE EQUIPO'!$A:$D,2))</f>
        <v>TRANSPORTE DE MATERIAL</v>
      </c>
      <c r="C272" s="52"/>
      <c r="D272" s="82"/>
      <c r="E272" s="78" t="str">
        <f>IF($A272=0,"",VLOOKUP($A272,'BASE EQUIPO'!$A:$D,3))</f>
        <v>GLOBAL</v>
      </c>
      <c r="F272" s="55">
        <v>1</v>
      </c>
      <c r="G272" s="83">
        <f>IF($A272=0,"",VLOOKUP($A272,'BASE EQUIPO'!$A:$D,4)*H269)</f>
        <v>0.32400000000000001</v>
      </c>
      <c r="H272" s="56">
        <f>IF($A272=0,"",ROUND(F272*G272,2))</f>
        <v>0.32</v>
      </c>
      <c r="I272" s="5"/>
    </row>
    <row r="273" spans="1:15" s="4" customFormat="1" x14ac:dyDescent="0.25">
      <c r="A273" s="103"/>
      <c r="B273" s="38" t="str">
        <f>IF($A273=0,"",VLOOKUP($A273,'BASE EQUIPO'!$A:$D,2))</f>
        <v/>
      </c>
      <c r="C273" s="2"/>
      <c r="D273" s="84"/>
      <c r="E273" s="78" t="str">
        <f>IF($A273=0,"",VLOOKUP($A273,'BASE EQUIPO'!$A:$D,3))</f>
        <v/>
      </c>
      <c r="F273" s="55"/>
      <c r="G273" s="55" t="str">
        <f>IF($A273=0,"",VLOOKUP($A273,'BASE EQUIPO'!$A:$D,4)*H270)</f>
        <v/>
      </c>
      <c r="H273" s="56" t="str">
        <f>IF($A273=0,"",ROUND(F273*G273,2))</f>
        <v/>
      </c>
      <c r="I273" s="5"/>
    </row>
    <row r="274" spans="1:15" s="4" customFormat="1" x14ac:dyDescent="0.25">
      <c r="A274" s="103"/>
      <c r="B274" s="57" t="str">
        <f>IF($A274=0,"",VLOOKUP($A274,'BASE EQUIPO'!$A:$D,2))</f>
        <v/>
      </c>
      <c r="C274" s="58"/>
      <c r="D274" s="85"/>
      <c r="E274" s="86" t="str">
        <f>IF($A274=0,"",VLOOKUP($A274,'BASE EQUIPO'!$A:$D,3))</f>
        <v/>
      </c>
      <c r="F274" s="59"/>
      <c r="G274" s="59" t="str">
        <f>IF($A274=0,"",VLOOKUP($A274,'BASE EQUIPO'!$A:$D,4)*H271)</f>
        <v/>
      </c>
      <c r="H274" s="60" t="str">
        <f>IF($A274=0,"",ROUND(F274*G274,2))</f>
        <v/>
      </c>
      <c r="I274" s="5"/>
    </row>
    <row r="275" spans="1:15" s="4" customFormat="1" ht="15.75" thickBot="1" x14ac:dyDescent="0.3">
      <c r="A275" s="103"/>
      <c r="B275" s="87" t="s">
        <v>1674</v>
      </c>
      <c r="C275" s="88"/>
      <c r="D275" s="89"/>
      <c r="E275" s="89"/>
      <c r="F275" s="89"/>
      <c r="G275" s="89"/>
      <c r="H275" s="90">
        <f>ROUND(SUM(H271:H274),2)</f>
        <v>0.32</v>
      </c>
      <c r="I275" s="5"/>
    </row>
    <row r="276" spans="1:15" s="4" customFormat="1" ht="15.75" x14ac:dyDescent="0.25">
      <c r="A276" s="103"/>
      <c r="B276" s="2"/>
      <c r="C276" s="2"/>
      <c r="D276" s="91" t="s">
        <v>1673</v>
      </c>
      <c r="E276" s="177"/>
      <c r="F276" s="177"/>
      <c r="G276" s="177"/>
      <c r="H276" s="92">
        <f>ROUND(SUM(H275,H269,H250,H240),2)</f>
        <v>18.22</v>
      </c>
      <c r="I276" s="5"/>
    </row>
    <row r="277" spans="1:15" s="4" customFormat="1" ht="15.75" x14ac:dyDescent="0.25">
      <c r="A277" s="103">
        <v>40002</v>
      </c>
      <c r="B277" s="2"/>
      <c r="C277" s="2"/>
      <c r="D277" s="93" t="s">
        <v>1672</v>
      </c>
      <c r="E277" s="166"/>
      <c r="F277" s="166"/>
      <c r="G277" s="178">
        <f>IF($A277=0,"",VLOOKUP($A277,'BASE MATERIAL'!$M:$P,4))</f>
        <v>0</v>
      </c>
      <c r="H277" s="95">
        <f>IF($A277=0,"",ROUND(G277*H276,2))</f>
        <v>0</v>
      </c>
      <c r="I277" s="5"/>
    </row>
    <row r="278" spans="1:15" s="4" customFormat="1" ht="15.75" x14ac:dyDescent="0.25">
      <c r="A278" s="103">
        <v>40003</v>
      </c>
      <c r="B278" s="2"/>
      <c r="C278" s="2"/>
      <c r="D278" s="93" t="s">
        <v>1671</v>
      </c>
      <c r="E278" s="166"/>
      <c r="F278" s="166"/>
      <c r="G278" s="178">
        <f>IF($A278=0,"",VLOOKUP($A278,'BASE MATERIAL'!$M:$P,4))</f>
        <v>0</v>
      </c>
      <c r="H278" s="95">
        <f>IF($A278=0,"",ROUND(G278*H276,2))</f>
        <v>0</v>
      </c>
      <c r="I278" s="5"/>
    </row>
    <row r="279" spans="1:15" s="4" customFormat="1" ht="15.75" x14ac:dyDescent="0.25">
      <c r="A279" s="103"/>
      <c r="B279" s="2"/>
      <c r="C279" s="2"/>
      <c r="D279" s="93" t="s">
        <v>1670</v>
      </c>
      <c r="E279" s="166"/>
      <c r="F279" s="166"/>
      <c r="G279" s="166"/>
      <c r="H279" s="96">
        <f>ROUND(SUM(H276:H278),2)</f>
        <v>18.22</v>
      </c>
      <c r="I279" s="5"/>
    </row>
    <row r="280" spans="1:15" s="4" customFormat="1" ht="16.5" thickBot="1" x14ac:dyDescent="0.3">
      <c r="A280" s="103"/>
      <c r="B280" s="25"/>
      <c r="C280" s="5"/>
      <c r="D280" s="97" t="s">
        <v>1650</v>
      </c>
      <c r="E280" s="179"/>
      <c r="F280" s="179"/>
      <c r="G280" s="179"/>
      <c r="H280" s="98">
        <f>ROUND(H279,2)</f>
        <v>18.22</v>
      </c>
      <c r="I280" s="5"/>
    </row>
    <row r="281" spans="1:15" ht="15.75" x14ac:dyDescent="0.25">
      <c r="B281" s="34" t="s">
        <v>1701</v>
      </c>
      <c r="C281" s="5"/>
      <c r="D281" s="157" t="str">
        <f>$D$113</f>
        <v>ESPOL</v>
      </c>
      <c r="E281" s="2"/>
      <c r="F281" s="2"/>
      <c r="H281" s="2" t="s">
        <v>108</v>
      </c>
      <c r="I281" s="2"/>
      <c r="L281" s="40">
        <f>A285</f>
        <v>1</v>
      </c>
      <c r="M281" s="2" t="str">
        <f>C286</f>
        <v>Dinteles y Viguetas h. armado   14x20cm</v>
      </c>
      <c r="N281" s="2" t="str">
        <f>H285</f>
        <v>ml</v>
      </c>
      <c r="O281" s="2">
        <f>H336</f>
        <v>18.75</v>
      </c>
    </row>
    <row r="282" spans="1:15" s="4" customFormat="1" ht="15.75" x14ac:dyDescent="0.25">
      <c r="A282" s="103"/>
      <c r="B282" s="34" t="s">
        <v>1700</v>
      </c>
      <c r="C282" s="3">
        <f>'1.1'!$C$2</f>
        <v>0</v>
      </c>
      <c r="D282" s="5"/>
      <c r="E282" s="5"/>
      <c r="F282" s="5"/>
      <c r="G282" s="158" t="s">
        <v>1699</v>
      </c>
      <c r="H282" s="159"/>
      <c r="I282" s="5" t="s">
        <v>1698</v>
      </c>
    </row>
    <row r="283" spans="1:15" s="4" customFormat="1" ht="15.75" x14ac:dyDescent="0.25">
      <c r="A283" s="103"/>
      <c r="B283" s="34"/>
      <c r="C283" s="3">
        <f>'1.1'!$C$3</f>
        <v>0</v>
      </c>
      <c r="D283" s="5"/>
      <c r="E283" s="5"/>
      <c r="F283" s="5"/>
      <c r="G283" s="5"/>
      <c r="H283" s="5"/>
      <c r="I283" s="5"/>
    </row>
    <row r="284" spans="1:15" s="4" customFormat="1" ht="15.75" x14ac:dyDescent="0.25">
      <c r="A284" s="103"/>
      <c r="B284" s="34" t="s">
        <v>1697</v>
      </c>
      <c r="C284" s="3"/>
      <c r="D284" s="5"/>
      <c r="E284" s="5"/>
      <c r="F284" s="5"/>
      <c r="G284" s="5"/>
      <c r="H284" s="5"/>
      <c r="I284" s="5"/>
    </row>
    <row r="285" spans="1:15" x14ac:dyDescent="0.25">
      <c r="A285" s="104">
        <v>1</v>
      </c>
      <c r="B285" s="2" t="s">
        <v>1586</v>
      </c>
      <c r="C285" s="111"/>
      <c r="D285" s="5"/>
      <c r="E285" s="4"/>
      <c r="F285" s="4"/>
      <c r="G285" s="5" t="s">
        <v>1696</v>
      </c>
      <c r="H285" s="157" t="s">
        <v>961</v>
      </c>
      <c r="I285" s="2"/>
    </row>
    <row r="286" spans="1:15" s="4" customFormat="1" x14ac:dyDescent="0.25">
      <c r="A286" s="103"/>
      <c r="B286" s="1" t="s">
        <v>1585</v>
      </c>
      <c r="C286" s="36" t="s">
        <v>279</v>
      </c>
      <c r="D286" s="5"/>
      <c r="E286" s="5"/>
      <c r="F286" s="5"/>
      <c r="G286" s="5"/>
      <c r="H286" s="5"/>
      <c r="I286" s="5"/>
    </row>
    <row r="287" spans="1:15" ht="15.75" thickBot="1" x14ac:dyDescent="0.3">
      <c r="D287" s="2"/>
      <c r="E287" s="2"/>
      <c r="F287" s="2"/>
      <c r="G287" s="2"/>
      <c r="H287" s="2"/>
      <c r="I287" s="2"/>
    </row>
    <row r="288" spans="1:15" ht="15.75" thickBot="1" x14ac:dyDescent="0.3">
      <c r="B288" s="43" t="s">
        <v>1695</v>
      </c>
      <c r="C288" s="44"/>
      <c r="D288" s="44"/>
      <c r="E288" s="44"/>
      <c r="F288" s="44"/>
      <c r="G288" s="44"/>
      <c r="H288" s="45"/>
      <c r="I288" s="2"/>
    </row>
    <row r="289" spans="1:11" ht="25.5" x14ac:dyDescent="0.25">
      <c r="B289" s="46" t="s">
        <v>1409</v>
      </c>
      <c r="C289" s="47"/>
      <c r="D289" s="48" t="s">
        <v>1690</v>
      </c>
      <c r="E289" s="48" t="s">
        <v>1694</v>
      </c>
      <c r="F289" s="48" t="s">
        <v>1693</v>
      </c>
      <c r="G289" s="49" t="s">
        <v>1687</v>
      </c>
      <c r="H289" s="50" t="s">
        <v>1686</v>
      </c>
      <c r="I289" s="2"/>
    </row>
    <row r="290" spans="1:11" s="4" customFormat="1" x14ac:dyDescent="0.25">
      <c r="A290" s="103">
        <v>19015</v>
      </c>
      <c r="B290" s="51" t="str">
        <f>IF($A290=0,"",VLOOKUP($A290,'BASE EQUIPO'!$A:$D,2))</f>
        <v>HERRAMIENTA MENOR</v>
      </c>
      <c r="C290" s="52"/>
      <c r="D290" s="53">
        <v>1</v>
      </c>
      <c r="E290" s="53">
        <f>IF($A290=0,"",VLOOKUP($A290,'BASE EQUIPO'!$A:$D,4)*H306)</f>
        <v>0.23070000000000002</v>
      </c>
      <c r="F290" s="53">
        <f t="shared" ref="F290:F295" si="25">IF($A290=0,"",ROUND(D290*E290,2))</f>
        <v>0.23</v>
      </c>
      <c r="G290" s="105">
        <v>1</v>
      </c>
      <c r="H290" s="54">
        <f t="shared" ref="H290:H295" si="26">IF($A290=0,"",ROUND(G290*F290,2))</f>
        <v>0.23</v>
      </c>
      <c r="I290" s="5"/>
    </row>
    <row r="291" spans="1:11" s="4" customFormat="1" x14ac:dyDescent="0.25">
      <c r="A291" s="103"/>
      <c r="B291" s="38" t="str">
        <f>IF($A291=0,"",VLOOKUP($A291,'BASE EQUIPO'!$A:$D,2))</f>
        <v/>
      </c>
      <c r="C291" s="2"/>
      <c r="D291" s="55"/>
      <c r="E291" s="55" t="str">
        <f>IF($A291=0,"",VLOOKUP($A291,'BASE EQUIPO'!$A:$D,4))</f>
        <v/>
      </c>
      <c r="F291" s="55" t="str">
        <f t="shared" si="25"/>
        <v/>
      </c>
      <c r="G291" s="106"/>
      <c r="H291" s="56" t="str">
        <f t="shared" si="26"/>
        <v/>
      </c>
      <c r="I291" s="5"/>
    </row>
    <row r="292" spans="1:11" s="4" customFormat="1" x14ac:dyDescent="0.25">
      <c r="A292" s="103"/>
      <c r="B292" s="38" t="str">
        <f>IF($A292=0,"",VLOOKUP($A292,'BASE EQUIPO'!$A:$D,2))</f>
        <v/>
      </c>
      <c r="C292" s="2"/>
      <c r="D292" s="55"/>
      <c r="E292" s="55" t="str">
        <f>IF($A292=0,"",VLOOKUP($A292,'BASE EQUIPO'!$A:$D,4))</f>
        <v/>
      </c>
      <c r="F292" s="55" t="str">
        <f t="shared" si="25"/>
        <v/>
      </c>
      <c r="G292" s="106"/>
      <c r="H292" s="56" t="str">
        <f t="shared" si="26"/>
        <v/>
      </c>
      <c r="I292" s="5"/>
    </row>
    <row r="293" spans="1:11" s="4" customFormat="1" x14ac:dyDescent="0.25">
      <c r="A293" s="103"/>
      <c r="B293" s="38" t="str">
        <f>IF($A293=0,"",VLOOKUP($A293,'BASE EQUIPO'!$A:$D,2))</f>
        <v/>
      </c>
      <c r="C293" s="2"/>
      <c r="D293" s="55"/>
      <c r="E293" s="55" t="str">
        <f>IF($A293=0,"",VLOOKUP($A293,'BASE EQUIPO'!$A:$D,4))</f>
        <v/>
      </c>
      <c r="F293" s="55" t="str">
        <f t="shared" si="25"/>
        <v/>
      </c>
      <c r="G293" s="106"/>
      <c r="H293" s="56" t="str">
        <f t="shared" si="26"/>
        <v/>
      </c>
      <c r="I293" s="5"/>
    </row>
    <row r="294" spans="1:11" s="4" customFormat="1" x14ac:dyDescent="0.25">
      <c r="A294" s="103"/>
      <c r="B294" s="38" t="str">
        <f>IF($A294=0,"",VLOOKUP($A294,'BASE EQUIPO'!$A:$D,2))</f>
        <v/>
      </c>
      <c r="C294" s="2"/>
      <c r="D294" s="55"/>
      <c r="E294" s="55" t="str">
        <f>IF($A294=0,"",VLOOKUP($A294,'BASE EQUIPO'!$A:$D,4))</f>
        <v/>
      </c>
      <c r="F294" s="55" t="str">
        <f t="shared" si="25"/>
        <v/>
      </c>
      <c r="G294" s="106"/>
      <c r="H294" s="56" t="str">
        <f t="shared" si="26"/>
        <v/>
      </c>
      <c r="I294" s="5"/>
    </row>
    <row r="295" spans="1:11" s="4" customFormat="1" x14ac:dyDescent="0.25">
      <c r="A295" s="103"/>
      <c r="B295" s="57" t="str">
        <f>IF($A295=0,"",VLOOKUP($A295,'BASE EQUIPO'!$A:$D,2))</f>
        <v/>
      </c>
      <c r="C295" s="58"/>
      <c r="D295" s="59"/>
      <c r="E295" s="59" t="str">
        <f>IF($A295=0,"",VLOOKUP($A295,'BASE EQUIPO'!$A:$D,4))</f>
        <v/>
      </c>
      <c r="F295" s="59" t="str">
        <f t="shared" si="25"/>
        <v/>
      </c>
      <c r="G295" s="107"/>
      <c r="H295" s="60" t="str">
        <f t="shared" si="26"/>
        <v/>
      </c>
      <c r="I295" s="5"/>
    </row>
    <row r="296" spans="1:11" s="4" customFormat="1" x14ac:dyDescent="0.25">
      <c r="A296" s="103"/>
      <c r="B296" s="57" t="s">
        <v>1692</v>
      </c>
      <c r="C296" s="58"/>
      <c r="D296" s="61"/>
      <c r="E296" s="61"/>
      <c r="F296" s="61"/>
      <c r="G296" s="62"/>
      <c r="H296" s="60">
        <f>ROUND(SUM(H289:H295),2)</f>
        <v>0.23</v>
      </c>
      <c r="I296" s="5"/>
    </row>
    <row r="297" spans="1:11" s="4" customFormat="1" x14ac:dyDescent="0.25">
      <c r="A297" s="103"/>
      <c r="B297" s="38" t="s">
        <v>1503</v>
      </c>
      <c r="C297" s="2"/>
      <c r="D297" s="3"/>
      <c r="E297" s="3"/>
      <c r="F297" s="3"/>
      <c r="G297" s="63"/>
      <c r="H297" s="56"/>
      <c r="I297" s="5"/>
    </row>
    <row r="298" spans="1:11" ht="25.5" x14ac:dyDescent="0.25">
      <c r="B298" s="64" t="s">
        <v>1691</v>
      </c>
      <c r="C298" s="65"/>
      <c r="D298" s="66" t="s">
        <v>1690</v>
      </c>
      <c r="E298" s="66" t="s">
        <v>1689</v>
      </c>
      <c r="F298" s="66" t="s">
        <v>1688</v>
      </c>
      <c r="G298" s="67" t="s">
        <v>1687</v>
      </c>
      <c r="H298" s="68" t="s">
        <v>1686</v>
      </c>
      <c r="I298" s="2"/>
    </row>
    <row r="299" spans="1:11" s="4" customFormat="1" x14ac:dyDescent="0.25">
      <c r="A299" s="103">
        <v>20001</v>
      </c>
      <c r="B299" s="69" t="str">
        <f>IF($A299=0,"",VLOOKUP($A299,'BASE M-OBRA'!$A:$D,2))</f>
        <v>MAESTRO</v>
      </c>
      <c r="C299" s="2"/>
      <c r="D299" s="108">
        <v>1</v>
      </c>
      <c r="E299" s="70">
        <f>IF($A299=0,"",VLOOKUP($A299,'BASE M-OBRA'!$A:$D,4))</f>
        <v>3.02</v>
      </c>
      <c r="F299" s="55">
        <f t="shared" ref="F299:F305" si="27">IF($A299=0,"",ROUND(D299*E299,2))</f>
        <v>3.02</v>
      </c>
      <c r="G299" s="106">
        <f>IF($A299=0,"",ROUND(H299/F299,2))</f>
        <v>0.42</v>
      </c>
      <c r="H299" s="56">
        <f>IF($A299=0,"",ROUND(SUM(H300:H305)*'BASE M-OBRA'!$D$23,2))</f>
        <v>1.28</v>
      </c>
      <c r="I299" s="5"/>
    </row>
    <row r="300" spans="1:11" s="4" customFormat="1" x14ac:dyDescent="0.25">
      <c r="A300" s="103">
        <v>20002</v>
      </c>
      <c r="B300" s="69" t="str">
        <f>IF($A300=0,"",VLOOKUP($A300,'BASE M-OBRA'!$A:$D,2))</f>
        <v>PEON</v>
      </c>
      <c r="C300" s="2"/>
      <c r="D300" s="108">
        <v>2</v>
      </c>
      <c r="E300" s="70">
        <f>IF($A300=0,"",VLOOKUP($A300,'BASE M-OBRA'!$A:$D,4))</f>
        <v>2.79</v>
      </c>
      <c r="F300" s="55">
        <f t="shared" si="27"/>
        <v>5.58</v>
      </c>
      <c r="G300" s="106">
        <v>0.24</v>
      </c>
      <c r="H300" s="56">
        <f t="shared" ref="H300:H305" si="28">IF($A300=0,"",ROUND(G300*F300,2))</f>
        <v>1.34</v>
      </c>
      <c r="I300" s="5"/>
      <c r="K300" s="4">
        <f>20*0.14*0.2</f>
        <v>0.56000000000000005</v>
      </c>
    </row>
    <row r="301" spans="1:11" s="4" customFormat="1" x14ac:dyDescent="0.25">
      <c r="A301" s="103">
        <v>20003</v>
      </c>
      <c r="B301" s="69" t="str">
        <f>IF($A301=0,"",VLOOKUP($A301,'BASE M-OBRA'!$A:$D,2))</f>
        <v>ALBAÑIL</v>
      </c>
      <c r="C301" s="2"/>
      <c r="D301" s="108">
        <v>2</v>
      </c>
      <c r="E301" s="70">
        <f>IF($A301=0,"",VLOOKUP($A301,'BASE M-OBRA'!$A:$D,4))</f>
        <v>2.82</v>
      </c>
      <c r="F301" s="55">
        <f t="shared" si="27"/>
        <v>5.64</v>
      </c>
      <c r="G301" s="106">
        <f>+G300</f>
        <v>0.24</v>
      </c>
      <c r="H301" s="56">
        <f t="shared" si="28"/>
        <v>1.35</v>
      </c>
      <c r="I301" s="5"/>
    </row>
    <row r="302" spans="1:11" s="4" customFormat="1" x14ac:dyDescent="0.25">
      <c r="A302" s="103">
        <v>20004</v>
      </c>
      <c r="B302" s="71" t="str">
        <f>IF($A302=0,"",VLOOKUP($A302,'BASE M-OBRA'!$A:$D,2))</f>
        <v>CARPINTERO</v>
      </c>
      <c r="C302" s="2"/>
      <c r="D302" s="108">
        <v>2</v>
      </c>
      <c r="E302" s="70">
        <f>IF($A302=0,"",VLOOKUP($A302,'BASE M-OBRA'!$A:$D,4))</f>
        <v>2.82</v>
      </c>
      <c r="F302" s="55">
        <f t="shared" si="27"/>
        <v>5.64</v>
      </c>
      <c r="G302" s="106">
        <v>0.32</v>
      </c>
      <c r="H302" s="56">
        <f t="shared" si="28"/>
        <v>1.8</v>
      </c>
      <c r="I302" s="5"/>
      <c r="K302" s="4">
        <f>0.55*2.9</f>
        <v>1.595</v>
      </c>
    </row>
    <row r="303" spans="1:11" s="4" customFormat="1" x14ac:dyDescent="0.25">
      <c r="A303" s="103">
        <v>20005</v>
      </c>
      <c r="B303" s="72" t="str">
        <f>IF($A303=0,"",VLOOKUP($A303,'BASE M-OBRA'!$A:$D,2))</f>
        <v>FIERRERO</v>
      </c>
      <c r="C303" s="2"/>
      <c r="D303" s="108">
        <v>2</v>
      </c>
      <c r="E303" s="70">
        <f>IF($A303=0,"",VLOOKUP($A303,'BASE M-OBRA'!$A:$D,4))</f>
        <v>2.82</v>
      </c>
      <c r="F303" s="55">
        <f t="shared" si="27"/>
        <v>5.64</v>
      </c>
      <c r="G303" s="106">
        <v>0.34</v>
      </c>
      <c r="H303" s="56">
        <f t="shared" si="28"/>
        <v>1.92</v>
      </c>
      <c r="I303" s="5"/>
      <c r="K303" s="4">
        <f>0.3*F312</f>
        <v>1.6505399999999997</v>
      </c>
    </row>
    <row r="304" spans="1:11" s="4" customFormat="1" x14ac:dyDescent="0.25">
      <c r="A304" s="103"/>
      <c r="B304" s="38" t="str">
        <f>IF($A304=0,"",VLOOKUP($A304,'BASE M-OBRA'!$A:$D,2))</f>
        <v/>
      </c>
      <c r="C304" s="2"/>
      <c r="D304" s="55"/>
      <c r="E304" s="55" t="str">
        <f>IF($A304=0,"",VLOOKUP($A304,'BASE M-OBRA'!$A:$D,4))</f>
        <v/>
      </c>
      <c r="F304" s="55" t="str">
        <f t="shared" si="27"/>
        <v/>
      </c>
      <c r="G304" s="106"/>
      <c r="H304" s="56" t="str">
        <f t="shared" si="28"/>
        <v/>
      </c>
      <c r="I304" s="5"/>
    </row>
    <row r="305" spans="1:16" s="4" customFormat="1" x14ac:dyDescent="0.25">
      <c r="A305" s="103"/>
      <c r="B305" s="57" t="str">
        <f>IF($A305=0,"",VLOOKUP($A305,'BASE M-OBRA'!$A:$D,2))</f>
        <v/>
      </c>
      <c r="C305" s="58"/>
      <c r="D305" s="59"/>
      <c r="E305" s="59" t="str">
        <f>IF($A305=0,"",VLOOKUP($A305,'BASE M-OBRA'!$A:$D,4))</f>
        <v/>
      </c>
      <c r="F305" s="59" t="str">
        <f t="shared" si="27"/>
        <v/>
      </c>
      <c r="G305" s="107"/>
      <c r="H305" s="60" t="str">
        <f t="shared" si="28"/>
        <v/>
      </c>
      <c r="I305" s="5"/>
    </row>
    <row r="306" spans="1:16" s="4" customFormat="1" x14ac:dyDescent="0.25">
      <c r="A306" s="103"/>
      <c r="B306" s="73" t="s">
        <v>1685</v>
      </c>
      <c r="C306" s="65"/>
      <c r="D306" s="74"/>
      <c r="E306" s="74"/>
      <c r="F306" s="74"/>
      <c r="G306" s="74"/>
      <c r="H306" s="75">
        <f>ROUND(SUM(H298:H305),2)</f>
        <v>7.69</v>
      </c>
      <c r="I306" s="5"/>
    </row>
    <row r="307" spans="1:16" s="4" customFormat="1" x14ac:dyDescent="0.25">
      <c r="A307" s="103"/>
      <c r="B307" s="38" t="s">
        <v>1684</v>
      </c>
      <c r="C307" s="2"/>
      <c r="D307" s="3"/>
      <c r="E307" s="3"/>
      <c r="F307" s="3"/>
      <c r="G307" s="3"/>
      <c r="H307" s="56"/>
      <c r="I307" s="5"/>
    </row>
    <row r="308" spans="1:16" ht="25.5" x14ac:dyDescent="0.25">
      <c r="B308" s="64" t="s">
        <v>1409</v>
      </c>
      <c r="C308" s="65"/>
      <c r="D308" s="76"/>
      <c r="E308" s="66" t="s">
        <v>1408</v>
      </c>
      <c r="F308" s="66" t="s">
        <v>1679</v>
      </c>
      <c r="G308" s="66" t="s">
        <v>1683</v>
      </c>
      <c r="H308" s="68" t="s">
        <v>1675</v>
      </c>
      <c r="I308" s="2"/>
    </row>
    <row r="309" spans="1:16" s="4" customFormat="1" x14ac:dyDescent="0.25">
      <c r="A309" s="103">
        <v>11008</v>
      </c>
      <c r="B309" s="37" t="str">
        <f>IF($A309=0,"",VLOOKUP($A309,'BASE MATERIAL'!$A:$D,2))</f>
        <v>TABLA</v>
      </c>
      <c r="C309" s="2"/>
      <c r="D309" s="77"/>
      <c r="E309" s="78" t="str">
        <f>IF($A309=0,"",VLOOKUP($A309,'BASE MATERIAL'!$A:$D,3))</f>
        <v>U</v>
      </c>
      <c r="F309" s="55">
        <f>ROUND(0.55*5/(4*3),2)</f>
        <v>0.23</v>
      </c>
      <c r="G309" s="55">
        <f>IF($A309=0,"",VLOOKUP($A309,'BASE MATERIAL'!$A:$D,4))</f>
        <v>3.5</v>
      </c>
      <c r="H309" s="56">
        <f t="shared" ref="H309:H323" si="29">IF($A309=0,"",ROUND(F309*G309,2))</f>
        <v>0.81</v>
      </c>
      <c r="I309" s="5"/>
      <c r="L309" s="5"/>
      <c r="M309" s="5"/>
      <c r="N309" s="160"/>
      <c r="O309" s="5"/>
      <c r="P309" s="5"/>
    </row>
    <row r="310" spans="1:16" s="4" customFormat="1" x14ac:dyDescent="0.25">
      <c r="A310" s="103">
        <v>11009</v>
      </c>
      <c r="B310" s="38" t="str">
        <f>IF($A310=0,"",VLOOKUP($A310,'BASE MATERIAL'!$A:$D,2))</f>
        <v>CUARTON</v>
      </c>
      <c r="C310" s="2"/>
      <c r="D310" s="77"/>
      <c r="E310" s="78" t="str">
        <f>IF($A310=0,"",VLOOKUP($A310,'BASE MATERIAL'!$A:$D,3))</f>
        <v>U</v>
      </c>
      <c r="F310" s="55">
        <f>ROUND(0.55*8/(4*3),2)</f>
        <v>0.37</v>
      </c>
      <c r="G310" s="55">
        <f>IF($A310=0,"",VLOOKUP($A310,'BASE MATERIAL'!$A:$D,4))</f>
        <v>2.42</v>
      </c>
      <c r="H310" s="56">
        <f t="shared" si="29"/>
        <v>0.9</v>
      </c>
      <c r="I310" s="5"/>
      <c r="L310" s="5"/>
      <c r="M310" s="5"/>
      <c r="N310" s="160"/>
      <c r="O310" s="5"/>
      <c r="P310" s="5"/>
    </row>
    <row r="311" spans="1:16" s="4" customFormat="1" x14ac:dyDescent="0.25">
      <c r="A311" s="103">
        <v>11007</v>
      </c>
      <c r="B311" s="38" t="str">
        <f>IF($A311=0,"",VLOOKUP($A311,'BASE MATERIAL'!$A:$D,2))</f>
        <v>CLAVO 2 1/2"</v>
      </c>
      <c r="C311" s="2"/>
      <c r="D311" s="77"/>
      <c r="E311" s="78" t="str">
        <f>IF($A311=0,"",VLOOKUP($A311,'BASE MATERIAL'!$A:$D,3))</f>
        <v>KG</v>
      </c>
      <c r="F311" s="55">
        <f>ROUND(0.55*56/(178*1.5),2)</f>
        <v>0.12</v>
      </c>
      <c r="G311" s="55">
        <f>IF($A311=0,"",VLOOKUP($A311,'BASE MATERIAL'!$A:$D,4))</f>
        <v>2.6520000000000001</v>
      </c>
      <c r="H311" s="56">
        <f t="shared" si="29"/>
        <v>0.32</v>
      </c>
      <c r="I311" s="5"/>
      <c r="L311" s="5"/>
      <c r="M311" s="5"/>
      <c r="N311" s="160"/>
      <c r="O311" s="5"/>
      <c r="P311" s="5"/>
    </row>
    <row r="312" spans="1:16" s="4" customFormat="1" x14ac:dyDescent="0.25">
      <c r="A312" s="103">
        <v>1001</v>
      </c>
      <c r="B312" s="38" t="str">
        <f>IF($A312=0,"",VLOOKUP($A312,'BASE MATERIAL'!$A:$D,2))</f>
        <v>HIERRO</v>
      </c>
      <c r="C312" s="2"/>
      <c r="D312" s="77"/>
      <c r="E312" s="78" t="str">
        <f>IF($A312=0,"",VLOOKUP($A312,'BASE MATERIAL'!$A:$D,3))</f>
        <v>KG</v>
      </c>
      <c r="F312" s="55">
        <f>4*0.617+11*0.7*0.394</f>
        <v>5.5017999999999994</v>
      </c>
      <c r="G312" s="55">
        <f>IF($A312=0,"",VLOOKUP($A312,'BASE MATERIAL'!$A:$D,4))</f>
        <v>1.17</v>
      </c>
      <c r="H312" s="56">
        <f t="shared" si="29"/>
        <v>6.44</v>
      </c>
      <c r="I312" s="5"/>
      <c r="K312" s="4">
        <f>4*0.617</f>
        <v>2.468</v>
      </c>
      <c r="L312" s="5"/>
      <c r="M312" s="5"/>
      <c r="N312" s="160"/>
      <c r="O312" s="5"/>
      <c r="P312" s="5"/>
    </row>
    <row r="313" spans="1:16" s="4" customFormat="1" x14ac:dyDescent="0.25">
      <c r="A313" s="103">
        <v>11002</v>
      </c>
      <c r="B313" s="38" t="str">
        <f>IF($A313=0,"",VLOOKUP($A313,'BASE MATERIAL'!$A:$D,2))</f>
        <v>ALAMBRE #18 RECOCIDO</v>
      </c>
      <c r="C313" s="2"/>
      <c r="D313" s="77"/>
      <c r="E313" s="78" t="str">
        <f>IF($A313=0,"",VLOOKUP($A313,'BASE MATERIAL'!$A:$D,3))</f>
        <v>KG</v>
      </c>
      <c r="F313" s="55">
        <f>ROUND(F312*0.02,2)</f>
        <v>0.11</v>
      </c>
      <c r="G313" s="55">
        <f>IF($A313=0,"",VLOOKUP($A313,'BASE MATERIAL'!$A:$D,4))</f>
        <v>1.87</v>
      </c>
      <c r="H313" s="56">
        <f t="shared" si="29"/>
        <v>0.21</v>
      </c>
      <c r="I313" s="5"/>
      <c r="K313" s="4">
        <f>8*0.8*0.394</f>
        <v>2.5216000000000003</v>
      </c>
      <c r="L313" s="5"/>
      <c r="M313" s="5"/>
      <c r="N313" s="160"/>
      <c r="O313" s="5"/>
      <c r="P313" s="5"/>
    </row>
    <row r="314" spans="1:16" s="4" customFormat="1" x14ac:dyDescent="0.25">
      <c r="A314" s="103">
        <v>4001</v>
      </c>
      <c r="B314" s="38" t="str">
        <f>IF($A314=0,"",VLOOKUP($A314,'BASE MATERIAL'!$A:$D,2))</f>
        <v>CEMENTO</v>
      </c>
      <c r="C314" s="2"/>
      <c r="D314" s="77"/>
      <c r="E314" s="78" t="str">
        <f>IF($A314=0,"",VLOOKUP($A314,'BASE MATERIAL'!$A:$D,3))</f>
        <v>SACO</v>
      </c>
      <c r="F314" s="55">
        <f>ROUND(7*0.14*0.2,2)</f>
        <v>0.2</v>
      </c>
      <c r="G314" s="55">
        <f>IF($A314=0,"",VLOOKUP($A314,'BASE MATERIAL'!$A:$D,4))</f>
        <v>7.09</v>
      </c>
      <c r="H314" s="56">
        <f t="shared" si="29"/>
        <v>1.42</v>
      </c>
      <c r="I314" s="5"/>
      <c r="L314" s="5"/>
      <c r="M314" s="5"/>
      <c r="N314" s="160"/>
      <c r="O314" s="5"/>
      <c r="P314" s="5"/>
    </row>
    <row r="315" spans="1:16" s="4" customFormat="1" x14ac:dyDescent="0.25">
      <c r="A315" s="103">
        <v>5004</v>
      </c>
      <c r="B315" s="38" t="str">
        <f>IF($A315=0,"",VLOOKUP($A315,'BASE MATERIAL'!$A:$D,2))</f>
        <v>ARENA</v>
      </c>
      <c r="C315" s="2"/>
      <c r="D315" s="77"/>
      <c r="E315" s="78" t="str">
        <f>IF($A315=0,"",VLOOKUP($A315,'BASE MATERIAL'!$A:$D,3))</f>
        <v>M3</v>
      </c>
      <c r="F315" s="55">
        <f>ROUND(F314*0.032*2,2)</f>
        <v>0.01</v>
      </c>
      <c r="G315" s="55">
        <f>IF($A315=0,"",VLOOKUP($A315,'BASE MATERIAL'!$A:$D,4))</f>
        <v>12.276249999999999</v>
      </c>
      <c r="H315" s="56">
        <f t="shared" si="29"/>
        <v>0.12</v>
      </c>
      <c r="I315" s="5"/>
      <c r="L315" s="5"/>
      <c r="M315" s="5"/>
      <c r="N315" s="160"/>
      <c r="O315" s="5"/>
      <c r="P315" s="5"/>
    </row>
    <row r="316" spans="1:16" s="4" customFormat="1" x14ac:dyDescent="0.25">
      <c r="A316" s="103">
        <v>5002</v>
      </c>
      <c r="B316" s="38" t="str">
        <f>IF($A316=0,"",VLOOKUP($A316,'BASE MATERIAL'!$A:$D,2))</f>
        <v>PIEDRA 3-4</v>
      </c>
      <c r="C316" s="2"/>
      <c r="D316" s="77"/>
      <c r="E316" s="78" t="str">
        <f>IF($A316=0,"",VLOOKUP($A316,'BASE MATERIAL'!$A:$D,3))</f>
        <v>M3</v>
      </c>
      <c r="F316" s="55">
        <f>ROUND(F314*0.032*3,2)</f>
        <v>0.02</v>
      </c>
      <c r="G316" s="55">
        <f>IF($A316=0,"",VLOOKUP($A316,'BASE MATERIAL'!$A:$D,4))</f>
        <v>13.75</v>
      </c>
      <c r="H316" s="56">
        <f t="shared" si="29"/>
        <v>0.28000000000000003</v>
      </c>
      <c r="I316" s="5"/>
      <c r="L316" s="5"/>
      <c r="M316" s="5"/>
      <c r="N316" s="160"/>
      <c r="O316" s="5"/>
      <c r="P316" s="5"/>
    </row>
    <row r="317" spans="1:16" s="4" customFormat="1" x14ac:dyDescent="0.25">
      <c r="A317" s="103">
        <v>5005</v>
      </c>
      <c r="B317" s="38" t="str">
        <f>IF($A317=0,"",VLOOKUP($A317,'BASE MATERIAL'!$A:$D,2))</f>
        <v>AGUA</v>
      </c>
      <c r="C317" s="2"/>
      <c r="D317" s="77"/>
      <c r="E317" s="78" t="str">
        <f>IF($A317=0,"",VLOOKUP($A317,'BASE MATERIAL'!$A:$D,3))</f>
        <v>LT</v>
      </c>
      <c r="F317" s="55">
        <f>ROUND(26*F314,2)</f>
        <v>5.2</v>
      </c>
      <c r="G317" s="80">
        <f>IF($A317=0,"",VLOOKUP($A317,'BASE MATERIAL'!$A:$D,4))</f>
        <v>2E-3</v>
      </c>
      <c r="H317" s="56">
        <f t="shared" si="29"/>
        <v>0.01</v>
      </c>
      <c r="I317" s="5"/>
    </row>
    <row r="318" spans="1:16" s="4" customFormat="1" x14ac:dyDescent="0.25">
      <c r="A318" s="103"/>
      <c r="B318" s="38" t="str">
        <f>IF($A318=0,"",VLOOKUP($A318,'BASE MATERIAL'!$A:$D,2))</f>
        <v/>
      </c>
      <c r="C318" s="2"/>
      <c r="D318" s="77"/>
      <c r="E318" s="78" t="str">
        <f>IF($A318=0,"",VLOOKUP($A318,'BASE MATERIAL'!$A:$D,3))</f>
        <v/>
      </c>
      <c r="F318" s="55"/>
      <c r="G318" s="55" t="str">
        <f>IF($A318=0,"",VLOOKUP($A318,'BASE MATERIAL'!$A:$D,4))</f>
        <v/>
      </c>
      <c r="H318" s="56" t="str">
        <f t="shared" si="29"/>
        <v/>
      </c>
      <c r="I318" s="5"/>
      <c r="L318" s="5"/>
      <c r="M318" s="5"/>
      <c r="N318" s="160"/>
      <c r="O318" s="5"/>
      <c r="P318" s="5"/>
    </row>
    <row r="319" spans="1:16" s="4" customFormat="1" x14ac:dyDescent="0.25">
      <c r="A319" s="103"/>
      <c r="B319" s="38" t="str">
        <f>IF($A319=0,"",VLOOKUP($A319,'BASE MATERIAL'!$A:$D,2))</f>
        <v/>
      </c>
      <c r="C319" s="2"/>
      <c r="D319" s="77"/>
      <c r="E319" s="78" t="str">
        <f>IF($A319=0,"",VLOOKUP($A319,'BASE MATERIAL'!$A:$D,3))</f>
        <v/>
      </c>
      <c r="F319" s="55"/>
      <c r="G319" s="55" t="str">
        <f>IF($A319=0,"",VLOOKUP($A319,'BASE MATERIAL'!$A:$D,4))</f>
        <v/>
      </c>
      <c r="H319" s="56" t="str">
        <f t="shared" si="29"/>
        <v/>
      </c>
      <c r="I319" s="5"/>
      <c r="L319" s="5"/>
      <c r="M319" s="5"/>
      <c r="N319" s="160"/>
      <c r="O319" s="5"/>
      <c r="P319" s="5"/>
    </row>
    <row r="320" spans="1:16" s="4" customFormat="1" x14ac:dyDescent="0.25">
      <c r="A320" s="103"/>
      <c r="B320" s="38" t="str">
        <f>IF($A320=0,"",VLOOKUP($A320,'BASE MATERIAL'!$A:$D,2))</f>
        <v/>
      </c>
      <c r="C320" s="2"/>
      <c r="D320" s="77"/>
      <c r="E320" s="78" t="str">
        <f>IF($A320=0,"",VLOOKUP($A320,'BASE MATERIAL'!$A:$D,3))</f>
        <v/>
      </c>
      <c r="F320" s="55"/>
      <c r="G320" s="55" t="str">
        <f>IF($A320=0,"",VLOOKUP($A320,'BASE MATERIAL'!$A:$D,4))</f>
        <v/>
      </c>
      <c r="H320" s="56" t="str">
        <f t="shared" si="29"/>
        <v/>
      </c>
      <c r="I320" s="5"/>
    </row>
    <row r="321" spans="1:9" s="4" customFormat="1" x14ac:dyDescent="0.25">
      <c r="A321" s="103"/>
      <c r="B321" s="38" t="str">
        <f>IF($A321=0,"",VLOOKUP($A321,'BASE MATERIAL'!$A:$D,2))</f>
        <v/>
      </c>
      <c r="C321" s="2"/>
      <c r="D321" s="77"/>
      <c r="E321" s="78" t="str">
        <f>IF($A321=0,"",VLOOKUP($A321,'BASE MATERIAL'!$A:$D,3))</f>
        <v/>
      </c>
      <c r="F321" s="55"/>
      <c r="G321" s="55" t="str">
        <f>IF($A321=0,"",VLOOKUP($A321,'BASE MATERIAL'!$A:$D,4))</f>
        <v/>
      </c>
      <c r="H321" s="56" t="str">
        <f t="shared" si="29"/>
        <v/>
      </c>
      <c r="I321" s="5"/>
    </row>
    <row r="322" spans="1:9" s="4" customFormat="1" x14ac:dyDescent="0.25">
      <c r="A322" s="103"/>
      <c r="B322" s="38" t="str">
        <f>IF($A322=0,"",VLOOKUP($A322,'BASE MATERIAL'!$A:$D,2))</f>
        <v/>
      </c>
      <c r="C322" s="2"/>
      <c r="D322" s="77"/>
      <c r="E322" s="78" t="str">
        <f>IF($A322=0,"",VLOOKUP($A322,'BASE MATERIAL'!$A:$D,3))</f>
        <v/>
      </c>
      <c r="F322" s="55"/>
      <c r="G322" s="55" t="str">
        <f>IF($A322=0,"",VLOOKUP($A322,'BASE MATERIAL'!$A:$D,4))</f>
        <v/>
      </c>
      <c r="H322" s="56" t="str">
        <f t="shared" si="29"/>
        <v/>
      </c>
      <c r="I322" s="5"/>
    </row>
    <row r="323" spans="1:9" s="4" customFormat="1" x14ac:dyDescent="0.25">
      <c r="A323" s="103"/>
      <c r="B323" s="38" t="str">
        <f>IF($A323=0,"",VLOOKUP($A323,'BASE MATERIAL'!$A:$D,2))</f>
        <v/>
      </c>
      <c r="C323" s="2"/>
      <c r="D323" s="77"/>
      <c r="E323" s="78" t="str">
        <f>IF($A323=0,"",VLOOKUP($A323,'BASE MATERIAL'!$A:$D,3))</f>
        <v/>
      </c>
      <c r="F323" s="55"/>
      <c r="G323" s="55" t="str">
        <f>IF($A323=0,"",VLOOKUP($A323,'BASE MATERIAL'!$A:$D,4))</f>
        <v/>
      </c>
      <c r="H323" s="56" t="str">
        <f t="shared" si="29"/>
        <v/>
      </c>
      <c r="I323" s="5"/>
    </row>
    <row r="324" spans="1:9" s="4" customFormat="1" x14ac:dyDescent="0.25">
      <c r="A324" s="103"/>
      <c r="B324" s="38" t="str">
        <f>IF($A324=0,"",VLOOKUP($A324,'BASE MATERIAL'!$A:$D,2))</f>
        <v/>
      </c>
      <c r="C324" s="2"/>
      <c r="D324" s="81" t="s">
        <v>1682</v>
      </c>
      <c r="E324" s="55" t="str">
        <f>IF($A324=0,"",VLOOKUP($A324,'BASE MATERIAL'!$A:$D,3))</f>
        <v/>
      </c>
      <c r="F324" s="55" t="s">
        <v>1682</v>
      </c>
      <c r="G324" s="55" t="str">
        <f>IF($A324=0,"",VLOOKUP($A324,'BASE MATERIAL'!$A:$D,4))</f>
        <v/>
      </c>
      <c r="H324" s="56" t="str">
        <f>IF($A324=0,"",ROUND(E324*F324,2))</f>
        <v/>
      </c>
      <c r="I324" s="5"/>
    </row>
    <row r="325" spans="1:9" s="4" customFormat="1" x14ac:dyDescent="0.25">
      <c r="A325" s="103"/>
      <c r="B325" s="73" t="s">
        <v>1681</v>
      </c>
      <c r="C325" s="65"/>
      <c r="D325" s="74"/>
      <c r="E325" s="74"/>
      <c r="F325" s="74"/>
      <c r="G325" s="74"/>
      <c r="H325" s="75">
        <f>ROUND(SUM(H308:H324),2)</f>
        <v>10.51</v>
      </c>
      <c r="I325" s="5"/>
    </row>
    <row r="326" spans="1:9" s="4" customFormat="1" x14ac:dyDescent="0.25">
      <c r="A326" s="103"/>
      <c r="B326" s="38" t="s">
        <v>1680</v>
      </c>
      <c r="C326" s="2"/>
      <c r="D326" s="3"/>
      <c r="E326" s="3"/>
      <c r="F326" s="3"/>
      <c r="G326" s="3"/>
      <c r="H326" s="56"/>
      <c r="I326" s="5"/>
    </row>
    <row r="327" spans="1:9" ht="25.5" x14ac:dyDescent="0.25">
      <c r="B327" s="64" t="s">
        <v>1409</v>
      </c>
      <c r="C327" s="65"/>
      <c r="D327" s="76"/>
      <c r="E327" s="66" t="s">
        <v>1408</v>
      </c>
      <c r="F327" s="66" t="s">
        <v>1679</v>
      </c>
      <c r="G327" s="66" t="s">
        <v>1676</v>
      </c>
      <c r="H327" s="68" t="s">
        <v>1675</v>
      </c>
      <c r="I327" s="2"/>
    </row>
    <row r="328" spans="1:9" s="4" customFormat="1" x14ac:dyDescent="0.25">
      <c r="A328" s="103">
        <v>19019</v>
      </c>
      <c r="B328" s="51" t="str">
        <f>IF($A328=0,"",VLOOKUP($A328,'BASE EQUIPO'!$A:$D,2))</f>
        <v>TRANSPORTE DE MATERIAL</v>
      </c>
      <c r="C328" s="52"/>
      <c r="D328" s="82"/>
      <c r="E328" s="78" t="str">
        <f>IF($A328=0,"",VLOOKUP($A328,'BASE EQUIPO'!$A:$D,3))</f>
        <v>GLOBAL</v>
      </c>
      <c r="F328" s="55">
        <v>1</v>
      </c>
      <c r="G328" s="83">
        <f>IF($A328=0,"",VLOOKUP($A328,'BASE EQUIPO'!$A:$D,4)*H325)</f>
        <v>0.31529999999999997</v>
      </c>
      <c r="H328" s="56">
        <f>IF($A328=0,"",ROUND(F328*G328,2))</f>
        <v>0.32</v>
      </c>
      <c r="I328" s="5"/>
    </row>
    <row r="329" spans="1:9" s="4" customFormat="1" x14ac:dyDescent="0.25">
      <c r="A329" s="103"/>
      <c r="B329" s="38" t="str">
        <f>IF($A329=0,"",VLOOKUP($A329,'BASE EQUIPO'!$A:$D,2))</f>
        <v/>
      </c>
      <c r="C329" s="2"/>
      <c r="D329" s="84"/>
      <c r="E329" s="78" t="str">
        <f>IF($A329=0,"",VLOOKUP($A329,'BASE EQUIPO'!$A:$D,3))</f>
        <v/>
      </c>
      <c r="F329" s="55"/>
      <c r="G329" s="55" t="str">
        <f>IF($A329=0,"",VLOOKUP($A329,'BASE EQUIPO'!$A:$D,4)*H326)</f>
        <v/>
      </c>
      <c r="H329" s="56" t="str">
        <f>IF($A329=0,"",ROUND(F329*G329,2))</f>
        <v/>
      </c>
      <c r="I329" s="5"/>
    </row>
    <row r="330" spans="1:9" s="4" customFormat="1" x14ac:dyDescent="0.25">
      <c r="A330" s="103"/>
      <c r="B330" s="57" t="str">
        <f>IF($A330=0,"",VLOOKUP($A330,'BASE EQUIPO'!$A:$D,2))</f>
        <v/>
      </c>
      <c r="C330" s="58"/>
      <c r="D330" s="85"/>
      <c r="E330" s="86" t="str">
        <f>IF($A330=0,"",VLOOKUP($A330,'BASE EQUIPO'!$A:$D,3))</f>
        <v/>
      </c>
      <c r="F330" s="59"/>
      <c r="G330" s="59" t="str">
        <f>IF($A330=0,"",VLOOKUP($A330,'BASE EQUIPO'!$A:$D,4)*H327)</f>
        <v/>
      </c>
      <c r="H330" s="60" t="str">
        <f>IF($A330=0,"",ROUND(F330*G330,2))</f>
        <v/>
      </c>
      <c r="I330" s="5"/>
    </row>
    <row r="331" spans="1:9" s="4" customFormat="1" ht="15.75" thickBot="1" x14ac:dyDescent="0.3">
      <c r="A331" s="103"/>
      <c r="B331" s="87" t="s">
        <v>1674</v>
      </c>
      <c r="C331" s="88"/>
      <c r="D331" s="89"/>
      <c r="E331" s="89"/>
      <c r="F331" s="89"/>
      <c r="G331" s="89"/>
      <c r="H331" s="90">
        <f>ROUND(SUM(H327:H330),2)</f>
        <v>0.32</v>
      </c>
      <c r="I331" s="5"/>
    </row>
    <row r="332" spans="1:9" s="4" customFormat="1" ht="15.75" x14ac:dyDescent="0.25">
      <c r="A332" s="103"/>
      <c r="B332" s="2"/>
      <c r="C332" s="2"/>
      <c r="D332" s="91" t="s">
        <v>1673</v>
      </c>
      <c r="E332" s="177"/>
      <c r="F332" s="177"/>
      <c r="G332" s="177"/>
      <c r="H332" s="92">
        <f>ROUND(SUM(H331,H325,H306,H296),2)</f>
        <v>18.75</v>
      </c>
      <c r="I332" s="5"/>
    </row>
    <row r="333" spans="1:9" s="4" customFormat="1" ht="15.75" x14ac:dyDescent="0.25">
      <c r="A333" s="103">
        <v>40002</v>
      </c>
      <c r="B333" s="2"/>
      <c r="C333" s="2"/>
      <c r="D333" s="93" t="s">
        <v>1672</v>
      </c>
      <c r="E333" s="166"/>
      <c r="F333" s="166"/>
      <c r="G333" s="178">
        <f>IF($A333=0,"",VLOOKUP($A333,'BASE MATERIAL'!$M:$P,4))</f>
        <v>0</v>
      </c>
      <c r="H333" s="95">
        <f>IF($A333=0,"",ROUND(G333*H332,2))</f>
        <v>0</v>
      </c>
      <c r="I333" s="5"/>
    </row>
    <row r="334" spans="1:9" s="4" customFormat="1" ht="15.75" x14ac:dyDescent="0.25">
      <c r="A334" s="103">
        <v>40003</v>
      </c>
      <c r="B334" s="2"/>
      <c r="C334" s="2"/>
      <c r="D334" s="93" t="s">
        <v>1671</v>
      </c>
      <c r="E334" s="166"/>
      <c r="F334" s="166"/>
      <c r="G334" s="178">
        <f>IF($A334=0,"",VLOOKUP($A334,'BASE MATERIAL'!$M:$P,4))</f>
        <v>0</v>
      </c>
      <c r="H334" s="95">
        <f>IF($A334=0,"",ROUND(G334*H332,2))</f>
        <v>0</v>
      </c>
      <c r="I334" s="5"/>
    </row>
    <row r="335" spans="1:9" s="4" customFormat="1" ht="15.75" x14ac:dyDescent="0.25">
      <c r="A335" s="103"/>
      <c r="B335" s="2"/>
      <c r="C335" s="2"/>
      <c r="D335" s="93" t="s">
        <v>1670</v>
      </c>
      <c r="E335" s="166"/>
      <c r="F335" s="166"/>
      <c r="G335" s="166"/>
      <c r="H335" s="96">
        <f>ROUND(SUM(H332:H334),2)</f>
        <v>18.75</v>
      </c>
      <c r="I335" s="5"/>
    </row>
    <row r="336" spans="1:9" s="4" customFormat="1" ht="16.5" thickBot="1" x14ac:dyDescent="0.3">
      <c r="A336" s="103"/>
      <c r="B336" s="25"/>
      <c r="C336" s="5"/>
      <c r="D336" s="97" t="s">
        <v>1650</v>
      </c>
      <c r="E336" s="179"/>
      <c r="F336" s="179"/>
      <c r="G336" s="179"/>
      <c r="H336" s="98">
        <f>ROUND(H335,2)</f>
        <v>18.75</v>
      </c>
      <c r="I336" s="5"/>
    </row>
    <row r="337" spans="1:15" ht="15.75" x14ac:dyDescent="0.25">
      <c r="B337" s="34" t="s">
        <v>1701</v>
      </c>
      <c r="C337" s="5"/>
      <c r="D337" s="157" t="str">
        <f>$D$113</f>
        <v>ESPOL</v>
      </c>
      <c r="E337" s="2"/>
      <c r="F337" s="2"/>
      <c r="H337" s="2" t="s">
        <v>108</v>
      </c>
      <c r="I337" s="2"/>
      <c r="L337" s="40">
        <f>A341</f>
        <v>1</v>
      </c>
      <c r="M337" s="2" t="str">
        <f>C342</f>
        <v>Dinteles y Viguetas h. armado   9x20cm</v>
      </c>
      <c r="N337" s="2" t="str">
        <f>H341</f>
        <v>ml</v>
      </c>
      <c r="O337" s="2">
        <f>H392</f>
        <v>10.54</v>
      </c>
    </row>
    <row r="338" spans="1:15" s="4" customFormat="1" ht="15.75" x14ac:dyDescent="0.25">
      <c r="A338" s="103"/>
      <c r="B338" s="34" t="s">
        <v>1700</v>
      </c>
      <c r="C338" s="3">
        <f>'1.1'!$C$2</f>
        <v>0</v>
      </c>
      <c r="D338" s="5"/>
      <c r="E338" s="5"/>
      <c r="F338" s="5"/>
      <c r="G338" s="158" t="s">
        <v>1699</v>
      </c>
      <c r="H338" s="159"/>
      <c r="I338" s="5" t="s">
        <v>1698</v>
      </c>
    </row>
    <row r="339" spans="1:15" s="4" customFormat="1" ht="15.75" x14ac:dyDescent="0.25">
      <c r="A339" s="103"/>
      <c r="B339" s="34"/>
      <c r="C339" s="3">
        <f>'1.1'!$C$3</f>
        <v>0</v>
      </c>
      <c r="D339" s="5"/>
      <c r="E339" s="5"/>
      <c r="F339" s="5"/>
      <c r="G339" s="5"/>
      <c r="H339" s="5"/>
      <c r="I339" s="5"/>
    </row>
    <row r="340" spans="1:15" s="4" customFormat="1" ht="15.75" x14ac:dyDescent="0.25">
      <c r="A340" s="103"/>
      <c r="B340" s="34" t="s">
        <v>1697</v>
      </c>
      <c r="C340" s="3"/>
      <c r="D340" s="5"/>
      <c r="E340" s="5"/>
      <c r="F340" s="5"/>
      <c r="G340" s="5"/>
      <c r="H340" s="5"/>
      <c r="I340" s="5"/>
    </row>
    <row r="341" spans="1:15" x14ac:dyDescent="0.25">
      <c r="A341" s="104">
        <v>1</v>
      </c>
      <c r="B341" s="2" t="s">
        <v>1586</v>
      </c>
      <c r="C341" s="111"/>
      <c r="D341" s="5"/>
      <c r="E341" s="4"/>
      <c r="F341" s="4"/>
      <c r="G341" s="5" t="s">
        <v>1696</v>
      </c>
      <c r="H341" s="157" t="s">
        <v>961</v>
      </c>
      <c r="I341" s="2"/>
    </row>
    <row r="342" spans="1:15" s="4" customFormat="1" x14ac:dyDescent="0.25">
      <c r="A342" s="103"/>
      <c r="B342" s="1" t="s">
        <v>1585</v>
      </c>
      <c r="C342" s="36" t="s">
        <v>277</v>
      </c>
      <c r="D342" s="5"/>
      <c r="E342" s="5"/>
      <c r="F342" s="5"/>
      <c r="G342" s="5"/>
      <c r="H342" s="5"/>
      <c r="I342" s="5"/>
    </row>
    <row r="343" spans="1:15" ht="15.75" thickBot="1" x14ac:dyDescent="0.3">
      <c r="D343" s="2"/>
      <c r="E343" s="2"/>
      <c r="F343" s="2"/>
      <c r="G343" s="2"/>
      <c r="H343" s="2"/>
      <c r="I343" s="2"/>
    </row>
    <row r="344" spans="1:15" ht="15.75" thickBot="1" x14ac:dyDescent="0.3">
      <c r="B344" s="43" t="s">
        <v>1695</v>
      </c>
      <c r="C344" s="44"/>
      <c r="D344" s="44"/>
      <c r="E344" s="44"/>
      <c r="F344" s="44"/>
      <c r="G344" s="44"/>
      <c r="H344" s="45"/>
      <c r="I344" s="2"/>
    </row>
    <row r="345" spans="1:15" ht="25.5" x14ac:dyDescent="0.25">
      <c r="B345" s="46" t="s">
        <v>1409</v>
      </c>
      <c r="C345" s="47"/>
      <c r="D345" s="48" t="s">
        <v>1690</v>
      </c>
      <c r="E345" s="48" t="s">
        <v>1694</v>
      </c>
      <c r="F345" s="48" t="s">
        <v>1693</v>
      </c>
      <c r="G345" s="49" t="s">
        <v>1687</v>
      </c>
      <c r="H345" s="50" t="s">
        <v>1686</v>
      </c>
      <c r="I345" s="2"/>
    </row>
    <row r="346" spans="1:15" s="4" customFormat="1" x14ac:dyDescent="0.25">
      <c r="A346" s="103">
        <v>19015</v>
      </c>
      <c r="B346" s="51" t="str">
        <f>IF($A346=0,"",VLOOKUP($A346,'BASE EQUIPO'!$A:$D,2))</f>
        <v>HERRAMIENTA MENOR</v>
      </c>
      <c r="C346" s="52"/>
      <c r="D346" s="53">
        <v>1</v>
      </c>
      <c r="E346" s="53">
        <f>IF($A346=0,"",VLOOKUP($A346,'BASE EQUIPO'!$A:$D,4)*H362)</f>
        <v>0.13830000000000001</v>
      </c>
      <c r="F346" s="53">
        <f t="shared" ref="F346:F351" si="30">IF($A346=0,"",ROUND(D346*E346,2))</f>
        <v>0.14000000000000001</v>
      </c>
      <c r="G346" s="105">
        <v>1</v>
      </c>
      <c r="H346" s="54">
        <f t="shared" ref="H346:H351" si="31">IF($A346=0,"",ROUND(G346*F346,2))</f>
        <v>0.14000000000000001</v>
      </c>
      <c r="I346" s="5"/>
    </row>
    <row r="347" spans="1:15" s="4" customFormat="1" x14ac:dyDescent="0.25">
      <c r="A347" s="103"/>
      <c r="B347" s="38" t="str">
        <f>IF($A347=0,"",VLOOKUP($A347,'BASE EQUIPO'!$A:$D,2))</f>
        <v/>
      </c>
      <c r="C347" s="2"/>
      <c r="D347" s="55"/>
      <c r="E347" s="55" t="str">
        <f>IF($A347=0,"",VLOOKUP($A347,'BASE EQUIPO'!$A:$D,4))</f>
        <v/>
      </c>
      <c r="F347" s="55" t="str">
        <f t="shared" si="30"/>
        <v/>
      </c>
      <c r="G347" s="106"/>
      <c r="H347" s="56" t="str">
        <f t="shared" si="31"/>
        <v/>
      </c>
      <c r="I347" s="5"/>
    </row>
    <row r="348" spans="1:15" s="4" customFormat="1" x14ac:dyDescent="0.25">
      <c r="A348" s="103"/>
      <c r="B348" s="38" t="str">
        <f>IF($A348=0,"",VLOOKUP($A348,'BASE EQUIPO'!$A:$D,2))</f>
        <v/>
      </c>
      <c r="C348" s="2"/>
      <c r="D348" s="55"/>
      <c r="E348" s="55" t="str">
        <f>IF($A348=0,"",VLOOKUP($A348,'BASE EQUIPO'!$A:$D,4))</f>
        <v/>
      </c>
      <c r="F348" s="55" t="str">
        <f t="shared" si="30"/>
        <v/>
      </c>
      <c r="G348" s="106"/>
      <c r="H348" s="56" t="str">
        <f t="shared" si="31"/>
        <v/>
      </c>
      <c r="I348" s="5"/>
    </row>
    <row r="349" spans="1:15" s="4" customFormat="1" x14ac:dyDescent="0.25">
      <c r="A349" s="103"/>
      <c r="B349" s="38" t="str">
        <f>IF($A349=0,"",VLOOKUP($A349,'BASE EQUIPO'!$A:$D,2))</f>
        <v/>
      </c>
      <c r="C349" s="2"/>
      <c r="D349" s="55"/>
      <c r="E349" s="55" t="str">
        <f>IF($A349=0,"",VLOOKUP($A349,'BASE EQUIPO'!$A:$D,4))</f>
        <v/>
      </c>
      <c r="F349" s="55" t="str">
        <f t="shared" si="30"/>
        <v/>
      </c>
      <c r="G349" s="106"/>
      <c r="H349" s="56" t="str">
        <f t="shared" si="31"/>
        <v/>
      </c>
      <c r="I349" s="5"/>
    </row>
    <row r="350" spans="1:15" s="4" customFormat="1" x14ac:dyDescent="0.25">
      <c r="A350" s="103"/>
      <c r="B350" s="38" t="str">
        <f>IF($A350=0,"",VLOOKUP($A350,'BASE EQUIPO'!$A:$D,2))</f>
        <v/>
      </c>
      <c r="C350" s="2"/>
      <c r="D350" s="55"/>
      <c r="E350" s="55" t="str">
        <f>IF($A350=0,"",VLOOKUP($A350,'BASE EQUIPO'!$A:$D,4))</f>
        <v/>
      </c>
      <c r="F350" s="55" t="str">
        <f t="shared" si="30"/>
        <v/>
      </c>
      <c r="G350" s="106"/>
      <c r="H350" s="56" t="str">
        <f t="shared" si="31"/>
        <v/>
      </c>
      <c r="I350" s="5"/>
    </row>
    <row r="351" spans="1:15" s="4" customFormat="1" x14ac:dyDescent="0.25">
      <c r="A351" s="103"/>
      <c r="B351" s="57" t="str">
        <f>IF($A351=0,"",VLOOKUP($A351,'BASE EQUIPO'!$A:$D,2))</f>
        <v/>
      </c>
      <c r="C351" s="58"/>
      <c r="D351" s="59"/>
      <c r="E351" s="59" t="str">
        <f>IF($A351=0,"",VLOOKUP($A351,'BASE EQUIPO'!$A:$D,4))</f>
        <v/>
      </c>
      <c r="F351" s="59" t="str">
        <f t="shared" si="30"/>
        <v/>
      </c>
      <c r="G351" s="107"/>
      <c r="H351" s="60" t="str">
        <f t="shared" si="31"/>
        <v/>
      </c>
      <c r="I351" s="5"/>
    </row>
    <row r="352" spans="1:15" s="4" customFormat="1" x14ac:dyDescent="0.25">
      <c r="A352" s="103"/>
      <c r="B352" s="57" t="s">
        <v>1692</v>
      </c>
      <c r="C352" s="58"/>
      <c r="D352" s="61"/>
      <c r="E352" s="61"/>
      <c r="F352" s="61"/>
      <c r="G352" s="62"/>
      <c r="H352" s="60">
        <f>ROUND(SUM(H345:H351),2)</f>
        <v>0.14000000000000001</v>
      </c>
      <c r="I352" s="5"/>
    </row>
    <row r="353" spans="1:16" s="4" customFormat="1" x14ac:dyDescent="0.25">
      <c r="A353" s="103"/>
      <c r="B353" s="38" t="s">
        <v>1503</v>
      </c>
      <c r="C353" s="2"/>
      <c r="D353" s="3"/>
      <c r="E353" s="3"/>
      <c r="F353" s="3"/>
      <c r="G353" s="63"/>
      <c r="H353" s="56"/>
      <c r="I353" s="5"/>
    </row>
    <row r="354" spans="1:16" ht="25.5" x14ac:dyDescent="0.25">
      <c r="B354" s="64" t="s">
        <v>1691</v>
      </c>
      <c r="C354" s="65"/>
      <c r="D354" s="66" t="s">
        <v>1690</v>
      </c>
      <c r="E354" s="66" t="s">
        <v>1689</v>
      </c>
      <c r="F354" s="66" t="s">
        <v>1688</v>
      </c>
      <c r="G354" s="67" t="s">
        <v>1687</v>
      </c>
      <c r="H354" s="68" t="s">
        <v>1686</v>
      </c>
      <c r="I354" s="2"/>
    </row>
    <row r="355" spans="1:16" s="4" customFormat="1" x14ac:dyDescent="0.25">
      <c r="A355" s="103">
        <v>20001</v>
      </c>
      <c r="B355" s="69" t="str">
        <f>IF($A355=0,"",VLOOKUP($A355,'BASE M-OBRA'!$A:$D,2))</f>
        <v>MAESTRO</v>
      </c>
      <c r="C355" s="2"/>
      <c r="D355" s="108">
        <v>1</v>
      </c>
      <c r="E355" s="70">
        <f>IF($A355=0,"",VLOOKUP($A355,'BASE M-OBRA'!$A:$D,4))</f>
        <v>3.02</v>
      </c>
      <c r="F355" s="55">
        <f t="shared" ref="F355:F361" si="32">IF($A355=0,"",ROUND(D355*E355,2))</f>
        <v>3.02</v>
      </c>
      <c r="G355" s="106">
        <f>IF($A355=0,"",ROUND(H355/F355,2))</f>
        <v>0.25</v>
      </c>
      <c r="H355" s="56">
        <f>IF($A355=0,"",ROUND(SUM(H356:H361)*'BASE M-OBRA'!$D$23,2))</f>
        <v>0.77</v>
      </c>
      <c r="I355" s="5"/>
    </row>
    <row r="356" spans="1:16" s="4" customFormat="1" x14ac:dyDescent="0.25">
      <c r="A356" s="103">
        <v>20002</v>
      </c>
      <c r="B356" s="69" t="str">
        <f>IF($A356=0,"",VLOOKUP($A356,'BASE M-OBRA'!$A:$D,2))</f>
        <v>PEON</v>
      </c>
      <c r="C356" s="2"/>
      <c r="D356" s="108">
        <v>2</v>
      </c>
      <c r="E356" s="70">
        <f>IF($A356=0,"",VLOOKUP($A356,'BASE M-OBRA'!$A:$D,4))</f>
        <v>2.79</v>
      </c>
      <c r="F356" s="55">
        <f t="shared" si="32"/>
        <v>5.58</v>
      </c>
      <c r="G356" s="106">
        <v>0.15</v>
      </c>
      <c r="H356" s="56">
        <f t="shared" ref="H356:H361" si="33">IF($A356=0,"",ROUND(G356*F356,2))</f>
        <v>0.84</v>
      </c>
      <c r="I356" s="5"/>
      <c r="K356" s="4">
        <f>20*0.1*0.2</f>
        <v>0.4</v>
      </c>
    </row>
    <row r="357" spans="1:16" s="4" customFormat="1" x14ac:dyDescent="0.25">
      <c r="A357" s="103">
        <v>20003</v>
      </c>
      <c r="B357" s="69" t="str">
        <f>IF($A357=0,"",VLOOKUP($A357,'BASE M-OBRA'!$A:$D,2))</f>
        <v>ALBAÑIL</v>
      </c>
      <c r="C357" s="2"/>
      <c r="D357" s="108">
        <v>2</v>
      </c>
      <c r="E357" s="70">
        <f>IF($A357=0,"",VLOOKUP($A357,'BASE M-OBRA'!$A:$D,4))</f>
        <v>2.82</v>
      </c>
      <c r="F357" s="55">
        <f t="shared" si="32"/>
        <v>5.64</v>
      </c>
      <c r="G357" s="106">
        <f>+G356</f>
        <v>0.15</v>
      </c>
      <c r="H357" s="56">
        <f t="shared" si="33"/>
        <v>0.85</v>
      </c>
      <c r="I357" s="5"/>
    </row>
    <row r="358" spans="1:16" s="4" customFormat="1" x14ac:dyDescent="0.25">
      <c r="A358" s="103">
        <v>20004</v>
      </c>
      <c r="B358" s="71" t="str">
        <f>IF($A358=0,"",VLOOKUP($A358,'BASE M-OBRA'!$A:$D,2))</f>
        <v>CARPINTERO</v>
      </c>
      <c r="C358" s="2"/>
      <c r="D358" s="108">
        <v>2</v>
      </c>
      <c r="E358" s="70">
        <f>IF($A358=0,"",VLOOKUP($A358,'BASE M-OBRA'!$A:$D,4))</f>
        <v>2.82</v>
      </c>
      <c r="F358" s="55">
        <f t="shared" si="32"/>
        <v>5.64</v>
      </c>
      <c r="G358" s="106">
        <v>0.26</v>
      </c>
      <c r="H358" s="56">
        <f t="shared" si="33"/>
        <v>1.47</v>
      </c>
      <c r="I358" s="5"/>
      <c r="K358" s="4">
        <f>0.5*2.9</f>
        <v>1.45</v>
      </c>
    </row>
    <row r="359" spans="1:16" s="4" customFormat="1" x14ac:dyDescent="0.25">
      <c r="A359" s="103">
        <v>20005</v>
      </c>
      <c r="B359" s="72" t="str">
        <f>IF($A359=0,"",VLOOKUP($A359,'BASE M-OBRA'!$A:$D,2))</f>
        <v>FIERRERO</v>
      </c>
      <c r="C359" s="2"/>
      <c r="D359" s="108">
        <v>2</v>
      </c>
      <c r="E359" s="70">
        <f>IF($A359=0,"",VLOOKUP($A359,'BASE M-OBRA'!$A:$D,4))</f>
        <v>2.82</v>
      </c>
      <c r="F359" s="55">
        <f t="shared" si="32"/>
        <v>5.64</v>
      </c>
      <c r="G359" s="106">
        <v>0.12</v>
      </c>
      <c r="H359" s="56">
        <f t="shared" si="33"/>
        <v>0.68</v>
      </c>
      <c r="I359" s="5"/>
      <c r="K359" s="4">
        <f>0.3*F368</f>
        <v>0.65387999999999991</v>
      </c>
    </row>
    <row r="360" spans="1:16" s="4" customFormat="1" x14ac:dyDescent="0.25">
      <c r="A360" s="103"/>
      <c r="B360" s="38" t="str">
        <f>IF($A360=0,"",VLOOKUP($A360,'BASE M-OBRA'!$A:$D,2))</f>
        <v/>
      </c>
      <c r="C360" s="2"/>
      <c r="D360" s="55"/>
      <c r="E360" s="55" t="str">
        <f>IF($A360=0,"",VLOOKUP($A360,'BASE M-OBRA'!$A:$D,4))</f>
        <v/>
      </c>
      <c r="F360" s="55" t="str">
        <f t="shared" si="32"/>
        <v/>
      </c>
      <c r="G360" s="106"/>
      <c r="H360" s="56" t="str">
        <f t="shared" si="33"/>
        <v/>
      </c>
      <c r="I360" s="5"/>
    </row>
    <row r="361" spans="1:16" s="4" customFormat="1" x14ac:dyDescent="0.25">
      <c r="A361" s="103"/>
      <c r="B361" s="57" t="str">
        <f>IF($A361=0,"",VLOOKUP($A361,'BASE M-OBRA'!$A:$D,2))</f>
        <v/>
      </c>
      <c r="C361" s="58"/>
      <c r="D361" s="59"/>
      <c r="E361" s="59" t="str">
        <f>IF($A361=0,"",VLOOKUP($A361,'BASE M-OBRA'!$A:$D,4))</f>
        <v/>
      </c>
      <c r="F361" s="59" t="str">
        <f t="shared" si="32"/>
        <v/>
      </c>
      <c r="G361" s="107"/>
      <c r="H361" s="60" t="str">
        <f t="shared" si="33"/>
        <v/>
      </c>
      <c r="I361" s="5"/>
    </row>
    <row r="362" spans="1:16" s="4" customFormat="1" x14ac:dyDescent="0.25">
      <c r="A362" s="103"/>
      <c r="B362" s="73" t="s">
        <v>1685</v>
      </c>
      <c r="C362" s="65"/>
      <c r="D362" s="74"/>
      <c r="E362" s="74"/>
      <c r="F362" s="74"/>
      <c r="G362" s="74"/>
      <c r="H362" s="75">
        <f>ROUND(SUM(H354:H361),2)</f>
        <v>4.6100000000000003</v>
      </c>
      <c r="I362" s="5"/>
    </row>
    <row r="363" spans="1:16" s="4" customFormat="1" x14ac:dyDescent="0.25">
      <c r="A363" s="103"/>
      <c r="B363" s="38" t="s">
        <v>1684</v>
      </c>
      <c r="C363" s="2"/>
      <c r="D363" s="3"/>
      <c r="E363" s="3"/>
      <c r="F363" s="3"/>
      <c r="G363" s="3"/>
      <c r="H363" s="56"/>
      <c r="I363" s="5"/>
    </row>
    <row r="364" spans="1:16" ht="25.5" x14ac:dyDescent="0.25">
      <c r="B364" s="64" t="s">
        <v>1409</v>
      </c>
      <c r="C364" s="65"/>
      <c r="D364" s="76"/>
      <c r="E364" s="66" t="s">
        <v>1408</v>
      </c>
      <c r="F364" s="66" t="s">
        <v>1679</v>
      </c>
      <c r="G364" s="66" t="s">
        <v>1683</v>
      </c>
      <c r="H364" s="68" t="s">
        <v>1675</v>
      </c>
      <c r="I364" s="2"/>
    </row>
    <row r="365" spans="1:16" s="4" customFormat="1" x14ac:dyDescent="0.25">
      <c r="A365" s="103">
        <v>11008</v>
      </c>
      <c r="B365" s="37" t="str">
        <f>IF($A365=0,"",VLOOKUP($A365,'BASE MATERIAL'!$A:$D,2))</f>
        <v>TABLA</v>
      </c>
      <c r="C365" s="2"/>
      <c r="D365" s="77"/>
      <c r="E365" s="78" t="str">
        <f>IF($A365=0,"",VLOOKUP($A365,'BASE MATERIAL'!$A:$D,3))</f>
        <v>U</v>
      </c>
      <c r="F365" s="55">
        <f>ROUND(0.5*5/(4*3),2)</f>
        <v>0.21</v>
      </c>
      <c r="G365" s="55">
        <f>IF($A365=0,"",VLOOKUP($A365,'BASE MATERIAL'!$A:$D,4))</f>
        <v>3.5</v>
      </c>
      <c r="H365" s="56">
        <f t="shared" ref="H365:H379" si="34">IF($A365=0,"",ROUND(F365*G365,2))</f>
        <v>0.74</v>
      </c>
      <c r="I365" s="5"/>
      <c r="L365" s="5"/>
      <c r="M365" s="5"/>
      <c r="N365" s="160"/>
      <c r="O365" s="5"/>
      <c r="P365" s="5"/>
    </row>
    <row r="366" spans="1:16" s="4" customFormat="1" x14ac:dyDescent="0.25">
      <c r="A366" s="103">
        <v>11009</v>
      </c>
      <c r="B366" s="38" t="str">
        <f>IF($A366=0,"",VLOOKUP($A366,'BASE MATERIAL'!$A:$D,2))</f>
        <v>CUARTON</v>
      </c>
      <c r="C366" s="2"/>
      <c r="D366" s="77"/>
      <c r="E366" s="78" t="str">
        <f>IF($A366=0,"",VLOOKUP($A366,'BASE MATERIAL'!$A:$D,3))</f>
        <v>U</v>
      </c>
      <c r="F366" s="55">
        <f>ROUND(0.5*8/(4*3),2)</f>
        <v>0.33</v>
      </c>
      <c r="G366" s="55">
        <f>IF($A366=0,"",VLOOKUP($A366,'BASE MATERIAL'!$A:$D,4))</f>
        <v>2.42</v>
      </c>
      <c r="H366" s="56">
        <f t="shared" si="34"/>
        <v>0.8</v>
      </c>
      <c r="I366" s="5"/>
      <c r="L366" s="5"/>
      <c r="M366" s="5"/>
      <c r="N366" s="160"/>
      <c r="O366" s="5"/>
      <c r="P366" s="5"/>
    </row>
    <row r="367" spans="1:16" s="4" customFormat="1" x14ac:dyDescent="0.25">
      <c r="A367" s="103">
        <v>11007</v>
      </c>
      <c r="B367" s="38" t="str">
        <f>IF($A367=0,"",VLOOKUP($A367,'BASE MATERIAL'!$A:$D,2))</f>
        <v>CLAVO 2 1/2"</v>
      </c>
      <c r="C367" s="2"/>
      <c r="D367" s="77"/>
      <c r="E367" s="78" t="str">
        <f>IF($A367=0,"",VLOOKUP($A367,'BASE MATERIAL'!$A:$D,3))</f>
        <v>KG</v>
      </c>
      <c r="F367" s="55">
        <f>ROUND(0.5*56/(178*1.5),2)</f>
        <v>0.1</v>
      </c>
      <c r="G367" s="55">
        <f>IF($A367=0,"",VLOOKUP($A367,'BASE MATERIAL'!$A:$D,4))</f>
        <v>2.6520000000000001</v>
      </c>
      <c r="H367" s="56">
        <f t="shared" si="34"/>
        <v>0.27</v>
      </c>
      <c r="I367" s="5"/>
      <c r="L367" s="5"/>
      <c r="M367" s="5"/>
      <c r="N367" s="160"/>
      <c r="O367" s="5"/>
      <c r="P367" s="5"/>
    </row>
    <row r="368" spans="1:16" s="4" customFormat="1" x14ac:dyDescent="0.25">
      <c r="A368" s="103">
        <v>1001</v>
      </c>
      <c r="B368" s="38" t="str">
        <f>IF($A368=0,"",VLOOKUP($A368,'BASE MATERIAL'!$A:$D,2))</f>
        <v>HIERRO</v>
      </c>
      <c r="C368" s="2"/>
      <c r="D368" s="77"/>
      <c r="E368" s="78" t="str">
        <f>IF($A368=0,"",VLOOKUP($A368,'BASE MATERIAL'!$A:$D,3))</f>
        <v>KG</v>
      </c>
      <c r="F368" s="55">
        <f>2*0.617+8*0.3*0.394</f>
        <v>2.1795999999999998</v>
      </c>
      <c r="G368" s="55">
        <f>IF($A368=0,"",VLOOKUP($A368,'BASE MATERIAL'!$A:$D,4))</f>
        <v>1.17</v>
      </c>
      <c r="H368" s="56">
        <f t="shared" si="34"/>
        <v>2.5499999999999998</v>
      </c>
      <c r="I368" s="5"/>
      <c r="K368" s="4">
        <f>4*0.617</f>
        <v>2.468</v>
      </c>
      <c r="L368" s="5"/>
      <c r="M368" s="5"/>
      <c r="N368" s="160"/>
      <c r="O368" s="5"/>
      <c r="P368" s="5"/>
    </row>
    <row r="369" spans="1:16" s="4" customFormat="1" x14ac:dyDescent="0.25">
      <c r="A369" s="103">
        <v>11002</v>
      </c>
      <c r="B369" s="38" t="str">
        <f>IF($A369=0,"",VLOOKUP($A369,'BASE MATERIAL'!$A:$D,2))</f>
        <v>ALAMBRE #18 RECOCIDO</v>
      </c>
      <c r="C369" s="2"/>
      <c r="D369" s="77"/>
      <c r="E369" s="78" t="str">
        <f>IF($A369=0,"",VLOOKUP($A369,'BASE MATERIAL'!$A:$D,3))</f>
        <v>KG</v>
      </c>
      <c r="F369" s="55">
        <f>ROUND(F368*0.02,2)</f>
        <v>0.04</v>
      </c>
      <c r="G369" s="55">
        <f>IF($A369=0,"",VLOOKUP($A369,'BASE MATERIAL'!$A:$D,4))</f>
        <v>1.87</v>
      </c>
      <c r="H369" s="56">
        <f t="shared" si="34"/>
        <v>7.0000000000000007E-2</v>
      </c>
      <c r="I369" s="5"/>
      <c r="K369" s="4">
        <f>8*0.8*0.394</f>
        <v>2.5216000000000003</v>
      </c>
      <c r="L369" s="5"/>
      <c r="M369" s="5"/>
      <c r="N369" s="160"/>
      <c r="O369" s="5"/>
      <c r="P369" s="5"/>
    </row>
    <row r="370" spans="1:16" s="4" customFormat="1" x14ac:dyDescent="0.25">
      <c r="A370" s="103">
        <v>4001</v>
      </c>
      <c r="B370" s="38" t="str">
        <f>IF($A370=0,"",VLOOKUP($A370,'BASE MATERIAL'!$A:$D,2))</f>
        <v>CEMENTO</v>
      </c>
      <c r="C370" s="2"/>
      <c r="D370" s="77"/>
      <c r="E370" s="78" t="str">
        <f>IF($A370=0,"",VLOOKUP($A370,'BASE MATERIAL'!$A:$D,3))</f>
        <v>SACO</v>
      </c>
      <c r="F370" s="55">
        <f>ROUND(7*0.09*0.2,2)</f>
        <v>0.13</v>
      </c>
      <c r="G370" s="55">
        <f>IF($A370=0,"",VLOOKUP($A370,'BASE MATERIAL'!$A:$D,4))</f>
        <v>7.09</v>
      </c>
      <c r="H370" s="56">
        <f t="shared" si="34"/>
        <v>0.92</v>
      </c>
      <c r="I370" s="5"/>
      <c r="L370" s="5"/>
      <c r="M370" s="5"/>
      <c r="N370" s="160"/>
      <c r="O370" s="5"/>
      <c r="P370" s="5"/>
    </row>
    <row r="371" spans="1:16" s="4" customFormat="1" x14ac:dyDescent="0.25">
      <c r="A371" s="103">
        <v>5004</v>
      </c>
      <c r="B371" s="38" t="str">
        <f>IF($A371=0,"",VLOOKUP($A371,'BASE MATERIAL'!$A:$D,2))</f>
        <v>ARENA</v>
      </c>
      <c r="C371" s="2"/>
      <c r="D371" s="77"/>
      <c r="E371" s="78" t="str">
        <f>IF($A371=0,"",VLOOKUP($A371,'BASE MATERIAL'!$A:$D,3))</f>
        <v>M3</v>
      </c>
      <c r="F371" s="55">
        <f>ROUND(F370*0.032*2,2)</f>
        <v>0.01</v>
      </c>
      <c r="G371" s="55">
        <f>IF($A371=0,"",VLOOKUP($A371,'BASE MATERIAL'!$A:$D,4))</f>
        <v>12.276249999999999</v>
      </c>
      <c r="H371" s="56">
        <f t="shared" si="34"/>
        <v>0.12</v>
      </c>
      <c r="I371" s="5"/>
      <c r="L371" s="5"/>
      <c r="M371" s="5"/>
      <c r="N371" s="160"/>
      <c r="O371" s="5"/>
      <c r="P371" s="5"/>
    </row>
    <row r="372" spans="1:16" s="4" customFormat="1" x14ac:dyDescent="0.25">
      <c r="A372" s="103">
        <v>5002</v>
      </c>
      <c r="B372" s="38" t="str">
        <f>IF($A372=0,"",VLOOKUP($A372,'BASE MATERIAL'!$A:$D,2))</f>
        <v>PIEDRA 3-4</v>
      </c>
      <c r="C372" s="2"/>
      <c r="D372" s="77"/>
      <c r="E372" s="78" t="str">
        <f>IF($A372=0,"",VLOOKUP($A372,'BASE MATERIAL'!$A:$D,3))</f>
        <v>M3</v>
      </c>
      <c r="F372" s="55">
        <f>ROUND(F370*0.032*3,2)</f>
        <v>0.01</v>
      </c>
      <c r="G372" s="55">
        <f>IF($A372=0,"",VLOOKUP($A372,'BASE MATERIAL'!$A:$D,4))</f>
        <v>13.75</v>
      </c>
      <c r="H372" s="56">
        <f t="shared" si="34"/>
        <v>0.14000000000000001</v>
      </c>
      <c r="I372" s="5"/>
      <c r="L372" s="5"/>
      <c r="M372" s="5"/>
      <c r="N372" s="160"/>
      <c r="O372" s="5"/>
      <c r="P372" s="5"/>
    </row>
    <row r="373" spans="1:16" s="4" customFormat="1" x14ac:dyDescent="0.25">
      <c r="A373" s="103">
        <v>5005</v>
      </c>
      <c r="B373" s="38" t="str">
        <f>IF($A373=0,"",VLOOKUP($A373,'BASE MATERIAL'!$A:$D,2))</f>
        <v>AGUA</v>
      </c>
      <c r="C373" s="2"/>
      <c r="D373" s="77"/>
      <c r="E373" s="78" t="str">
        <f>IF($A373=0,"",VLOOKUP($A373,'BASE MATERIAL'!$A:$D,3))</f>
        <v>LT</v>
      </c>
      <c r="F373" s="55">
        <f>ROUND(26*F370,2)</f>
        <v>3.38</v>
      </c>
      <c r="G373" s="80">
        <f>IF($A373=0,"",VLOOKUP($A373,'BASE MATERIAL'!$A:$D,4))</f>
        <v>2E-3</v>
      </c>
      <c r="H373" s="56">
        <f t="shared" si="34"/>
        <v>0.01</v>
      </c>
      <c r="I373" s="5"/>
    </row>
    <row r="374" spans="1:16" s="4" customFormat="1" x14ac:dyDescent="0.25">
      <c r="A374" s="103"/>
      <c r="B374" s="38" t="str">
        <f>IF($A374=0,"",VLOOKUP($A374,'BASE MATERIAL'!$A:$D,2))</f>
        <v/>
      </c>
      <c r="C374" s="2"/>
      <c r="D374" s="77"/>
      <c r="E374" s="78" t="str">
        <f>IF($A374=0,"",VLOOKUP($A374,'BASE MATERIAL'!$A:$D,3))</f>
        <v/>
      </c>
      <c r="F374" s="55"/>
      <c r="G374" s="55" t="str">
        <f>IF($A374=0,"",VLOOKUP($A374,'BASE MATERIAL'!$A:$D,4))</f>
        <v/>
      </c>
      <c r="H374" s="56" t="str">
        <f t="shared" si="34"/>
        <v/>
      </c>
      <c r="I374" s="5"/>
      <c r="L374" s="5"/>
      <c r="M374" s="5"/>
      <c r="N374" s="160"/>
      <c r="O374" s="5"/>
      <c r="P374" s="5"/>
    </row>
    <row r="375" spans="1:16" s="4" customFormat="1" x14ac:dyDescent="0.25">
      <c r="A375" s="103"/>
      <c r="B375" s="38" t="str">
        <f>IF($A375=0,"",VLOOKUP($A375,'BASE MATERIAL'!$A:$D,2))</f>
        <v/>
      </c>
      <c r="C375" s="2"/>
      <c r="D375" s="77"/>
      <c r="E375" s="78" t="str">
        <f>IF($A375=0,"",VLOOKUP($A375,'BASE MATERIAL'!$A:$D,3))</f>
        <v/>
      </c>
      <c r="F375" s="55"/>
      <c r="G375" s="55" t="str">
        <f>IF($A375=0,"",VLOOKUP($A375,'BASE MATERIAL'!$A:$D,4))</f>
        <v/>
      </c>
      <c r="H375" s="56" t="str">
        <f t="shared" si="34"/>
        <v/>
      </c>
      <c r="I375" s="5"/>
      <c r="L375" s="5"/>
      <c r="M375" s="5"/>
      <c r="N375" s="160"/>
      <c r="O375" s="5"/>
      <c r="P375" s="5"/>
    </row>
    <row r="376" spans="1:16" s="4" customFormat="1" x14ac:dyDescent="0.25">
      <c r="A376" s="103"/>
      <c r="B376" s="38" t="str">
        <f>IF($A376=0,"",VLOOKUP($A376,'BASE MATERIAL'!$A:$D,2))</f>
        <v/>
      </c>
      <c r="C376" s="2"/>
      <c r="D376" s="77"/>
      <c r="E376" s="78" t="str">
        <f>IF($A376=0,"",VLOOKUP($A376,'BASE MATERIAL'!$A:$D,3))</f>
        <v/>
      </c>
      <c r="F376" s="55"/>
      <c r="G376" s="55" t="str">
        <f>IF($A376=0,"",VLOOKUP($A376,'BASE MATERIAL'!$A:$D,4))</f>
        <v/>
      </c>
      <c r="H376" s="56" t="str">
        <f t="shared" si="34"/>
        <v/>
      </c>
      <c r="I376" s="5"/>
    </row>
    <row r="377" spans="1:16" s="4" customFormat="1" x14ac:dyDescent="0.25">
      <c r="A377" s="103"/>
      <c r="B377" s="38" t="str">
        <f>IF($A377=0,"",VLOOKUP($A377,'BASE MATERIAL'!$A:$D,2))</f>
        <v/>
      </c>
      <c r="C377" s="2"/>
      <c r="D377" s="77"/>
      <c r="E377" s="78" t="str">
        <f>IF($A377=0,"",VLOOKUP($A377,'BASE MATERIAL'!$A:$D,3))</f>
        <v/>
      </c>
      <c r="F377" s="55"/>
      <c r="G377" s="55" t="str">
        <f>IF($A377=0,"",VLOOKUP($A377,'BASE MATERIAL'!$A:$D,4))</f>
        <v/>
      </c>
      <c r="H377" s="56" t="str">
        <f t="shared" si="34"/>
        <v/>
      </c>
      <c r="I377" s="5"/>
    </row>
    <row r="378" spans="1:16" s="4" customFormat="1" x14ac:dyDescent="0.25">
      <c r="A378" s="103"/>
      <c r="B378" s="38" t="str">
        <f>IF($A378=0,"",VLOOKUP($A378,'BASE MATERIAL'!$A:$D,2))</f>
        <v/>
      </c>
      <c r="C378" s="2"/>
      <c r="D378" s="77"/>
      <c r="E378" s="78" t="str">
        <f>IF($A378=0,"",VLOOKUP($A378,'BASE MATERIAL'!$A:$D,3))</f>
        <v/>
      </c>
      <c r="F378" s="55"/>
      <c r="G378" s="55" t="str">
        <f>IF($A378=0,"",VLOOKUP($A378,'BASE MATERIAL'!$A:$D,4))</f>
        <v/>
      </c>
      <c r="H378" s="56" t="str">
        <f t="shared" si="34"/>
        <v/>
      </c>
      <c r="I378" s="5"/>
    </row>
    <row r="379" spans="1:16" s="4" customFormat="1" x14ac:dyDescent="0.25">
      <c r="A379" s="103"/>
      <c r="B379" s="38" t="str">
        <f>IF($A379=0,"",VLOOKUP($A379,'BASE MATERIAL'!$A:$D,2))</f>
        <v/>
      </c>
      <c r="C379" s="2"/>
      <c r="D379" s="77"/>
      <c r="E379" s="78" t="str">
        <f>IF($A379=0,"",VLOOKUP($A379,'BASE MATERIAL'!$A:$D,3))</f>
        <v/>
      </c>
      <c r="F379" s="55"/>
      <c r="G379" s="55" t="str">
        <f>IF($A379=0,"",VLOOKUP($A379,'BASE MATERIAL'!$A:$D,4))</f>
        <v/>
      </c>
      <c r="H379" s="56" t="str">
        <f t="shared" si="34"/>
        <v/>
      </c>
      <c r="I379" s="5"/>
    </row>
    <row r="380" spans="1:16" s="4" customFormat="1" x14ac:dyDescent="0.25">
      <c r="A380" s="103"/>
      <c r="B380" s="38" t="str">
        <f>IF($A380=0,"",VLOOKUP($A380,'BASE MATERIAL'!$A:$D,2))</f>
        <v/>
      </c>
      <c r="C380" s="2"/>
      <c r="D380" s="81" t="s">
        <v>1682</v>
      </c>
      <c r="E380" s="55" t="str">
        <f>IF($A380=0,"",VLOOKUP($A380,'BASE MATERIAL'!$A:$D,3))</f>
        <v/>
      </c>
      <c r="F380" s="55" t="s">
        <v>1682</v>
      </c>
      <c r="G380" s="55" t="str">
        <f>IF($A380=0,"",VLOOKUP($A380,'BASE MATERIAL'!$A:$D,4))</f>
        <v/>
      </c>
      <c r="H380" s="56" t="str">
        <f>IF($A380=0,"",ROUND(E380*F380,2))</f>
        <v/>
      </c>
      <c r="I380" s="5"/>
    </row>
    <row r="381" spans="1:16" s="4" customFormat="1" x14ac:dyDescent="0.25">
      <c r="A381" s="103"/>
      <c r="B381" s="73" t="s">
        <v>1681</v>
      </c>
      <c r="C381" s="65"/>
      <c r="D381" s="74"/>
      <c r="E381" s="74"/>
      <c r="F381" s="74"/>
      <c r="G381" s="74"/>
      <c r="H381" s="75">
        <f>ROUND(SUM(H364:H380),2)</f>
        <v>5.62</v>
      </c>
      <c r="I381" s="5"/>
    </row>
    <row r="382" spans="1:16" s="4" customFormat="1" x14ac:dyDescent="0.25">
      <c r="A382" s="103"/>
      <c r="B382" s="38" t="s">
        <v>1680</v>
      </c>
      <c r="C382" s="2"/>
      <c r="D382" s="3"/>
      <c r="E382" s="3"/>
      <c r="F382" s="3"/>
      <c r="G382" s="3"/>
      <c r="H382" s="56"/>
      <c r="I382" s="5"/>
    </row>
    <row r="383" spans="1:16" ht="25.5" x14ac:dyDescent="0.25">
      <c r="B383" s="64" t="s">
        <v>1409</v>
      </c>
      <c r="C383" s="65"/>
      <c r="D383" s="76"/>
      <c r="E383" s="66" t="s">
        <v>1408</v>
      </c>
      <c r="F383" s="66" t="s">
        <v>1679</v>
      </c>
      <c r="G383" s="66" t="s">
        <v>1676</v>
      </c>
      <c r="H383" s="68" t="s">
        <v>1675</v>
      </c>
      <c r="I383" s="2"/>
    </row>
    <row r="384" spans="1:16" s="4" customFormat="1" x14ac:dyDescent="0.25">
      <c r="A384" s="103">
        <v>19019</v>
      </c>
      <c r="B384" s="51" t="str">
        <f>IF($A384=0,"",VLOOKUP($A384,'BASE EQUIPO'!$A:$D,2))</f>
        <v>TRANSPORTE DE MATERIAL</v>
      </c>
      <c r="C384" s="52"/>
      <c r="D384" s="82"/>
      <c r="E384" s="78" t="str">
        <f>IF($A384=0,"",VLOOKUP($A384,'BASE EQUIPO'!$A:$D,3))</f>
        <v>GLOBAL</v>
      </c>
      <c r="F384" s="55">
        <v>1</v>
      </c>
      <c r="G384" s="83">
        <f>IF($A384=0,"",VLOOKUP($A384,'BASE EQUIPO'!$A:$D,4)*H381)</f>
        <v>0.1686</v>
      </c>
      <c r="H384" s="56">
        <f>IF($A384=0,"",ROUND(F384*G384,2))</f>
        <v>0.17</v>
      </c>
      <c r="I384" s="5"/>
    </row>
    <row r="385" spans="1:15" s="4" customFormat="1" x14ac:dyDescent="0.25">
      <c r="A385" s="103"/>
      <c r="B385" s="38" t="str">
        <f>IF($A385=0,"",VLOOKUP($A385,'BASE EQUIPO'!$A:$D,2))</f>
        <v/>
      </c>
      <c r="C385" s="2"/>
      <c r="D385" s="84"/>
      <c r="E385" s="78" t="str">
        <f>IF($A385=0,"",VLOOKUP($A385,'BASE EQUIPO'!$A:$D,3))</f>
        <v/>
      </c>
      <c r="F385" s="55"/>
      <c r="G385" s="55" t="str">
        <f>IF($A385=0,"",VLOOKUP($A385,'BASE EQUIPO'!$A:$D,4)*H382)</f>
        <v/>
      </c>
      <c r="H385" s="56" t="str">
        <f>IF($A385=0,"",ROUND(F385*G385,2))</f>
        <v/>
      </c>
      <c r="I385" s="5"/>
    </row>
    <row r="386" spans="1:15" s="4" customFormat="1" x14ac:dyDescent="0.25">
      <c r="A386" s="103"/>
      <c r="B386" s="57" t="str">
        <f>IF($A386=0,"",VLOOKUP($A386,'BASE EQUIPO'!$A:$D,2))</f>
        <v/>
      </c>
      <c r="C386" s="58"/>
      <c r="D386" s="85"/>
      <c r="E386" s="86" t="str">
        <f>IF($A386=0,"",VLOOKUP($A386,'BASE EQUIPO'!$A:$D,3))</f>
        <v/>
      </c>
      <c r="F386" s="59"/>
      <c r="G386" s="59" t="str">
        <f>IF($A386=0,"",VLOOKUP($A386,'BASE EQUIPO'!$A:$D,4)*H383)</f>
        <v/>
      </c>
      <c r="H386" s="60" t="str">
        <f>IF($A386=0,"",ROUND(F386*G386,2))</f>
        <v/>
      </c>
      <c r="I386" s="5"/>
    </row>
    <row r="387" spans="1:15" s="4" customFormat="1" ht="15.75" thickBot="1" x14ac:dyDescent="0.3">
      <c r="A387" s="103"/>
      <c r="B387" s="87" t="s">
        <v>1674</v>
      </c>
      <c r="C387" s="88"/>
      <c r="D387" s="89"/>
      <c r="E387" s="89"/>
      <c r="F387" s="89"/>
      <c r="G387" s="89"/>
      <c r="H387" s="90">
        <f>ROUND(SUM(H383:H386),2)</f>
        <v>0.17</v>
      </c>
      <c r="I387" s="5"/>
    </row>
    <row r="388" spans="1:15" s="4" customFormat="1" ht="15.75" x14ac:dyDescent="0.25">
      <c r="A388" s="103"/>
      <c r="B388" s="2"/>
      <c r="C388" s="2"/>
      <c r="D388" s="91" t="s">
        <v>1673</v>
      </c>
      <c r="E388" s="177"/>
      <c r="F388" s="177"/>
      <c r="G388" s="177"/>
      <c r="H388" s="92">
        <f>ROUND(SUM(H387,H381,H362,H352),2)</f>
        <v>10.54</v>
      </c>
      <c r="I388" s="5"/>
    </row>
    <row r="389" spans="1:15" s="4" customFormat="1" ht="15.75" x14ac:dyDescent="0.25">
      <c r="A389" s="103">
        <v>40002</v>
      </c>
      <c r="B389" s="2"/>
      <c r="C389" s="2"/>
      <c r="D389" s="93" t="s">
        <v>1672</v>
      </c>
      <c r="E389" s="166"/>
      <c r="F389" s="166"/>
      <c r="G389" s="178">
        <f>IF($A389=0,"",VLOOKUP($A389,'BASE MATERIAL'!$M:$P,4))</f>
        <v>0</v>
      </c>
      <c r="H389" s="95">
        <f>IF($A389=0,"",ROUND(G389*H388,2))</f>
        <v>0</v>
      </c>
      <c r="I389" s="5"/>
    </row>
    <row r="390" spans="1:15" s="4" customFormat="1" ht="15.75" x14ac:dyDescent="0.25">
      <c r="A390" s="103">
        <v>40003</v>
      </c>
      <c r="B390" s="2"/>
      <c r="C390" s="2"/>
      <c r="D390" s="93" t="s">
        <v>1671</v>
      </c>
      <c r="E390" s="166"/>
      <c r="F390" s="166"/>
      <c r="G390" s="178">
        <f>IF($A390=0,"",VLOOKUP($A390,'BASE MATERIAL'!$M:$P,4))</f>
        <v>0</v>
      </c>
      <c r="H390" s="95">
        <f>IF($A390=0,"",ROUND(G390*H388,2))</f>
        <v>0</v>
      </c>
      <c r="I390" s="5"/>
    </row>
    <row r="391" spans="1:15" s="4" customFormat="1" ht="15.75" x14ac:dyDescent="0.25">
      <c r="A391" s="103"/>
      <c r="B391" s="2"/>
      <c r="C391" s="2"/>
      <c r="D391" s="93" t="s">
        <v>1670</v>
      </c>
      <c r="E391" s="166"/>
      <c r="F391" s="166"/>
      <c r="G391" s="166"/>
      <c r="H391" s="96">
        <f>ROUND(SUM(H388:H390),2)</f>
        <v>10.54</v>
      </c>
      <c r="I391" s="5"/>
    </row>
    <row r="392" spans="1:15" s="4" customFormat="1" ht="16.5" thickBot="1" x14ac:dyDescent="0.3">
      <c r="A392" s="103"/>
      <c r="B392" s="25"/>
      <c r="C392" s="5"/>
      <c r="D392" s="97" t="s">
        <v>1650</v>
      </c>
      <c r="E392" s="179"/>
      <c r="F392" s="179"/>
      <c r="G392" s="179"/>
      <c r="H392" s="98">
        <f>ROUND(H391,2)</f>
        <v>10.54</v>
      </c>
      <c r="I392" s="5"/>
    </row>
    <row r="393" spans="1:15" ht="15.75" x14ac:dyDescent="0.25">
      <c r="B393" s="34" t="s">
        <v>1701</v>
      </c>
      <c r="C393" s="5"/>
      <c r="D393" s="157" t="str">
        <f>$D$113</f>
        <v>ESPOL</v>
      </c>
      <c r="E393" s="2"/>
      <c r="F393" s="2"/>
      <c r="H393" s="2" t="s">
        <v>108</v>
      </c>
      <c r="I393" s="2"/>
      <c r="L393" s="40">
        <f>A397</f>
        <v>1</v>
      </c>
      <c r="M393" s="2" t="str">
        <f>C398</f>
        <v>Dinteles y Viguetas h. armado   6,5x20cm</v>
      </c>
      <c r="N393" s="2" t="str">
        <f>H397</f>
        <v>ml</v>
      </c>
      <c r="O393" s="2">
        <f>H448</f>
        <v>12.13</v>
      </c>
    </row>
    <row r="394" spans="1:15" s="4" customFormat="1" ht="15.75" x14ac:dyDescent="0.25">
      <c r="A394" s="103"/>
      <c r="B394" s="34" t="s">
        <v>1700</v>
      </c>
      <c r="C394" s="3">
        <f>'1.1'!$C$2</f>
        <v>0</v>
      </c>
      <c r="D394" s="5"/>
      <c r="E394" s="5"/>
      <c r="F394" s="5"/>
      <c r="G394" s="158" t="s">
        <v>1699</v>
      </c>
      <c r="H394" s="159"/>
      <c r="I394" s="5" t="s">
        <v>1698</v>
      </c>
    </row>
    <row r="395" spans="1:15" s="4" customFormat="1" ht="15.75" x14ac:dyDescent="0.25">
      <c r="A395" s="103"/>
      <c r="B395" s="34"/>
      <c r="C395" s="3">
        <f>'1.1'!$C$3</f>
        <v>0</v>
      </c>
      <c r="D395" s="5"/>
      <c r="E395" s="5"/>
      <c r="F395" s="5"/>
      <c r="G395" s="5"/>
      <c r="H395" s="5"/>
      <c r="I395" s="5"/>
    </row>
    <row r="396" spans="1:15" s="4" customFormat="1" ht="15.75" x14ac:dyDescent="0.25">
      <c r="A396" s="103"/>
      <c r="B396" s="34" t="s">
        <v>1697</v>
      </c>
      <c r="C396" s="3"/>
      <c r="D396" s="5"/>
      <c r="E396" s="5"/>
      <c r="F396" s="5"/>
      <c r="G396" s="5"/>
      <c r="H396" s="5"/>
      <c r="I396" s="5"/>
    </row>
    <row r="397" spans="1:15" x14ac:dyDescent="0.25">
      <c r="A397" s="104">
        <v>1</v>
      </c>
      <c r="B397" s="2" t="s">
        <v>1586</v>
      </c>
      <c r="C397" s="111"/>
      <c r="D397" s="5"/>
      <c r="E397" s="4"/>
      <c r="F397" s="4"/>
      <c r="G397" s="5" t="s">
        <v>1696</v>
      </c>
      <c r="H397" s="157" t="s">
        <v>961</v>
      </c>
      <c r="I397" s="2"/>
    </row>
    <row r="398" spans="1:15" s="4" customFormat="1" x14ac:dyDescent="0.25">
      <c r="A398" s="103"/>
      <c r="B398" s="1" t="s">
        <v>1585</v>
      </c>
      <c r="C398" s="36" t="s">
        <v>280</v>
      </c>
      <c r="D398" s="5"/>
      <c r="E398" s="5"/>
      <c r="F398" s="5"/>
      <c r="G398" s="5"/>
      <c r="H398" s="5"/>
      <c r="I398" s="5"/>
    </row>
    <row r="399" spans="1:15" ht="15.75" thickBot="1" x14ac:dyDescent="0.3">
      <c r="D399" s="2"/>
      <c r="E399" s="2"/>
      <c r="F399" s="2"/>
      <c r="G399" s="2"/>
      <c r="H399" s="2"/>
      <c r="I399" s="2"/>
    </row>
    <row r="400" spans="1:15" ht="15.75" thickBot="1" x14ac:dyDescent="0.3">
      <c r="B400" s="43" t="s">
        <v>1695</v>
      </c>
      <c r="C400" s="44"/>
      <c r="D400" s="44"/>
      <c r="E400" s="44"/>
      <c r="F400" s="44"/>
      <c r="G400" s="44"/>
      <c r="H400" s="45"/>
      <c r="I400" s="2"/>
    </row>
    <row r="401" spans="1:11" ht="25.5" x14ac:dyDescent="0.25">
      <c r="B401" s="46" t="s">
        <v>1409</v>
      </c>
      <c r="C401" s="47"/>
      <c r="D401" s="48" t="s">
        <v>1690</v>
      </c>
      <c r="E401" s="48" t="s">
        <v>1694</v>
      </c>
      <c r="F401" s="48" t="s">
        <v>1693</v>
      </c>
      <c r="G401" s="49" t="s">
        <v>1687</v>
      </c>
      <c r="H401" s="50" t="s">
        <v>1686</v>
      </c>
      <c r="I401" s="2"/>
    </row>
    <row r="402" spans="1:11" s="4" customFormat="1" x14ac:dyDescent="0.25">
      <c r="A402" s="103">
        <v>19015</v>
      </c>
      <c r="B402" s="51" t="str">
        <f>IF($A402=0,"",VLOOKUP($A402,'BASE EQUIPO'!$A:$D,2))</f>
        <v>HERRAMIENTA MENOR</v>
      </c>
      <c r="C402" s="52"/>
      <c r="D402" s="53">
        <v>1</v>
      </c>
      <c r="E402" s="53">
        <f>IF($A402=0,"",VLOOKUP($A402,'BASE EQUIPO'!$A:$D,4)*H418)</f>
        <v>0.1704</v>
      </c>
      <c r="F402" s="53">
        <f t="shared" ref="F402:F407" si="35">IF($A402=0,"",ROUND(D402*E402,2))</f>
        <v>0.17</v>
      </c>
      <c r="G402" s="105">
        <v>1</v>
      </c>
      <c r="H402" s="54">
        <f t="shared" ref="H402:H407" si="36">IF($A402=0,"",ROUND(G402*F402,2))</f>
        <v>0.17</v>
      </c>
      <c r="I402" s="5"/>
    </row>
    <row r="403" spans="1:11" s="4" customFormat="1" x14ac:dyDescent="0.25">
      <c r="A403" s="103">
        <v>19003</v>
      </c>
      <c r="B403" s="38" t="str">
        <f>IF($A403=0,"",VLOOKUP($A403,'BASE EQUIPO'!$A:$D,2))</f>
        <v>CONCRETERA</v>
      </c>
      <c r="C403" s="2"/>
      <c r="D403" s="55">
        <v>1</v>
      </c>
      <c r="E403" s="55">
        <f>IF($A403=0,"",VLOOKUP($A403,'BASE EQUIPO'!$A:$D,4))</f>
        <v>3.5</v>
      </c>
      <c r="F403" s="55">
        <f t="shared" si="35"/>
        <v>3.5</v>
      </c>
      <c r="G403" s="106">
        <f>ROUND(G412*0.5,2)</f>
        <v>0.1</v>
      </c>
      <c r="H403" s="56">
        <f t="shared" si="36"/>
        <v>0.35</v>
      </c>
      <c r="I403" s="5"/>
    </row>
    <row r="404" spans="1:11" s="4" customFormat="1" x14ac:dyDescent="0.25">
      <c r="A404" s="103"/>
      <c r="B404" s="38" t="str">
        <f>IF($A404=0,"",VLOOKUP($A404,'BASE EQUIPO'!$A:$D,2))</f>
        <v/>
      </c>
      <c r="C404" s="2"/>
      <c r="D404" s="55"/>
      <c r="E404" s="55" t="str">
        <f>IF($A404=0,"",VLOOKUP($A404,'BASE EQUIPO'!$A:$D,4))</f>
        <v/>
      </c>
      <c r="F404" s="55" t="str">
        <f t="shared" si="35"/>
        <v/>
      </c>
      <c r="G404" s="106"/>
      <c r="H404" s="56" t="str">
        <f t="shared" si="36"/>
        <v/>
      </c>
      <c r="I404" s="5"/>
    </row>
    <row r="405" spans="1:11" s="4" customFormat="1" x14ac:dyDescent="0.25">
      <c r="A405" s="103"/>
      <c r="B405" s="38" t="str">
        <f>IF($A405=0,"",VLOOKUP($A405,'BASE EQUIPO'!$A:$D,2))</f>
        <v/>
      </c>
      <c r="C405" s="2"/>
      <c r="D405" s="55"/>
      <c r="E405" s="55" t="str">
        <f>IF($A405=0,"",VLOOKUP($A405,'BASE EQUIPO'!$A:$D,4))</f>
        <v/>
      </c>
      <c r="F405" s="55" t="str">
        <f t="shared" si="35"/>
        <v/>
      </c>
      <c r="G405" s="106"/>
      <c r="H405" s="56" t="str">
        <f t="shared" si="36"/>
        <v/>
      </c>
      <c r="I405" s="5"/>
    </row>
    <row r="406" spans="1:11" s="4" customFormat="1" x14ac:dyDescent="0.25">
      <c r="A406" s="103"/>
      <c r="B406" s="38" t="str">
        <f>IF($A406=0,"",VLOOKUP($A406,'BASE EQUIPO'!$A:$D,2))</f>
        <v/>
      </c>
      <c r="C406" s="2"/>
      <c r="D406" s="55"/>
      <c r="E406" s="55" t="str">
        <f>IF($A406=0,"",VLOOKUP($A406,'BASE EQUIPO'!$A:$D,4))</f>
        <v/>
      </c>
      <c r="F406" s="55" t="str">
        <f t="shared" si="35"/>
        <v/>
      </c>
      <c r="G406" s="106"/>
      <c r="H406" s="56" t="str">
        <f t="shared" si="36"/>
        <v/>
      </c>
      <c r="I406" s="5"/>
    </row>
    <row r="407" spans="1:11" s="4" customFormat="1" x14ac:dyDescent="0.25">
      <c r="A407" s="103"/>
      <c r="B407" s="57" t="str">
        <f>IF($A407=0,"",VLOOKUP($A407,'BASE EQUIPO'!$A:$D,2))</f>
        <v/>
      </c>
      <c r="C407" s="58"/>
      <c r="D407" s="59"/>
      <c r="E407" s="59" t="str">
        <f>IF($A407=0,"",VLOOKUP($A407,'BASE EQUIPO'!$A:$D,4))</f>
        <v/>
      </c>
      <c r="F407" s="59" t="str">
        <f t="shared" si="35"/>
        <v/>
      </c>
      <c r="G407" s="107"/>
      <c r="H407" s="60" t="str">
        <f t="shared" si="36"/>
        <v/>
      </c>
      <c r="I407" s="5"/>
    </row>
    <row r="408" spans="1:11" s="4" customFormat="1" x14ac:dyDescent="0.25">
      <c r="A408" s="103"/>
      <c r="B408" s="57" t="s">
        <v>1692</v>
      </c>
      <c r="C408" s="58"/>
      <c r="D408" s="61"/>
      <c r="E408" s="61"/>
      <c r="F408" s="61"/>
      <c r="G408" s="62"/>
      <c r="H408" s="60">
        <f>ROUND(SUM(H401:H407),2)</f>
        <v>0.52</v>
      </c>
      <c r="I408" s="5"/>
    </row>
    <row r="409" spans="1:11" s="4" customFormat="1" x14ac:dyDescent="0.25">
      <c r="A409" s="103"/>
      <c r="B409" s="38" t="s">
        <v>1503</v>
      </c>
      <c r="C409" s="2"/>
      <c r="D409" s="3"/>
      <c r="E409" s="3"/>
      <c r="F409" s="3"/>
      <c r="G409" s="63"/>
      <c r="H409" s="56"/>
      <c r="I409" s="5"/>
    </row>
    <row r="410" spans="1:11" ht="25.5" x14ac:dyDescent="0.25">
      <c r="B410" s="64" t="s">
        <v>1691</v>
      </c>
      <c r="C410" s="65"/>
      <c r="D410" s="66" t="s">
        <v>1690</v>
      </c>
      <c r="E410" s="66" t="s">
        <v>1689</v>
      </c>
      <c r="F410" s="66" t="s">
        <v>1688</v>
      </c>
      <c r="G410" s="67" t="s">
        <v>1687</v>
      </c>
      <c r="H410" s="68" t="s">
        <v>1686</v>
      </c>
      <c r="I410" s="2"/>
    </row>
    <row r="411" spans="1:11" s="4" customFormat="1" x14ac:dyDescent="0.25">
      <c r="A411" s="103">
        <v>20001</v>
      </c>
      <c r="B411" s="69" t="str">
        <f>IF($A411=0,"",VLOOKUP($A411,'BASE M-OBRA'!$A:$D,2))</f>
        <v>MAESTRO</v>
      </c>
      <c r="C411" s="2"/>
      <c r="D411" s="108">
        <v>1</v>
      </c>
      <c r="E411" s="70">
        <f>IF($A411=0,"",VLOOKUP($A411,'BASE M-OBRA'!$A:$D,4))</f>
        <v>3.02</v>
      </c>
      <c r="F411" s="55">
        <f t="shared" ref="F411:F417" si="37">IF($A411=0,"",ROUND(D411*E411,2))</f>
        <v>3.02</v>
      </c>
      <c r="G411" s="106">
        <f>IF($A411=0,"",ROUND(H411/F411,2))</f>
        <v>0.31</v>
      </c>
      <c r="H411" s="56">
        <f>IF($A411=0,"",ROUND(SUM(H412:H417)*'BASE M-OBRA'!$D$23,2))</f>
        <v>0.95</v>
      </c>
      <c r="I411" s="5"/>
    </row>
    <row r="412" spans="1:11" s="4" customFormat="1" x14ac:dyDescent="0.25">
      <c r="A412" s="103">
        <v>20002</v>
      </c>
      <c r="B412" s="69" t="str">
        <f>IF($A412=0,"",VLOOKUP($A412,'BASE M-OBRA'!$A:$D,2))</f>
        <v>PEON</v>
      </c>
      <c r="C412" s="2"/>
      <c r="D412" s="108">
        <v>2</v>
      </c>
      <c r="E412" s="70">
        <f>IF($A412=0,"",VLOOKUP($A412,'BASE M-OBRA'!$A:$D,4))</f>
        <v>2.79</v>
      </c>
      <c r="F412" s="55">
        <f t="shared" si="37"/>
        <v>5.58</v>
      </c>
      <c r="G412" s="106">
        <v>0.2</v>
      </c>
      <c r="H412" s="56">
        <f t="shared" ref="H412:H417" si="38">IF($A412=0,"",ROUND(G412*F412,2))</f>
        <v>1.1200000000000001</v>
      </c>
      <c r="I412" s="5"/>
      <c r="K412" s="4">
        <f>20*0.14*0.2</f>
        <v>0.56000000000000005</v>
      </c>
    </row>
    <row r="413" spans="1:11" s="4" customFormat="1" x14ac:dyDescent="0.25">
      <c r="A413" s="103">
        <v>20003</v>
      </c>
      <c r="B413" s="69" t="str">
        <f>IF($A413=0,"",VLOOKUP($A413,'BASE M-OBRA'!$A:$D,2))</f>
        <v>ALBAÑIL</v>
      </c>
      <c r="C413" s="2"/>
      <c r="D413" s="108">
        <v>2</v>
      </c>
      <c r="E413" s="70">
        <f>IF($A413=0,"",VLOOKUP($A413,'BASE M-OBRA'!$A:$D,4))</f>
        <v>2.82</v>
      </c>
      <c r="F413" s="55">
        <f t="shared" si="37"/>
        <v>5.64</v>
      </c>
      <c r="G413" s="106">
        <f>+G412</f>
        <v>0.2</v>
      </c>
      <c r="H413" s="56">
        <f t="shared" si="38"/>
        <v>1.1299999999999999</v>
      </c>
      <c r="I413" s="5"/>
    </row>
    <row r="414" spans="1:11" s="4" customFormat="1" x14ac:dyDescent="0.25">
      <c r="A414" s="103">
        <v>20004</v>
      </c>
      <c r="B414" s="71" t="str">
        <f>IF($A414=0,"",VLOOKUP($A414,'BASE M-OBRA'!$A:$D,2))</f>
        <v>CARPINTERO</v>
      </c>
      <c r="C414" s="2"/>
      <c r="D414" s="108">
        <v>2</v>
      </c>
      <c r="E414" s="70">
        <f>IF($A414=0,"",VLOOKUP($A414,'BASE M-OBRA'!$A:$D,4))</f>
        <v>2.82</v>
      </c>
      <c r="F414" s="55">
        <f t="shared" si="37"/>
        <v>5.64</v>
      </c>
      <c r="G414" s="106">
        <v>0.28000000000000003</v>
      </c>
      <c r="H414" s="56">
        <f t="shared" si="38"/>
        <v>1.58</v>
      </c>
      <c r="I414" s="5"/>
      <c r="K414" s="4">
        <f>0.47*2.9</f>
        <v>1.363</v>
      </c>
    </row>
    <row r="415" spans="1:11" s="4" customFormat="1" x14ac:dyDescent="0.25">
      <c r="A415" s="103">
        <v>20005</v>
      </c>
      <c r="B415" s="72" t="str">
        <f>IF($A415=0,"",VLOOKUP($A415,'BASE M-OBRA'!$A:$D,2))</f>
        <v>FIERRERO</v>
      </c>
      <c r="C415" s="2"/>
      <c r="D415" s="108">
        <v>2</v>
      </c>
      <c r="E415" s="70">
        <f>IF($A415=0,"",VLOOKUP($A415,'BASE M-OBRA'!$A:$D,4))</f>
        <v>2.82</v>
      </c>
      <c r="F415" s="55">
        <f t="shared" si="37"/>
        <v>5.64</v>
      </c>
      <c r="G415" s="106">
        <v>0.16</v>
      </c>
      <c r="H415" s="56">
        <f t="shared" si="38"/>
        <v>0.9</v>
      </c>
      <c r="I415" s="5"/>
      <c r="K415" s="4">
        <f>0.3*F424</f>
        <v>0.76026000000000005</v>
      </c>
    </row>
    <row r="416" spans="1:11" s="4" customFormat="1" x14ac:dyDescent="0.25">
      <c r="A416" s="103"/>
      <c r="B416" s="38" t="str">
        <f>IF($A416=0,"",VLOOKUP($A416,'BASE M-OBRA'!$A:$D,2))</f>
        <v/>
      </c>
      <c r="C416" s="2"/>
      <c r="D416" s="55"/>
      <c r="E416" s="55" t="str">
        <f>IF($A416=0,"",VLOOKUP($A416,'BASE M-OBRA'!$A:$D,4))</f>
        <v/>
      </c>
      <c r="F416" s="55" t="str">
        <f t="shared" si="37"/>
        <v/>
      </c>
      <c r="G416" s="106"/>
      <c r="H416" s="56" t="str">
        <f t="shared" si="38"/>
        <v/>
      </c>
      <c r="I416" s="5"/>
    </row>
    <row r="417" spans="1:16" s="4" customFormat="1" x14ac:dyDescent="0.25">
      <c r="A417" s="103"/>
      <c r="B417" s="57" t="str">
        <f>IF($A417=0,"",VLOOKUP($A417,'BASE M-OBRA'!$A:$D,2))</f>
        <v/>
      </c>
      <c r="C417" s="58"/>
      <c r="D417" s="59"/>
      <c r="E417" s="59" t="str">
        <f>IF($A417=0,"",VLOOKUP($A417,'BASE M-OBRA'!$A:$D,4))</f>
        <v/>
      </c>
      <c r="F417" s="59" t="str">
        <f t="shared" si="37"/>
        <v/>
      </c>
      <c r="G417" s="107"/>
      <c r="H417" s="60" t="str">
        <f t="shared" si="38"/>
        <v/>
      </c>
      <c r="I417" s="5"/>
    </row>
    <row r="418" spans="1:16" s="4" customFormat="1" x14ac:dyDescent="0.25">
      <c r="A418" s="103"/>
      <c r="B418" s="73" t="s">
        <v>1685</v>
      </c>
      <c r="C418" s="65"/>
      <c r="D418" s="74"/>
      <c r="E418" s="74"/>
      <c r="F418" s="74"/>
      <c r="G418" s="74"/>
      <c r="H418" s="75">
        <f>ROUND(SUM(H410:H417),2)</f>
        <v>5.68</v>
      </c>
      <c r="I418" s="5"/>
    </row>
    <row r="419" spans="1:16" s="4" customFormat="1" x14ac:dyDescent="0.25">
      <c r="A419" s="103"/>
      <c r="B419" s="38" t="s">
        <v>1684</v>
      </c>
      <c r="C419" s="2"/>
      <c r="D419" s="3"/>
      <c r="E419" s="3"/>
      <c r="F419" s="3"/>
      <c r="G419" s="3"/>
      <c r="H419" s="56"/>
      <c r="I419" s="5"/>
    </row>
    <row r="420" spans="1:16" ht="25.5" x14ac:dyDescent="0.25">
      <c r="B420" s="64" t="s">
        <v>1409</v>
      </c>
      <c r="C420" s="65"/>
      <c r="D420" s="76"/>
      <c r="E420" s="66" t="s">
        <v>1408</v>
      </c>
      <c r="F420" s="66" t="s">
        <v>1679</v>
      </c>
      <c r="G420" s="66" t="s">
        <v>1683</v>
      </c>
      <c r="H420" s="68" t="s">
        <v>1675</v>
      </c>
      <c r="I420" s="2"/>
    </row>
    <row r="421" spans="1:16" s="4" customFormat="1" x14ac:dyDescent="0.25">
      <c r="A421" s="103">
        <v>11008</v>
      </c>
      <c r="B421" s="37" t="str">
        <f>IF($A421=0,"",VLOOKUP($A421,'BASE MATERIAL'!$A:$D,2))</f>
        <v>TABLA</v>
      </c>
      <c r="C421" s="2"/>
      <c r="D421" s="77"/>
      <c r="E421" s="78" t="str">
        <f>IF($A421=0,"",VLOOKUP($A421,'BASE MATERIAL'!$A:$D,3))</f>
        <v>U</v>
      </c>
      <c r="F421" s="55">
        <f>ROUND(0.47*5/(4*3),2)</f>
        <v>0.2</v>
      </c>
      <c r="G421" s="55">
        <f>IF($A421=0,"",VLOOKUP($A421,'BASE MATERIAL'!$A:$D,4))</f>
        <v>3.5</v>
      </c>
      <c r="H421" s="56">
        <f t="shared" ref="H421:H435" si="39">IF($A421=0,"",ROUND(F421*G421,2))</f>
        <v>0.7</v>
      </c>
      <c r="I421" s="5"/>
      <c r="L421" s="5"/>
      <c r="M421" s="5"/>
      <c r="N421" s="160"/>
      <c r="O421" s="5"/>
      <c r="P421" s="5"/>
    </row>
    <row r="422" spans="1:16" s="4" customFormat="1" x14ac:dyDescent="0.25">
      <c r="A422" s="103">
        <v>11009</v>
      </c>
      <c r="B422" s="38" t="str">
        <f>IF($A422=0,"",VLOOKUP($A422,'BASE MATERIAL'!$A:$D,2))</f>
        <v>CUARTON</v>
      </c>
      <c r="C422" s="2"/>
      <c r="D422" s="77"/>
      <c r="E422" s="78" t="str">
        <f>IF($A422=0,"",VLOOKUP($A422,'BASE MATERIAL'!$A:$D,3))</f>
        <v>U</v>
      </c>
      <c r="F422" s="55">
        <f>ROUND(0.47*8/(4*3),2)</f>
        <v>0.31</v>
      </c>
      <c r="G422" s="55">
        <f>IF($A422=0,"",VLOOKUP($A422,'BASE MATERIAL'!$A:$D,4))</f>
        <v>2.42</v>
      </c>
      <c r="H422" s="56">
        <f t="shared" si="39"/>
        <v>0.75</v>
      </c>
      <c r="I422" s="5"/>
      <c r="L422" s="5"/>
      <c r="M422" s="5"/>
      <c r="N422" s="160"/>
      <c r="O422" s="5"/>
      <c r="P422" s="5"/>
    </row>
    <row r="423" spans="1:16" s="4" customFormat="1" x14ac:dyDescent="0.25">
      <c r="A423" s="103">
        <v>11007</v>
      </c>
      <c r="B423" s="38" t="str">
        <f>IF($A423=0,"",VLOOKUP($A423,'BASE MATERIAL'!$A:$D,2))</f>
        <v>CLAVO 2 1/2"</v>
      </c>
      <c r="C423" s="2"/>
      <c r="D423" s="77"/>
      <c r="E423" s="78" t="str">
        <f>IF($A423=0,"",VLOOKUP($A423,'BASE MATERIAL'!$A:$D,3))</f>
        <v>KG</v>
      </c>
      <c r="F423" s="55">
        <f>ROUND(0.47*56/(178*1.5),2)</f>
        <v>0.1</v>
      </c>
      <c r="G423" s="55">
        <f>IF($A423=0,"",VLOOKUP($A423,'BASE MATERIAL'!$A:$D,4))</f>
        <v>2.6520000000000001</v>
      </c>
      <c r="H423" s="56">
        <f t="shared" si="39"/>
        <v>0.27</v>
      </c>
      <c r="I423" s="5"/>
      <c r="L423" s="5"/>
      <c r="M423" s="5"/>
      <c r="N423" s="160"/>
      <c r="O423" s="5"/>
      <c r="P423" s="5"/>
    </row>
    <row r="424" spans="1:16" s="4" customFormat="1" x14ac:dyDescent="0.25">
      <c r="A424" s="103">
        <v>1001</v>
      </c>
      <c r="B424" s="38" t="str">
        <f>IF($A424=0,"",VLOOKUP($A424,'BASE MATERIAL'!$A:$D,2))</f>
        <v>HIERRO</v>
      </c>
      <c r="C424" s="2"/>
      <c r="D424" s="77"/>
      <c r="E424" s="78" t="str">
        <f>IF($A424=0,"",VLOOKUP($A424,'BASE MATERIAL'!$A:$D,3))</f>
        <v>KG</v>
      </c>
      <c r="F424" s="55">
        <f>2*0.617+11*0.3*0.394</f>
        <v>2.5342000000000002</v>
      </c>
      <c r="G424" s="55">
        <f>IF($A424=0,"",VLOOKUP($A424,'BASE MATERIAL'!$A:$D,4))</f>
        <v>1.17</v>
      </c>
      <c r="H424" s="56">
        <f t="shared" si="39"/>
        <v>2.97</v>
      </c>
      <c r="I424" s="5"/>
      <c r="K424" s="4">
        <f>4*0.617</f>
        <v>2.468</v>
      </c>
      <c r="L424" s="5"/>
      <c r="M424" s="5"/>
      <c r="N424" s="160"/>
      <c r="O424" s="5"/>
      <c r="P424" s="5"/>
    </row>
    <row r="425" spans="1:16" s="4" customFormat="1" x14ac:dyDescent="0.25">
      <c r="A425" s="103">
        <v>11002</v>
      </c>
      <c r="B425" s="38" t="str">
        <f>IF($A425=0,"",VLOOKUP($A425,'BASE MATERIAL'!$A:$D,2))</f>
        <v>ALAMBRE #18 RECOCIDO</v>
      </c>
      <c r="C425" s="2"/>
      <c r="D425" s="77"/>
      <c r="E425" s="78" t="str">
        <f>IF($A425=0,"",VLOOKUP($A425,'BASE MATERIAL'!$A:$D,3))</f>
        <v>KG</v>
      </c>
      <c r="F425" s="55">
        <f>ROUND(F424*0.02,2)</f>
        <v>0.05</v>
      </c>
      <c r="G425" s="55">
        <f>IF($A425=0,"",VLOOKUP($A425,'BASE MATERIAL'!$A:$D,4))</f>
        <v>1.87</v>
      </c>
      <c r="H425" s="56">
        <f t="shared" si="39"/>
        <v>0.09</v>
      </c>
      <c r="I425" s="5"/>
      <c r="K425" s="4">
        <f>8*0.8*0.394</f>
        <v>2.5216000000000003</v>
      </c>
      <c r="L425" s="5"/>
      <c r="M425" s="5"/>
      <c r="N425" s="160"/>
      <c r="O425" s="5"/>
      <c r="P425" s="5"/>
    </row>
    <row r="426" spans="1:16" s="4" customFormat="1" x14ac:dyDescent="0.25">
      <c r="A426" s="103">
        <v>4001</v>
      </c>
      <c r="B426" s="38" t="str">
        <f>IF($A426=0,"",VLOOKUP($A426,'BASE MATERIAL'!$A:$D,2))</f>
        <v>CEMENTO</v>
      </c>
      <c r="C426" s="2"/>
      <c r="D426" s="77"/>
      <c r="E426" s="78" t="str">
        <f>IF($A426=0,"",VLOOKUP($A426,'BASE MATERIAL'!$A:$D,3))</f>
        <v>SACO</v>
      </c>
      <c r="F426" s="55">
        <f>ROUND(7*0.07*0.2,2)</f>
        <v>0.1</v>
      </c>
      <c r="G426" s="55">
        <f>IF($A426=0,"",VLOOKUP($A426,'BASE MATERIAL'!$A:$D,4))</f>
        <v>7.09</v>
      </c>
      <c r="H426" s="56">
        <f t="shared" si="39"/>
        <v>0.71</v>
      </c>
      <c r="I426" s="5"/>
      <c r="L426" s="5"/>
      <c r="M426" s="5"/>
      <c r="N426" s="160"/>
      <c r="O426" s="5"/>
      <c r="P426" s="5"/>
    </row>
    <row r="427" spans="1:16" s="4" customFormat="1" x14ac:dyDescent="0.25">
      <c r="A427" s="103">
        <v>5004</v>
      </c>
      <c r="B427" s="38" t="str">
        <f>IF($A427=0,"",VLOOKUP($A427,'BASE MATERIAL'!$A:$D,2))</f>
        <v>ARENA</v>
      </c>
      <c r="C427" s="2"/>
      <c r="D427" s="77"/>
      <c r="E427" s="78" t="str">
        <f>IF($A427=0,"",VLOOKUP($A427,'BASE MATERIAL'!$A:$D,3))</f>
        <v>M3</v>
      </c>
      <c r="F427" s="55">
        <f>ROUND(F426*0.032*2,2)</f>
        <v>0.01</v>
      </c>
      <c r="G427" s="55">
        <f>IF($A427=0,"",VLOOKUP($A427,'BASE MATERIAL'!$A:$D,4))</f>
        <v>12.276249999999999</v>
      </c>
      <c r="H427" s="56">
        <f t="shared" si="39"/>
        <v>0.12</v>
      </c>
      <c r="I427" s="5"/>
      <c r="L427" s="5"/>
      <c r="M427" s="5"/>
      <c r="N427" s="160"/>
      <c r="O427" s="5"/>
      <c r="P427" s="5"/>
    </row>
    <row r="428" spans="1:16" s="4" customFormat="1" x14ac:dyDescent="0.25">
      <c r="A428" s="103">
        <v>5002</v>
      </c>
      <c r="B428" s="38" t="str">
        <f>IF($A428=0,"",VLOOKUP($A428,'BASE MATERIAL'!$A:$D,2))</f>
        <v>PIEDRA 3-4</v>
      </c>
      <c r="C428" s="2"/>
      <c r="D428" s="77"/>
      <c r="E428" s="78" t="str">
        <f>IF($A428=0,"",VLOOKUP($A428,'BASE MATERIAL'!$A:$D,3))</f>
        <v>M3</v>
      </c>
      <c r="F428" s="55">
        <f>ROUND(F426*0.032*3,2)</f>
        <v>0.01</v>
      </c>
      <c r="G428" s="55">
        <f>IF($A428=0,"",VLOOKUP($A428,'BASE MATERIAL'!$A:$D,4))</f>
        <v>13.75</v>
      </c>
      <c r="H428" s="56">
        <f t="shared" si="39"/>
        <v>0.14000000000000001</v>
      </c>
      <c r="I428" s="5"/>
      <c r="L428" s="5"/>
      <c r="M428" s="5"/>
      <c r="N428" s="160"/>
      <c r="O428" s="5"/>
      <c r="P428" s="5"/>
    </row>
    <row r="429" spans="1:16" s="4" customFormat="1" x14ac:dyDescent="0.25">
      <c r="A429" s="103">
        <v>5005</v>
      </c>
      <c r="B429" s="38" t="str">
        <f>IF($A429=0,"",VLOOKUP($A429,'BASE MATERIAL'!$A:$D,2))</f>
        <v>AGUA</v>
      </c>
      <c r="C429" s="2"/>
      <c r="D429" s="77"/>
      <c r="E429" s="78" t="str">
        <f>IF($A429=0,"",VLOOKUP($A429,'BASE MATERIAL'!$A:$D,3))</f>
        <v>LT</v>
      </c>
      <c r="F429" s="55">
        <f>ROUND(26*F426,2)</f>
        <v>2.6</v>
      </c>
      <c r="G429" s="80">
        <f>IF($A429=0,"",VLOOKUP($A429,'BASE MATERIAL'!$A:$D,4))</f>
        <v>2E-3</v>
      </c>
      <c r="H429" s="56">
        <f t="shared" si="39"/>
        <v>0.01</v>
      </c>
      <c r="I429" s="5"/>
    </row>
    <row r="430" spans="1:16" s="4" customFormat="1" x14ac:dyDescent="0.25">
      <c r="A430" s="103"/>
      <c r="B430" s="38" t="str">
        <f>IF($A430=0,"",VLOOKUP($A430,'BASE MATERIAL'!$A:$D,2))</f>
        <v/>
      </c>
      <c r="C430" s="2"/>
      <c r="D430" s="77"/>
      <c r="E430" s="78" t="str">
        <f>IF($A430=0,"",VLOOKUP($A430,'BASE MATERIAL'!$A:$D,3))</f>
        <v/>
      </c>
      <c r="F430" s="55"/>
      <c r="G430" s="55" t="str">
        <f>IF($A430=0,"",VLOOKUP($A430,'BASE MATERIAL'!$A:$D,4))</f>
        <v/>
      </c>
      <c r="H430" s="56" t="str">
        <f t="shared" si="39"/>
        <v/>
      </c>
      <c r="I430" s="5"/>
      <c r="L430" s="5"/>
      <c r="M430" s="5"/>
      <c r="N430" s="160"/>
      <c r="O430" s="5"/>
      <c r="P430" s="5"/>
    </row>
    <row r="431" spans="1:16" s="4" customFormat="1" x14ac:dyDescent="0.25">
      <c r="A431" s="103"/>
      <c r="B431" s="38" t="str">
        <f>IF($A431=0,"",VLOOKUP($A431,'BASE MATERIAL'!$A:$D,2))</f>
        <v/>
      </c>
      <c r="C431" s="2"/>
      <c r="D431" s="77"/>
      <c r="E431" s="78" t="str">
        <f>IF($A431=0,"",VLOOKUP($A431,'BASE MATERIAL'!$A:$D,3))</f>
        <v/>
      </c>
      <c r="F431" s="55"/>
      <c r="G431" s="55" t="str">
        <f>IF($A431=0,"",VLOOKUP($A431,'BASE MATERIAL'!$A:$D,4))</f>
        <v/>
      </c>
      <c r="H431" s="56" t="str">
        <f t="shared" si="39"/>
        <v/>
      </c>
      <c r="I431" s="5"/>
      <c r="L431" s="5"/>
      <c r="M431" s="5"/>
      <c r="N431" s="160"/>
      <c r="O431" s="5"/>
      <c r="P431" s="5"/>
    </row>
    <row r="432" spans="1:16" s="4" customFormat="1" x14ac:dyDescent="0.25">
      <c r="A432" s="103"/>
      <c r="B432" s="38" t="str">
        <f>IF($A432=0,"",VLOOKUP($A432,'BASE MATERIAL'!$A:$D,2))</f>
        <v/>
      </c>
      <c r="C432" s="2"/>
      <c r="D432" s="77"/>
      <c r="E432" s="78" t="str">
        <f>IF($A432=0,"",VLOOKUP($A432,'BASE MATERIAL'!$A:$D,3))</f>
        <v/>
      </c>
      <c r="F432" s="55"/>
      <c r="G432" s="55" t="str">
        <f>IF($A432=0,"",VLOOKUP($A432,'BASE MATERIAL'!$A:$D,4))</f>
        <v/>
      </c>
      <c r="H432" s="56" t="str">
        <f t="shared" si="39"/>
        <v/>
      </c>
      <c r="I432" s="5"/>
    </row>
    <row r="433" spans="1:9" s="4" customFormat="1" x14ac:dyDescent="0.25">
      <c r="A433" s="103"/>
      <c r="B433" s="38" t="str">
        <f>IF($A433=0,"",VLOOKUP($A433,'BASE MATERIAL'!$A:$D,2))</f>
        <v/>
      </c>
      <c r="C433" s="2"/>
      <c r="D433" s="77"/>
      <c r="E433" s="78" t="str">
        <f>IF($A433=0,"",VLOOKUP($A433,'BASE MATERIAL'!$A:$D,3))</f>
        <v/>
      </c>
      <c r="F433" s="55"/>
      <c r="G433" s="55" t="str">
        <f>IF($A433=0,"",VLOOKUP($A433,'BASE MATERIAL'!$A:$D,4))</f>
        <v/>
      </c>
      <c r="H433" s="56" t="str">
        <f t="shared" si="39"/>
        <v/>
      </c>
      <c r="I433" s="5"/>
    </row>
    <row r="434" spans="1:9" s="4" customFormat="1" x14ac:dyDescent="0.25">
      <c r="A434" s="103"/>
      <c r="B434" s="38" t="str">
        <f>IF($A434=0,"",VLOOKUP($A434,'BASE MATERIAL'!$A:$D,2))</f>
        <v/>
      </c>
      <c r="C434" s="2"/>
      <c r="D434" s="77"/>
      <c r="E434" s="78" t="str">
        <f>IF($A434=0,"",VLOOKUP($A434,'BASE MATERIAL'!$A:$D,3))</f>
        <v/>
      </c>
      <c r="F434" s="55"/>
      <c r="G434" s="55" t="str">
        <f>IF($A434=0,"",VLOOKUP($A434,'BASE MATERIAL'!$A:$D,4))</f>
        <v/>
      </c>
      <c r="H434" s="56" t="str">
        <f t="shared" si="39"/>
        <v/>
      </c>
      <c r="I434" s="5"/>
    </row>
    <row r="435" spans="1:9" s="4" customFormat="1" x14ac:dyDescent="0.25">
      <c r="A435" s="103"/>
      <c r="B435" s="38" t="str">
        <f>IF($A435=0,"",VLOOKUP($A435,'BASE MATERIAL'!$A:$D,2))</f>
        <v/>
      </c>
      <c r="C435" s="2"/>
      <c r="D435" s="77"/>
      <c r="E435" s="78" t="str">
        <f>IF($A435=0,"",VLOOKUP($A435,'BASE MATERIAL'!$A:$D,3))</f>
        <v/>
      </c>
      <c r="F435" s="55"/>
      <c r="G435" s="55" t="str">
        <f>IF($A435=0,"",VLOOKUP($A435,'BASE MATERIAL'!$A:$D,4))</f>
        <v/>
      </c>
      <c r="H435" s="56" t="str">
        <f t="shared" si="39"/>
        <v/>
      </c>
      <c r="I435" s="5"/>
    </row>
    <row r="436" spans="1:9" s="4" customFormat="1" x14ac:dyDescent="0.25">
      <c r="A436" s="103"/>
      <c r="B436" s="38" t="str">
        <f>IF($A436=0,"",VLOOKUP($A436,'BASE MATERIAL'!$A:$D,2))</f>
        <v/>
      </c>
      <c r="C436" s="2"/>
      <c r="D436" s="81" t="s">
        <v>1682</v>
      </c>
      <c r="E436" s="55" t="str">
        <f>IF($A436=0,"",VLOOKUP($A436,'BASE MATERIAL'!$A:$D,3))</f>
        <v/>
      </c>
      <c r="F436" s="55" t="s">
        <v>1682</v>
      </c>
      <c r="G436" s="55" t="str">
        <f>IF($A436=0,"",VLOOKUP($A436,'BASE MATERIAL'!$A:$D,4))</f>
        <v/>
      </c>
      <c r="H436" s="56" t="str">
        <f>IF($A436=0,"",ROUND(E436*F436,2))</f>
        <v/>
      </c>
      <c r="I436" s="5"/>
    </row>
    <row r="437" spans="1:9" s="4" customFormat="1" x14ac:dyDescent="0.25">
      <c r="A437" s="103"/>
      <c r="B437" s="73" t="s">
        <v>1681</v>
      </c>
      <c r="C437" s="65"/>
      <c r="D437" s="74"/>
      <c r="E437" s="74"/>
      <c r="F437" s="74"/>
      <c r="G437" s="74"/>
      <c r="H437" s="75">
        <f>ROUND(SUM(H420:H436),2)</f>
        <v>5.76</v>
      </c>
      <c r="I437" s="5"/>
    </row>
    <row r="438" spans="1:9" s="4" customFormat="1" x14ac:dyDescent="0.25">
      <c r="A438" s="103"/>
      <c r="B438" s="38" t="s">
        <v>1680</v>
      </c>
      <c r="C438" s="2"/>
      <c r="D438" s="3"/>
      <c r="E438" s="3"/>
      <c r="F438" s="3"/>
      <c r="G438" s="3"/>
      <c r="H438" s="56"/>
      <c r="I438" s="5"/>
    </row>
    <row r="439" spans="1:9" ht="25.5" x14ac:dyDescent="0.25">
      <c r="B439" s="64" t="s">
        <v>1409</v>
      </c>
      <c r="C439" s="65"/>
      <c r="D439" s="76"/>
      <c r="E439" s="66" t="s">
        <v>1408</v>
      </c>
      <c r="F439" s="66" t="s">
        <v>1679</v>
      </c>
      <c r="G439" s="66" t="s">
        <v>1676</v>
      </c>
      <c r="H439" s="68" t="s">
        <v>1675</v>
      </c>
      <c r="I439" s="2"/>
    </row>
    <row r="440" spans="1:9" s="4" customFormat="1" x14ac:dyDescent="0.25">
      <c r="A440" s="103">
        <v>19019</v>
      </c>
      <c r="B440" s="51" t="str">
        <f>IF($A440=0,"",VLOOKUP($A440,'BASE EQUIPO'!$A:$D,2))</f>
        <v>TRANSPORTE DE MATERIAL</v>
      </c>
      <c r="C440" s="52"/>
      <c r="D440" s="82"/>
      <c r="E440" s="78" t="str">
        <f>IF($A440=0,"",VLOOKUP($A440,'BASE EQUIPO'!$A:$D,3))</f>
        <v>GLOBAL</v>
      </c>
      <c r="F440" s="55">
        <v>1</v>
      </c>
      <c r="G440" s="83">
        <f>IF($A440=0,"",VLOOKUP($A440,'BASE EQUIPO'!$A:$D,4)*H437)</f>
        <v>0.17279999999999998</v>
      </c>
      <c r="H440" s="56">
        <f>IF($A440=0,"",ROUND(F440*G440,2))</f>
        <v>0.17</v>
      </c>
      <c r="I440" s="5"/>
    </row>
    <row r="441" spans="1:9" s="4" customFormat="1" x14ac:dyDescent="0.25">
      <c r="A441" s="103"/>
      <c r="B441" s="38" t="str">
        <f>IF($A441=0,"",VLOOKUP($A441,'BASE EQUIPO'!$A:$D,2))</f>
        <v/>
      </c>
      <c r="C441" s="2"/>
      <c r="D441" s="84"/>
      <c r="E441" s="78" t="str">
        <f>IF($A441=0,"",VLOOKUP($A441,'BASE EQUIPO'!$A:$D,3))</f>
        <v/>
      </c>
      <c r="F441" s="55"/>
      <c r="G441" s="55" t="str">
        <f>IF($A441=0,"",VLOOKUP($A441,'BASE EQUIPO'!$A:$D,4)*H438)</f>
        <v/>
      </c>
      <c r="H441" s="56" t="str">
        <f>IF($A441=0,"",ROUND(F441*G441,2))</f>
        <v/>
      </c>
      <c r="I441" s="5"/>
    </row>
    <row r="442" spans="1:9" s="4" customFormat="1" x14ac:dyDescent="0.25">
      <c r="A442" s="103"/>
      <c r="B442" s="57" t="str">
        <f>IF($A442=0,"",VLOOKUP($A442,'BASE EQUIPO'!$A:$D,2))</f>
        <v/>
      </c>
      <c r="C442" s="58"/>
      <c r="D442" s="85"/>
      <c r="E442" s="86" t="str">
        <f>IF($A442=0,"",VLOOKUP($A442,'BASE EQUIPO'!$A:$D,3))</f>
        <v/>
      </c>
      <c r="F442" s="59"/>
      <c r="G442" s="59" t="str">
        <f>IF($A442=0,"",VLOOKUP($A442,'BASE EQUIPO'!$A:$D,4)*H439)</f>
        <v/>
      </c>
      <c r="H442" s="60" t="str">
        <f>IF($A442=0,"",ROUND(F442*G442,2))</f>
        <v/>
      </c>
      <c r="I442" s="5"/>
    </row>
    <row r="443" spans="1:9" s="4" customFormat="1" ht="15.75" thickBot="1" x14ac:dyDescent="0.3">
      <c r="A443" s="103"/>
      <c r="B443" s="87" t="s">
        <v>1674</v>
      </c>
      <c r="C443" s="88"/>
      <c r="D443" s="89"/>
      <c r="E443" s="89"/>
      <c r="F443" s="89"/>
      <c r="G443" s="89"/>
      <c r="H443" s="90">
        <f>ROUND(SUM(H439:H442),2)</f>
        <v>0.17</v>
      </c>
      <c r="I443" s="5"/>
    </row>
    <row r="444" spans="1:9" s="4" customFormat="1" ht="15.75" x14ac:dyDescent="0.25">
      <c r="A444" s="103"/>
      <c r="B444" s="2"/>
      <c r="C444" s="2"/>
      <c r="D444" s="91" t="s">
        <v>1673</v>
      </c>
      <c r="E444" s="177"/>
      <c r="F444" s="177"/>
      <c r="G444" s="177"/>
      <c r="H444" s="92">
        <f>ROUND(SUM(H443,H437,H418,H408),2)</f>
        <v>12.13</v>
      </c>
      <c r="I444" s="5"/>
    </row>
    <row r="445" spans="1:9" s="4" customFormat="1" ht="15.75" x14ac:dyDescent="0.25">
      <c r="A445" s="103">
        <v>40002</v>
      </c>
      <c r="B445" s="2"/>
      <c r="C445" s="2"/>
      <c r="D445" s="93" t="s">
        <v>1672</v>
      </c>
      <c r="E445" s="166"/>
      <c r="F445" s="166"/>
      <c r="G445" s="178">
        <f>IF($A445=0,"",VLOOKUP($A445,'BASE MATERIAL'!$M:$P,4))</f>
        <v>0</v>
      </c>
      <c r="H445" s="95">
        <f>IF($A445=0,"",ROUND(G445*H444,2))</f>
        <v>0</v>
      </c>
      <c r="I445" s="5"/>
    </row>
    <row r="446" spans="1:9" s="4" customFormat="1" ht="15.75" x14ac:dyDescent="0.25">
      <c r="A446" s="103">
        <v>40003</v>
      </c>
      <c r="B446" s="2"/>
      <c r="C446" s="2"/>
      <c r="D446" s="93" t="s">
        <v>1671</v>
      </c>
      <c r="E446" s="166"/>
      <c r="F446" s="166"/>
      <c r="G446" s="178">
        <f>IF($A446=0,"",VLOOKUP($A446,'BASE MATERIAL'!$M:$P,4))</f>
        <v>0</v>
      </c>
      <c r="H446" s="95">
        <f>IF($A446=0,"",ROUND(G446*H444,2))</f>
        <v>0</v>
      </c>
      <c r="I446" s="5"/>
    </row>
    <row r="447" spans="1:9" s="4" customFormat="1" ht="15.75" x14ac:dyDescent="0.25">
      <c r="A447" s="103"/>
      <c r="B447" s="2"/>
      <c r="C447" s="2"/>
      <c r="D447" s="93" t="s">
        <v>1670</v>
      </c>
      <c r="E447" s="166"/>
      <c r="F447" s="166"/>
      <c r="G447" s="166"/>
      <c r="H447" s="96">
        <f>ROUND(SUM(H444:H446),2)</f>
        <v>12.13</v>
      </c>
      <c r="I447" s="5"/>
    </row>
    <row r="448" spans="1:9" s="4" customFormat="1" ht="16.5" thickBot="1" x14ac:dyDescent="0.3">
      <c r="A448" s="103"/>
      <c r="B448" s="25"/>
      <c r="C448" s="5"/>
      <c r="D448" s="97" t="s">
        <v>1650</v>
      </c>
      <c r="E448" s="179"/>
      <c r="F448" s="179"/>
      <c r="G448" s="179"/>
      <c r="H448" s="98">
        <f>ROUND(H447,2)</f>
        <v>12.13</v>
      </c>
      <c r="I448" s="5"/>
    </row>
    <row r="449" spans="1:15" ht="15.75" x14ac:dyDescent="0.25">
      <c r="B449" s="34" t="s">
        <v>1701</v>
      </c>
      <c r="C449" s="5"/>
      <c r="D449" s="157" t="str">
        <f>$D$113</f>
        <v>ESPOL</v>
      </c>
      <c r="E449" s="2"/>
      <c r="F449" s="2"/>
      <c r="H449" s="2" t="s">
        <v>108</v>
      </c>
      <c r="I449" s="2"/>
      <c r="L449" s="40">
        <f>A453</f>
        <v>3</v>
      </c>
      <c r="M449" s="2" t="str">
        <f>C454</f>
        <v>Dinteles y Viguetas h. armado de ventanas</v>
      </c>
      <c r="N449" s="2" t="str">
        <f>H453</f>
        <v>ml</v>
      </c>
      <c r="O449" s="2">
        <f>H504</f>
        <v>17.45</v>
      </c>
    </row>
    <row r="450" spans="1:15" s="4" customFormat="1" ht="15.75" x14ac:dyDescent="0.25">
      <c r="A450" s="103"/>
      <c r="B450" s="34" t="s">
        <v>1700</v>
      </c>
      <c r="C450" s="3">
        <f>'1.1'!$C$2</f>
        <v>0</v>
      </c>
      <c r="D450" s="5"/>
      <c r="E450" s="5"/>
      <c r="F450" s="5"/>
      <c r="G450" s="158" t="s">
        <v>1699</v>
      </c>
      <c r="H450" s="159"/>
      <c r="I450" s="5" t="s">
        <v>1698</v>
      </c>
    </row>
    <row r="451" spans="1:15" s="4" customFormat="1" ht="15.75" x14ac:dyDescent="0.25">
      <c r="A451" s="103"/>
      <c r="B451" s="34"/>
      <c r="C451" s="3">
        <f>'1.1'!$C$3</f>
        <v>0</v>
      </c>
      <c r="D451" s="5"/>
      <c r="E451" s="5"/>
      <c r="F451" s="5"/>
      <c r="G451" s="5"/>
      <c r="H451" s="5"/>
      <c r="I451" s="5"/>
    </row>
    <row r="452" spans="1:15" s="4" customFormat="1" ht="15.75" x14ac:dyDescent="0.25">
      <c r="A452" s="103"/>
      <c r="B452" s="34" t="s">
        <v>1697</v>
      </c>
      <c r="C452" s="3"/>
      <c r="D452" s="5"/>
      <c r="E452" s="5"/>
      <c r="F452" s="5"/>
      <c r="G452" s="5"/>
      <c r="H452" s="5"/>
      <c r="I452" s="5"/>
    </row>
    <row r="453" spans="1:15" x14ac:dyDescent="0.25">
      <c r="A453" s="104">
        <v>3</v>
      </c>
      <c r="B453" s="2" t="s">
        <v>1586</v>
      </c>
      <c r="C453" s="111" t="s">
        <v>1552</v>
      </c>
      <c r="D453" s="5"/>
      <c r="E453" s="4"/>
      <c r="F453" s="4"/>
      <c r="G453" s="5" t="s">
        <v>1696</v>
      </c>
      <c r="H453" s="157" t="s">
        <v>961</v>
      </c>
      <c r="I453" s="2"/>
    </row>
    <row r="454" spans="1:15" s="4" customFormat="1" x14ac:dyDescent="0.25">
      <c r="A454" s="103"/>
      <c r="B454" s="1" t="s">
        <v>1585</v>
      </c>
      <c r="C454" s="36" t="s">
        <v>1450</v>
      </c>
      <c r="D454" s="5"/>
      <c r="E454" s="5"/>
      <c r="F454" s="5"/>
      <c r="G454" s="5"/>
      <c r="H454" s="5"/>
      <c r="I454" s="5"/>
    </row>
    <row r="455" spans="1:15" ht="15.75" thickBot="1" x14ac:dyDescent="0.3">
      <c r="D455" s="2"/>
      <c r="E455" s="2"/>
      <c r="F455" s="2"/>
      <c r="G455" s="2"/>
      <c r="H455" s="2"/>
      <c r="I455" s="2"/>
    </row>
    <row r="456" spans="1:15" ht="15.75" thickBot="1" x14ac:dyDescent="0.3">
      <c r="B456" s="43" t="s">
        <v>1695</v>
      </c>
      <c r="C456" s="44"/>
      <c r="D456" s="44"/>
      <c r="E456" s="44"/>
      <c r="F456" s="44"/>
      <c r="G456" s="44"/>
      <c r="H456" s="45"/>
      <c r="I456" s="2"/>
    </row>
    <row r="457" spans="1:15" ht="25.5" x14ac:dyDescent="0.25">
      <c r="B457" s="46" t="s">
        <v>1409</v>
      </c>
      <c r="C457" s="47"/>
      <c r="D457" s="48" t="s">
        <v>1690</v>
      </c>
      <c r="E457" s="48" t="s">
        <v>1694</v>
      </c>
      <c r="F457" s="48" t="s">
        <v>1693</v>
      </c>
      <c r="G457" s="49" t="s">
        <v>1687</v>
      </c>
      <c r="H457" s="50" t="s">
        <v>1686</v>
      </c>
      <c r="I457" s="2"/>
    </row>
    <row r="458" spans="1:15" s="4" customFormat="1" x14ac:dyDescent="0.25">
      <c r="A458" s="103">
        <v>19015</v>
      </c>
      <c r="B458" s="51" t="str">
        <f>IF($A458=0,"",VLOOKUP($A458,'BASE EQUIPO'!$A:$D,2))</f>
        <v>HERRAMIENTA MENOR</v>
      </c>
      <c r="C458" s="52"/>
      <c r="D458" s="53">
        <v>1</v>
      </c>
      <c r="E458" s="53">
        <f>IF($A458=0,"",VLOOKUP($A458,'BASE EQUIPO'!$A:$D,4)*H474)</f>
        <v>0.15179999999999999</v>
      </c>
      <c r="F458" s="53">
        <f t="shared" ref="F458:F463" si="40">IF($A458=0,"",ROUND(D458*E458,2))</f>
        <v>0.15</v>
      </c>
      <c r="G458" s="105">
        <v>1</v>
      </c>
      <c r="H458" s="54">
        <f t="shared" ref="H458:H463" si="41">IF($A458=0,"",ROUND(G458*F458,2))</f>
        <v>0.15</v>
      </c>
      <c r="I458" s="5"/>
    </row>
    <row r="459" spans="1:15" s="4" customFormat="1" x14ac:dyDescent="0.25">
      <c r="A459" s="103">
        <v>19003</v>
      </c>
      <c r="B459" s="38" t="str">
        <f>IF($A459=0,"",VLOOKUP($A459,'BASE EQUIPO'!$A:$D,2))</f>
        <v>CONCRETERA</v>
      </c>
      <c r="C459" s="2"/>
      <c r="D459" s="55">
        <v>1</v>
      </c>
      <c r="E459" s="55">
        <f>IF($A459=0,"",VLOOKUP($A459,'BASE EQUIPO'!$A:$D,4))</f>
        <v>3.5</v>
      </c>
      <c r="F459" s="55">
        <f t="shared" si="40"/>
        <v>3.5</v>
      </c>
      <c r="G459" s="106">
        <f>ROUND(G468*0.5,2)</f>
        <v>0.13</v>
      </c>
      <c r="H459" s="56">
        <f t="shared" si="41"/>
        <v>0.46</v>
      </c>
      <c r="I459" s="5"/>
    </row>
    <row r="460" spans="1:15" s="4" customFormat="1" x14ac:dyDescent="0.25">
      <c r="A460" s="103"/>
      <c r="B460" s="38" t="str">
        <f>IF($A460=0,"",VLOOKUP($A460,'BASE EQUIPO'!$A:$D,2))</f>
        <v/>
      </c>
      <c r="C460" s="2"/>
      <c r="D460" s="55"/>
      <c r="E460" s="55" t="str">
        <f>IF($A460=0,"",VLOOKUP($A460,'BASE EQUIPO'!$A:$D,4))</f>
        <v/>
      </c>
      <c r="F460" s="55" t="str">
        <f t="shared" si="40"/>
        <v/>
      </c>
      <c r="G460" s="106"/>
      <c r="H460" s="56" t="str">
        <f t="shared" si="41"/>
        <v/>
      </c>
      <c r="I460" s="5"/>
    </row>
    <row r="461" spans="1:15" s="4" customFormat="1" x14ac:dyDescent="0.25">
      <c r="A461" s="103"/>
      <c r="B461" s="38" t="str">
        <f>IF($A461=0,"",VLOOKUP($A461,'BASE EQUIPO'!$A:$D,2))</f>
        <v/>
      </c>
      <c r="C461" s="2"/>
      <c r="D461" s="55"/>
      <c r="E461" s="55" t="str">
        <f>IF($A461=0,"",VLOOKUP($A461,'BASE EQUIPO'!$A:$D,4))</f>
        <v/>
      </c>
      <c r="F461" s="55" t="str">
        <f t="shared" si="40"/>
        <v/>
      </c>
      <c r="G461" s="106"/>
      <c r="H461" s="56" t="str">
        <f t="shared" si="41"/>
        <v/>
      </c>
      <c r="I461" s="5"/>
    </row>
    <row r="462" spans="1:15" s="4" customFormat="1" x14ac:dyDescent="0.25">
      <c r="A462" s="103"/>
      <c r="B462" s="38" t="str">
        <f>IF($A462=0,"",VLOOKUP($A462,'BASE EQUIPO'!$A:$D,2))</f>
        <v/>
      </c>
      <c r="C462" s="2"/>
      <c r="D462" s="55"/>
      <c r="E462" s="55" t="str">
        <f>IF($A462=0,"",VLOOKUP($A462,'BASE EQUIPO'!$A:$D,4))</f>
        <v/>
      </c>
      <c r="F462" s="55" t="str">
        <f t="shared" si="40"/>
        <v/>
      </c>
      <c r="G462" s="106"/>
      <c r="H462" s="56" t="str">
        <f t="shared" si="41"/>
        <v/>
      </c>
      <c r="I462" s="5"/>
    </row>
    <row r="463" spans="1:15" s="4" customFormat="1" x14ac:dyDescent="0.25">
      <c r="A463" s="103"/>
      <c r="B463" s="57" t="str">
        <f>IF($A463=0,"",VLOOKUP($A463,'BASE EQUIPO'!$A:$D,2))</f>
        <v/>
      </c>
      <c r="C463" s="58"/>
      <c r="D463" s="59"/>
      <c r="E463" s="59" t="str">
        <f>IF($A463=0,"",VLOOKUP($A463,'BASE EQUIPO'!$A:$D,4))</f>
        <v/>
      </c>
      <c r="F463" s="59" t="str">
        <f t="shared" si="40"/>
        <v/>
      </c>
      <c r="G463" s="107"/>
      <c r="H463" s="60" t="str">
        <f t="shared" si="41"/>
        <v/>
      </c>
      <c r="I463" s="5"/>
    </row>
    <row r="464" spans="1:15" s="4" customFormat="1" x14ac:dyDescent="0.25">
      <c r="A464" s="103"/>
      <c r="B464" s="57" t="s">
        <v>1692</v>
      </c>
      <c r="C464" s="58"/>
      <c r="D464" s="61"/>
      <c r="E464" s="61"/>
      <c r="F464" s="61"/>
      <c r="G464" s="62"/>
      <c r="H464" s="60">
        <f>ROUND(SUM(H457:H463),2)</f>
        <v>0.61</v>
      </c>
      <c r="I464" s="5"/>
    </row>
    <row r="465" spans="1:16" s="4" customFormat="1" x14ac:dyDescent="0.25">
      <c r="A465" s="103"/>
      <c r="B465" s="38" t="s">
        <v>1503</v>
      </c>
      <c r="C465" s="2"/>
      <c r="D465" s="3"/>
      <c r="E465" s="3"/>
      <c r="F465" s="3"/>
      <c r="G465" s="63"/>
      <c r="H465" s="56"/>
      <c r="I465" s="5"/>
    </row>
    <row r="466" spans="1:16" ht="25.5" x14ac:dyDescent="0.25">
      <c r="B466" s="64" t="s">
        <v>1691</v>
      </c>
      <c r="C466" s="65"/>
      <c r="D466" s="66" t="s">
        <v>1690</v>
      </c>
      <c r="E466" s="66" t="s">
        <v>1689</v>
      </c>
      <c r="F466" s="66" t="s">
        <v>1688</v>
      </c>
      <c r="G466" s="67" t="s">
        <v>1687</v>
      </c>
      <c r="H466" s="68" t="s">
        <v>1686</v>
      </c>
      <c r="I466" s="2"/>
    </row>
    <row r="467" spans="1:16" s="4" customFormat="1" x14ac:dyDescent="0.25">
      <c r="A467" s="103">
        <v>20001</v>
      </c>
      <c r="B467" s="69" t="str">
        <f>IF($A467=0,"",VLOOKUP($A467,'BASE M-OBRA'!$A:$D,2))</f>
        <v>MAESTRO</v>
      </c>
      <c r="C467" s="2"/>
      <c r="D467" s="108">
        <v>1</v>
      </c>
      <c r="E467" s="70">
        <f>IF($A467=0,"",VLOOKUP($A467,'BASE M-OBRA'!$A:$D,4))</f>
        <v>3.02</v>
      </c>
      <c r="F467" s="55">
        <f t="shared" ref="F467:F473" si="42">IF($A467=0,"",ROUND(D467*E467,2))</f>
        <v>3.02</v>
      </c>
      <c r="G467" s="106">
        <f>IF($A467=0,"",ROUND(H467/F467,2))</f>
        <v>0.28000000000000003</v>
      </c>
      <c r="H467" s="56">
        <f>IF($A467=0,"",ROUND(SUM(H468:H473)*'BASE M-OBRA'!$D$23,2))</f>
        <v>0.84</v>
      </c>
      <c r="I467" s="5"/>
    </row>
    <row r="468" spans="1:16" s="4" customFormat="1" x14ac:dyDescent="0.25">
      <c r="A468" s="103">
        <v>20002</v>
      </c>
      <c r="B468" s="69" t="str">
        <f>IF($A468=0,"",VLOOKUP($A468,'BASE M-OBRA'!$A:$D,2))</f>
        <v>PEON</v>
      </c>
      <c r="C468" s="2"/>
      <c r="D468" s="108">
        <v>2</v>
      </c>
      <c r="E468" s="70">
        <f>IF($A468=0,"",VLOOKUP($A468,'BASE M-OBRA'!$A:$D,4))</f>
        <v>2.79</v>
      </c>
      <c r="F468" s="55">
        <f t="shared" si="42"/>
        <v>5.58</v>
      </c>
      <c r="G468" s="106">
        <v>0.25</v>
      </c>
      <c r="H468" s="56">
        <f t="shared" ref="H468:H473" si="43">IF($A468=0,"",ROUND(G468*F468,2))</f>
        <v>1.4</v>
      </c>
      <c r="I468" s="5"/>
    </row>
    <row r="469" spans="1:16" s="4" customFormat="1" x14ac:dyDescent="0.25">
      <c r="A469" s="103">
        <v>20003</v>
      </c>
      <c r="B469" s="69" t="str">
        <f>IF($A469=0,"",VLOOKUP($A469,'BASE M-OBRA'!$A:$D,2))</f>
        <v>ALBAÑIL</v>
      </c>
      <c r="C469" s="2"/>
      <c r="D469" s="108">
        <v>4</v>
      </c>
      <c r="E469" s="70">
        <f>IF($A469=0,"",VLOOKUP($A469,'BASE M-OBRA'!$A:$D,4))</f>
        <v>2.82</v>
      </c>
      <c r="F469" s="55">
        <f t="shared" si="42"/>
        <v>11.28</v>
      </c>
      <c r="G469" s="106">
        <f>+G468</f>
        <v>0.25</v>
      </c>
      <c r="H469" s="56">
        <f t="shared" si="43"/>
        <v>2.82</v>
      </c>
      <c r="I469" s="5"/>
    </row>
    <row r="470" spans="1:16" s="4" customFormat="1" x14ac:dyDescent="0.25">
      <c r="A470" s="103"/>
      <c r="B470" s="71" t="str">
        <f>IF($A470=0,"",VLOOKUP($A470,'BASE M-OBRA'!$A:$D,2))</f>
        <v/>
      </c>
      <c r="C470" s="2"/>
      <c r="D470" s="108"/>
      <c r="E470" s="70" t="str">
        <f>IF($A470=0,"",VLOOKUP($A470,'BASE M-OBRA'!$A:$D,4))</f>
        <v/>
      </c>
      <c r="F470" s="55" t="str">
        <f t="shared" si="42"/>
        <v/>
      </c>
      <c r="G470" s="106"/>
      <c r="H470" s="56" t="str">
        <f t="shared" si="43"/>
        <v/>
      </c>
      <c r="I470" s="5"/>
    </row>
    <row r="471" spans="1:16" s="4" customFormat="1" x14ac:dyDescent="0.25">
      <c r="A471" s="103"/>
      <c r="B471" s="72" t="str">
        <f>IF($A471=0,"",VLOOKUP($A471,'BASE M-OBRA'!$A:$D,2))</f>
        <v/>
      </c>
      <c r="C471" s="2"/>
      <c r="D471" s="108"/>
      <c r="E471" s="70" t="str">
        <f>IF($A471=0,"",VLOOKUP($A471,'BASE M-OBRA'!$A:$D,4))</f>
        <v/>
      </c>
      <c r="F471" s="55" t="str">
        <f t="shared" si="42"/>
        <v/>
      </c>
      <c r="G471" s="106"/>
      <c r="H471" s="56" t="str">
        <f t="shared" si="43"/>
        <v/>
      </c>
      <c r="I471" s="5"/>
    </row>
    <row r="472" spans="1:16" s="4" customFormat="1" x14ac:dyDescent="0.25">
      <c r="A472" s="103"/>
      <c r="B472" s="38" t="str">
        <f>IF($A472=0,"",VLOOKUP($A472,'BASE M-OBRA'!$A:$D,2))</f>
        <v/>
      </c>
      <c r="C472" s="2"/>
      <c r="D472" s="55"/>
      <c r="E472" s="55" t="str">
        <f>IF($A472=0,"",VLOOKUP($A472,'BASE M-OBRA'!$A:$D,4))</f>
        <v/>
      </c>
      <c r="F472" s="55" t="str">
        <f t="shared" si="42"/>
        <v/>
      </c>
      <c r="G472" s="106"/>
      <c r="H472" s="56" t="str">
        <f t="shared" si="43"/>
        <v/>
      </c>
      <c r="I472" s="5"/>
    </row>
    <row r="473" spans="1:16" s="4" customFormat="1" x14ac:dyDescent="0.25">
      <c r="A473" s="103"/>
      <c r="B473" s="57" t="str">
        <f>IF($A473=0,"",VLOOKUP($A473,'BASE M-OBRA'!$A:$D,2))</f>
        <v/>
      </c>
      <c r="C473" s="58"/>
      <c r="D473" s="59"/>
      <c r="E473" s="59" t="str">
        <f>IF($A473=0,"",VLOOKUP($A473,'BASE M-OBRA'!$A:$D,4))</f>
        <v/>
      </c>
      <c r="F473" s="59" t="str">
        <f t="shared" si="42"/>
        <v/>
      </c>
      <c r="G473" s="107"/>
      <c r="H473" s="60" t="str">
        <f t="shared" si="43"/>
        <v/>
      </c>
      <c r="I473" s="5"/>
    </row>
    <row r="474" spans="1:16" s="4" customFormat="1" x14ac:dyDescent="0.25">
      <c r="A474" s="103"/>
      <c r="B474" s="73" t="s">
        <v>1685</v>
      </c>
      <c r="C474" s="65"/>
      <c r="D474" s="74"/>
      <c r="E474" s="74"/>
      <c r="F474" s="74"/>
      <c r="G474" s="74"/>
      <c r="H474" s="75">
        <f>ROUND(SUM(H466:H473),2)</f>
        <v>5.0599999999999996</v>
      </c>
      <c r="I474" s="5"/>
    </row>
    <row r="475" spans="1:16" s="4" customFormat="1" x14ac:dyDescent="0.25">
      <c r="A475" s="103"/>
      <c r="B475" s="38" t="s">
        <v>1684</v>
      </c>
      <c r="C475" s="2"/>
      <c r="D475" s="3"/>
      <c r="E475" s="3"/>
      <c r="F475" s="3"/>
      <c r="G475" s="3"/>
      <c r="H475" s="56"/>
      <c r="I475" s="5"/>
    </row>
    <row r="476" spans="1:16" ht="25.5" x14ac:dyDescent="0.25">
      <c r="B476" s="64" t="s">
        <v>1409</v>
      </c>
      <c r="C476" s="65"/>
      <c r="D476" s="76"/>
      <c r="E476" s="66" t="s">
        <v>1408</v>
      </c>
      <c r="F476" s="66" t="s">
        <v>1679</v>
      </c>
      <c r="G476" s="66" t="s">
        <v>1683</v>
      </c>
      <c r="H476" s="68" t="s">
        <v>1675</v>
      </c>
      <c r="I476" s="2"/>
    </row>
    <row r="477" spans="1:16" s="4" customFormat="1" x14ac:dyDescent="0.25">
      <c r="A477" s="103">
        <v>11008</v>
      </c>
      <c r="B477" s="37" t="str">
        <f>IF($A477=0,"",VLOOKUP($A477,'BASE MATERIAL'!$A:$D,2))</f>
        <v>TABLA</v>
      </c>
      <c r="C477" s="2"/>
      <c r="D477" s="77"/>
      <c r="E477" s="78" t="str">
        <f>IF($A477=0,"",VLOOKUP($A477,'BASE MATERIAL'!$A:$D,3))</f>
        <v>U</v>
      </c>
      <c r="F477" s="55">
        <f>ROUND(3/(4*3),2)</f>
        <v>0.25</v>
      </c>
      <c r="G477" s="55">
        <f>IF($A477=0,"",VLOOKUP($A477,'BASE MATERIAL'!$A:$D,4))</f>
        <v>3.5</v>
      </c>
      <c r="H477" s="56">
        <f t="shared" ref="H477:H491" si="44">IF($A477=0,"",ROUND(F477*G477,2))</f>
        <v>0.88</v>
      </c>
      <c r="I477" s="5"/>
      <c r="L477" s="5"/>
      <c r="M477" s="5"/>
      <c r="N477" s="160"/>
      <c r="O477" s="5"/>
      <c r="P477" s="5"/>
    </row>
    <row r="478" spans="1:16" s="4" customFormat="1" x14ac:dyDescent="0.25">
      <c r="A478" s="103">
        <v>11009</v>
      </c>
      <c r="B478" s="38" t="str">
        <f>IF($A478=0,"",VLOOKUP($A478,'BASE MATERIAL'!$A:$D,2))</f>
        <v>CUARTON</v>
      </c>
      <c r="C478" s="2"/>
      <c r="D478" s="77"/>
      <c r="E478" s="78" t="str">
        <f>IF($A478=0,"",VLOOKUP($A478,'BASE MATERIAL'!$A:$D,3))</f>
        <v>U</v>
      </c>
      <c r="F478" s="55">
        <v>0.5</v>
      </c>
      <c r="G478" s="55">
        <f>IF($A478=0,"",VLOOKUP($A478,'BASE MATERIAL'!$A:$D,4))</f>
        <v>2.42</v>
      </c>
      <c r="H478" s="56">
        <f t="shared" si="44"/>
        <v>1.21</v>
      </c>
      <c r="I478" s="5"/>
      <c r="L478" s="5"/>
      <c r="M478" s="5"/>
      <c r="N478" s="160"/>
      <c r="O478" s="5"/>
      <c r="P478" s="5"/>
    </row>
    <row r="479" spans="1:16" s="4" customFormat="1" x14ac:dyDescent="0.25">
      <c r="A479" s="103">
        <v>11007</v>
      </c>
      <c r="B479" s="38" t="str">
        <f>IF($A479=0,"",VLOOKUP($A479,'BASE MATERIAL'!$A:$D,2))</f>
        <v>CLAVO 2 1/2"</v>
      </c>
      <c r="C479" s="2"/>
      <c r="D479" s="77"/>
      <c r="E479" s="78" t="str">
        <f>IF($A479=0,"",VLOOKUP($A479,'BASE MATERIAL'!$A:$D,3))</f>
        <v>KG</v>
      </c>
      <c r="F479" s="55">
        <f>ROUND(0.4*56/(178*1.5),2)</f>
        <v>0.08</v>
      </c>
      <c r="G479" s="55">
        <f>IF($A479=0,"",VLOOKUP($A479,'BASE MATERIAL'!$A:$D,4))</f>
        <v>2.6520000000000001</v>
      </c>
      <c r="H479" s="56">
        <f t="shared" si="44"/>
        <v>0.21</v>
      </c>
      <c r="I479" s="5"/>
      <c r="L479" s="5"/>
      <c r="M479" s="5"/>
      <c r="N479" s="160"/>
      <c r="O479" s="5"/>
      <c r="P479" s="5"/>
    </row>
    <row r="480" spans="1:16" s="4" customFormat="1" x14ac:dyDescent="0.25">
      <c r="A480" s="103">
        <v>1001</v>
      </c>
      <c r="B480" s="38" t="str">
        <f>IF($A480=0,"",VLOOKUP($A480,'BASE MATERIAL'!$A:$D,2))</f>
        <v>HIERRO</v>
      </c>
      <c r="C480" s="2"/>
      <c r="D480" s="77"/>
      <c r="E480" s="78" t="str">
        <f>IF($A480=0,"",VLOOKUP($A480,'BASE MATERIAL'!$A:$D,3))</f>
        <v>KG</v>
      </c>
      <c r="F480" s="55">
        <v>6</v>
      </c>
      <c r="G480" s="55">
        <f>IF($A480=0,"",VLOOKUP($A480,'BASE MATERIAL'!$A:$D,4))</f>
        <v>1.17</v>
      </c>
      <c r="H480" s="56">
        <f t="shared" si="44"/>
        <v>7.02</v>
      </c>
      <c r="I480" s="5"/>
      <c r="L480" s="5"/>
      <c r="M480" s="5"/>
      <c r="N480" s="160"/>
      <c r="O480" s="5"/>
      <c r="P480" s="5"/>
    </row>
    <row r="481" spans="1:16" s="4" customFormat="1" x14ac:dyDescent="0.25">
      <c r="A481" s="103">
        <v>11002</v>
      </c>
      <c r="B481" s="38" t="str">
        <f>IF($A481=0,"",VLOOKUP($A481,'BASE MATERIAL'!$A:$D,2))</f>
        <v>ALAMBRE #18 RECOCIDO</v>
      </c>
      <c r="C481" s="2"/>
      <c r="D481" s="77"/>
      <c r="E481" s="78" t="str">
        <f>IF($A481=0,"",VLOOKUP($A481,'BASE MATERIAL'!$A:$D,3))</f>
        <v>KG</v>
      </c>
      <c r="F481" s="55">
        <f>ROUND(F480*0.02,2)</f>
        <v>0.12</v>
      </c>
      <c r="G481" s="55">
        <f>IF($A481=0,"",VLOOKUP($A481,'BASE MATERIAL'!$A:$D,4))</f>
        <v>1.87</v>
      </c>
      <c r="H481" s="56">
        <f t="shared" si="44"/>
        <v>0.22</v>
      </c>
      <c r="I481" s="5"/>
      <c r="L481" s="5"/>
      <c r="M481" s="5"/>
      <c r="N481" s="160"/>
      <c r="O481" s="5"/>
      <c r="P481" s="5"/>
    </row>
    <row r="482" spans="1:16" s="4" customFormat="1" x14ac:dyDescent="0.25">
      <c r="A482" s="103">
        <v>4001</v>
      </c>
      <c r="B482" s="38" t="str">
        <f>IF($A482=0,"",VLOOKUP($A482,'BASE MATERIAL'!$A:$D,2))</f>
        <v>CEMENTO</v>
      </c>
      <c r="C482" s="2"/>
      <c r="D482" s="77"/>
      <c r="E482" s="78" t="str">
        <f>IF($A482=0,"",VLOOKUP($A482,'BASE MATERIAL'!$A:$D,3))</f>
        <v>SACO</v>
      </c>
      <c r="F482" s="55">
        <f>ROUND(7.5*0.14*0.2,2)</f>
        <v>0.21</v>
      </c>
      <c r="G482" s="55">
        <f>IF($A482=0,"",VLOOKUP($A482,'BASE MATERIAL'!$A:$D,4))</f>
        <v>7.09</v>
      </c>
      <c r="H482" s="56">
        <f t="shared" si="44"/>
        <v>1.49</v>
      </c>
      <c r="I482" s="5"/>
      <c r="L482" s="5"/>
      <c r="M482" s="5"/>
      <c r="N482" s="160"/>
      <c r="O482" s="5"/>
      <c r="P482" s="5"/>
    </row>
    <row r="483" spans="1:16" s="4" customFormat="1" x14ac:dyDescent="0.25">
      <c r="A483" s="103">
        <v>5004</v>
      </c>
      <c r="B483" s="38" t="str">
        <f>IF($A483=0,"",VLOOKUP($A483,'BASE MATERIAL'!$A:$D,2))</f>
        <v>ARENA</v>
      </c>
      <c r="C483" s="2"/>
      <c r="D483" s="77"/>
      <c r="E483" s="78" t="str">
        <f>IF($A483=0,"",VLOOKUP($A483,'BASE MATERIAL'!$A:$D,3))</f>
        <v>M3</v>
      </c>
      <c r="F483" s="55">
        <f>ROUND(F482*0.032*2,2)</f>
        <v>0.01</v>
      </c>
      <c r="G483" s="55">
        <f>IF($A483=0,"",VLOOKUP($A483,'BASE MATERIAL'!$A:$D,4))</f>
        <v>12.276249999999999</v>
      </c>
      <c r="H483" s="56">
        <f t="shared" si="44"/>
        <v>0.12</v>
      </c>
      <c r="I483" s="5"/>
      <c r="L483" s="5"/>
      <c r="M483" s="5"/>
      <c r="N483" s="160"/>
      <c r="O483" s="5"/>
      <c r="P483" s="5"/>
    </row>
    <row r="484" spans="1:16" s="4" customFormat="1" x14ac:dyDescent="0.25">
      <c r="A484" s="103">
        <v>5002</v>
      </c>
      <c r="B484" s="38" t="str">
        <f>IF($A484=0,"",VLOOKUP($A484,'BASE MATERIAL'!$A:$D,2))</f>
        <v>PIEDRA 3-4</v>
      </c>
      <c r="C484" s="2"/>
      <c r="D484" s="77"/>
      <c r="E484" s="78" t="str">
        <f>IF($A484=0,"",VLOOKUP($A484,'BASE MATERIAL'!$A:$D,3))</f>
        <v>M3</v>
      </c>
      <c r="F484" s="55">
        <f>ROUND(F482*0.032*3,2)</f>
        <v>0.02</v>
      </c>
      <c r="G484" s="55">
        <f>IF($A484=0,"",VLOOKUP($A484,'BASE MATERIAL'!$A:$D,4))</f>
        <v>13.75</v>
      </c>
      <c r="H484" s="56">
        <f t="shared" si="44"/>
        <v>0.28000000000000003</v>
      </c>
      <c r="I484" s="5"/>
      <c r="L484" s="5"/>
      <c r="M484" s="5"/>
      <c r="N484" s="160"/>
      <c r="O484" s="5"/>
      <c r="P484" s="5"/>
    </row>
    <row r="485" spans="1:16" s="4" customFormat="1" x14ac:dyDescent="0.25">
      <c r="A485" s="103">
        <v>5005</v>
      </c>
      <c r="B485" s="38" t="str">
        <f>IF($A485=0,"",VLOOKUP($A485,'BASE MATERIAL'!$A:$D,2))</f>
        <v>AGUA</v>
      </c>
      <c r="C485" s="2"/>
      <c r="D485" s="77"/>
      <c r="E485" s="78" t="str">
        <f>IF($A485=0,"",VLOOKUP($A485,'BASE MATERIAL'!$A:$D,3))</f>
        <v>LT</v>
      </c>
      <c r="F485" s="55">
        <f>ROUND(26*F482,2)</f>
        <v>5.46</v>
      </c>
      <c r="G485" s="80">
        <f>IF($A485=0,"",VLOOKUP($A485,'BASE MATERIAL'!$A:$D,4))</f>
        <v>2E-3</v>
      </c>
      <c r="H485" s="56">
        <f t="shared" si="44"/>
        <v>0.01</v>
      </c>
      <c r="I485" s="5"/>
    </row>
    <row r="486" spans="1:16" s="4" customFormat="1" x14ac:dyDescent="0.25">
      <c r="A486" s="103"/>
      <c r="B486" s="38" t="str">
        <f>IF($A486=0,"",VLOOKUP($A486,'BASE MATERIAL'!$A:$D,2))</f>
        <v/>
      </c>
      <c r="C486" s="2"/>
      <c r="D486" s="77"/>
      <c r="E486" s="78" t="str">
        <f>IF($A486=0,"",VLOOKUP($A486,'BASE MATERIAL'!$A:$D,3))</f>
        <v/>
      </c>
      <c r="F486" s="55"/>
      <c r="G486" s="55" t="str">
        <f>IF($A486=0,"",VLOOKUP($A486,'BASE MATERIAL'!$A:$D,4))</f>
        <v/>
      </c>
      <c r="H486" s="56" t="str">
        <f t="shared" si="44"/>
        <v/>
      </c>
      <c r="I486" s="5"/>
      <c r="L486" s="5"/>
      <c r="M486" s="5"/>
      <c r="N486" s="160"/>
      <c r="O486" s="5"/>
      <c r="P486" s="5"/>
    </row>
    <row r="487" spans="1:16" s="4" customFormat="1" x14ac:dyDescent="0.25">
      <c r="A487" s="103"/>
      <c r="B487" s="38" t="str">
        <f>IF($A487=0,"",VLOOKUP($A487,'BASE MATERIAL'!$A:$D,2))</f>
        <v/>
      </c>
      <c r="C487" s="2"/>
      <c r="D487" s="77"/>
      <c r="E487" s="78" t="str">
        <f>IF($A487=0,"",VLOOKUP($A487,'BASE MATERIAL'!$A:$D,3))</f>
        <v/>
      </c>
      <c r="F487" s="55"/>
      <c r="G487" s="55" t="str">
        <f>IF($A487=0,"",VLOOKUP($A487,'BASE MATERIAL'!$A:$D,4))</f>
        <v/>
      </c>
      <c r="H487" s="56" t="str">
        <f t="shared" si="44"/>
        <v/>
      </c>
      <c r="I487" s="5"/>
      <c r="L487" s="5"/>
      <c r="M487" s="5"/>
      <c r="N487" s="160"/>
      <c r="O487" s="5"/>
      <c r="P487" s="5"/>
    </row>
    <row r="488" spans="1:16" s="4" customFormat="1" x14ac:dyDescent="0.25">
      <c r="A488" s="103"/>
      <c r="B488" s="38" t="str">
        <f>IF($A488=0,"",VLOOKUP($A488,'BASE MATERIAL'!$A:$D,2))</f>
        <v/>
      </c>
      <c r="C488" s="2"/>
      <c r="D488" s="77"/>
      <c r="E488" s="78" t="str">
        <f>IF($A488=0,"",VLOOKUP($A488,'BASE MATERIAL'!$A:$D,3))</f>
        <v/>
      </c>
      <c r="F488" s="55"/>
      <c r="G488" s="55" t="str">
        <f>IF($A488=0,"",VLOOKUP($A488,'BASE MATERIAL'!$A:$D,4))</f>
        <v/>
      </c>
      <c r="H488" s="56" t="str">
        <f t="shared" si="44"/>
        <v/>
      </c>
      <c r="I488" s="5"/>
    </row>
    <row r="489" spans="1:16" s="4" customFormat="1" x14ac:dyDescent="0.25">
      <c r="A489" s="103"/>
      <c r="B489" s="38" t="str">
        <f>IF($A489=0,"",VLOOKUP($A489,'BASE MATERIAL'!$A:$D,2))</f>
        <v/>
      </c>
      <c r="C489" s="2"/>
      <c r="D489" s="77"/>
      <c r="E489" s="78" t="str">
        <f>IF($A489=0,"",VLOOKUP($A489,'BASE MATERIAL'!$A:$D,3))</f>
        <v/>
      </c>
      <c r="F489" s="55"/>
      <c r="G489" s="55" t="str">
        <f>IF($A489=0,"",VLOOKUP($A489,'BASE MATERIAL'!$A:$D,4))</f>
        <v/>
      </c>
      <c r="H489" s="56" t="str">
        <f t="shared" si="44"/>
        <v/>
      </c>
      <c r="I489" s="5"/>
    </row>
    <row r="490" spans="1:16" s="4" customFormat="1" x14ac:dyDescent="0.25">
      <c r="A490" s="103"/>
      <c r="B490" s="38" t="str">
        <f>IF($A490=0,"",VLOOKUP($A490,'BASE MATERIAL'!$A:$D,2))</f>
        <v/>
      </c>
      <c r="C490" s="2"/>
      <c r="D490" s="77"/>
      <c r="E490" s="78" t="str">
        <f>IF($A490=0,"",VLOOKUP($A490,'BASE MATERIAL'!$A:$D,3))</f>
        <v/>
      </c>
      <c r="F490" s="55"/>
      <c r="G490" s="55" t="str">
        <f>IF($A490=0,"",VLOOKUP($A490,'BASE MATERIAL'!$A:$D,4))</f>
        <v/>
      </c>
      <c r="H490" s="56" t="str">
        <f t="shared" si="44"/>
        <v/>
      </c>
      <c r="I490" s="5"/>
    </row>
    <row r="491" spans="1:16" s="4" customFormat="1" x14ac:dyDescent="0.25">
      <c r="A491" s="103"/>
      <c r="B491" s="38" t="str">
        <f>IF($A491=0,"",VLOOKUP($A491,'BASE MATERIAL'!$A:$D,2))</f>
        <v/>
      </c>
      <c r="C491" s="2"/>
      <c r="D491" s="77"/>
      <c r="E491" s="78" t="str">
        <f>IF($A491=0,"",VLOOKUP($A491,'BASE MATERIAL'!$A:$D,3))</f>
        <v/>
      </c>
      <c r="F491" s="55"/>
      <c r="G491" s="55" t="str">
        <f>IF($A491=0,"",VLOOKUP($A491,'BASE MATERIAL'!$A:$D,4))</f>
        <v/>
      </c>
      <c r="H491" s="56" t="str">
        <f t="shared" si="44"/>
        <v/>
      </c>
      <c r="I491" s="5"/>
    </row>
    <row r="492" spans="1:16" s="4" customFormat="1" x14ac:dyDescent="0.25">
      <c r="A492" s="103"/>
      <c r="B492" s="38" t="str">
        <f>IF($A492=0,"",VLOOKUP($A492,'BASE MATERIAL'!$A:$D,2))</f>
        <v/>
      </c>
      <c r="C492" s="2"/>
      <c r="D492" s="81" t="s">
        <v>1682</v>
      </c>
      <c r="E492" s="55" t="str">
        <f>IF($A492=0,"",VLOOKUP($A492,'BASE MATERIAL'!$A:$D,3))</f>
        <v/>
      </c>
      <c r="F492" s="55" t="s">
        <v>1682</v>
      </c>
      <c r="G492" s="55" t="str">
        <f>IF($A492=0,"",VLOOKUP($A492,'BASE MATERIAL'!$A:$D,4))</f>
        <v/>
      </c>
      <c r="H492" s="56" t="str">
        <f>IF($A492=0,"",ROUND(E492*F492,2))</f>
        <v/>
      </c>
      <c r="I492" s="5"/>
    </row>
    <row r="493" spans="1:16" s="4" customFormat="1" x14ac:dyDescent="0.25">
      <c r="A493" s="103"/>
      <c r="B493" s="73" t="s">
        <v>1681</v>
      </c>
      <c r="C493" s="65"/>
      <c r="D493" s="74"/>
      <c r="E493" s="74"/>
      <c r="F493" s="74"/>
      <c r="G493" s="74"/>
      <c r="H493" s="75">
        <f>ROUND(SUM(H476:H492),2)</f>
        <v>11.44</v>
      </c>
      <c r="I493" s="5"/>
    </row>
    <row r="494" spans="1:16" s="4" customFormat="1" x14ac:dyDescent="0.25">
      <c r="A494" s="103"/>
      <c r="B494" s="38" t="s">
        <v>1680</v>
      </c>
      <c r="C494" s="2"/>
      <c r="D494" s="3"/>
      <c r="E494" s="3"/>
      <c r="F494" s="3"/>
      <c r="G494" s="3"/>
      <c r="H494" s="56"/>
      <c r="I494" s="5"/>
    </row>
    <row r="495" spans="1:16" ht="25.5" x14ac:dyDescent="0.25">
      <c r="B495" s="64" t="s">
        <v>1409</v>
      </c>
      <c r="C495" s="65"/>
      <c r="D495" s="76"/>
      <c r="E495" s="66" t="s">
        <v>1408</v>
      </c>
      <c r="F495" s="66" t="s">
        <v>1679</v>
      </c>
      <c r="G495" s="66" t="s">
        <v>1676</v>
      </c>
      <c r="H495" s="68" t="s">
        <v>1675</v>
      </c>
      <c r="I495" s="2"/>
    </row>
    <row r="496" spans="1:16" s="4" customFormat="1" x14ac:dyDescent="0.25">
      <c r="A496" s="103">
        <v>19019</v>
      </c>
      <c r="B496" s="51" t="str">
        <f>IF($A496=0,"",VLOOKUP($A496,'BASE EQUIPO'!$A:$D,2))</f>
        <v>TRANSPORTE DE MATERIAL</v>
      </c>
      <c r="C496" s="52"/>
      <c r="D496" s="82"/>
      <c r="E496" s="78" t="str">
        <f>IF($A496=0,"",VLOOKUP($A496,'BASE EQUIPO'!$A:$D,3))</f>
        <v>GLOBAL</v>
      </c>
      <c r="F496" s="55">
        <v>1</v>
      </c>
      <c r="G496" s="83">
        <f>IF($A496=0,"",VLOOKUP($A496,'BASE EQUIPO'!$A:$D,4)*H493)</f>
        <v>0.34319999999999995</v>
      </c>
      <c r="H496" s="56">
        <f>IF($A496=0,"",ROUND(F496*G496,2))</f>
        <v>0.34</v>
      </c>
      <c r="I496" s="5"/>
    </row>
    <row r="497" spans="1:15" s="4" customFormat="1" x14ac:dyDescent="0.25">
      <c r="A497" s="103"/>
      <c r="B497" s="38" t="str">
        <f>IF($A497=0,"",VLOOKUP($A497,'BASE EQUIPO'!$A:$D,2))</f>
        <v/>
      </c>
      <c r="C497" s="2"/>
      <c r="D497" s="84"/>
      <c r="E497" s="78" t="str">
        <f>IF($A497=0,"",VLOOKUP($A497,'BASE EQUIPO'!$A:$D,3))</f>
        <v/>
      </c>
      <c r="F497" s="55"/>
      <c r="G497" s="55" t="str">
        <f>IF($A497=0,"",VLOOKUP($A497,'BASE EQUIPO'!$A:$D,4)*H494)</f>
        <v/>
      </c>
      <c r="H497" s="56" t="str">
        <f>IF($A497=0,"",ROUND(F497*G497,2))</f>
        <v/>
      </c>
      <c r="I497" s="5"/>
    </row>
    <row r="498" spans="1:15" s="4" customFormat="1" x14ac:dyDescent="0.25">
      <c r="A498" s="103"/>
      <c r="B498" s="57" t="str">
        <f>IF($A498=0,"",VLOOKUP($A498,'BASE EQUIPO'!$A:$D,2))</f>
        <v/>
      </c>
      <c r="C498" s="58"/>
      <c r="D498" s="85"/>
      <c r="E498" s="86" t="str">
        <f>IF($A498=0,"",VLOOKUP($A498,'BASE EQUIPO'!$A:$D,3))</f>
        <v/>
      </c>
      <c r="F498" s="59"/>
      <c r="G498" s="59" t="str">
        <f>IF($A498=0,"",VLOOKUP($A498,'BASE EQUIPO'!$A:$D,4)*H495)</f>
        <v/>
      </c>
      <c r="H498" s="60" t="str">
        <f>IF($A498=0,"",ROUND(F498*G498,2))</f>
        <v/>
      </c>
      <c r="I498" s="5"/>
    </row>
    <row r="499" spans="1:15" s="4" customFormat="1" ht="15.75" thickBot="1" x14ac:dyDescent="0.3">
      <c r="A499" s="103"/>
      <c r="B499" s="87" t="s">
        <v>1674</v>
      </c>
      <c r="C499" s="88"/>
      <c r="D499" s="89"/>
      <c r="E499" s="89"/>
      <c r="F499" s="89"/>
      <c r="G499" s="89"/>
      <c r="H499" s="90">
        <f>ROUND(SUM(H495:H498),2)</f>
        <v>0.34</v>
      </c>
      <c r="I499" s="5"/>
    </row>
    <row r="500" spans="1:15" s="4" customFormat="1" ht="15.75" x14ac:dyDescent="0.25">
      <c r="A500" s="103"/>
      <c r="B500" s="2"/>
      <c r="C500" s="2"/>
      <c r="D500" s="91" t="s">
        <v>1673</v>
      </c>
      <c r="E500" s="177"/>
      <c r="F500" s="177"/>
      <c r="G500" s="177"/>
      <c r="H500" s="92">
        <f>ROUND(SUM(H499,H493,H474,H464),2)</f>
        <v>17.45</v>
      </c>
      <c r="I500" s="5"/>
    </row>
    <row r="501" spans="1:15" s="4" customFormat="1" ht="15.75" x14ac:dyDescent="0.25">
      <c r="A501" s="103">
        <v>40002</v>
      </c>
      <c r="B501" s="2"/>
      <c r="C501" s="2"/>
      <c r="D501" s="93" t="s">
        <v>1672</v>
      </c>
      <c r="E501" s="166"/>
      <c r="F501" s="166"/>
      <c r="G501" s="178">
        <f>IF($A501=0,"",VLOOKUP($A501,'BASE MATERIAL'!$M:$P,4))</f>
        <v>0</v>
      </c>
      <c r="H501" s="95">
        <f>IF($A501=0,"",ROUND(G501*H500,2))</f>
        <v>0</v>
      </c>
      <c r="I501" s="5"/>
    </row>
    <row r="502" spans="1:15" s="4" customFormat="1" ht="15.75" x14ac:dyDescent="0.25">
      <c r="A502" s="103">
        <v>40003</v>
      </c>
      <c r="B502" s="2"/>
      <c r="C502" s="2"/>
      <c r="D502" s="93" t="s">
        <v>1671</v>
      </c>
      <c r="E502" s="166"/>
      <c r="F502" s="166"/>
      <c r="G502" s="178">
        <f>IF($A502=0,"",VLOOKUP($A502,'BASE MATERIAL'!$M:$P,4))</f>
        <v>0</v>
      </c>
      <c r="H502" s="95">
        <f>IF($A502=0,"",ROUND(G502*H500,2))</f>
        <v>0</v>
      </c>
      <c r="I502" s="5"/>
    </row>
    <row r="503" spans="1:15" s="4" customFormat="1" ht="15.75" x14ac:dyDescent="0.25">
      <c r="A503" s="103"/>
      <c r="B503" s="2"/>
      <c r="C503" s="2"/>
      <c r="D503" s="93" t="s">
        <v>1670</v>
      </c>
      <c r="E503" s="166"/>
      <c r="F503" s="166"/>
      <c r="G503" s="166"/>
      <c r="H503" s="96">
        <f>ROUND(SUM(H500:H502),2)</f>
        <v>17.45</v>
      </c>
      <c r="I503" s="5"/>
    </row>
    <row r="504" spans="1:15" s="4" customFormat="1" ht="16.5" thickBot="1" x14ac:dyDescent="0.3">
      <c r="A504" s="103"/>
      <c r="B504" s="25"/>
      <c r="C504" s="5"/>
      <c r="D504" s="97" t="s">
        <v>1650</v>
      </c>
      <c r="E504" s="179"/>
      <c r="F504" s="179"/>
      <c r="G504" s="179"/>
      <c r="H504" s="98">
        <f>ROUND(H503,2)</f>
        <v>17.45</v>
      </c>
      <c r="I504" s="5"/>
    </row>
    <row r="505" spans="1:15" ht="15.75" x14ac:dyDescent="0.25">
      <c r="B505" s="34" t="s">
        <v>1701</v>
      </c>
      <c r="C505" s="5"/>
      <c r="D505" s="157" t="str">
        <f>$D$113</f>
        <v>ESPOL</v>
      </c>
      <c r="E505" s="2"/>
      <c r="F505" s="2"/>
      <c r="H505" s="2" t="s">
        <v>108</v>
      </c>
      <c r="I505" s="2"/>
      <c r="L505" s="40">
        <f>A509</f>
        <v>1</v>
      </c>
      <c r="M505" s="2" t="str">
        <f>C510</f>
        <v>Pilaretes h. armado   19x20cm</v>
      </c>
      <c r="N505" s="2" t="str">
        <f>H509</f>
        <v>ml</v>
      </c>
      <c r="O505" s="2">
        <f>H560</f>
        <v>21.89</v>
      </c>
    </row>
    <row r="506" spans="1:15" s="4" customFormat="1" ht="15.75" x14ac:dyDescent="0.25">
      <c r="A506" s="103"/>
      <c r="B506" s="34" t="s">
        <v>1700</v>
      </c>
      <c r="C506" s="3">
        <f>'1.1'!$C$2</f>
        <v>0</v>
      </c>
      <c r="D506" s="5"/>
      <c r="E506" s="5"/>
      <c r="F506" s="5"/>
      <c r="G506" s="158" t="s">
        <v>1699</v>
      </c>
      <c r="H506" s="159"/>
      <c r="I506" s="5" t="s">
        <v>1698</v>
      </c>
    </row>
    <row r="507" spans="1:15" s="4" customFormat="1" ht="15.75" x14ac:dyDescent="0.25">
      <c r="A507" s="103"/>
      <c r="B507" s="34"/>
      <c r="C507" s="3">
        <f>'1.1'!$C$3</f>
        <v>0</v>
      </c>
      <c r="D507" s="5"/>
      <c r="E507" s="5"/>
      <c r="F507" s="5"/>
      <c r="G507" s="5"/>
      <c r="H507" s="5"/>
      <c r="I507" s="5"/>
    </row>
    <row r="508" spans="1:15" s="4" customFormat="1" ht="15.75" x14ac:dyDescent="0.25">
      <c r="A508" s="103"/>
      <c r="B508" s="34" t="s">
        <v>1697</v>
      </c>
      <c r="C508" s="3"/>
      <c r="D508" s="5"/>
      <c r="E508" s="5"/>
      <c r="F508" s="5"/>
      <c r="G508" s="5"/>
      <c r="H508" s="5"/>
      <c r="I508" s="5"/>
    </row>
    <row r="509" spans="1:15" x14ac:dyDescent="0.25">
      <c r="A509" s="104">
        <v>1</v>
      </c>
      <c r="B509" s="2" t="s">
        <v>1586</v>
      </c>
      <c r="C509" s="111"/>
      <c r="D509" s="5"/>
      <c r="E509" s="4"/>
      <c r="F509" s="4"/>
      <c r="G509" s="5" t="s">
        <v>1696</v>
      </c>
      <c r="H509" s="157" t="s">
        <v>961</v>
      </c>
      <c r="I509" s="2"/>
    </row>
    <row r="510" spans="1:15" s="4" customFormat="1" x14ac:dyDescent="0.25">
      <c r="A510" s="103"/>
      <c r="B510" s="1" t="s">
        <v>1585</v>
      </c>
      <c r="C510" s="36" t="s">
        <v>281</v>
      </c>
      <c r="D510" s="5"/>
      <c r="E510" s="5"/>
      <c r="F510" s="5"/>
      <c r="G510" s="5"/>
      <c r="H510" s="5"/>
      <c r="I510" s="5"/>
    </row>
    <row r="511" spans="1:15" ht="15.75" thickBot="1" x14ac:dyDescent="0.3">
      <c r="D511" s="2"/>
      <c r="E511" s="2"/>
      <c r="F511" s="2"/>
      <c r="G511" s="2"/>
      <c r="H511" s="2"/>
      <c r="I511" s="2"/>
    </row>
    <row r="512" spans="1:15" ht="15.75" thickBot="1" x14ac:dyDescent="0.3">
      <c r="B512" s="43" t="s">
        <v>1695</v>
      </c>
      <c r="C512" s="44"/>
      <c r="D512" s="44"/>
      <c r="E512" s="44"/>
      <c r="F512" s="44"/>
      <c r="G512" s="44"/>
      <c r="H512" s="45"/>
      <c r="I512" s="2"/>
    </row>
    <row r="513" spans="1:9" ht="25.5" x14ac:dyDescent="0.25">
      <c r="B513" s="46" t="s">
        <v>1409</v>
      </c>
      <c r="C513" s="47"/>
      <c r="D513" s="48" t="s">
        <v>1690</v>
      </c>
      <c r="E513" s="48" t="s">
        <v>1694</v>
      </c>
      <c r="F513" s="48" t="s">
        <v>1693</v>
      </c>
      <c r="G513" s="49" t="s">
        <v>1687</v>
      </c>
      <c r="H513" s="50" t="s">
        <v>1686</v>
      </c>
      <c r="I513" s="2"/>
    </row>
    <row r="514" spans="1:9" s="4" customFormat="1" x14ac:dyDescent="0.25">
      <c r="A514" s="103">
        <v>19015</v>
      </c>
      <c r="B514" s="51" t="str">
        <f>IF($A514=0,"",VLOOKUP($A514,'BASE EQUIPO'!$A:$D,2))</f>
        <v>HERRAMIENTA MENOR</v>
      </c>
      <c r="C514" s="52"/>
      <c r="D514" s="53">
        <v>1</v>
      </c>
      <c r="E514" s="53">
        <f>IF($A514=0,"",VLOOKUP($A514,'BASE EQUIPO'!$A:$D,4)*H530)</f>
        <v>0.24509999999999998</v>
      </c>
      <c r="F514" s="53">
        <f t="shared" ref="F514:F519" si="45">IF($A514=0,"",ROUND(D514*E514,2))</f>
        <v>0.25</v>
      </c>
      <c r="G514" s="105">
        <v>1</v>
      </c>
      <c r="H514" s="54">
        <f t="shared" ref="H514:H519" si="46">IF($A514=0,"",ROUND(G514*F514,2))</f>
        <v>0.25</v>
      </c>
      <c r="I514" s="5"/>
    </row>
    <row r="515" spans="1:9" s="4" customFormat="1" x14ac:dyDescent="0.25">
      <c r="A515" s="103">
        <v>19003</v>
      </c>
      <c r="B515" s="38" t="str">
        <f>IF($A515=0,"",VLOOKUP($A515,'BASE EQUIPO'!$A:$D,2))</f>
        <v>CONCRETERA</v>
      </c>
      <c r="C515" s="2"/>
      <c r="D515" s="55">
        <v>1</v>
      </c>
      <c r="E515" s="55">
        <f>IF($A515=0,"",VLOOKUP($A515,'BASE EQUIPO'!$A:$D,4))</f>
        <v>3.5</v>
      </c>
      <c r="F515" s="55">
        <f t="shared" si="45"/>
        <v>3.5</v>
      </c>
      <c r="G515" s="106">
        <f>ROUND(G524*0.5,2)</f>
        <v>0.13</v>
      </c>
      <c r="H515" s="56">
        <f t="shared" si="46"/>
        <v>0.46</v>
      </c>
      <c r="I515" s="5"/>
    </row>
    <row r="516" spans="1:9" s="4" customFormat="1" x14ac:dyDescent="0.25">
      <c r="A516" s="103"/>
      <c r="B516" s="38" t="str">
        <f>IF($A516=0,"",VLOOKUP($A516,'BASE EQUIPO'!$A:$D,2))</f>
        <v/>
      </c>
      <c r="C516" s="2"/>
      <c r="D516" s="55"/>
      <c r="E516" s="55" t="str">
        <f>IF($A516=0,"",VLOOKUP($A516,'BASE EQUIPO'!$A:$D,4))</f>
        <v/>
      </c>
      <c r="F516" s="55" t="str">
        <f t="shared" si="45"/>
        <v/>
      </c>
      <c r="G516" s="106"/>
      <c r="H516" s="56" t="str">
        <f t="shared" si="46"/>
        <v/>
      </c>
      <c r="I516" s="5"/>
    </row>
    <row r="517" spans="1:9" s="4" customFormat="1" x14ac:dyDescent="0.25">
      <c r="A517" s="103"/>
      <c r="B517" s="38" t="str">
        <f>IF($A517=0,"",VLOOKUP($A517,'BASE EQUIPO'!$A:$D,2))</f>
        <v/>
      </c>
      <c r="C517" s="2"/>
      <c r="D517" s="55"/>
      <c r="E517" s="55" t="str">
        <f>IF($A517=0,"",VLOOKUP($A517,'BASE EQUIPO'!$A:$D,4))</f>
        <v/>
      </c>
      <c r="F517" s="55" t="str">
        <f t="shared" si="45"/>
        <v/>
      </c>
      <c r="G517" s="106"/>
      <c r="H517" s="56" t="str">
        <f t="shared" si="46"/>
        <v/>
      </c>
      <c r="I517" s="5"/>
    </row>
    <row r="518" spans="1:9" s="4" customFormat="1" x14ac:dyDescent="0.25">
      <c r="A518" s="103"/>
      <c r="B518" s="38" t="str">
        <f>IF($A518=0,"",VLOOKUP($A518,'BASE EQUIPO'!$A:$D,2))</f>
        <v/>
      </c>
      <c r="C518" s="2"/>
      <c r="D518" s="55"/>
      <c r="E518" s="55" t="str">
        <f>IF($A518=0,"",VLOOKUP($A518,'BASE EQUIPO'!$A:$D,4))</f>
        <v/>
      </c>
      <c r="F518" s="55" t="str">
        <f t="shared" si="45"/>
        <v/>
      </c>
      <c r="G518" s="106"/>
      <c r="H518" s="56" t="str">
        <f t="shared" si="46"/>
        <v/>
      </c>
      <c r="I518" s="5"/>
    </row>
    <row r="519" spans="1:9" s="4" customFormat="1" x14ac:dyDescent="0.25">
      <c r="A519" s="103"/>
      <c r="B519" s="57" t="str">
        <f>IF($A519=0,"",VLOOKUP($A519,'BASE EQUIPO'!$A:$D,2))</f>
        <v/>
      </c>
      <c r="C519" s="58"/>
      <c r="D519" s="59"/>
      <c r="E519" s="59" t="str">
        <f>IF($A519=0,"",VLOOKUP($A519,'BASE EQUIPO'!$A:$D,4))</f>
        <v/>
      </c>
      <c r="F519" s="59" t="str">
        <f t="shared" si="45"/>
        <v/>
      </c>
      <c r="G519" s="107"/>
      <c r="H519" s="60" t="str">
        <f t="shared" si="46"/>
        <v/>
      </c>
      <c r="I519" s="5"/>
    </row>
    <row r="520" spans="1:9" s="4" customFormat="1" x14ac:dyDescent="0.25">
      <c r="A520" s="103"/>
      <c r="B520" s="57" t="s">
        <v>1692</v>
      </c>
      <c r="C520" s="58"/>
      <c r="D520" s="61"/>
      <c r="E520" s="61"/>
      <c r="F520" s="61"/>
      <c r="G520" s="62"/>
      <c r="H520" s="60">
        <f>ROUND(SUM(H513:H519),2)</f>
        <v>0.71</v>
      </c>
      <c r="I520" s="5"/>
    </row>
    <row r="521" spans="1:9" s="4" customFormat="1" x14ac:dyDescent="0.25">
      <c r="A521" s="103"/>
      <c r="B521" s="38" t="s">
        <v>1503</v>
      </c>
      <c r="C521" s="2"/>
      <c r="D521" s="3"/>
      <c r="E521" s="3"/>
      <c r="F521" s="3"/>
      <c r="G521" s="63"/>
      <c r="H521" s="56"/>
      <c r="I521" s="5"/>
    </row>
    <row r="522" spans="1:9" ht="25.5" x14ac:dyDescent="0.25">
      <c r="B522" s="64" t="s">
        <v>1691</v>
      </c>
      <c r="C522" s="65"/>
      <c r="D522" s="66" t="s">
        <v>1690</v>
      </c>
      <c r="E522" s="66" t="s">
        <v>1689</v>
      </c>
      <c r="F522" s="66" t="s">
        <v>1688</v>
      </c>
      <c r="G522" s="67" t="s">
        <v>1687</v>
      </c>
      <c r="H522" s="68" t="s">
        <v>1686</v>
      </c>
      <c r="I522" s="2"/>
    </row>
    <row r="523" spans="1:9" s="4" customFormat="1" x14ac:dyDescent="0.25">
      <c r="A523" s="103">
        <v>20001</v>
      </c>
      <c r="B523" s="69" t="str">
        <f>IF($A523=0,"",VLOOKUP($A523,'BASE M-OBRA'!$A:$D,2))</f>
        <v>MAESTRO</v>
      </c>
      <c r="C523" s="2"/>
      <c r="D523" s="108">
        <v>1</v>
      </c>
      <c r="E523" s="70">
        <f>IF($A523=0,"",VLOOKUP($A523,'BASE M-OBRA'!$A:$D,4))</f>
        <v>3.02</v>
      </c>
      <c r="F523" s="55">
        <f t="shared" ref="F523:F529" si="47">IF($A523=0,"",ROUND(D523*E523,2))</f>
        <v>3.02</v>
      </c>
      <c r="G523" s="106">
        <f>IF($A523=0,"",ROUND(H523/F523,2))</f>
        <v>0.45</v>
      </c>
      <c r="H523" s="56">
        <f>IF($A523=0,"",ROUND(SUM(H524:H529)*'BASE M-OBRA'!$D$23,2))</f>
        <v>1.36</v>
      </c>
      <c r="I523" s="5"/>
    </row>
    <row r="524" spans="1:9" s="4" customFormat="1" x14ac:dyDescent="0.25">
      <c r="A524" s="103">
        <v>20002</v>
      </c>
      <c r="B524" s="69" t="str">
        <f>IF($A524=0,"",VLOOKUP($A524,'BASE M-OBRA'!$A:$D,2))</f>
        <v>PEON</v>
      </c>
      <c r="C524" s="2"/>
      <c r="D524" s="108">
        <v>2</v>
      </c>
      <c r="E524" s="70">
        <f>IF($A524=0,"",VLOOKUP($A524,'BASE M-OBRA'!$A:$D,4))</f>
        <v>2.79</v>
      </c>
      <c r="F524" s="55">
        <f t="shared" si="47"/>
        <v>5.58</v>
      </c>
      <c r="G524" s="106">
        <v>0.25</v>
      </c>
      <c r="H524" s="56">
        <f t="shared" ref="H524:H529" si="48">IF($A524=0,"",ROUND(G524*F524,2))</f>
        <v>1.4</v>
      </c>
      <c r="I524" s="5"/>
    </row>
    <row r="525" spans="1:9" s="4" customFormat="1" x14ac:dyDescent="0.25">
      <c r="A525" s="103">
        <v>20003</v>
      </c>
      <c r="B525" s="69" t="str">
        <f>IF($A525=0,"",VLOOKUP($A525,'BASE M-OBRA'!$A:$D,2))</f>
        <v>ALBAÑIL</v>
      </c>
      <c r="C525" s="2"/>
      <c r="D525" s="108">
        <v>2</v>
      </c>
      <c r="E525" s="70">
        <f>IF($A525=0,"",VLOOKUP($A525,'BASE M-OBRA'!$A:$D,4))</f>
        <v>2.82</v>
      </c>
      <c r="F525" s="55">
        <f t="shared" si="47"/>
        <v>5.64</v>
      </c>
      <c r="G525" s="106">
        <f>+G524</f>
        <v>0.25</v>
      </c>
      <c r="H525" s="56">
        <f t="shared" si="48"/>
        <v>1.41</v>
      </c>
      <c r="I525" s="5"/>
    </row>
    <row r="526" spans="1:9" s="4" customFormat="1" x14ac:dyDescent="0.25">
      <c r="A526" s="103">
        <v>20004</v>
      </c>
      <c r="B526" s="71" t="str">
        <f>IF($A526=0,"",VLOOKUP($A526,'BASE M-OBRA'!$A:$D,2))</f>
        <v>CARPINTERO</v>
      </c>
      <c r="C526" s="2"/>
      <c r="D526" s="108">
        <v>2</v>
      </c>
      <c r="E526" s="70">
        <f>IF($A526=0,"",VLOOKUP($A526,'BASE M-OBRA'!$A:$D,4))</f>
        <v>2.82</v>
      </c>
      <c r="F526" s="55">
        <f t="shared" si="47"/>
        <v>5.64</v>
      </c>
      <c r="G526" s="106">
        <v>0.35</v>
      </c>
      <c r="H526" s="56">
        <f t="shared" si="48"/>
        <v>1.97</v>
      </c>
      <c r="I526" s="5"/>
    </row>
    <row r="527" spans="1:9" s="4" customFormat="1" x14ac:dyDescent="0.25">
      <c r="A527" s="103">
        <v>20005</v>
      </c>
      <c r="B527" s="72" t="str">
        <f>IF($A527=0,"",VLOOKUP($A527,'BASE M-OBRA'!$A:$D,2))</f>
        <v>FIERRERO</v>
      </c>
      <c r="C527" s="2"/>
      <c r="D527" s="108">
        <v>2</v>
      </c>
      <c r="E527" s="70">
        <f>IF($A527=0,"",VLOOKUP($A527,'BASE M-OBRA'!$A:$D,4))</f>
        <v>2.82</v>
      </c>
      <c r="F527" s="55">
        <f t="shared" si="47"/>
        <v>5.64</v>
      </c>
      <c r="G527" s="106">
        <v>0.36</v>
      </c>
      <c r="H527" s="56">
        <f t="shared" si="48"/>
        <v>2.0299999999999998</v>
      </c>
      <c r="I527" s="5"/>
    </row>
    <row r="528" spans="1:9" s="4" customFormat="1" x14ac:dyDescent="0.25">
      <c r="A528" s="103"/>
      <c r="B528" s="38" t="str">
        <f>IF($A528=0,"",VLOOKUP($A528,'BASE M-OBRA'!$A:$D,2))</f>
        <v/>
      </c>
      <c r="C528" s="2"/>
      <c r="D528" s="55"/>
      <c r="E528" s="55" t="str">
        <f>IF($A528=0,"",VLOOKUP($A528,'BASE M-OBRA'!$A:$D,4))</f>
        <v/>
      </c>
      <c r="F528" s="55" t="str">
        <f t="shared" si="47"/>
        <v/>
      </c>
      <c r="G528" s="106"/>
      <c r="H528" s="56" t="str">
        <f t="shared" si="48"/>
        <v/>
      </c>
      <c r="I528" s="5"/>
    </row>
    <row r="529" spans="1:16" s="4" customFormat="1" x14ac:dyDescent="0.25">
      <c r="A529" s="103"/>
      <c r="B529" s="57" t="str">
        <f>IF($A529=0,"",VLOOKUP($A529,'BASE M-OBRA'!$A:$D,2))</f>
        <v/>
      </c>
      <c r="C529" s="58"/>
      <c r="D529" s="59"/>
      <c r="E529" s="59" t="str">
        <f>IF($A529=0,"",VLOOKUP($A529,'BASE M-OBRA'!$A:$D,4))</f>
        <v/>
      </c>
      <c r="F529" s="59" t="str">
        <f t="shared" si="47"/>
        <v/>
      </c>
      <c r="G529" s="107"/>
      <c r="H529" s="60" t="str">
        <f t="shared" si="48"/>
        <v/>
      </c>
      <c r="I529" s="5"/>
    </row>
    <row r="530" spans="1:16" s="4" customFormat="1" x14ac:dyDescent="0.25">
      <c r="A530" s="103"/>
      <c r="B530" s="73" t="s">
        <v>1685</v>
      </c>
      <c r="C530" s="65"/>
      <c r="D530" s="74"/>
      <c r="E530" s="74"/>
      <c r="F530" s="74"/>
      <c r="G530" s="74"/>
      <c r="H530" s="75">
        <f>ROUND(SUM(H522:H529),2)</f>
        <v>8.17</v>
      </c>
      <c r="I530" s="5"/>
    </row>
    <row r="531" spans="1:16" s="4" customFormat="1" x14ac:dyDescent="0.25">
      <c r="A531" s="103"/>
      <c r="B531" s="38" t="s">
        <v>1684</v>
      </c>
      <c r="C531" s="2"/>
      <c r="D531" s="3"/>
      <c r="E531" s="3"/>
      <c r="F531" s="3"/>
      <c r="G531" s="3"/>
      <c r="H531" s="56"/>
      <c r="I531" s="5"/>
    </row>
    <row r="532" spans="1:16" ht="25.5" x14ac:dyDescent="0.25">
      <c r="B532" s="64" t="s">
        <v>1409</v>
      </c>
      <c r="C532" s="65"/>
      <c r="D532" s="76"/>
      <c r="E532" s="66" t="s">
        <v>1408</v>
      </c>
      <c r="F532" s="66" t="s">
        <v>1679</v>
      </c>
      <c r="G532" s="66" t="s">
        <v>1683</v>
      </c>
      <c r="H532" s="68" t="s">
        <v>1675</v>
      </c>
      <c r="I532" s="2"/>
    </row>
    <row r="533" spans="1:16" s="4" customFormat="1" x14ac:dyDescent="0.25">
      <c r="A533" s="103">
        <v>11008</v>
      </c>
      <c r="B533" s="37" t="str">
        <f>IF($A533=0,"",VLOOKUP($A533,'BASE MATERIAL'!$A:$D,2))</f>
        <v>TABLA</v>
      </c>
      <c r="C533" s="2"/>
      <c r="D533" s="77"/>
      <c r="E533" s="78" t="str">
        <f>IF($A533=0,"",VLOOKUP($A533,'BASE MATERIAL'!$A:$D,3))</f>
        <v>U</v>
      </c>
      <c r="F533" s="55">
        <f>ROUND(0.8*5/(4*3),2)</f>
        <v>0.33</v>
      </c>
      <c r="G533" s="55">
        <f>IF($A533=0,"",VLOOKUP($A533,'BASE MATERIAL'!$A:$D,4))</f>
        <v>3.5</v>
      </c>
      <c r="H533" s="56">
        <f t="shared" ref="H533:H547" si="49">IF($A533=0,"",ROUND(F533*G533,2))</f>
        <v>1.1599999999999999</v>
      </c>
      <c r="I533" s="5"/>
      <c r="L533" s="5"/>
      <c r="M533" s="5"/>
      <c r="N533" s="160"/>
      <c r="O533" s="5"/>
      <c r="P533" s="5"/>
    </row>
    <row r="534" spans="1:16" s="4" customFormat="1" x14ac:dyDescent="0.25">
      <c r="A534" s="103">
        <v>11009</v>
      </c>
      <c r="B534" s="38" t="str">
        <f>IF($A534=0,"",VLOOKUP($A534,'BASE MATERIAL'!$A:$D,2))</f>
        <v>CUARTON</v>
      </c>
      <c r="C534" s="2"/>
      <c r="D534" s="77"/>
      <c r="E534" s="78" t="str">
        <f>IF($A534=0,"",VLOOKUP($A534,'BASE MATERIAL'!$A:$D,3))</f>
        <v>U</v>
      </c>
      <c r="F534" s="55">
        <f>ROUND(0.8*8/(4*3),2)</f>
        <v>0.53</v>
      </c>
      <c r="G534" s="55">
        <f>IF($A534=0,"",VLOOKUP($A534,'BASE MATERIAL'!$A:$D,4))</f>
        <v>2.42</v>
      </c>
      <c r="H534" s="56">
        <f t="shared" si="49"/>
        <v>1.28</v>
      </c>
      <c r="I534" s="5"/>
      <c r="L534" s="5"/>
      <c r="M534" s="5"/>
      <c r="N534" s="160"/>
      <c r="O534" s="5"/>
      <c r="P534" s="5"/>
    </row>
    <row r="535" spans="1:16" s="4" customFormat="1" x14ac:dyDescent="0.25">
      <c r="A535" s="103">
        <v>11007</v>
      </c>
      <c r="B535" s="38" t="str">
        <f>IF($A535=0,"",VLOOKUP($A535,'BASE MATERIAL'!$A:$D,2))</f>
        <v>CLAVO 2 1/2"</v>
      </c>
      <c r="C535" s="2"/>
      <c r="D535" s="77"/>
      <c r="E535" s="78" t="str">
        <f>IF($A535=0,"",VLOOKUP($A535,'BASE MATERIAL'!$A:$D,3))</f>
        <v>KG</v>
      </c>
      <c r="F535" s="55">
        <f>ROUND(0.8*56/(178*1.5),2)</f>
        <v>0.17</v>
      </c>
      <c r="G535" s="55">
        <f>IF($A535=0,"",VLOOKUP($A535,'BASE MATERIAL'!$A:$D,4))</f>
        <v>2.6520000000000001</v>
      </c>
      <c r="H535" s="56">
        <f t="shared" si="49"/>
        <v>0.45</v>
      </c>
      <c r="I535" s="5"/>
      <c r="L535" s="5"/>
      <c r="M535" s="5"/>
      <c r="N535" s="160"/>
      <c r="O535" s="5"/>
      <c r="P535" s="5"/>
    </row>
    <row r="536" spans="1:16" s="4" customFormat="1" x14ac:dyDescent="0.25">
      <c r="A536" s="103">
        <v>1001</v>
      </c>
      <c r="B536" s="38" t="str">
        <f>IF($A536=0,"",VLOOKUP($A536,'BASE MATERIAL'!$A:$D,2))</f>
        <v>HIERRO</v>
      </c>
      <c r="C536" s="2"/>
      <c r="D536" s="77"/>
      <c r="E536" s="78" t="str">
        <f>IF($A536=0,"",VLOOKUP($A536,'BASE MATERIAL'!$A:$D,3))</f>
        <v>KG</v>
      </c>
      <c r="F536" s="55">
        <f>4*0.617+11*0.8*0.394</f>
        <v>5.9352</v>
      </c>
      <c r="G536" s="55">
        <f>IF($A536=0,"",VLOOKUP($A536,'BASE MATERIAL'!$A:$D,4))</f>
        <v>1.17</v>
      </c>
      <c r="H536" s="56">
        <f t="shared" si="49"/>
        <v>6.94</v>
      </c>
      <c r="I536" s="5"/>
      <c r="L536" s="5"/>
      <c r="M536" s="5"/>
      <c r="N536" s="160"/>
      <c r="O536" s="5"/>
      <c r="P536" s="5"/>
    </row>
    <row r="537" spans="1:16" s="4" customFormat="1" x14ac:dyDescent="0.25">
      <c r="A537" s="103">
        <v>11002</v>
      </c>
      <c r="B537" s="38" t="str">
        <f>IF($A537=0,"",VLOOKUP($A537,'BASE MATERIAL'!$A:$D,2))</f>
        <v>ALAMBRE #18 RECOCIDO</v>
      </c>
      <c r="C537" s="2"/>
      <c r="D537" s="77"/>
      <c r="E537" s="78" t="str">
        <f>IF($A537=0,"",VLOOKUP($A537,'BASE MATERIAL'!$A:$D,3))</f>
        <v>KG</v>
      </c>
      <c r="F537" s="55">
        <f>ROUND(F536*0.02,2)</f>
        <v>0.12</v>
      </c>
      <c r="G537" s="55">
        <f>IF($A537=0,"",VLOOKUP($A537,'BASE MATERIAL'!$A:$D,4))</f>
        <v>1.87</v>
      </c>
      <c r="H537" s="56">
        <f t="shared" si="49"/>
        <v>0.22</v>
      </c>
      <c r="I537" s="5"/>
      <c r="L537" s="5"/>
      <c r="M537" s="5"/>
      <c r="N537" s="160"/>
      <c r="O537" s="5"/>
      <c r="P537" s="5"/>
    </row>
    <row r="538" spans="1:16" s="4" customFormat="1" x14ac:dyDescent="0.25">
      <c r="A538" s="103">
        <v>4001</v>
      </c>
      <c r="B538" s="38" t="str">
        <f>IF($A538=0,"",VLOOKUP($A538,'BASE MATERIAL'!$A:$D,2))</f>
        <v>CEMENTO</v>
      </c>
      <c r="C538" s="2"/>
      <c r="D538" s="77"/>
      <c r="E538" s="78" t="str">
        <f>IF($A538=0,"",VLOOKUP($A538,'BASE MATERIAL'!$A:$D,3))</f>
        <v>SACO</v>
      </c>
      <c r="F538" s="55">
        <f>ROUND(7*0.19*0.2,2)</f>
        <v>0.27</v>
      </c>
      <c r="G538" s="55">
        <f>IF($A538=0,"",VLOOKUP($A538,'BASE MATERIAL'!$A:$D,4))</f>
        <v>7.09</v>
      </c>
      <c r="H538" s="56">
        <f t="shared" si="49"/>
        <v>1.91</v>
      </c>
      <c r="I538" s="5"/>
      <c r="L538" s="5"/>
      <c r="M538" s="5"/>
      <c r="N538" s="160"/>
      <c r="O538" s="5"/>
      <c r="P538" s="5"/>
    </row>
    <row r="539" spans="1:16" s="4" customFormat="1" x14ac:dyDescent="0.25">
      <c r="A539" s="103">
        <v>5004</v>
      </c>
      <c r="B539" s="38" t="str">
        <f>IF($A539=0,"",VLOOKUP($A539,'BASE MATERIAL'!$A:$D,2))</f>
        <v>ARENA</v>
      </c>
      <c r="C539" s="2"/>
      <c r="D539" s="77"/>
      <c r="E539" s="78" t="str">
        <f>IF($A539=0,"",VLOOKUP($A539,'BASE MATERIAL'!$A:$D,3))</f>
        <v>M3</v>
      </c>
      <c r="F539" s="55">
        <f>ROUND(F538*0.032*2,2)</f>
        <v>0.02</v>
      </c>
      <c r="G539" s="55">
        <f>IF($A539=0,"",VLOOKUP($A539,'BASE MATERIAL'!$A:$D,4))</f>
        <v>12.276249999999999</v>
      </c>
      <c r="H539" s="56">
        <f t="shared" si="49"/>
        <v>0.25</v>
      </c>
      <c r="I539" s="5"/>
      <c r="L539" s="5"/>
      <c r="M539" s="5"/>
      <c r="N539" s="160"/>
      <c r="O539" s="5"/>
      <c r="P539" s="5"/>
    </row>
    <row r="540" spans="1:16" s="4" customFormat="1" x14ac:dyDescent="0.25">
      <c r="A540" s="103">
        <v>5002</v>
      </c>
      <c r="B540" s="38" t="str">
        <f>IF($A540=0,"",VLOOKUP($A540,'BASE MATERIAL'!$A:$D,2))</f>
        <v>PIEDRA 3-4</v>
      </c>
      <c r="C540" s="2"/>
      <c r="D540" s="77"/>
      <c r="E540" s="78" t="str">
        <f>IF($A540=0,"",VLOOKUP($A540,'BASE MATERIAL'!$A:$D,3))</f>
        <v>M3</v>
      </c>
      <c r="F540" s="55">
        <f>ROUND(F538*0.032*3,2)</f>
        <v>0.03</v>
      </c>
      <c r="G540" s="55">
        <f>IF($A540=0,"",VLOOKUP($A540,'BASE MATERIAL'!$A:$D,4))</f>
        <v>13.75</v>
      </c>
      <c r="H540" s="56">
        <f t="shared" si="49"/>
        <v>0.41</v>
      </c>
      <c r="I540" s="5"/>
      <c r="L540" s="5"/>
      <c r="M540" s="5"/>
      <c r="N540" s="160"/>
      <c r="O540" s="5"/>
      <c r="P540" s="5"/>
    </row>
    <row r="541" spans="1:16" s="4" customFormat="1" x14ac:dyDescent="0.25">
      <c r="A541" s="103">
        <v>5005</v>
      </c>
      <c r="B541" s="38" t="str">
        <f>IF($A541=0,"",VLOOKUP($A541,'BASE MATERIAL'!$A:$D,2))</f>
        <v>AGUA</v>
      </c>
      <c r="C541" s="2"/>
      <c r="D541" s="77"/>
      <c r="E541" s="78" t="str">
        <f>IF($A541=0,"",VLOOKUP($A541,'BASE MATERIAL'!$A:$D,3))</f>
        <v>LT</v>
      </c>
      <c r="F541" s="55">
        <f>ROUND(26*F538,2)</f>
        <v>7.02</v>
      </c>
      <c r="G541" s="80">
        <f>IF($A541=0,"",VLOOKUP($A541,'BASE MATERIAL'!$A:$D,4))</f>
        <v>2E-3</v>
      </c>
      <c r="H541" s="56">
        <f t="shared" si="49"/>
        <v>0.01</v>
      </c>
      <c r="I541" s="5"/>
    </row>
    <row r="542" spans="1:16" s="4" customFormat="1" x14ac:dyDescent="0.25">
      <c r="A542" s="103"/>
      <c r="B542" s="38" t="str">
        <f>IF($A542=0,"",VLOOKUP($A542,'BASE MATERIAL'!$A:$D,2))</f>
        <v/>
      </c>
      <c r="C542" s="2"/>
      <c r="D542" s="77"/>
      <c r="E542" s="78" t="str">
        <f>IF($A542=0,"",VLOOKUP($A542,'BASE MATERIAL'!$A:$D,3))</f>
        <v/>
      </c>
      <c r="F542" s="55"/>
      <c r="G542" s="55" t="str">
        <f>IF($A542=0,"",VLOOKUP($A542,'BASE MATERIAL'!$A:$D,4))</f>
        <v/>
      </c>
      <c r="H542" s="56" t="str">
        <f t="shared" si="49"/>
        <v/>
      </c>
      <c r="I542" s="5"/>
      <c r="L542" s="5"/>
      <c r="M542" s="5"/>
      <c r="N542" s="160"/>
      <c r="O542" s="5"/>
      <c r="P542" s="5"/>
    </row>
    <row r="543" spans="1:16" s="4" customFormat="1" x14ac:dyDescent="0.25">
      <c r="A543" s="103"/>
      <c r="B543" s="38" t="str">
        <f>IF($A543=0,"",VLOOKUP($A543,'BASE MATERIAL'!$A:$D,2))</f>
        <v/>
      </c>
      <c r="C543" s="2"/>
      <c r="D543" s="77"/>
      <c r="E543" s="78" t="str">
        <f>IF($A543=0,"",VLOOKUP($A543,'BASE MATERIAL'!$A:$D,3))</f>
        <v/>
      </c>
      <c r="F543" s="55"/>
      <c r="G543" s="55" t="str">
        <f>IF($A543=0,"",VLOOKUP($A543,'BASE MATERIAL'!$A:$D,4))</f>
        <v/>
      </c>
      <c r="H543" s="56" t="str">
        <f t="shared" si="49"/>
        <v/>
      </c>
      <c r="I543" s="5"/>
      <c r="L543" s="5"/>
      <c r="M543" s="5"/>
      <c r="N543" s="160"/>
      <c r="O543" s="5"/>
      <c r="P543" s="5"/>
    </row>
    <row r="544" spans="1:16" s="4" customFormat="1" x14ac:dyDescent="0.25">
      <c r="A544" s="103"/>
      <c r="B544" s="38" t="str">
        <f>IF($A544=0,"",VLOOKUP($A544,'BASE MATERIAL'!$A:$D,2))</f>
        <v/>
      </c>
      <c r="C544" s="2"/>
      <c r="D544" s="77"/>
      <c r="E544" s="78" t="str">
        <f>IF($A544=0,"",VLOOKUP($A544,'BASE MATERIAL'!$A:$D,3))</f>
        <v/>
      </c>
      <c r="F544" s="55"/>
      <c r="G544" s="55" t="str">
        <f>IF($A544=0,"",VLOOKUP($A544,'BASE MATERIAL'!$A:$D,4))</f>
        <v/>
      </c>
      <c r="H544" s="56" t="str">
        <f t="shared" si="49"/>
        <v/>
      </c>
      <c r="I544" s="5"/>
    </row>
    <row r="545" spans="1:9" s="4" customFormat="1" x14ac:dyDescent="0.25">
      <c r="A545" s="103"/>
      <c r="B545" s="38" t="str">
        <f>IF($A545=0,"",VLOOKUP($A545,'BASE MATERIAL'!$A:$D,2))</f>
        <v/>
      </c>
      <c r="C545" s="2"/>
      <c r="D545" s="77"/>
      <c r="E545" s="78" t="str">
        <f>IF($A545=0,"",VLOOKUP($A545,'BASE MATERIAL'!$A:$D,3))</f>
        <v/>
      </c>
      <c r="F545" s="55"/>
      <c r="G545" s="55" t="str">
        <f>IF($A545=0,"",VLOOKUP($A545,'BASE MATERIAL'!$A:$D,4))</f>
        <v/>
      </c>
      <c r="H545" s="56" t="str">
        <f t="shared" si="49"/>
        <v/>
      </c>
      <c r="I545" s="5"/>
    </row>
    <row r="546" spans="1:9" s="4" customFormat="1" x14ac:dyDescent="0.25">
      <c r="A546" s="103"/>
      <c r="B546" s="38" t="str">
        <f>IF($A546=0,"",VLOOKUP($A546,'BASE MATERIAL'!$A:$D,2))</f>
        <v/>
      </c>
      <c r="C546" s="2"/>
      <c r="D546" s="77"/>
      <c r="E546" s="78" t="str">
        <f>IF($A546=0,"",VLOOKUP($A546,'BASE MATERIAL'!$A:$D,3))</f>
        <v/>
      </c>
      <c r="F546" s="55"/>
      <c r="G546" s="55" t="str">
        <f>IF($A546=0,"",VLOOKUP($A546,'BASE MATERIAL'!$A:$D,4))</f>
        <v/>
      </c>
      <c r="H546" s="56" t="str">
        <f t="shared" si="49"/>
        <v/>
      </c>
      <c r="I546" s="5"/>
    </row>
    <row r="547" spans="1:9" s="4" customFormat="1" x14ac:dyDescent="0.25">
      <c r="A547" s="103"/>
      <c r="B547" s="38" t="str">
        <f>IF($A547=0,"",VLOOKUP($A547,'BASE MATERIAL'!$A:$D,2))</f>
        <v/>
      </c>
      <c r="C547" s="2"/>
      <c r="D547" s="77"/>
      <c r="E547" s="78" t="str">
        <f>IF($A547=0,"",VLOOKUP($A547,'BASE MATERIAL'!$A:$D,3))</f>
        <v/>
      </c>
      <c r="F547" s="55"/>
      <c r="G547" s="55" t="str">
        <f>IF($A547=0,"",VLOOKUP($A547,'BASE MATERIAL'!$A:$D,4))</f>
        <v/>
      </c>
      <c r="H547" s="56" t="str">
        <f t="shared" si="49"/>
        <v/>
      </c>
      <c r="I547" s="5"/>
    </row>
    <row r="548" spans="1:9" s="4" customFormat="1" x14ac:dyDescent="0.25">
      <c r="A548" s="103"/>
      <c r="B548" s="38" t="str">
        <f>IF($A548=0,"",VLOOKUP($A548,'BASE MATERIAL'!$A:$D,2))</f>
        <v/>
      </c>
      <c r="C548" s="2"/>
      <c r="D548" s="81" t="s">
        <v>1682</v>
      </c>
      <c r="E548" s="55" t="str">
        <f>IF($A548=0,"",VLOOKUP($A548,'BASE MATERIAL'!$A:$D,3))</f>
        <v/>
      </c>
      <c r="F548" s="55" t="s">
        <v>1682</v>
      </c>
      <c r="G548" s="55" t="str">
        <f>IF($A548=0,"",VLOOKUP($A548,'BASE MATERIAL'!$A:$D,4))</f>
        <v/>
      </c>
      <c r="H548" s="56" t="str">
        <f>IF($A548=0,"",ROUND(E548*F548,2))</f>
        <v/>
      </c>
      <c r="I548" s="5"/>
    </row>
    <row r="549" spans="1:9" s="4" customFormat="1" x14ac:dyDescent="0.25">
      <c r="A549" s="103"/>
      <c r="B549" s="73" t="s">
        <v>1681</v>
      </c>
      <c r="C549" s="65"/>
      <c r="D549" s="74"/>
      <c r="E549" s="74"/>
      <c r="F549" s="74"/>
      <c r="G549" s="74"/>
      <c r="H549" s="75">
        <f>ROUND(SUM(H532:H548),2)</f>
        <v>12.63</v>
      </c>
      <c r="I549" s="5"/>
    </row>
    <row r="550" spans="1:9" s="4" customFormat="1" x14ac:dyDescent="0.25">
      <c r="A550" s="103"/>
      <c r="B550" s="38" t="s">
        <v>1680</v>
      </c>
      <c r="C550" s="2"/>
      <c r="D550" s="3"/>
      <c r="E550" s="3"/>
      <c r="F550" s="3"/>
      <c r="G550" s="3"/>
      <c r="H550" s="56"/>
      <c r="I550" s="5"/>
    </row>
    <row r="551" spans="1:9" ht="25.5" x14ac:dyDescent="0.25">
      <c r="B551" s="64" t="s">
        <v>1409</v>
      </c>
      <c r="C551" s="65"/>
      <c r="D551" s="76"/>
      <c r="E551" s="66" t="s">
        <v>1408</v>
      </c>
      <c r="F551" s="66" t="s">
        <v>1679</v>
      </c>
      <c r="G551" s="66" t="s">
        <v>1676</v>
      </c>
      <c r="H551" s="68" t="s">
        <v>1675</v>
      </c>
      <c r="I551" s="2"/>
    </row>
    <row r="552" spans="1:9" s="4" customFormat="1" x14ac:dyDescent="0.25">
      <c r="A552" s="103">
        <v>19019</v>
      </c>
      <c r="B552" s="51" t="str">
        <f>IF($A552=0,"",VLOOKUP($A552,'BASE EQUIPO'!$A:$D,2))</f>
        <v>TRANSPORTE DE MATERIAL</v>
      </c>
      <c r="C552" s="52"/>
      <c r="D552" s="82"/>
      <c r="E552" s="78" t="str">
        <f>IF($A552=0,"",VLOOKUP($A552,'BASE EQUIPO'!$A:$D,3))</f>
        <v>GLOBAL</v>
      </c>
      <c r="F552" s="55">
        <v>1</v>
      </c>
      <c r="G552" s="83">
        <f>IF($A552=0,"",VLOOKUP($A552,'BASE EQUIPO'!$A:$D,4)*H549)</f>
        <v>0.37890000000000001</v>
      </c>
      <c r="H552" s="56">
        <f>IF($A552=0,"",ROUND(F552*G552,2))</f>
        <v>0.38</v>
      </c>
      <c r="I552" s="5"/>
    </row>
    <row r="553" spans="1:9" s="4" customFormat="1" x14ac:dyDescent="0.25">
      <c r="A553" s="103"/>
      <c r="B553" s="38" t="str">
        <f>IF($A553=0,"",VLOOKUP($A553,'BASE EQUIPO'!$A:$D,2))</f>
        <v/>
      </c>
      <c r="C553" s="2"/>
      <c r="D553" s="84"/>
      <c r="E553" s="78" t="str">
        <f>IF($A553=0,"",VLOOKUP($A553,'BASE EQUIPO'!$A:$D,3))</f>
        <v/>
      </c>
      <c r="F553" s="55"/>
      <c r="G553" s="55" t="str">
        <f>IF($A553=0,"",VLOOKUP($A553,'BASE EQUIPO'!$A:$D,4)*H550)</f>
        <v/>
      </c>
      <c r="H553" s="56" t="str">
        <f>IF($A553=0,"",ROUND(F553*G553,2))</f>
        <v/>
      </c>
      <c r="I553" s="5"/>
    </row>
    <row r="554" spans="1:9" s="4" customFormat="1" x14ac:dyDescent="0.25">
      <c r="A554" s="103"/>
      <c r="B554" s="57" t="str">
        <f>IF($A554=0,"",VLOOKUP($A554,'BASE EQUIPO'!$A:$D,2))</f>
        <v/>
      </c>
      <c r="C554" s="58"/>
      <c r="D554" s="85"/>
      <c r="E554" s="86" t="str">
        <f>IF($A554=0,"",VLOOKUP($A554,'BASE EQUIPO'!$A:$D,3))</f>
        <v/>
      </c>
      <c r="F554" s="59"/>
      <c r="G554" s="59" t="str">
        <f>IF($A554=0,"",VLOOKUP($A554,'BASE EQUIPO'!$A:$D,4)*H551)</f>
        <v/>
      </c>
      <c r="H554" s="60" t="str">
        <f>IF($A554=0,"",ROUND(F554*G554,2))</f>
        <v/>
      </c>
      <c r="I554" s="5"/>
    </row>
    <row r="555" spans="1:9" s="4" customFormat="1" ht="15.75" thickBot="1" x14ac:dyDescent="0.3">
      <c r="A555" s="103"/>
      <c r="B555" s="87" t="s">
        <v>1674</v>
      </c>
      <c r="C555" s="88"/>
      <c r="D555" s="89"/>
      <c r="E555" s="89"/>
      <c r="F555" s="89"/>
      <c r="G555" s="89"/>
      <c r="H555" s="90">
        <f>ROUND(SUM(H551:H554),2)</f>
        <v>0.38</v>
      </c>
      <c r="I555" s="5"/>
    </row>
    <row r="556" spans="1:9" s="4" customFormat="1" ht="15.75" x14ac:dyDescent="0.25">
      <c r="A556" s="103"/>
      <c r="B556" s="2"/>
      <c r="C556" s="2"/>
      <c r="D556" s="91" t="s">
        <v>1673</v>
      </c>
      <c r="E556" s="177"/>
      <c r="F556" s="177"/>
      <c r="G556" s="177"/>
      <c r="H556" s="92">
        <f>ROUND(SUM(H555,H549,H530,H520),2)</f>
        <v>21.89</v>
      </c>
      <c r="I556" s="5"/>
    </row>
    <row r="557" spans="1:9" s="4" customFormat="1" ht="15.75" x14ac:dyDescent="0.25">
      <c r="A557" s="103">
        <v>40002</v>
      </c>
      <c r="B557" s="2"/>
      <c r="C557" s="2"/>
      <c r="D557" s="93" t="s">
        <v>1672</v>
      </c>
      <c r="E557" s="166"/>
      <c r="F557" s="166"/>
      <c r="G557" s="178">
        <f>IF($A557=0,"",VLOOKUP($A557,'BASE MATERIAL'!$M:$P,4))</f>
        <v>0</v>
      </c>
      <c r="H557" s="95">
        <f>IF($A557=0,"",ROUND(G557*H556,2))</f>
        <v>0</v>
      </c>
      <c r="I557" s="5"/>
    </row>
    <row r="558" spans="1:9" s="4" customFormat="1" ht="15.75" x14ac:dyDescent="0.25">
      <c r="A558" s="103">
        <v>40003</v>
      </c>
      <c r="B558" s="2"/>
      <c r="C558" s="2"/>
      <c r="D558" s="93" t="s">
        <v>1671</v>
      </c>
      <c r="E558" s="166"/>
      <c r="F558" s="166"/>
      <c r="G558" s="178">
        <f>IF($A558=0,"",VLOOKUP($A558,'BASE MATERIAL'!$M:$P,4))</f>
        <v>0</v>
      </c>
      <c r="H558" s="95">
        <f>IF($A558=0,"",ROUND(G558*H556,2))</f>
        <v>0</v>
      </c>
      <c r="I558" s="5"/>
    </row>
    <row r="559" spans="1:9" s="4" customFormat="1" ht="15.75" x14ac:dyDescent="0.25">
      <c r="A559" s="103"/>
      <c r="B559" s="2"/>
      <c r="C559" s="2"/>
      <c r="D559" s="93" t="s">
        <v>1670</v>
      </c>
      <c r="E559" s="166"/>
      <c r="F559" s="166"/>
      <c r="G559" s="166"/>
      <c r="H559" s="96">
        <f>ROUND(SUM(H556:H558),2)</f>
        <v>21.89</v>
      </c>
      <c r="I559" s="5"/>
    </row>
    <row r="560" spans="1:9" s="4" customFormat="1" ht="16.5" thickBot="1" x14ac:dyDescent="0.3">
      <c r="A560" s="103"/>
      <c r="B560" s="25"/>
      <c r="C560" s="5"/>
      <c r="D560" s="97" t="s">
        <v>1650</v>
      </c>
      <c r="E560" s="179"/>
      <c r="F560" s="179"/>
      <c r="G560" s="179"/>
      <c r="H560" s="98">
        <f>ROUND(H559,2)</f>
        <v>21.89</v>
      </c>
      <c r="I560" s="5"/>
    </row>
    <row r="561" spans="1:15" ht="15.75" x14ac:dyDescent="0.25">
      <c r="B561" s="34" t="s">
        <v>1701</v>
      </c>
      <c r="C561" s="5"/>
      <c r="D561" s="157" t="str">
        <f>$D$113</f>
        <v>ESPOL</v>
      </c>
      <c r="E561" s="2"/>
      <c r="F561" s="2"/>
      <c r="H561" s="2" t="s">
        <v>108</v>
      </c>
      <c r="I561" s="2"/>
      <c r="L561" s="40">
        <f>A565</f>
        <v>1</v>
      </c>
      <c r="M561" s="2" t="str">
        <f>C566</f>
        <v>Pilaretes h. armado   14x20cm</v>
      </c>
      <c r="N561" s="2" t="str">
        <f>H565</f>
        <v>ml</v>
      </c>
      <c r="O561" s="2">
        <f>H616</f>
        <v>20.239999999999998</v>
      </c>
    </row>
    <row r="562" spans="1:15" s="4" customFormat="1" ht="15.75" x14ac:dyDescent="0.25">
      <c r="A562" s="103"/>
      <c r="B562" s="34" t="s">
        <v>1700</v>
      </c>
      <c r="C562" s="3">
        <f>'1.1'!$C$2</f>
        <v>0</v>
      </c>
      <c r="D562" s="5"/>
      <c r="E562" s="5"/>
      <c r="F562" s="5"/>
      <c r="G562" s="158" t="s">
        <v>1699</v>
      </c>
      <c r="H562" s="159"/>
      <c r="I562" s="5" t="s">
        <v>1698</v>
      </c>
    </row>
    <row r="563" spans="1:15" s="4" customFormat="1" ht="15.75" x14ac:dyDescent="0.25">
      <c r="A563" s="103"/>
      <c r="B563" s="34"/>
      <c r="C563" s="3">
        <f>'1.1'!$C$3</f>
        <v>0</v>
      </c>
      <c r="D563" s="5"/>
      <c r="E563" s="5"/>
      <c r="F563" s="5"/>
      <c r="G563" s="5"/>
      <c r="H563" s="5"/>
      <c r="I563" s="5"/>
    </row>
    <row r="564" spans="1:15" s="4" customFormat="1" ht="15.75" x14ac:dyDescent="0.25">
      <c r="A564" s="103"/>
      <c r="B564" s="34" t="s">
        <v>1697</v>
      </c>
      <c r="C564" s="3"/>
      <c r="D564" s="5"/>
      <c r="E564" s="5"/>
      <c r="F564" s="5"/>
      <c r="G564" s="5"/>
      <c r="H564" s="5"/>
      <c r="I564" s="5"/>
    </row>
    <row r="565" spans="1:15" x14ac:dyDescent="0.25">
      <c r="A565" s="104">
        <v>1</v>
      </c>
      <c r="B565" s="2" t="s">
        <v>1586</v>
      </c>
      <c r="C565" s="111"/>
      <c r="D565" s="5"/>
      <c r="E565" s="4"/>
      <c r="F565" s="4"/>
      <c r="G565" s="5" t="s">
        <v>1696</v>
      </c>
      <c r="H565" s="157" t="s">
        <v>961</v>
      </c>
      <c r="I565" s="2"/>
    </row>
    <row r="566" spans="1:15" s="4" customFormat="1" x14ac:dyDescent="0.25">
      <c r="A566" s="103"/>
      <c r="B566" s="1" t="s">
        <v>1585</v>
      </c>
      <c r="C566" s="36" t="s">
        <v>282</v>
      </c>
      <c r="D566" s="5"/>
      <c r="E566" s="5"/>
      <c r="F566" s="5"/>
      <c r="G566" s="5"/>
      <c r="H566" s="5"/>
      <c r="I566" s="5"/>
    </row>
    <row r="567" spans="1:15" ht="15.75" thickBot="1" x14ac:dyDescent="0.3">
      <c r="D567" s="2"/>
      <c r="E567" s="2"/>
      <c r="F567" s="2"/>
      <c r="G567" s="2"/>
      <c r="H567" s="2"/>
      <c r="I567" s="2"/>
    </row>
    <row r="568" spans="1:15" ht="15.75" thickBot="1" x14ac:dyDescent="0.3">
      <c r="B568" s="43" t="s">
        <v>1695</v>
      </c>
      <c r="C568" s="44"/>
      <c r="D568" s="44"/>
      <c r="E568" s="44"/>
      <c r="F568" s="44"/>
      <c r="G568" s="44"/>
      <c r="H568" s="45"/>
      <c r="I568" s="2"/>
    </row>
    <row r="569" spans="1:15" ht="25.5" x14ac:dyDescent="0.25">
      <c r="B569" s="46" t="s">
        <v>1409</v>
      </c>
      <c r="C569" s="47"/>
      <c r="D569" s="48" t="s">
        <v>1690</v>
      </c>
      <c r="E569" s="48" t="s">
        <v>1694</v>
      </c>
      <c r="F569" s="48" t="s">
        <v>1693</v>
      </c>
      <c r="G569" s="49" t="s">
        <v>1687</v>
      </c>
      <c r="H569" s="50" t="s">
        <v>1686</v>
      </c>
      <c r="I569" s="2"/>
    </row>
    <row r="570" spans="1:15" s="4" customFormat="1" x14ac:dyDescent="0.25">
      <c r="A570" s="103">
        <v>19015</v>
      </c>
      <c r="B570" s="51" t="str">
        <f>IF($A570=0,"",VLOOKUP($A570,'BASE EQUIPO'!$A:$D,2))</f>
        <v>HERRAMIENTA MENOR</v>
      </c>
      <c r="C570" s="52"/>
      <c r="D570" s="53">
        <v>1</v>
      </c>
      <c r="E570" s="53">
        <f>IF($A570=0,"",VLOOKUP($A570,'BASE EQUIPO'!$A:$D,4)*H586)</f>
        <v>0.23070000000000002</v>
      </c>
      <c r="F570" s="53">
        <f t="shared" ref="F570:F575" si="50">IF($A570=0,"",ROUND(D570*E570,2))</f>
        <v>0.23</v>
      </c>
      <c r="G570" s="105">
        <v>1</v>
      </c>
      <c r="H570" s="54">
        <f t="shared" ref="H570:H575" si="51">IF($A570=0,"",ROUND(G570*F570,2))</f>
        <v>0.23</v>
      </c>
      <c r="I570" s="5"/>
    </row>
    <row r="571" spans="1:15" s="4" customFormat="1" x14ac:dyDescent="0.25">
      <c r="A571" s="103">
        <v>19003</v>
      </c>
      <c r="B571" s="38" t="str">
        <f>IF($A571=0,"",VLOOKUP($A571,'BASE EQUIPO'!$A:$D,2))</f>
        <v>CONCRETERA</v>
      </c>
      <c r="C571" s="2"/>
      <c r="D571" s="55">
        <v>1</v>
      </c>
      <c r="E571" s="55">
        <f>IF($A571=0,"",VLOOKUP($A571,'BASE EQUIPO'!$A:$D,4))</f>
        <v>3.5</v>
      </c>
      <c r="F571" s="55">
        <f t="shared" si="50"/>
        <v>3.5</v>
      </c>
      <c r="G571" s="106">
        <f>ROUND(G580*0.5,2)</f>
        <v>0.12</v>
      </c>
      <c r="H571" s="56">
        <f t="shared" si="51"/>
        <v>0.42</v>
      </c>
      <c r="I571" s="5"/>
    </row>
    <row r="572" spans="1:15" s="4" customFormat="1" x14ac:dyDescent="0.25">
      <c r="A572" s="103"/>
      <c r="B572" s="38" t="str">
        <f>IF($A572=0,"",VLOOKUP($A572,'BASE EQUIPO'!$A:$D,2))</f>
        <v/>
      </c>
      <c r="C572" s="2"/>
      <c r="D572" s="55"/>
      <c r="E572" s="55" t="str">
        <f>IF($A572=0,"",VLOOKUP($A572,'BASE EQUIPO'!$A:$D,4))</f>
        <v/>
      </c>
      <c r="F572" s="55" t="str">
        <f t="shared" si="50"/>
        <v/>
      </c>
      <c r="G572" s="106"/>
      <c r="H572" s="56" t="str">
        <f t="shared" si="51"/>
        <v/>
      </c>
      <c r="I572" s="5"/>
    </row>
    <row r="573" spans="1:15" s="4" customFormat="1" x14ac:dyDescent="0.25">
      <c r="A573" s="103"/>
      <c r="B573" s="38" t="str">
        <f>IF($A573=0,"",VLOOKUP($A573,'BASE EQUIPO'!$A:$D,2))</f>
        <v/>
      </c>
      <c r="C573" s="2"/>
      <c r="D573" s="55"/>
      <c r="E573" s="55" t="str">
        <f>IF($A573=0,"",VLOOKUP($A573,'BASE EQUIPO'!$A:$D,4))</f>
        <v/>
      </c>
      <c r="F573" s="55" t="str">
        <f t="shared" si="50"/>
        <v/>
      </c>
      <c r="G573" s="106"/>
      <c r="H573" s="56" t="str">
        <f t="shared" si="51"/>
        <v/>
      </c>
      <c r="I573" s="5"/>
    </row>
    <row r="574" spans="1:15" s="4" customFormat="1" x14ac:dyDescent="0.25">
      <c r="A574" s="103"/>
      <c r="B574" s="38" t="str">
        <f>IF($A574=0,"",VLOOKUP($A574,'BASE EQUIPO'!$A:$D,2))</f>
        <v/>
      </c>
      <c r="C574" s="2"/>
      <c r="D574" s="55"/>
      <c r="E574" s="55" t="str">
        <f>IF($A574=0,"",VLOOKUP($A574,'BASE EQUIPO'!$A:$D,4))</f>
        <v/>
      </c>
      <c r="F574" s="55" t="str">
        <f t="shared" si="50"/>
        <v/>
      </c>
      <c r="G574" s="106"/>
      <c r="H574" s="56" t="str">
        <f t="shared" si="51"/>
        <v/>
      </c>
      <c r="I574" s="5"/>
    </row>
    <row r="575" spans="1:15" s="4" customFormat="1" x14ac:dyDescent="0.25">
      <c r="A575" s="103"/>
      <c r="B575" s="57" t="str">
        <f>IF($A575=0,"",VLOOKUP($A575,'BASE EQUIPO'!$A:$D,2))</f>
        <v/>
      </c>
      <c r="C575" s="58"/>
      <c r="D575" s="59"/>
      <c r="E575" s="59" t="str">
        <f>IF($A575=0,"",VLOOKUP($A575,'BASE EQUIPO'!$A:$D,4))</f>
        <v/>
      </c>
      <c r="F575" s="59" t="str">
        <f t="shared" si="50"/>
        <v/>
      </c>
      <c r="G575" s="107"/>
      <c r="H575" s="60" t="str">
        <f t="shared" si="51"/>
        <v/>
      </c>
      <c r="I575" s="5"/>
    </row>
    <row r="576" spans="1:15" s="4" customFormat="1" x14ac:dyDescent="0.25">
      <c r="A576" s="103"/>
      <c r="B576" s="57" t="s">
        <v>1692</v>
      </c>
      <c r="C576" s="58"/>
      <c r="D576" s="61"/>
      <c r="E576" s="61"/>
      <c r="F576" s="61"/>
      <c r="G576" s="62"/>
      <c r="H576" s="60">
        <f>ROUND(SUM(H569:H575),2)</f>
        <v>0.65</v>
      </c>
      <c r="I576" s="5"/>
    </row>
    <row r="577" spans="1:16" s="4" customFormat="1" x14ac:dyDescent="0.25">
      <c r="A577" s="103"/>
      <c r="B577" s="38" t="s">
        <v>1503</v>
      </c>
      <c r="C577" s="2"/>
      <c r="D577" s="3"/>
      <c r="E577" s="3"/>
      <c r="F577" s="3"/>
      <c r="G577" s="63"/>
      <c r="H577" s="56"/>
      <c r="I577" s="5"/>
    </row>
    <row r="578" spans="1:16" ht="25.5" x14ac:dyDescent="0.25">
      <c r="B578" s="64" t="s">
        <v>1691</v>
      </c>
      <c r="C578" s="65"/>
      <c r="D578" s="66" t="s">
        <v>1690</v>
      </c>
      <c r="E578" s="66" t="s">
        <v>1689</v>
      </c>
      <c r="F578" s="66" t="s">
        <v>1688</v>
      </c>
      <c r="G578" s="67" t="s">
        <v>1687</v>
      </c>
      <c r="H578" s="68" t="s">
        <v>1686</v>
      </c>
      <c r="I578" s="2"/>
    </row>
    <row r="579" spans="1:16" s="4" customFormat="1" x14ac:dyDescent="0.25">
      <c r="A579" s="103">
        <v>20001</v>
      </c>
      <c r="B579" s="69" t="str">
        <f>IF($A579=0,"",VLOOKUP($A579,'BASE M-OBRA'!$A:$D,2))</f>
        <v>MAESTRO</v>
      </c>
      <c r="C579" s="2"/>
      <c r="D579" s="108">
        <v>1</v>
      </c>
      <c r="E579" s="70">
        <f>IF($A579=0,"",VLOOKUP($A579,'BASE M-OBRA'!$A:$D,4))</f>
        <v>3.02</v>
      </c>
      <c r="F579" s="55">
        <f t="shared" ref="F579:F585" si="52">IF($A579=0,"",ROUND(D579*E579,2))</f>
        <v>3.02</v>
      </c>
      <c r="G579" s="106">
        <f>IF($A579=0,"",ROUND(H579/F579,2))</f>
        <v>0.42</v>
      </c>
      <c r="H579" s="56">
        <f>IF($A579=0,"",ROUND(SUM(H580:H585)*'BASE M-OBRA'!$D$23,2))</f>
        <v>1.28</v>
      </c>
      <c r="I579" s="5"/>
    </row>
    <row r="580" spans="1:16" s="4" customFormat="1" x14ac:dyDescent="0.25">
      <c r="A580" s="103">
        <v>20002</v>
      </c>
      <c r="B580" s="69" t="str">
        <f>IF($A580=0,"",VLOOKUP($A580,'BASE M-OBRA'!$A:$D,2))</f>
        <v>PEON</v>
      </c>
      <c r="C580" s="2"/>
      <c r="D580" s="108">
        <v>2</v>
      </c>
      <c r="E580" s="70">
        <f>IF($A580=0,"",VLOOKUP($A580,'BASE M-OBRA'!$A:$D,4))</f>
        <v>2.79</v>
      </c>
      <c r="F580" s="55">
        <f t="shared" si="52"/>
        <v>5.58</v>
      </c>
      <c r="G580" s="106">
        <v>0.24</v>
      </c>
      <c r="H580" s="56">
        <f t="shared" ref="H580:H585" si="53">IF($A580=0,"",ROUND(G580*F580,2))</f>
        <v>1.34</v>
      </c>
      <c r="I580" s="5"/>
    </row>
    <row r="581" spans="1:16" s="4" customFormat="1" x14ac:dyDescent="0.25">
      <c r="A581" s="103">
        <v>20003</v>
      </c>
      <c r="B581" s="69" t="str">
        <f>IF($A581=0,"",VLOOKUP($A581,'BASE M-OBRA'!$A:$D,2))</f>
        <v>ALBAÑIL</v>
      </c>
      <c r="C581" s="2"/>
      <c r="D581" s="108">
        <v>2</v>
      </c>
      <c r="E581" s="70">
        <f>IF($A581=0,"",VLOOKUP($A581,'BASE M-OBRA'!$A:$D,4))</f>
        <v>2.82</v>
      </c>
      <c r="F581" s="55">
        <f t="shared" si="52"/>
        <v>5.64</v>
      </c>
      <c r="G581" s="106">
        <f>+G580</f>
        <v>0.24</v>
      </c>
      <c r="H581" s="56">
        <f t="shared" si="53"/>
        <v>1.35</v>
      </c>
      <c r="I581" s="5"/>
    </row>
    <row r="582" spans="1:16" s="4" customFormat="1" x14ac:dyDescent="0.25">
      <c r="A582" s="103">
        <v>20004</v>
      </c>
      <c r="B582" s="71" t="str">
        <f>IF($A582=0,"",VLOOKUP($A582,'BASE M-OBRA'!$A:$D,2))</f>
        <v>CARPINTERO</v>
      </c>
      <c r="C582" s="2"/>
      <c r="D582" s="108">
        <v>2</v>
      </c>
      <c r="E582" s="70">
        <f>IF($A582=0,"",VLOOKUP($A582,'BASE M-OBRA'!$A:$D,4))</f>
        <v>2.82</v>
      </c>
      <c r="F582" s="55">
        <f t="shared" si="52"/>
        <v>5.64</v>
      </c>
      <c r="G582" s="106">
        <v>0.32</v>
      </c>
      <c r="H582" s="56">
        <f t="shared" si="53"/>
        <v>1.8</v>
      </c>
      <c r="I582" s="5"/>
    </row>
    <row r="583" spans="1:16" s="4" customFormat="1" x14ac:dyDescent="0.25">
      <c r="A583" s="103">
        <v>20005</v>
      </c>
      <c r="B583" s="72" t="str">
        <f>IF($A583=0,"",VLOOKUP($A583,'BASE M-OBRA'!$A:$D,2))</f>
        <v>FIERRERO</v>
      </c>
      <c r="C583" s="2"/>
      <c r="D583" s="108">
        <v>2</v>
      </c>
      <c r="E583" s="70">
        <f>IF($A583=0,"",VLOOKUP($A583,'BASE M-OBRA'!$A:$D,4))</f>
        <v>2.82</v>
      </c>
      <c r="F583" s="55">
        <f t="shared" si="52"/>
        <v>5.64</v>
      </c>
      <c r="G583" s="106">
        <v>0.34</v>
      </c>
      <c r="H583" s="56">
        <f t="shared" si="53"/>
        <v>1.92</v>
      </c>
      <c r="I583" s="5"/>
    </row>
    <row r="584" spans="1:16" s="4" customFormat="1" x14ac:dyDescent="0.25">
      <c r="A584" s="103"/>
      <c r="B584" s="38" t="str">
        <f>IF($A584=0,"",VLOOKUP($A584,'BASE M-OBRA'!$A:$D,2))</f>
        <v/>
      </c>
      <c r="C584" s="2"/>
      <c r="D584" s="55"/>
      <c r="E584" s="55" t="str">
        <f>IF($A584=0,"",VLOOKUP($A584,'BASE M-OBRA'!$A:$D,4))</f>
        <v/>
      </c>
      <c r="F584" s="55" t="str">
        <f t="shared" si="52"/>
        <v/>
      </c>
      <c r="G584" s="106"/>
      <c r="H584" s="56" t="str">
        <f t="shared" si="53"/>
        <v/>
      </c>
      <c r="I584" s="5"/>
    </row>
    <row r="585" spans="1:16" s="4" customFormat="1" x14ac:dyDescent="0.25">
      <c r="A585" s="103"/>
      <c r="B585" s="57" t="str">
        <f>IF($A585=0,"",VLOOKUP($A585,'BASE M-OBRA'!$A:$D,2))</f>
        <v/>
      </c>
      <c r="C585" s="58"/>
      <c r="D585" s="59"/>
      <c r="E585" s="59" t="str">
        <f>IF($A585=0,"",VLOOKUP($A585,'BASE M-OBRA'!$A:$D,4))</f>
        <v/>
      </c>
      <c r="F585" s="59" t="str">
        <f t="shared" si="52"/>
        <v/>
      </c>
      <c r="G585" s="107"/>
      <c r="H585" s="60" t="str">
        <f t="shared" si="53"/>
        <v/>
      </c>
      <c r="I585" s="5"/>
    </row>
    <row r="586" spans="1:16" s="4" customFormat="1" x14ac:dyDescent="0.25">
      <c r="A586" s="103"/>
      <c r="B586" s="73" t="s">
        <v>1685</v>
      </c>
      <c r="C586" s="65"/>
      <c r="D586" s="74"/>
      <c r="E586" s="74"/>
      <c r="F586" s="74"/>
      <c r="G586" s="74"/>
      <c r="H586" s="75">
        <f>ROUND(SUM(H578:H585),2)</f>
        <v>7.69</v>
      </c>
      <c r="I586" s="5"/>
    </row>
    <row r="587" spans="1:16" s="4" customFormat="1" x14ac:dyDescent="0.25">
      <c r="A587" s="103"/>
      <c r="B587" s="38" t="s">
        <v>1684</v>
      </c>
      <c r="C587" s="2"/>
      <c r="D587" s="3"/>
      <c r="E587" s="3"/>
      <c r="F587" s="3"/>
      <c r="G587" s="3"/>
      <c r="H587" s="56"/>
      <c r="I587" s="5"/>
    </row>
    <row r="588" spans="1:16" ht="25.5" x14ac:dyDescent="0.25">
      <c r="B588" s="64" t="s">
        <v>1409</v>
      </c>
      <c r="C588" s="65"/>
      <c r="D588" s="76"/>
      <c r="E588" s="66" t="s">
        <v>1408</v>
      </c>
      <c r="F588" s="66" t="s">
        <v>1679</v>
      </c>
      <c r="G588" s="66" t="s">
        <v>1683</v>
      </c>
      <c r="H588" s="68" t="s">
        <v>1675</v>
      </c>
      <c r="I588" s="2"/>
    </row>
    <row r="589" spans="1:16" s="4" customFormat="1" x14ac:dyDescent="0.25">
      <c r="A589" s="103">
        <v>11008</v>
      </c>
      <c r="B589" s="37" t="str">
        <f>IF($A589=0,"",VLOOKUP($A589,'BASE MATERIAL'!$A:$D,2))</f>
        <v>TABLA</v>
      </c>
      <c r="C589" s="2"/>
      <c r="D589" s="77"/>
      <c r="E589" s="78" t="str">
        <f>IF($A589=0,"",VLOOKUP($A589,'BASE MATERIAL'!$A:$D,3))</f>
        <v>U</v>
      </c>
      <c r="F589" s="55">
        <f>ROUND(0.7*5/(4*3),2)</f>
        <v>0.28999999999999998</v>
      </c>
      <c r="G589" s="55">
        <f>IF($A589=0,"",VLOOKUP($A589,'BASE MATERIAL'!$A:$D,4))</f>
        <v>3.5</v>
      </c>
      <c r="H589" s="56">
        <f t="shared" ref="H589:H599" si="54">IF($A589=0,"",ROUND(F589*G589,2))</f>
        <v>1.02</v>
      </c>
      <c r="I589" s="5"/>
      <c r="L589" s="5"/>
      <c r="M589" s="5"/>
      <c r="N589" s="160"/>
      <c r="O589" s="5"/>
      <c r="P589" s="5"/>
    </row>
    <row r="590" spans="1:16" s="4" customFormat="1" x14ac:dyDescent="0.25">
      <c r="A590" s="103">
        <v>11009</v>
      </c>
      <c r="B590" s="38" t="str">
        <f>IF($A590=0,"",VLOOKUP($A590,'BASE MATERIAL'!$A:$D,2))</f>
        <v>CUARTON</v>
      </c>
      <c r="C590" s="2"/>
      <c r="D590" s="77"/>
      <c r="E590" s="78" t="str">
        <f>IF($A590=0,"",VLOOKUP($A590,'BASE MATERIAL'!$A:$D,3))</f>
        <v>U</v>
      </c>
      <c r="F590" s="55">
        <f>ROUND(0.7*8/(4*3),2)</f>
        <v>0.47</v>
      </c>
      <c r="G590" s="55">
        <f>IF($A590=0,"",VLOOKUP($A590,'BASE MATERIAL'!$A:$D,4))</f>
        <v>2.42</v>
      </c>
      <c r="H590" s="56">
        <f t="shared" si="54"/>
        <v>1.1399999999999999</v>
      </c>
      <c r="I590" s="5"/>
      <c r="L590" s="5"/>
      <c r="M590" s="5"/>
      <c r="N590" s="160"/>
      <c r="O590" s="5"/>
      <c r="P590" s="5"/>
    </row>
    <row r="591" spans="1:16" s="4" customFormat="1" x14ac:dyDescent="0.25">
      <c r="A591" s="103">
        <v>11007</v>
      </c>
      <c r="B591" s="38" t="str">
        <f>IF($A591=0,"",VLOOKUP($A591,'BASE MATERIAL'!$A:$D,2))</f>
        <v>CLAVO 2 1/2"</v>
      </c>
      <c r="C591" s="2"/>
      <c r="D591" s="77"/>
      <c r="E591" s="78" t="str">
        <f>IF($A591=0,"",VLOOKUP($A591,'BASE MATERIAL'!$A:$D,3))</f>
        <v>KG</v>
      </c>
      <c r="F591" s="55">
        <f>ROUND(0.7*56/(178*1.5),2)</f>
        <v>0.15</v>
      </c>
      <c r="G591" s="55">
        <f>IF($A591=0,"",VLOOKUP($A591,'BASE MATERIAL'!$A:$D,4))</f>
        <v>2.6520000000000001</v>
      </c>
      <c r="H591" s="56">
        <f t="shared" si="54"/>
        <v>0.4</v>
      </c>
      <c r="I591" s="5"/>
      <c r="L591" s="5"/>
      <c r="M591" s="5"/>
      <c r="N591" s="160"/>
      <c r="O591" s="5"/>
      <c r="P591" s="5"/>
    </row>
    <row r="592" spans="1:16" s="4" customFormat="1" x14ac:dyDescent="0.25">
      <c r="A592" s="103">
        <v>1001</v>
      </c>
      <c r="B592" s="38" t="str">
        <f>IF($A592=0,"",VLOOKUP($A592,'BASE MATERIAL'!$A:$D,2))</f>
        <v>HIERRO</v>
      </c>
      <c r="C592" s="2"/>
      <c r="D592" s="77"/>
      <c r="E592" s="78" t="str">
        <f>IF($A592=0,"",VLOOKUP($A592,'BASE MATERIAL'!$A:$D,3))</f>
        <v>KG</v>
      </c>
      <c r="F592" s="55">
        <f>4*0.617+11*0.8*0.394</f>
        <v>5.9352</v>
      </c>
      <c r="G592" s="55">
        <f>IF($A592=0,"",VLOOKUP($A592,'BASE MATERIAL'!$A:$D,4))</f>
        <v>1.17</v>
      </c>
      <c r="H592" s="56">
        <f t="shared" si="54"/>
        <v>6.94</v>
      </c>
      <c r="I592" s="5"/>
      <c r="L592" s="5"/>
      <c r="M592" s="5"/>
      <c r="N592" s="160"/>
      <c r="O592" s="5"/>
      <c r="P592" s="5"/>
    </row>
    <row r="593" spans="1:16" s="4" customFormat="1" x14ac:dyDescent="0.25">
      <c r="A593" s="103">
        <v>11002</v>
      </c>
      <c r="B593" s="38" t="str">
        <f>IF($A593=0,"",VLOOKUP($A593,'BASE MATERIAL'!$A:$D,2))</f>
        <v>ALAMBRE #18 RECOCIDO</v>
      </c>
      <c r="C593" s="2"/>
      <c r="D593" s="77"/>
      <c r="E593" s="78" t="str">
        <f>IF($A593=0,"",VLOOKUP($A593,'BASE MATERIAL'!$A:$D,3))</f>
        <v>KG</v>
      </c>
      <c r="F593" s="55">
        <f>ROUND(F592*0.02,2)</f>
        <v>0.12</v>
      </c>
      <c r="G593" s="55">
        <f>IF($A593=0,"",VLOOKUP($A593,'BASE MATERIAL'!$A:$D,4))</f>
        <v>1.87</v>
      </c>
      <c r="H593" s="56">
        <f t="shared" si="54"/>
        <v>0.22</v>
      </c>
      <c r="I593" s="5"/>
      <c r="L593" s="5"/>
      <c r="M593" s="5"/>
      <c r="N593" s="160"/>
      <c r="O593" s="5"/>
      <c r="P593" s="5"/>
    </row>
    <row r="594" spans="1:16" s="4" customFormat="1" x14ac:dyDescent="0.25">
      <c r="A594" s="103">
        <v>4001</v>
      </c>
      <c r="B594" s="38" t="str">
        <f>IF($A594=0,"",VLOOKUP($A594,'BASE MATERIAL'!$A:$D,2))</f>
        <v>CEMENTO</v>
      </c>
      <c r="C594" s="2"/>
      <c r="D594" s="77"/>
      <c r="E594" s="78" t="str">
        <f>IF($A594=0,"",VLOOKUP($A594,'BASE MATERIAL'!$A:$D,3))</f>
        <v>SACO</v>
      </c>
      <c r="F594" s="55">
        <f>ROUND(7*0.14*0.2,2)</f>
        <v>0.2</v>
      </c>
      <c r="G594" s="55">
        <f>IF($A594=0,"",VLOOKUP($A594,'BASE MATERIAL'!$A:$D,4))</f>
        <v>7.09</v>
      </c>
      <c r="H594" s="56">
        <f t="shared" si="54"/>
        <v>1.42</v>
      </c>
      <c r="I594" s="5"/>
      <c r="L594" s="5"/>
      <c r="M594" s="5"/>
      <c r="N594" s="160"/>
      <c r="O594" s="5"/>
      <c r="P594" s="5"/>
    </row>
    <row r="595" spans="1:16" s="4" customFormat="1" x14ac:dyDescent="0.25">
      <c r="A595" s="103">
        <v>5004</v>
      </c>
      <c r="B595" s="38" t="str">
        <f>IF($A595=0,"",VLOOKUP($A595,'BASE MATERIAL'!$A:$D,2))</f>
        <v>ARENA</v>
      </c>
      <c r="C595" s="2"/>
      <c r="D595" s="77"/>
      <c r="E595" s="78" t="str">
        <f>IF($A595=0,"",VLOOKUP($A595,'BASE MATERIAL'!$A:$D,3))</f>
        <v>M3</v>
      </c>
      <c r="F595" s="55">
        <f>ROUND(F594*0.032*2,2)</f>
        <v>0.01</v>
      </c>
      <c r="G595" s="55">
        <f>IF($A595=0,"",VLOOKUP($A595,'BASE MATERIAL'!$A:$D,4))</f>
        <v>12.276249999999999</v>
      </c>
      <c r="H595" s="56">
        <f t="shared" si="54"/>
        <v>0.12</v>
      </c>
      <c r="I595" s="5"/>
      <c r="L595" s="5"/>
      <c r="M595" s="5"/>
      <c r="N595" s="160"/>
      <c r="O595" s="5"/>
      <c r="P595" s="5"/>
    </row>
    <row r="596" spans="1:16" s="4" customFormat="1" x14ac:dyDescent="0.25">
      <c r="A596" s="103">
        <v>5002</v>
      </c>
      <c r="B596" s="38" t="str">
        <f>IF($A596=0,"",VLOOKUP($A596,'BASE MATERIAL'!$A:$D,2))</f>
        <v>PIEDRA 3-4</v>
      </c>
      <c r="C596" s="2"/>
      <c r="D596" s="77"/>
      <c r="E596" s="78" t="str">
        <f>IF($A596=0,"",VLOOKUP($A596,'BASE MATERIAL'!$A:$D,3))</f>
        <v>M3</v>
      </c>
      <c r="F596" s="55">
        <f>ROUND(F594*0.032*3,2)</f>
        <v>0.02</v>
      </c>
      <c r="G596" s="55">
        <f>IF($A596=0,"",VLOOKUP($A596,'BASE MATERIAL'!$A:$D,4))</f>
        <v>13.75</v>
      </c>
      <c r="H596" s="56">
        <f t="shared" si="54"/>
        <v>0.28000000000000003</v>
      </c>
      <c r="I596" s="5"/>
      <c r="L596" s="5"/>
      <c r="M596" s="5"/>
      <c r="N596" s="160"/>
      <c r="O596" s="5"/>
      <c r="P596" s="5"/>
    </row>
    <row r="597" spans="1:16" s="4" customFormat="1" x14ac:dyDescent="0.25">
      <c r="A597" s="103">
        <v>5005</v>
      </c>
      <c r="B597" s="38" t="str">
        <f>IF($A597=0,"",VLOOKUP($A597,'BASE MATERIAL'!$A:$D,2))</f>
        <v>AGUA</v>
      </c>
      <c r="C597" s="2"/>
      <c r="D597" s="77"/>
      <c r="E597" s="78" t="str">
        <f>IF($A597=0,"",VLOOKUP($A597,'BASE MATERIAL'!$A:$D,3))</f>
        <v>LT</v>
      </c>
      <c r="F597" s="55">
        <f>ROUND(26*F594,2)</f>
        <v>5.2</v>
      </c>
      <c r="G597" s="80">
        <f>IF($A597=0,"",VLOOKUP($A597,'BASE MATERIAL'!$A:$D,4))</f>
        <v>2E-3</v>
      </c>
      <c r="H597" s="56">
        <f t="shared" si="54"/>
        <v>0.01</v>
      </c>
      <c r="I597" s="5"/>
    </row>
    <row r="598" spans="1:16" s="4" customFormat="1" x14ac:dyDescent="0.25">
      <c r="A598" s="103"/>
      <c r="B598" s="38" t="str">
        <f>IF($A598=0,"",VLOOKUP($A598,'BASE MATERIAL'!$A:$D,2))</f>
        <v/>
      </c>
      <c r="C598" s="2"/>
      <c r="D598" s="77"/>
      <c r="E598" s="78" t="str">
        <f>IF($A598=0,"",VLOOKUP($A598,'BASE MATERIAL'!$A:$D,3))</f>
        <v/>
      </c>
      <c r="F598" s="55"/>
      <c r="G598" s="55" t="str">
        <f>IF($A598=0,"",VLOOKUP($A598,'BASE MATERIAL'!$A:$D,4))</f>
        <v/>
      </c>
      <c r="H598" s="56" t="str">
        <f t="shared" si="54"/>
        <v/>
      </c>
      <c r="I598" s="5"/>
      <c r="L598" s="5"/>
      <c r="M598" s="5"/>
      <c r="N598" s="160"/>
      <c r="O598" s="5"/>
      <c r="P598" s="5"/>
    </row>
    <row r="599" spans="1:16" s="4" customFormat="1" x14ac:dyDescent="0.25">
      <c r="A599" s="103"/>
      <c r="B599" s="38" t="str">
        <f>IF($A599=0,"",VLOOKUP($A599,'BASE MATERIAL'!$A:$D,2))</f>
        <v/>
      </c>
      <c r="C599" s="2"/>
      <c r="D599" s="77"/>
      <c r="E599" s="78" t="str">
        <f>IF($A599=0,"",VLOOKUP($A599,'BASE MATERIAL'!$A:$D,3))</f>
        <v/>
      </c>
      <c r="F599" s="55"/>
      <c r="G599" s="55" t="str">
        <f>IF($A599=0,"",VLOOKUP($A599,'BASE MATERIAL'!$A:$D,4))</f>
        <v/>
      </c>
      <c r="H599" s="56" t="str">
        <f t="shared" si="54"/>
        <v/>
      </c>
      <c r="I599" s="5"/>
      <c r="L599" s="5"/>
      <c r="M599" s="5"/>
      <c r="N599" s="160"/>
      <c r="O599" s="5"/>
      <c r="P599" s="5"/>
    </row>
    <row r="600" spans="1:16" s="4" customFormat="1" x14ac:dyDescent="0.25">
      <c r="A600" s="103"/>
      <c r="B600" s="38" t="str">
        <f>IF($A600=0,"",VLOOKUP($A600,'BASE MATERIAL'!$A:$D,2))</f>
        <v/>
      </c>
      <c r="C600" s="2"/>
      <c r="D600" s="77"/>
      <c r="E600" s="78" t="str">
        <f>IF($A600=0,"",VLOOKUP($A600,'BASE MATERIAL'!$A:$D,3))</f>
        <v/>
      </c>
      <c r="F600" s="55"/>
      <c r="G600" s="55" t="str">
        <f>IF($A600=0,"",VLOOKUP($A600,'BASE MATERIAL'!$A:$D,4))</f>
        <v/>
      </c>
      <c r="H600" s="56" t="str">
        <f>IF($A600=0,"",ROUND(F600*G600,2))</f>
        <v/>
      </c>
      <c r="I600" s="5"/>
    </row>
    <row r="601" spans="1:16" s="4" customFormat="1" x14ac:dyDescent="0.25">
      <c r="A601" s="103"/>
      <c r="B601" s="38" t="str">
        <f>IF($A601=0,"",VLOOKUP($A601,'BASE MATERIAL'!$A:$D,2))</f>
        <v/>
      </c>
      <c r="C601" s="2"/>
      <c r="D601" s="77"/>
      <c r="E601" s="78" t="str">
        <f>IF($A601=0,"",VLOOKUP($A601,'BASE MATERIAL'!$A:$D,3))</f>
        <v/>
      </c>
      <c r="F601" s="55"/>
      <c r="G601" s="55" t="str">
        <f>IF($A601=0,"",VLOOKUP($A601,'BASE MATERIAL'!$A:$D,4))</f>
        <v/>
      </c>
      <c r="H601" s="56" t="str">
        <f>IF($A601=0,"",ROUND(F601*G601,2))</f>
        <v/>
      </c>
      <c r="I601" s="5"/>
    </row>
    <row r="602" spans="1:16" s="4" customFormat="1" x14ac:dyDescent="0.25">
      <c r="A602" s="103"/>
      <c r="B602" s="38" t="str">
        <f>IF($A602=0,"",VLOOKUP($A602,'BASE MATERIAL'!$A:$D,2))</f>
        <v/>
      </c>
      <c r="C602" s="2"/>
      <c r="D602" s="77"/>
      <c r="E602" s="78" t="str">
        <f>IF($A602=0,"",VLOOKUP($A602,'BASE MATERIAL'!$A:$D,3))</f>
        <v/>
      </c>
      <c r="F602" s="55"/>
      <c r="G602" s="55" t="str">
        <f>IF($A602=0,"",VLOOKUP($A602,'BASE MATERIAL'!$A:$D,4))</f>
        <v/>
      </c>
      <c r="H602" s="56" t="str">
        <f>IF($A602=0,"",ROUND(F602*G602,2))</f>
        <v/>
      </c>
      <c r="I602" s="5"/>
    </row>
    <row r="603" spans="1:16" s="4" customFormat="1" x14ac:dyDescent="0.25">
      <c r="A603" s="103"/>
      <c r="B603" s="38" t="str">
        <f>IF($A603=0,"",VLOOKUP($A603,'BASE MATERIAL'!$A:$D,2))</f>
        <v/>
      </c>
      <c r="C603" s="2"/>
      <c r="D603" s="77"/>
      <c r="E603" s="78" t="str">
        <f>IF($A603=0,"",VLOOKUP($A603,'BASE MATERIAL'!$A:$D,3))</f>
        <v/>
      </c>
      <c r="F603" s="55"/>
      <c r="G603" s="55" t="str">
        <f>IF($A603=0,"",VLOOKUP($A603,'BASE MATERIAL'!$A:$D,4))</f>
        <v/>
      </c>
      <c r="H603" s="56" t="str">
        <f>IF($A603=0,"",ROUND(F603*G603,2))</f>
        <v/>
      </c>
      <c r="I603" s="5"/>
    </row>
    <row r="604" spans="1:16" s="4" customFormat="1" x14ac:dyDescent="0.25">
      <c r="A604" s="103"/>
      <c r="B604" s="38" t="str">
        <f>IF($A604=0,"",VLOOKUP($A604,'BASE MATERIAL'!$A:$D,2))</f>
        <v/>
      </c>
      <c r="C604" s="2"/>
      <c r="D604" s="81" t="s">
        <v>1682</v>
      </c>
      <c r="E604" s="55" t="str">
        <f>IF($A604=0,"",VLOOKUP($A604,'BASE MATERIAL'!$A:$D,3))</f>
        <v/>
      </c>
      <c r="F604" s="55" t="s">
        <v>1682</v>
      </c>
      <c r="G604" s="55" t="str">
        <f>IF($A604=0,"",VLOOKUP($A604,'BASE MATERIAL'!$A:$D,4))</f>
        <v/>
      </c>
      <c r="H604" s="56" t="str">
        <f>IF($A604=0,"",ROUND(E604*F604,2))</f>
        <v/>
      </c>
      <c r="I604" s="5"/>
    </row>
    <row r="605" spans="1:16" s="4" customFormat="1" x14ac:dyDescent="0.25">
      <c r="A605" s="103"/>
      <c r="B605" s="73" t="s">
        <v>1681</v>
      </c>
      <c r="C605" s="65"/>
      <c r="D605" s="74"/>
      <c r="E605" s="74"/>
      <c r="F605" s="74"/>
      <c r="G605" s="74"/>
      <c r="H605" s="75">
        <f>ROUND(SUM(H588:H604),2)</f>
        <v>11.55</v>
      </c>
      <c r="I605" s="5"/>
    </row>
    <row r="606" spans="1:16" s="4" customFormat="1" x14ac:dyDescent="0.25">
      <c r="A606" s="103"/>
      <c r="B606" s="38" t="s">
        <v>1680</v>
      </c>
      <c r="C606" s="2"/>
      <c r="D606" s="3"/>
      <c r="E606" s="3"/>
      <c r="F606" s="3"/>
      <c r="G606" s="3"/>
      <c r="H606" s="56"/>
      <c r="I606" s="5"/>
    </row>
    <row r="607" spans="1:16" ht="25.5" x14ac:dyDescent="0.25">
      <c r="B607" s="64" t="s">
        <v>1409</v>
      </c>
      <c r="C607" s="65"/>
      <c r="D607" s="76"/>
      <c r="E607" s="66" t="s">
        <v>1408</v>
      </c>
      <c r="F607" s="66" t="s">
        <v>1679</v>
      </c>
      <c r="G607" s="66" t="s">
        <v>1676</v>
      </c>
      <c r="H607" s="68" t="s">
        <v>1675</v>
      </c>
      <c r="I607" s="2"/>
    </row>
    <row r="608" spans="1:16" s="4" customFormat="1" x14ac:dyDescent="0.25">
      <c r="A608" s="103">
        <v>19019</v>
      </c>
      <c r="B608" s="51" t="str">
        <f>IF($A608=0,"",VLOOKUP($A608,'BASE EQUIPO'!$A:$D,2))</f>
        <v>TRANSPORTE DE MATERIAL</v>
      </c>
      <c r="C608" s="52"/>
      <c r="D608" s="82"/>
      <c r="E608" s="78" t="str">
        <f>IF($A608=0,"",VLOOKUP($A608,'BASE EQUIPO'!$A:$D,3))</f>
        <v>GLOBAL</v>
      </c>
      <c r="F608" s="55">
        <v>1</v>
      </c>
      <c r="G608" s="83">
        <f>IF($A608=0,"",VLOOKUP($A608,'BASE EQUIPO'!$A:$D,4)*H605)</f>
        <v>0.34650000000000003</v>
      </c>
      <c r="H608" s="56">
        <f>IF($A608=0,"",ROUND(F608*G608,2))</f>
        <v>0.35</v>
      </c>
      <c r="I608" s="5"/>
    </row>
    <row r="609" spans="1:15" s="4" customFormat="1" x14ac:dyDescent="0.25">
      <c r="A609" s="103"/>
      <c r="B609" s="38" t="str">
        <f>IF($A609=0,"",VLOOKUP($A609,'BASE EQUIPO'!$A:$D,2))</f>
        <v/>
      </c>
      <c r="C609" s="2"/>
      <c r="D609" s="84"/>
      <c r="E609" s="78" t="str">
        <f>IF($A609=0,"",VLOOKUP($A609,'BASE EQUIPO'!$A:$D,3))</f>
        <v/>
      </c>
      <c r="F609" s="55"/>
      <c r="G609" s="55" t="str">
        <f>IF($A609=0,"",VLOOKUP($A609,'BASE EQUIPO'!$A:$D,4)*H606)</f>
        <v/>
      </c>
      <c r="H609" s="56" t="str">
        <f>IF($A609=0,"",ROUND(F609*G609,2))</f>
        <v/>
      </c>
      <c r="I609" s="5"/>
    </row>
    <row r="610" spans="1:15" s="4" customFormat="1" x14ac:dyDescent="0.25">
      <c r="A610" s="103"/>
      <c r="B610" s="57" t="str">
        <f>IF($A610=0,"",VLOOKUP($A610,'BASE EQUIPO'!$A:$D,2))</f>
        <v/>
      </c>
      <c r="C610" s="58"/>
      <c r="D610" s="85"/>
      <c r="E610" s="86" t="str">
        <f>IF($A610=0,"",VLOOKUP($A610,'BASE EQUIPO'!$A:$D,3))</f>
        <v/>
      </c>
      <c r="F610" s="59"/>
      <c r="G610" s="59" t="str">
        <f>IF($A610=0,"",VLOOKUP($A610,'BASE EQUIPO'!$A:$D,4)*H607)</f>
        <v/>
      </c>
      <c r="H610" s="60" t="str">
        <f>IF($A610=0,"",ROUND(F610*G610,2))</f>
        <v/>
      </c>
      <c r="I610" s="5"/>
    </row>
    <row r="611" spans="1:15" s="4" customFormat="1" ht="15.75" thickBot="1" x14ac:dyDescent="0.3">
      <c r="A611" s="103"/>
      <c r="B611" s="87" t="s">
        <v>1674</v>
      </c>
      <c r="C611" s="88"/>
      <c r="D611" s="89"/>
      <c r="E611" s="89"/>
      <c r="F611" s="89"/>
      <c r="G611" s="89"/>
      <c r="H611" s="90">
        <f>ROUND(SUM(H607:H610),2)</f>
        <v>0.35</v>
      </c>
      <c r="I611" s="5"/>
    </row>
    <row r="612" spans="1:15" s="4" customFormat="1" ht="15.75" x14ac:dyDescent="0.25">
      <c r="A612" s="103"/>
      <c r="B612" s="2"/>
      <c r="C612" s="2"/>
      <c r="D612" s="91" t="s">
        <v>1673</v>
      </c>
      <c r="E612" s="177"/>
      <c r="F612" s="177"/>
      <c r="G612" s="177"/>
      <c r="H612" s="92">
        <f>ROUND(SUM(H611,H605,H586,H576),2)</f>
        <v>20.239999999999998</v>
      </c>
      <c r="I612" s="5"/>
    </row>
    <row r="613" spans="1:15" s="4" customFormat="1" ht="15.75" x14ac:dyDescent="0.25">
      <c r="A613" s="103">
        <v>40002</v>
      </c>
      <c r="B613" s="2"/>
      <c r="C613" s="2"/>
      <c r="D613" s="93" t="s">
        <v>1672</v>
      </c>
      <c r="E613" s="166"/>
      <c r="F613" s="166"/>
      <c r="G613" s="178">
        <f>IF($A613=0,"",VLOOKUP($A613,'BASE MATERIAL'!$M:$P,4))</f>
        <v>0</v>
      </c>
      <c r="H613" s="95">
        <f>IF($A613=0,"",ROUND(G613*H612,2))</f>
        <v>0</v>
      </c>
      <c r="I613" s="5"/>
    </row>
    <row r="614" spans="1:15" s="4" customFormat="1" ht="15.75" x14ac:dyDescent="0.25">
      <c r="A614" s="103">
        <v>40003</v>
      </c>
      <c r="B614" s="2"/>
      <c r="C614" s="2"/>
      <c r="D614" s="93" t="s">
        <v>1671</v>
      </c>
      <c r="E614" s="166"/>
      <c r="F614" s="166"/>
      <c r="G614" s="178">
        <f>IF($A614=0,"",VLOOKUP($A614,'BASE MATERIAL'!$M:$P,4))</f>
        <v>0</v>
      </c>
      <c r="H614" s="95">
        <f>IF($A614=0,"",ROUND(G614*H612,2))</f>
        <v>0</v>
      </c>
      <c r="I614" s="5"/>
    </row>
    <row r="615" spans="1:15" s="4" customFormat="1" ht="15.75" x14ac:dyDescent="0.25">
      <c r="A615" s="103"/>
      <c r="B615" s="2"/>
      <c r="C615" s="2"/>
      <c r="D615" s="93" t="s">
        <v>1670</v>
      </c>
      <c r="E615" s="166"/>
      <c r="F615" s="166"/>
      <c r="G615" s="166"/>
      <c r="H615" s="96">
        <f>ROUND(SUM(H612:H614),2)</f>
        <v>20.239999999999998</v>
      </c>
      <c r="I615" s="5"/>
    </row>
    <row r="616" spans="1:15" s="4" customFormat="1" ht="16.5" thickBot="1" x14ac:dyDescent="0.3">
      <c r="A616" s="103"/>
      <c r="B616" s="25"/>
      <c r="C616" s="5"/>
      <c r="D616" s="97" t="s">
        <v>1650</v>
      </c>
      <c r="E616" s="179"/>
      <c r="F616" s="179"/>
      <c r="G616" s="179"/>
      <c r="H616" s="98">
        <f>ROUND(H615,2)</f>
        <v>20.239999999999998</v>
      </c>
      <c r="I616" s="5"/>
    </row>
    <row r="617" spans="1:15" ht="15.75" x14ac:dyDescent="0.25">
      <c r="B617" s="34" t="s">
        <v>1701</v>
      </c>
      <c r="C617" s="5"/>
      <c r="D617" s="157" t="str">
        <f>$D$113</f>
        <v>ESPOL</v>
      </c>
      <c r="E617" s="2"/>
      <c r="F617" s="2"/>
      <c r="H617" s="2" t="s">
        <v>108</v>
      </c>
      <c r="I617" s="2"/>
      <c r="L617" s="40">
        <f>A621</f>
        <v>1</v>
      </c>
      <c r="M617" s="2" t="str">
        <f>C622</f>
        <v>Pilaretes h. armado   9x20cm</v>
      </c>
      <c r="N617" s="2" t="str">
        <f>H621</f>
        <v>ml</v>
      </c>
      <c r="O617" s="2">
        <f>H672</f>
        <v>13.27</v>
      </c>
    </row>
    <row r="618" spans="1:15" s="4" customFormat="1" ht="15.75" x14ac:dyDescent="0.25">
      <c r="A618" s="103"/>
      <c r="B618" s="34" t="s">
        <v>1700</v>
      </c>
      <c r="C618" s="3">
        <f>'1.1'!$C$2</f>
        <v>0</v>
      </c>
      <c r="D618" s="5"/>
      <c r="E618" s="5"/>
      <c r="F618" s="5"/>
      <c r="G618" s="158" t="s">
        <v>1699</v>
      </c>
      <c r="H618" s="159"/>
      <c r="I618" s="5" t="s">
        <v>1698</v>
      </c>
    </row>
    <row r="619" spans="1:15" s="4" customFormat="1" ht="15.75" x14ac:dyDescent="0.25">
      <c r="A619" s="103"/>
      <c r="B619" s="34"/>
      <c r="C619" s="3">
        <f>'1.1'!$C$3</f>
        <v>0</v>
      </c>
      <c r="D619" s="5"/>
      <c r="E619" s="5"/>
      <c r="F619" s="5"/>
      <c r="G619" s="5"/>
      <c r="H619" s="5"/>
      <c r="I619" s="5"/>
    </row>
    <row r="620" spans="1:15" s="4" customFormat="1" ht="15.75" x14ac:dyDescent="0.25">
      <c r="A620" s="103"/>
      <c r="B620" s="34" t="s">
        <v>1697</v>
      </c>
      <c r="C620" s="3"/>
      <c r="D620" s="5"/>
      <c r="E620" s="5"/>
      <c r="F620" s="5"/>
      <c r="G620" s="5"/>
      <c r="H620" s="5"/>
      <c r="I620" s="5"/>
    </row>
    <row r="621" spans="1:15" x14ac:dyDescent="0.25">
      <c r="A621" s="104">
        <v>1</v>
      </c>
      <c r="B621" s="2" t="s">
        <v>1586</v>
      </c>
      <c r="C621" s="111" t="s">
        <v>1554</v>
      </c>
      <c r="D621" s="5"/>
      <c r="E621" s="4"/>
      <c r="F621" s="4"/>
      <c r="G621" s="5" t="s">
        <v>1696</v>
      </c>
      <c r="H621" s="157" t="s">
        <v>961</v>
      </c>
      <c r="I621" s="2"/>
    </row>
    <row r="622" spans="1:15" s="4" customFormat="1" x14ac:dyDescent="0.25">
      <c r="A622" s="103"/>
      <c r="B622" s="1" t="s">
        <v>1585</v>
      </c>
      <c r="C622" s="36" t="s">
        <v>284</v>
      </c>
      <c r="D622" s="5"/>
      <c r="E622" s="5"/>
      <c r="F622" s="5"/>
      <c r="G622" s="5"/>
      <c r="H622" s="5"/>
      <c r="I622" s="5"/>
    </row>
    <row r="623" spans="1:15" ht="15.75" thickBot="1" x14ac:dyDescent="0.3">
      <c r="D623" s="2"/>
      <c r="E623" s="2"/>
      <c r="F623" s="2"/>
      <c r="G623" s="2"/>
      <c r="H623" s="2"/>
      <c r="I623" s="2"/>
    </row>
    <row r="624" spans="1:15" ht="15.75" thickBot="1" x14ac:dyDescent="0.3">
      <c r="B624" s="43" t="s">
        <v>1695</v>
      </c>
      <c r="C624" s="44"/>
      <c r="D624" s="44"/>
      <c r="E624" s="44"/>
      <c r="F624" s="44"/>
      <c r="G624" s="44"/>
      <c r="H624" s="45"/>
      <c r="I624" s="2"/>
    </row>
    <row r="625" spans="1:9" ht="25.5" x14ac:dyDescent="0.25">
      <c r="B625" s="46" t="s">
        <v>1409</v>
      </c>
      <c r="C625" s="47"/>
      <c r="D625" s="48" t="s">
        <v>1690</v>
      </c>
      <c r="E625" s="48" t="s">
        <v>1694</v>
      </c>
      <c r="F625" s="48" t="s">
        <v>1693</v>
      </c>
      <c r="G625" s="49" t="s">
        <v>1687</v>
      </c>
      <c r="H625" s="50" t="s">
        <v>1686</v>
      </c>
      <c r="I625" s="2"/>
    </row>
    <row r="626" spans="1:9" s="4" customFormat="1" x14ac:dyDescent="0.25">
      <c r="A626" s="103">
        <v>19015</v>
      </c>
      <c r="B626" s="51" t="str">
        <f>IF($A626=0,"",VLOOKUP($A626,'BASE EQUIPO'!$A:$D,2))</f>
        <v>HERRAMIENTA MENOR</v>
      </c>
      <c r="C626" s="52"/>
      <c r="D626" s="53">
        <v>1</v>
      </c>
      <c r="E626" s="53">
        <f>IF($A626=0,"",VLOOKUP($A626,'BASE EQUIPO'!$A:$D,4)*H642)</f>
        <v>0.18210000000000001</v>
      </c>
      <c r="F626" s="53">
        <f t="shared" ref="F626:F631" si="55">IF($A626=0,"",ROUND(D626*E626,2))</f>
        <v>0.18</v>
      </c>
      <c r="G626" s="105">
        <v>1</v>
      </c>
      <c r="H626" s="54">
        <f t="shared" ref="H626:H631" si="56">IF($A626=0,"",ROUND(G626*F626,2))</f>
        <v>0.18</v>
      </c>
      <c r="I626" s="5"/>
    </row>
    <row r="627" spans="1:9" s="4" customFormat="1" x14ac:dyDescent="0.25">
      <c r="A627" s="103">
        <v>19003</v>
      </c>
      <c r="B627" s="38" t="str">
        <f>IF($A627=0,"",VLOOKUP($A627,'BASE EQUIPO'!$A:$D,2))</f>
        <v>CONCRETERA</v>
      </c>
      <c r="C627" s="2"/>
      <c r="D627" s="55">
        <v>1</v>
      </c>
      <c r="E627" s="55">
        <f>IF($A627=0,"",VLOOKUP($A627,'BASE EQUIPO'!$A:$D,4))</f>
        <v>3.5</v>
      </c>
      <c r="F627" s="55">
        <f t="shared" si="55"/>
        <v>3.5</v>
      </c>
      <c r="G627" s="106">
        <f>ROUND(G636*0.5,2)</f>
        <v>0.11</v>
      </c>
      <c r="H627" s="56">
        <f t="shared" si="56"/>
        <v>0.39</v>
      </c>
      <c r="I627" s="5"/>
    </row>
    <row r="628" spans="1:9" s="4" customFormat="1" x14ac:dyDescent="0.25">
      <c r="A628" s="103"/>
      <c r="B628" s="38" t="str">
        <f>IF($A628=0,"",VLOOKUP($A628,'BASE EQUIPO'!$A:$D,2))</f>
        <v/>
      </c>
      <c r="C628" s="2"/>
      <c r="D628" s="55"/>
      <c r="E628" s="55" t="str">
        <f>IF($A628=0,"",VLOOKUP($A628,'BASE EQUIPO'!$A:$D,4))</f>
        <v/>
      </c>
      <c r="F628" s="55" t="str">
        <f t="shared" si="55"/>
        <v/>
      </c>
      <c r="G628" s="106"/>
      <c r="H628" s="56" t="str">
        <f t="shared" si="56"/>
        <v/>
      </c>
      <c r="I628" s="5"/>
    </row>
    <row r="629" spans="1:9" s="4" customFormat="1" x14ac:dyDescent="0.25">
      <c r="A629" s="103"/>
      <c r="B629" s="38" t="str">
        <f>IF($A629=0,"",VLOOKUP($A629,'BASE EQUIPO'!$A:$D,2))</f>
        <v/>
      </c>
      <c r="C629" s="2"/>
      <c r="D629" s="55"/>
      <c r="E629" s="55" t="str">
        <f>IF($A629=0,"",VLOOKUP($A629,'BASE EQUIPO'!$A:$D,4))</f>
        <v/>
      </c>
      <c r="F629" s="55" t="str">
        <f t="shared" si="55"/>
        <v/>
      </c>
      <c r="G629" s="106"/>
      <c r="H629" s="56" t="str">
        <f t="shared" si="56"/>
        <v/>
      </c>
      <c r="I629" s="5"/>
    </row>
    <row r="630" spans="1:9" s="4" customFormat="1" x14ac:dyDescent="0.25">
      <c r="A630" s="103"/>
      <c r="B630" s="38" t="str">
        <f>IF($A630=0,"",VLOOKUP($A630,'BASE EQUIPO'!$A:$D,2))</f>
        <v/>
      </c>
      <c r="C630" s="2"/>
      <c r="D630" s="55"/>
      <c r="E630" s="55" t="str">
        <f>IF($A630=0,"",VLOOKUP($A630,'BASE EQUIPO'!$A:$D,4))</f>
        <v/>
      </c>
      <c r="F630" s="55" t="str">
        <f t="shared" si="55"/>
        <v/>
      </c>
      <c r="G630" s="106"/>
      <c r="H630" s="56" t="str">
        <f t="shared" si="56"/>
        <v/>
      </c>
      <c r="I630" s="5"/>
    </row>
    <row r="631" spans="1:9" s="4" customFormat="1" x14ac:dyDescent="0.25">
      <c r="A631" s="103"/>
      <c r="B631" s="57" t="str">
        <f>IF($A631=0,"",VLOOKUP($A631,'BASE EQUIPO'!$A:$D,2))</f>
        <v/>
      </c>
      <c r="C631" s="58"/>
      <c r="D631" s="59"/>
      <c r="E631" s="59" t="str">
        <f>IF($A631=0,"",VLOOKUP($A631,'BASE EQUIPO'!$A:$D,4))</f>
        <v/>
      </c>
      <c r="F631" s="59" t="str">
        <f t="shared" si="55"/>
        <v/>
      </c>
      <c r="G631" s="107"/>
      <c r="H631" s="60" t="str">
        <f t="shared" si="56"/>
        <v/>
      </c>
      <c r="I631" s="5"/>
    </row>
    <row r="632" spans="1:9" s="4" customFormat="1" x14ac:dyDescent="0.25">
      <c r="A632" s="103"/>
      <c r="B632" s="57" t="s">
        <v>1692</v>
      </c>
      <c r="C632" s="58"/>
      <c r="D632" s="61"/>
      <c r="E632" s="61"/>
      <c r="F632" s="61"/>
      <c r="G632" s="62"/>
      <c r="H632" s="60">
        <f>ROUND(SUM(H625:H631),2)</f>
        <v>0.56999999999999995</v>
      </c>
      <c r="I632" s="5"/>
    </row>
    <row r="633" spans="1:9" s="4" customFormat="1" x14ac:dyDescent="0.25">
      <c r="A633" s="103"/>
      <c r="B633" s="38" t="s">
        <v>1503</v>
      </c>
      <c r="C633" s="2"/>
      <c r="D633" s="3"/>
      <c r="E633" s="3"/>
      <c r="F633" s="3"/>
      <c r="G633" s="63"/>
      <c r="H633" s="56"/>
      <c r="I633" s="5"/>
    </row>
    <row r="634" spans="1:9" ht="25.5" x14ac:dyDescent="0.25">
      <c r="B634" s="64" t="s">
        <v>1691</v>
      </c>
      <c r="C634" s="65"/>
      <c r="D634" s="66" t="s">
        <v>1690</v>
      </c>
      <c r="E634" s="66" t="s">
        <v>1689</v>
      </c>
      <c r="F634" s="66" t="s">
        <v>1688</v>
      </c>
      <c r="G634" s="67" t="s">
        <v>1687</v>
      </c>
      <c r="H634" s="68" t="s">
        <v>1686</v>
      </c>
      <c r="I634" s="2"/>
    </row>
    <row r="635" spans="1:9" s="4" customFormat="1" x14ac:dyDescent="0.25">
      <c r="A635" s="103">
        <v>20001</v>
      </c>
      <c r="B635" s="69" t="str">
        <f>IF($A635=0,"",VLOOKUP($A635,'BASE M-OBRA'!$A:$D,2))</f>
        <v>MAESTRO</v>
      </c>
      <c r="C635" s="2"/>
      <c r="D635" s="108">
        <v>1</v>
      </c>
      <c r="E635" s="70">
        <f>IF($A635=0,"",VLOOKUP($A635,'BASE M-OBRA'!$A:$D,4))</f>
        <v>3.02</v>
      </c>
      <c r="F635" s="55">
        <f t="shared" ref="F635:F641" si="57">IF($A635=0,"",ROUND(D635*E635,2))</f>
        <v>3.02</v>
      </c>
      <c r="G635" s="106">
        <f>IF($A635=0,"",ROUND(H635/F635,2))</f>
        <v>0.33</v>
      </c>
      <c r="H635" s="56">
        <f>IF($A635=0,"",ROUND(SUM(H636:H641)*'BASE M-OBRA'!$D$23,2))</f>
        <v>1.01</v>
      </c>
      <c r="I635" s="5"/>
    </row>
    <row r="636" spans="1:9" s="4" customFormat="1" x14ac:dyDescent="0.25">
      <c r="A636" s="103">
        <v>20002</v>
      </c>
      <c r="B636" s="69" t="str">
        <f>IF($A636=0,"",VLOOKUP($A636,'BASE M-OBRA'!$A:$D,2))</f>
        <v>PEON</v>
      </c>
      <c r="C636" s="2"/>
      <c r="D636" s="108">
        <v>2</v>
      </c>
      <c r="E636" s="70">
        <f>IF($A636=0,"",VLOOKUP($A636,'BASE M-OBRA'!$A:$D,4))</f>
        <v>2.79</v>
      </c>
      <c r="F636" s="55">
        <f t="shared" si="57"/>
        <v>5.58</v>
      </c>
      <c r="G636" s="106">
        <v>0.22</v>
      </c>
      <c r="H636" s="56">
        <f t="shared" ref="H636:H641" si="58">IF($A636=0,"",ROUND(G636*F636,2))</f>
        <v>1.23</v>
      </c>
      <c r="I636" s="5"/>
    </row>
    <row r="637" spans="1:9" s="4" customFormat="1" x14ac:dyDescent="0.25">
      <c r="A637" s="103">
        <v>20003</v>
      </c>
      <c r="B637" s="69" t="str">
        <f>IF($A637=0,"",VLOOKUP($A637,'BASE M-OBRA'!$A:$D,2))</f>
        <v>ALBAÑIL</v>
      </c>
      <c r="C637" s="2"/>
      <c r="D637" s="108">
        <v>2</v>
      </c>
      <c r="E637" s="70">
        <f>IF($A637=0,"",VLOOKUP($A637,'BASE M-OBRA'!$A:$D,4))</f>
        <v>2.82</v>
      </c>
      <c r="F637" s="55">
        <f t="shared" si="57"/>
        <v>5.64</v>
      </c>
      <c r="G637" s="106">
        <f>+G636</f>
        <v>0.22</v>
      </c>
      <c r="H637" s="56">
        <f t="shared" si="58"/>
        <v>1.24</v>
      </c>
      <c r="I637" s="5"/>
    </row>
    <row r="638" spans="1:9" s="4" customFormat="1" x14ac:dyDescent="0.25">
      <c r="A638" s="103">
        <v>20004</v>
      </c>
      <c r="B638" s="71" t="str">
        <f>IF($A638=0,"",VLOOKUP($A638,'BASE M-OBRA'!$A:$D,2))</f>
        <v>CARPINTERO</v>
      </c>
      <c r="C638" s="2"/>
      <c r="D638" s="108">
        <v>2</v>
      </c>
      <c r="E638" s="70">
        <f>IF($A638=0,"",VLOOKUP($A638,'BASE M-OBRA'!$A:$D,4))</f>
        <v>2.82</v>
      </c>
      <c r="F638" s="55">
        <f t="shared" si="57"/>
        <v>5.64</v>
      </c>
      <c r="G638" s="106">
        <v>0.3</v>
      </c>
      <c r="H638" s="56">
        <f t="shared" si="58"/>
        <v>1.69</v>
      </c>
      <c r="I638" s="5"/>
    </row>
    <row r="639" spans="1:9" s="4" customFormat="1" x14ac:dyDescent="0.25">
      <c r="A639" s="103">
        <v>20005</v>
      </c>
      <c r="B639" s="72" t="str">
        <f>IF($A639=0,"",VLOOKUP($A639,'BASE M-OBRA'!$A:$D,2))</f>
        <v>FIERRERO</v>
      </c>
      <c r="C639" s="2"/>
      <c r="D639" s="108">
        <v>2</v>
      </c>
      <c r="E639" s="70">
        <f>IF($A639=0,"",VLOOKUP($A639,'BASE M-OBRA'!$A:$D,4))</f>
        <v>2.82</v>
      </c>
      <c r="F639" s="55">
        <f t="shared" si="57"/>
        <v>5.64</v>
      </c>
      <c r="G639" s="106">
        <v>0.16</v>
      </c>
      <c r="H639" s="56">
        <f t="shared" si="58"/>
        <v>0.9</v>
      </c>
      <c r="I639" s="5"/>
    </row>
    <row r="640" spans="1:9" s="4" customFormat="1" x14ac:dyDescent="0.25">
      <c r="A640" s="103"/>
      <c r="B640" s="38" t="str">
        <f>IF($A640=0,"",VLOOKUP($A640,'BASE M-OBRA'!$A:$D,2))</f>
        <v/>
      </c>
      <c r="C640" s="2"/>
      <c r="D640" s="55"/>
      <c r="E640" s="55" t="str">
        <f>IF($A640=0,"",VLOOKUP($A640,'BASE M-OBRA'!$A:$D,4))</f>
        <v/>
      </c>
      <c r="F640" s="55" t="str">
        <f t="shared" si="57"/>
        <v/>
      </c>
      <c r="G640" s="106"/>
      <c r="H640" s="56" t="str">
        <f t="shared" si="58"/>
        <v/>
      </c>
      <c r="I640" s="5"/>
    </row>
    <row r="641" spans="1:16" s="4" customFormat="1" x14ac:dyDescent="0.25">
      <c r="A641" s="103"/>
      <c r="B641" s="57" t="str">
        <f>IF($A641=0,"",VLOOKUP($A641,'BASE M-OBRA'!$A:$D,2))</f>
        <v/>
      </c>
      <c r="C641" s="58"/>
      <c r="D641" s="59"/>
      <c r="E641" s="59" t="str">
        <f>IF($A641=0,"",VLOOKUP($A641,'BASE M-OBRA'!$A:$D,4))</f>
        <v/>
      </c>
      <c r="F641" s="59" t="str">
        <f t="shared" si="57"/>
        <v/>
      </c>
      <c r="G641" s="107"/>
      <c r="H641" s="60" t="str">
        <f t="shared" si="58"/>
        <v/>
      </c>
      <c r="I641" s="5"/>
    </row>
    <row r="642" spans="1:16" s="4" customFormat="1" x14ac:dyDescent="0.25">
      <c r="A642" s="103"/>
      <c r="B642" s="73" t="s">
        <v>1685</v>
      </c>
      <c r="C642" s="65"/>
      <c r="D642" s="74"/>
      <c r="E642" s="74"/>
      <c r="F642" s="74"/>
      <c r="G642" s="74"/>
      <c r="H642" s="75">
        <f>ROUND(SUM(H634:H641),2)</f>
        <v>6.07</v>
      </c>
      <c r="I642" s="5"/>
    </row>
    <row r="643" spans="1:16" s="4" customFormat="1" x14ac:dyDescent="0.25">
      <c r="A643" s="103"/>
      <c r="B643" s="38" t="s">
        <v>1684</v>
      </c>
      <c r="C643" s="2"/>
      <c r="D643" s="3"/>
      <c r="E643" s="3"/>
      <c r="F643" s="3"/>
      <c r="G643" s="3"/>
      <c r="H643" s="56"/>
      <c r="I643" s="5"/>
    </row>
    <row r="644" spans="1:16" ht="25.5" x14ac:dyDescent="0.25">
      <c r="B644" s="64" t="s">
        <v>1409</v>
      </c>
      <c r="C644" s="65"/>
      <c r="D644" s="76"/>
      <c r="E644" s="66" t="s">
        <v>1408</v>
      </c>
      <c r="F644" s="66" t="s">
        <v>1679</v>
      </c>
      <c r="G644" s="66" t="s">
        <v>1683</v>
      </c>
      <c r="H644" s="68" t="s">
        <v>1675</v>
      </c>
      <c r="I644" s="2"/>
    </row>
    <row r="645" spans="1:16" s="4" customFormat="1" x14ac:dyDescent="0.25">
      <c r="A645" s="103">
        <v>11008</v>
      </c>
      <c r="B645" s="37" t="str">
        <f>IF($A645=0,"",VLOOKUP($A645,'BASE MATERIAL'!$A:$D,2))</f>
        <v>TABLA</v>
      </c>
      <c r="C645" s="2"/>
      <c r="D645" s="77"/>
      <c r="E645" s="78" t="str">
        <f>IF($A645=0,"",VLOOKUP($A645,'BASE MATERIAL'!$A:$D,3))</f>
        <v>U</v>
      </c>
      <c r="F645" s="55">
        <f>ROUND(0.6*5/(4*3),2)</f>
        <v>0.25</v>
      </c>
      <c r="G645" s="55">
        <f>IF($A645=0,"",VLOOKUP($A645,'BASE MATERIAL'!$A:$D,4))</f>
        <v>3.5</v>
      </c>
      <c r="H645" s="56">
        <f t="shared" ref="H645:H656" si="59">IF($A645=0,"",ROUND(F645*G645,2))</f>
        <v>0.88</v>
      </c>
      <c r="I645" s="5"/>
      <c r="L645" s="5"/>
      <c r="M645" s="5"/>
      <c r="N645" s="160"/>
      <c r="O645" s="5"/>
      <c r="P645" s="5"/>
    </row>
    <row r="646" spans="1:16" s="4" customFormat="1" x14ac:dyDescent="0.25">
      <c r="A646" s="103">
        <v>11009</v>
      </c>
      <c r="B646" s="38" t="str">
        <f>IF($A646=0,"",VLOOKUP($A646,'BASE MATERIAL'!$A:$D,2))</f>
        <v>CUARTON</v>
      </c>
      <c r="C646" s="2"/>
      <c r="D646" s="77"/>
      <c r="E646" s="78" t="str">
        <f>IF($A646=0,"",VLOOKUP($A646,'BASE MATERIAL'!$A:$D,3))</f>
        <v>U</v>
      </c>
      <c r="F646" s="55">
        <f>ROUND(0.6*8/(4*3),2)</f>
        <v>0.4</v>
      </c>
      <c r="G646" s="55">
        <f>IF($A646=0,"",VLOOKUP($A646,'BASE MATERIAL'!$A:$D,4))</f>
        <v>2.42</v>
      </c>
      <c r="H646" s="56">
        <f t="shared" si="59"/>
        <v>0.97</v>
      </c>
      <c r="I646" s="5"/>
      <c r="L646" s="5"/>
      <c r="M646" s="5"/>
      <c r="N646" s="160"/>
      <c r="O646" s="5"/>
      <c r="P646" s="5"/>
    </row>
    <row r="647" spans="1:16" s="4" customFormat="1" x14ac:dyDescent="0.25">
      <c r="A647" s="103">
        <v>11007</v>
      </c>
      <c r="B647" s="38" t="str">
        <f>IF($A647=0,"",VLOOKUP($A647,'BASE MATERIAL'!$A:$D,2))</f>
        <v>CLAVO 2 1/2"</v>
      </c>
      <c r="C647" s="2"/>
      <c r="D647" s="77"/>
      <c r="E647" s="78" t="str">
        <f>IF($A647=0,"",VLOOKUP($A647,'BASE MATERIAL'!$A:$D,3))</f>
        <v>KG</v>
      </c>
      <c r="F647" s="55">
        <f>ROUND(0.6*56/(178*1.5),2)</f>
        <v>0.13</v>
      </c>
      <c r="G647" s="55">
        <f>IF($A647=0,"",VLOOKUP($A647,'BASE MATERIAL'!$A:$D,4))</f>
        <v>2.6520000000000001</v>
      </c>
      <c r="H647" s="56">
        <f t="shared" si="59"/>
        <v>0.34</v>
      </c>
      <c r="I647" s="5"/>
      <c r="L647" s="5"/>
      <c r="M647" s="5"/>
      <c r="N647" s="160"/>
      <c r="O647" s="5"/>
      <c r="P647" s="5"/>
    </row>
    <row r="648" spans="1:16" s="4" customFormat="1" x14ac:dyDescent="0.25">
      <c r="A648" s="103">
        <v>1001</v>
      </c>
      <c r="B648" s="38" t="str">
        <f>IF($A648=0,"",VLOOKUP($A648,'BASE MATERIAL'!$A:$D,2))</f>
        <v>HIERRO</v>
      </c>
      <c r="C648" s="2"/>
      <c r="D648" s="77"/>
      <c r="E648" s="78" t="str">
        <f>IF($A648=0,"",VLOOKUP($A648,'BASE MATERIAL'!$A:$D,3))</f>
        <v>KG</v>
      </c>
      <c r="F648" s="55">
        <f>2*0.617+11*0.3*0.394</f>
        <v>2.5342000000000002</v>
      </c>
      <c r="G648" s="55">
        <f>IF($A648=0,"",VLOOKUP($A648,'BASE MATERIAL'!$A:$D,4))</f>
        <v>1.17</v>
      </c>
      <c r="H648" s="56">
        <f t="shared" si="59"/>
        <v>2.97</v>
      </c>
      <c r="I648" s="5"/>
      <c r="L648" s="5"/>
      <c r="M648" s="5"/>
      <c r="N648" s="160"/>
      <c r="O648" s="5"/>
      <c r="P648" s="5"/>
    </row>
    <row r="649" spans="1:16" s="4" customFormat="1" x14ac:dyDescent="0.25">
      <c r="A649" s="103">
        <v>11002</v>
      </c>
      <c r="B649" s="38" t="str">
        <f>IF($A649=0,"",VLOOKUP($A649,'BASE MATERIAL'!$A:$D,2))</f>
        <v>ALAMBRE #18 RECOCIDO</v>
      </c>
      <c r="C649" s="2"/>
      <c r="D649" s="77"/>
      <c r="E649" s="78" t="str">
        <f>IF($A649=0,"",VLOOKUP($A649,'BASE MATERIAL'!$A:$D,3))</f>
        <v>KG</v>
      </c>
      <c r="F649" s="55">
        <f>ROUND(F648*0.02,2)</f>
        <v>0.05</v>
      </c>
      <c r="G649" s="55">
        <f>IF($A649=0,"",VLOOKUP($A649,'BASE MATERIAL'!$A:$D,4))</f>
        <v>1.87</v>
      </c>
      <c r="H649" s="56">
        <f t="shared" si="59"/>
        <v>0.09</v>
      </c>
      <c r="I649" s="5"/>
      <c r="L649" s="5"/>
      <c r="M649" s="5"/>
      <c r="N649" s="160"/>
      <c r="O649" s="5"/>
      <c r="P649" s="5"/>
    </row>
    <row r="650" spans="1:16" s="4" customFormat="1" x14ac:dyDescent="0.25">
      <c r="A650" s="103">
        <v>4001</v>
      </c>
      <c r="B650" s="38" t="str">
        <f>IF($A650=0,"",VLOOKUP($A650,'BASE MATERIAL'!$A:$D,2))</f>
        <v>CEMENTO</v>
      </c>
      <c r="C650" s="2"/>
      <c r="D650" s="77"/>
      <c r="E650" s="78" t="str">
        <f>IF($A650=0,"",VLOOKUP($A650,'BASE MATERIAL'!$A:$D,3))</f>
        <v>SACO</v>
      </c>
      <c r="F650" s="55">
        <f>ROUND(7*0.09*0.2,2)</f>
        <v>0.13</v>
      </c>
      <c r="G650" s="55">
        <f>IF($A650=0,"",VLOOKUP($A650,'BASE MATERIAL'!$A:$D,4))</f>
        <v>7.09</v>
      </c>
      <c r="H650" s="56">
        <f t="shared" si="59"/>
        <v>0.92</v>
      </c>
      <c r="I650" s="5"/>
      <c r="L650" s="5"/>
      <c r="M650" s="5"/>
      <c r="N650" s="160"/>
      <c r="O650" s="5"/>
      <c r="P650" s="5"/>
    </row>
    <row r="651" spans="1:16" s="4" customFormat="1" x14ac:dyDescent="0.25">
      <c r="A651" s="103">
        <v>5004</v>
      </c>
      <c r="B651" s="38" t="str">
        <f>IF($A651=0,"",VLOOKUP($A651,'BASE MATERIAL'!$A:$D,2))</f>
        <v>ARENA</v>
      </c>
      <c r="C651" s="2"/>
      <c r="D651" s="77"/>
      <c r="E651" s="78" t="str">
        <f>IF($A651=0,"",VLOOKUP($A651,'BASE MATERIAL'!$A:$D,3))</f>
        <v>M3</v>
      </c>
      <c r="F651" s="55">
        <f>ROUND(F650*0.032*2,2)</f>
        <v>0.01</v>
      </c>
      <c r="G651" s="55">
        <f>IF($A651=0,"",VLOOKUP($A651,'BASE MATERIAL'!$A:$D,4))</f>
        <v>12.276249999999999</v>
      </c>
      <c r="H651" s="56">
        <f t="shared" si="59"/>
        <v>0.12</v>
      </c>
      <c r="I651" s="5"/>
      <c r="L651" s="5"/>
      <c r="M651" s="5"/>
      <c r="N651" s="160"/>
      <c r="O651" s="5"/>
      <c r="P651" s="5"/>
    </row>
    <row r="652" spans="1:16" s="4" customFormat="1" x14ac:dyDescent="0.25">
      <c r="A652" s="103">
        <v>5002</v>
      </c>
      <c r="B652" s="38" t="str">
        <f>IF($A652=0,"",VLOOKUP($A652,'BASE MATERIAL'!$A:$D,2))</f>
        <v>PIEDRA 3-4</v>
      </c>
      <c r="C652" s="2"/>
      <c r="D652" s="77"/>
      <c r="E652" s="78" t="str">
        <f>IF($A652=0,"",VLOOKUP($A652,'BASE MATERIAL'!$A:$D,3))</f>
        <v>M3</v>
      </c>
      <c r="F652" s="55">
        <f>ROUND(F650*0.032*3,2)</f>
        <v>0.01</v>
      </c>
      <c r="G652" s="55">
        <f>IF($A652=0,"",VLOOKUP($A652,'BASE MATERIAL'!$A:$D,4))</f>
        <v>13.75</v>
      </c>
      <c r="H652" s="56">
        <f t="shared" si="59"/>
        <v>0.14000000000000001</v>
      </c>
      <c r="I652" s="5"/>
      <c r="L652" s="5"/>
      <c r="M652" s="5"/>
      <c r="N652" s="160"/>
      <c r="O652" s="5"/>
      <c r="P652" s="5"/>
    </row>
    <row r="653" spans="1:16" s="4" customFormat="1" x14ac:dyDescent="0.25">
      <c r="A653" s="103">
        <v>5005</v>
      </c>
      <c r="B653" s="38" t="str">
        <f>IF($A653=0,"",VLOOKUP($A653,'BASE MATERIAL'!$A:$D,2))</f>
        <v>AGUA</v>
      </c>
      <c r="C653" s="2"/>
      <c r="D653" s="77"/>
      <c r="E653" s="78" t="str">
        <f>IF($A653=0,"",VLOOKUP($A653,'BASE MATERIAL'!$A:$D,3))</f>
        <v>LT</v>
      </c>
      <c r="F653" s="55">
        <f>ROUND(26*F650,2)</f>
        <v>3.38</v>
      </c>
      <c r="G653" s="80">
        <f>IF($A653=0,"",VLOOKUP($A653,'BASE MATERIAL'!$A:$D,4))</f>
        <v>2E-3</v>
      </c>
      <c r="H653" s="56">
        <f t="shared" si="59"/>
        <v>0.01</v>
      </c>
      <c r="I653" s="5"/>
    </row>
    <row r="654" spans="1:16" s="4" customFormat="1" x14ac:dyDescent="0.25">
      <c r="A654" s="103"/>
      <c r="B654" s="38" t="str">
        <f>IF($A654=0,"",VLOOKUP($A654,'BASE MATERIAL'!$A:$D,2))</f>
        <v/>
      </c>
      <c r="C654" s="2"/>
      <c r="D654" s="77"/>
      <c r="E654" s="78" t="str">
        <f>IF($A654=0,"",VLOOKUP($A654,'BASE MATERIAL'!$A:$D,3))</f>
        <v/>
      </c>
      <c r="F654" s="55"/>
      <c r="G654" s="55" t="str">
        <f>IF($A654=0,"",VLOOKUP($A654,'BASE MATERIAL'!$A:$D,4))</f>
        <v/>
      </c>
      <c r="H654" s="56" t="str">
        <f t="shared" si="59"/>
        <v/>
      </c>
      <c r="I654" s="5"/>
      <c r="L654" s="5"/>
      <c r="M654" s="5"/>
      <c r="N654" s="160"/>
      <c r="O654" s="5"/>
      <c r="P654" s="5"/>
    </row>
    <row r="655" spans="1:16" s="4" customFormat="1" x14ac:dyDescent="0.25">
      <c r="A655" s="103"/>
      <c r="B655" s="38" t="str">
        <f>IF($A655=0,"",VLOOKUP($A655,'BASE MATERIAL'!$A:$D,2))</f>
        <v/>
      </c>
      <c r="C655" s="2"/>
      <c r="D655" s="77"/>
      <c r="E655" s="78" t="str">
        <f>IF($A655=0,"",VLOOKUP($A655,'BASE MATERIAL'!$A:$D,3))</f>
        <v/>
      </c>
      <c r="F655" s="55"/>
      <c r="G655" s="55" t="str">
        <f>IF($A655=0,"",VLOOKUP($A655,'BASE MATERIAL'!$A:$D,4))</f>
        <v/>
      </c>
      <c r="H655" s="56" t="str">
        <f t="shared" si="59"/>
        <v/>
      </c>
      <c r="I655" s="5"/>
      <c r="L655" s="5"/>
      <c r="M655" s="5"/>
      <c r="N655" s="160"/>
      <c r="O655" s="5"/>
      <c r="P655" s="5"/>
    </row>
    <row r="656" spans="1:16" s="4" customFormat="1" x14ac:dyDescent="0.25">
      <c r="A656" s="103"/>
      <c r="B656" s="38" t="str">
        <f>IF($A656=0,"",VLOOKUP($A656,'BASE MATERIAL'!$A:$D,2))</f>
        <v/>
      </c>
      <c r="C656" s="2"/>
      <c r="D656" s="77"/>
      <c r="E656" s="78" t="str">
        <f>IF($A656=0,"",VLOOKUP($A656,'BASE MATERIAL'!$A:$D,3))</f>
        <v/>
      </c>
      <c r="F656" s="55"/>
      <c r="G656" s="55" t="str">
        <f>IF($A656=0,"",VLOOKUP($A656,'BASE MATERIAL'!$A:$D,4))</f>
        <v/>
      </c>
      <c r="H656" s="56" t="str">
        <f t="shared" si="59"/>
        <v/>
      </c>
      <c r="I656" s="5"/>
    </row>
    <row r="657" spans="1:9" s="4" customFormat="1" x14ac:dyDescent="0.25">
      <c r="A657" s="103"/>
      <c r="B657" s="38" t="str">
        <f>IF($A657=0,"",VLOOKUP($A657,'BASE MATERIAL'!$A:$D,2))</f>
        <v/>
      </c>
      <c r="C657" s="2"/>
      <c r="D657" s="77"/>
      <c r="E657" s="78" t="str">
        <f>IF($A657=0,"",VLOOKUP($A657,'BASE MATERIAL'!$A:$D,3))</f>
        <v/>
      </c>
      <c r="F657" s="55"/>
      <c r="G657" s="55" t="str">
        <f>IF($A657=0,"",VLOOKUP($A657,'BASE MATERIAL'!$A:$D,4))</f>
        <v/>
      </c>
      <c r="H657" s="56" t="str">
        <f>IF($A657=0,"",ROUND(F657*G657,2))</f>
        <v/>
      </c>
      <c r="I657" s="5"/>
    </row>
    <row r="658" spans="1:9" s="4" customFormat="1" x14ac:dyDescent="0.25">
      <c r="A658" s="103"/>
      <c r="B658" s="38" t="str">
        <f>IF($A658=0,"",VLOOKUP($A658,'BASE MATERIAL'!$A:$D,2))</f>
        <v/>
      </c>
      <c r="C658" s="2"/>
      <c r="D658" s="77"/>
      <c r="E658" s="78" t="str">
        <f>IF($A658=0,"",VLOOKUP($A658,'BASE MATERIAL'!$A:$D,3))</f>
        <v/>
      </c>
      <c r="F658" s="55"/>
      <c r="G658" s="55" t="str">
        <f>IF($A658=0,"",VLOOKUP($A658,'BASE MATERIAL'!$A:$D,4))</f>
        <v/>
      </c>
      <c r="H658" s="56" t="str">
        <f>IF($A658=0,"",ROUND(F658*G658,2))</f>
        <v/>
      </c>
      <c r="I658" s="5"/>
    </row>
    <row r="659" spans="1:9" s="4" customFormat="1" x14ac:dyDescent="0.25">
      <c r="A659" s="103"/>
      <c r="B659" s="38" t="str">
        <f>IF($A659=0,"",VLOOKUP($A659,'BASE MATERIAL'!$A:$D,2))</f>
        <v/>
      </c>
      <c r="C659" s="2"/>
      <c r="D659" s="77"/>
      <c r="E659" s="78" t="str">
        <f>IF($A659=0,"",VLOOKUP($A659,'BASE MATERIAL'!$A:$D,3))</f>
        <v/>
      </c>
      <c r="F659" s="55"/>
      <c r="G659" s="55" t="str">
        <f>IF($A659=0,"",VLOOKUP($A659,'BASE MATERIAL'!$A:$D,4))</f>
        <v/>
      </c>
      <c r="H659" s="56" t="str">
        <f>IF($A659=0,"",ROUND(F659*G659,2))</f>
        <v/>
      </c>
      <c r="I659" s="5"/>
    </row>
    <row r="660" spans="1:9" s="4" customFormat="1" x14ac:dyDescent="0.25">
      <c r="A660" s="103"/>
      <c r="B660" s="38" t="str">
        <f>IF($A660=0,"",VLOOKUP($A660,'BASE MATERIAL'!$A:$D,2))</f>
        <v/>
      </c>
      <c r="C660" s="2"/>
      <c r="D660" s="81" t="s">
        <v>1682</v>
      </c>
      <c r="E660" s="55" t="str">
        <f>IF($A660=0,"",VLOOKUP($A660,'BASE MATERIAL'!$A:$D,3))</f>
        <v/>
      </c>
      <c r="F660" s="55" t="s">
        <v>1682</v>
      </c>
      <c r="G660" s="55" t="str">
        <f>IF($A660=0,"",VLOOKUP($A660,'BASE MATERIAL'!$A:$D,4))</f>
        <v/>
      </c>
      <c r="H660" s="56" t="str">
        <f>IF($A660=0,"",ROUND(E660*F660,2))</f>
        <v/>
      </c>
      <c r="I660" s="5"/>
    </row>
    <row r="661" spans="1:9" s="4" customFormat="1" x14ac:dyDescent="0.25">
      <c r="A661" s="103"/>
      <c r="B661" s="73" t="s">
        <v>1681</v>
      </c>
      <c r="C661" s="65"/>
      <c r="D661" s="74"/>
      <c r="E661" s="74"/>
      <c r="F661" s="74"/>
      <c r="G661" s="74"/>
      <c r="H661" s="75">
        <f>ROUND(SUM(H644:H660),2)</f>
        <v>6.44</v>
      </c>
      <c r="I661" s="5"/>
    </row>
    <row r="662" spans="1:9" s="4" customFormat="1" x14ac:dyDescent="0.25">
      <c r="A662" s="103"/>
      <c r="B662" s="38" t="s">
        <v>1680</v>
      </c>
      <c r="C662" s="2"/>
      <c r="D662" s="3"/>
      <c r="E662" s="3"/>
      <c r="F662" s="3"/>
      <c r="G662" s="3"/>
      <c r="H662" s="56"/>
      <c r="I662" s="5"/>
    </row>
    <row r="663" spans="1:9" ht="25.5" x14ac:dyDescent="0.25">
      <c r="B663" s="64" t="s">
        <v>1409</v>
      </c>
      <c r="C663" s="65"/>
      <c r="D663" s="76"/>
      <c r="E663" s="66" t="s">
        <v>1408</v>
      </c>
      <c r="F663" s="66" t="s">
        <v>1679</v>
      </c>
      <c r="G663" s="66" t="s">
        <v>1676</v>
      </c>
      <c r="H663" s="68" t="s">
        <v>1675</v>
      </c>
      <c r="I663" s="2"/>
    </row>
    <row r="664" spans="1:9" s="4" customFormat="1" x14ac:dyDescent="0.25">
      <c r="A664" s="103">
        <v>19019</v>
      </c>
      <c r="B664" s="51" t="str">
        <f>IF($A664=0,"",VLOOKUP($A664,'BASE EQUIPO'!$A:$D,2))</f>
        <v>TRANSPORTE DE MATERIAL</v>
      </c>
      <c r="C664" s="52"/>
      <c r="D664" s="82"/>
      <c r="E664" s="78" t="str">
        <f>IF($A664=0,"",VLOOKUP($A664,'BASE EQUIPO'!$A:$D,3))</f>
        <v>GLOBAL</v>
      </c>
      <c r="F664" s="55">
        <v>1</v>
      </c>
      <c r="G664" s="83">
        <f>IF($A664=0,"",VLOOKUP($A664,'BASE EQUIPO'!$A:$D,4)*H661)</f>
        <v>0.19320000000000001</v>
      </c>
      <c r="H664" s="56">
        <f>IF($A664=0,"",ROUND(F664*G664,2))</f>
        <v>0.19</v>
      </c>
      <c r="I664" s="5"/>
    </row>
    <row r="665" spans="1:9" s="4" customFormat="1" x14ac:dyDescent="0.25">
      <c r="A665" s="103"/>
      <c r="B665" s="38" t="str">
        <f>IF($A665=0,"",VLOOKUP($A665,'BASE EQUIPO'!$A:$D,2))</f>
        <v/>
      </c>
      <c r="C665" s="2"/>
      <c r="D665" s="84"/>
      <c r="E665" s="78" t="str">
        <f>IF($A665=0,"",VLOOKUP($A665,'BASE EQUIPO'!$A:$D,3))</f>
        <v/>
      </c>
      <c r="F665" s="55"/>
      <c r="G665" s="55" t="str">
        <f>IF($A665=0,"",VLOOKUP($A665,'BASE EQUIPO'!$A:$D,4)*H662)</f>
        <v/>
      </c>
      <c r="H665" s="56" t="str">
        <f>IF($A665=0,"",ROUND(F665*G665,2))</f>
        <v/>
      </c>
      <c r="I665" s="5"/>
    </row>
    <row r="666" spans="1:9" s="4" customFormat="1" x14ac:dyDescent="0.25">
      <c r="A666" s="103"/>
      <c r="B666" s="57" t="str">
        <f>IF($A666=0,"",VLOOKUP($A666,'BASE EQUIPO'!$A:$D,2))</f>
        <v/>
      </c>
      <c r="C666" s="58"/>
      <c r="D666" s="85"/>
      <c r="E666" s="86" t="str">
        <f>IF($A666=0,"",VLOOKUP($A666,'BASE EQUIPO'!$A:$D,3))</f>
        <v/>
      </c>
      <c r="F666" s="59"/>
      <c r="G666" s="59" t="str">
        <f>IF($A666=0,"",VLOOKUP($A666,'BASE EQUIPO'!$A:$D,4)*H663)</f>
        <v/>
      </c>
      <c r="H666" s="60" t="str">
        <f>IF($A666=0,"",ROUND(F666*G666,2))</f>
        <v/>
      </c>
      <c r="I666" s="5"/>
    </row>
    <row r="667" spans="1:9" s="4" customFormat="1" ht="15.75" thickBot="1" x14ac:dyDescent="0.3">
      <c r="A667" s="103"/>
      <c r="B667" s="87" t="s">
        <v>1674</v>
      </c>
      <c r="C667" s="88"/>
      <c r="D667" s="89"/>
      <c r="E667" s="89"/>
      <c r="F667" s="89"/>
      <c r="G667" s="89"/>
      <c r="H667" s="90">
        <f>ROUND(SUM(H663:H666),2)</f>
        <v>0.19</v>
      </c>
      <c r="I667" s="5"/>
    </row>
    <row r="668" spans="1:9" s="4" customFormat="1" ht="15.75" x14ac:dyDescent="0.25">
      <c r="A668" s="103"/>
      <c r="B668" s="2"/>
      <c r="C668" s="2"/>
      <c r="D668" s="91" t="s">
        <v>1673</v>
      </c>
      <c r="E668" s="177"/>
      <c r="F668" s="177"/>
      <c r="G668" s="177"/>
      <c r="H668" s="92">
        <f>ROUND(SUM(H667,H661,H642,H632),2)</f>
        <v>13.27</v>
      </c>
      <c r="I668" s="5"/>
    </row>
    <row r="669" spans="1:9" s="4" customFormat="1" ht="15.75" x14ac:dyDescent="0.25">
      <c r="A669" s="103">
        <v>40002</v>
      </c>
      <c r="B669" s="2"/>
      <c r="C669" s="2"/>
      <c r="D669" s="93" t="s">
        <v>1672</v>
      </c>
      <c r="E669" s="166"/>
      <c r="F669" s="166"/>
      <c r="G669" s="178">
        <f>IF($A669=0,"",VLOOKUP($A669,'BASE MATERIAL'!$M:$P,4))</f>
        <v>0</v>
      </c>
      <c r="H669" s="95">
        <f>IF($A669=0,"",ROUND(G669*H668,2))</f>
        <v>0</v>
      </c>
      <c r="I669" s="5"/>
    </row>
    <row r="670" spans="1:9" s="4" customFormat="1" ht="15.75" x14ac:dyDescent="0.25">
      <c r="A670" s="103">
        <v>40003</v>
      </c>
      <c r="B670" s="2"/>
      <c r="C670" s="2"/>
      <c r="D670" s="93" t="s">
        <v>1671</v>
      </c>
      <c r="E670" s="166"/>
      <c r="F670" s="166"/>
      <c r="G670" s="178">
        <f>IF($A670=0,"",VLOOKUP($A670,'BASE MATERIAL'!$M:$P,4))</f>
        <v>0</v>
      </c>
      <c r="H670" s="95">
        <f>IF($A670=0,"",ROUND(G670*H668,2))</f>
        <v>0</v>
      </c>
      <c r="I670" s="5"/>
    </row>
    <row r="671" spans="1:9" s="4" customFormat="1" ht="15.75" x14ac:dyDescent="0.25">
      <c r="A671" s="103"/>
      <c r="B671" s="2"/>
      <c r="C671" s="2"/>
      <c r="D671" s="93" t="s">
        <v>1670</v>
      </c>
      <c r="E671" s="166"/>
      <c r="F671" s="166"/>
      <c r="G671" s="166"/>
      <c r="H671" s="96">
        <f>ROUND(SUM(H668:H670),2)</f>
        <v>13.27</v>
      </c>
      <c r="I671" s="5"/>
    </row>
    <row r="672" spans="1:9" s="4" customFormat="1" ht="16.5" thickBot="1" x14ac:dyDescent="0.3">
      <c r="A672" s="103"/>
      <c r="B672" s="25"/>
      <c r="C672" s="5"/>
      <c r="D672" s="97" t="s">
        <v>1650</v>
      </c>
      <c r="E672" s="179"/>
      <c r="F672" s="179"/>
      <c r="G672" s="179"/>
      <c r="H672" s="98">
        <f>ROUND(H671,2)</f>
        <v>13.27</v>
      </c>
      <c r="I672" s="5"/>
    </row>
    <row r="673" spans="1:15" ht="15.75" x14ac:dyDescent="0.25">
      <c r="B673" s="34" t="s">
        <v>1701</v>
      </c>
      <c r="C673" s="5"/>
      <c r="D673" s="157" t="str">
        <f>$D$113</f>
        <v>ESPOL</v>
      </c>
      <c r="E673" s="2"/>
      <c r="F673" s="2"/>
      <c r="H673" s="2" t="s">
        <v>108</v>
      </c>
      <c r="I673" s="2"/>
      <c r="L673" s="40">
        <f>A677</f>
        <v>1</v>
      </c>
      <c r="M673" s="2" t="str">
        <f>C678</f>
        <v>Pilaretes h. armado   6,5x20cm</v>
      </c>
      <c r="N673" s="2" t="str">
        <f>H677</f>
        <v>ml</v>
      </c>
      <c r="O673" s="2">
        <f>H728</f>
        <v>12.45</v>
      </c>
    </row>
    <row r="674" spans="1:15" s="4" customFormat="1" ht="15.75" x14ac:dyDescent="0.25">
      <c r="A674" s="103"/>
      <c r="B674" s="34" t="s">
        <v>1700</v>
      </c>
      <c r="C674" s="3">
        <f>'1.1'!$C$2</f>
        <v>0</v>
      </c>
      <c r="D674" s="5"/>
      <c r="E674" s="5"/>
      <c r="F674" s="5"/>
      <c r="G674" s="158" t="s">
        <v>1699</v>
      </c>
      <c r="H674" s="159"/>
      <c r="I674" s="5" t="s">
        <v>1698</v>
      </c>
    </row>
    <row r="675" spans="1:15" s="4" customFormat="1" ht="15.75" x14ac:dyDescent="0.25">
      <c r="A675" s="103"/>
      <c r="B675" s="34"/>
      <c r="C675" s="3">
        <f>'1.1'!$C$3</f>
        <v>0</v>
      </c>
      <c r="D675" s="5"/>
      <c r="E675" s="5"/>
      <c r="F675" s="5"/>
      <c r="G675" s="5"/>
      <c r="H675" s="5"/>
      <c r="I675" s="5"/>
    </row>
    <row r="676" spans="1:15" s="4" customFormat="1" ht="15.75" x14ac:dyDescent="0.25">
      <c r="A676" s="103"/>
      <c r="B676" s="34" t="s">
        <v>1697</v>
      </c>
      <c r="C676" s="3"/>
      <c r="D676" s="5"/>
      <c r="E676" s="5"/>
      <c r="F676" s="5"/>
      <c r="G676" s="5"/>
      <c r="H676" s="5"/>
      <c r="I676" s="5"/>
    </row>
    <row r="677" spans="1:15" x14ac:dyDescent="0.25">
      <c r="A677" s="104">
        <v>1</v>
      </c>
      <c r="B677" s="2" t="s">
        <v>1586</v>
      </c>
      <c r="C677" s="111" t="s">
        <v>1553</v>
      </c>
      <c r="D677" s="5"/>
      <c r="E677" s="4"/>
      <c r="F677" s="4"/>
      <c r="G677" s="5" t="s">
        <v>1696</v>
      </c>
      <c r="H677" s="157" t="s">
        <v>961</v>
      </c>
      <c r="I677" s="2"/>
    </row>
    <row r="678" spans="1:15" s="4" customFormat="1" x14ac:dyDescent="0.25">
      <c r="A678" s="103"/>
      <c r="B678" s="1" t="s">
        <v>1585</v>
      </c>
      <c r="C678" s="36" t="s">
        <v>283</v>
      </c>
      <c r="D678" s="5"/>
      <c r="E678" s="5"/>
      <c r="F678" s="5"/>
      <c r="G678" s="5"/>
      <c r="H678" s="5"/>
      <c r="I678" s="5"/>
    </row>
    <row r="679" spans="1:15" ht="15.75" thickBot="1" x14ac:dyDescent="0.3">
      <c r="D679" s="2"/>
      <c r="E679" s="2"/>
      <c r="F679" s="2"/>
      <c r="G679" s="2"/>
      <c r="H679" s="2"/>
      <c r="I679" s="2"/>
    </row>
    <row r="680" spans="1:15" ht="15.75" thickBot="1" x14ac:dyDescent="0.3">
      <c r="B680" s="43" t="s">
        <v>1695</v>
      </c>
      <c r="C680" s="44"/>
      <c r="D680" s="44"/>
      <c r="E680" s="44"/>
      <c r="F680" s="44"/>
      <c r="G680" s="44"/>
      <c r="H680" s="45"/>
      <c r="I680" s="2"/>
    </row>
    <row r="681" spans="1:15" ht="25.5" x14ac:dyDescent="0.25">
      <c r="B681" s="46" t="s">
        <v>1409</v>
      </c>
      <c r="C681" s="47"/>
      <c r="D681" s="48" t="s">
        <v>1690</v>
      </c>
      <c r="E681" s="48" t="s">
        <v>1694</v>
      </c>
      <c r="F681" s="48" t="s">
        <v>1693</v>
      </c>
      <c r="G681" s="49" t="s">
        <v>1687</v>
      </c>
      <c r="H681" s="50" t="s">
        <v>1686</v>
      </c>
      <c r="I681" s="2"/>
    </row>
    <row r="682" spans="1:15" s="4" customFormat="1" x14ac:dyDescent="0.25">
      <c r="A682" s="103">
        <v>19015</v>
      </c>
      <c r="B682" s="51" t="str">
        <f>IF($A682=0,"",VLOOKUP($A682,'BASE EQUIPO'!$A:$D,2))</f>
        <v>HERRAMIENTA MENOR</v>
      </c>
      <c r="C682" s="52"/>
      <c r="D682" s="53">
        <v>1</v>
      </c>
      <c r="E682" s="53">
        <f>IF($A682=0,"",VLOOKUP($A682,'BASE EQUIPO'!$A:$D,4)*H698)</f>
        <v>0.1704</v>
      </c>
      <c r="F682" s="53">
        <f t="shared" ref="F682:F687" si="60">IF($A682=0,"",ROUND(D682*E682,2))</f>
        <v>0.17</v>
      </c>
      <c r="G682" s="105">
        <v>1</v>
      </c>
      <c r="H682" s="54">
        <f t="shared" ref="H682:H687" si="61">IF($A682=0,"",ROUND(G682*F682,2))</f>
        <v>0.17</v>
      </c>
      <c r="I682" s="5"/>
    </row>
    <row r="683" spans="1:15" s="4" customFormat="1" x14ac:dyDescent="0.25">
      <c r="A683" s="103">
        <v>19003</v>
      </c>
      <c r="B683" s="38" t="str">
        <f>IF($A683=0,"",VLOOKUP($A683,'BASE EQUIPO'!$A:$D,2))</f>
        <v>CONCRETERA</v>
      </c>
      <c r="C683" s="2"/>
      <c r="D683" s="55">
        <v>1</v>
      </c>
      <c r="E683" s="55">
        <f>IF($A683=0,"",VLOOKUP($A683,'BASE EQUIPO'!$A:$D,4))</f>
        <v>3.5</v>
      </c>
      <c r="F683" s="55">
        <f t="shared" si="60"/>
        <v>3.5</v>
      </c>
      <c r="G683" s="106">
        <f>ROUND(G692*0.5,2)</f>
        <v>0.1</v>
      </c>
      <c r="H683" s="56">
        <f t="shared" si="61"/>
        <v>0.35</v>
      </c>
      <c r="I683" s="5"/>
    </row>
    <row r="684" spans="1:15" s="4" customFormat="1" x14ac:dyDescent="0.25">
      <c r="A684" s="103"/>
      <c r="B684" s="38" t="str">
        <f>IF($A684=0,"",VLOOKUP($A684,'BASE EQUIPO'!$A:$D,2))</f>
        <v/>
      </c>
      <c r="C684" s="2"/>
      <c r="D684" s="55"/>
      <c r="E684" s="55" t="str">
        <f>IF($A684=0,"",VLOOKUP($A684,'BASE EQUIPO'!$A:$D,4))</f>
        <v/>
      </c>
      <c r="F684" s="55" t="str">
        <f t="shared" si="60"/>
        <v/>
      </c>
      <c r="G684" s="106"/>
      <c r="H684" s="56" t="str">
        <f t="shared" si="61"/>
        <v/>
      </c>
      <c r="I684" s="5"/>
    </row>
    <row r="685" spans="1:15" s="4" customFormat="1" x14ac:dyDescent="0.25">
      <c r="A685" s="103"/>
      <c r="B685" s="38" t="str">
        <f>IF($A685=0,"",VLOOKUP($A685,'BASE EQUIPO'!$A:$D,2))</f>
        <v/>
      </c>
      <c r="C685" s="2"/>
      <c r="D685" s="55"/>
      <c r="E685" s="55" t="str">
        <f>IF($A685=0,"",VLOOKUP($A685,'BASE EQUIPO'!$A:$D,4))</f>
        <v/>
      </c>
      <c r="F685" s="55" t="str">
        <f t="shared" si="60"/>
        <v/>
      </c>
      <c r="G685" s="106"/>
      <c r="H685" s="56" t="str">
        <f t="shared" si="61"/>
        <v/>
      </c>
      <c r="I685" s="5"/>
    </row>
    <row r="686" spans="1:15" s="4" customFormat="1" x14ac:dyDescent="0.25">
      <c r="A686" s="103"/>
      <c r="B686" s="38" t="str">
        <f>IF($A686=0,"",VLOOKUP($A686,'BASE EQUIPO'!$A:$D,2))</f>
        <v/>
      </c>
      <c r="C686" s="2"/>
      <c r="D686" s="55"/>
      <c r="E686" s="55" t="str">
        <f>IF($A686=0,"",VLOOKUP($A686,'BASE EQUIPO'!$A:$D,4))</f>
        <v/>
      </c>
      <c r="F686" s="55" t="str">
        <f t="shared" si="60"/>
        <v/>
      </c>
      <c r="G686" s="106"/>
      <c r="H686" s="56" t="str">
        <f t="shared" si="61"/>
        <v/>
      </c>
      <c r="I686" s="5"/>
    </row>
    <row r="687" spans="1:15" s="4" customFormat="1" x14ac:dyDescent="0.25">
      <c r="A687" s="103"/>
      <c r="B687" s="57" t="str">
        <f>IF($A687=0,"",VLOOKUP($A687,'BASE EQUIPO'!$A:$D,2))</f>
        <v/>
      </c>
      <c r="C687" s="58"/>
      <c r="D687" s="59"/>
      <c r="E687" s="59" t="str">
        <f>IF($A687=0,"",VLOOKUP($A687,'BASE EQUIPO'!$A:$D,4))</f>
        <v/>
      </c>
      <c r="F687" s="59" t="str">
        <f t="shared" si="60"/>
        <v/>
      </c>
      <c r="G687" s="107"/>
      <c r="H687" s="60" t="str">
        <f t="shared" si="61"/>
        <v/>
      </c>
      <c r="I687" s="5"/>
    </row>
    <row r="688" spans="1:15" s="4" customFormat="1" x14ac:dyDescent="0.25">
      <c r="A688" s="103"/>
      <c r="B688" s="57" t="s">
        <v>1692</v>
      </c>
      <c r="C688" s="58"/>
      <c r="D688" s="61"/>
      <c r="E688" s="61"/>
      <c r="F688" s="61"/>
      <c r="G688" s="62"/>
      <c r="H688" s="60">
        <f>ROUND(SUM(H681:H687),2)</f>
        <v>0.52</v>
      </c>
      <c r="I688" s="5"/>
    </row>
    <row r="689" spans="1:16" s="4" customFormat="1" x14ac:dyDescent="0.25">
      <c r="A689" s="103"/>
      <c r="B689" s="38" t="s">
        <v>1503</v>
      </c>
      <c r="C689" s="2"/>
      <c r="D689" s="3"/>
      <c r="E689" s="3"/>
      <c r="F689" s="3"/>
      <c r="G689" s="63"/>
      <c r="H689" s="56"/>
      <c r="I689" s="5"/>
    </row>
    <row r="690" spans="1:16" ht="25.5" x14ac:dyDescent="0.25">
      <c r="B690" s="64" t="s">
        <v>1691</v>
      </c>
      <c r="C690" s="65"/>
      <c r="D690" s="66" t="s">
        <v>1690</v>
      </c>
      <c r="E690" s="66" t="s">
        <v>1689</v>
      </c>
      <c r="F690" s="66" t="s">
        <v>1688</v>
      </c>
      <c r="G690" s="67" t="s">
        <v>1687</v>
      </c>
      <c r="H690" s="68" t="s">
        <v>1686</v>
      </c>
      <c r="I690" s="2"/>
    </row>
    <row r="691" spans="1:16" s="4" customFormat="1" x14ac:dyDescent="0.25">
      <c r="A691" s="103">
        <v>20001</v>
      </c>
      <c r="B691" s="69" t="str">
        <f>IF($A691=0,"",VLOOKUP($A691,'BASE M-OBRA'!$A:$D,2))</f>
        <v>MAESTRO</v>
      </c>
      <c r="C691" s="2"/>
      <c r="D691" s="108">
        <v>1</v>
      </c>
      <c r="E691" s="70">
        <f>IF($A691=0,"",VLOOKUP($A691,'BASE M-OBRA'!$A:$D,4))</f>
        <v>3.02</v>
      </c>
      <c r="F691" s="55">
        <f t="shared" ref="F691:F697" si="62">IF($A691=0,"",ROUND(D691*E691,2))</f>
        <v>3.02</v>
      </c>
      <c r="G691" s="106">
        <f>IF($A691=0,"",ROUND(H691/F691,2))</f>
        <v>0.31</v>
      </c>
      <c r="H691" s="56">
        <f>IF($A691=0,"",ROUND(SUM(H692:H697)*'BASE M-OBRA'!$D$23,2))</f>
        <v>0.95</v>
      </c>
      <c r="I691" s="5"/>
    </row>
    <row r="692" spans="1:16" s="4" customFormat="1" x14ac:dyDescent="0.25">
      <c r="A692" s="103">
        <v>20002</v>
      </c>
      <c r="B692" s="69" t="str">
        <f>IF($A692=0,"",VLOOKUP($A692,'BASE M-OBRA'!$A:$D,2))</f>
        <v>PEON</v>
      </c>
      <c r="C692" s="2"/>
      <c r="D692" s="108">
        <v>2</v>
      </c>
      <c r="E692" s="70">
        <f>IF($A692=0,"",VLOOKUP($A692,'BASE M-OBRA'!$A:$D,4))</f>
        <v>2.79</v>
      </c>
      <c r="F692" s="55">
        <f t="shared" si="62"/>
        <v>5.58</v>
      </c>
      <c r="G692" s="106">
        <v>0.2</v>
      </c>
      <c r="H692" s="56">
        <f t="shared" ref="H692:H697" si="63">IF($A692=0,"",ROUND(G692*F692,2))</f>
        <v>1.1200000000000001</v>
      </c>
      <c r="I692" s="5"/>
    </row>
    <row r="693" spans="1:16" s="4" customFormat="1" x14ac:dyDescent="0.25">
      <c r="A693" s="103">
        <v>20003</v>
      </c>
      <c r="B693" s="69" t="str">
        <f>IF($A693=0,"",VLOOKUP($A693,'BASE M-OBRA'!$A:$D,2))</f>
        <v>ALBAÑIL</v>
      </c>
      <c r="C693" s="2"/>
      <c r="D693" s="108">
        <v>2</v>
      </c>
      <c r="E693" s="70">
        <f>IF($A693=0,"",VLOOKUP($A693,'BASE M-OBRA'!$A:$D,4))</f>
        <v>2.82</v>
      </c>
      <c r="F693" s="55">
        <f t="shared" si="62"/>
        <v>5.64</v>
      </c>
      <c r="G693" s="106">
        <f>+G692</f>
        <v>0.2</v>
      </c>
      <c r="H693" s="56">
        <f t="shared" si="63"/>
        <v>1.1299999999999999</v>
      </c>
      <c r="I693" s="5"/>
    </row>
    <row r="694" spans="1:16" s="4" customFormat="1" x14ac:dyDescent="0.25">
      <c r="A694" s="103">
        <v>20004</v>
      </c>
      <c r="B694" s="71" t="str">
        <f>IF($A694=0,"",VLOOKUP($A694,'BASE M-OBRA'!$A:$D,2))</f>
        <v>CARPINTERO</v>
      </c>
      <c r="C694" s="2"/>
      <c r="D694" s="108">
        <v>2</v>
      </c>
      <c r="E694" s="70">
        <f>IF($A694=0,"",VLOOKUP($A694,'BASE M-OBRA'!$A:$D,4))</f>
        <v>2.82</v>
      </c>
      <c r="F694" s="55">
        <f t="shared" si="62"/>
        <v>5.64</v>
      </c>
      <c r="G694" s="106">
        <v>0.28000000000000003</v>
      </c>
      <c r="H694" s="56">
        <f t="shared" si="63"/>
        <v>1.58</v>
      </c>
      <c r="I694" s="5"/>
    </row>
    <row r="695" spans="1:16" s="4" customFormat="1" x14ac:dyDescent="0.25">
      <c r="A695" s="103">
        <v>20005</v>
      </c>
      <c r="B695" s="72" t="str">
        <f>IF($A695=0,"",VLOOKUP($A695,'BASE M-OBRA'!$A:$D,2))</f>
        <v>FIERRERO</v>
      </c>
      <c r="C695" s="2"/>
      <c r="D695" s="108">
        <v>2</v>
      </c>
      <c r="E695" s="70">
        <f>IF($A695=0,"",VLOOKUP($A695,'BASE M-OBRA'!$A:$D,4))</f>
        <v>2.82</v>
      </c>
      <c r="F695" s="55">
        <f t="shared" si="62"/>
        <v>5.64</v>
      </c>
      <c r="G695" s="106">
        <v>0.16</v>
      </c>
      <c r="H695" s="56">
        <f t="shared" si="63"/>
        <v>0.9</v>
      </c>
      <c r="I695" s="5"/>
    </row>
    <row r="696" spans="1:16" s="4" customFormat="1" x14ac:dyDescent="0.25">
      <c r="A696" s="103"/>
      <c r="B696" s="38" t="str">
        <f>IF($A696=0,"",VLOOKUP($A696,'BASE M-OBRA'!$A:$D,2))</f>
        <v/>
      </c>
      <c r="C696" s="2"/>
      <c r="D696" s="55"/>
      <c r="E696" s="55" t="str">
        <f>IF($A696=0,"",VLOOKUP($A696,'BASE M-OBRA'!$A:$D,4))</f>
        <v/>
      </c>
      <c r="F696" s="55" t="str">
        <f t="shared" si="62"/>
        <v/>
      </c>
      <c r="G696" s="106"/>
      <c r="H696" s="56" t="str">
        <f t="shared" si="63"/>
        <v/>
      </c>
      <c r="I696" s="5"/>
    </row>
    <row r="697" spans="1:16" s="4" customFormat="1" x14ac:dyDescent="0.25">
      <c r="A697" s="103"/>
      <c r="B697" s="57" t="str">
        <f>IF($A697=0,"",VLOOKUP($A697,'BASE M-OBRA'!$A:$D,2))</f>
        <v/>
      </c>
      <c r="C697" s="58"/>
      <c r="D697" s="59"/>
      <c r="E697" s="59" t="str">
        <f>IF($A697=0,"",VLOOKUP($A697,'BASE M-OBRA'!$A:$D,4))</f>
        <v/>
      </c>
      <c r="F697" s="59" t="str">
        <f t="shared" si="62"/>
        <v/>
      </c>
      <c r="G697" s="107"/>
      <c r="H697" s="60" t="str">
        <f t="shared" si="63"/>
        <v/>
      </c>
      <c r="I697" s="5"/>
    </row>
    <row r="698" spans="1:16" s="4" customFormat="1" x14ac:dyDescent="0.25">
      <c r="A698" s="103"/>
      <c r="B698" s="73" t="s">
        <v>1685</v>
      </c>
      <c r="C698" s="65"/>
      <c r="D698" s="74"/>
      <c r="E698" s="74"/>
      <c r="F698" s="74"/>
      <c r="G698" s="74"/>
      <c r="H698" s="75">
        <f>ROUND(SUM(H690:H697),2)</f>
        <v>5.68</v>
      </c>
      <c r="I698" s="5"/>
    </row>
    <row r="699" spans="1:16" s="4" customFormat="1" x14ac:dyDescent="0.25">
      <c r="A699" s="103"/>
      <c r="B699" s="38" t="s">
        <v>1684</v>
      </c>
      <c r="C699" s="2"/>
      <c r="D699" s="3"/>
      <c r="E699" s="3"/>
      <c r="F699" s="3"/>
      <c r="G699" s="3"/>
      <c r="H699" s="56"/>
      <c r="I699" s="5"/>
    </row>
    <row r="700" spans="1:16" ht="25.5" x14ac:dyDescent="0.25">
      <c r="B700" s="64" t="s">
        <v>1409</v>
      </c>
      <c r="C700" s="65"/>
      <c r="D700" s="76"/>
      <c r="E700" s="66" t="s">
        <v>1408</v>
      </c>
      <c r="F700" s="66" t="s">
        <v>1679</v>
      </c>
      <c r="G700" s="66" t="s">
        <v>1683</v>
      </c>
      <c r="H700" s="68" t="s">
        <v>1675</v>
      </c>
      <c r="I700" s="2"/>
    </row>
    <row r="701" spans="1:16" s="4" customFormat="1" x14ac:dyDescent="0.25">
      <c r="A701" s="103">
        <v>11008</v>
      </c>
      <c r="B701" s="37" t="str">
        <f>IF($A701=0,"",VLOOKUP($A701,'BASE MATERIAL'!$A:$D,2))</f>
        <v>TABLA</v>
      </c>
      <c r="C701" s="2"/>
      <c r="D701" s="77"/>
      <c r="E701" s="78" t="str">
        <f>IF($A701=0,"",VLOOKUP($A701,'BASE MATERIAL'!$A:$D,3))</f>
        <v>U</v>
      </c>
      <c r="F701" s="55">
        <f>ROUND(0.55*5/(4*3),2)</f>
        <v>0.23</v>
      </c>
      <c r="G701" s="55">
        <f>IF($A701=0,"",VLOOKUP($A701,'BASE MATERIAL'!$A:$D,4))</f>
        <v>3.5</v>
      </c>
      <c r="H701" s="56">
        <f t="shared" ref="H701:H711" si="64">IF($A701=0,"",ROUND(F701*G701,2))</f>
        <v>0.81</v>
      </c>
      <c r="I701" s="5"/>
      <c r="L701" s="5"/>
      <c r="M701" s="5"/>
      <c r="N701" s="160"/>
      <c r="O701" s="5"/>
      <c r="P701" s="5"/>
    </row>
    <row r="702" spans="1:16" s="4" customFormat="1" x14ac:dyDescent="0.25">
      <c r="A702" s="103">
        <v>11009</v>
      </c>
      <c r="B702" s="38" t="str">
        <f>IF($A702=0,"",VLOOKUP($A702,'BASE MATERIAL'!$A:$D,2))</f>
        <v>CUARTON</v>
      </c>
      <c r="C702" s="2"/>
      <c r="D702" s="77"/>
      <c r="E702" s="78" t="str">
        <f>IF($A702=0,"",VLOOKUP($A702,'BASE MATERIAL'!$A:$D,3))</f>
        <v>U</v>
      </c>
      <c r="F702" s="55">
        <f>ROUND(0.55*8/(4*3),2)</f>
        <v>0.37</v>
      </c>
      <c r="G702" s="55">
        <f>IF($A702=0,"",VLOOKUP($A702,'BASE MATERIAL'!$A:$D,4))</f>
        <v>2.42</v>
      </c>
      <c r="H702" s="56">
        <f t="shared" si="64"/>
        <v>0.9</v>
      </c>
      <c r="I702" s="5"/>
      <c r="L702" s="5"/>
      <c r="M702" s="5"/>
      <c r="N702" s="160"/>
      <c r="O702" s="5"/>
      <c r="P702" s="5"/>
    </row>
    <row r="703" spans="1:16" s="4" customFormat="1" x14ac:dyDescent="0.25">
      <c r="A703" s="103">
        <v>11007</v>
      </c>
      <c r="B703" s="38" t="str">
        <f>IF($A703=0,"",VLOOKUP($A703,'BASE MATERIAL'!$A:$D,2))</f>
        <v>CLAVO 2 1/2"</v>
      </c>
      <c r="C703" s="2"/>
      <c r="D703" s="77"/>
      <c r="E703" s="78" t="str">
        <f>IF($A703=0,"",VLOOKUP($A703,'BASE MATERIAL'!$A:$D,3))</f>
        <v>KG</v>
      </c>
      <c r="F703" s="55">
        <f>ROUND(0.55*56/(178*1.5),2)</f>
        <v>0.12</v>
      </c>
      <c r="G703" s="55">
        <f>IF($A703=0,"",VLOOKUP($A703,'BASE MATERIAL'!$A:$D,4))</f>
        <v>2.6520000000000001</v>
      </c>
      <c r="H703" s="56">
        <f t="shared" si="64"/>
        <v>0.32</v>
      </c>
      <c r="I703" s="5"/>
      <c r="L703" s="5"/>
      <c r="M703" s="5"/>
      <c r="N703" s="160"/>
      <c r="O703" s="5"/>
      <c r="P703" s="5"/>
    </row>
    <row r="704" spans="1:16" s="4" customFormat="1" x14ac:dyDescent="0.25">
      <c r="A704" s="103">
        <v>1001</v>
      </c>
      <c r="B704" s="38" t="str">
        <f>IF($A704=0,"",VLOOKUP($A704,'BASE MATERIAL'!$A:$D,2))</f>
        <v>HIERRO</v>
      </c>
      <c r="C704" s="2"/>
      <c r="D704" s="77"/>
      <c r="E704" s="78" t="str">
        <f>IF($A704=0,"",VLOOKUP($A704,'BASE MATERIAL'!$A:$D,3))</f>
        <v>KG</v>
      </c>
      <c r="F704" s="55">
        <f>2*0.617+11*0.3*0.394</f>
        <v>2.5342000000000002</v>
      </c>
      <c r="G704" s="55">
        <f>IF($A704=0,"",VLOOKUP($A704,'BASE MATERIAL'!$A:$D,4))</f>
        <v>1.17</v>
      </c>
      <c r="H704" s="56">
        <f t="shared" si="64"/>
        <v>2.97</v>
      </c>
      <c r="I704" s="5"/>
      <c r="L704" s="5"/>
      <c r="M704" s="5"/>
      <c r="N704" s="160"/>
      <c r="O704" s="5"/>
      <c r="P704" s="5"/>
    </row>
    <row r="705" spans="1:16" s="4" customFormat="1" x14ac:dyDescent="0.25">
      <c r="A705" s="103">
        <v>11002</v>
      </c>
      <c r="B705" s="38" t="str">
        <f>IF($A705=0,"",VLOOKUP($A705,'BASE MATERIAL'!$A:$D,2))</f>
        <v>ALAMBRE #18 RECOCIDO</v>
      </c>
      <c r="C705" s="2"/>
      <c r="D705" s="77"/>
      <c r="E705" s="78" t="str">
        <f>IF($A705=0,"",VLOOKUP($A705,'BASE MATERIAL'!$A:$D,3))</f>
        <v>KG</v>
      </c>
      <c r="F705" s="55">
        <f>ROUND(F704*0.02,2)</f>
        <v>0.05</v>
      </c>
      <c r="G705" s="55">
        <f>IF($A705=0,"",VLOOKUP($A705,'BASE MATERIAL'!$A:$D,4))</f>
        <v>1.87</v>
      </c>
      <c r="H705" s="56">
        <f t="shared" si="64"/>
        <v>0.09</v>
      </c>
      <c r="I705" s="5"/>
      <c r="L705" s="5"/>
      <c r="M705" s="5"/>
      <c r="N705" s="160"/>
      <c r="O705" s="5"/>
      <c r="P705" s="5"/>
    </row>
    <row r="706" spans="1:16" s="4" customFormat="1" x14ac:dyDescent="0.25">
      <c r="A706" s="103">
        <v>4001</v>
      </c>
      <c r="B706" s="38" t="str">
        <f>IF($A706=0,"",VLOOKUP($A706,'BASE MATERIAL'!$A:$D,2))</f>
        <v>CEMENTO</v>
      </c>
      <c r="C706" s="2"/>
      <c r="D706" s="77"/>
      <c r="E706" s="78" t="str">
        <f>IF($A706=0,"",VLOOKUP($A706,'BASE MATERIAL'!$A:$D,3))</f>
        <v>SACO</v>
      </c>
      <c r="F706" s="55">
        <f>ROUND(7*0.07*0.2,2)</f>
        <v>0.1</v>
      </c>
      <c r="G706" s="55">
        <f>IF($A706=0,"",VLOOKUP($A706,'BASE MATERIAL'!$A:$D,4))</f>
        <v>7.09</v>
      </c>
      <c r="H706" s="56">
        <f t="shared" si="64"/>
        <v>0.71</v>
      </c>
      <c r="I706" s="5"/>
      <c r="L706" s="5"/>
      <c r="M706" s="5"/>
      <c r="N706" s="160"/>
      <c r="O706" s="5"/>
      <c r="P706" s="5"/>
    </row>
    <row r="707" spans="1:16" s="4" customFormat="1" x14ac:dyDescent="0.25">
      <c r="A707" s="103">
        <v>5004</v>
      </c>
      <c r="B707" s="38" t="str">
        <f>IF($A707=0,"",VLOOKUP($A707,'BASE MATERIAL'!$A:$D,2))</f>
        <v>ARENA</v>
      </c>
      <c r="C707" s="2"/>
      <c r="D707" s="77"/>
      <c r="E707" s="78" t="str">
        <f>IF($A707=0,"",VLOOKUP($A707,'BASE MATERIAL'!$A:$D,3))</f>
        <v>M3</v>
      </c>
      <c r="F707" s="55">
        <f>ROUND(F706*0.032*2,2)</f>
        <v>0.01</v>
      </c>
      <c r="G707" s="55">
        <f>IF($A707=0,"",VLOOKUP($A707,'BASE MATERIAL'!$A:$D,4))</f>
        <v>12.276249999999999</v>
      </c>
      <c r="H707" s="56">
        <f t="shared" si="64"/>
        <v>0.12</v>
      </c>
      <c r="I707" s="5"/>
      <c r="L707" s="5"/>
      <c r="M707" s="5"/>
      <c r="N707" s="160"/>
      <c r="O707" s="5"/>
      <c r="P707" s="5"/>
    </row>
    <row r="708" spans="1:16" s="4" customFormat="1" x14ac:dyDescent="0.25">
      <c r="A708" s="103">
        <v>5002</v>
      </c>
      <c r="B708" s="38" t="str">
        <f>IF($A708=0,"",VLOOKUP($A708,'BASE MATERIAL'!$A:$D,2))</f>
        <v>PIEDRA 3-4</v>
      </c>
      <c r="C708" s="2"/>
      <c r="D708" s="77"/>
      <c r="E708" s="78" t="str">
        <f>IF($A708=0,"",VLOOKUP($A708,'BASE MATERIAL'!$A:$D,3))</f>
        <v>M3</v>
      </c>
      <c r="F708" s="55">
        <f>ROUND(F706*0.032*3,2)</f>
        <v>0.01</v>
      </c>
      <c r="G708" s="55">
        <f>IF($A708=0,"",VLOOKUP($A708,'BASE MATERIAL'!$A:$D,4))</f>
        <v>13.75</v>
      </c>
      <c r="H708" s="56">
        <f t="shared" si="64"/>
        <v>0.14000000000000001</v>
      </c>
      <c r="I708" s="5"/>
      <c r="L708" s="5"/>
      <c r="M708" s="5"/>
      <c r="N708" s="160"/>
      <c r="O708" s="5"/>
      <c r="P708" s="5"/>
    </row>
    <row r="709" spans="1:16" s="4" customFormat="1" x14ac:dyDescent="0.25">
      <c r="A709" s="103">
        <v>5005</v>
      </c>
      <c r="B709" s="38" t="str">
        <f>IF($A709=0,"",VLOOKUP($A709,'BASE MATERIAL'!$A:$D,2))</f>
        <v>AGUA</v>
      </c>
      <c r="C709" s="2"/>
      <c r="D709" s="77"/>
      <c r="E709" s="78" t="str">
        <f>IF($A709=0,"",VLOOKUP($A709,'BASE MATERIAL'!$A:$D,3))</f>
        <v>LT</v>
      </c>
      <c r="F709" s="55">
        <f>ROUND(26*F706,2)</f>
        <v>2.6</v>
      </c>
      <c r="G709" s="80">
        <f>IF($A709=0,"",VLOOKUP($A709,'BASE MATERIAL'!$A:$D,4))</f>
        <v>2E-3</v>
      </c>
      <c r="H709" s="56">
        <f t="shared" si="64"/>
        <v>0.01</v>
      </c>
      <c r="I709" s="5"/>
    </row>
    <row r="710" spans="1:16" s="4" customFormat="1" x14ac:dyDescent="0.25">
      <c r="A710" s="103"/>
      <c r="B710" s="38" t="str">
        <f>IF($A710=0,"",VLOOKUP($A710,'BASE MATERIAL'!$A:$D,2))</f>
        <v/>
      </c>
      <c r="C710" s="2"/>
      <c r="D710" s="77"/>
      <c r="E710" s="78" t="str">
        <f>IF($A710=0,"",VLOOKUP($A710,'BASE MATERIAL'!$A:$D,3))</f>
        <v/>
      </c>
      <c r="F710" s="55"/>
      <c r="G710" s="55" t="str">
        <f>IF($A710=0,"",VLOOKUP($A710,'BASE MATERIAL'!$A:$D,4))</f>
        <v/>
      </c>
      <c r="H710" s="56" t="str">
        <f t="shared" si="64"/>
        <v/>
      </c>
      <c r="I710" s="5"/>
      <c r="L710" s="5"/>
      <c r="M710" s="5"/>
      <c r="N710" s="160"/>
      <c r="O710" s="5"/>
      <c r="P710" s="5"/>
    </row>
    <row r="711" spans="1:16" s="4" customFormat="1" x14ac:dyDescent="0.25">
      <c r="A711" s="103"/>
      <c r="B711" s="38" t="str">
        <f>IF($A711=0,"",VLOOKUP($A711,'BASE MATERIAL'!$A:$D,2))</f>
        <v/>
      </c>
      <c r="C711" s="2"/>
      <c r="D711" s="77"/>
      <c r="E711" s="78" t="str">
        <f>IF($A711=0,"",VLOOKUP($A711,'BASE MATERIAL'!$A:$D,3))</f>
        <v/>
      </c>
      <c r="F711" s="55"/>
      <c r="G711" s="55" t="str">
        <f>IF($A711=0,"",VLOOKUP($A711,'BASE MATERIAL'!$A:$D,4))</f>
        <v/>
      </c>
      <c r="H711" s="56" t="str">
        <f t="shared" si="64"/>
        <v/>
      </c>
      <c r="I711" s="5"/>
      <c r="L711" s="5"/>
      <c r="M711" s="5"/>
      <c r="N711" s="160"/>
      <c r="O711" s="5"/>
      <c r="P711" s="5"/>
    </row>
    <row r="712" spans="1:16" s="4" customFormat="1" x14ac:dyDescent="0.25">
      <c r="A712" s="103"/>
      <c r="B712" s="38" t="str">
        <f>IF($A712=0,"",VLOOKUP($A712,'BASE MATERIAL'!$A:$D,2))</f>
        <v/>
      </c>
      <c r="C712" s="2"/>
      <c r="D712" s="77"/>
      <c r="E712" s="78" t="str">
        <f>IF($A712=0,"",VLOOKUP($A712,'BASE MATERIAL'!$A:$D,3))</f>
        <v/>
      </c>
      <c r="F712" s="55"/>
      <c r="G712" s="55" t="str">
        <f>IF($A712=0,"",VLOOKUP($A712,'BASE MATERIAL'!$A:$D,4))</f>
        <v/>
      </c>
      <c r="H712" s="56" t="str">
        <f>IF($A712=0,"",ROUND(F712*G712,2))</f>
        <v/>
      </c>
      <c r="I712" s="5"/>
    </row>
    <row r="713" spans="1:16" s="4" customFormat="1" x14ac:dyDescent="0.25">
      <c r="A713" s="103"/>
      <c r="B713" s="38" t="str">
        <f>IF($A713=0,"",VLOOKUP($A713,'BASE MATERIAL'!$A:$D,2))</f>
        <v/>
      </c>
      <c r="C713" s="2"/>
      <c r="D713" s="77"/>
      <c r="E713" s="78" t="str">
        <f>IF($A713=0,"",VLOOKUP($A713,'BASE MATERIAL'!$A:$D,3))</f>
        <v/>
      </c>
      <c r="F713" s="55"/>
      <c r="G713" s="55" t="str">
        <f>IF($A713=0,"",VLOOKUP($A713,'BASE MATERIAL'!$A:$D,4))</f>
        <v/>
      </c>
      <c r="H713" s="56" t="str">
        <f>IF($A713=0,"",ROUND(F713*G713,2))</f>
        <v/>
      </c>
      <c r="I713" s="5"/>
    </row>
    <row r="714" spans="1:16" s="4" customFormat="1" x14ac:dyDescent="0.25">
      <c r="A714" s="103"/>
      <c r="B714" s="38" t="str">
        <f>IF($A714=0,"",VLOOKUP($A714,'BASE MATERIAL'!$A:$D,2))</f>
        <v/>
      </c>
      <c r="C714" s="2"/>
      <c r="D714" s="77"/>
      <c r="E714" s="78" t="str">
        <f>IF($A714=0,"",VLOOKUP($A714,'BASE MATERIAL'!$A:$D,3))</f>
        <v/>
      </c>
      <c r="F714" s="55"/>
      <c r="G714" s="55" t="str">
        <f>IF($A714=0,"",VLOOKUP($A714,'BASE MATERIAL'!$A:$D,4))</f>
        <v/>
      </c>
      <c r="H714" s="56" t="str">
        <f>IF($A714=0,"",ROUND(F714*G714,2))</f>
        <v/>
      </c>
      <c r="I714" s="5"/>
    </row>
    <row r="715" spans="1:16" s="4" customFormat="1" x14ac:dyDescent="0.25">
      <c r="A715" s="103"/>
      <c r="B715" s="38" t="str">
        <f>IF($A715=0,"",VLOOKUP($A715,'BASE MATERIAL'!$A:$D,2))</f>
        <v/>
      </c>
      <c r="C715" s="2"/>
      <c r="D715" s="77"/>
      <c r="E715" s="78" t="str">
        <f>IF($A715=0,"",VLOOKUP($A715,'BASE MATERIAL'!$A:$D,3))</f>
        <v/>
      </c>
      <c r="F715" s="55"/>
      <c r="G715" s="55" t="str">
        <f>IF($A715=0,"",VLOOKUP($A715,'BASE MATERIAL'!$A:$D,4))</f>
        <v/>
      </c>
      <c r="H715" s="56" t="str">
        <f>IF($A715=0,"",ROUND(F715*G715,2))</f>
        <v/>
      </c>
      <c r="I715" s="5"/>
    </row>
    <row r="716" spans="1:16" s="4" customFormat="1" x14ac:dyDescent="0.25">
      <c r="A716" s="103"/>
      <c r="B716" s="38" t="str">
        <f>IF($A716=0,"",VLOOKUP($A716,'BASE MATERIAL'!$A:$D,2))</f>
        <v/>
      </c>
      <c r="C716" s="2"/>
      <c r="D716" s="81" t="s">
        <v>1682</v>
      </c>
      <c r="E716" s="55" t="str">
        <f>IF($A716=0,"",VLOOKUP($A716,'BASE MATERIAL'!$A:$D,3))</f>
        <v/>
      </c>
      <c r="F716" s="55" t="s">
        <v>1682</v>
      </c>
      <c r="G716" s="55" t="str">
        <f>IF($A716=0,"",VLOOKUP($A716,'BASE MATERIAL'!$A:$D,4))</f>
        <v/>
      </c>
      <c r="H716" s="56" t="str">
        <f>IF($A716=0,"",ROUND(E716*F716,2))</f>
        <v/>
      </c>
      <c r="I716" s="5"/>
    </row>
    <row r="717" spans="1:16" s="4" customFormat="1" x14ac:dyDescent="0.25">
      <c r="A717" s="103"/>
      <c r="B717" s="73" t="s">
        <v>1681</v>
      </c>
      <c r="C717" s="65"/>
      <c r="D717" s="74"/>
      <c r="E717" s="74"/>
      <c r="F717" s="74"/>
      <c r="G717" s="74"/>
      <c r="H717" s="75">
        <f>ROUND(SUM(H700:H716),2)</f>
        <v>6.07</v>
      </c>
      <c r="I717" s="5"/>
    </row>
    <row r="718" spans="1:16" s="4" customFormat="1" x14ac:dyDescent="0.25">
      <c r="A718" s="103"/>
      <c r="B718" s="38" t="s">
        <v>1680</v>
      </c>
      <c r="C718" s="2"/>
      <c r="D718" s="3"/>
      <c r="E718" s="3"/>
      <c r="F718" s="3"/>
      <c r="G718" s="3"/>
      <c r="H718" s="56"/>
      <c r="I718" s="5"/>
    </row>
    <row r="719" spans="1:16" ht="25.5" x14ac:dyDescent="0.25">
      <c r="B719" s="64" t="s">
        <v>1409</v>
      </c>
      <c r="C719" s="65"/>
      <c r="D719" s="76"/>
      <c r="E719" s="66" t="s">
        <v>1408</v>
      </c>
      <c r="F719" s="66" t="s">
        <v>1679</v>
      </c>
      <c r="G719" s="66" t="s">
        <v>1676</v>
      </c>
      <c r="H719" s="68" t="s">
        <v>1675</v>
      </c>
      <c r="I719" s="2"/>
    </row>
    <row r="720" spans="1:16" s="4" customFormat="1" x14ac:dyDescent="0.25">
      <c r="A720" s="103">
        <v>19019</v>
      </c>
      <c r="B720" s="51" t="str">
        <f>IF($A720=0,"",VLOOKUP($A720,'BASE EQUIPO'!$A:$D,2))</f>
        <v>TRANSPORTE DE MATERIAL</v>
      </c>
      <c r="C720" s="52"/>
      <c r="D720" s="82"/>
      <c r="E720" s="78" t="str">
        <f>IF($A720=0,"",VLOOKUP($A720,'BASE EQUIPO'!$A:$D,3))</f>
        <v>GLOBAL</v>
      </c>
      <c r="F720" s="55">
        <v>1</v>
      </c>
      <c r="G720" s="83">
        <f>IF($A720=0,"",VLOOKUP($A720,'BASE EQUIPO'!$A:$D,4)*H717)</f>
        <v>0.18210000000000001</v>
      </c>
      <c r="H720" s="56">
        <f>IF($A720=0,"",ROUND(F720*G720,2))</f>
        <v>0.18</v>
      </c>
      <c r="I720" s="5"/>
    </row>
    <row r="721" spans="1:15" s="4" customFormat="1" x14ac:dyDescent="0.25">
      <c r="A721" s="103"/>
      <c r="B721" s="38" t="str">
        <f>IF($A721=0,"",VLOOKUP($A721,'BASE EQUIPO'!$A:$D,2))</f>
        <v/>
      </c>
      <c r="C721" s="2"/>
      <c r="D721" s="84"/>
      <c r="E721" s="78" t="str">
        <f>IF($A721=0,"",VLOOKUP($A721,'BASE EQUIPO'!$A:$D,3))</f>
        <v/>
      </c>
      <c r="F721" s="55"/>
      <c r="G721" s="55" t="str">
        <f>IF($A721=0,"",VLOOKUP($A721,'BASE EQUIPO'!$A:$D,4)*H718)</f>
        <v/>
      </c>
      <c r="H721" s="56" t="str">
        <f>IF($A721=0,"",ROUND(F721*G721,2))</f>
        <v/>
      </c>
      <c r="I721" s="5"/>
    </row>
    <row r="722" spans="1:15" s="4" customFormat="1" x14ac:dyDescent="0.25">
      <c r="A722" s="103"/>
      <c r="B722" s="57" t="str">
        <f>IF($A722=0,"",VLOOKUP($A722,'BASE EQUIPO'!$A:$D,2))</f>
        <v/>
      </c>
      <c r="C722" s="58"/>
      <c r="D722" s="85"/>
      <c r="E722" s="86" t="str">
        <f>IF($A722=0,"",VLOOKUP($A722,'BASE EQUIPO'!$A:$D,3))</f>
        <v/>
      </c>
      <c r="F722" s="59"/>
      <c r="G722" s="59" t="str">
        <f>IF($A722=0,"",VLOOKUP($A722,'BASE EQUIPO'!$A:$D,4)*H719)</f>
        <v/>
      </c>
      <c r="H722" s="60" t="str">
        <f>IF($A722=0,"",ROUND(F722*G722,2))</f>
        <v/>
      </c>
      <c r="I722" s="5"/>
    </row>
    <row r="723" spans="1:15" s="4" customFormat="1" ht="15.75" thickBot="1" x14ac:dyDescent="0.3">
      <c r="A723" s="103"/>
      <c r="B723" s="87" t="s">
        <v>1674</v>
      </c>
      <c r="C723" s="88"/>
      <c r="D723" s="89"/>
      <c r="E723" s="89"/>
      <c r="F723" s="89"/>
      <c r="G723" s="89"/>
      <c r="H723" s="90">
        <f>ROUND(SUM(H719:H722),2)</f>
        <v>0.18</v>
      </c>
      <c r="I723" s="5"/>
    </row>
    <row r="724" spans="1:15" s="4" customFormat="1" ht="15.75" x14ac:dyDescent="0.25">
      <c r="A724" s="103"/>
      <c r="B724" s="2"/>
      <c r="C724" s="2"/>
      <c r="D724" s="91" t="s">
        <v>1673</v>
      </c>
      <c r="E724" s="177"/>
      <c r="F724" s="177"/>
      <c r="G724" s="177"/>
      <c r="H724" s="92">
        <f>ROUND(SUM(H723,H717,H698,H688),2)</f>
        <v>12.45</v>
      </c>
      <c r="I724" s="5"/>
    </row>
    <row r="725" spans="1:15" s="4" customFormat="1" ht="15.75" x14ac:dyDescent="0.25">
      <c r="A725" s="103">
        <v>40002</v>
      </c>
      <c r="B725" s="2"/>
      <c r="C725" s="2"/>
      <c r="D725" s="93" t="s">
        <v>1672</v>
      </c>
      <c r="E725" s="166"/>
      <c r="F725" s="166"/>
      <c r="G725" s="178">
        <f>IF($A725=0,"",VLOOKUP($A725,'BASE MATERIAL'!$M:$P,4))</f>
        <v>0</v>
      </c>
      <c r="H725" s="95">
        <f>IF($A725=0,"",ROUND(G725*H724,2))</f>
        <v>0</v>
      </c>
      <c r="I725" s="5"/>
    </row>
    <row r="726" spans="1:15" s="4" customFormat="1" ht="15.75" x14ac:dyDescent="0.25">
      <c r="A726" s="103">
        <v>40003</v>
      </c>
      <c r="B726" s="2"/>
      <c r="C726" s="2"/>
      <c r="D726" s="93" t="s">
        <v>1671</v>
      </c>
      <c r="E726" s="166"/>
      <c r="F726" s="166"/>
      <c r="G726" s="178">
        <f>IF($A726=0,"",VLOOKUP($A726,'BASE MATERIAL'!$M:$P,4))</f>
        <v>0</v>
      </c>
      <c r="H726" s="95">
        <f>IF($A726=0,"",ROUND(G726*H724,2))</f>
        <v>0</v>
      </c>
      <c r="I726" s="5"/>
    </row>
    <row r="727" spans="1:15" s="4" customFormat="1" ht="15.75" x14ac:dyDescent="0.25">
      <c r="A727" s="103"/>
      <c r="B727" s="2"/>
      <c r="C727" s="2"/>
      <c r="D727" s="93" t="s">
        <v>1670</v>
      </c>
      <c r="E727" s="166"/>
      <c r="F727" s="166"/>
      <c r="G727" s="166"/>
      <c r="H727" s="96">
        <f>ROUND(SUM(H724:H726),2)</f>
        <v>12.45</v>
      </c>
      <c r="I727" s="5"/>
    </row>
    <row r="728" spans="1:15" s="4" customFormat="1" ht="16.5" thickBot="1" x14ac:dyDescent="0.3">
      <c r="A728" s="103"/>
      <c r="B728" s="25"/>
      <c r="C728" s="5"/>
      <c r="D728" s="97" t="s">
        <v>1650</v>
      </c>
      <c r="E728" s="179"/>
      <c r="F728" s="179"/>
      <c r="G728" s="179"/>
      <c r="H728" s="98">
        <f>ROUND(H727,2)</f>
        <v>12.45</v>
      </c>
      <c r="I728" s="5"/>
    </row>
    <row r="729" spans="1:15" ht="15.75" x14ac:dyDescent="0.25">
      <c r="B729" s="34" t="s">
        <v>1701</v>
      </c>
      <c r="C729" s="5"/>
      <c r="D729" s="157" t="str">
        <f>$D$113</f>
        <v>ESPOL</v>
      </c>
      <c r="E729" s="2"/>
      <c r="F729" s="2"/>
      <c r="H729" s="2" t="s">
        <v>108</v>
      </c>
      <c r="I729" s="2"/>
      <c r="L729" s="40">
        <f>A733</f>
        <v>10</v>
      </c>
      <c r="M729" s="1" t="str">
        <f>C734</f>
        <v>Enlucido interior</v>
      </c>
      <c r="N729" s="2" t="str">
        <f>H733</f>
        <v>m2</v>
      </c>
      <c r="O729" s="2">
        <f>H784</f>
        <v>5.6</v>
      </c>
    </row>
    <row r="730" spans="1:15" s="4" customFormat="1" ht="15.75" x14ac:dyDescent="0.25">
      <c r="A730" s="103"/>
      <c r="B730" s="34" t="s">
        <v>1700</v>
      </c>
      <c r="C730" s="3">
        <f>'1.1'!$C$2</f>
        <v>0</v>
      </c>
      <c r="D730" s="5"/>
      <c r="E730" s="5"/>
      <c r="F730" s="5"/>
      <c r="G730" s="158" t="s">
        <v>1699</v>
      </c>
      <c r="H730" s="159"/>
      <c r="I730" s="5" t="s">
        <v>1698</v>
      </c>
    </row>
    <row r="731" spans="1:15" s="4" customFormat="1" ht="15.75" x14ac:dyDescent="0.25">
      <c r="A731" s="103"/>
      <c r="B731" s="34"/>
      <c r="C731" s="3">
        <f>'1.1'!$C$3</f>
        <v>0</v>
      </c>
      <c r="D731" s="5"/>
      <c r="E731" s="5"/>
      <c r="F731" s="5"/>
      <c r="G731" s="5"/>
      <c r="H731" s="5"/>
      <c r="I731" s="5"/>
    </row>
    <row r="732" spans="1:15" s="4" customFormat="1" ht="15.75" x14ac:dyDescent="0.25">
      <c r="A732" s="103"/>
      <c r="B732" s="34" t="s">
        <v>1697</v>
      </c>
      <c r="C732" s="3"/>
      <c r="D732" s="5"/>
      <c r="E732" s="5"/>
      <c r="F732" s="5"/>
      <c r="G732" s="5"/>
      <c r="H732" s="5"/>
      <c r="I732" s="5"/>
    </row>
    <row r="733" spans="1:15" x14ac:dyDescent="0.25">
      <c r="A733" s="104">
        <v>10</v>
      </c>
      <c r="B733" s="2" t="s">
        <v>1586</v>
      </c>
      <c r="C733" s="111" t="s">
        <v>1551</v>
      </c>
      <c r="D733" s="5"/>
      <c r="E733" s="4"/>
      <c r="F733" s="4"/>
      <c r="G733" s="5" t="s">
        <v>1696</v>
      </c>
      <c r="H733" s="157" t="s">
        <v>1520</v>
      </c>
      <c r="I733" s="2"/>
    </row>
    <row r="734" spans="1:15" s="4" customFormat="1" x14ac:dyDescent="0.25">
      <c r="A734" s="103"/>
      <c r="B734" s="1" t="s">
        <v>1585</v>
      </c>
      <c r="C734" s="36" t="s">
        <v>1549</v>
      </c>
      <c r="D734" s="5"/>
      <c r="E734" s="5"/>
      <c r="F734" s="5"/>
      <c r="G734" s="5"/>
      <c r="H734" s="5"/>
      <c r="I734" s="5"/>
    </row>
    <row r="735" spans="1:15" ht="15.75" thickBot="1" x14ac:dyDescent="0.3">
      <c r="D735" s="2"/>
      <c r="E735" s="2"/>
      <c r="F735" s="2"/>
      <c r="G735" s="2"/>
      <c r="H735" s="2"/>
      <c r="I735" s="2"/>
    </row>
    <row r="736" spans="1:15" ht="15.75" thickBot="1" x14ac:dyDescent="0.3">
      <c r="B736" s="43" t="s">
        <v>1695</v>
      </c>
      <c r="C736" s="44"/>
      <c r="D736" s="44"/>
      <c r="E736" s="44"/>
      <c r="F736" s="44"/>
      <c r="G736" s="44"/>
      <c r="H736" s="45"/>
      <c r="I736" s="2"/>
    </row>
    <row r="737" spans="1:9" ht="25.5" x14ac:dyDescent="0.25">
      <c r="B737" s="46" t="s">
        <v>1409</v>
      </c>
      <c r="C737" s="47"/>
      <c r="D737" s="48" t="s">
        <v>1690</v>
      </c>
      <c r="E737" s="48" t="s">
        <v>1694</v>
      </c>
      <c r="F737" s="48" t="s">
        <v>1693</v>
      </c>
      <c r="G737" s="49" t="s">
        <v>1687</v>
      </c>
      <c r="H737" s="50" t="s">
        <v>1686</v>
      </c>
      <c r="I737" s="2"/>
    </row>
    <row r="738" spans="1:9" s="4" customFormat="1" x14ac:dyDescent="0.25">
      <c r="A738" s="103">
        <v>19015</v>
      </c>
      <c r="B738" s="51" t="str">
        <f>IF($A738=0,"",VLOOKUP($A738,'BASE EQUIPO'!$A:$D,2))</f>
        <v>HERRAMIENTA MENOR</v>
      </c>
      <c r="C738" s="52"/>
      <c r="D738" s="53">
        <v>1</v>
      </c>
      <c r="E738" s="53">
        <f>IF($A738=0,"",VLOOKUP($A738,'BASE EQUIPO'!$A:$D,4)*H754)</f>
        <v>0.12179999999999998</v>
      </c>
      <c r="F738" s="53">
        <f t="shared" ref="F738:F743" si="65">IF($A738=0,"",ROUND(D738*E738,2))</f>
        <v>0.12</v>
      </c>
      <c r="G738" s="105">
        <v>1</v>
      </c>
      <c r="H738" s="54">
        <f t="shared" ref="H738:H743" si="66">IF($A738=0,"",ROUND(G738*F738,2))</f>
        <v>0.12</v>
      </c>
      <c r="I738" s="5"/>
    </row>
    <row r="739" spans="1:9" s="4" customFormat="1" x14ac:dyDescent="0.25">
      <c r="A739" s="103"/>
      <c r="B739" s="38" t="str">
        <f>IF($A739=0,"",VLOOKUP($A739,'BASE EQUIPO'!$A:$D,2))</f>
        <v/>
      </c>
      <c r="C739" s="2"/>
      <c r="D739" s="55"/>
      <c r="E739" s="55" t="str">
        <f>IF($A739=0,"",VLOOKUP($A739,'BASE EQUIPO'!$A:$D,4))</f>
        <v/>
      </c>
      <c r="F739" s="55" t="str">
        <f t="shared" si="65"/>
        <v/>
      </c>
      <c r="G739" s="106"/>
      <c r="H739" s="56" t="str">
        <f t="shared" si="66"/>
        <v/>
      </c>
      <c r="I739" s="5"/>
    </row>
    <row r="740" spans="1:9" s="4" customFormat="1" x14ac:dyDescent="0.25">
      <c r="A740" s="103"/>
      <c r="B740" s="38" t="str">
        <f>IF($A740=0,"",VLOOKUP($A740,'BASE EQUIPO'!$A:$D,2))</f>
        <v/>
      </c>
      <c r="C740" s="2"/>
      <c r="D740" s="55"/>
      <c r="E740" s="55" t="str">
        <f>IF($A740=0,"",VLOOKUP($A740,'BASE EQUIPO'!$A:$D,4))</f>
        <v/>
      </c>
      <c r="F740" s="55" t="str">
        <f t="shared" si="65"/>
        <v/>
      </c>
      <c r="G740" s="106"/>
      <c r="H740" s="56" t="str">
        <f t="shared" si="66"/>
        <v/>
      </c>
      <c r="I740" s="5"/>
    </row>
    <row r="741" spans="1:9" s="4" customFormat="1" x14ac:dyDescent="0.25">
      <c r="A741" s="103"/>
      <c r="B741" s="38" t="str">
        <f>IF($A741=0,"",VLOOKUP($A741,'BASE EQUIPO'!$A:$D,2))</f>
        <v/>
      </c>
      <c r="C741" s="2"/>
      <c r="D741" s="55"/>
      <c r="E741" s="55" t="str">
        <f>IF($A741=0,"",VLOOKUP($A741,'BASE EQUIPO'!$A:$D,4))</f>
        <v/>
      </c>
      <c r="F741" s="55" t="str">
        <f t="shared" si="65"/>
        <v/>
      </c>
      <c r="G741" s="106"/>
      <c r="H741" s="56" t="str">
        <f t="shared" si="66"/>
        <v/>
      </c>
      <c r="I741" s="5"/>
    </row>
    <row r="742" spans="1:9" s="4" customFormat="1" x14ac:dyDescent="0.25">
      <c r="A742" s="103"/>
      <c r="B742" s="38" t="str">
        <f>IF($A742=0,"",VLOOKUP($A742,'BASE EQUIPO'!$A:$D,2))</f>
        <v/>
      </c>
      <c r="C742" s="2"/>
      <c r="D742" s="55"/>
      <c r="E742" s="55" t="str">
        <f>IF($A742=0,"",VLOOKUP($A742,'BASE EQUIPO'!$A:$D,4))</f>
        <v/>
      </c>
      <c r="F742" s="55" t="str">
        <f t="shared" si="65"/>
        <v/>
      </c>
      <c r="G742" s="106"/>
      <c r="H742" s="56" t="str">
        <f t="shared" si="66"/>
        <v/>
      </c>
      <c r="I742" s="5"/>
    </row>
    <row r="743" spans="1:9" s="4" customFormat="1" x14ac:dyDescent="0.25">
      <c r="A743" s="103"/>
      <c r="B743" s="57" t="str">
        <f>IF($A743=0,"",VLOOKUP($A743,'BASE EQUIPO'!$A:$D,2))</f>
        <v/>
      </c>
      <c r="C743" s="58"/>
      <c r="D743" s="59"/>
      <c r="E743" s="59" t="str">
        <f>IF($A743=0,"",VLOOKUP($A743,'BASE EQUIPO'!$A:$D,4))</f>
        <v/>
      </c>
      <c r="F743" s="59" t="str">
        <f t="shared" si="65"/>
        <v/>
      </c>
      <c r="G743" s="107"/>
      <c r="H743" s="60" t="str">
        <f t="shared" si="66"/>
        <v/>
      </c>
      <c r="I743" s="5"/>
    </row>
    <row r="744" spans="1:9" s="4" customFormat="1" x14ac:dyDescent="0.25">
      <c r="A744" s="103"/>
      <c r="B744" s="57" t="s">
        <v>1692</v>
      </c>
      <c r="C744" s="58"/>
      <c r="D744" s="61"/>
      <c r="E744" s="61"/>
      <c r="F744" s="61"/>
      <c r="G744" s="62"/>
      <c r="H744" s="60">
        <f>ROUND(SUM(H737:H743),2)</f>
        <v>0.12</v>
      </c>
      <c r="I744" s="5"/>
    </row>
    <row r="745" spans="1:9" s="4" customFormat="1" x14ac:dyDescent="0.25">
      <c r="A745" s="103"/>
      <c r="B745" s="38" t="s">
        <v>1503</v>
      </c>
      <c r="C745" s="2"/>
      <c r="D745" s="3"/>
      <c r="E745" s="3"/>
      <c r="F745" s="3"/>
      <c r="G745" s="63"/>
      <c r="H745" s="56"/>
      <c r="I745" s="5"/>
    </row>
    <row r="746" spans="1:9" ht="25.5" x14ac:dyDescent="0.25">
      <c r="B746" s="64" t="s">
        <v>1691</v>
      </c>
      <c r="C746" s="65"/>
      <c r="D746" s="66" t="s">
        <v>1690</v>
      </c>
      <c r="E746" s="66" t="s">
        <v>1689</v>
      </c>
      <c r="F746" s="66" t="s">
        <v>1688</v>
      </c>
      <c r="G746" s="67" t="s">
        <v>1687</v>
      </c>
      <c r="H746" s="68" t="s">
        <v>1686</v>
      </c>
      <c r="I746" s="2"/>
    </row>
    <row r="747" spans="1:9" s="4" customFormat="1" x14ac:dyDescent="0.25">
      <c r="A747" s="103">
        <v>20001</v>
      </c>
      <c r="B747" s="69" t="str">
        <f>IF($A747=0,"",VLOOKUP($A747,'BASE M-OBRA'!$A:$D,2))</f>
        <v>MAESTRO</v>
      </c>
      <c r="C747" s="2"/>
      <c r="D747" s="108">
        <v>1</v>
      </c>
      <c r="E747" s="70">
        <f>IF($A747=0,"",VLOOKUP($A747,'BASE M-OBRA'!$A:$D,4))</f>
        <v>3.02</v>
      </c>
      <c r="F747" s="55">
        <f t="shared" ref="F747:F753" si="67">IF($A747=0,"",ROUND(D747*E747,2))</f>
        <v>3.02</v>
      </c>
      <c r="G747" s="106">
        <f>IF($A747=0,"",ROUND(H747/F747,2))</f>
        <v>0.23</v>
      </c>
      <c r="H747" s="56">
        <f>IF($A747=0,"",ROUND(SUM(H748:H753)*'BASE M-OBRA'!$D$23,2))</f>
        <v>0.68</v>
      </c>
      <c r="I747" s="5"/>
    </row>
    <row r="748" spans="1:9" s="4" customFormat="1" x14ac:dyDescent="0.25">
      <c r="A748" s="103">
        <v>20002</v>
      </c>
      <c r="B748" s="69" t="str">
        <f>IF($A748=0,"",VLOOKUP($A748,'BASE M-OBRA'!$A:$D,2))</f>
        <v>PEON</v>
      </c>
      <c r="C748" s="2"/>
      <c r="D748" s="108">
        <v>2</v>
      </c>
      <c r="E748" s="70">
        <f>IF($A748=0,"",VLOOKUP($A748,'BASE M-OBRA'!$A:$D,4))</f>
        <v>2.79</v>
      </c>
      <c r="F748" s="55">
        <f t="shared" si="67"/>
        <v>5.58</v>
      </c>
      <c r="G748" s="106">
        <v>0.2</v>
      </c>
      <c r="H748" s="56">
        <f t="shared" ref="H748:H753" si="68">IF($A748=0,"",ROUND(G748*F748,2))</f>
        <v>1.1200000000000001</v>
      </c>
      <c r="I748" s="5"/>
    </row>
    <row r="749" spans="1:9" s="4" customFormat="1" x14ac:dyDescent="0.25">
      <c r="A749" s="103">
        <v>20003</v>
      </c>
      <c r="B749" s="69" t="str">
        <f>IF($A749=0,"",VLOOKUP($A749,'BASE M-OBRA'!$A:$D,2))</f>
        <v>ALBAÑIL</v>
      </c>
      <c r="C749" s="2"/>
      <c r="D749" s="108">
        <v>4</v>
      </c>
      <c r="E749" s="70">
        <f>IF($A749=0,"",VLOOKUP($A749,'BASE M-OBRA'!$A:$D,4))</f>
        <v>2.82</v>
      </c>
      <c r="F749" s="55">
        <f t="shared" si="67"/>
        <v>11.28</v>
      </c>
      <c r="G749" s="106">
        <f>+G748</f>
        <v>0.2</v>
      </c>
      <c r="H749" s="56">
        <f t="shared" si="68"/>
        <v>2.2599999999999998</v>
      </c>
      <c r="I749" s="5"/>
    </row>
    <row r="750" spans="1:9" s="4" customFormat="1" x14ac:dyDescent="0.25">
      <c r="A750" s="103"/>
      <c r="B750" s="71" t="str">
        <f>IF($A750=0,"",VLOOKUP($A750,'BASE M-OBRA'!$A:$D,2))</f>
        <v/>
      </c>
      <c r="C750" s="2"/>
      <c r="D750" s="108"/>
      <c r="E750" s="70" t="str">
        <f>IF($A750=0,"",VLOOKUP($A750,'BASE M-OBRA'!$A:$D,4))</f>
        <v/>
      </c>
      <c r="F750" s="55" t="str">
        <f t="shared" si="67"/>
        <v/>
      </c>
      <c r="G750" s="106"/>
      <c r="H750" s="56" t="str">
        <f t="shared" si="68"/>
        <v/>
      </c>
      <c r="I750" s="5"/>
    </row>
    <row r="751" spans="1:9" s="4" customFormat="1" x14ac:dyDescent="0.25">
      <c r="A751" s="103"/>
      <c r="B751" s="72" t="str">
        <f>IF($A751=0,"",VLOOKUP($A751,'BASE M-OBRA'!$A:$D,2))</f>
        <v/>
      </c>
      <c r="C751" s="2"/>
      <c r="D751" s="108"/>
      <c r="E751" s="70" t="str">
        <f>IF($A751=0,"",VLOOKUP($A751,'BASE M-OBRA'!$A:$D,4))</f>
        <v/>
      </c>
      <c r="F751" s="55" t="str">
        <f t="shared" si="67"/>
        <v/>
      </c>
      <c r="G751" s="106"/>
      <c r="H751" s="56" t="str">
        <f t="shared" si="68"/>
        <v/>
      </c>
      <c r="I751" s="5"/>
    </row>
    <row r="752" spans="1:9" s="4" customFormat="1" x14ac:dyDescent="0.25">
      <c r="A752" s="103"/>
      <c r="B752" s="38" t="str">
        <f>IF($A752=0,"",VLOOKUP($A752,'BASE M-OBRA'!$A:$D,2))</f>
        <v/>
      </c>
      <c r="C752" s="2"/>
      <c r="D752" s="55"/>
      <c r="E752" s="55" t="str">
        <f>IF($A752=0,"",VLOOKUP($A752,'BASE M-OBRA'!$A:$D,4))</f>
        <v/>
      </c>
      <c r="F752" s="55" t="str">
        <f t="shared" si="67"/>
        <v/>
      </c>
      <c r="G752" s="106"/>
      <c r="H752" s="56" t="str">
        <f t="shared" si="68"/>
        <v/>
      </c>
      <c r="I752" s="5"/>
    </row>
    <row r="753" spans="1:16" s="4" customFormat="1" x14ac:dyDescent="0.25">
      <c r="A753" s="103"/>
      <c r="B753" s="57" t="str">
        <f>IF($A753=0,"",VLOOKUP($A753,'BASE M-OBRA'!$A:$D,2))</f>
        <v/>
      </c>
      <c r="C753" s="58"/>
      <c r="D753" s="59"/>
      <c r="E753" s="59" t="str">
        <f>IF($A753=0,"",VLOOKUP($A753,'BASE M-OBRA'!$A:$D,4))</f>
        <v/>
      </c>
      <c r="F753" s="59" t="str">
        <f t="shared" si="67"/>
        <v/>
      </c>
      <c r="G753" s="107"/>
      <c r="H753" s="60" t="str">
        <f t="shared" si="68"/>
        <v/>
      </c>
      <c r="I753" s="5"/>
    </row>
    <row r="754" spans="1:16" s="4" customFormat="1" x14ac:dyDescent="0.25">
      <c r="A754" s="103"/>
      <c r="B754" s="73" t="s">
        <v>1685</v>
      </c>
      <c r="C754" s="65"/>
      <c r="D754" s="74"/>
      <c r="E754" s="74"/>
      <c r="F754" s="74"/>
      <c r="G754" s="74"/>
      <c r="H754" s="75">
        <f>ROUND(SUM(H746:H753),2)</f>
        <v>4.0599999999999996</v>
      </c>
      <c r="I754" s="5"/>
    </row>
    <row r="755" spans="1:16" s="4" customFormat="1" x14ac:dyDescent="0.25">
      <c r="A755" s="103"/>
      <c r="B755" s="38" t="s">
        <v>1684</v>
      </c>
      <c r="C755" s="2"/>
      <c r="D755" s="3"/>
      <c r="E755" s="3"/>
      <c r="F755" s="3"/>
      <c r="G755" s="3"/>
      <c r="H755" s="56"/>
      <c r="I755" s="5"/>
    </row>
    <row r="756" spans="1:16" ht="25.5" x14ac:dyDescent="0.25">
      <c r="B756" s="64" t="s">
        <v>1409</v>
      </c>
      <c r="C756" s="65"/>
      <c r="D756" s="76"/>
      <c r="E756" s="66" t="s">
        <v>1408</v>
      </c>
      <c r="F756" s="66" t="s">
        <v>1679</v>
      </c>
      <c r="G756" s="66" t="s">
        <v>1683</v>
      </c>
      <c r="H756" s="68" t="s">
        <v>1675</v>
      </c>
      <c r="I756" s="2"/>
    </row>
    <row r="757" spans="1:16" s="4" customFormat="1" x14ac:dyDescent="0.25">
      <c r="A757" s="103">
        <v>4001</v>
      </c>
      <c r="B757" s="38" t="str">
        <f>IF($A757=0,"",VLOOKUP($A757,'BASE MATERIAL'!$A:$D,2))</f>
        <v>CEMENTO</v>
      </c>
      <c r="C757" s="2"/>
      <c r="D757" s="77"/>
      <c r="E757" s="78" t="str">
        <f>IF($A757=0,"",VLOOKUP($A757,'BASE MATERIAL'!$A:$D,3))</f>
        <v>SACO</v>
      </c>
      <c r="F757" s="55">
        <f>ROUND(1*0.015*10*1.05,3)</f>
        <v>0.158</v>
      </c>
      <c r="G757" s="55">
        <f>IF($A757=0,"",VLOOKUP($A757,'BASE MATERIAL'!$A:$D,4))</f>
        <v>7.09</v>
      </c>
      <c r="H757" s="56">
        <f t="shared" ref="H757:H771" si="69">IF($A757=0,"",ROUND(F757*G757,2))</f>
        <v>1.1200000000000001</v>
      </c>
      <c r="I757" s="5"/>
      <c r="L757" s="5"/>
      <c r="M757" s="5"/>
      <c r="N757" s="160"/>
      <c r="O757" s="5"/>
      <c r="P757" s="5"/>
    </row>
    <row r="758" spans="1:16" s="4" customFormat="1" x14ac:dyDescent="0.25">
      <c r="A758" s="103">
        <v>5004</v>
      </c>
      <c r="B758" s="38" t="str">
        <f>IF($A758=0,"",VLOOKUP($A758,'BASE MATERIAL'!$A:$D,2))</f>
        <v>ARENA</v>
      </c>
      <c r="C758" s="2"/>
      <c r="D758" s="77"/>
      <c r="E758" s="78" t="str">
        <f>IF($A758=0,"",VLOOKUP($A758,'BASE MATERIAL'!$A:$D,3))</f>
        <v>M3</v>
      </c>
      <c r="F758" s="55">
        <f>ROUND(F757*0.032*3,2)</f>
        <v>0.02</v>
      </c>
      <c r="G758" s="55">
        <f>IF($A758=0,"",VLOOKUP($A758,'BASE MATERIAL'!$A:$D,4))</f>
        <v>12.276249999999999</v>
      </c>
      <c r="H758" s="56">
        <f t="shared" si="69"/>
        <v>0.25</v>
      </c>
      <c r="I758" s="5"/>
      <c r="L758" s="5"/>
      <c r="M758" s="5"/>
      <c r="N758" s="160"/>
      <c r="O758" s="5"/>
      <c r="P758" s="5"/>
    </row>
    <row r="759" spans="1:16" s="4" customFormat="1" x14ac:dyDescent="0.25">
      <c r="A759" s="103">
        <v>5005</v>
      </c>
      <c r="B759" s="38" t="str">
        <f>IF($A759=0,"",VLOOKUP($A759,'BASE MATERIAL'!$A:$D,2))</f>
        <v>AGUA</v>
      </c>
      <c r="C759" s="2"/>
      <c r="D759" s="77"/>
      <c r="E759" s="78" t="str">
        <f>IF($A759=0,"",VLOOKUP($A759,'BASE MATERIAL'!$A:$D,3))</f>
        <v>LT</v>
      </c>
      <c r="F759" s="55">
        <f>ROUND(30*F757,2)</f>
        <v>4.74</v>
      </c>
      <c r="G759" s="80">
        <f>IF($A759=0,"",VLOOKUP($A759,'BASE MATERIAL'!$A:$D,4))</f>
        <v>2E-3</v>
      </c>
      <c r="H759" s="56">
        <f t="shared" si="69"/>
        <v>0.01</v>
      </c>
      <c r="I759" s="5"/>
      <c r="L759" s="5"/>
      <c r="M759" s="5"/>
      <c r="N759" s="160"/>
      <c r="O759" s="5"/>
      <c r="P759" s="5"/>
    </row>
    <row r="760" spans="1:16" s="4" customFormat="1" x14ac:dyDescent="0.25">
      <c r="A760" s="103"/>
      <c r="B760" s="38" t="str">
        <f>IF($A760=0,"",VLOOKUP($A760,'BASE MATERIAL'!$A:$D,2))</f>
        <v/>
      </c>
      <c r="C760" s="2"/>
      <c r="D760" s="77"/>
      <c r="E760" s="78" t="str">
        <f>IF($A760=0,"",VLOOKUP($A760,'BASE MATERIAL'!$A:$D,3))</f>
        <v/>
      </c>
      <c r="F760" s="55"/>
      <c r="G760" s="55" t="str">
        <f>IF($A760=0,"",VLOOKUP($A760,'BASE MATERIAL'!$A:$D,4))</f>
        <v/>
      </c>
      <c r="H760" s="56" t="str">
        <f t="shared" si="69"/>
        <v/>
      </c>
      <c r="I760" s="5"/>
      <c r="L760" s="5"/>
      <c r="M760" s="5"/>
      <c r="N760" s="160"/>
      <c r="O760" s="5"/>
      <c r="P760" s="5"/>
    </row>
    <row r="761" spans="1:16" s="4" customFormat="1" x14ac:dyDescent="0.25">
      <c r="A761" s="103"/>
      <c r="B761" s="38" t="str">
        <f>IF($A761=0,"",VLOOKUP($A761,'BASE MATERIAL'!$A:$D,2))</f>
        <v/>
      </c>
      <c r="C761" s="2"/>
      <c r="D761" s="77"/>
      <c r="E761" s="78" t="str">
        <f>IF($A761=0,"",VLOOKUP($A761,'BASE MATERIAL'!$A:$D,3))</f>
        <v/>
      </c>
      <c r="F761" s="55"/>
      <c r="G761" s="55" t="str">
        <f>IF($A761=0,"",VLOOKUP($A761,'BASE MATERIAL'!$A:$D,4))</f>
        <v/>
      </c>
      <c r="H761" s="56" t="str">
        <f t="shared" si="69"/>
        <v/>
      </c>
      <c r="I761" s="5"/>
      <c r="L761" s="5"/>
      <c r="M761" s="5"/>
      <c r="N761" s="160"/>
      <c r="O761" s="5"/>
      <c r="P761" s="5"/>
    </row>
    <row r="762" spans="1:16" s="4" customFormat="1" x14ac:dyDescent="0.25">
      <c r="A762" s="103"/>
      <c r="B762" s="38" t="str">
        <f>IF($A762=0,"",VLOOKUP($A762,'BASE MATERIAL'!$A:$D,2))</f>
        <v/>
      </c>
      <c r="C762" s="2"/>
      <c r="D762" s="77"/>
      <c r="E762" s="78" t="str">
        <f>IF($A762=0,"",VLOOKUP($A762,'BASE MATERIAL'!$A:$D,3))</f>
        <v/>
      </c>
      <c r="F762" s="55"/>
      <c r="G762" s="55" t="str">
        <f>IF($A762=0,"",VLOOKUP($A762,'BASE MATERIAL'!$A:$D,4))</f>
        <v/>
      </c>
      <c r="H762" s="56" t="str">
        <f t="shared" si="69"/>
        <v/>
      </c>
      <c r="I762" s="5"/>
      <c r="L762" s="5"/>
      <c r="M762" s="5"/>
      <c r="N762" s="160"/>
      <c r="O762" s="5"/>
      <c r="P762" s="5"/>
    </row>
    <row r="763" spans="1:16" s="4" customFormat="1" x14ac:dyDescent="0.25">
      <c r="A763" s="103"/>
      <c r="B763" s="38" t="str">
        <f>IF($A763=0,"",VLOOKUP($A763,'BASE MATERIAL'!$A:$D,2))</f>
        <v/>
      </c>
      <c r="C763" s="2"/>
      <c r="D763" s="77"/>
      <c r="E763" s="78" t="str">
        <f>IF($A763=0,"",VLOOKUP($A763,'BASE MATERIAL'!$A:$D,3))</f>
        <v/>
      </c>
      <c r="F763" s="55"/>
      <c r="G763" s="55" t="str">
        <f>IF($A763=0,"",VLOOKUP($A763,'BASE MATERIAL'!$A:$D,4))</f>
        <v/>
      </c>
      <c r="H763" s="56" t="str">
        <f t="shared" si="69"/>
        <v/>
      </c>
      <c r="I763" s="5"/>
      <c r="L763" s="5"/>
      <c r="M763" s="5"/>
      <c r="N763" s="160"/>
      <c r="O763" s="5"/>
      <c r="P763" s="5"/>
    </row>
    <row r="764" spans="1:16" s="4" customFormat="1" x14ac:dyDescent="0.25">
      <c r="A764" s="103"/>
      <c r="B764" s="38" t="str">
        <f>IF($A764=0,"",VLOOKUP($A764,'BASE MATERIAL'!$A:$D,2))</f>
        <v/>
      </c>
      <c r="C764" s="2"/>
      <c r="D764" s="77"/>
      <c r="E764" s="78" t="str">
        <f>IF($A764=0,"",VLOOKUP($A764,'BASE MATERIAL'!$A:$D,3))</f>
        <v/>
      </c>
      <c r="F764" s="55"/>
      <c r="G764" s="55" t="str">
        <f>IF($A764=0,"",VLOOKUP($A764,'BASE MATERIAL'!$A:$D,4))</f>
        <v/>
      </c>
      <c r="H764" s="56" t="str">
        <f t="shared" si="69"/>
        <v/>
      </c>
      <c r="I764" s="5"/>
      <c r="L764" s="5"/>
      <c r="M764" s="5"/>
      <c r="N764" s="160"/>
      <c r="O764" s="5"/>
      <c r="P764" s="5"/>
    </row>
    <row r="765" spans="1:16" s="4" customFormat="1" x14ac:dyDescent="0.25">
      <c r="A765" s="103"/>
      <c r="B765" s="38" t="str">
        <f>IF($A765=0,"",VLOOKUP($A765,'BASE MATERIAL'!$A:$D,2))</f>
        <v/>
      </c>
      <c r="C765" s="2"/>
      <c r="D765" s="77"/>
      <c r="E765" s="78" t="str">
        <f>IF($A765=0,"",VLOOKUP($A765,'BASE MATERIAL'!$A:$D,3))</f>
        <v/>
      </c>
      <c r="F765" s="55"/>
      <c r="G765" s="55" t="str">
        <f>IF($A765=0,"",VLOOKUP($A765,'BASE MATERIAL'!$A:$D,4))</f>
        <v/>
      </c>
      <c r="H765" s="56" t="str">
        <f t="shared" si="69"/>
        <v/>
      </c>
      <c r="I765" s="5"/>
    </row>
    <row r="766" spans="1:16" s="4" customFormat="1" x14ac:dyDescent="0.25">
      <c r="A766" s="103"/>
      <c r="B766" s="38" t="str">
        <f>IF($A766=0,"",VLOOKUP($A766,'BASE MATERIAL'!$A:$D,2))</f>
        <v/>
      </c>
      <c r="C766" s="2"/>
      <c r="D766" s="77"/>
      <c r="E766" s="78" t="str">
        <f>IF($A766=0,"",VLOOKUP($A766,'BASE MATERIAL'!$A:$D,3))</f>
        <v/>
      </c>
      <c r="F766" s="55"/>
      <c r="G766" s="55" t="str">
        <f>IF($A766=0,"",VLOOKUP($A766,'BASE MATERIAL'!$A:$D,4))</f>
        <v/>
      </c>
      <c r="H766" s="56" t="str">
        <f t="shared" si="69"/>
        <v/>
      </c>
      <c r="I766" s="5"/>
      <c r="L766" s="5"/>
      <c r="M766" s="5"/>
      <c r="N766" s="160"/>
      <c r="O766" s="5"/>
      <c r="P766" s="5"/>
    </row>
    <row r="767" spans="1:16" s="4" customFormat="1" x14ac:dyDescent="0.25">
      <c r="A767" s="103"/>
      <c r="B767" s="38" t="str">
        <f>IF($A767=0,"",VLOOKUP($A767,'BASE MATERIAL'!$A:$D,2))</f>
        <v/>
      </c>
      <c r="C767" s="2"/>
      <c r="D767" s="77"/>
      <c r="E767" s="78" t="str">
        <f>IF($A767=0,"",VLOOKUP($A767,'BASE MATERIAL'!$A:$D,3))</f>
        <v/>
      </c>
      <c r="F767" s="55"/>
      <c r="G767" s="55" t="str">
        <f>IF($A767=0,"",VLOOKUP($A767,'BASE MATERIAL'!$A:$D,4))</f>
        <v/>
      </c>
      <c r="H767" s="56" t="str">
        <f t="shared" si="69"/>
        <v/>
      </c>
      <c r="I767" s="5"/>
      <c r="L767" s="5"/>
      <c r="M767" s="5"/>
      <c r="N767" s="160"/>
      <c r="O767" s="5"/>
      <c r="P767" s="5"/>
    </row>
    <row r="768" spans="1:16" s="4" customFormat="1" x14ac:dyDescent="0.25">
      <c r="A768" s="103"/>
      <c r="B768" s="38" t="str">
        <f>IF($A768=0,"",VLOOKUP($A768,'BASE MATERIAL'!$A:$D,2))</f>
        <v/>
      </c>
      <c r="C768" s="2"/>
      <c r="D768" s="77"/>
      <c r="E768" s="78" t="str">
        <f>IF($A768=0,"",VLOOKUP($A768,'BASE MATERIAL'!$A:$D,3))</f>
        <v/>
      </c>
      <c r="F768" s="55"/>
      <c r="G768" s="55" t="str">
        <f>IF($A768=0,"",VLOOKUP($A768,'BASE MATERIAL'!$A:$D,4))</f>
        <v/>
      </c>
      <c r="H768" s="56" t="str">
        <f t="shared" si="69"/>
        <v/>
      </c>
      <c r="I768" s="5"/>
    </row>
    <row r="769" spans="1:9" s="4" customFormat="1" x14ac:dyDescent="0.25">
      <c r="A769" s="103"/>
      <c r="B769" s="38" t="str">
        <f>IF($A769=0,"",VLOOKUP($A769,'BASE MATERIAL'!$A:$D,2))</f>
        <v/>
      </c>
      <c r="C769" s="2"/>
      <c r="D769" s="77"/>
      <c r="E769" s="78" t="str">
        <f>IF($A769=0,"",VLOOKUP($A769,'BASE MATERIAL'!$A:$D,3))</f>
        <v/>
      </c>
      <c r="F769" s="55"/>
      <c r="G769" s="55" t="str">
        <f>IF($A769=0,"",VLOOKUP($A769,'BASE MATERIAL'!$A:$D,4))</f>
        <v/>
      </c>
      <c r="H769" s="56" t="str">
        <f t="shared" si="69"/>
        <v/>
      </c>
      <c r="I769" s="5"/>
    </row>
    <row r="770" spans="1:9" s="4" customFormat="1" x14ac:dyDescent="0.25">
      <c r="A770" s="103"/>
      <c r="B770" s="38" t="str">
        <f>IF($A770=0,"",VLOOKUP($A770,'BASE MATERIAL'!$A:$D,2))</f>
        <v/>
      </c>
      <c r="C770" s="2"/>
      <c r="D770" s="77"/>
      <c r="E770" s="78" t="str">
        <f>IF($A770=0,"",VLOOKUP($A770,'BASE MATERIAL'!$A:$D,3))</f>
        <v/>
      </c>
      <c r="F770" s="55"/>
      <c r="G770" s="55" t="str">
        <f>IF($A770=0,"",VLOOKUP($A770,'BASE MATERIAL'!$A:$D,4))</f>
        <v/>
      </c>
      <c r="H770" s="56" t="str">
        <f t="shared" si="69"/>
        <v/>
      </c>
      <c r="I770" s="5"/>
    </row>
    <row r="771" spans="1:9" s="4" customFormat="1" x14ac:dyDescent="0.25">
      <c r="A771" s="103"/>
      <c r="B771" s="38" t="str">
        <f>IF($A771=0,"",VLOOKUP($A771,'BASE MATERIAL'!$A:$D,2))</f>
        <v/>
      </c>
      <c r="C771" s="2"/>
      <c r="D771" s="77"/>
      <c r="E771" s="78" t="str">
        <f>IF($A771=0,"",VLOOKUP($A771,'BASE MATERIAL'!$A:$D,3))</f>
        <v/>
      </c>
      <c r="F771" s="55"/>
      <c r="G771" s="55" t="str">
        <f>IF($A771=0,"",VLOOKUP($A771,'BASE MATERIAL'!$A:$D,4))</f>
        <v/>
      </c>
      <c r="H771" s="56" t="str">
        <f t="shared" si="69"/>
        <v/>
      </c>
      <c r="I771" s="5"/>
    </row>
    <row r="772" spans="1:9" s="4" customFormat="1" x14ac:dyDescent="0.25">
      <c r="A772" s="103"/>
      <c r="B772" s="38" t="str">
        <f>IF($A772=0,"",VLOOKUP($A772,'BASE MATERIAL'!$A:$D,2))</f>
        <v/>
      </c>
      <c r="C772" s="2"/>
      <c r="D772" s="81" t="s">
        <v>1682</v>
      </c>
      <c r="E772" s="55" t="str">
        <f>IF($A772=0,"",VLOOKUP($A772,'BASE MATERIAL'!$A:$D,3))</f>
        <v/>
      </c>
      <c r="F772" s="55" t="s">
        <v>1682</v>
      </c>
      <c r="G772" s="55" t="str">
        <f>IF($A772=0,"",VLOOKUP($A772,'BASE MATERIAL'!$A:$D,4))</f>
        <v/>
      </c>
      <c r="H772" s="56" t="str">
        <f>IF($A772=0,"",ROUND(E772*F772,2))</f>
        <v/>
      </c>
      <c r="I772" s="5"/>
    </row>
    <row r="773" spans="1:9" s="4" customFormat="1" x14ac:dyDescent="0.25">
      <c r="A773" s="103"/>
      <c r="B773" s="73" t="s">
        <v>1681</v>
      </c>
      <c r="C773" s="65"/>
      <c r="D773" s="74"/>
      <c r="E773" s="74"/>
      <c r="F773" s="74"/>
      <c r="G773" s="74"/>
      <c r="H773" s="75">
        <f>ROUND(SUM(H756:H772),2)</f>
        <v>1.38</v>
      </c>
      <c r="I773" s="5"/>
    </row>
    <row r="774" spans="1:9" s="4" customFormat="1" x14ac:dyDescent="0.25">
      <c r="A774" s="103"/>
      <c r="B774" s="38" t="s">
        <v>1680</v>
      </c>
      <c r="C774" s="2"/>
      <c r="D774" s="3"/>
      <c r="E774" s="3"/>
      <c r="F774" s="3"/>
      <c r="G774" s="3"/>
      <c r="H774" s="56"/>
      <c r="I774" s="5"/>
    </row>
    <row r="775" spans="1:9" ht="25.5" x14ac:dyDescent="0.25">
      <c r="B775" s="64" t="s">
        <v>1409</v>
      </c>
      <c r="C775" s="65"/>
      <c r="D775" s="76"/>
      <c r="E775" s="66" t="s">
        <v>1408</v>
      </c>
      <c r="F775" s="66" t="s">
        <v>1679</v>
      </c>
      <c r="G775" s="66" t="s">
        <v>1676</v>
      </c>
      <c r="H775" s="68" t="s">
        <v>1675</v>
      </c>
      <c r="I775" s="2"/>
    </row>
    <row r="776" spans="1:9" s="4" customFormat="1" x14ac:dyDescent="0.25">
      <c r="A776" s="103">
        <v>19019</v>
      </c>
      <c r="B776" s="51" t="str">
        <f>IF($A776=0,"",VLOOKUP($A776,'BASE EQUIPO'!$A:$D,2))</f>
        <v>TRANSPORTE DE MATERIAL</v>
      </c>
      <c r="C776" s="52"/>
      <c r="D776" s="82"/>
      <c r="E776" s="78" t="str">
        <f>IF($A776=0,"",VLOOKUP($A776,'BASE EQUIPO'!$A:$D,3))</f>
        <v>GLOBAL</v>
      </c>
      <c r="F776" s="55">
        <v>1</v>
      </c>
      <c r="G776" s="83">
        <f>IF($A776=0,"",VLOOKUP($A776,'BASE EQUIPO'!$A:$D,4)*H773)</f>
        <v>4.1399999999999992E-2</v>
      </c>
      <c r="H776" s="56">
        <f>IF($A776=0,"",ROUND(F776*G776,2))</f>
        <v>0.04</v>
      </c>
      <c r="I776" s="5"/>
    </row>
    <row r="777" spans="1:9" s="4" customFormat="1" x14ac:dyDescent="0.25">
      <c r="A777" s="103"/>
      <c r="B777" s="38" t="str">
        <f>IF($A777=0,"",VLOOKUP($A777,'BASE EQUIPO'!$A:$D,2))</f>
        <v/>
      </c>
      <c r="C777" s="2"/>
      <c r="D777" s="84"/>
      <c r="E777" s="78" t="str">
        <f>IF($A777=0,"",VLOOKUP($A777,'BASE EQUIPO'!$A:$D,3))</f>
        <v/>
      </c>
      <c r="F777" s="55"/>
      <c r="G777" s="55" t="str">
        <f>IF($A777=0,"",VLOOKUP($A777,'BASE EQUIPO'!$A:$D,4)*H774)</f>
        <v/>
      </c>
      <c r="H777" s="56" t="str">
        <f>IF($A777=0,"",ROUND(F777*G777,2))</f>
        <v/>
      </c>
      <c r="I777" s="5"/>
    </row>
    <row r="778" spans="1:9" s="4" customFormat="1" x14ac:dyDescent="0.25">
      <c r="A778" s="103"/>
      <c r="B778" s="57" t="str">
        <f>IF($A778=0,"",VLOOKUP($A778,'BASE EQUIPO'!$A:$D,2))</f>
        <v/>
      </c>
      <c r="C778" s="58"/>
      <c r="D778" s="85"/>
      <c r="E778" s="86" t="str">
        <f>IF($A778=0,"",VLOOKUP($A778,'BASE EQUIPO'!$A:$D,3))</f>
        <v/>
      </c>
      <c r="F778" s="59"/>
      <c r="G778" s="59" t="str">
        <f>IF($A778=0,"",VLOOKUP($A778,'BASE EQUIPO'!$A:$D,4)*H775)</f>
        <v/>
      </c>
      <c r="H778" s="60" t="str">
        <f>IF($A778=0,"",ROUND(F778*G778,2))</f>
        <v/>
      </c>
      <c r="I778" s="5"/>
    </row>
    <row r="779" spans="1:9" s="4" customFormat="1" ht="15.75" thickBot="1" x14ac:dyDescent="0.3">
      <c r="A779" s="103"/>
      <c r="B779" s="87" t="s">
        <v>1674</v>
      </c>
      <c r="C779" s="88"/>
      <c r="D779" s="89"/>
      <c r="E779" s="89"/>
      <c r="F779" s="89"/>
      <c r="G779" s="89"/>
      <c r="H779" s="90">
        <f>ROUND(SUM(H775:H778),2)</f>
        <v>0.04</v>
      </c>
      <c r="I779" s="5"/>
    </row>
    <row r="780" spans="1:9" s="4" customFormat="1" ht="15.75" x14ac:dyDescent="0.25">
      <c r="A780" s="103"/>
      <c r="B780" s="2"/>
      <c r="C780" s="2"/>
      <c r="D780" s="91" t="s">
        <v>1673</v>
      </c>
      <c r="E780" s="177"/>
      <c r="F780" s="177"/>
      <c r="G780" s="177"/>
      <c r="H780" s="92">
        <f>ROUND(SUM(H779,H773,H754,H744),2)</f>
        <v>5.6</v>
      </c>
      <c r="I780" s="5"/>
    </row>
    <row r="781" spans="1:9" s="4" customFormat="1" ht="15.75" x14ac:dyDescent="0.25">
      <c r="A781" s="103">
        <v>40002</v>
      </c>
      <c r="B781" s="2"/>
      <c r="C781" s="2"/>
      <c r="D781" s="93" t="s">
        <v>1672</v>
      </c>
      <c r="E781" s="166"/>
      <c r="F781" s="166"/>
      <c r="G781" s="178">
        <f>IF($A781=0,"",VLOOKUP($A781,'BASE MATERIAL'!$M:$P,4))</f>
        <v>0</v>
      </c>
      <c r="H781" s="95">
        <f>IF($A781=0,"",ROUND(G781*H780,2))</f>
        <v>0</v>
      </c>
      <c r="I781" s="5"/>
    </row>
    <row r="782" spans="1:9" s="4" customFormat="1" ht="15.75" x14ac:dyDescent="0.25">
      <c r="A782" s="103">
        <v>40003</v>
      </c>
      <c r="B782" s="2"/>
      <c r="C782" s="2"/>
      <c r="D782" s="93" t="s">
        <v>1671</v>
      </c>
      <c r="E782" s="166"/>
      <c r="F782" s="166"/>
      <c r="G782" s="178">
        <f>IF($A782=0,"",VLOOKUP($A782,'BASE MATERIAL'!$M:$P,4))</f>
        <v>0</v>
      </c>
      <c r="H782" s="95">
        <f>IF($A782=0,"",ROUND(G782*H780,2))</f>
        <v>0</v>
      </c>
      <c r="I782" s="5"/>
    </row>
    <row r="783" spans="1:9" s="4" customFormat="1" ht="15.75" x14ac:dyDescent="0.25">
      <c r="A783" s="103"/>
      <c r="B783" s="2"/>
      <c r="C783" s="2"/>
      <c r="D783" s="93" t="s">
        <v>1670</v>
      </c>
      <c r="E783" s="166"/>
      <c r="F783" s="166"/>
      <c r="G783" s="166"/>
      <c r="H783" s="96">
        <f>ROUND(SUM(H780:H782),2)</f>
        <v>5.6</v>
      </c>
      <c r="I783" s="5"/>
    </row>
    <row r="784" spans="1:9" s="4" customFormat="1" ht="16.5" thickBot="1" x14ac:dyDescent="0.3">
      <c r="A784" s="103"/>
      <c r="B784" s="25"/>
      <c r="C784" s="5"/>
      <c r="D784" s="97" t="s">
        <v>1650</v>
      </c>
      <c r="E784" s="179"/>
      <c r="F784" s="179"/>
      <c r="G784" s="179"/>
      <c r="H784" s="98">
        <f>ROUND(H783,2)</f>
        <v>5.6</v>
      </c>
      <c r="I784" s="5"/>
    </row>
    <row r="785" spans="1:15" ht="15.75" x14ac:dyDescent="0.25">
      <c r="B785" s="34" t="s">
        <v>1701</v>
      </c>
      <c r="C785" s="5"/>
      <c r="D785" s="157" t="str">
        <f>$D$113</f>
        <v>ESPOL</v>
      </c>
      <c r="E785" s="2"/>
      <c r="F785" s="2"/>
      <c r="H785" s="2" t="s">
        <v>108</v>
      </c>
      <c r="I785" s="2"/>
      <c r="L785" s="40">
        <f>A789</f>
        <v>11</v>
      </c>
      <c r="M785" s="1" t="str">
        <f>C790</f>
        <v>Enlucido exterior</v>
      </c>
      <c r="N785" s="2" t="str">
        <f>H789</f>
        <v>m2</v>
      </c>
      <c r="O785" s="2">
        <f>H840</f>
        <v>6.71</v>
      </c>
    </row>
    <row r="786" spans="1:15" s="4" customFormat="1" ht="15.75" x14ac:dyDescent="0.25">
      <c r="A786" s="103"/>
      <c r="B786" s="34" t="s">
        <v>1700</v>
      </c>
      <c r="C786" s="3">
        <f>'1.1'!$C$2</f>
        <v>0</v>
      </c>
      <c r="D786" s="5"/>
      <c r="E786" s="5"/>
      <c r="F786" s="5"/>
      <c r="G786" s="158" t="s">
        <v>1699</v>
      </c>
      <c r="H786" s="159"/>
      <c r="I786" s="5" t="s">
        <v>1698</v>
      </c>
    </row>
    <row r="787" spans="1:15" s="4" customFormat="1" ht="15.75" x14ac:dyDescent="0.25">
      <c r="A787" s="103"/>
      <c r="B787" s="34"/>
      <c r="C787" s="3">
        <f>'1.1'!$C$3</f>
        <v>0</v>
      </c>
      <c r="D787" s="5"/>
      <c r="E787" s="5"/>
      <c r="F787" s="5"/>
      <c r="G787" s="5"/>
      <c r="H787" s="5"/>
      <c r="I787" s="5"/>
    </row>
    <row r="788" spans="1:15" s="4" customFormat="1" ht="15.75" x14ac:dyDescent="0.25">
      <c r="A788" s="103"/>
      <c r="B788" s="34" t="s">
        <v>1697</v>
      </c>
      <c r="C788" s="3"/>
      <c r="D788" s="5"/>
      <c r="E788" s="5"/>
      <c r="F788" s="5"/>
      <c r="G788" s="5"/>
      <c r="H788" s="5"/>
      <c r="I788" s="5"/>
    </row>
    <row r="789" spans="1:15" x14ac:dyDescent="0.25">
      <c r="A789" s="104">
        <v>11</v>
      </c>
      <c r="B789" s="2" t="s">
        <v>1586</v>
      </c>
      <c r="C789" s="111" t="s">
        <v>1548</v>
      </c>
      <c r="D789" s="5"/>
      <c r="E789" s="4"/>
      <c r="F789" s="4"/>
      <c r="G789" s="5" t="s">
        <v>1696</v>
      </c>
      <c r="H789" s="157" t="s">
        <v>1520</v>
      </c>
      <c r="I789" s="2"/>
    </row>
    <row r="790" spans="1:15" s="4" customFormat="1" x14ac:dyDescent="0.25">
      <c r="A790" s="103"/>
      <c r="B790" s="1" t="s">
        <v>1585</v>
      </c>
      <c r="C790" s="36" t="s">
        <v>1388</v>
      </c>
      <c r="D790" s="5"/>
      <c r="E790" s="5"/>
      <c r="F790" s="5"/>
      <c r="G790" s="5"/>
      <c r="H790" s="5"/>
      <c r="I790" s="5"/>
    </row>
    <row r="791" spans="1:15" ht="15.75" thickBot="1" x14ac:dyDescent="0.3">
      <c r="D791" s="2"/>
      <c r="E791" s="2"/>
      <c r="F791" s="2"/>
      <c r="G791" s="2"/>
      <c r="H791" s="2"/>
      <c r="I791" s="2"/>
    </row>
    <row r="792" spans="1:15" ht="15.75" thickBot="1" x14ac:dyDescent="0.3">
      <c r="B792" s="43" t="s">
        <v>1695</v>
      </c>
      <c r="C792" s="44"/>
      <c r="D792" s="44"/>
      <c r="E792" s="44"/>
      <c r="F792" s="44"/>
      <c r="G792" s="44"/>
      <c r="H792" s="45"/>
      <c r="I792" s="2"/>
    </row>
    <row r="793" spans="1:15" ht="25.5" x14ac:dyDescent="0.25">
      <c r="B793" s="46" t="s">
        <v>1409</v>
      </c>
      <c r="C793" s="47"/>
      <c r="D793" s="48" t="s">
        <v>1690</v>
      </c>
      <c r="E793" s="48" t="s">
        <v>1694</v>
      </c>
      <c r="F793" s="48" t="s">
        <v>1693</v>
      </c>
      <c r="G793" s="49" t="s">
        <v>1687</v>
      </c>
      <c r="H793" s="50" t="s">
        <v>1686</v>
      </c>
      <c r="I793" s="2"/>
    </row>
    <row r="794" spans="1:15" s="4" customFormat="1" x14ac:dyDescent="0.25">
      <c r="A794" s="103">
        <v>19015</v>
      </c>
      <c r="B794" s="51" t="str">
        <f>IF($A794=0,"",VLOOKUP($A794,'BASE EQUIPO'!$A:$D,2))</f>
        <v>HERRAMIENTA MENOR</v>
      </c>
      <c r="C794" s="52"/>
      <c r="D794" s="53">
        <v>1</v>
      </c>
      <c r="E794" s="53">
        <f>IF($A794=0,"",VLOOKUP($A794,'BASE EQUIPO'!$A:$D,4)*H810)</f>
        <v>0.13350000000000001</v>
      </c>
      <c r="F794" s="53">
        <f t="shared" ref="F794:F799" si="70">IF($A794=0,"",ROUND(D794*E794,2))</f>
        <v>0.13</v>
      </c>
      <c r="G794" s="105">
        <v>1</v>
      </c>
      <c r="H794" s="54">
        <f t="shared" ref="H794:H799" si="71">IF($A794=0,"",ROUND(G794*F794,2))</f>
        <v>0.13</v>
      </c>
      <c r="I794" s="5"/>
    </row>
    <row r="795" spans="1:15" s="4" customFormat="1" x14ac:dyDescent="0.25">
      <c r="A795" s="103">
        <v>19025</v>
      </c>
      <c r="B795" s="38" t="str">
        <f>IF($A795=0,"",VLOOKUP($A795,'BASE EQUIPO'!$A:$D,2))</f>
        <v xml:space="preserve">ANDAMIOS </v>
      </c>
      <c r="C795" s="2"/>
      <c r="D795" s="55">
        <v>1</v>
      </c>
      <c r="E795" s="55">
        <f>IF($A795=0,"",VLOOKUP($A795,'BASE EQUIPO'!$A:$D,4))</f>
        <v>5.54</v>
      </c>
      <c r="F795" s="55">
        <f t="shared" si="70"/>
        <v>5.54</v>
      </c>
      <c r="G795" s="106">
        <v>0.1</v>
      </c>
      <c r="H795" s="56">
        <f t="shared" si="71"/>
        <v>0.55000000000000004</v>
      </c>
      <c r="I795" s="5"/>
    </row>
    <row r="796" spans="1:15" s="4" customFormat="1" x14ac:dyDescent="0.25">
      <c r="A796" s="103"/>
      <c r="B796" s="38" t="str">
        <f>IF($A796=0,"",VLOOKUP($A796,'BASE EQUIPO'!$A:$D,2))</f>
        <v/>
      </c>
      <c r="C796" s="2"/>
      <c r="D796" s="55"/>
      <c r="E796" s="55" t="str">
        <f>IF($A796=0,"",VLOOKUP($A796,'BASE EQUIPO'!$A:$D,4))</f>
        <v/>
      </c>
      <c r="F796" s="55" t="str">
        <f t="shared" si="70"/>
        <v/>
      </c>
      <c r="G796" s="106"/>
      <c r="H796" s="56" t="str">
        <f t="shared" si="71"/>
        <v/>
      </c>
      <c r="I796" s="5"/>
    </row>
    <row r="797" spans="1:15" s="4" customFormat="1" x14ac:dyDescent="0.25">
      <c r="A797" s="103"/>
      <c r="B797" s="38" t="str">
        <f>IF($A797=0,"",VLOOKUP($A797,'BASE EQUIPO'!$A:$D,2))</f>
        <v/>
      </c>
      <c r="C797" s="2"/>
      <c r="D797" s="55"/>
      <c r="E797" s="55" t="str">
        <f>IF($A797=0,"",VLOOKUP($A797,'BASE EQUIPO'!$A:$D,4))</f>
        <v/>
      </c>
      <c r="F797" s="55" t="str">
        <f t="shared" si="70"/>
        <v/>
      </c>
      <c r="G797" s="106"/>
      <c r="H797" s="56" t="str">
        <f t="shared" si="71"/>
        <v/>
      </c>
      <c r="I797" s="5"/>
    </row>
    <row r="798" spans="1:15" s="4" customFormat="1" x14ac:dyDescent="0.25">
      <c r="A798" s="103"/>
      <c r="B798" s="38" t="str">
        <f>IF($A798=0,"",VLOOKUP($A798,'BASE EQUIPO'!$A:$D,2))</f>
        <v/>
      </c>
      <c r="C798" s="2"/>
      <c r="D798" s="55"/>
      <c r="E798" s="55" t="str">
        <f>IF($A798=0,"",VLOOKUP($A798,'BASE EQUIPO'!$A:$D,4))</f>
        <v/>
      </c>
      <c r="F798" s="55" t="str">
        <f t="shared" si="70"/>
        <v/>
      </c>
      <c r="G798" s="106"/>
      <c r="H798" s="56" t="str">
        <f t="shared" si="71"/>
        <v/>
      </c>
      <c r="I798" s="5"/>
    </row>
    <row r="799" spans="1:15" s="4" customFormat="1" x14ac:dyDescent="0.25">
      <c r="A799" s="103"/>
      <c r="B799" s="57" t="str">
        <f>IF($A799=0,"",VLOOKUP($A799,'BASE EQUIPO'!$A:$D,2))</f>
        <v/>
      </c>
      <c r="C799" s="58"/>
      <c r="D799" s="59"/>
      <c r="E799" s="59" t="str">
        <f>IF($A799=0,"",VLOOKUP($A799,'BASE EQUIPO'!$A:$D,4))</f>
        <v/>
      </c>
      <c r="F799" s="59" t="str">
        <f t="shared" si="70"/>
        <v/>
      </c>
      <c r="G799" s="107"/>
      <c r="H799" s="60" t="str">
        <f t="shared" si="71"/>
        <v/>
      </c>
      <c r="I799" s="5"/>
    </row>
    <row r="800" spans="1:15" s="4" customFormat="1" x14ac:dyDescent="0.25">
      <c r="A800" s="103"/>
      <c r="B800" s="57" t="s">
        <v>1692</v>
      </c>
      <c r="C800" s="58"/>
      <c r="D800" s="61"/>
      <c r="E800" s="61"/>
      <c r="F800" s="61"/>
      <c r="G800" s="62"/>
      <c r="H800" s="60">
        <f>ROUND(SUM(H793:H799),2)</f>
        <v>0.68</v>
      </c>
      <c r="I800" s="5"/>
    </row>
    <row r="801" spans="1:16" s="4" customFormat="1" x14ac:dyDescent="0.25">
      <c r="A801" s="103"/>
      <c r="B801" s="38" t="s">
        <v>1503</v>
      </c>
      <c r="C801" s="2"/>
      <c r="D801" s="3"/>
      <c r="E801" s="3"/>
      <c r="F801" s="3"/>
      <c r="G801" s="63"/>
      <c r="H801" s="56"/>
      <c r="I801" s="5"/>
    </row>
    <row r="802" spans="1:16" ht="25.5" x14ac:dyDescent="0.25">
      <c r="B802" s="64" t="s">
        <v>1691</v>
      </c>
      <c r="C802" s="65"/>
      <c r="D802" s="66" t="s">
        <v>1690</v>
      </c>
      <c r="E802" s="66" t="s">
        <v>1689</v>
      </c>
      <c r="F802" s="66" t="s">
        <v>1688</v>
      </c>
      <c r="G802" s="67" t="s">
        <v>1687</v>
      </c>
      <c r="H802" s="68" t="s">
        <v>1686</v>
      </c>
      <c r="I802" s="2"/>
    </row>
    <row r="803" spans="1:16" s="4" customFormat="1" x14ac:dyDescent="0.25">
      <c r="A803" s="103">
        <v>20001</v>
      </c>
      <c r="B803" s="69" t="str">
        <f>IF($A803=0,"",VLOOKUP($A803,'BASE M-OBRA'!$A:$D,2))</f>
        <v>MAESTRO</v>
      </c>
      <c r="C803" s="2"/>
      <c r="D803" s="108">
        <v>1</v>
      </c>
      <c r="E803" s="70">
        <f>IF($A803=0,"",VLOOKUP($A803,'BASE M-OBRA'!$A:$D,4))</f>
        <v>3.02</v>
      </c>
      <c r="F803" s="55">
        <f t="shared" ref="F803:F809" si="72">IF($A803=0,"",ROUND(D803*E803,2))</f>
        <v>3.02</v>
      </c>
      <c r="G803" s="106">
        <f>IF($A803=0,"",ROUND(H803/F803,2))</f>
        <v>0.25</v>
      </c>
      <c r="H803" s="56">
        <f>IF($A803=0,"",ROUND(SUM(H804:H809)*'BASE M-OBRA'!$D$23,2))</f>
        <v>0.74</v>
      </c>
      <c r="I803" s="5"/>
    </row>
    <row r="804" spans="1:16" s="4" customFormat="1" x14ac:dyDescent="0.25">
      <c r="A804" s="103">
        <v>20002</v>
      </c>
      <c r="B804" s="69" t="str">
        <f>IF($A804=0,"",VLOOKUP($A804,'BASE M-OBRA'!$A:$D,2))</f>
        <v>PEON</v>
      </c>
      <c r="C804" s="2"/>
      <c r="D804" s="108">
        <v>2</v>
      </c>
      <c r="E804" s="70">
        <f>IF($A804=0,"",VLOOKUP($A804,'BASE M-OBRA'!$A:$D,4))</f>
        <v>2.79</v>
      </c>
      <c r="F804" s="55">
        <f t="shared" si="72"/>
        <v>5.58</v>
      </c>
      <c r="G804" s="106">
        <v>0.22</v>
      </c>
      <c r="H804" s="56">
        <f t="shared" ref="H804:H809" si="73">IF($A804=0,"",ROUND(G804*F804,2))</f>
        <v>1.23</v>
      </c>
      <c r="I804" s="5"/>
    </row>
    <row r="805" spans="1:16" s="4" customFormat="1" x14ac:dyDescent="0.25">
      <c r="A805" s="103">
        <v>20003</v>
      </c>
      <c r="B805" s="69" t="str">
        <f>IF($A805=0,"",VLOOKUP($A805,'BASE M-OBRA'!$A:$D,2))</f>
        <v>ALBAÑIL</v>
      </c>
      <c r="C805" s="2"/>
      <c r="D805" s="108">
        <v>4</v>
      </c>
      <c r="E805" s="70">
        <f>IF($A805=0,"",VLOOKUP($A805,'BASE M-OBRA'!$A:$D,4))</f>
        <v>2.82</v>
      </c>
      <c r="F805" s="55">
        <f t="shared" si="72"/>
        <v>11.28</v>
      </c>
      <c r="G805" s="106">
        <f>+G804</f>
        <v>0.22</v>
      </c>
      <c r="H805" s="56">
        <f t="shared" si="73"/>
        <v>2.48</v>
      </c>
      <c r="I805" s="5"/>
    </row>
    <row r="806" spans="1:16" s="4" customFormat="1" x14ac:dyDescent="0.25">
      <c r="A806" s="103"/>
      <c r="B806" s="71" t="str">
        <f>IF($A806=0,"",VLOOKUP($A806,'BASE M-OBRA'!$A:$D,2))</f>
        <v/>
      </c>
      <c r="C806" s="2"/>
      <c r="D806" s="108"/>
      <c r="E806" s="70" t="str">
        <f>IF($A806=0,"",VLOOKUP($A806,'BASE M-OBRA'!$A:$D,4))</f>
        <v/>
      </c>
      <c r="F806" s="55" t="str">
        <f t="shared" si="72"/>
        <v/>
      </c>
      <c r="G806" s="106"/>
      <c r="H806" s="56" t="str">
        <f t="shared" si="73"/>
        <v/>
      </c>
      <c r="I806" s="5"/>
    </row>
    <row r="807" spans="1:16" s="4" customFormat="1" x14ac:dyDescent="0.25">
      <c r="A807" s="103"/>
      <c r="B807" s="72" t="str">
        <f>IF($A807=0,"",VLOOKUP($A807,'BASE M-OBRA'!$A:$D,2))</f>
        <v/>
      </c>
      <c r="C807" s="2"/>
      <c r="D807" s="108"/>
      <c r="E807" s="70" t="str">
        <f>IF($A807=0,"",VLOOKUP($A807,'BASE M-OBRA'!$A:$D,4))</f>
        <v/>
      </c>
      <c r="F807" s="55" t="str">
        <f t="shared" si="72"/>
        <v/>
      </c>
      <c r="G807" s="106"/>
      <c r="H807" s="56" t="str">
        <f t="shared" si="73"/>
        <v/>
      </c>
      <c r="I807" s="5"/>
    </row>
    <row r="808" spans="1:16" s="4" customFormat="1" x14ac:dyDescent="0.25">
      <c r="A808" s="103"/>
      <c r="B808" s="38" t="str">
        <f>IF($A808=0,"",VLOOKUP($A808,'BASE M-OBRA'!$A:$D,2))</f>
        <v/>
      </c>
      <c r="C808" s="2"/>
      <c r="D808" s="55"/>
      <c r="E808" s="55" t="str">
        <f>IF($A808=0,"",VLOOKUP($A808,'BASE M-OBRA'!$A:$D,4))</f>
        <v/>
      </c>
      <c r="F808" s="55" t="str">
        <f t="shared" si="72"/>
        <v/>
      </c>
      <c r="G808" s="106"/>
      <c r="H808" s="56" t="str">
        <f t="shared" si="73"/>
        <v/>
      </c>
      <c r="I808" s="5"/>
    </row>
    <row r="809" spans="1:16" s="4" customFormat="1" x14ac:dyDescent="0.25">
      <c r="A809" s="103"/>
      <c r="B809" s="57" t="str">
        <f>IF($A809=0,"",VLOOKUP($A809,'BASE M-OBRA'!$A:$D,2))</f>
        <v/>
      </c>
      <c r="C809" s="58"/>
      <c r="D809" s="59"/>
      <c r="E809" s="59" t="str">
        <f>IF($A809=0,"",VLOOKUP($A809,'BASE M-OBRA'!$A:$D,4))</f>
        <v/>
      </c>
      <c r="F809" s="59" t="str">
        <f t="shared" si="72"/>
        <v/>
      </c>
      <c r="G809" s="107"/>
      <c r="H809" s="60" t="str">
        <f t="shared" si="73"/>
        <v/>
      </c>
      <c r="I809" s="5"/>
    </row>
    <row r="810" spans="1:16" s="4" customFormat="1" x14ac:dyDescent="0.25">
      <c r="A810" s="103"/>
      <c r="B810" s="73" t="s">
        <v>1685</v>
      </c>
      <c r="C810" s="65"/>
      <c r="D810" s="74"/>
      <c r="E810" s="74"/>
      <c r="F810" s="74"/>
      <c r="G810" s="74"/>
      <c r="H810" s="75">
        <f>ROUND(SUM(H802:H809),2)</f>
        <v>4.45</v>
      </c>
      <c r="I810" s="5"/>
    </row>
    <row r="811" spans="1:16" s="4" customFormat="1" x14ac:dyDescent="0.25">
      <c r="A811" s="103"/>
      <c r="B811" s="38" t="s">
        <v>1684</v>
      </c>
      <c r="C811" s="2"/>
      <c r="D811" s="3"/>
      <c r="E811" s="3"/>
      <c r="F811" s="3"/>
      <c r="G811" s="3"/>
      <c r="H811" s="56"/>
      <c r="I811" s="5"/>
    </row>
    <row r="812" spans="1:16" ht="25.5" x14ac:dyDescent="0.25">
      <c r="B812" s="64" t="s">
        <v>1409</v>
      </c>
      <c r="C812" s="65"/>
      <c r="D812" s="76"/>
      <c r="E812" s="66" t="s">
        <v>1408</v>
      </c>
      <c r="F812" s="66" t="s">
        <v>1679</v>
      </c>
      <c r="G812" s="66" t="s">
        <v>1683</v>
      </c>
      <c r="H812" s="68" t="s">
        <v>1675</v>
      </c>
      <c r="I812" s="2"/>
    </row>
    <row r="813" spans="1:16" s="4" customFormat="1" x14ac:dyDescent="0.25">
      <c r="A813" s="103">
        <v>4001</v>
      </c>
      <c r="B813" s="38" t="str">
        <f>IF($A813=0,"",VLOOKUP($A813,'BASE MATERIAL'!$A:$D,2))</f>
        <v>CEMENTO</v>
      </c>
      <c r="C813" s="2"/>
      <c r="D813" s="77"/>
      <c r="E813" s="78" t="str">
        <f>IF($A813=0,"",VLOOKUP($A813,'BASE MATERIAL'!$A:$D,3))</f>
        <v>SACO</v>
      </c>
      <c r="F813" s="55">
        <f>ROUND(1*0.017*10*1.05,3)</f>
        <v>0.17899999999999999</v>
      </c>
      <c r="G813" s="55">
        <f>IF($A813=0,"",VLOOKUP($A813,'BASE MATERIAL'!$A:$D,4))</f>
        <v>7.09</v>
      </c>
      <c r="H813" s="56">
        <f t="shared" ref="H813:H827" si="74">IF($A813=0,"",ROUND(F813*G813,2))</f>
        <v>1.27</v>
      </c>
      <c r="I813" s="5"/>
      <c r="L813" s="5"/>
      <c r="M813" s="5"/>
      <c r="N813" s="160"/>
      <c r="O813" s="5"/>
      <c r="P813" s="5"/>
    </row>
    <row r="814" spans="1:16" s="4" customFormat="1" x14ac:dyDescent="0.25">
      <c r="A814" s="103">
        <v>5004</v>
      </c>
      <c r="B814" s="38" t="str">
        <f>IF($A814=0,"",VLOOKUP($A814,'BASE MATERIAL'!$A:$D,2))</f>
        <v>ARENA</v>
      </c>
      <c r="C814" s="2"/>
      <c r="D814" s="77"/>
      <c r="E814" s="78" t="str">
        <f>IF($A814=0,"",VLOOKUP($A814,'BASE MATERIAL'!$A:$D,3))</f>
        <v>M3</v>
      </c>
      <c r="F814" s="55">
        <f>ROUND(F813*0.032*3,2)</f>
        <v>0.02</v>
      </c>
      <c r="G814" s="55">
        <f>IF($A814=0,"",VLOOKUP($A814,'BASE MATERIAL'!$A:$D,4))</f>
        <v>12.276249999999999</v>
      </c>
      <c r="H814" s="56">
        <f t="shared" si="74"/>
        <v>0.25</v>
      </c>
      <c r="I814" s="5"/>
      <c r="L814" s="5"/>
      <c r="M814" s="5"/>
      <c r="N814" s="160"/>
      <c r="O814" s="5"/>
      <c r="P814" s="5"/>
    </row>
    <row r="815" spans="1:16" s="4" customFormat="1" x14ac:dyDescent="0.25">
      <c r="A815" s="103">
        <v>5005</v>
      </c>
      <c r="B815" s="38" t="str">
        <f>IF($A815=0,"",VLOOKUP($A815,'BASE MATERIAL'!$A:$D,2))</f>
        <v>AGUA</v>
      </c>
      <c r="C815" s="2"/>
      <c r="D815" s="77"/>
      <c r="E815" s="78" t="str">
        <f>IF($A815=0,"",VLOOKUP($A815,'BASE MATERIAL'!$A:$D,3))</f>
        <v>LT</v>
      </c>
      <c r="F815" s="55">
        <f>ROUND(30*F813,2)</f>
        <v>5.37</v>
      </c>
      <c r="G815" s="80">
        <f>IF($A815=0,"",VLOOKUP($A815,'BASE MATERIAL'!$A:$D,4))</f>
        <v>2E-3</v>
      </c>
      <c r="H815" s="56">
        <f t="shared" si="74"/>
        <v>0.01</v>
      </c>
      <c r="I815" s="5"/>
      <c r="L815" s="5"/>
      <c r="M815" s="5"/>
      <c r="N815" s="160"/>
      <c r="O815" s="5"/>
      <c r="P815" s="5"/>
    </row>
    <row r="816" spans="1:16" s="4" customFormat="1" x14ac:dyDescent="0.25">
      <c r="A816" s="103"/>
      <c r="B816" s="38" t="str">
        <f>IF($A816=0,"",VLOOKUP($A816,'BASE MATERIAL'!$A:$D,2))</f>
        <v/>
      </c>
      <c r="C816" s="2"/>
      <c r="D816" s="77"/>
      <c r="E816" s="78" t="str">
        <f>IF($A816=0,"",VLOOKUP($A816,'BASE MATERIAL'!$A:$D,3))</f>
        <v/>
      </c>
      <c r="F816" s="55"/>
      <c r="G816" s="55" t="str">
        <f>IF($A816=0,"",VLOOKUP($A816,'BASE MATERIAL'!$A:$D,4))</f>
        <v/>
      </c>
      <c r="H816" s="56" t="str">
        <f t="shared" si="74"/>
        <v/>
      </c>
      <c r="I816" s="5"/>
      <c r="L816" s="5"/>
      <c r="M816" s="5"/>
      <c r="N816" s="160"/>
      <c r="O816" s="5"/>
      <c r="P816" s="5"/>
    </row>
    <row r="817" spans="1:16" s="4" customFormat="1" x14ac:dyDescent="0.25">
      <c r="A817" s="103"/>
      <c r="B817" s="38" t="str">
        <f>IF($A817=0,"",VLOOKUP($A817,'BASE MATERIAL'!$A:$D,2))</f>
        <v/>
      </c>
      <c r="C817" s="2"/>
      <c r="D817" s="77"/>
      <c r="E817" s="78" t="str">
        <f>IF($A817=0,"",VLOOKUP($A817,'BASE MATERIAL'!$A:$D,3))</f>
        <v/>
      </c>
      <c r="F817" s="55"/>
      <c r="G817" s="55" t="str">
        <f>IF($A817=0,"",VLOOKUP($A817,'BASE MATERIAL'!$A:$D,4))</f>
        <v/>
      </c>
      <c r="H817" s="56" t="str">
        <f t="shared" si="74"/>
        <v/>
      </c>
      <c r="I817" s="5"/>
      <c r="L817" s="5"/>
      <c r="M817" s="5"/>
      <c r="N817" s="160"/>
      <c r="O817" s="5"/>
      <c r="P817" s="5"/>
    </row>
    <row r="818" spans="1:16" s="4" customFormat="1" x14ac:dyDescent="0.25">
      <c r="A818" s="103"/>
      <c r="B818" s="38" t="str">
        <f>IF($A818=0,"",VLOOKUP($A818,'BASE MATERIAL'!$A:$D,2))</f>
        <v/>
      </c>
      <c r="C818" s="2"/>
      <c r="D818" s="77"/>
      <c r="E818" s="78" t="str">
        <f>IF($A818=0,"",VLOOKUP($A818,'BASE MATERIAL'!$A:$D,3))</f>
        <v/>
      </c>
      <c r="F818" s="55"/>
      <c r="G818" s="55" t="str">
        <f>IF($A818=0,"",VLOOKUP($A818,'BASE MATERIAL'!$A:$D,4))</f>
        <v/>
      </c>
      <c r="H818" s="56" t="str">
        <f t="shared" si="74"/>
        <v/>
      </c>
      <c r="I818" s="5"/>
      <c r="L818" s="5"/>
      <c r="M818" s="5"/>
      <c r="N818" s="160"/>
      <c r="O818" s="5"/>
      <c r="P818" s="5"/>
    </row>
    <row r="819" spans="1:16" s="4" customFormat="1" x14ac:dyDescent="0.25">
      <c r="A819" s="103"/>
      <c r="B819" s="38" t="str">
        <f>IF($A819=0,"",VLOOKUP($A819,'BASE MATERIAL'!$A:$D,2))</f>
        <v/>
      </c>
      <c r="C819" s="2"/>
      <c r="D819" s="77"/>
      <c r="E819" s="78" t="str">
        <f>IF($A819=0,"",VLOOKUP($A819,'BASE MATERIAL'!$A:$D,3))</f>
        <v/>
      </c>
      <c r="F819" s="55"/>
      <c r="G819" s="55" t="str">
        <f>IF($A819=0,"",VLOOKUP($A819,'BASE MATERIAL'!$A:$D,4))</f>
        <v/>
      </c>
      <c r="H819" s="56" t="str">
        <f t="shared" si="74"/>
        <v/>
      </c>
      <c r="I819" s="5"/>
      <c r="L819" s="5"/>
      <c r="M819" s="5"/>
      <c r="N819" s="160"/>
      <c r="O819" s="5"/>
      <c r="P819" s="5"/>
    </row>
    <row r="820" spans="1:16" s="4" customFormat="1" x14ac:dyDescent="0.25">
      <c r="A820" s="103"/>
      <c r="B820" s="38" t="str">
        <f>IF($A820=0,"",VLOOKUP($A820,'BASE MATERIAL'!$A:$D,2))</f>
        <v/>
      </c>
      <c r="C820" s="2"/>
      <c r="D820" s="77"/>
      <c r="E820" s="78" t="str">
        <f>IF($A820=0,"",VLOOKUP($A820,'BASE MATERIAL'!$A:$D,3))</f>
        <v/>
      </c>
      <c r="F820" s="55"/>
      <c r="G820" s="55" t="str">
        <f>IF($A820=0,"",VLOOKUP($A820,'BASE MATERIAL'!$A:$D,4))</f>
        <v/>
      </c>
      <c r="H820" s="56" t="str">
        <f t="shared" si="74"/>
        <v/>
      </c>
      <c r="I820" s="5"/>
      <c r="L820" s="5"/>
      <c r="M820" s="5"/>
      <c r="N820" s="160"/>
      <c r="O820" s="5"/>
      <c r="P820" s="5"/>
    </row>
    <row r="821" spans="1:16" s="4" customFormat="1" x14ac:dyDescent="0.25">
      <c r="A821" s="103"/>
      <c r="B821" s="38" t="str">
        <f>IF($A821=0,"",VLOOKUP($A821,'BASE MATERIAL'!$A:$D,2))</f>
        <v/>
      </c>
      <c r="C821" s="2"/>
      <c r="D821" s="77"/>
      <c r="E821" s="78" t="str">
        <f>IF($A821=0,"",VLOOKUP($A821,'BASE MATERIAL'!$A:$D,3))</f>
        <v/>
      </c>
      <c r="F821" s="55"/>
      <c r="G821" s="55" t="str">
        <f>IF($A821=0,"",VLOOKUP($A821,'BASE MATERIAL'!$A:$D,4))</f>
        <v/>
      </c>
      <c r="H821" s="56" t="str">
        <f t="shared" si="74"/>
        <v/>
      </c>
      <c r="I821" s="5"/>
    </row>
    <row r="822" spans="1:16" s="4" customFormat="1" x14ac:dyDescent="0.25">
      <c r="A822" s="103"/>
      <c r="B822" s="38" t="str">
        <f>IF($A822=0,"",VLOOKUP($A822,'BASE MATERIAL'!$A:$D,2))</f>
        <v/>
      </c>
      <c r="C822" s="2"/>
      <c r="D822" s="77"/>
      <c r="E822" s="78" t="str">
        <f>IF($A822=0,"",VLOOKUP($A822,'BASE MATERIAL'!$A:$D,3))</f>
        <v/>
      </c>
      <c r="F822" s="55"/>
      <c r="G822" s="55" t="str">
        <f>IF($A822=0,"",VLOOKUP($A822,'BASE MATERIAL'!$A:$D,4))</f>
        <v/>
      </c>
      <c r="H822" s="56" t="str">
        <f t="shared" si="74"/>
        <v/>
      </c>
      <c r="I822" s="5"/>
      <c r="L822" s="5"/>
      <c r="M822" s="5"/>
      <c r="N822" s="160"/>
      <c r="O822" s="5"/>
      <c r="P822" s="5"/>
    </row>
    <row r="823" spans="1:16" s="4" customFormat="1" x14ac:dyDescent="0.25">
      <c r="A823" s="103"/>
      <c r="B823" s="38" t="str">
        <f>IF($A823=0,"",VLOOKUP($A823,'BASE MATERIAL'!$A:$D,2))</f>
        <v/>
      </c>
      <c r="C823" s="2"/>
      <c r="D823" s="77"/>
      <c r="E823" s="78" t="str">
        <f>IF($A823=0,"",VLOOKUP($A823,'BASE MATERIAL'!$A:$D,3))</f>
        <v/>
      </c>
      <c r="F823" s="55"/>
      <c r="G823" s="55" t="str">
        <f>IF($A823=0,"",VLOOKUP($A823,'BASE MATERIAL'!$A:$D,4))</f>
        <v/>
      </c>
      <c r="H823" s="56" t="str">
        <f t="shared" si="74"/>
        <v/>
      </c>
      <c r="I823" s="5"/>
      <c r="L823" s="5"/>
      <c r="M823" s="5"/>
      <c r="N823" s="160"/>
      <c r="O823" s="5"/>
      <c r="P823" s="5"/>
    </row>
    <row r="824" spans="1:16" s="4" customFormat="1" x14ac:dyDescent="0.25">
      <c r="A824" s="103"/>
      <c r="B824" s="38" t="str">
        <f>IF($A824=0,"",VLOOKUP($A824,'BASE MATERIAL'!$A:$D,2))</f>
        <v/>
      </c>
      <c r="C824" s="2"/>
      <c r="D824" s="77"/>
      <c r="E824" s="78" t="str">
        <f>IF($A824=0,"",VLOOKUP($A824,'BASE MATERIAL'!$A:$D,3))</f>
        <v/>
      </c>
      <c r="F824" s="55"/>
      <c r="G824" s="55" t="str">
        <f>IF($A824=0,"",VLOOKUP($A824,'BASE MATERIAL'!$A:$D,4))</f>
        <v/>
      </c>
      <c r="H824" s="56" t="str">
        <f t="shared" si="74"/>
        <v/>
      </c>
      <c r="I824" s="5"/>
    </row>
    <row r="825" spans="1:16" s="4" customFormat="1" x14ac:dyDescent="0.25">
      <c r="A825" s="103"/>
      <c r="B825" s="38" t="str">
        <f>IF($A825=0,"",VLOOKUP($A825,'BASE MATERIAL'!$A:$D,2))</f>
        <v/>
      </c>
      <c r="C825" s="2"/>
      <c r="D825" s="77"/>
      <c r="E825" s="78" t="str">
        <f>IF($A825=0,"",VLOOKUP($A825,'BASE MATERIAL'!$A:$D,3))</f>
        <v/>
      </c>
      <c r="F825" s="55"/>
      <c r="G825" s="55" t="str">
        <f>IF($A825=0,"",VLOOKUP($A825,'BASE MATERIAL'!$A:$D,4))</f>
        <v/>
      </c>
      <c r="H825" s="56" t="str">
        <f t="shared" si="74"/>
        <v/>
      </c>
      <c r="I825" s="5"/>
    </row>
    <row r="826" spans="1:16" s="4" customFormat="1" x14ac:dyDescent="0.25">
      <c r="A826" s="103"/>
      <c r="B826" s="38" t="str">
        <f>IF($A826=0,"",VLOOKUP($A826,'BASE MATERIAL'!$A:$D,2))</f>
        <v/>
      </c>
      <c r="C826" s="2"/>
      <c r="D826" s="77"/>
      <c r="E826" s="78" t="str">
        <f>IF($A826=0,"",VLOOKUP($A826,'BASE MATERIAL'!$A:$D,3))</f>
        <v/>
      </c>
      <c r="F826" s="55"/>
      <c r="G826" s="55" t="str">
        <f>IF($A826=0,"",VLOOKUP($A826,'BASE MATERIAL'!$A:$D,4))</f>
        <v/>
      </c>
      <c r="H826" s="56" t="str">
        <f t="shared" si="74"/>
        <v/>
      </c>
      <c r="I826" s="5"/>
    </row>
    <row r="827" spans="1:16" s="4" customFormat="1" x14ac:dyDescent="0.25">
      <c r="A827" s="103"/>
      <c r="B827" s="38" t="str">
        <f>IF($A827=0,"",VLOOKUP($A827,'BASE MATERIAL'!$A:$D,2))</f>
        <v/>
      </c>
      <c r="C827" s="2"/>
      <c r="D827" s="77"/>
      <c r="E827" s="78" t="str">
        <f>IF($A827=0,"",VLOOKUP($A827,'BASE MATERIAL'!$A:$D,3))</f>
        <v/>
      </c>
      <c r="F827" s="55"/>
      <c r="G827" s="55" t="str">
        <f>IF($A827=0,"",VLOOKUP($A827,'BASE MATERIAL'!$A:$D,4))</f>
        <v/>
      </c>
      <c r="H827" s="56" t="str">
        <f t="shared" si="74"/>
        <v/>
      </c>
      <c r="I827" s="5"/>
    </row>
    <row r="828" spans="1:16" s="4" customFormat="1" x14ac:dyDescent="0.25">
      <c r="A828" s="103"/>
      <c r="B828" s="38" t="str">
        <f>IF($A828=0,"",VLOOKUP($A828,'BASE MATERIAL'!$A:$D,2))</f>
        <v/>
      </c>
      <c r="C828" s="2"/>
      <c r="D828" s="81" t="s">
        <v>1682</v>
      </c>
      <c r="E828" s="55" t="str">
        <f>IF($A828=0,"",VLOOKUP($A828,'BASE MATERIAL'!$A:$D,3))</f>
        <v/>
      </c>
      <c r="F828" s="55" t="s">
        <v>1682</v>
      </c>
      <c r="G828" s="55" t="str">
        <f>IF($A828=0,"",VLOOKUP($A828,'BASE MATERIAL'!$A:$D,4))</f>
        <v/>
      </c>
      <c r="H828" s="56" t="str">
        <f>IF($A828=0,"",ROUND(E828*F828,2))</f>
        <v/>
      </c>
      <c r="I828" s="5"/>
    </row>
    <row r="829" spans="1:16" s="4" customFormat="1" x14ac:dyDescent="0.25">
      <c r="A829" s="103"/>
      <c r="B829" s="73" t="s">
        <v>1681</v>
      </c>
      <c r="C829" s="65"/>
      <c r="D829" s="74"/>
      <c r="E829" s="74"/>
      <c r="F829" s="74"/>
      <c r="G829" s="74"/>
      <c r="H829" s="75">
        <f>ROUND(SUM(H812:H828),2)</f>
        <v>1.53</v>
      </c>
      <c r="I829" s="5"/>
    </row>
    <row r="830" spans="1:16" s="4" customFormat="1" x14ac:dyDescent="0.25">
      <c r="A830" s="103"/>
      <c r="B830" s="38" t="s">
        <v>1680</v>
      </c>
      <c r="C830" s="2"/>
      <c r="D830" s="3"/>
      <c r="E830" s="3"/>
      <c r="F830" s="3"/>
      <c r="G830" s="3"/>
      <c r="H830" s="56"/>
      <c r="I830" s="5"/>
    </row>
    <row r="831" spans="1:16" ht="25.5" x14ac:dyDescent="0.25">
      <c r="B831" s="64" t="s">
        <v>1409</v>
      </c>
      <c r="C831" s="65"/>
      <c r="D831" s="76"/>
      <c r="E831" s="66" t="s">
        <v>1408</v>
      </c>
      <c r="F831" s="66" t="s">
        <v>1679</v>
      </c>
      <c r="G831" s="66" t="s">
        <v>1676</v>
      </c>
      <c r="H831" s="68" t="s">
        <v>1675</v>
      </c>
      <c r="I831" s="2"/>
    </row>
    <row r="832" spans="1:16" s="4" customFormat="1" x14ac:dyDescent="0.25">
      <c r="A832" s="103">
        <v>19019</v>
      </c>
      <c r="B832" s="51" t="str">
        <f>IF($A832=0,"",VLOOKUP($A832,'BASE EQUIPO'!$A:$D,2))</f>
        <v>TRANSPORTE DE MATERIAL</v>
      </c>
      <c r="C832" s="52"/>
      <c r="D832" s="82"/>
      <c r="E832" s="78" t="str">
        <f>IF($A832=0,"",VLOOKUP($A832,'BASE EQUIPO'!$A:$D,3))</f>
        <v>GLOBAL</v>
      </c>
      <c r="F832" s="55">
        <v>1</v>
      </c>
      <c r="G832" s="83">
        <f>IF($A832=0,"",VLOOKUP($A832,'BASE EQUIPO'!$A:$D,4)*H829)</f>
        <v>4.5899999999999996E-2</v>
      </c>
      <c r="H832" s="56">
        <f>IF($A832=0,"",ROUND(F832*G832,2))</f>
        <v>0.05</v>
      </c>
      <c r="I832" s="5"/>
    </row>
    <row r="833" spans="1:15" s="4" customFormat="1" x14ac:dyDescent="0.25">
      <c r="A833" s="103"/>
      <c r="B833" s="38" t="str">
        <f>IF($A833=0,"",VLOOKUP($A833,'BASE EQUIPO'!$A:$D,2))</f>
        <v/>
      </c>
      <c r="C833" s="2"/>
      <c r="D833" s="84"/>
      <c r="E833" s="78" t="str">
        <f>IF($A833=0,"",VLOOKUP($A833,'BASE EQUIPO'!$A:$D,3))</f>
        <v/>
      </c>
      <c r="F833" s="55"/>
      <c r="G833" s="55" t="str">
        <f>IF($A833=0,"",VLOOKUP($A833,'BASE EQUIPO'!$A:$D,4)*H830)</f>
        <v/>
      </c>
      <c r="H833" s="56" t="str">
        <f>IF($A833=0,"",ROUND(F833*G833,2))</f>
        <v/>
      </c>
      <c r="I833" s="5"/>
    </row>
    <row r="834" spans="1:15" s="4" customFormat="1" x14ac:dyDescent="0.25">
      <c r="A834" s="103"/>
      <c r="B834" s="57" t="str">
        <f>IF($A834=0,"",VLOOKUP($A834,'BASE EQUIPO'!$A:$D,2))</f>
        <v/>
      </c>
      <c r="C834" s="58"/>
      <c r="D834" s="85"/>
      <c r="E834" s="86" t="str">
        <f>IF($A834=0,"",VLOOKUP($A834,'BASE EQUIPO'!$A:$D,3))</f>
        <v/>
      </c>
      <c r="F834" s="59"/>
      <c r="G834" s="59" t="str">
        <f>IF($A834=0,"",VLOOKUP($A834,'BASE EQUIPO'!$A:$D,4)*H831)</f>
        <v/>
      </c>
      <c r="H834" s="60" t="str">
        <f>IF($A834=0,"",ROUND(F834*G834,2))</f>
        <v/>
      </c>
      <c r="I834" s="5"/>
    </row>
    <row r="835" spans="1:15" s="4" customFormat="1" ht="15.75" thickBot="1" x14ac:dyDescent="0.3">
      <c r="A835" s="103"/>
      <c r="B835" s="87" t="s">
        <v>1674</v>
      </c>
      <c r="C835" s="88"/>
      <c r="D835" s="89"/>
      <c r="E835" s="89"/>
      <c r="F835" s="89"/>
      <c r="G835" s="89"/>
      <c r="H835" s="90">
        <f>ROUND(SUM(H831:H834),2)</f>
        <v>0.05</v>
      </c>
      <c r="I835" s="5"/>
    </row>
    <row r="836" spans="1:15" s="4" customFormat="1" ht="15.75" x14ac:dyDescent="0.25">
      <c r="A836" s="103"/>
      <c r="B836" s="2"/>
      <c r="C836" s="2"/>
      <c r="D836" s="91" t="s">
        <v>1673</v>
      </c>
      <c r="E836" s="177"/>
      <c r="F836" s="177"/>
      <c r="G836" s="177"/>
      <c r="H836" s="92">
        <f>ROUND(SUM(H835,H829,H810,H800),2)</f>
        <v>6.71</v>
      </c>
      <c r="I836" s="5"/>
    </row>
    <row r="837" spans="1:15" s="4" customFormat="1" ht="15.75" x14ac:dyDescent="0.25">
      <c r="A837" s="103">
        <v>40002</v>
      </c>
      <c r="B837" s="2"/>
      <c r="C837" s="2"/>
      <c r="D837" s="93" t="s">
        <v>1672</v>
      </c>
      <c r="E837" s="166"/>
      <c r="F837" s="166"/>
      <c r="G837" s="178">
        <f>IF($A837=0,"",VLOOKUP($A837,'BASE MATERIAL'!$M:$P,4))</f>
        <v>0</v>
      </c>
      <c r="H837" s="95">
        <f>IF($A837=0,"",ROUND(G837*H836,2))</f>
        <v>0</v>
      </c>
      <c r="I837" s="5"/>
    </row>
    <row r="838" spans="1:15" s="4" customFormat="1" ht="15.75" x14ac:dyDescent="0.25">
      <c r="A838" s="103">
        <v>40003</v>
      </c>
      <c r="B838" s="2"/>
      <c r="C838" s="2"/>
      <c r="D838" s="93" t="s">
        <v>1671</v>
      </c>
      <c r="E838" s="166"/>
      <c r="F838" s="166"/>
      <c r="G838" s="178">
        <f>IF($A838=0,"",VLOOKUP($A838,'BASE MATERIAL'!$M:$P,4))</f>
        <v>0</v>
      </c>
      <c r="H838" s="95">
        <f>IF($A838=0,"",ROUND(G838*H836,2))</f>
        <v>0</v>
      </c>
      <c r="I838" s="5"/>
    </row>
    <row r="839" spans="1:15" s="4" customFormat="1" ht="15.75" x14ac:dyDescent="0.25">
      <c r="A839" s="103"/>
      <c r="B839" s="2"/>
      <c r="C839" s="2"/>
      <c r="D839" s="93" t="s">
        <v>1670</v>
      </c>
      <c r="E839" s="166"/>
      <c r="F839" s="166"/>
      <c r="G839" s="166"/>
      <c r="H839" s="96">
        <f>ROUND(SUM(H836:H838),2)</f>
        <v>6.71</v>
      </c>
      <c r="I839" s="5"/>
    </row>
    <row r="840" spans="1:15" s="4" customFormat="1" ht="16.5" thickBot="1" x14ac:dyDescent="0.3">
      <c r="A840" s="103"/>
      <c r="B840" s="25"/>
      <c r="C840" s="5"/>
      <c r="D840" s="97" t="s">
        <v>1650</v>
      </c>
      <c r="E840" s="179"/>
      <c r="F840" s="179"/>
      <c r="G840" s="179"/>
      <c r="H840" s="98">
        <f>ROUND(H839,2)</f>
        <v>6.71</v>
      </c>
      <c r="I840" s="5"/>
    </row>
    <row r="841" spans="1:15" ht="15.75" x14ac:dyDescent="0.25">
      <c r="B841" s="34" t="s">
        <v>1701</v>
      </c>
      <c r="C841" s="5"/>
      <c r="D841" s="157" t="str">
        <f>$D$113</f>
        <v>ESPOL</v>
      </c>
      <c r="E841" s="2"/>
      <c r="F841" s="2"/>
      <c r="H841" s="2" t="s">
        <v>108</v>
      </c>
      <c r="I841" s="2"/>
      <c r="L841" s="40">
        <f>A845</f>
        <v>10</v>
      </c>
      <c r="M841" s="1" t="str">
        <f>C846</f>
        <v>Enlucido de columnas</v>
      </c>
      <c r="N841" s="2" t="str">
        <f>H845</f>
        <v>m2</v>
      </c>
      <c r="O841" s="2">
        <f>H896</f>
        <v>6.63</v>
      </c>
    </row>
    <row r="842" spans="1:15" s="4" customFormat="1" ht="15.75" x14ac:dyDescent="0.25">
      <c r="A842" s="103"/>
      <c r="B842" s="34" t="s">
        <v>1700</v>
      </c>
      <c r="C842" s="3">
        <f>'1.1'!$C$2</f>
        <v>0</v>
      </c>
      <c r="D842" s="5"/>
      <c r="E842" s="5"/>
      <c r="F842" s="5"/>
      <c r="G842" s="158" t="s">
        <v>1699</v>
      </c>
      <c r="H842" s="159"/>
      <c r="I842" s="5" t="s">
        <v>1698</v>
      </c>
    </row>
    <row r="843" spans="1:15" s="4" customFormat="1" ht="15.75" x14ac:dyDescent="0.25">
      <c r="A843" s="103"/>
      <c r="B843" s="34"/>
      <c r="C843" s="3">
        <f>'1.1'!$C$3</f>
        <v>0</v>
      </c>
      <c r="D843" s="5"/>
      <c r="E843" s="5"/>
      <c r="F843" s="5"/>
      <c r="G843" s="5"/>
      <c r="H843" s="5"/>
      <c r="I843" s="5"/>
    </row>
    <row r="844" spans="1:15" s="4" customFormat="1" ht="15.75" x14ac:dyDescent="0.25">
      <c r="A844" s="103"/>
      <c r="B844" s="34" t="s">
        <v>1697</v>
      </c>
      <c r="C844" s="3"/>
      <c r="D844" s="5"/>
      <c r="E844" s="5"/>
      <c r="F844" s="5"/>
      <c r="G844" s="5"/>
      <c r="H844" s="5"/>
      <c r="I844" s="5"/>
    </row>
    <row r="845" spans="1:15" x14ac:dyDescent="0.25">
      <c r="A845" s="104">
        <v>10</v>
      </c>
      <c r="B845" s="2" t="s">
        <v>1586</v>
      </c>
      <c r="C845" s="111" t="s">
        <v>1550</v>
      </c>
      <c r="D845" s="5"/>
      <c r="E845" s="4"/>
      <c r="F845" s="4"/>
      <c r="G845" s="5" t="s">
        <v>1696</v>
      </c>
      <c r="H845" s="157" t="s">
        <v>1520</v>
      </c>
      <c r="I845" s="2"/>
    </row>
    <row r="846" spans="1:15" s="4" customFormat="1" x14ac:dyDescent="0.25">
      <c r="A846" s="103"/>
      <c r="B846" s="1" t="s">
        <v>1585</v>
      </c>
      <c r="C846" s="36" t="s">
        <v>1547</v>
      </c>
      <c r="D846" s="5"/>
      <c r="E846" s="5"/>
      <c r="F846" s="5"/>
      <c r="G846" s="5"/>
      <c r="H846" s="5"/>
      <c r="I846" s="5"/>
    </row>
    <row r="847" spans="1:15" ht="15.75" thickBot="1" x14ac:dyDescent="0.3">
      <c r="D847" s="2"/>
      <c r="E847" s="2"/>
      <c r="F847" s="2"/>
      <c r="G847" s="2"/>
      <c r="H847" s="2"/>
      <c r="I847" s="2"/>
    </row>
    <row r="848" spans="1:15" ht="15.75" thickBot="1" x14ac:dyDescent="0.3">
      <c r="B848" s="43" t="s">
        <v>1695</v>
      </c>
      <c r="C848" s="44"/>
      <c r="D848" s="44"/>
      <c r="E848" s="44"/>
      <c r="F848" s="44"/>
      <c r="G848" s="44"/>
      <c r="H848" s="45"/>
      <c r="I848" s="2"/>
    </row>
    <row r="849" spans="1:9" ht="25.5" x14ac:dyDescent="0.25">
      <c r="B849" s="46" t="s">
        <v>1409</v>
      </c>
      <c r="C849" s="47"/>
      <c r="D849" s="48" t="s">
        <v>1690</v>
      </c>
      <c r="E849" s="48" t="s">
        <v>1694</v>
      </c>
      <c r="F849" s="48" t="s">
        <v>1693</v>
      </c>
      <c r="G849" s="49" t="s">
        <v>1687</v>
      </c>
      <c r="H849" s="50" t="s">
        <v>1686</v>
      </c>
      <c r="I849" s="2"/>
    </row>
    <row r="850" spans="1:9" s="4" customFormat="1" x14ac:dyDescent="0.25">
      <c r="A850" s="103">
        <v>19015</v>
      </c>
      <c r="B850" s="51" t="str">
        <f>IF($A850=0,"",VLOOKUP($A850,'BASE EQUIPO'!$A:$D,2))</f>
        <v>HERRAMIENTA MENOR</v>
      </c>
      <c r="C850" s="52"/>
      <c r="D850" s="53">
        <v>1</v>
      </c>
      <c r="E850" s="53">
        <f>IF($A850=0,"",VLOOKUP($A850,'BASE EQUIPO'!$A:$D,4)*H866)</f>
        <v>0.15179999999999999</v>
      </c>
      <c r="F850" s="53">
        <f t="shared" ref="F850:F855" si="75">IF($A850=0,"",ROUND(D850*E850,2))</f>
        <v>0.15</v>
      </c>
      <c r="G850" s="105">
        <v>1</v>
      </c>
      <c r="H850" s="54">
        <f t="shared" ref="H850:H855" si="76">IF($A850=0,"",ROUND(G850*F850,2))</f>
        <v>0.15</v>
      </c>
      <c r="I850" s="5"/>
    </row>
    <row r="851" spans="1:9" s="4" customFormat="1" x14ac:dyDescent="0.25">
      <c r="A851" s="103"/>
      <c r="B851" s="38" t="str">
        <f>IF($A851=0,"",VLOOKUP($A851,'BASE EQUIPO'!$A:$D,2))</f>
        <v/>
      </c>
      <c r="C851" s="2"/>
      <c r="D851" s="55"/>
      <c r="E851" s="55" t="str">
        <f>IF($A851=0,"",VLOOKUP($A851,'BASE EQUIPO'!$A:$D,4))</f>
        <v/>
      </c>
      <c r="F851" s="55" t="str">
        <f t="shared" si="75"/>
        <v/>
      </c>
      <c r="G851" s="106"/>
      <c r="H851" s="56" t="str">
        <f t="shared" si="76"/>
        <v/>
      </c>
      <c r="I851" s="5"/>
    </row>
    <row r="852" spans="1:9" s="4" customFormat="1" x14ac:dyDescent="0.25">
      <c r="A852" s="103"/>
      <c r="B852" s="38" t="str">
        <f>IF($A852=0,"",VLOOKUP($A852,'BASE EQUIPO'!$A:$D,2))</f>
        <v/>
      </c>
      <c r="C852" s="2"/>
      <c r="D852" s="55"/>
      <c r="E852" s="55" t="str">
        <f>IF($A852=0,"",VLOOKUP($A852,'BASE EQUIPO'!$A:$D,4))</f>
        <v/>
      </c>
      <c r="F852" s="55" t="str">
        <f t="shared" si="75"/>
        <v/>
      </c>
      <c r="G852" s="106"/>
      <c r="H852" s="56" t="str">
        <f t="shared" si="76"/>
        <v/>
      </c>
      <c r="I852" s="5"/>
    </row>
    <row r="853" spans="1:9" s="4" customFormat="1" x14ac:dyDescent="0.25">
      <c r="A853" s="103"/>
      <c r="B853" s="38" t="str">
        <f>IF($A853=0,"",VLOOKUP($A853,'BASE EQUIPO'!$A:$D,2))</f>
        <v/>
      </c>
      <c r="C853" s="2"/>
      <c r="D853" s="55"/>
      <c r="E853" s="55" t="str">
        <f>IF($A853=0,"",VLOOKUP($A853,'BASE EQUIPO'!$A:$D,4))</f>
        <v/>
      </c>
      <c r="F853" s="55" t="str">
        <f t="shared" si="75"/>
        <v/>
      </c>
      <c r="G853" s="106"/>
      <c r="H853" s="56" t="str">
        <f t="shared" si="76"/>
        <v/>
      </c>
      <c r="I853" s="5"/>
    </row>
    <row r="854" spans="1:9" s="4" customFormat="1" x14ac:dyDescent="0.25">
      <c r="A854" s="103"/>
      <c r="B854" s="38" t="str">
        <f>IF($A854=0,"",VLOOKUP($A854,'BASE EQUIPO'!$A:$D,2))</f>
        <v/>
      </c>
      <c r="C854" s="2"/>
      <c r="D854" s="55"/>
      <c r="E854" s="55" t="str">
        <f>IF($A854=0,"",VLOOKUP($A854,'BASE EQUIPO'!$A:$D,4))</f>
        <v/>
      </c>
      <c r="F854" s="55" t="str">
        <f t="shared" si="75"/>
        <v/>
      </c>
      <c r="G854" s="106"/>
      <c r="H854" s="56" t="str">
        <f t="shared" si="76"/>
        <v/>
      </c>
      <c r="I854" s="5"/>
    </row>
    <row r="855" spans="1:9" s="4" customFormat="1" x14ac:dyDescent="0.25">
      <c r="A855" s="103"/>
      <c r="B855" s="57" t="str">
        <f>IF($A855=0,"",VLOOKUP($A855,'BASE EQUIPO'!$A:$D,2))</f>
        <v/>
      </c>
      <c r="C855" s="58"/>
      <c r="D855" s="59"/>
      <c r="E855" s="59" t="str">
        <f>IF($A855=0,"",VLOOKUP($A855,'BASE EQUIPO'!$A:$D,4))</f>
        <v/>
      </c>
      <c r="F855" s="59" t="str">
        <f t="shared" si="75"/>
        <v/>
      </c>
      <c r="G855" s="107"/>
      <c r="H855" s="60" t="str">
        <f t="shared" si="76"/>
        <v/>
      </c>
      <c r="I855" s="5"/>
    </row>
    <row r="856" spans="1:9" s="4" customFormat="1" x14ac:dyDescent="0.25">
      <c r="A856" s="103"/>
      <c r="B856" s="57" t="s">
        <v>1692</v>
      </c>
      <c r="C856" s="58"/>
      <c r="D856" s="61"/>
      <c r="E856" s="61"/>
      <c r="F856" s="61"/>
      <c r="G856" s="62"/>
      <c r="H856" s="60">
        <f>ROUND(SUM(H849:H855),2)</f>
        <v>0.15</v>
      </c>
      <c r="I856" s="5"/>
    </row>
    <row r="857" spans="1:9" s="4" customFormat="1" x14ac:dyDescent="0.25">
      <c r="A857" s="103"/>
      <c r="B857" s="38" t="s">
        <v>1503</v>
      </c>
      <c r="C857" s="2"/>
      <c r="D857" s="3"/>
      <c r="E857" s="3"/>
      <c r="F857" s="3"/>
      <c r="G857" s="63"/>
      <c r="H857" s="56"/>
      <c r="I857" s="5"/>
    </row>
    <row r="858" spans="1:9" ht="25.5" x14ac:dyDescent="0.25">
      <c r="B858" s="64" t="s">
        <v>1691</v>
      </c>
      <c r="C858" s="65"/>
      <c r="D858" s="66" t="s">
        <v>1690</v>
      </c>
      <c r="E858" s="66" t="s">
        <v>1689</v>
      </c>
      <c r="F858" s="66" t="s">
        <v>1688</v>
      </c>
      <c r="G858" s="67" t="s">
        <v>1687</v>
      </c>
      <c r="H858" s="68" t="s">
        <v>1686</v>
      </c>
      <c r="I858" s="2"/>
    </row>
    <row r="859" spans="1:9" s="4" customFormat="1" x14ac:dyDescent="0.25">
      <c r="A859" s="103">
        <v>20001</v>
      </c>
      <c r="B859" s="69" t="str">
        <f>IF($A859=0,"",VLOOKUP($A859,'BASE M-OBRA'!$A:$D,2))</f>
        <v>MAESTRO</v>
      </c>
      <c r="C859" s="2"/>
      <c r="D859" s="108">
        <v>1</v>
      </c>
      <c r="E859" s="70">
        <f>IF($A859=0,"",VLOOKUP($A859,'BASE M-OBRA'!$A:$D,4))</f>
        <v>3.02</v>
      </c>
      <c r="F859" s="55">
        <f t="shared" ref="F859:F865" si="77">IF($A859=0,"",ROUND(D859*E859,2))</f>
        <v>3.02</v>
      </c>
      <c r="G859" s="106">
        <f>IF($A859=0,"",ROUND(H859/F859,2))</f>
        <v>0.28000000000000003</v>
      </c>
      <c r="H859" s="56">
        <f>IF($A859=0,"",ROUND(SUM(H860:H865)*'BASE M-OBRA'!$D$23,2))</f>
        <v>0.84</v>
      </c>
      <c r="I859" s="5"/>
    </row>
    <row r="860" spans="1:9" s="4" customFormat="1" x14ac:dyDescent="0.25">
      <c r="A860" s="103">
        <v>20002</v>
      </c>
      <c r="B860" s="69" t="str">
        <f>IF($A860=0,"",VLOOKUP($A860,'BASE M-OBRA'!$A:$D,2))</f>
        <v>PEON</v>
      </c>
      <c r="C860" s="2"/>
      <c r="D860" s="108">
        <v>2</v>
      </c>
      <c r="E860" s="70">
        <f>IF($A860=0,"",VLOOKUP($A860,'BASE M-OBRA'!$A:$D,4))</f>
        <v>2.79</v>
      </c>
      <c r="F860" s="55">
        <f t="shared" si="77"/>
        <v>5.58</v>
      </c>
      <c r="G860" s="106">
        <v>0.25</v>
      </c>
      <c r="H860" s="56">
        <f t="shared" ref="H860:H865" si="78">IF($A860=0,"",ROUND(G860*F860,2))</f>
        <v>1.4</v>
      </c>
      <c r="I860" s="5"/>
    </row>
    <row r="861" spans="1:9" s="4" customFormat="1" x14ac:dyDescent="0.25">
      <c r="A861" s="103">
        <v>20003</v>
      </c>
      <c r="B861" s="69" t="str">
        <f>IF($A861=0,"",VLOOKUP($A861,'BASE M-OBRA'!$A:$D,2))</f>
        <v>ALBAÑIL</v>
      </c>
      <c r="C861" s="2"/>
      <c r="D861" s="108">
        <v>4</v>
      </c>
      <c r="E861" s="70">
        <f>IF($A861=0,"",VLOOKUP($A861,'BASE M-OBRA'!$A:$D,4))</f>
        <v>2.82</v>
      </c>
      <c r="F861" s="55">
        <f t="shared" si="77"/>
        <v>11.28</v>
      </c>
      <c r="G861" s="106">
        <f>+G860</f>
        <v>0.25</v>
      </c>
      <c r="H861" s="56">
        <f t="shared" si="78"/>
        <v>2.82</v>
      </c>
      <c r="I861" s="5"/>
    </row>
    <row r="862" spans="1:9" s="4" customFormat="1" x14ac:dyDescent="0.25">
      <c r="A862" s="103"/>
      <c r="B862" s="71" t="str">
        <f>IF($A862=0,"",VLOOKUP($A862,'BASE M-OBRA'!$A:$D,2))</f>
        <v/>
      </c>
      <c r="C862" s="2"/>
      <c r="D862" s="108"/>
      <c r="E862" s="70" t="str">
        <f>IF($A862=0,"",VLOOKUP($A862,'BASE M-OBRA'!$A:$D,4))</f>
        <v/>
      </c>
      <c r="F862" s="55" t="str">
        <f t="shared" si="77"/>
        <v/>
      </c>
      <c r="G862" s="106"/>
      <c r="H862" s="56" t="str">
        <f t="shared" si="78"/>
        <v/>
      </c>
      <c r="I862" s="5"/>
    </row>
    <row r="863" spans="1:9" s="4" customFormat="1" x14ac:dyDescent="0.25">
      <c r="A863" s="103"/>
      <c r="B863" s="72" t="str">
        <f>IF($A863=0,"",VLOOKUP($A863,'BASE M-OBRA'!$A:$D,2))</f>
        <v/>
      </c>
      <c r="C863" s="2"/>
      <c r="D863" s="108"/>
      <c r="E863" s="70" t="str">
        <f>IF($A863=0,"",VLOOKUP($A863,'BASE M-OBRA'!$A:$D,4))</f>
        <v/>
      </c>
      <c r="F863" s="55" t="str">
        <f t="shared" si="77"/>
        <v/>
      </c>
      <c r="G863" s="106"/>
      <c r="H863" s="56" t="str">
        <f t="shared" si="78"/>
        <v/>
      </c>
      <c r="I863" s="5"/>
    </row>
    <row r="864" spans="1:9" s="4" customFormat="1" x14ac:dyDescent="0.25">
      <c r="A864" s="103"/>
      <c r="B864" s="38" t="str">
        <f>IF($A864=0,"",VLOOKUP($A864,'BASE M-OBRA'!$A:$D,2))</f>
        <v/>
      </c>
      <c r="C864" s="2"/>
      <c r="D864" s="55"/>
      <c r="E864" s="55" t="str">
        <f>IF($A864=0,"",VLOOKUP($A864,'BASE M-OBRA'!$A:$D,4))</f>
        <v/>
      </c>
      <c r="F864" s="55" t="str">
        <f t="shared" si="77"/>
        <v/>
      </c>
      <c r="G864" s="106"/>
      <c r="H864" s="56" t="str">
        <f t="shared" si="78"/>
        <v/>
      </c>
      <c r="I864" s="5"/>
    </row>
    <row r="865" spans="1:16" s="4" customFormat="1" x14ac:dyDescent="0.25">
      <c r="A865" s="103"/>
      <c r="B865" s="57" t="str">
        <f>IF($A865=0,"",VLOOKUP($A865,'BASE M-OBRA'!$A:$D,2))</f>
        <v/>
      </c>
      <c r="C865" s="58"/>
      <c r="D865" s="59"/>
      <c r="E865" s="59" t="str">
        <f>IF($A865=0,"",VLOOKUP($A865,'BASE M-OBRA'!$A:$D,4))</f>
        <v/>
      </c>
      <c r="F865" s="59" t="str">
        <f t="shared" si="77"/>
        <v/>
      </c>
      <c r="G865" s="107"/>
      <c r="H865" s="60" t="str">
        <f t="shared" si="78"/>
        <v/>
      </c>
      <c r="I865" s="5"/>
    </row>
    <row r="866" spans="1:16" s="4" customFormat="1" x14ac:dyDescent="0.25">
      <c r="A866" s="103"/>
      <c r="B866" s="73" t="s">
        <v>1685</v>
      </c>
      <c r="C866" s="65"/>
      <c r="D866" s="74"/>
      <c r="E866" s="74"/>
      <c r="F866" s="74"/>
      <c r="G866" s="74"/>
      <c r="H866" s="75">
        <f>ROUND(SUM(H858:H865),2)</f>
        <v>5.0599999999999996</v>
      </c>
      <c r="I866" s="5"/>
    </row>
    <row r="867" spans="1:16" s="4" customFormat="1" x14ac:dyDescent="0.25">
      <c r="A867" s="103"/>
      <c r="B867" s="38" t="s">
        <v>1684</v>
      </c>
      <c r="C867" s="2"/>
      <c r="D867" s="3"/>
      <c r="E867" s="3"/>
      <c r="F867" s="3"/>
      <c r="G867" s="3"/>
      <c r="H867" s="56"/>
      <c r="I867" s="5"/>
    </row>
    <row r="868" spans="1:16" ht="25.5" x14ac:dyDescent="0.25">
      <c r="B868" s="64" t="s">
        <v>1409</v>
      </c>
      <c r="C868" s="65"/>
      <c r="D868" s="76"/>
      <c r="E868" s="66" t="s">
        <v>1408</v>
      </c>
      <c r="F868" s="66" t="s">
        <v>1679</v>
      </c>
      <c r="G868" s="66" t="s">
        <v>1683</v>
      </c>
      <c r="H868" s="68" t="s">
        <v>1675</v>
      </c>
      <c r="I868" s="2"/>
    </row>
    <row r="869" spans="1:16" s="4" customFormat="1" x14ac:dyDescent="0.25">
      <c r="A869" s="103">
        <v>4001</v>
      </c>
      <c r="B869" s="38" t="str">
        <f>IF($A869=0,"",VLOOKUP($A869,'BASE MATERIAL'!$A:$D,2))</f>
        <v>CEMENTO</v>
      </c>
      <c r="C869" s="2"/>
      <c r="D869" s="77"/>
      <c r="E869" s="78" t="str">
        <f>IF($A869=0,"",VLOOKUP($A869,'BASE MATERIAL'!$A:$D,3))</f>
        <v>SACO</v>
      </c>
      <c r="F869" s="55">
        <f>ROUND(1*0.015*10*1.05,3)</f>
        <v>0.158</v>
      </c>
      <c r="G869" s="55">
        <f>IF($A869=0,"",VLOOKUP($A869,'BASE MATERIAL'!$A:$D,4))</f>
        <v>7.09</v>
      </c>
      <c r="H869" s="56">
        <f t="shared" ref="H869:H883" si="79">IF($A869=0,"",ROUND(F869*G869,2))</f>
        <v>1.1200000000000001</v>
      </c>
      <c r="I869" s="5"/>
      <c r="L869" s="5"/>
      <c r="M869" s="5"/>
      <c r="N869" s="160"/>
      <c r="O869" s="5"/>
      <c r="P869" s="5"/>
    </row>
    <row r="870" spans="1:16" s="4" customFormat="1" x14ac:dyDescent="0.25">
      <c r="A870" s="103">
        <v>5004</v>
      </c>
      <c r="B870" s="38" t="str">
        <f>IF($A870=0,"",VLOOKUP($A870,'BASE MATERIAL'!$A:$D,2))</f>
        <v>ARENA</v>
      </c>
      <c r="C870" s="2"/>
      <c r="D870" s="77"/>
      <c r="E870" s="78" t="str">
        <f>IF($A870=0,"",VLOOKUP($A870,'BASE MATERIAL'!$A:$D,3))</f>
        <v>M3</v>
      </c>
      <c r="F870" s="55">
        <f>ROUND(F869*0.032*3,2)</f>
        <v>0.02</v>
      </c>
      <c r="G870" s="55">
        <f>IF($A870=0,"",VLOOKUP($A870,'BASE MATERIAL'!$A:$D,4))</f>
        <v>12.276249999999999</v>
      </c>
      <c r="H870" s="56">
        <f t="shared" si="79"/>
        <v>0.25</v>
      </c>
      <c r="I870" s="5"/>
      <c r="L870" s="5"/>
      <c r="M870" s="5"/>
      <c r="N870" s="160"/>
      <c r="O870" s="5"/>
      <c r="P870" s="5"/>
    </row>
    <row r="871" spans="1:16" s="4" customFormat="1" x14ac:dyDescent="0.25">
      <c r="A871" s="103">
        <v>5005</v>
      </c>
      <c r="B871" s="38" t="str">
        <f>IF($A871=0,"",VLOOKUP($A871,'BASE MATERIAL'!$A:$D,2))</f>
        <v>AGUA</v>
      </c>
      <c r="C871" s="2"/>
      <c r="D871" s="77"/>
      <c r="E871" s="78" t="str">
        <f>IF($A871=0,"",VLOOKUP($A871,'BASE MATERIAL'!$A:$D,3))</f>
        <v>LT</v>
      </c>
      <c r="F871" s="55">
        <f>ROUND(30*F869,2)</f>
        <v>4.74</v>
      </c>
      <c r="G871" s="80">
        <f>IF($A871=0,"",VLOOKUP($A871,'BASE MATERIAL'!$A:$D,4))</f>
        <v>2E-3</v>
      </c>
      <c r="H871" s="56">
        <f t="shared" si="79"/>
        <v>0.01</v>
      </c>
      <c r="I871" s="5"/>
      <c r="L871" s="5"/>
      <c r="M871" s="5"/>
      <c r="N871" s="160"/>
      <c r="O871" s="5"/>
      <c r="P871" s="5"/>
    </row>
    <row r="872" spans="1:16" s="4" customFormat="1" x14ac:dyDescent="0.25">
      <c r="A872" s="103"/>
      <c r="B872" s="38" t="str">
        <f>IF($A872=0,"",VLOOKUP($A872,'BASE MATERIAL'!$A:$D,2))</f>
        <v/>
      </c>
      <c r="C872" s="2"/>
      <c r="D872" s="77"/>
      <c r="E872" s="78" t="str">
        <f>IF($A872=0,"",VLOOKUP($A872,'BASE MATERIAL'!$A:$D,3))</f>
        <v/>
      </c>
      <c r="F872" s="55"/>
      <c r="G872" s="55" t="str">
        <f>IF($A872=0,"",VLOOKUP($A872,'BASE MATERIAL'!$A:$D,4))</f>
        <v/>
      </c>
      <c r="H872" s="56" t="str">
        <f t="shared" si="79"/>
        <v/>
      </c>
      <c r="I872" s="5"/>
      <c r="L872" s="5"/>
      <c r="M872" s="5"/>
      <c r="N872" s="160"/>
      <c r="O872" s="5"/>
      <c r="P872" s="5"/>
    </row>
    <row r="873" spans="1:16" s="4" customFormat="1" x14ac:dyDescent="0.25">
      <c r="A873" s="103"/>
      <c r="B873" s="38" t="str">
        <f>IF($A873=0,"",VLOOKUP($A873,'BASE MATERIAL'!$A:$D,2))</f>
        <v/>
      </c>
      <c r="C873" s="2"/>
      <c r="D873" s="77"/>
      <c r="E873" s="78" t="str">
        <f>IF($A873=0,"",VLOOKUP($A873,'BASE MATERIAL'!$A:$D,3))</f>
        <v/>
      </c>
      <c r="F873" s="55"/>
      <c r="G873" s="55" t="str">
        <f>IF($A873=0,"",VLOOKUP($A873,'BASE MATERIAL'!$A:$D,4))</f>
        <v/>
      </c>
      <c r="H873" s="56" t="str">
        <f t="shared" si="79"/>
        <v/>
      </c>
      <c r="I873" s="5"/>
      <c r="L873" s="5"/>
      <c r="M873" s="5"/>
      <c r="N873" s="160"/>
      <c r="O873" s="5"/>
      <c r="P873" s="5"/>
    </row>
    <row r="874" spans="1:16" s="4" customFormat="1" x14ac:dyDescent="0.25">
      <c r="A874" s="103"/>
      <c r="B874" s="38" t="str">
        <f>IF($A874=0,"",VLOOKUP($A874,'BASE MATERIAL'!$A:$D,2))</f>
        <v/>
      </c>
      <c r="C874" s="2"/>
      <c r="D874" s="77"/>
      <c r="E874" s="78" t="str">
        <f>IF($A874=0,"",VLOOKUP($A874,'BASE MATERIAL'!$A:$D,3))</f>
        <v/>
      </c>
      <c r="F874" s="55"/>
      <c r="G874" s="55" t="str">
        <f>IF($A874=0,"",VLOOKUP($A874,'BASE MATERIAL'!$A:$D,4))</f>
        <v/>
      </c>
      <c r="H874" s="56" t="str">
        <f t="shared" si="79"/>
        <v/>
      </c>
      <c r="I874" s="5"/>
      <c r="L874" s="5"/>
      <c r="M874" s="5"/>
      <c r="N874" s="160"/>
      <c r="O874" s="5"/>
      <c r="P874" s="5"/>
    </row>
    <row r="875" spans="1:16" s="4" customFormat="1" x14ac:dyDescent="0.25">
      <c r="A875" s="103"/>
      <c r="B875" s="38" t="str">
        <f>IF($A875=0,"",VLOOKUP($A875,'BASE MATERIAL'!$A:$D,2))</f>
        <v/>
      </c>
      <c r="C875" s="2"/>
      <c r="D875" s="77"/>
      <c r="E875" s="78" t="str">
        <f>IF($A875=0,"",VLOOKUP($A875,'BASE MATERIAL'!$A:$D,3))</f>
        <v/>
      </c>
      <c r="F875" s="55"/>
      <c r="G875" s="55" t="str">
        <f>IF($A875=0,"",VLOOKUP($A875,'BASE MATERIAL'!$A:$D,4))</f>
        <v/>
      </c>
      <c r="H875" s="56" t="str">
        <f t="shared" si="79"/>
        <v/>
      </c>
      <c r="I875" s="5"/>
      <c r="L875" s="5"/>
      <c r="M875" s="5"/>
      <c r="N875" s="160"/>
      <c r="O875" s="5"/>
      <c r="P875" s="5"/>
    </row>
    <row r="876" spans="1:16" s="4" customFormat="1" x14ac:dyDescent="0.25">
      <c r="A876" s="103"/>
      <c r="B876" s="38" t="str">
        <f>IF($A876=0,"",VLOOKUP($A876,'BASE MATERIAL'!$A:$D,2))</f>
        <v/>
      </c>
      <c r="C876" s="2"/>
      <c r="D876" s="77"/>
      <c r="E876" s="78" t="str">
        <f>IF($A876=0,"",VLOOKUP($A876,'BASE MATERIAL'!$A:$D,3))</f>
        <v/>
      </c>
      <c r="F876" s="55"/>
      <c r="G876" s="55" t="str">
        <f>IF($A876=0,"",VLOOKUP($A876,'BASE MATERIAL'!$A:$D,4))</f>
        <v/>
      </c>
      <c r="H876" s="56" t="str">
        <f t="shared" si="79"/>
        <v/>
      </c>
      <c r="I876" s="5"/>
      <c r="L876" s="5"/>
      <c r="M876" s="5"/>
      <c r="N876" s="160"/>
      <c r="O876" s="5"/>
      <c r="P876" s="5"/>
    </row>
    <row r="877" spans="1:16" s="4" customFormat="1" x14ac:dyDescent="0.25">
      <c r="A877" s="103"/>
      <c r="B877" s="38" t="str">
        <f>IF($A877=0,"",VLOOKUP($A877,'BASE MATERIAL'!$A:$D,2))</f>
        <v/>
      </c>
      <c r="C877" s="2"/>
      <c r="D877" s="77"/>
      <c r="E877" s="78" t="str">
        <f>IF($A877=0,"",VLOOKUP($A877,'BASE MATERIAL'!$A:$D,3))</f>
        <v/>
      </c>
      <c r="F877" s="55"/>
      <c r="G877" s="55" t="str">
        <f>IF($A877=0,"",VLOOKUP($A877,'BASE MATERIAL'!$A:$D,4))</f>
        <v/>
      </c>
      <c r="H877" s="56" t="str">
        <f t="shared" si="79"/>
        <v/>
      </c>
      <c r="I877" s="5"/>
    </row>
    <row r="878" spans="1:16" s="4" customFormat="1" x14ac:dyDescent="0.25">
      <c r="A878" s="103"/>
      <c r="B878" s="38" t="str">
        <f>IF($A878=0,"",VLOOKUP($A878,'BASE MATERIAL'!$A:$D,2))</f>
        <v/>
      </c>
      <c r="C878" s="2"/>
      <c r="D878" s="77"/>
      <c r="E878" s="78" t="str">
        <f>IF($A878=0,"",VLOOKUP($A878,'BASE MATERIAL'!$A:$D,3))</f>
        <v/>
      </c>
      <c r="F878" s="55"/>
      <c r="G878" s="55" t="str">
        <f>IF($A878=0,"",VLOOKUP($A878,'BASE MATERIAL'!$A:$D,4))</f>
        <v/>
      </c>
      <c r="H878" s="56" t="str">
        <f t="shared" si="79"/>
        <v/>
      </c>
      <c r="I878" s="5"/>
      <c r="L878" s="5"/>
      <c r="M878" s="5"/>
      <c r="N878" s="160"/>
      <c r="O878" s="5"/>
      <c r="P878" s="5"/>
    </row>
    <row r="879" spans="1:16" s="4" customFormat="1" x14ac:dyDescent="0.25">
      <c r="A879" s="103"/>
      <c r="B879" s="38" t="str">
        <f>IF($A879=0,"",VLOOKUP($A879,'BASE MATERIAL'!$A:$D,2))</f>
        <v/>
      </c>
      <c r="C879" s="2"/>
      <c r="D879" s="77"/>
      <c r="E879" s="78" t="str">
        <f>IF($A879=0,"",VLOOKUP($A879,'BASE MATERIAL'!$A:$D,3))</f>
        <v/>
      </c>
      <c r="F879" s="55"/>
      <c r="G879" s="55" t="str">
        <f>IF($A879=0,"",VLOOKUP($A879,'BASE MATERIAL'!$A:$D,4))</f>
        <v/>
      </c>
      <c r="H879" s="56" t="str">
        <f t="shared" si="79"/>
        <v/>
      </c>
      <c r="I879" s="5"/>
      <c r="L879" s="5"/>
      <c r="M879" s="5"/>
      <c r="N879" s="160"/>
      <c r="O879" s="5"/>
      <c r="P879" s="5"/>
    </row>
    <row r="880" spans="1:16" s="4" customFormat="1" x14ac:dyDescent="0.25">
      <c r="A880" s="103"/>
      <c r="B880" s="38" t="str">
        <f>IF($A880=0,"",VLOOKUP($A880,'BASE MATERIAL'!$A:$D,2))</f>
        <v/>
      </c>
      <c r="C880" s="2"/>
      <c r="D880" s="77"/>
      <c r="E880" s="78" t="str">
        <f>IF($A880=0,"",VLOOKUP($A880,'BASE MATERIAL'!$A:$D,3))</f>
        <v/>
      </c>
      <c r="F880" s="55"/>
      <c r="G880" s="55" t="str">
        <f>IF($A880=0,"",VLOOKUP($A880,'BASE MATERIAL'!$A:$D,4))</f>
        <v/>
      </c>
      <c r="H880" s="56" t="str">
        <f t="shared" si="79"/>
        <v/>
      </c>
      <c r="I880" s="5"/>
    </row>
    <row r="881" spans="1:9" s="4" customFormat="1" x14ac:dyDescent="0.25">
      <c r="A881" s="103"/>
      <c r="B881" s="38" t="str">
        <f>IF($A881=0,"",VLOOKUP($A881,'BASE MATERIAL'!$A:$D,2))</f>
        <v/>
      </c>
      <c r="C881" s="2"/>
      <c r="D881" s="77"/>
      <c r="E881" s="78" t="str">
        <f>IF($A881=0,"",VLOOKUP($A881,'BASE MATERIAL'!$A:$D,3))</f>
        <v/>
      </c>
      <c r="F881" s="55"/>
      <c r="G881" s="55" t="str">
        <f>IF($A881=0,"",VLOOKUP($A881,'BASE MATERIAL'!$A:$D,4))</f>
        <v/>
      </c>
      <c r="H881" s="56" t="str">
        <f t="shared" si="79"/>
        <v/>
      </c>
      <c r="I881" s="5"/>
    </row>
    <row r="882" spans="1:9" s="4" customFormat="1" x14ac:dyDescent="0.25">
      <c r="A882" s="103"/>
      <c r="B882" s="38" t="str">
        <f>IF($A882=0,"",VLOOKUP($A882,'BASE MATERIAL'!$A:$D,2))</f>
        <v/>
      </c>
      <c r="C882" s="2"/>
      <c r="D882" s="77"/>
      <c r="E882" s="78" t="str">
        <f>IF($A882=0,"",VLOOKUP($A882,'BASE MATERIAL'!$A:$D,3))</f>
        <v/>
      </c>
      <c r="F882" s="55"/>
      <c r="G882" s="55" t="str">
        <f>IF($A882=0,"",VLOOKUP($A882,'BASE MATERIAL'!$A:$D,4))</f>
        <v/>
      </c>
      <c r="H882" s="56" t="str">
        <f t="shared" si="79"/>
        <v/>
      </c>
      <c r="I882" s="5"/>
    </row>
    <row r="883" spans="1:9" s="4" customFormat="1" x14ac:dyDescent="0.25">
      <c r="A883" s="103"/>
      <c r="B883" s="38" t="str">
        <f>IF($A883=0,"",VLOOKUP($A883,'BASE MATERIAL'!$A:$D,2))</f>
        <v/>
      </c>
      <c r="C883" s="2"/>
      <c r="D883" s="77"/>
      <c r="E883" s="78" t="str">
        <f>IF($A883=0,"",VLOOKUP($A883,'BASE MATERIAL'!$A:$D,3))</f>
        <v/>
      </c>
      <c r="F883" s="55"/>
      <c r="G883" s="55" t="str">
        <f>IF($A883=0,"",VLOOKUP($A883,'BASE MATERIAL'!$A:$D,4))</f>
        <v/>
      </c>
      <c r="H883" s="56" t="str">
        <f t="shared" si="79"/>
        <v/>
      </c>
      <c r="I883" s="5"/>
    </row>
    <row r="884" spans="1:9" s="4" customFormat="1" x14ac:dyDescent="0.25">
      <c r="A884" s="103"/>
      <c r="B884" s="38" t="str">
        <f>IF($A884=0,"",VLOOKUP($A884,'BASE MATERIAL'!$A:$D,2))</f>
        <v/>
      </c>
      <c r="C884" s="2"/>
      <c r="D884" s="81" t="s">
        <v>1682</v>
      </c>
      <c r="E884" s="55" t="str">
        <f>IF($A884=0,"",VLOOKUP($A884,'BASE MATERIAL'!$A:$D,3))</f>
        <v/>
      </c>
      <c r="F884" s="55" t="s">
        <v>1682</v>
      </c>
      <c r="G884" s="55" t="str">
        <f>IF($A884=0,"",VLOOKUP($A884,'BASE MATERIAL'!$A:$D,4))</f>
        <v/>
      </c>
      <c r="H884" s="56" t="str">
        <f>IF($A884=0,"",ROUND(E884*F884,2))</f>
        <v/>
      </c>
      <c r="I884" s="5"/>
    </row>
    <row r="885" spans="1:9" s="4" customFormat="1" x14ac:dyDescent="0.25">
      <c r="A885" s="103"/>
      <c r="B885" s="73" t="s">
        <v>1681</v>
      </c>
      <c r="C885" s="65"/>
      <c r="D885" s="74"/>
      <c r="E885" s="74"/>
      <c r="F885" s="74"/>
      <c r="G885" s="74"/>
      <c r="H885" s="75">
        <f>ROUND(SUM(H868:H884),2)</f>
        <v>1.38</v>
      </c>
      <c r="I885" s="5"/>
    </row>
    <row r="886" spans="1:9" s="4" customFormat="1" x14ac:dyDescent="0.25">
      <c r="A886" s="103"/>
      <c r="B886" s="38" t="s">
        <v>1680</v>
      </c>
      <c r="C886" s="2"/>
      <c r="D886" s="3"/>
      <c r="E886" s="3"/>
      <c r="F886" s="3"/>
      <c r="G886" s="3"/>
      <c r="H886" s="56"/>
      <c r="I886" s="5"/>
    </row>
    <row r="887" spans="1:9" ht="25.5" x14ac:dyDescent="0.25">
      <c r="B887" s="64" t="s">
        <v>1409</v>
      </c>
      <c r="C887" s="65"/>
      <c r="D887" s="76"/>
      <c r="E887" s="66" t="s">
        <v>1408</v>
      </c>
      <c r="F887" s="66" t="s">
        <v>1679</v>
      </c>
      <c r="G887" s="66" t="s">
        <v>1676</v>
      </c>
      <c r="H887" s="68" t="s">
        <v>1675</v>
      </c>
      <c r="I887" s="2"/>
    </row>
    <row r="888" spans="1:9" s="4" customFormat="1" x14ac:dyDescent="0.25">
      <c r="A888" s="103">
        <v>19019</v>
      </c>
      <c r="B888" s="51" t="str">
        <f>IF($A888=0,"",VLOOKUP($A888,'BASE EQUIPO'!$A:$D,2))</f>
        <v>TRANSPORTE DE MATERIAL</v>
      </c>
      <c r="C888" s="52"/>
      <c r="D888" s="82"/>
      <c r="E888" s="78" t="str">
        <f>IF($A888=0,"",VLOOKUP($A888,'BASE EQUIPO'!$A:$D,3))</f>
        <v>GLOBAL</v>
      </c>
      <c r="F888" s="55">
        <v>1</v>
      </c>
      <c r="G888" s="83">
        <f>IF($A888=0,"",VLOOKUP($A888,'BASE EQUIPO'!$A:$D,4)*H885)</f>
        <v>4.1399999999999992E-2</v>
      </c>
      <c r="H888" s="56">
        <f>IF($A888=0,"",ROUND(F888*G888,2))</f>
        <v>0.04</v>
      </c>
      <c r="I888" s="5"/>
    </row>
    <row r="889" spans="1:9" s="4" customFormat="1" x14ac:dyDescent="0.25">
      <c r="A889" s="103"/>
      <c r="B889" s="38" t="str">
        <f>IF($A889=0,"",VLOOKUP($A889,'BASE EQUIPO'!$A:$D,2))</f>
        <v/>
      </c>
      <c r="C889" s="2"/>
      <c r="D889" s="84"/>
      <c r="E889" s="78" t="str">
        <f>IF($A889=0,"",VLOOKUP($A889,'BASE EQUIPO'!$A:$D,3))</f>
        <v/>
      </c>
      <c r="F889" s="55"/>
      <c r="G889" s="55" t="str">
        <f>IF($A889=0,"",VLOOKUP($A889,'BASE EQUIPO'!$A:$D,4)*H886)</f>
        <v/>
      </c>
      <c r="H889" s="56" t="str">
        <f>IF($A889=0,"",ROUND(F889*G889,2))</f>
        <v/>
      </c>
      <c r="I889" s="5"/>
    </row>
    <row r="890" spans="1:9" s="4" customFormat="1" x14ac:dyDescent="0.25">
      <c r="A890" s="103"/>
      <c r="B890" s="57" t="str">
        <f>IF($A890=0,"",VLOOKUP($A890,'BASE EQUIPO'!$A:$D,2))</f>
        <v/>
      </c>
      <c r="C890" s="58"/>
      <c r="D890" s="85"/>
      <c r="E890" s="86" t="str">
        <f>IF($A890=0,"",VLOOKUP($A890,'BASE EQUIPO'!$A:$D,3))</f>
        <v/>
      </c>
      <c r="F890" s="59"/>
      <c r="G890" s="59" t="str">
        <f>IF($A890=0,"",VLOOKUP($A890,'BASE EQUIPO'!$A:$D,4)*H887)</f>
        <v/>
      </c>
      <c r="H890" s="60" t="str">
        <f>IF($A890=0,"",ROUND(F890*G890,2))</f>
        <v/>
      </c>
      <c r="I890" s="5"/>
    </row>
    <row r="891" spans="1:9" s="4" customFormat="1" ht="15.75" thickBot="1" x14ac:dyDescent="0.3">
      <c r="A891" s="103"/>
      <c r="B891" s="87" t="s">
        <v>1674</v>
      </c>
      <c r="C891" s="88"/>
      <c r="D891" s="89"/>
      <c r="E891" s="89"/>
      <c r="F891" s="89"/>
      <c r="G891" s="89"/>
      <c r="H891" s="90">
        <f>ROUND(SUM(H887:H890),2)</f>
        <v>0.04</v>
      </c>
      <c r="I891" s="5"/>
    </row>
    <row r="892" spans="1:9" s="4" customFormat="1" ht="15.75" x14ac:dyDescent="0.25">
      <c r="A892" s="103"/>
      <c r="B892" s="2"/>
      <c r="C892" s="2"/>
      <c r="D892" s="91" t="s">
        <v>1673</v>
      </c>
      <c r="E892" s="177"/>
      <c r="F892" s="177"/>
      <c r="G892" s="177"/>
      <c r="H892" s="92">
        <f>ROUND(SUM(H891,H885,H866,H856),2)</f>
        <v>6.63</v>
      </c>
      <c r="I892" s="5"/>
    </row>
    <row r="893" spans="1:9" s="4" customFormat="1" ht="15.75" x14ac:dyDescent="0.25">
      <c r="A893" s="103">
        <v>40002</v>
      </c>
      <c r="B893" s="2"/>
      <c r="C893" s="2"/>
      <c r="D893" s="93" t="s">
        <v>1672</v>
      </c>
      <c r="E893" s="166"/>
      <c r="F893" s="166"/>
      <c r="G893" s="178">
        <f>IF($A893=0,"",VLOOKUP($A893,'BASE MATERIAL'!$M:$P,4))</f>
        <v>0</v>
      </c>
      <c r="H893" s="95">
        <f>IF($A893=0,"",ROUND(G893*H892,2))</f>
        <v>0</v>
      </c>
      <c r="I893" s="5"/>
    </row>
    <row r="894" spans="1:9" s="4" customFormat="1" ht="15.75" x14ac:dyDescent="0.25">
      <c r="A894" s="103">
        <v>40003</v>
      </c>
      <c r="B894" s="2"/>
      <c r="C894" s="2"/>
      <c r="D894" s="93" t="s">
        <v>1671</v>
      </c>
      <c r="E894" s="166"/>
      <c r="F894" s="166"/>
      <c r="G894" s="178">
        <f>IF($A894=0,"",VLOOKUP($A894,'BASE MATERIAL'!$M:$P,4))</f>
        <v>0</v>
      </c>
      <c r="H894" s="95">
        <f>IF($A894=0,"",ROUND(G894*H892,2))</f>
        <v>0</v>
      </c>
      <c r="I894" s="5"/>
    </row>
    <row r="895" spans="1:9" s="4" customFormat="1" ht="15.75" x14ac:dyDescent="0.25">
      <c r="A895" s="103"/>
      <c r="B895" s="2"/>
      <c r="C895" s="2"/>
      <c r="D895" s="93" t="s">
        <v>1670</v>
      </c>
      <c r="E895" s="166"/>
      <c r="F895" s="166"/>
      <c r="G895" s="166"/>
      <c r="H895" s="96">
        <f>ROUND(SUM(H892:H894),2)</f>
        <v>6.63</v>
      </c>
      <c r="I895" s="5"/>
    </row>
    <row r="896" spans="1:9" s="4" customFormat="1" ht="16.5" thickBot="1" x14ac:dyDescent="0.3">
      <c r="A896" s="103"/>
      <c r="B896" s="25"/>
      <c r="C896" s="5"/>
      <c r="D896" s="97" t="s">
        <v>1650</v>
      </c>
      <c r="E896" s="179"/>
      <c r="F896" s="179"/>
      <c r="G896" s="179"/>
      <c r="H896" s="98">
        <f>ROUND(H895,2)</f>
        <v>6.63</v>
      </c>
      <c r="I896" s="5"/>
    </row>
    <row r="897" spans="1:15" ht="15.75" x14ac:dyDescent="0.25">
      <c r="B897" s="34" t="s">
        <v>1701</v>
      </c>
      <c r="C897" s="5"/>
      <c r="D897" s="157" t="str">
        <f>$D$113</f>
        <v>ESPOL</v>
      </c>
      <c r="E897" s="2"/>
      <c r="F897" s="2"/>
      <c r="H897" s="2" t="s">
        <v>108</v>
      </c>
      <c r="I897" s="2"/>
      <c r="L897" s="40">
        <f>A901</f>
        <v>10</v>
      </c>
      <c r="M897" s="1" t="str">
        <f>C902</f>
        <v>Enlucido de tumbado de losa</v>
      </c>
      <c r="N897" s="2" t="str">
        <f>H901</f>
        <v>m2</v>
      </c>
      <c r="O897" s="2">
        <f>H952</f>
        <v>6.93</v>
      </c>
    </row>
    <row r="898" spans="1:15" s="4" customFormat="1" ht="15.75" x14ac:dyDescent="0.25">
      <c r="A898" s="103"/>
      <c r="B898" s="34" t="s">
        <v>1700</v>
      </c>
      <c r="C898" s="3">
        <f>'1.1'!$C$2</f>
        <v>0</v>
      </c>
      <c r="D898" s="5"/>
      <c r="E898" s="5"/>
      <c r="F898" s="5"/>
      <c r="G898" s="158" t="s">
        <v>1699</v>
      </c>
      <c r="H898" s="159"/>
      <c r="I898" s="5" t="s">
        <v>1698</v>
      </c>
    </row>
    <row r="899" spans="1:15" s="4" customFormat="1" ht="15.75" x14ac:dyDescent="0.25">
      <c r="A899" s="103"/>
      <c r="B899" s="34"/>
      <c r="C899" s="3">
        <f>'1.1'!$C$3</f>
        <v>0</v>
      </c>
      <c r="D899" s="5"/>
      <c r="E899" s="5"/>
      <c r="F899" s="5"/>
      <c r="G899" s="5"/>
      <c r="H899" s="5"/>
      <c r="I899" s="5"/>
    </row>
    <row r="900" spans="1:15" s="4" customFormat="1" ht="15.75" x14ac:dyDescent="0.25">
      <c r="A900" s="103"/>
      <c r="B900" s="34" t="s">
        <v>1697</v>
      </c>
      <c r="C900" s="3"/>
      <c r="D900" s="5"/>
      <c r="E900" s="5"/>
      <c r="F900" s="5"/>
      <c r="G900" s="5"/>
      <c r="H900" s="5"/>
      <c r="I900" s="5"/>
    </row>
    <row r="901" spans="1:15" x14ac:dyDescent="0.25">
      <c r="A901" s="104">
        <v>10</v>
      </c>
      <c r="B901" s="2" t="s">
        <v>1586</v>
      </c>
      <c r="C901" s="111" t="s">
        <v>1550</v>
      </c>
      <c r="D901" s="5"/>
      <c r="E901" s="4"/>
      <c r="F901" s="4"/>
      <c r="G901" s="5" t="s">
        <v>1696</v>
      </c>
      <c r="H901" s="157" t="s">
        <v>1520</v>
      </c>
      <c r="I901" s="2"/>
    </row>
    <row r="902" spans="1:15" s="4" customFormat="1" x14ac:dyDescent="0.25">
      <c r="A902" s="103"/>
      <c r="B902" s="1" t="s">
        <v>1585</v>
      </c>
      <c r="C902" s="36" t="s">
        <v>54</v>
      </c>
      <c r="D902" s="5"/>
      <c r="E902" s="5"/>
      <c r="F902" s="5"/>
      <c r="G902" s="5"/>
      <c r="H902" s="5"/>
      <c r="I902" s="5"/>
    </row>
    <row r="903" spans="1:15" ht="15.75" thickBot="1" x14ac:dyDescent="0.3">
      <c r="D903" s="2"/>
      <c r="E903" s="2"/>
      <c r="F903" s="2"/>
      <c r="G903" s="2"/>
      <c r="H903" s="2"/>
      <c r="I903" s="2"/>
    </row>
    <row r="904" spans="1:15" ht="15.75" thickBot="1" x14ac:dyDescent="0.3">
      <c r="B904" s="43" t="s">
        <v>1695</v>
      </c>
      <c r="C904" s="44"/>
      <c r="D904" s="44"/>
      <c r="E904" s="44"/>
      <c r="F904" s="44"/>
      <c r="G904" s="44"/>
      <c r="H904" s="45"/>
      <c r="I904" s="2"/>
    </row>
    <row r="905" spans="1:15" ht="25.5" x14ac:dyDescent="0.25">
      <c r="B905" s="46" t="s">
        <v>1409</v>
      </c>
      <c r="C905" s="47"/>
      <c r="D905" s="48" t="s">
        <v>1690</v>
      </c>
      <c r="E905" s="48" t="s">
        <v>1694</v>
      </c>
      <c r="F905" s="48" t="s">
        <v>1693</v>
      </c>
      <c r="G905" s="49" t="s">
        <v>1687</v>
      </c>
      <c r="H905" s="50" t="s">
        <v>1686</v>
      </c>
      <c r="I905" s="2"/>
    </row>
    <row r="906" spans="1:15" s="4" customFormat="1" x14ac:dyDescent="0.25">
      <c r="A906" s="103">
        <v>19015</v>
      </c>
      <c r="B906" s="51" t="str">
        <f>IF($A906=0,"",VLOOKUP($A906,'BASE EQUIPO'!$A:$D,2))</f>
        <v>HERRAMIENTA MENOR</v>
      </c>
      <c r="C906" s="52"/>
      <c r="D906" s="53">
        <v>1</v>
      </c>
      <c r="E906" s="53">
        <f>IF($A906=0,"",VLOOKUP($A906,'BASE EQUIPO'!$A:$D,4)*H922)</f>
        <v>0.13350000000000001</v>
      </c>
      <c r="F906" s="53">
        <f t="shared" ref="F906:F911" si="80">IF($A906=0,"",ROUND(D906*E906,2))</f>
        <v>0.13</v>
      </c>
      <c r="G906" s="105">
        <v>1</v>
      </c>
      <c r="H906" s="54">
        <f t="shared" ref="H906:H911" si="81">IF($A906=0,"",ROUND(G906*F906,2))</f>
        <v>0.13</v>
      </c>
      <c r="I906" s="5"/>
    </row>
    <row r="907" spans="1:15" s="4" customFormat="1" x14ac:dyDescent="0.25">
      <c r="A907" s="103">
        <v>19025</v>
      </c>
      <c r="B907" s="38" t="str">
        <f>IF($A907=0,"",VLOOKUP($A907,'BASE EQUIPO'!$A:$D,2))</f>
        <v xml:space="preserve">ANDAMIOS </v>
      </c>
      <c r="C907" s="2"/>
      <c r="D907" s="55">
        <v>1</v>
      </c>
      <c r="E907" s="55">
        <f>IF($A907=0,"",VLOOKUP($A907,'BASE EQUIPO'!$A:$D,4))</f>
        <v>5.54</v>
      </c>
      <c r="F907" s="55">
        <f t="shared" si="80"/>
        <v>5.54</v>
      </c>
      <c r="G907" s="106">
        <v>0.1</v>
      </c>
      <c r="H907" s="56">
        <f t="shared" si="81"/>
        <v>0.55000000000000004</v>
      </c>
      <c r="I907" s="5"/>
    </row>
    <row r="908" spans="1:15" s="4" customFormat="1" x14ac:dyDescent="0.25">
      <c r="A908" s="103"/>
      <c r="B908" s="38" t="str">
        <f>IF($A908=0,"",VLOOKUP($A908,'BASE EQUIPO'!$A:$D,2))</f>
        <v/>
      </c>
      <c r="C908" s="2"/>
      <c r="D908" s="55"/>
      <c r="E908" s="55" t="str">
        <f>IF($A908=0,"",VLOOKUP($A908,'BASE EQUIPO'!$A:$D,4))</f>
        <v/>
      </c>
      <c r="F908" s="55" t="str">
        <f t="shared" si="80"/>
        <v/>
      </c>
      <c r="G908" s="106"/>
      <c r="H908" s="56" t="str">
        <f t="shared" si="81"/>
        <v/>
      </c>
      <c r="I908" s="5"/>
    </row>
    <row r="909" spans="1:15" s="4" customFormat="1" x14ac:dyDescent="0.25">
      <c r="A909" s="103"/>
      <c r="B909" s="38" t="str">
        <f>IF($A909=0,"",VLOOKUP($A909,'BASE EQUIPO'!$A:$D,2))</f>
        <v/>
      </c>
      <c r="C909" s="2"/>
      <c r="D909" s="55"/>
      <c r="E909" s="55" t="str">
        <f>IF($A909=0,"",VLOOKUP($A909,'BASE EQUIPO'!$A:$D,4))</f>
        <v/>
      </c>
      <c r="F909" s="55" t="str">
        <f t="shared" si="80"/>
        <v/>
      </c>
      <c r="G909" s="106"/>
      <c r="H909" s="56" t="str">
        <f t="shared" si="81"/>
        <v/>
      </c>
      <c r="I909" s="5"/>
    </row>
    <row r="910" spans="1:15" s="4" customFormat="1" x14ac:dyDescent="0.25">
      <c r="A910" s="103"/>
      <c r="B910" s="38" t="str">
        <f>IF($A910=0,"",VLOOKUP($A910,'BASE EQUIPO'!$A:$D,2))</f>
        <v/>
      </c>
      <c r="C910" s="2"/>
      <c r="D910" s="55"/>
      <c r="E910" s="55" t="str">
        <f>IF($A910=0,"",VLOOKUP($A910,'BASE EQUIPO'!$A:$D,4))</f>
        <v/>
      </c>
      <c r="F910" s="55" t="str">
        <f t="shared" si="80"/>
        <v/>
      </c>
      <c r="G910" s="106"/>
      <c r="H910" s="56" t="str">
        <f t="shared" si="81"/>
        <v/>
      </c>
      <c r="I910" s="5"/>
    </row>
    <row r="911" spans="1:15" s="4" customFormat="1" x14ac:dyDescent="0.25">
      <c r="A911" s="103"/>
      <c r="B911" s="57" t="str">
        <f>IF($A911=0,"",VLOOKUP($A911,'BASE EQUIPO'!$A:$D,2))</f>
        <v/>
      </c>
      <c r="C911" s="58"/>
      <c r="D911" s="59"/>
      <c r="E911" s="59" t="str">
        <f>IF($A911=0,"",VLOOKUP($A911,'BASE EQUIPO'!$A:$D,4))</f>
        <v/>
      </c>
      <c r="F911" s="59" t="str">
        <f t="shared" si="80"/>
        <v/>
      </c>
      <c r="G911" s="107"/>
      <c r="H911" s="60" t="str">
        <f t="shared" si="81"/>
        <v/>
      </c>
      <c r="I911" s="5"/>
    </row>
    <row r="912" spans="1:15" s="4" customFormat="1" x14ac:dyDescent="0.25">
      <c r="A912" s="103"/>
      <c r="B912" s="57" t="s">
        <v>1692</v>
      </c>
      <c r="C912" s="58"/>
      <c r="D912" s="61"/>
      <c r="E912" s="61"/>
      <c r="F912" s="61"/>
      <c r="G912" s="62"/>
      <c r="H912" s="60">
        <f>ROUND(SUM(H905:H911),2)</f>
        <v>0.68</v>
      </c>
      <c r="I912" s="5"/>
    </row>
    <row r="913" spans="1:16" s="4" customFormat="1" x14ac:dyDescent="0.25">
      <c r="A913" s="103"/>
      <c r="B913" s="38" t="s">
        <v>1503</v>
      </c>
      <c r="C913" s="2"/>
      <c r="D913" s="3"/>
      <c r="E913" s="3"/>
      <c r="F913" s="3"/>
      <c r="G913" s="63"/>
      <c r="H913" s="56"/>
      <c r="I913" s="5"/>
    </row>
    <row r="914" spans="1:16" ht="25.5" x14ac:dyDescent="0.25">
      <c r="B914" s="64" t="s">
        <v>1691</v>
      </c>
      <c r="C914" s="65"/>
      <c r="D914" s="66" t="s">
        <v>1690</v>
      </c>
      <c r="E914" s="66" t="s">
        <v>1689</v>
      </c>
      <c r="F914" s="66" t="s">
        <v>1688</v>
      </c>
      <c r="G914" s="67" t="s">
        <v>1687</v>
      </c>
      <c r="H914" s="68" t="s">
        <v>1686</v>
      </c>
      <c r="I914" s="2"/>
    </row>
    <row r="915" spans="1:16" s="4" customFormat="1" x14ac:dyDescent="0.25">
      <c r="A915" s="103">
        <v>20001</v>
      </c>
      <c r="B915" s="69" t="str">
        <f>IF($A915=0,"",VLOOKUP($A915,'BASE M-OBRA'!$A:$D,2))</f>
        <v>MAESTRO</v>
      </c>
      <c r="C915" s="2"/>
      <c r="D915" s="108">
        <v>1</v>
      </c>
      <c r="E915" s="70">
        <f>IF($A915=0,"",VLOOKUP($A915,'BASE M-OBRA'!$A:$D,4))</f>
        <v>3.02</v>
      </c>
      <c r="F915" s="55">
        <f t="shared" ref="F915:F921" si="82">IF($A915=0,"",ROUND(D915*E915,2))</f>
        <v>3.02</v>
      </c>
      <c r="G915" s="106">
        <f>IF($A915=0,"",ROUND(H915/F915,2))</f>
        <v>0.25</v>
      </c>
      <c r="H915" s="56">
        <f>IF($A915=0,"",ROUND(SUM(H916:H921)*'BASE M-OBRA'!$D$23,2))</f>
        <v>0.74</v>
      </c>
      <c r="I915" s="5"/>
    </row>
    <row r="916" spans="1:16" s="4" customFormat="1" x14ac:dyDescent="0.25">
      <c r="A916" s="103">
        <v>20002</v>
      </c>
      <c r="B916" s="69" t="str">
        <f>IF($A916=0,"",VLOOKUP($A916,'BASE M-OBRA'!$A:$D,2))</f>
        <v>PEON</v>
      </c>
      <c r="C916" s="2"/>
      <c r="D916" s="108">
        <v>2</v>
      </c>
      <c r="E916" s="70">
        <f>IF($A916=0,"",VLOOKUP($A916,'BASE M-OBRA'!$A:$D,4))</f>
        <v>2.79</v>
      </c>
      <c r="F916" s="55">
        <f t="shared" si="82"/>
        <v>5.58</v>
      </c>
      <c r="G916" s="106">
        <v>0.22</v>
      </c>
      <c r="H916" s="56">
        <f t="shared" ref="H916:H921" si="83">IF($A916=0,"",ROUND(G916*F916,2))</f>
        <v>1.23</v>
      </c>
      <c r="I916" s="5"/>
    </row>
    <row r="917" spans="1:16" s="4" customFormat="1" x14ac:dyDescent="0.25">
      <c r="A917" s="103">
        <v>20003</v>
      </c>
      <c r="B917" s="69" t="str">
        <f>IF($A917=0,"",VLOOKUP($A917,'BASE M-OBRA'!$A:$D,2))</f>
        <v>ALBAÑIL</v>
      </c>
      <c r="C917" s="2"/>
      <c r="D917" s="108">
        <v>4</v>
      </c>
      <c r="E917" s="70">
        <f>IF($A917=0,"",VLOOKUP($A917,'BASE M-OBRA'!$A:$D,4))</f>
        <v>2.82</v>
      </c>
      <c r="F917" s="55">
        <f t="shared" si="82"/>
        <v>11.28</v>
      </c>
      <c r="G917" s="106">
        <f>+G916</f>
        <v>0.22</v>
      </c>
      <c r="H917" s="56">
        <f t="shared" si="83"/>
        <v>2.48</v>
      </c>
      <c r="I917" s="5"/>
    </row>
    <row r="918" spans="1:16" s="4" customFormat="1" x14ac:dyDescent="0.25">
      <c r="A918" s="103"/>
      <c r="B918" s="71" t="str">
        <f>IF($A918=0,"",VLOOKUP($A918,'BASE M-OBRA'!$A:$D,2))</f>
        <v/>
      </c>
      <c r="C918" s="2"/>
      <c r="D918" s="108"/>
      <c r="E918" s="70" t="str">
        <f>IF($A918=0,"",VLOOKUP($A918,'BASE M-OBRA'!$A:$D,4))</f>
        <v/>
      </c>
      <c r="F918" s="55" t="str">
        <f t="shared" si="82"/>
        <v/>
      </c>
      <c r="G918" s="106"/>
      <c r="H918" s="56" t="str">
        <f t="shared" si="83"/>
        <v/>
      </c>
      <c r="I918" s="5"/>
    </row>
    <row r="919" spans="1:16" s="4" customFormat="1" x14ac:dyDescent="0.25">
      <c r="A919" s="103"/>
      <c r="B919" s="72" t="str">
        <f>IF($A919=0,"",VLOOKUP($A919,'BASE M-OBRA'!$A:$D,2))</f>
        <v/>
      </c>
      <c r="C919" s="2"/>
      <c r="D919" s="108"/>
      <c r="E919" s="70" t="str">
        <f>IF($A919=0,"",VLOOKUP($A919,'BASE M-OBRA'!$A:$D,4))</f>
        <v/>
      </c>
      <c r="F919" s="55" t="str">
        <f t="shared" si="82"/>
        <v/>
      </c>
      <c r="G919" s="106"/>
      <c r="H919" s="56" t="str">
        <f t="shared" si="83"/>
        <v/>
      </c>
      <c r="I919" s="5"/>
    </row>
    <row r="920" spans="1:16" s="4" customFormat="1" x14ac:dyDescent="0.25">
      <c r="A920" s="103"/>
      <c r="B920" s="38" t="str">
        <f>IF($A920=0,"",VLOOKUP($A920,'BASE M-OBRA'!$A:$D,2))</f>
        <v/>
      </c>
      <c r="C920" s="2"/>
      <c r="D920" s="55"/>
      <c r="E920" s="55" t="str">
        <f>IF($A920=0,"",VLOOKUP($A920,'BASE M-OBRA'!$A:$D,4))</f>
        <v/>
      </c>
      <c r="F920" s="55" t="str">
        <f t="shared" si="82"/>
        <v/>
      </c>
      <c r="G920" s="106"/>
      <c r="H920" s="56" t="str">
        <f t="shared" si="83"/>
        <v/>
      </c>
      <c r="I920" s="5"/>
    </row>
    <row r="921" spans="1:16" s="4" customFormat="1" x14ac:dyDescent="0.25">
      <c r="A921" s="103"/>
      <c r="B921" s="57" t="str">
        <f>IF($A921=0,"",VLOOKUP($A921,'BASE M-OBRA'!$A:$D,2))</f>
        <v/>
      </c>
      <c r="C921" s="58"/>
      <c r="D921" s="59"/>
      <c r="E921" s="59" t="str">
        <f>IF($A921=0,"",VLOOKUP($A921,'BASE M-OBRA'!$A:$D,4))</f>
        <v/>
      </c>
      <c r="F921" s="59" t="str">
        <f t="shared" si="82"/>
        <v/>
      </c>
      <c r="G921" s="107"/>
      <c r="H921" s="60" t="str">
        <f t="shared" si="83"/>
        <v/>
      </c>
      <c r="I921" s="5"/>
    </row>
    <row r="922" spans="1:16" s="4" customFormat="1" x14ac:dyDescent="0.25">
      <c r="A922" s="103"/>
      <c r="B922" s="73" t="s">
        <v>1685</v>
      </c>
      <c r="C922" s="65"/>
      <c r="D922" s="74"/>
      <c r="E922" s="74"/>
      <c r="F922" s="74"/>
      <c r="G922" s="74"/>
      <c r="H922" s="75">
        <f>ROUND(SUM(H914:H921),2)</f>
        <v>4.45</v>
      </c>
      <c r="I922" s="5"/>
    </row>
    <row r="923" spans="1:16" s="4" customFormat="1" x14ac:dyDescent="0.25">
      <c r="A923" s="103"/>
      <c r="B923" s="38" t="s">
        <v>1684</v>
      </c>
      <c r="C923" s="2"/>
      <c r="D923" s="3"/>
      <c r="E923" s="3"/>
      <c r="F923" s="3"/>
      <c r="G923" s="3"/>
      <c r="H923" s="56"/>
      <c r="I923" s="5"/>
    </row>
    <row r="924" spans="1:16" ht="25.5" x14ac:dyDescent="0.25">
      <c r="B924" s="64" t="s">
        <v>1409</v>
      </c>
      <c r="C924" s="65"/>
      <c r="D924" s="76"/>
      <c r="E924" s="66" t="s">
        <v>1408</v>
      </c>
      <c r="F924" s="66" t="s">
        <v>1679</v>
      </c>
      <c r="G924" s="66" t="s">
        <v>1683</v>
      </c>
      <c r="H924" s="68" t="s">
        <v>1675</v>
      </c>
      <c r="I924" s="2"/>
    </row>
    <row r="925" spans="1:16" s="4" customFormat="1" x14ac:dyDescent="0.25">
      <c r="A925" s="103">
        <v>4001</v>
      </c>
      <c r="B925" s="38" t="str">
        <f>IF($A925=0,"",VLOOKUP($A925,'BASE MATERIAL'!$A:$D,2))</f>
        <v>CEMENTO</v>
      </c>
      <c r="C925" s="2"/>
      <c r="D925" s="77"/>
      <c r="E925" s="78" t="str">
        <f>IF($A925=0,"",VLOOKUP($A925,'BASE MATERIAL'!$A:$D,3))</f>
        <v>SACO</v>
      </c>
      <c r="F925" s="55">
        <f>ROUND(1*0.02*10*1.05,3)</f>
        <v>0.21</v>
      </c>
      <c r="G925" s="55">
        <f>IF($A925=0,"",VLOOKUP($A925,'BASE MATERIAL'!$A:$D,4))</f>
        <v>7.09</v>
      </c>
      <c r="H925" s="56">
        <f t="shared" ref="H925:H939" si="84">IF($A925=0,"",ROUND(F925*G925,2))</f>
        <v>1.49</v>
      </c>
      <c r="I925" s="5"/>
      <c r="L925" s="5"/>
      <c r="M925" s="5"/>
      <c r="N925" s="160"/>
      <c r="O925" s="5"/>
      <c r="P925" s="5"/>
    </row>
    <row r="926" spans="1:16" s="4" customFormat="1" x14ac:dyDescent="0.25">
      <c r="A926" s="103">
        <v>5004</v>
      </c>
      <c r="B926" s="38" t="str">
        <f>IF($A926=0,"",VLOOKUP($A926,'BASE MATERIAL'!$A:$D,2))</f>
        <v>ARENA</v>
      </c>
      <c r="C926" s="2"/>
      <c r="D926" s="77"/>
      <c r="E926" s="78" t="str">
        <f>IF($A926=0,"",VLOOKUP($A926,'BASE MATERIAL'!$A:$D,3))</f>
        <v>M3</v>
      </c>
      <c r="F926" s="55">
        <f>ROUND(F925*0.032*3,2)</f>
        <v>0.02</v>
      </c>
      <c r="G926" s="55">
        <f>IF($A926=0,"",VLOOKUP($A926,'BASE MATERIAL'!$A:$D,4))</f>
        <v>12.276249999999999</v>
      </c>
      <c r="H926" s="56">
        <f t="shared" si="84"/>
        <v>0.25</v>
      </c>
      <c r="I926" s="5"/>
      <c r="L926" s="5"/>
      <c r="M926" s="5"/>
      <c r="N926" s="160"/>
      <c r="O926" s="5"/>
      <c r="P926" s="5"/>
    </row>
    <row r="927" spans="1:16" s="4" customFormat="1" x14ac:dyDescent="0.25">
      <c r="A927" s="103">
        <v>5005</v>
      </c>
      <c r="B927" s="38" t="str">
        <f>IF($A927=0,"",VLOOKUP($A927,'BASE MATERIAL'!$A:$D,2))</f>
        <v>AGUA</v>
      </c>
      <c r="C927" s="2"/>
      <c r="D927" s="77"/>
      <c r="E927" s="78" t="str">
        <f>IF($A927=0,"",VLOOKUP($A927,'BASE MATERIAL'!$A:$D,3))</f>
        <v>LT</v>
      </c>
      <c r="F927" s="55">
        <f>ROUND(30*F925,2)</f>
        <v>6.3</v>
      </c>
      <c r="G927" s="80">
        <f>IF($A927=0,"",VLOOKUP($A927,'BASE MATERIAL'!$A:$D,4))</f>
        <v>2E-3</v>
      </c>
      <c r="H927" s="56">
        <f t="shared" si="84"/>
        <v>0.01</v>
      </c>
      <c r="I927" s="5"/>
      <c r="L927" s="5"/>
      <c r="M927" s="5"/>
      <c r="N927" s="160"/>
      <c r="O927" s="5"/>
      <c r="P927" s="5"/>
    </row>
    <row r="928" spans="1:16" s="4" customFormat="1" x14ac:dyDescent="0.25">
      <c r="A928" s="103"/>
      <c r="B928" s="38" t="str">
        <f>IF($A928=0,"",VLOOKUP($A928,'BASE MATERIAL'!$A:$D,2))</f>
        <v/>
      </c>
      <c r="C928" s="2"/>
      <c r="D928" s="77"/>
      <c r="E928" s="78" t="str">
        <f>IF($A928=0,"",VLOOKUP($A928,'BASE MATERIAL'!$A:$D,3))</f>
        <v/>
      </c>
      <c r="F928" s="55"/>
      <c r="G928" s="55" t="str">
        <f>IF($A928=0,"",VLOOKUP($A928,'BASE MATERIAL'!$A:$D,4))</f>
        <v/>
      </c>
      <c r="H928" s="56" t="str">
        <f t="shared" si="84"/>
        <v/>
      </c>
      <c r="I928" s="5"/>
      <c r="L928" s="5"/>
      <c r="M928" s="5"/>
      <c r="N928" s="160"/>
      <c r="O928" s="5"/>
      <c r="P928" s="5"/>
    </row>
    <row r="929" spans="1:16" s="4" customFormat="1" x14ac:dyDescent="0.25">
      <c r="A929" s="103"/>
      <c r="B929" s="38" t="str">
        <f>IF($A929=0,"",VLOOKUP($A929,'BASE MATERIAL'!$A:$D,2))</f>
        <v/>
      </c>
      <c r="C929" s="2"/>
      <c r="D929" s="77"/>
      <c r="E929" s="78" t="str">
        <f>IF($A929=0,"",VLOOKUP($A929,'BASE MATERIAL'!$A:$D,3))</f>
        <v/>
      </c>
      <c r="F929" s="55"/>
      <c r="G929" s="55" t="str">
        <f>IF($A929=0,"",VLOOKUP($A929,'BASE MATERIAL'!$A:$D,4))</f>
        <v/>
      </c>
      <c r="H929" s="56" t="str">
        <f t="shared" si="84"/>
        <v/>
      </c>
      <c r="I929" s="5"/>
      <c r="L929" s="5"/>
      <c r="M929" s="5"/>
      <c r="N929" s="160"/>
      <c r="O929" s="5"/>
      <c r="P929" s="5"/>
    </row>
    <row r="930" spans="1:16" s="4" customFormat="1" x14ac:dyDescent="0.25">
      <c r="A930" s="103"/>
      <c r="B930" s="38" t="str">
        <f>IF($A930=0,"",VLOOKUP($A930,'BASE MATERIAL'!$A:$D,2))</f>
        <v/>
      </c>
      <c r="C930" s="2"/>
      <c r="D930" s="77"/>
      <c r="E930" s="78" t="str">
        <f>IF($A930=0,"",VLOOKUP($A930,'BASE MATERIAL'!$A:$D,3))</f>
        <v/>
      </c>
      <c r="F930" s="55"/>
      <c r="G930" s="55" t="str">
        <f>IF($A930=0,"",VLOOKUP($A930,'BASE MATERIAL'!$A:$D,4))</f>
        <v/>
      </c>
      <c r="H930" s="56" t="str">
        <f t="shared" si="84"/>
        <v/>
      </c>
      <c r="I930" s="5"/>
      <c r="L930" s="5"/>
      <c r="M930" s="5"/>
      <c r="N930" s="160"/>
      <c r="O930" s="5"/>
      <c r="P930" s="5"/>
    </row>
    <row r="931" spans="1:16" s="4" customFormat="1" x14ac:dyDescent="0.25">
      <c r="A931" s="103"/>
      <c r="B931" s="38" t="str">
        <f>IF($A931=0,"",VLOOKUP($A931,'BASE MATERIAL'!$A:$D,2))</f>
        <v/>
      </c>
      <c r="C931" s="2"/>
      <c r="D931" s="77"/>
      <c r="E931" s="78" t="str">
        <f>IF($A931=0,"",VLOOKUP($A931,'BASE MATERIAL'!$A:$D,3))</f>
        <v/>
      </c>
      <c r="F931" s="55"/>
      <c r="G931" s="55" t="str">
        <f>IF($A931=0,"",VLOOKUP($A931,'BASE MATERIAL'!$A:$D,4))</f>
        <v/>
      </c>
      <c r="H931" s="56" t="str">
        <f t="shared" si="84"/>
        <v/>
      </c>
      <c r="I931" s="5"/>
      <c r="L931" s="5"/>
      <c r="M931" s="5"/>
      <c r="N931" s="160"/>
      <c r="O931" s="5"/>
      <c r="P931" s="5"/>
    </row>
    <row r="932" spans="1:16" s="4" customFormat="1" x14ac:dyDescent="0.25">
      <c r="A932" s="103"/>
      <c r="B932" s="38" t="str">
        <f>IF($A932=0,"",VLOOKUP($A932,'BASE MATERIAL'!$A:$D,2))</f>
        <v/>
      </c>
      <c r="C932" s="2"/>
      <c r="D932" s="77"/>
      <c r="E932" s="78" t="str">
        <f>IF($A932=0,"",VLOOKUP($A932,'BASE MATERIAL'!$A:$D,3))</f>
        <v/>
      </c>
      <c r="F932" s="55"/>
      <c r="G932" s="55" t="str">
        <f>IF($A932=0,"",VLOOKUP($A932,'BASE MATERIAL'!$A:$D,4))</f>
        <v/>
      </c>
      <c r="H932" s="56" t="str">
        <f t="shared" si="84"/>
        <v/>
      </c>
      <c r="I932" s="5"/>
      <c r="L932" s="5"/>
      <c r="M932" s="5"/>
      <c r="N932" s="160"/>
      <c r="O932" s="5"/>
      <c r="P932" s="5"/>
    </row>
    <row r="933" spans="1:16" s="4" customFormat="1" x14ac:dyDescent="0.25">
      <c r="A933" s="103"/>
      <c r="B933" s="38" t="str">
        <f>IF($A933=0,"",VLOOKUP($A933,'BASE MATERIAL'!$A:$D,2))</f>
        <v/>
      </c>
      <c r="C933" s="2"/>
      <c r="D933" s="77"/>
      <c r="E933" s="78" t="str">
        <f>IF($A933=0,"",VLOOKUP($A933,'BASE MATERIAL'!$A:$D,3))</f>
        <v/>
      </c>
      <c r="F933" s="55"/>
      <c r="G933" s="55" t="str">
        <f>IF($A933=0,"",VLOOKUP($A933,'BASE MATERIAL'!$A:$D,4))</f>
        <v/>
      </c>
      <c r="H933" s="56" t="str">
        <f t="shared" si="84"/>
        <v/>
      </c>
      <c r="I933" s="5"/>
    </row>
    <row r="934" spans="1:16" s="4" customFormat="1" x14ac:dyDescent="0.25">
      <c r="A934" s="103"/>
      <c r="B934" s="38" t="str">
        <f>IF($A934=0,"",VLOOKUP($A934,'BASE MATERIAL'!$A:$D,2))</f>
        <v/>
      </c>
      <c r="C934" s="2"/>
      <c r="D934" s="77"/>
      <c r="E934" s="78" t="str">
        <f>IF($A934=0,"",VLOOKUP($A934,'BASE MATERIAL'!$A:$D,3))</f>
        <v/>
      </c>
      <c r="F934" s="55"/>
      <c r="G934" s="55" t="str">
        <f>IF($A934=0,"",VLOOKUP($A934,'BASE MATERIAL'!$A:$D,4))</f>
        <v/>
      </c>
      <c r="H934" s="56" t="str">
        <f t="shared" si="84"/>
        <v/>
      </c>
      <c r="I934" s="5"/>
      <c r="L934" s="5"/>
      <c r="M934" s="5"/>
      <c r="N934" s="160"/>
      <c r="O934" s="5"/>
      <c r="P934" s="5"/>
    </row>
    <row r="935" spans="1:16" s="4" customFormat="1" x14ac:dyDescent="0.25">
      <c r="A935" s="103"/>
      <c r="B935" s="38" t="str">
        <f>IF($A935=0,"",VLOOKUP($A935,'BASE MATERIAL'!$A:$D,2))</f>
        <v/>
      </c>
      <c r="C935" s="2"/>
      <c r="D935" s="77"/>
      <c r="E935" s="78" t="str">
        <f>IF($A935=0,"",VLOOKUP($A935,'BASE MATERIAL'!$A:$D,3))</f>
        <v/>
      </c>
      <c r="F935" s="55"/>
      <c r="G935" s="55" t="str">
        <f>IF($A935=0,"",VLOOKUP($A935,'BASE MATERIAL'!$A:$D,4))</f>
        <v/>
      </c>
      <c r="H935" s="56" t="str">
        <f t="shared" si="84"/>
        <v/>
      </c>
      <c r="I935" s="5"/>
      <c r="L935" s="5"/>
      <c r="M935" s="5"/>
      <c r="N935" s="160"/>
      <c r="O935" s="5"/>
      <c r="P935" s="5"/>
    </row>
    <row r="936" spans="1:16" s="4" customFormat="1" x14ac:dyDescent="0.25">
      <c r="A936" s="103"/>
      <c r="B936" s="38" t="str">
        <f>IF($A936=0,"",VLOOKUP($A936,'BASE MATERIAL'!$A:$D,2))</f>
        <v/>
      </c>
      <c r="C936" s="2"/>
      <c r="D936" s="77"/>
      <c r="E936" s="78" t="str">
        <f>IF($A936=0,"",VLOOKUP($A936,'BASE MATERIAL'!$A:$D,3))</f>
        <v/>
      </c>
      <c r="F936" s="55"/>
      <c r="G936" s="55" t="str">
        <f>IF($A936=0,"",VLOOKUP($A936,'BASE MATERIAL'!$A:$D,4))</f>
        <v/>
      </c>
      <c r="H936" s="56" t="str">
        <f t="shared" si="84"/>
        <v/>
      </c>
      <c r="I936" s="5"/>
    </row>
    <row r="937" spans="1:16" s="4" customFormat="1" x14ac:dyDescent="0.25">
      <c r="A937" s="103"/>
      <c r="B937" s="38" t="str">
        <f>IF($A937=0,"",VLOOKUP($A937,'BASE MATERIAL'!$A:$D,2))</f>
        <v/>
      </c>
      <c r="C937" s="2"/>
      <c r="D937" s="77"/>
      <c r="E937" s="78" t="str">
        <f>IF($A937=0,"",VLOOKUP($A937,'BASE MATERIAL'!$A:$D,3))</f>
        <v/>
      </c>
      <c r="F937" s="55"/>
      <c r="G937" s="55" t="str">
        <f>IF($A937=0,"",VLOOKUP($A937,'BASE MATERIAL'!$A:$D,4))</f>
        <v/>
      </c>
      <c r="H937" s="56" t="str">
        <f t="shared" si="84"/>
        <v/>
      </c>
      <c r="I937" s="5"/>
    </row>
    <row r="938" spans="1:16" s="4" customFormat="1" x14ac:dyDescent="0.25">
      <c r="A938" s="103"/>
      <c r="B938" s="38" t="str">
        <f>IF($A938=0,"",VLOOKUP($A938,'BASE MATERIAL'!$A:$D,2))</f>
        <v/>
      </c>
      <c r="C938" s="2"/>
      <c r="D938" s="77"/>
      <c r="E938" s="78" t="str">
        <f>IF($A938=0,"",VLOOKUP($A938,'BASE MATERIAL'!$A:$D,3))</f>
        <v/>
      </c>
      <c r="F938" s="55"/>
      <c r="G938" s="55" t="str">
        <f>IF($A938=0,"",VLOOKUP($A938,'BASE MATERIAL'!$A:$D,4))</f>
        <v/>
      </c>
      <c r="H938" s="56" t="str">
        <f t="shared" si="84"/>
        <v/>
      </c>
      <c r="I938" s="5"/>
    </row>
    <row r="939" spans="1:16" s="4" customFormat="1" x14ac:dyDescent="0.25">
      <c r="A939" s="103"/>
      <c r="B939" s="38" t="str">
        <f>IF($A939=0,"",VLOOKUP($A939,'BASE MATERIAL'!$A:$D,2))</f>
        <v/>
      </c>
      <c r="C939" s="2"/>
      <c r="D939" s="77"/>
      <c r="E939" s="78" t="str">
        <f>IF($A939=0,"",VLOOKUP($A939,'BASE MATERIAL'!$A:$D,3))</f>
        <v/>
      </c>
      <c r="F939" s="55"/>
      <c r="G939" s="55" t="str">
        <f>IF($A939=0,"",VLOOKUP($A939,'BASE MATERIAL'!$A:$D,4))</f>
        <v/>
      </c>
      <c r="H939" s="56" t="str">
        <f t="shared" si="84"/>
        <v/>
      </c>
      <c r="I939" s="5"/>
    </row>
    <row r="940" spans="1:16" s="4" customFormat="1" x14ac:dyDescent="0.25">
      <c r="A940" s="103"/>
      <c r="B940" s="38" t="str">
        <f>IF($A940=0,"",VLOOKUP($A940,'BASE MATERIAL'!$A:$D,2))</f>
        <v/>
      </c>
      <c r="C940" s="2"/>
      <c r="D940" s="81" t="s">
        <v>1682</v>
      </c>
      <c r="E940" s="55" t="str">
        <f>IF($A940=0,"",VLOOKUP($A940,'BASE MATERIAL'!$A:$D,3))</f>
        <v/>
      </c>
      <c r="F940" s="55" t="s">
        <v>1682</v>
      </c>
      <c r="G940" s="55" t="str">
        <f>IF($A940=0,"",VLOOKUP($A940,'BASE MATERIAL'!$A:$D,4))</f>
        <v/>
      </c>
      <c r="H940" s="56" t="str">
        <f>IF($A940=0,"",ROUND(E940*F940,2))</f>
        <v/>
      </c>
      <c r="I940" s="5"/>
    </row>
    <row r="941" spans="1:16" s="4" customFormat="1" x14ac:dyDescent="0.25">
      <c r="A941" s="103"/>
      <c r="B941" s="73" t="s">
        <v>1681</v>
      </c>
      <c r="C941" s="65"/>
      <c r="D941" s="74"/>
      <c r="E941" s="74"/>
      <c r="F941" s="74"/>
      <c r="G941" s="74"/>
      <c r="H941" s="75">
        <f>ROUND(SUM(H924:H940),2)</f>
        <v>1.75</v>
      </c>
      <c r="I941" s="5"/>
    </row>
    <row r="942" spans="1:16" s="4" customFormat="1" x14ac:dyDescent="0.25">
      <c r="A942" s="103"/>
      <c r="B942" s="38" t="s">
        <v>1680</v>
      </c>
      <c r="C942" s="2"/>
      <c r="D942" s="3"/>
      <c r="E942" s="3"/>
      <c r="F942" s="3"/>
      <c r="G942" s="3"/>
      <c r="H942" s="56"/>
      <c r="I942" s="5"/>
    </row>
    <row r="943" spans="1:16" ht="25.5" x14ac:dyDescent="0.25">
      <c r="B943" s="64" t="s">
        <v>1409</v>
      </c>
      <c r="C943" s="65"/>
      <c r="D943" s="76"/>
      <c r="E943" s="66" t="s">
        <v>1408</v>
      </c>
      <c r="F943" s="66" t="s">
        <v>1679</v>
      </c>
      <c r="G943" s="66" t="s">
        <v>1676</v>
      </c>
      <c r="H943" s="68" t="s">
        <v>1675</v>
      </c>
      <c r="I943" s="2"/>
    </row>
    <row r="944" spans="1:16" s="4" customFormat="1" x14ac:dyDescent="0.25">
      <c r="A944" s="103">
        <v>19019</v>
      </c>
      <c r="B944" s="51" t="str">
        <f>IF($A944=0,"",VLOOKUP($A944,'BASE EQUIPO'!$A:$D,2))</f>
        <v>TRANSPORTE DE MATERIAL</v>
      </c>
      <c r="C944" s="52"/>
      <c r="D944" s="82"/>
      <c r="E944" s="78" t="str">
        <f>IF($A944=0,"",VLOOKUP($A944,'BASE EQUIPO'!$A:$D,3))</f>
        <v>GLOBAL</v>
      </c>
      <c r="F944" s="55">
        <v>1</v>
      </c>
      <c r="G944" s="83">
        <f>IF($A944=0,"",VLOOKUP($A944,'BASE EQUIPO'!$A:$D,4)*H941)</f>
        <v>5.2499999999999998E-2</v>
      </c>
      <c r="H944" s="56">
        <f>IF($A944=0,"",ROUND(F944*G944,2))</f>
        <v>0.05</v>
      </c>
      <c r="I944" s="5"/>
    </row>
    <row r="945" spans="1:15" s="4" customFormat="1" x14ac:dyDescent="0.25">
      <c r="A945" s="103"/>
      <c r="B945" s="38" t="str">
        <f>IF($A945=0,"",VLOOKUP($A945,'BASE EQUIPO'!$A:$D,2))</f>
        <v/>
      </c>
      <c r="C945" s="2"/>
      <c r="D945" s="84"/>
      <c r="E945" s="78" t="str">
        <f>IF($A945=0,"",VLOOKUP($A945,'BASE EQUIPO'!$A:$D,3))</f>
        <v/>
      </c>
      <c r="F945" s="55"/>
      <c r="G945" s="55" t="str">
        <f>IF($A945=0,"",VLOOKUP($A945,'BASE EQUIPO'!$A:$D,4)*H942)</f>
        <v/>
      </c>
      <c r="H945" s="56" t="str">
        <f>IF($A945=0,"",ROUND(F945*G945,2))</f>
        <v/>
      </c>
      <c r="I945" s="5"/>
    </row>
    <row r="946" spans="1:15" s="4" customFormat="1" x14ac:dyDescent="0.25">
      <c r="A946" s="103"/>
      <c r="B946" s="57" t="str">
        <f>IF($A946=0,"",VLOOKUP($A946,'BASE EQUIPO'!$A:$D,2))</f>
        <v/>
      </c>
      <c r="C946" s="58"/>
      <c r="D946" s="85"/>
      <c r="E946" s="86" t="str">
        <f>IF($A946=0,"",VLOOKUP($A946,'BASE EQUIPO'!$A:$D,3))</f>
        <v/>
      </c>
      <c r="F946" s="59"/>
      <c r="G946" s="59" t="str">
        <f>IF($A946=0,"",VLOOKUP($A946,'BASE EQUIPO'!$A:$D,4)*H943)</f>
        <v/>
      </c>
      <c r="H946" s="60" t="str">
        <f>IF($A946=0,"",ROUND(F946*G946,2))</f>
        <v/>
      </c>
      <c r="I946" s="5"/>
    </row>
    <row r="947" spans="1:15" s="4" customFormat="1" ht="15.75" thickBot="1" x14ac:dyDescent="0.3">
      <c r="A947" s="103"/>
      <c r="B947" s="87" t="s">
        <v>1674</v>
      </c>
      <c r="C947" s="88"/>
      <c r="D947" s="89"/>
      <c r="E947" s="89"/>
      <c r="F947" s="89"/>
      <c r="G947" s="89"/>
      <c r="H947" s="90">
        <f>ROUND(SUM(H943:H946),2)</f>
        <v>0.05</v>
      </c>
      <c r="I947" s="5"/>
    </row>
    <row r="948" spans="1:15" s="4" customFormat="1" ht="15.75" x14ac:dyDescent="0.25">
      <c r="A948" s="103"/>
      <c r="B948" s="2"/>
      <c r="C948" s="2"/>
      <c r="D948" s="91" t="s">
        <v>1673</v>
      </c>
      <c r="E948" s="177"/>
      <c r="F948" s="177"/>
      <c r="G948" s="177"/>
      <c r="H948" s="92">
        <f>ROUND(SUM(H947,H941,H922,H912),2)</f>
        <v>6.93</v>
      </c>
      <c r="I948" s="5"/>
    </row>
    <row r="949" spans="1:15" s="4" customFormat="1" ht="15.75" x14ac:dyDescent="0.25">
      <c r="A949" s="103">
        <v>40002</v>
      </c>
      <c r="B949" s="2"/>
      <c r="C949" s="2"/>
      <c r="D949" s="93" t="s">
        <v>1672</v>
      </c>
      <c r="E949" s="166"/>
      <c r="F949" s="166"/>
      <c r="G949" s="178">
        <f>IF($A949=0,"",VLOOKUP($A949,'BASE MATERIAL'!$M:$P,4))</f>
        <v>0</v>
      </c>
      <c r="H949" s="95">
        <f>IF($A949=0,"",ROUND(G949*H948,2))</f>
        <v>0</v>
      </c>
      <c r="I949" s="5"/>
    </row>
    <row r="950" spans="1:15" s="4" customFormat="1" ht="15.75" x14ac:dyDescent="0.25">
      <c r="A950" s="103">
        <v>40003</v>
      </c>
      <c r="B950" s="2"/>
      <c r="C950" s="2"/>
      <c r="D950" s="93" t="s">
        <v>1671</v>
      </c>
      <c r="E950" s="166"/>
      <c r="F950" s="166"/>
      <c r="G950" s="178">
        <f>IF($A950=0,"",VLOOKUP($A950,'BASE MATERIAL'!$M:$P,4))</f>
        <v>0</v>
      </c>
      <c r="H950" s="95">
        <f>IF($A950=0,"",ROUND(G950*H948,2))</f>
        <v>0</v>
      </c>
      <c r="I950" s="5"/>
    </row>
    <row r="951" spans="1:15" s="4" customFormat="1" ht="15.75" x14ac:dyDescent="0.25">
      <c r="A951" s="103"/>
      <c r="B951" s="2"/>
      <c r="C951" s="2"/>
      <c r="D951" s="93" t="s">
        <v>1670</v>
      </c>
      <c r="E951" s="166"/>
      <c r="F951" s="166"/>
      <c r="G951" s="166"/>
      <c r="H951" s="96">
        <f>ROUND(SUM(H948:H950),2)</f>
        <v>6.93</v>
      </c>
      <c r="I951" s="5"/>
    </row>
    <row r="952" spans="1:15" s="4" customFormat="1" ht="16.5" thickBot="1" x14ac:dyDescent="0.3">
      <c r="A952" s="103"/>
      <c r="B952" s="25"/>
      <c r="C952" s="5"/>
      <c r="D952" s="97" t="s">
        <v>1650</v>
      </c>
      <c r="E952" s="179"/>
      <c r="F952" s="179"/>
      <c r="G952" s="179"/>
      <c r="H952" s="98">
        <f>ROUND(H951,2)</f>
        <v>6.93</v>
      </c>
      <c r="I952" s="5"/>
    </row>
    <row r="953" spans="1:15" ht="15.75" x14ac:dyDescent="0.25">
      <c r="B953" s="34" t="s">
        <v>1701</v>
      </c>
      <c r="C953" s="5"/>
      <c r="D953" s="157" t="str">
        <f>'1.1'!$D$1</f>
        <v>ESPOL</v>
      </c>
      <c r="E953" s="2"/>
      <c r="F953" s="2"/>
      <c r="H953" s="2" t="s">
        <v>108</v>
      </c>
      <c r="I953" s="2"/>
      <c r="L953" s="40">
        <f>A957</f>
        <v>1</v>
      </c>
      <c r="M953" s="1" t="str">
        <f>C958</f>
        <v>Enlucido sobre losas de cubierta con malla electro soldada.</v>
      </c>
      <c r="N953" s="2" t="str">
        <f>H957</f>
        <v>m2</v>
      </c>
      <c r="O953" s="2">
        <f>H1008</f>
        <v>11.7</v>
      </c>
    </row>
    <row r="954" spans="1:15" s="4" customFormat="1" ht="15.75" x14ac:dyDescent="0.25">
      <c r="A954" s="103"/>
      <c r="B954" s="34" t="s">
        <v>1700</v>
      </c>
      <c r="C954" s="3">
        <f>'1.1'!$C$2</f>
        <v>0</v>
      </c>
      <c r="D954" s="5"/>
      <c r="E954" s="5"/>
      <c r="F954" s="5"/>
      <c r="G954" s="158" t="s">
        <v>1699</v>
      </c>
      <c r="H954" s="159"/>
      <c r="I954" s="5" t="s">
        <v>1698</v>
      </c>
    </row>
    <row r="955" spans="1:15" s="4" customFormat="1" ht="15.75" x14ac:dyDescent="0.25">
      <c r="A955" s="103"/>
      <c r="B955" s="34"/>
      <c r="C955" s="3">
        <f>'1.1'!$C$3</f>
        <v>0</v>
      </c>
      <c r="D955" s="5"/>
      <c r="E955" s="5"/>
      <c r="F955" s="5"/>
      <c r="G955" s="5"/>
      <c r="H955" s="5"/>
      <c r="I955" s="5"/>
    </row>
    <row r="956" spans="1:15" s="4" customFormat="1" ht="15.75" x14ac:dyDescent="0.25">
      <c r="A956" s="103"/>
      <c r="B956" s="34" t="s">
        <v>1697</v>
      </c>
      <c r="C956" s="3"/>
      <c r="D956" s="5"/>
      <c r="E956" s="5"/>
      <c r="F956" s="5"/>
      <c r="G956" s="5"/>
      <c r="H956" s="5"/>
      <c r="I956" s="5"/>
    </row>
    <row r="957" spans="1:15" x14ac:dyDescent="0.25">
      <c r="A957" s="104">
        <v>1</v>
      </c>
      <c r="B957" s="2" t="s">
        <v>1586</v>
      </c>
      <c r="C957" s="36" t="s">
        <v>1546</v>
      </c>
      <c r="D957" s="5"/>
      <c r="E957" s="4"/>
      <c r="F957" s="4"/>
      <c r="G957" s="5" t="s">
        <v>1696</v>
      </c>
      <c r="H957" s="157" t="s">
        <v>1520</v>
      </c>
      <c r="I957" s="2"/>
    </row>
    <row r="958" spans="1:15" s="4" customFormat="1" x14ac:dyDescent="0.25">
      <c r="A958" s="103"/>
      <c r="B958" s="1" t="s">
        <v>1585</v>
      </c>
      <c r="C958" s="36" t="s">
        <v>669</v>
      </c>
      <c r="D958" s="5"/>
      <c r="E958" s="5"/>
      <c r="F958" s="5"/>
      <c r="G958" s="5"/>
      <c r="H958" s="5"/>
      <c r="I958" s="5"/>
    </row>
    <row r="959" spans="1:15" ht="15.75" thickBot="1" x14ac:dyDescent="0.3">
      <c r="D959" s="2"/>
      <c r="E959" s="2"/>
      <c r="F959" s="2"/>
      <c r="G959" s="2"/>
      <c r="H959" s="2"/>
      <c r="I959" s="2"/>
    </row>
    <row r="960" spans="1:15" ht="15.75" thickBot="1" x14ac:dyDescent="0.3">
      <c r="B960" s="43" t="s">
        <v>1695</v>
      </c>
      <c r="C960" s="44"/>
      <c r="D960" s="44"/>
      <c r="E960" s="44"/>
      <c r="F960" s="44"/>
      <c r="G960" s="44"/>
      <c r="H960" s="45"/>
      <c r="I960" s="2"/>
    </row>
    <row r="961" spans="1:9" ht="25.5" x14ac:dyDescent="0.25">
      <c r="B961" s="46" t="s">
        <v>1409</v>
      </c>
      <c r="C961" s="47"/>
      <c r="D961" s="48" t="s">
        <v>1690</v>
      </c>
      <c r="E961" s="48" t="s">
        <v>1694</v>
      </c>
      <c r="F961" s="48" t="s">
        <v>1693</v>
      </c>
      <c r="G961" s="49" t="s">
        <v>1687</v>
      </c>
      <c r="H961" s="50" t="s">
        <v>1686</v>
      </c>
      <c r="I961" s="2"/>
    </row>
    <row r="962" spans="1:9" s="4" customFormat="1" x14ac:dyDescent="0.25">
      <c r="A962" s="103">
        <v>19015</v>
      </c>
      <c r="B962" s="51" t="str">
        <f>IF($A962=0,"",VLOOKUP($A962,'BASE EQUIPO'!$A:$D,2))</f>
        <v>HERRAMIENTA MENOR</v>
      </c>
      <c r="C962" s="52"/>
      <c r="D962" s="53">
        <v>1</v>
      </c>
      <c r="E962" s="53">
        <f>IF($A962=0,"",VLOOKUP($A962,'BASE EQUIPO'!$A:$D,4)*H978)</f>
        <v>0.1212</v>
      </c>
      <c r="F962" s="53">
        <f t="shared" ref="F962:F967" si="85">IF($A962=0,"",ROUND(D962*E962,2))</f>
        <v>0.12</v>
      </c>
      <c r="G962" s="105">
        <v>1</v>
      </c>
      <c r="H962" s="54">
        <f t="shared" ref="H962:H967" si="86">IF($A962=0,"",ROUND(G962*F962,2))</f>
        <v>0.12</v>
      </c>
      <c r="I962" s="5"/>
    </row>
    <row r="963" spans="1:9" s="4" customFormat="1" x14ac:dyDescent="0.25">
      <c r="A963" s="103">
        <v>19003</v>
      </c>
      <c r="B963" s="38" t="str">
        <f>IF($A963=0,"",VLOOKUP($A963,'BASE EQUIPO'!$A:$D,2))</f>
        <v>CONCRETERA</v>
      </c>
      <c r="C963" s="2"/>
      <c r="D963" s="55">
        <v>1</v>
      </c>
      <c r="E963" s="55">
        <f>IF($A963=0,"",VLOOKUP($A963,'BASE EQUIPO'!$A:$D,4))</f>
        <v>3.5</v>
      </c>
      <c r="F963" s="55">
        <f t="shared" si="85"/>
        <v>3.5</v>
      </c>
      <c r="G963" s="106">
        <f>+G972*0.5</f>
        <v>7.4999999999999997E-2</v>
      </c>
      <c r="H963" s="56">
        <f t="shared" si="86"/>
        <v>0.26</v>
      </c>
      <c r="I963" s="5"/>
    </row>
    <row r="964" spans="1:9" s="4" customFormat="1" x14ac:dyDescent="0.25">
      <c r="A964" s="103"/>
      <c r="B964" s="38" t="str">
        <f>IF($A964=0,"",VLOOKUP($A964,'BASE EQUIPO'!$A:$D,2))</f>
        <v/>
      </c>
      <c r="C964" s="2"/>
      <c r="D964" s="55"/>
      <c r="E964" s="55" t="str">
        <f>IF($A964=0,"",VLOOKUP($A964,'BASE EQUIPO'!$A:$D,4))</f>
        <v/>
      </c>
      <c r="F964" s="55" t="str">
        <f t="shared" si="85"/>
        <v/>
      </c>
      <c r="G964" s="106"/>
      <c r="H964" s="56" t="str">
        <f t="shared" si="86"/>
        <v/>
      </c>
      <c r="I964" s="5"/>
    </row>
    <row r="965" spans="1:9" s="4" customFormat="1" x14ac:dyDescent="0.25">
      <c r="A965" s="103"/>
      <c r="B965" s="38" t="str">
        <f>IF($A965=0,"",VLOOKUP($A965,'BASE EQUIPO'!$A:$D,2))</f>
        <v/>
      </c>
      <c r="C965" s="2"/>
      <c r="D965" s="55"/>
      <c r="E965" s="55" t="str">
        <f>IF($A965=0,"",VLOOKUP($A965,'BASE EQUIPO'!$A:$D,4))</f>
        <v/>
      </c>
      <c r="F965" s="55" t="str">
        <f t="shared" si="85"/>
        <v/>
      </c>
      <c r="G965" s="106"/>
      <c r="H965" s="56" t="str">
        <f t="shared" si="86"/>
        <v/>
      </c>
      <c r="I965" s="5"/>
    </row>
    <row r="966" spans="1:9" s="4" customFormat="1" x14ac:dyDescent="0.25">
      <c r="A966" s="103"/>
      <c r="B966" s="38" t="str">
        <f>IF($A966=0,"",VLOOKUP($A966,'BASE EQUIPO'!$A:$D,2))</f>
        <v/>
      </c>
      <c r="C966" s="2"/>
      <c r="D966" s="55"/>
      <c r="E966" s="55" t="str">
        <f>IF($A966=0,"",VLOOKUP($A966,'BASE EQUIPO'!$A:$D,4))</f>
        <v/>
      </c>
      <c r="F966" s="55" t="str">
        <f t="shared" si="85"/>
        <v/>
      </c>
      <c r="G966" s="106"/>
      <c r="H966" s="56" t="str">
        <f t="shared" si="86"/>
        <v/>
      </c>
      <c r="I966" s="5"/>
    </row>
    <row r="967" spans="1:9" s="4" customFormat="1" x14ac:dyDescent="0.25">
      <c r="A967" s="103"/>
      <c r="B967" s="57" t="str">
        <f>IF($A967=0,"",VLOOKUP($A967,'BASE EQUIPO'!$A:$D,2))</f>
        <v/>
      </c>
      <c r="C967" s="58"/>
      <c r="D967" s="59"/>
      <c r="E967" s="59" t="str">
        <f>IF($A967=0,"",VLOOKUP($A967,'BASE EQUIPO'!$A:$D,4))</f>
        <v/>
      </c>
      <c r="F967" s="59" t="str">
        <f t="shared" si="85"/>
        <v/>
      </c>
      <c r="G967" s="107"/>
      <c r="H967" s="60" t="str">
        <f t="shared" si="86"/>
        <v/>
      </c>
      <c r="I967" s="5"/>
    </row>
    <row r="968" spans="1:9" s="4" customFormat="1" x14ac:dyDescent="0.25">
      <c r="A968" s="103"/>
      <c r="B968" s="57" t="s">
        <v>1692</v>
      </c>
      <c r="C968" s="58"/>
      <c r="D968" s="61"/>
      <c r="E968" s="61"/>
      <c r="F968" s="61"/>
      <c r="G968" s="62"/>
      <c r="H968" s="60">
        <f>ROUND(SUM(H961:H967),2)</f>
        <v>0.38</v>
      </c>
      <c r="I968" s="5"/>
    </row>
    <row r="969" spans="1:9" s="4" customFormat="1" x14ac:dyDescent="0.25">
      <c r="A969" s="103"/>
      <c r="B969" s="38" t="s">
        <v>1503</v>
      </c>
      <c r="C969" s="2"/>
      <c r="D969" s="3"/>
      <c r="E969" s="3"/>
      <c r="F969" s="3"/>
      <c r="G969" s="63"/>
      <c r="H969" s="56"/>
      <c r="I969" s="5"/>
    </row>
    <row r="970" spans="1:9" ht="25.5" x14ac:dyDescent="0.25">
      <c r="B970" s="64" t="s">
        <v>1691</v>
      </c>
      <c r="C970" s="65"/>
      <c r="D970" s="66" t="s">
        <v>1690</v>
      </c>
      <c r="E970" s="66" t="s">
        <v>1689</v>
      </c>
      <c r="F970" s="66" t="s">
        <v>1688</v>
      </c>
      <c r="G970" s="67" t="s">
        <v>1687</v>
      </c>
      <c r="H970" s="68" t="s">
        <v>1686</v>
      </c>
      <c r="I970" s="2"/>
    </row>
    <row r="971" spans="1:9" s="4" customFormat="1" x14ac:dyDescent="0.25">
      <c r="A971" s="103">
        <v>20001</v>
      </c>
      <c r="B971" s="69" t="str">
        <f>IF($A971=0,"",VLOOKUP($A971,'BASE M-OBRA'!$A:$D,2))</f>
        <v>MAESTRO</v>
      </c>
      <c r="C971" s="2"/>
      <c r="D971" s="108">
        <v>1</v>
      </c>
      <c r="E971" s="70">
        <f>IF($A971=0,"",VLOOKUP($A971,'BASE M-OBRA'!$A:$D,4))</f>
        <v>3.02</v>
      </c>
      <c r="F971" s="55">
        <f t="shared" ref="F971:F977" si="87">IF($A971=0,"",ROUND(D971*E971,2))</f>
        <v>3.02</v>
      </c>
      <c r="G971" s="106">
        <f>IF($A971=0,"",ROUND(H971/F971,2))</f>
        <v>0.22</v>
      </c>
      <c r="H971" s="56">
        <f>IF($A971=0,"",ROUND(SUM(H972:H977)*'BASE M-OBRA'!$D$23,2))</f>
        <v>0.67</v>
      </c>
      <c r="I971" s="5"/>
    </row>
    <row r="972" spans="1:9" s="4" customFormat="1" x14ac:dyDescent="0.25">
      <c r="A972" s="103">
        <v>20002</v>
      </c>
      <c r="B972" s="69" t="str">
        <f>IF($A972=0,"",VLOOKUP($A972,'BASE M-OBRA'!$A:$D,2))</f>
        <v>PEON</v>
      </c>
      <c r="C972" s="2"/>
      <c r="D972" s="108">
        <v>4</v>
      </c>
      <c r="E972" s="70">
        <f>IF($A972=0,"",VLOOKUP($A972,'BASE M-OBRA'!$A:$D,4))</f>
        <v>2.79</v>
      </c>
      <c r="F972" s="55">
        <f t="shared" si="87"/>
        <v>11.16</v>
      </c>
      <c r="G972" s="106">
        <v>0.15</v>
      </c>
      <c r="H972" s="56">
        <f t="shared" ref="H972:H977" si="88">IF($A972=0,"",ROUND(G972*F972,2))</f>
        <v>1.67</v>
      </c>
      <c r="I972" s="5"/>
    </row>
    <row r="973" spans="1:9" s="4" customFormat="1" x14ac:dyDescent="0.25">
      <c r="A973" s="103">
        <v>20003</v>
      </c>
      <c r="B973" s="69" t="str">
        <f>IF($A973=0,"",VLOOKUP($A973,'BASE M-OBRA'!$A:$D,2))</f>
        <v>ALBAÑIL</v>
      </c>
      <c r="C973" s="2"/>
      <c r="D973" s="108">
        <v>2</v>
      </c>
      <c r="E973" s="70">
        <f>IF($A973=0,"",VLOOKUP($A973,'BASE M-OBRA'!$A:$D,4))</f>
        <v>2.82</v>
      </c>
      <c r="F973" s="55">
        <f t="shared" si="87"/>
        <v>5.64</v>
      </c>
      <c r="G973" s="106">
        <f>+G972</f>
        <v>0.15</v>
      </c>
      <c r="H973" s="56">
        <f t="shared" si="88"/>
        <v>0.85</v>
      </c>
      <c r="I973" s="5"/>
    </row>
    <row r="974" spans="1:9" s="4" customFormat="1" x14ac:dyDescent="0.25">
      <c r="A974" s="103">
        <v>20004</v>
      </c>
      <c r="B974" s="71" t="str">
        <f>IF($A974=0,"",VLOOKUP($A974,'BASE M-OBRA'!$A:$D,2))</f>
        <v>CARPINTERO</v>
      </c>
      <c r="C974" s="2"/>
      <c r="D974" s="108">
        <v>2</v>
      </c>
      <c r="E974" s="70">
        <f>IF($A974=0,"",VLOOKUP($A974,'BASE M-OBRA'!$A:$D,4))</f>
        <v>2.82</v>
      </c>
      <c r="F974" s="55">
        <f t="shared" si="87"/>
        <v>5.64</v>
      </c>
      <c r="G974" s="106">
        <f>+G973</f>
        <v>0.15</v>
      </c>
      <c r="H974" s="56">
        <f t="shared" si="88"/>
        <v>0.85</v>
      </c>
      <c r="I974" s="5"/>
    </row>
    <row r="975" spans="1:9" s="4" customFormat="1" x14ac:dyDescent="0.25">
      <c r="A975" s="103"/>
      <c r="B975" s="72" t="str">
        <f>IF($A975=0,"",VLOOKUP($A975,'BASE M-OBRA'!$A:$D,2))</f>
        <v/>
      </c>
      <c r="C975" s="2"/>
      <c r="D975" s="108"/>
      <c r="E975" s="70" t="str">
        <f>IF($A975=0,"",VLOOKUP($A975,'BASE M-OBRA'!$A:$D,4))</f>
        <v/>
      </c>
      <c r="F975" s="55" t="str">
        <f t="shared" si="87"/>
        <v/>
      </c>
      <c r="G975" s="106"/>
      <c r="H975" s="56" t="str">
        <f t="shared" si="88"/>
        <v/>
      </c>
      <c r="I975" s="5"/>
    </row>
    <row r="976" spans="1:9" s="4" customFormat="1" x14ac:dyDescent="0.25">
      <c r="A976" s="103"/>
      <c r="B976" s="38" t="str">
        <f>IF($A976=0,"",VLOOKUP($A976,'BASE M-OBRA'!$A:$D,2))</f>
        <v/>
      </c>
      <c r="C976" s="2"/>
      <c r="D976" s="55"/>
      <c r="E976" s="55" t="str">
        <f>IF($A976=0,"",VLOOKUP($A976,'BASE M-OBRA'!$A:$D,4))</f>
        <v/>
      </c>
      <c r="F976" s="55" t="str">
        <f t="shared" si="87"/>
        <v/>
      </c>
      <c r="G976" s="106"/>
      <c r="H976" s="56" t="str">
        <f t="shared" si="88"/>
        <v/>
      </c>
      <c r="I976" s="5"/>
    </row>
    <row r="977" spans="1:16" s="4" customFormat="1" x14ac:dyDescent="0.25">
      <c r="A977" s="103"/>
      <c r="B977" s="57" t="str">
        <f>IF($A977=0,"",VLOOKUP($A977,'BASE M-OBRA'!$A:$D,2))</f>
        <v/>
      </c>
      <c r="C977" s="58"/>
      <c r="D977" s="59"/>
      <c r="E977" s="59" t="str">
        <f>IF($A977=0,"",VLOOKUP($A977,'BASE M-OBRA'!$A:$D,4))</f>
        <v/>
      </c>
      <c r="F977" s="59" t="str">
        <f t="shared" si="87"/>
        <v/>
      </c>
      <c r="G977" s="107"/>
      <c r="H977" s="60" t="str">
        <f t="shared" si="88"/>
        <v/>
      </c>
      <c r="I977" s="5"/>
    </row>
    <row r="978" spans="1:16" s="4" customFormat="1" x14ac:dyDescent="0.25">
      <c r="A978" s="103"/>
      <c r="B978" s="73" t="s">
        <v>1685</v>
      </c>
      <c r="C978" s="65"/>
      <c r="D978" s="74"/>
      <c r="E978" s="74"/>
      <c r="F978" s="74"/>
      <c r="G978" s="74"/>
      <c r="H978" s="75">
        <f>ROUND(SUM(H970:H977),2)</f>
        <v>4.04</v>
      </c>
      <c r="I978" s="5"/>
    </row>
    <row r="979" spans="1:16" s="4" customFormat="1" x14ac:dyDescent="0.25">
      <c r="A979" s="103"/>
      <c r="B979" s="38" t="s">
        <v>1684</v>
      </c>
      <c r="C979" s="2"/>
      <c r="D979" s="3"/>
      <c r="E979" s="3"/>
      <c r="F979" s="3"/>
      <c r="G979" s="3"/>
      <c r="H979" s="56"/>
      <c r="I979" s="5"/>
    </row>
    <row r="980" spans="1:16" ht="25.5" x14ac:dyDescent="0.25">
      <c r="B980" s="64" t="s">
        <v>1409</v>
      </c>
      <c r="C980" s="65"/>
      <c r="D980" s="76"/>
      <c r="E980" s="66" t="s">
        <v>1408</v>
      </c>
      <c r="F980" s="66" t="s">
        <v>1679</v>
      </c>
      <c r="G980" s="66" t="s">
        <v>1683</v>
      </c>
      <c r="H980" s="68" t="s">
        <v>1675</v>
      </c>
      <c r="I980" s="2"/>
    </row>
    <row r="981" spans="1:16" x14ac:dyDescent="0.25">
      <c r="A981" s="103">
        <v>11010</v>
      </c>
      <c r="B981" s="37" t="str">
        <f>IF($A981=0,"",VLOOKUP($A981,'BASE MATERIAL'!$A:$D,2))</f>
        <v>TIRA</v>
      </c>
      <c r="C981" s="5"/>
      <c r="D981" s="6"/>
      <c r="E981" s="162" t="str">
        <f>IF($A981=0,"",VLOOKUP($A981,'BASE MATERIAL'!$A:$D,3))</f>
        <v>U</v>
      </c>
      <c r="F981" s="163">
        <v>0.5</v>
      </c>
      <c r="G981" s="163">
        <f>IF($A981=0,"",VLOOKUP($A981,'BASE MATERIAL'!$A:$D,4))</f>
        <v>1.5</v>
      </c>
      <c r="H981" s="164">
        <f t="shared" ref="H981:H995" si="89">IF($A981=0,"",ROUND(F981*G981,2))</f>
        <v>0.75</v>
      </c>
      <c r="I981" s="2"/>
      <c r="L981" s="2"/>
      <c r="M981" s="2"/>
      <c r="N981" s="39"/>
      <c r="O981" s="2"/>
      <c r="P981" s="2"/>
    </row>
    <row r="982" spans="1:16" s="4" customFormat="1" x14ac:dyDescent="0.25">
      <c r="A982" s="103">
        <v>11007</v>
      </c>
      <c r="B982" s="38" t="str">
        <f>IF($A982=0,"",VLOOKUP($A982,'BASE MATERIAL'!$A:$D,2))</f>
        <v>CLAVO 2 1/2"</v>
      </c>
      <c r="C982" s="2"/>
      <c r="D982" s="77"/>
      <c r="E982" s="78" t="str">
        <f>IF($A982=0,"",VLOOKUP($A982,'BASE MATERIAL'!$A:$D,3))</f>
        <v>KG</v>
      </c>
      <c r="F982" s="55">
        <v>0.15</v>
      </c>
      <c r="G982" s="55">
        <f>IF($A982=0,"",VLOOKUP($A982,'BASE MATERIAL'!$A:$D,4))</f>
        <v>2.6520000000000001</v>
      </c>
      <c r="H982" s="56">
        <f t="shared" si="89"/>
        <v>0.4</v>
      </c>
      <c r="I982" s="5"/>
      <c r="L982" s="5"/>
      <c r="M982" s="5"/>
      <c r="N982" s="160"/>
      <c r="O982" s="5"/>
      <c r="P982" s="5"/>
    </row>
    <row r="983" spans="1:16" s="4" customFormat="1" x14ac:dyDescent="0.25">
      <c r="A983" s="103">
        <v>4001</v>
      </c>
      <c r="B983" s="38" t="str">
        <f>IF($A983=0,"",VLOOKUP($A983,'BASE MATERIAL'!$A:$D,2))</f>
        <v>CEMENTO</v>
      </c>
      <c r="C983" s="2"/>
      <c r="D983" s="77"/>
      <c r="E983" s="78" t="str">
        <f>IF($A983=0,"",VLOOKUP($A983,'BASE MATERIAL'!$A:$D,3))</f>
        <v>SACO</v>
      </c>
      <c r="F983" s="55">
        <f>6*0.04</f>
        <v>0.24</v>
      </c>
      <c r="G983" s="55">
        <f>IF($A983=0,"",VLOOKUP($A983,'BASE MATERIAL'!$A:$D,4))</f>
        <v>7.09</v>
      </c>
      <c r="H983" s="56">
        <f t="shared" si="89"/>
        <v>1.7</v>
      </c>
      <c r="I983" s="5"/>
      <c r="L983" s="5"/>
      <c r="M983" s="5"/>
      <c r="N983" s="160"/>
      <c r="O983" s="5"/>
      <c r="P983" s="5"/>
    </row>
    <row r="984" spans="1:16" s="4" customFormat="1" x14ac:dyDescent="0.25">
      <c r="A984" s="103">
        <v>5004</v>
      </c>
      <c r="B984" s="38" t="str">
        <f>IF($A984=0,"",VLOOKUP($A984,'BASE MATERIAL'!$A:$D,2))</f>
        <v>ARENA</v>
      </c>
      <c r="C984" s="2"/>
      <c r="D984" s="77"/>
      <c r="E984" s="78" t="str">
        <f>IF($A984=0,"",VLOOKUP($A984,'BASE MATERIAL'!$A:$D,3))</f>
        <v>M3</v>
      </c>
      <c r="F984" s="55">
        <f>ROUND(F983*0.032*3,2)</f>
        <v>0.02</v>
      </c>
      <c r="G984" s="55">
        <f>IF($A984=0,"",VLOOKUP($A984,'BASE MATERIAL'!$A:$D,4))</f>
        <v>12.276249999999999</v>
      </c>
      <c r="H984" s="56">
        <f t="shared" si="89"/>
        <v>0.25</v>
      </c>
      <c r="I984" s="5"/>
      <c r="L984" s="5"/>
      <c r="M984" s="5"/>
      <c r="N984" s="160"/>
      <c r="O984" s="5"/>
      <c r="P984" s="5"/>
    </row>
    <row r="985" spans="1:16" s="4" customFormat="1" x14ac:dyDescent="0.25">
      <c r="A985" s="103">
        <v>5002</v>
      </c>
      <c r="B985" s="38" t="str">
        <f>IF($A985=0,"",VLOOKUP($A985,'BASE MATERIAL'!$A:$D,2))</f>
        <v>PIEDRA 3-4</v>
      </c>
      <c r="C985" s="2"/>
      <c r="D985" s="77"/>
      <c r="E985" s="78" t="str">
        <f>IF($A985=0,"",VLOOKUP($A985,'BASE MATERIAL'!$A:$D,3))</f>
        <v>M3</v>
      </c>
      <c r="F985" s="55">
        <f>ROUND(F983*0.032*4,2)</f>
        <v>0.03</v>
      </c>
      <c r="G985" s="55">
        <f>IF($A985=0,"",VLOOKUP($A985,'BASE MATERIAL'!$A:$D,4))</f>
        <v>13.75</v>
      </c>
      <c r="H985" s="56">
        <f t="shared" si="89"/>
        <v>0.41</v>
      </c>
      <c r="I985" s="5"/>
      <c r="L985" s="5"/>
      <c r="M985" s="5"/>
      <c r="N985" s="160"/>
      <c r="O985" s="5"/>
      <c r="P985" s="5"/>
    </row>
    <row r="986" spans="1:16" s="4" customFormat="1" x14ac:dyDescent="0.25">
      <c r="A986" s="103">
        <v>5005</v>
      </c>
      <c r="B986" s="38" t="str">
        <f>IF($A986=0,"",VLOOKUP($A986,'BASE MATERIAL'!$A:$D,2))</f>
        <v>AGUA</v>
      </c>
      <c r="C986" s="2"/>
      <c r="D986" s="77"/>
      <c r="E986" s="78" t="str">
        <f>IF($A986=0,"",VLOOKUP($A986,'BASE MATERIAL'!$A:$D,3))</f>
        <v>LT</v>
      </c>
      <c r="F986" s="55">
        <f>26*F983</f>
        <v>6.24</v>
      </c>
      <c r="G986" s="80">
        <f>IF($A986=0,"",VLOOKUP($A986,'BASE MATERIAL'!$A:$D,4))</f>
        <v>2E-3</v>
      </c>
      <c r="H986" s="56">
        <f t="shared" si="89"/>
        <v>0.01</v>
      </c>
      <c r="I986" s="5"/>
      <c r="L986" s="5"/>
      <c r="M986" s="5"/>
      <c r="N986" s="160"/>
      <c r="O986" s="5"/>
      <c r="P986" s="5"/>
    </row>
    <row r="987" spans="1:16" s="4" customFormat="1" x14ac:dyDescent="0.25">
      <c r="A987" s="103">
        <v>14029</v>
      </c>
      <c r="B987" s="38" t="str">
        <f>IF($A987=0,"",VLOOKUP($A987,'BASE MATERIAL'!$A:$D,2))</f>
        <v>MALLA ELEC 5,5mm c/15cm</v>
      </c>
      <c r="C987" s="2"/>
      <c r="D987" s="77"/>
      <c r="E987" s="78" t="str">
        <f>IF($A987=0,"",VLOOKUP($A987,'BASE MATERIAL'!$A:$D,3))</f>
        <v>M2</v>
      </c>
      <c r="F987" s="55">
        <v>1</v>
      </c>
      <c r="G987" s="55">
        <f>IF($A987=0,"",VLOOKUP($A987,'BASE MATERIAL'!$A:$D,4))</f>
        <v>3.5481600000000006</v>
      </c>
      <c r="H987" s="56">
        <f t="shared" si="89"/>
        <v>3.55</v>
      </c>
      <c r="I987" s="5"/>
      <c r="L987" s="5"/>
      <c r="M987" s="5"/>
      <c r="N987" s="160"/>
      <c r="O987" s="5"/>
      <c r="P987" s="5"/>
    </row>
    <row r="988" spans="1:16" s="4" customFormat="1" x14ac:dyDescent="0.25">
      <c r="A988" s="103"/>
      <c r="B988" s="38" t="str">
        <f>IF($A988=0,"",VLOOKUP($A988,'BASE MATERIAL'!$A:$D,2))</f>
        <v/>
      </c>
      <c r="C988" s="2"/>
      <c r="D988" s="77"/>
      <c r="E988" s="78" t="str">
        <f>IF($A988=0,"",VLOOKUP($A988,'BASE MATERIAL'!$A:$D,3))</f>
        <v/>
      </c>
      <c r="F988" s="55"/>
      <c r="G988" s="55" t="str">
        <f>IF($A988=0,"",VLOOKUP($A988,'BASE MATERIAL'!$A:$D,4))</f>
        <v/>
      </c>
      <c r="H988" s="56" t="str">
        <f t="shared" si="89"/>
        <v/>
      </c>
      <c r="I988" s="5"/>
      <c r="L988" s="5"/>
      <c r="M988" s="5"/>
      <c r="N988" s="160"/>
      <c r="O988" s="5"/>
      <c r="P988" s="5"/>
    </row>
    <row r="989" spans="1:16" s="4" customFormat="1" x14ac:dyDescent="0.25">
      <c r="A989" s="103"/>
      <c r="B989" s="38" t="str">
        <f>IF($A989=0,"",VLOOKUP($A989,'BASE MATERIAL'!$A:$D,2))</f>
        <v/>
      </c>
      <c r="C989" s="2"/>
      <c r="D989" s="77"/>
      <c r="E989" s="78" t="str">
        <f>IF($A989=0,"",VLOOKUP($A989,'BASE MATERIAL'!$A:$D,3))</f>
        <v/>
      </c>
      <c r="F989" s="55"/>
      <c r="G989" s="55" t="str">
        <f>IF($A989=0,"",VLOOKUP($A989,'BASE MATERIAL'!$A:$D,4))</f>
        <v/>
      </c>
      <c r="H989" s="56" t="str">
        <f t="shared" si="89"/>
        <v/>
      </c>
      <c r="I989" s="5"/>
    </row>
    <row r="990" spans="1:16" s="4" customFormat="1" x14ac:dyDescent="0.25">
      <c r="A990" s="103"/>
      <c r="B990" s="38" t="str">
        <f>IF($A990=0,"",VLOOKUP($A990,'BASE MATERIAL'!$A:$D,2))</f>
        <v/>
      </c>
      <c r="C990" s="2"/>
      <c r="D990" s="77"/>
      <c r="E990" s="78" t="str">
        <f>IF($A990=0,"",VLOOKUP($A990,'BASE MATERIAL'!$A:$D,3))</f>
        <v/>
      </c>
      <c r="F990" s="55"/>
      <c r="G990" s="55" t="str">
        <f>IF($A990=0,"",VLOOKUP($A990,'BASE MATERIAL'!$A:$D,4))</f>
        <v/>
      </c>
      <c r="H990" s="56" t="str">
        <f t="shared" si="89"/>
        <v/>
      </c>
      <c r="I990" s="5"/>
      <c r="L990" s="5"/>
      <c r="M990" s="5"/>
      <c r="N990" s="160"/>
      <c r="O990" s="5"/>
      <c r="P990" s="5"/>
    </row>
    <row r="991" spans="1:16" s="4" customFormat="1" x14ac:dyDescent="0.25">
      <c r="A991" s="103"/>
      <c r="B991" s="38" t="str">
        <f>IF($A991=0,"",VLOOKUP($A991,'BASE MATERIAL'!$A:$D,2))</f>
        <v/>
      </c>
      <c r="C991" s="2"/>
      <c r="D991" s="77"/>
      <c r="E991" s="78" t="str">
        <f>IF($A991=0,"",VLOOKUP($A991,'BASE MATERIAL'!$A:$D,3))</f>
        <v/>
      </c>
      <c r="F991" s="55"/>
      <c r="G991" s="55" t="str">
        <f>IF($A991=0,"",VLOOKUP($A991,'BASE MATERIAL'!$A:$D,4))</f>
        <v/>
      </c>
      <c r="H991" s="56" t="str">
        <f t="shared" si="89"/>
        <v/>
      </c>
      <c r="I991" s="5"/>
      <c r="L991" s="5"/>
      <c r="M991" s="5"/>
      <c r="N991" s="160"/>
      <c r="O991" s="5"/>
      <c r="P991" s="5"/>
    </row>
    <row r="992" spans="1:16" s="4" customFormat="1" x14ac:dyDescent="0.25">
      <c r="A992" s="103"/>
      <c r="B992" s="38" t="str">
        <f>IF($A992=0,"",VLOOKUP($A992,'BASE MATERIAL'!$A:$D,2))</f>
        <v/>
      </c>
      <c r="C992" s="2"/>
      <c r="D992" s="77"/>
      <c r="E992" s="78" t="str">
        <f>IF($A992=0,"",VLOOKUP($A992,'BASE MATERIAL'!$A:$D,3))</f>
        <v/>
      </c>
      <c r="F992" s="55"/>
      <c r="G992" s="55" t="str">
        <f>IF($A992=0,"",VLOOKUP($A992,'BASE MATERIAL'!$A:$D,4))</f>
        <v/>
      </c>
      <c r="H992" s="56" t="str">
        <f t="shared" si="89"/>
        <v/>
      </c>
      <c r="I992" s="5"/>
    </row>
    <row r="993" spans="1:9" s="4" customFormat="1" x14ac:dyDescent="0.25">
      <c r="A993" s="103"/>
      <c r="B993" s="38" t="str">
        <f>IF($A993=0,"",VLOOKUP($A993,'BASE MATERIAL'!$A:$D,2))</f>
        <v/>
      </c>
      <c r="C993" s="2"/>
      <c r="D993" s="77"/>
      <c r="E993" s="78" t="str">
        <f>IF($A993=0,"",VLOOKUP($A993,'BASE MATERIAL'!$A:$D,3))</f>
        <v/>
      </c>
      <c r="F993" s="55"/>
      <c r="G993" s="55" t="str">
        <f>IF($A993=0,"",VLOOKUP($A993,'BASE MATERIAL'!$A:$D,4))</f>
        <v/>
      </c>
      <c r="H993" s="56" t="str">
        <f t="shared" si="89"/>
        <v/>
      </c>
      <c r="I993" s="5"/>
    </row>
    <row r="994" spans="1:9" s="4" customFormat="1" x14ac:dyDescent="0.25">
      <c r="A994" s="103"/>
      <c r="B994" s="38" t="str">
        <f>IF($A994=0,"",VLOOKUP($A994,'BASE MATERIAL'!$A:$D,2))</f>
        <v/>
      </c>
      <c r="C994" s="2"/>
      <c r="D994" s="77"/>
      <c r="E994" s="78" t="str">
        <f>IF($A994=0,"",VLOOKUP($A994,'BASE MATERIAL'!$A:$D,3))</f>
        <v/>
      </c>
      <c r="F994" s="55"/>
      <c r="G994" s="55" t="str">
        <f>IF($A994=0,"",VLOOKUP($A994,'BASE MATERIAL'!$A:$D,4))</f>
        <v/>
      </c>
      <c r="H994" s="56" t="str">
        <f t="shared" si="89"/>
        <v/>
      </c>
      <c r="I994" s="5"/>
    </row>
    <row r="995" spans="1:9" s="4" customFormat="1" x14ac:dyDescent="0.25">
      <c r="A995" s="103"/>
      <c r="B995" s="38" t="str">
        <f>IF($A995=0,"",VLOOKUP($A995,'BASE MATERIAL'!$A:$D,2))</f>
        <v/>
      </c>
      <c r="C995" s="2"/>
      <c r="D995" s="77"/>
      <c r="E995" s="78" t="str">
        <f>IF($A995=0,"",VLOOKUP($A995,'BASE MATERIAL'!$A:$D,3))</f>
        <v/>
      </c>
      <c r="F995" s="55"/>
      <c r="G995" s="55" t="str">
        <f>IF($A995=0,"",VLOOKUP($A995,'BASE MATERIAL'!$A:$D,4))</f>
        <v/>
      </c>
      <c r="H995" s="56" t="str">
        <f t="shared" si="89"/>
        <v/>
      </c>
      <c r="I995" s="5"/>
    </row>
    <row r="996" spans="1:9" s="4" customFormat="1" x14ac:dyDescent="0.25">
      <c r="A996" s="103"/>
      <c r="B996" s="38" t="str">
        <f>IF($A996=0,"",VLOOKUP($A996,'BASE MATERIAL'!$A:$D,2))</f>
        <v/>
      </c>
      <c r="C996" s="2"/>
      <c r="D996" s="81" t="s">
        <v>1682</v>
      </c>
      <c r="E996" s="55" t="str">
        <f>IF($A996=0,"",VLOOKUP($A996,'BASE MATERIAL'!$A:$D,3))</f>
        <v/>
      </c>
      <c r="F996" s="55" t="s">
        <v>1682</v>
      </c>
      <c r="G996" s="55" t="str">
        <f>IF($A996=0,"",VLOOKUP($A996,'BASE MATERIAL'!$A:$D,4))</f>
        <v/>
      </c>
      <c r="H996" s="56" t="str">
        <f>IF($A996=0,"",ROUND(E996*F996,2))</f>
        <v/>
      </c>
      <c r="I996" s="5"/>
    </row>
    <row r="997" spans="1:9" s="4" customFormat="1" x14ac:dyDescent="0.25">
      <c r="A997" s="103"/>
      <c r="B997" s="73" t="s">
        <v>1681</v>
      </c>
      <c r="C997" s="65"/>
      <c r="D997" s="74"/>
      <c r="E997" s="74"/>
      <c r="F997" s="74"/>
      <c r="G997" s="74"/>
      <c r="H997" s="75">
        <f>ROUND(SUM(H980:H996),2)</f>
        <v>7.07</v>
      </c>
      <c r="I997" s="5"/>
    </row>
    <row r="998" spans="1:9" s="4" customFormat="1" x14ac:dyDescent="0.25">
      <c r="A998" s="103"/>
      <c r="B998" s="38" t="s">
        <v>1680</v>
      </c>
      <c r="C998" s="2"/>
      <c r="D998" s="3"/>
      <c r="E998" s="3"/>
      <c r="F998" s="3"/>
      <c r="G998" s="3"/>
      <c r="H998" s="56"/>
      <c r="I998" s="5"/>
    </row>
    <row r="999" spans="1:9" ht="25.5" x14ac:dyDescent="0.25">
      <c r="B999" s="64" t="s">
        <v>1409</v>
      </c>
      <c r="C999" s="65"/>
      <c r="D999" s="76"/>
      <c r="E999" s="66" t="s">
        <v>1408</v>
      </c>
      <c r="F999" s="66" t="s">
        <v>1679</v>
      </c>
      <c r="G999" s="66" t="s">
        <v>1676</v>
      </c>
      <c r="H999" s="68" t="s">
        <v>1675</v>
      </c>
      <c r="I999" s="2"/>
    </row>
    <row r="1000" spans="1:9" s="4" customFormat="1" x14ac:dyDescent="0.25">
      <c r="A1000" s="103">
        <v>19019</v>
      </c>
      <c r="B1000" s="51" t="str">
        <f>IF($A1000=0,"",VLOOKUP($A1000,'BASE EQUIPO'!$A:$D,2))</f>
        <v>TRANSPORTE DE MATERIAL</v>
      </c>
      <c r="C1000" s="52"/>
      <c r="D1000" s="82"/>
      <c r="E1000" s="78" t="str">
        <f>IF($A1000=0,"",VLOOKUP($A1000,'BASE EQUIPO'!$A:$D,3))</f>
        <v>GLOBAL</v>
      </c>
      <c r="F1000" s="55">
        <v>1</v>
      </c>
      <c r="G1000" s="83">
        <f>IF($A1000=0,"",VLOOKUP($A1000,'BASE EQUIPO'!$A:$D,4)*H997)</f>
        <v>0.21210000000000001</v>
      </c>
      <c r="H1000" s="56">
        <f>IF($A1000=0,"",ROUND(F1000*G1000,2))</f>
        <v>0.21</v>
      </c>
      <c r="I1000" s="5"/>
    </row>
    <row r="1001" spans="1:9" s="4" customFormat="1" x14ac:dyDescent="0.25">
      <c r="A1001" s="103"/>
      <c r="B1001" s="38" t="str">
        <f>IF($A1001=0,"",VLOOKUP($A1001,'BASE EQUIPO'!$A:$D,2))</f>
        <v/>
      </c>
      <c r="C1001" s="2"/>
      <c r="D1001" s="84"/>
      <c r="E1001" s="78" t="str">
        <f>IF($A1001=0,"",VLOOKUP($A1001,'BASE EQUIPO'!$A:$D,3))</f>
        <v/>
      </c>
      <c r="F1001" s="55"/>
      <c r="G1001" s="55" t="str">
        <f>IF($A1001=0,"",VLOOKUP($A1001,'BASE EQUIPO'!$A:$D,4)*H998)</f>
        <v/>
      </c>
      <c r="H1001" s="56" t="str">
        <f>IF($A1001=0,"",ROUND(F1001*G1001,2))</f>
        <v/>
      </c>
      <c r="I1001" s="5"/>
    </row>
    <row r="1002" spans="1:9" s="4" customFormat="1" x14ac:dyDescent="0.25">
      <c r="A1002" s="103"/>
      <c r="B1002" s="57" t="str">
        <f>IF($A1002=0,"",VLOOKUP($A1002,'BASE EQUIPO'!$A:$D,2))</f>
        <v/>
      </c>
      <c r="C1002" s="58"/>
      <c r="D1002" s="85"/>
      <c r="E1002" s="86" t="str">
        <f>IF($A1002=0,"",VLOOKUP($A1002,'BASE EQUIPO'!$A:$D,3))</f>
        <v/>
      </c>
      <c r="F1002" s="59"/>
      <c r="G1002" s="59" t="str">
        <f>IF($A1002=0,"",VLOOKUP($A1002,'BASE EQUIPO'!$A:$D,4)*H999)</f>
        <v/>
      </c>
      <c r="H1002" s="60" t="str">
        <f>IF($A1002=0,"",ROUND(F1002*G1002,2))</f>
        <v/>
      </c>
      <c r="I1002" s="5"/>
    </row>
    <row r="1003" spans="1:9" s="4" customFormat="1" ht="15.75" thickBot="1" x14ac:dyDescent="0.3">
      <c r="A1003" s="103"/>
      <c r="B1003" s="87" t="s">
        <v>1674</v>
      </c>
      <c r="C1003" s="88"/>
      <c r="D1003" s="89"/>
      <c r="E1003" s="89"/>
      <c r="F1003" s="89"/>
      <c r="G1003" s="89"/>
      <c r="H1003" s="90">
        <f>ROUND(SUM(H999:H1002),2)</f>
        <v>0.21</v>
      </c>
      <c r="I1003" s="5"/>
    </row>
    <row r="1004" spans="1:9" s="4" customFormat="1" ht="15.75" x14ac:dyDescent="0.25">
      <c r="A1004" s="103"/>
      <c r="B1004" s="2"/>
      <c r="C1004" s="2"/>
      <c r="D1004" s="91" t="s">
        <v>1673</v>
      </c>
      <c r="E1004" s="177"/>
      <c r="F1004" s="177"/>
      <c r="G1004" s="177"/>
      <c r="H1004" s="92">
        <f>ROUND(SUM(H1003,H997,H978,H968),2)</f>
        <v>11.7</v>
      </c>
      <c r="I1004" s="5"/>
    </row>
    <row r="1005" spans="1:9" s="4" customFormat="1" ht="15.75" x14ac:dyDescent="0.25">
      <c r="A1005" s="103">
        <v>40002</v>
      </c>
      <c r="B1005" s="2"/>
      <c r="C1005" s="2"/>
      <c r="D1005" s="93" t="s">
        <v>1672</v>
      </c>
      <c r="E1005" s="166"/>
      <c r="F1005" s="166"/>
      <c r="G1005" s="178">
        <f>IF($A1005=0,"",VLOOKUP($A1005,'BASE MATERIAL'!$M:$P,4))</f>
        <v>0</v>
      </c>
      <c r="H1005" s="95">
        <f>IF($A1005=0,"",ROUND(G1005*H1004,2))</f>
        <v>0</v>
      </c>
      <c r="I1005" s="5"/>
    </row>
    <row r="1006" spans="1:9" s="4" customFormat="1" ht="15.75" x14ac:dyDescent="0.25">
      <c r="A1006" s="103">
        <v>40003</v>
      </c>
      <c r="B1006" s="2"/>
      <c r="C1006" s="2"/>
      <c r="D1006" s="93" t="s">
        <v>1671</v>
      </c>
      <c r="E1006" s="166"/>
      <c r="F1006" s="166"/>
      <c r="G1006" s="178">
        <f>IF($A1006=0,"",VLOOKUP($A1006,'BASE MATERIAL'!$M:$P,4))</f>
        <v>0</v>
      </c>
      <c r="H1006" s="95">
        <f>IF($A1006=0,"",ROUND(G1006*H1004,2))</f>
        <v>0</v>
      </c>
      <c r="I1006" s="5"/>
    </row>
    <row r="1007" spans="1:9" s="4" customFormat="1" ht="15.75" x14ac:dyDescent="0.25">
      <c r="A1007" s="103"/>
      <c r="B1007" s="2"/>
      <c r="C1007" s="2"/>
      <c r="D1007" s="93" t="s">
        <v>1670</v>
      </c>
      <c r="E1007" s="166"/>
      <c r="F1007" s="166"/>
      <c r="G1007" s="166"/>
      <c r="H1007" s="96">
        <f>ROUND(SUM(H1004:H1006),2)</f>
        <v>11.7</v>
      </c>
      <c r="I1007" s="5"/>
    </row>
    <row r="1008" spans="1:9" s="4" customFormat="1" ht="16.5" thickBot="1" x14ac:dyDescent="0.3">
      <c r="A1008" s="103"/>
      <c r="B1008" s="25"/>
      <c r="C1008" s="5"/>
      <c r="D1008" s="97" t="s">
        <v>1650</v>
      </c>
      <c r="E1008" s="179"/>
      <c r="F1008" s="179"/>
      <c r="G1008" s="179"/>
      <c r="H1008" s="98">
        <f>ROUND(H1007,2)</f>
        <v>11.7</v>
      </c>
      <c r="I1008" s="5"/>
    </row>
    <row r="1009" spans="1:15" ht="15.75" x14ac:dyDescent="0.25">
      <c r="B1009" s="34" t="s">
        <v>1701</v>
      </c>
      <c r="C1009" s="5"/>
      <c r="D1009" s="157" t="str">
        <f>$D$113</f>
        <v>ESPOL</v>
      </c>
      <c r="E1009" s="2"/>
      <c r="F1009" s="2"/>
      <c r="H1009" s="2" t="s">
        <v>108</v>
      </c>
      <c r="I1009" s="2"/>
      <c r="L1009" s="40">
        <f>A1013</f>
        <v>12</v>
      </c>
      <c r="M1009" s="1" t="str">
        <f>C1014</f>
        <v>Enlucido de pisos</v>
      </c>
      <c r="N1009" s="2" t="str">
        <f>H1013</f>
        <v>m2</v>
      </c>
      <c r="O1009" s="2">
        <f>H1064</f>
        <v>5.6</v>
      </c>
    </row>
    <row r="1010" spans="1:15" s="4" customFormat="1" ht="15.75" x14ac:dyDescent="0.25">
      <c r="A1010" s="103"/>
      <c r="B1010" s="34" t="s">
        <v>1700</v>
      </c>
      <c r="C1010" s="3">
        <f>'1.1'!$C$2</f>
        <v>0</v>
      </c>
      <c r="D1010" s="5"/>
      <c r="E1010" s="5"/>
      <c r="F1010" s="5"/>
      <c r="G1010" s="158" t="s">
        <v>1699</v>
      </c>
      <c r="H1010" s="159"/>
      <c r="I1010" s="5" t="s">
        <v>1698</v>
      </c>
    </row>
    <row r="1011" spans="1:15" s="4" customFormat="1" ht="15.75" x14ac:dyDescent="0.25">
      <c r="A1011" s="103"/>
      <c r="B1011" s="34"/>
      <c r="C1011" s="3">
        <f>'1.1'!$C$3</f>
        <v>0</v>
      </c>
      <c r="D1011" s="5"/>
      <c r="E1011" s="5"/>
      <c r="F1011" s="5"/>
      <c r="G1011" s="5"/>
      <c r="H1011" s="5"/>
      <c r="I1011" s="5"/>
    </row>
    <row r="1012" spans="1:15" s="4" customFormat="1" ht="15.75" x14ac:dyDescent="0.25">
      <c r="A1012" s="103"/>
      <c r="B1012" s="34" t="s">
        <v>1697</v>
      </c>
      <c r="C1012" s="3"/>
      <c r="D1012" s="5"/>
      <c r="E1012" s="5"/>
      <c r="F1012" s="5"/>
      <c r="G1012" s="5"/>
      <c r="H1012" s="5"/>
      <c r="I1012" s="5"/>
    </row>
    <row r="1013" spans="1:15" x14ac:dyDescent="0.25">
      <c r="A1013" s="104">
        <v>12</v>
      </c>
      <c r="B1013" s="2" t="s">
        <v>1586</v>
      </c>
      <c r="C1013" s="111" t="s">
        <v>1545</v>
      </c>
      <c r="D1013" s="5"/>
      <c r="E1013" s="4"/>
      <c r="F1013" s="4"/>
      <c r="G1013" s="5" t="s">
        <v>1696</v>
      </c>
      <c r="H1013" s="157" t="s">
        <v>1520</v>
      </c>
      <c r="I1013" s="2"/>
    </row>
    <row r="1014" spans="1:15" s="4" customFormat="1" x14ac:dyDescent="0.25">
      <c r="A1014" s="103"/>
      <c r="B1014" s="1" t="s">
        <v>1585</v>
      </c>
      <c r="C1014" s="36" t="s">
        <v>664</v>
      </c>
      <c r="D1014" s="5"/>
      <c r="E1014" s="5"/>
      <c r="F1014" s="5"/>
      <c r="G1014" s="5"/>
      <c r="H1014" s="5"/>
      <c r="I1014" s="5"/>
    </row>
    <row r="1015" spans="1:15" ht="15.75" thickBot="1" x14ac:dyDescent="0.3">
      <c r="D1015" s="2"/>
      <c r="E1015" s="2"/>
      <c r="F1015" s="2"/>
      <c r="G1015" s="2"/>
      <c r="H1015" s="2"/>
      <c r="I1015" s="2"/>
    </row>
    <row r="1016" spans="1:15" ht="15.75" thickBot="1" x14ac:dyDescent="0.3">
      <c r="B1016" s="43" t="s">
        <v>1695</v>
      </c>
      <c r="C1016" s="44"/>
      <c r="D1016" s="44"/>
      <c r="E1016" s="44"/>
      <c r="F1016" s="44"/>
      <c r="G1016" s="44"/>
      <c r="H1016" s="45"/>
      <c r="I1016" s="2"/>
    </row>
    <row r="1017" spans="1:15" ht="25.5" x14ac:dyDescent="0.25">
      <c r="B1017" s="46" t="s">
        <v>1409</v>
      </c>
      <c r="C1017" s="47"/>
      <c r="D1017" s="48" t="s">
        <v>1690</v>
      </c>
      <c r="E1017" s="48" t="s">
        <v>1694</v>
      </c>
      <c r="F1017" s="48" t="s">
        <v>1693</v>
      </c>
      <c r="G1017" s="49" t="s">
        <v>1687</v>
      </c>
      <c r="H1017" s="50" t="s">
        <v>1686</v>
      </c>
      <c r="I1017" s="2"/>
    </row>
    <row r="1018" spans="1:15" s="4" customFormat="1" x14ac:dyDescent="0.25">
      <c r="A1018" s="103">
        <v>19015</v>
      </c>
      <c r="B1018" s="51" t="str">
        <f>IF($A1018=0,"",VLOOKUP($A1018,'BASE EQUIPO'!$A:$D,2))</f>
        <v>HERRAMIENTA MENOR</v>
      </c>
      <c r="C1018" s="52"/>
      <c r="D1018" s="53">
        <v>1</v>
      </c>
      <c r="E1018" s="53">
        <f>IF($A1018=0,"",VLOOKUP($A1018,'BASE EQUIPO'!$A:$D,4)*H1034)</f>
        <v>0.12179999999999998</v>
      </c>
      <c r="F1018" s="53">
        <f t="shared" ref="F1018:F1023" si="90">IF($A1018=0,"",ROUND(D1018*E1018,2))</f>
        <v>0.12</v>
      </c>
      <c r="G1018" s="105">
        <v>1</v>
      </c>
      <c r="H1018" s="54">
        <f t="shared" ref="H1018:H1023" si="91">IF($A1018=0,"",ROUND(G1018*F1018,2))</f>
        <v>0.12</v>
      </c>
      <c r="I1018" s="5"/>
    </row>
    <row r="1019" spans="1:15" s="4" customFormat="1" x14ac:dyDescent="0.25">
      <c r="A1019" s="103"/>
      <c r="B1019" s="38" t="str">
        <f>IF($A1019=0,"",VLOOKUP($A1019,'BASE EQUIPO'!$A:$D,2))</f>
        <v/>
      </c>
      <c r="C1019" s="2"/>
      <c r="D1019" s="55"/>
      <c r="E1019" s="55" t="str">
        <f>IF($A1019=0,"",VLOOKUP($A1019,'BASE EQUIPO'!$A:$D,4))</f>
        <v/>
      </c>
      <c r="F1019" s="55" t="str">
        <f t="shared" si="90"/>
        <v/>
      </c>
      <c r="G1019" s="106"/>
      <c r="H1019" s="56" t="str">
        <f t="shared" si="91"/>
        <v/>
      </c>
      <c r="I1019" s="5"/>
    </row>
    <row r="1020" spans="1:15" s="4" customFormat="1" x14ac:dyDescent="0.25">
      <c r="A1020" s="103"/>
      <c r="B1020" s="38" t="str">
        <f>IF($A1020=0,"",VLOOKUP($A1020,'BASE EQUIPO'!$A:$D,2))</f>
        <v/>
      </c>
      <c r="C1020" s="2"/>
      <c r="D1020" s="55"/>
      <c r="E1020" s="55" t="str">
        <f>IF($A1020=0,"",VLOOKUP($A1020,'BASE EQUIPO'!$A:$D,4))</f>
        <v/>
      </c>
      <c r="F1020" s="55" t="str">
        <f t="shared" si="90"/>
        <v/>
      </c>
      <c r="G1020" s="106"/>
      <c r="H1020" s="56" t="str">
        <f t="shared" si="91"/>
        <v/>
      </c>
      <c r="I1020" s="5"/>
    </row>
    <row r="1021" spans="1:15" s="4" customFormat="1" x14ac:dyDescent="0.25">
      <c r="A1021" s="103"/>
      <c r="B1021" s="38" t="str">
        <f>IF($A1021=0,"",VLOOKUP($A1021,'BASE EQUIPO'!$A:$D,2))</f>
        <v/>
      </c>
      <c r="C1021" s="2"/>
      <c r="D1021" s="55"/>
      <c r="E1021" s="55" t="str">
        <f>IF($A1021=0,"",VLOOKUP($A1021,'BASE EQUIPO'!$A:$D,4))</f>
        <v/>
      </c>
      <c r="F1021" s="55" t="str">
        <f t="shared" si="90"/>
        <v/>
      </c>
      <c r="G1021" s="106"/>
      <c r="H1021" s="56" t="str">
        <f t="shared" si="91"/>
        <v/>
      </c>
      <c r="I1021" s="5"/>
    </row>
    <row r="1022" spans="1:15" s="4" customFormat="1" x14ac:dyDescent="0.25">
      <c r="A1022" s="103"/>
      <c r="B1022" s="38" t="str">
        <f>IF($A1022=0,"",VLOOKUP($A1022,'BASE EQUIPO'!$A:$D,2))</f>
        <v/>
      </c>
      <c r="C1022" s="2"/>
      <c r="D1022" s="55"/>
      <c r="E1022" s="55" t="str">
        <f>IF($A1022=0,"",VLOOKUP($A1022,'BASE EQUIPO'!$A:$D,4))</f>
        <v/>
      </c>
      <c r="F1022" s="55" t="str">
        <f t="shared" si="90"/>
        <v/>
      </c>
      <c r="G1022" s="106"/>
      <c r="H1022" s="56" t="str">
        <f t="shared" si="91"/>
        <v/>
      </c>
      <c r="I1022" s="5"/>
    </row>
    <row r="1023" spans="1:15" s="4" customFormat="1" x14ac:dyDescent="0.25">
      <c r="A1023" s="103"/>
      <c r="B1023" s="57" t="str">
        <f>IF($A1023=0,"",VLOOKUP($A1023,'BASE EQUIPO'!$A:$D,2))</f>
        <v/>
      </c>
      <c r="C1023" s="58"/>
      <c r="D1023" s="59"/>
      <c r="E1023" s="59" t="str">
        <f>IF($A1023=0,"",VLOOKUP($A1023,'BASE EQUIPO'!$A:$D,4))</f>
        <v/>
      </c>
      <c r="F1023" s="59" t="str">
        <f t="shared" si="90"/>
        <v/>
      </c>
      <c r="G1023" s="107"/>
      <c r="H1023" s="60" t="str">
        <f t="shared" si="91"/>
        <v/>
      </c>
      <c r="I1023" s="5"/>
    </row>
    <row r="1024" spans="1:15" s="4" customFormat="1" x14ac:dyDescent="0.25">
      <c r="A1024" s="103"/>
      <c r="B1024" s="57" t="s">
        <v>1692</v>
      </c>
      <c r="C1024" s="58"/>
      <c r="D1024" s="61"/>
      <c r="E1024" s="61"/>
      <c r="F1024" s="61"/>
      <c r="G1024" s="62"/>
      <c r="H1024" s="60">
        <f>ROUND(SUM(H1017:H1023),2)</f>
        <v>0.12</v>
      </c>
      <c r="I1024" s="5"/>
    </row>
    <row r="1025" spans="1:16" s="4" customFormat="1" x14ac:dyDescent="0.25">
      <c r="A1025" s="103"/>
      <c r="B1025" s="38" t="s">
        <v>1503</v>
      </c>
      <c r="C1025" s="2"/>
      <c r="D1025" s="3"/>
      <c r="E1025" s="3"/>
      <c r="F1025" s="3"/>
      <c r="G1025" s="63"/>
      <c r="H1025" s="56"/>
      <c r="I1025" s="5"/>
    </row>
    <row r="1026" spans="1:16" ht="25.5" x14ac:dyDescent="0.25">
      <c r="B1026" s="64" t="s">
        <v>1691</v>
      </c>
      <c r="C1026" s="65"/>
      <c r="D1026" s="66" t="s">
        <v>1690</v>
      </c>
      <c r="E1026" s="66" t="s">
        <v>1689</v>
      </c>
      <c r="F1026" s="66" t="s">
        <v>1688</v>
      </c>
      <c r="G1026" s="67" t="s">
        <v>1687</v>
      </c>
      <c r="H1026" s="68" t="s">
        <v>1686</v>
      </c>
      <c r="I1026" s="2"/>
    </row>
    <row r="1027" spans="1:16" s="4" customFormat="1" x14ac:dyDescent="0.25">
      <c r="A1027" s="103">
        <v>20001</v>
      </c>
      <c r="B1027" s="69" t="str">
        <f>IF($A1027=0,"",VLOOKUP($A1027,'BASE M-OBRA'!$A:$D,2))</f>
        <v>MAESTRO</v>
      </c>
      <c r="C1027" s="2"/>
      <c r="D1027" s="108">
        <v>1</v>
      </c>
      <c r="E1027" s="70">
        <f>IF($A1027=0,"",VLOOKUP($A1027,'BASE M-OBRA'!$A:$D,4))</f>
        <v>3.02</v>
      </c>
      <c r="F1027" s="55">
        <f t="shared" ref="F1027:F1033" si="92">IF($A1027=0,"",ROUND(D1027*E1027,2))</f>
        <v>3.02</v>
      </c>
      <c r="G1027" s="106">
        <f>IF($A1027=0,"",ROUND(H1027/F1027,2))</f>
        <v>0.23</v>
      </c>
      <c r="H1027" s="56">
        <f>IF($A1027=0,"",ROUND(SUM(H1028:H1033)*'BASE M-OBRA'!$D$23,2))</f>
        <v>0.68</v>
      </c>
      <c r="I1027" s="5"/>
    </row>
    <row r="1028" spans="1:16" s="4" customFormat="1" x14ac:dyDescent="0.25">
      <c r="A1028" s="103">
        <v>20002</v>
      </c>
      <c r="B1028" s="69" t="str">
        <f>IF($A1028=0,"",VLOOKUP($A1028,'BASE M-OBRA'!$A:$D,2))</f>
        <v>PEON</v>
      </c>
      <c r="C1028" s="2"/>
      <c r="D1028" s="108">
        <v>2</v>
      </c>
      <c r="E1028" s="70">
        <f>IF($A1028=0,"",VLOOKUP($A1028,'BASE M-OBRA'!$A:$D,4))</f>
        <v>2.79</v>
      </c>
      <c r="F1028" s="55">
        <f t="shared" si="92"/>
        <v>5.58</v>
      </c>
      <c r="G1028" s="106">
        <v>0.2</v>
      </c>
      <c r="H1028" s="56">
        <f t="shared" ref="H1028:H1033" si="93">IF($A1028=0,"",ROUND(G1028*F1028,2))</f>
        <v>1.1200000000000001</v>
      </c>
      <c r="I1028" s="5"/>
    </row>
    <row r="1029" spans="1:16" s="4" customFormat="1" x14ac:dyDescent="0.25">
      <c r="A1029" s="103">
        <v>20003</v>
      </c>
      <c r="B1029" s="69" t="str">
        <f>IF($A1029=0,"",VLOOKUP($A1029,'BASE M-OBRA'!$A:$D,2))</f>
        <v>ALBAÑIL</v>
      </c>
      <c r="C1029" s="2"/>
      <c r="D1029" s="108">
        <v>4</v>
      </c>
      <c r="E1029" s="70">
        <f>IF($A1029=0,"",VLOOKUP($A1029,'BASE M-OBRA'!$A:$D,4))</f>
        <v>2.82</v>
      </c>
      <c r="F1029" s="55">
        <f t="shared" si="92"/>
        <v>11.28</v>
      </c>
      <c r="G1029" s="106">
        <f>+G1028</f>
        <v>0.2</v>
      </c>
      <c r="H1029" s="56">
        <f t="shared" si="93"/>
        <v>2.2599999999999998</v>
      </c>
      <c r="I1029" s="5"/>
    </row>
    <row r="1030" spans="1:16" s="4" customFormat="1" x14ac:dyDescent="0.25">
      <c r="A1030" s="103"/>
      <c r="B1030" s="71" t="str">
        <f>IF($A1030=0,"",VLOOKUP($A1030,'BASE M-OBRA'!$A:$D,2))</f>
        <v/>
      </c>
      <c r="C1030" s="2"/>
      <c r="D1030" s="108"/>
      <c r="E1030" s="70" t="str">
        <f>IF($A1030=0,"",VLOOKUP($A1030,'BASE M-OBRA'!$A:$D,4))</f>
        <v/>
      </c>
      <c r="F1030" s="55" t="str">
        <f t="shared" si="92"/>
        <v/>
      </c>
      <c r="G1030" s="106"/>
      <c r="H1030" s="56" t="str">
        <f t="shared" si="93"/>
        <v/>
      </c>
      <c r="I1030" s="5"/>
    </row>
    <row r="1031" spans="1:16" s="4" customFormat="1" x14ac:dyDescent="0.25">
      <c r="A1031" s="103"/>
      <c r="B1031" s="72" t="str">
        <f>IF($A1031=0,"",VLOOKUP($A1031,'BASE M-OBRA'!$A:$D,2))</f>
        <v/>
      </c>
      <c r="C1031" s="2"/>
      <c r="D1031" s="108"/>
      <c r="E1031" s="70" t="str">
        <f>IF($A1031=0,"",VLOOKUP($A1031,'BASE M-OBRA'!$A:$D,4))</f>
        <v/>
      </c>
      <c r="F1031" s="55" t="str">
        <f t="shared" si="92"/>
        <v/>
      </c>
      <c r="G1031" s="106"/>
      <c r="H1031" s="56" t="str">
        <f t="shared" si="93"/>
        <v/>
      </c>
      <c r="I1031" s="5"/>
    </row>
    <row r="1032" spans="1:16" s="4" customFormat="1" x14ac:dyDescent="0.25">
      <c r="A1032" s="103"/>
      <c r="B1032" s="38" t="str">
        <f>IF($A1032=0,"",VLOOKUP($A1032,'BASE M-OBRA'!$A:$D,2))</f>
        <v/>
      </c>
      <c r="C1032" s="2"/>
      <c r="D1032" s="55"/>
      <c r="E1032" s="55" t="str">
        <f>IF($A1032=0,"",VLOOKUP($A1032,'BASE M-OBRA'!$A:$D,4))</f>
        <v/>
      </c>
      <c r="F1032" s="55" t="str">
        <f t="shared" si="92"/>
        <v/>
      </c>
      <c r="G1032" s="106"/>
      <c r="H1032" s="56" t="str">
        <f t="shared" si="93"/>
        <v/>
      </c>
      <c r="I1032" s="5"/>
    </row>
    <row r="1033" spans="1:16" s="4" customFormat="1" x14ac:dyDescent="0.25">
      <c r="A1033" s="103"/>
      <c r="B1033" s="57" t="str">
        <f>IF($A1033=0,"",VLOOKUP($A1033,'BASE M-OBRA'!$A:$D,2))</f>
        <v/>
      </c>
      <c r="C1033" s="58"/>
      <c r="D1033" s="59"/>
      <c r="E1033" s="59" t="str">
        <f>IF($A1033=0,"",VLOOKUP($A1033,'BASE M-OBRA'!$A:$D,4))</f>
        <v/>
      </c>
      <c r="F1033" s="59" t="str">
        <f t="shared" si="92"/>
        <v/>
      </c>
      <c r="G1033" s="107"/>
      <c r="H1033" s="60" t="str">
        <f t="shared" si="93"/>
        <v/>
      </c>
      <c r="I1033" s="5"/>
    </row>
    <row r="1034" spans="1:16" s="4" customFormat="1" x14ac:dyDescent="0.25">
      <c r="A1034" s="103"/>
      <c r="B1034" s="73" t="s">
        <v>1685</v>
      </c>
      <c r="C1034" s="65"/>
      <c r="D1034" s="74"/>
      <c r="E1034" s="74"/>
      <c r="F1034" s="74"/>
      <c r="G1034" s="74"/>
      <c r="H1034" s="75">
        <f>ROUND(SUM(H1026:H1033),2)</f>
        <v>4.0599999999999996</v>
      </c>
      <c r="I1034" s="5"/>
    </row>
    <row r="1035" spans="1:16" s="4" customFormat="1" x14ac:dyDescent="0.25">
      <c r="A1035" s="103"/>
      <c r="B1035" s="38" t="s">
        <v>1684</v>
      </c>
      <c r="C1035" s="2"/>
      <c r="D1035" s="3"/>
      <c r="E1035" s="3"/>
      <c r="F1035" s="3"/>
      <c r="G1035" s="3"/>
      <c r="H1035" s="56"/>
      <c r="I1035" s="5"/>
    </row>
    <row r="1036" spans="1:16" ht="25.5" x14ac:dyDescent="0.25">
      <c r="B1036" s="64" t="s">
        <v>1409</v>
      </c>
      <c r="C1036" s="65"/>
      <c r="D1036" s="76"/>
      <c r="E1036" s="66" t="s">
        <v>1408</v>
      </c>
      <c r="F1036" s="66" t="s">
        <v>1679</v>
      </c>
      <c r="G1036" s="66" t="s">
        <v>1683</v>
      </c>
      <c r="H1036" s="68" t="s">
        <v>1675</v>
      </c>
      <c r="I1036" s="2"/>
    </row>
    <row r="1037" spans="1:16" s="4" customFormat="1" x14ac:dyDescent="0.25">
      <c r="A1037" s="103">
        <v>4001</v>
      </c>
      <c r="B1037" s="38" t="str">
        <f>IF($A1037=0,"",VLOOKUP($A1037,'BASE MATERIAL'!$A:$D,2))</f>
        <v>CEMENTO</v>
      </c>
      <c r="C1037" s="2"/>
      <c r="D1037" s="77"/>
      <c r="E1037" s="78" t="str">
        <f>IF($A1037=0,"",VLOOKUP($A1037,'BASE MATERIAL'!$A:$D,3))</f>
        <v>SACO</v>
      </c>
      <c r="F1037" s="55">
        <f>ROUND(1*0.015*10*1.05,3)</f>
        <v>0.158</v>
      </c>
      <c r="G1037" s="55">
        <f>IF($A1037=0,"",VLOOKUP($A1037,'BASE MATERIAL'!$A:$D,4))</f>
        <v>7.09</v>
      </c>
      <c r="H1037" s="56">
        <f t="shared" ref="H1037:H1051" si="94">IF($A1037=0,"",ROUND(F1037*G1037,2))</f>
        <v>1.1200000000000001</v>
      </c>
      <c r="I1037" s="5"/>
      <c r="L1037" s="5"/>
      <c r="M1037" s="5"/>
      <c r="N1037" s="160"/>
      <c r="O1037" s="5"/>
      <c r="P1037" s="5"/>
    </row>
    <row r="1038" spans="1:16" s="4" customFormat="1" x14ac:dyDescent="0.25">
      <c r="A1038" s="103">
        <v>5004</v>
      </c>
      <c r="B1038" s="38" t="str">
        <f>IF($A1038=0,"",VLOOKUP($A1038,'BASE MATERIAL'!$A:$D,2))</f>
        <v>ARENA</v>
      </c>
      <c r="C1038" s="2"/>
      <c r="D1038" s="77"/>
      <c r="E1038" s="78" t="str">
        <f>IF($A1038=0,"",VLOOKUP($A1038,'BASE MATERIAL'!$A:$D,3))</f>
        <v>M3</v>
      </c>
      <c r="F1038" s="55">
        <f>ROUND(F1037*0.032*3,2)</f>
        <v>0.02</v>
      </c>
      <c r="G1038" s="55">
        <f>IF($A1038=0,"",VLOOKUP($A1038,'BASE MATERIAL'!$A:$D,4))</f>
        <v>12.276249999999999</v>
      </c>
      <c r="H1038" s="56">
        <f t="shared" si="94"/>
        <v>0.25</v>
      </c>
      <c r="I1038" s="5"/>
      <c r="L1038" s="5"/>
      <c r="M1038" s="5"/>
      <c r="N1038" s="160"/>
      <c r="O1038" s="5"/>
      <c r="P1038" s="5"/>
    </row>
    <row r="1039" spans="1:16" s="4" customFormat="1" x14ac:dyDescent="0.25">
      <c r="A1039" s="103">
        <v>5005</v>
      </c>
      <c r="B1039" s="38" t="str">
        <f>IF($A1039=0,"",VLOOKUP($A1039,'BASE MATERIAL'!$A:$D,2))</f>
        <v>AGUA</v>
      </c>
      <c r="C1039" s="2"/>
      <c r="D1039" s="77"/>
      <c r="E1039" s="78" t="str">
        <f>IF($A1039=0,"",VLOOKUP($A1039,'BASE MATERIAL'!$A:$D,3))</f>
        <v>LT</v>
      </c>
      <c r="F1039" s="55">
        <f>ROUND(30*F1037,2)</f>
        <v>4.74</v>
      </c>
      <c r="G1039" s="80">
        <f>IF($A1039=0,"",VLOOKUP($A1039,'BASE MATERIAL'!$A:$D,4))</f>
        <v>2E-3</v>
      </c>
      <c r="H1039" s="56">
        <f t="shared" si="94"/>
        <v>0.01</v>
      </c>
      <c r="I1039" s="5"/>
      <c r="L1039" s="5"/>
      <c r="M1039" s="5"/>
      <c r="N1039" s="160"/>
      <c r="O1039" s="5"/>
      <c r="P1039" s="5"/>
    </row>
    <row r="1040" spans="1:16" s="4" customFormat="1" x14ac:dyDescent="0.25">
      <c r="A1040" s="103"/>
      <c r="B1040" s="38" t="str">
        <f>IF($A1040=0,"",VLOOKUP($A1040,'BASE MATERIAL'!$A:$D,2))</f>
        <v/>
      </c>
      <c r="C1040" s="2"/>
      <c r="D1040" s="77"/>
      <c r="E1040" s="78" t="str">
        <f>IF($A1040=0,"",VLOOKUP($A1040,'BASE MATERIAL'!$A:$D,3))</f>
        <v/>
      </c>
      <c r="F1040" s="55"/>
      <c r="G1040" s="55" t="str">
        <f>IF($A1040=0,"",VLOOKUP($A1040,'BASE MATERIAL'!$A:$D,4))</f>
        <v/>
      </c>
      <c r="H1040" s="56" t="str">
        <f t="shared" si="94"/>
        <v/>
      </c>
      <c r="I1040" s="5"/>
      <c r="L1040" s="5"/>
      <c r="M1040" s="5"/>
      <c r="N1040" s="160"/>
      <c r="O1040" s="5"/>
      <c r="P1040" s="5"/>
    </row>
    <row r="1041" spans="1:16" s="4" customFormat="1" x14ac:dyDescent="0.25">
      <c r="A1041" s="103"/>
      <c r="B1041" s="38" t="str">
        <f>IF($A1041=0,"",VLOOKUP($A1041,'BASE MATERIAL'!$A:$D,2))</f>
        <v/>
      </c>
      <c r="C1041" s="2"/>
      <c r="D1041" s="77"/>
      <c r="E1041" s="78" t="str">
        <f>IF($A1041=0,"",VLOOKUP($A1041,'BASE MATERIAL'!$A:$D,3))</f>
        <v/>
      </c>
      <c r="F1041" s="55"/>
      <c r="G1041" s="55" t="str">
        <f>IF($A1041=0,"",VLOOKUP($A1041,'BASE MATERIAL'!$A:$D,4))</f>
        <v/>
      </c>
      <c r="H1041" s="56" t="str">
        <f t="shared" si="94"/>
        <v/>
      </c>
      <c r="I1041" s="5"/>
      <c r="L1041" s="5"/>
      <c r="M1041" s="5"/>
      <c r="N1041" s="160"/>
      <c r="O1041" s="5"/>
      <c r="P1041" s="5"/>
    </row>
    <row r="1042" spans="1:16" s="4" customFormat="1" x14ac:dyDescent="0.25">
      <c r="A1042" s="103"/>
      <c r="B1042" s="38" t="str">
        <f>IF($A1042=0,"",VLOOKUP($A1042,'BASE MATERIAL'!$A:$D,2))</f>
        <v/>
      </c>
      <c r="C1042" s="2"/>
      <c r="D1042" s="77"/>
      <c r="E1042" s="78" t="str">
        <f>IF($A1042=0,"",VLOOKUP($A1042,'BASE MATERIAL'!$A:$D,3))</f>
        <v/>
      </c>
      <c r="F1042" s="55"/>
      <c r="G1042" s="55" t="str">
        <f>IF($A1042=0,"",VLOOKUP($A1042,'BASE MATERIAL'!$A:$D,4))</f>
        <v/>
      </c>
      <c r="H1042" s="56" t="str">
        <f t="shared" si="94"/>
        <v/>
      </c>
      <c r="I1042" s="5"/>
      <c r="L1042" s="5"/>
      <c r="M1042" s="5"/>
      <c r="N1042" s="160"/>
      <c r="O1042" s="5"/>
      <c r="P1042" s="5"/>
    </row>
    <row r="1043" spans="1:16" s="4" customFormat="1" x14ac:dyDescent="0.25">
      <c r="A1043" s="103"/>
      <c r="B1043" s="38" t="str">
        <f>IF($A1043=0,"",VLOOKUP($A1043,'BASE MATERIAL'!$A:$D,2))</f>
        <v/>
      </c>
      <c r="C1043" s="2"/>
      <c r="D1043" s="77"/>
      <c r="E1043" s="78" t="str">
        <f>IF($A1043=0,"",VLOOKUP($A1043,'BASE MATERIAL'!$A:$D,3))</f>
        <v/>
      </c>
      <c r="F1043" s="55"/>
      <c r="G1043" s="55" t="str">
        <f>IF($A1043=0,"",VLOOKUP($A1043,'BASE MATERIAL'!$A:$D,4))</f>
        <v/>
      </c>
      <c r="H1043" s="56" t="str">
        <f t="shared" si="94"/>
        <v/>
      </c>
      <c r="I1043" s="5"/>
      <c r="L1043" s="5"/>
      <c r="M1043" s="5"/>
      <c r="N1043" s="160"/>
      <c r="O1043" s="5"/>
      <c r="P1043" s="5"/>
    </row>
    <row r="1044" spans="1:16" s="4" customFormat="1" x14ac:dyDescent="0.25">
      <c r="A1044" s="103"/>
      <c r="B1044" s="38" t="str">
        <f>IF($A1044=0,"",VLOOKUP($A1044,'BASE MATERIAL'!$A:$D,2))</f>
        <v/>
      </c>
      <c r="C1044" s="2"/>
      <c r="D1044" s="77"/>
      <c r="E1044" s="78" t="str">
        <f>IF($A1044=0,"",VLOOKUP($A1044,'BASE MATERIAL'!$A:$D,3))</f>
        <v/>
      </c>
      <c r="F1044" s="55"/>
      <c r="G1044" s="55" t="str">
        <f>IF($A1044=0,"",VLOOKUP($A1044,'BASE MATERIAL'!$A:$D,4))</f>
        <v/>
      </c>
      <c r="H1044" s="56" t="str">
        <f t="shared" si="94"/>
        <v/>
      </c>
      <c r="I1044" s="5"/>
      <c r="L1044" s="5"/>
      <c r="M1044" s="5"/>
      <c r="N1044" s="160"/>
      <c r="O1044" s="5"/>
      <c r="P1044" s="5"/>
    </row>
    <row r="1045" spans="1:16" s="4" customFormat="1" x14ac:dyDescent="0.25">
      <c r="A1045" s="103"/>
      <c r="B1045" s="38" t="str">
        <f>IF($A1045=0,"",VLOOKUP($A1045,'BASE MATERIAL'!$A:$D,2))</f>
        <v/>
      </c>
      <c r="C1045" s="2"/>
      <c r="D1045" s="77"/>
      <c r="E1045" s="78" t="str">
        <f>IF($A1045=0,"",VLOOKUP($A1045,'BASE MATERIAL'!$A:$D,3))</f>
        <v/>
      </c>
      <c r="F1045" s="55"/>
      <c r="G1045" s="55" t="str">
        <f>IF($A1045=0,"",VLOOKUP($A1045,'BASE MATERIAL'!$A:$D,4))</f>
        <v/>
      </c>
      <c r="H1045" s="56" t="str">
        <f t="shared" si="94"/>
        <v/>
      </c>
      <c r="I1045" s="5"/>
    </row>
    <row r="1046" spans="1:16" s="4" customFormat="1" x14ac:dyDescent="0.25">
      <c r="A1046" s="103"/>
      <c r="B1046" s="38" t="str">
        <f>IF($A1046=0,"",VLOOKUP($A1046,'BASE MATERIAL'!$A:$D,2))</f>
        <v/>
      </c>
      <c r="C1046" s="2"/>
      <c r="D1046" s="77"/>
      <c r="E1046" s="78" t="str">
        <f>IF($A1046=0,"",VLOOKUP($A1046,'BASE MATERIAL'!$A:$D,3))</f>
        <v/>
      </c>
      <c r="F1046" s="55"/>
      <c r="G1046" s="55" t="str">
        <f>IF($A1046=0,"",VLOOKUP($A1046,'BASE MATERIAL'!$A:$D,4))</f>
        <v/>
      </c>
      <c r="H1046" s="56" t="str">
        <f t="shared" si="94"/>
        <v/>
      </c>
      <c r="I1046" s="5"/>
      <c r="L1046" s="5"/>
      <c r="M1046" s="5"/>
      <c r="N1046" s="160"/>
      <c r="O1046" s="5"/>
      <c r="P1046" s="5"/>
    </row>
    <row r="1047" spans="1:16" s="4" customFormat="1" x14ac:dyDescent="0.25">
      <c r="A1047" s="103"/>
      <c r="B1047" s="38" t="str">
        <f>IF($A1047=0,"",VLOOKUP($A1047,'BASE MATERIAL'!$A:$D,2))</f>
        <v/>
      </c>
      <c r="C1047" s="2"/>
      <c r="D1047" s="77"/>
      <c r="E1047" s="78" t="str">
        <f>IF($A1047=0,"",VLOOKUP($A1047,'BASE MATERIAL'!$A:$D,3))</f>
        <v/>
      </c>
      <c r="F1047" s="55"/>
      <c r="G1047" s="55" t="str">
        <f>IF($A1047=0,"",VLOOKUP($A1047,'BASE MATERIAL'!$A:$D,4))</f>
        <v/>
      </c>
      <c r="H1047" s="56" t="str">
        <f t="shared" si="94"/>
        <v/>
      </c>
      <c r="I1047" s="5"/>
      <c r="L1047" s="5"/>
      <c r="M1047" s="5"/>
      <c r="N1047" s="160"/>
      <c r="O1047" s="5"/>
      <c r="P1047" s="5"/>
    </row>
    <row r="1048" spans="1:16" s="4" customFormat="1" x14ac:dyDescent="0.25">
      <c r="A1048" s="103"/>
      <c r="B1048" s="38" t="str">
        <f>IF($A1048=0,"",VLOOKUP($A1048,'BASE MATERIAL'!$A:$D,2))</f>
        <v/>
      </c>
      <c r="C1048" s="2"/>
      <c r="D1048" s="77"/>
      <c r="E1048" s="78" t="str">
        <f>IF($A1048=0,"",VLOOKUP($A1048,'BASE MATERIAL'!$A:$D,3))</f>
        <v/>
      </c>
      <c r="F1048" s="55"/>
      <c r="G1048" s="55" t="str">
        <f>IF($A1048=0,"",VLOOKUP($A1048,'BASE MATERIAL'!$A:$D,4))</f>
        <v/>
      </c>
      <c r="H1048" s="56" t="str">
        <f t="shared" si="94"/>
        <v/>
      </c>
      <c r="I1048" s="5"/>
    </row>
    <row r="1049" spans="1:16" s="4" customFormat="1" x14ac:dyDescent="0.25">
      <c r="A1049" s="103"/>
      <c r="B1049" s="38" t="str">
        <f>IF($A1049=0,"",VLOOKUP($A1049,'BASE MATERIAL'!$A:$D,2))</f>
        <v/>
      </c>
      <c r="C1049" s="2"/>
      <c r="D1049" s="77"/>
      <c r="E1049" s="78" t="str">
        <f>IF($A1049=0,"",VLOOKUP($A1049,'BASE MATERIAL'!$A:$D,3))</f>
        <v/>
      </c>
      <c r="F1049" s="55"/>
      <c r="G1049" s="55" t="str">
        <f>IF($A1049=0,"",VLOOKUP($A1049,'BASE MATERIAL'!$A:$D,4))</f>
        <v/>
      </c>
      <c r="H1049" s="56" t="str">
        <f t="shared" si="94"/>
        <v/>
      </c>
      <c r="I1049" s="5"/>
    </row>
    <row r="1050" spans="1:16" s="4" customFormat="1" x14ac:dyDescent="0.25">
      <c r="A1050" s="103"/>
      <c r="B1050" s="38" t="str">
        <f>IF($A1050=0,"",VLOOKUP($A1050,'BASE MATERIAL'!$A:$D,2))</f>
        <v/>
      </c>
      <c r="C1050" s="2"/>
      <c r="D1050" s="77"/>
      <c r="E1050" s="78" t="str">
        <f>IF($A1050=0,"",VLOOKUP($A1050,'BASE MATERIAL'!$A:$D,3))</f>
        <v/>
      </c>
      <c r="F1050" s="55"/>
      <c r="G1050" s="55" t="str">
        <f>IF($A1050=0,"",VLOOKUP($A1050,'BASE MATERIAL'!$A:$D,4))</f>
        <v/>
      </c>
      <c r="H1050" s="56" t="str">
        <f t="shared" si="94"/>
        <v/>
      </c>
      <c r="I1050" s="5"/>
    </row>
    <row r="1051" spans="1:16" s="4" customFormat="1" x14ac:dyDescent="0.25">
      <c r="A1051" s="103"/>
      <c r="B1051" s="38" t="str">
        <f>IF($A1051=0,"",VLOOKUP($A1051,'BASE MATERIAL'!$A:$D,2))</f>
        <v/>
      </c>
      <c r="C1051" s="2"/>
      <c r="D1051" s="77"/>
      <c r="E1051" s="78" t="str">
        <f>IF($A1051=0,"",VLOOKUP($A1051,'BASE MATERIAL'!$A:$D,3))</f>
        <v/>
      </c>
      <c r="F1051" s="55"/>
      <c r="G1051" s="55" t="str">
        <f>IF($A1051=0,"",VLOOKUP($A1051,'BASE MATERIAL'!$A:$D,4))</f>
        <v/>
      </c>
      <c r="H1051" s="56" t="str">
        <f t="shared" si="94"/>
        <v/>
      </c>
      <c r="I1051" s="5"/>
    </row>
    <row r="1052" spans="1:16" s="4" customFormat="1" x14ac:dyDescent="0.25">
      <c r="A1052" s="103"/>
      <c r="B1052" s="38" t="str">
        <f>IF($A1052=0,"",VLOOKUP($A1052,'BASE MATERIAL'!$A:$D,2))</f>
        <v/>
      </c>
      <c r="C1052" s="2"/>
      <c r="D1052" s="81" t="s">
        <v>1682</v>
      </c>
      <c r="E1052" s="55" t="str">
        <f>IF($A1052=0,"",VLOOKUP($A1052,'BASE MATERIAL'!$A:$D,3))</f>
        <v/>
      </c>
      <c r="F1052" s="55" t="s">
        <v>1682</v>
      </c>
      <c r="G1052" s="55" t="str">
        <f>IF($A1052=0,"",VLOOKUP($A1052,'BASE MATERIAL'!$A:$D,4))</f>
        <v/>
      </c>
      <c r="H1052" s="56" t="str">
        <f>IF($A1052=0,"",ROUND(E1052*F1052,2))</f>
        <v/>
      </c>
      <c r="I1052" s="5"/>
    </row>
    <row r="1053" spans="1:16" s="4" customFormat="1" x14ac:dyDescent="0.25">
      <c r="A1053" s="103"/>
      <c r="B1053" s="73" t="s">
        <v>1681</v>
      </c>
      <c r="C1053" s="65"/>
      <c r="D1053" s="74"/>
      <c r="E1053" s="74"/>
      <c r="F1053" s="74"/>
      <c r="G1053" s="74"/>
      <c r="H1053" s="75">
        <f>ROUND(SUM(H1036:H1052),2)</f>
        <v>1.38</v>
      </c>
      <c r="I1053" s="5"/>
    </row>
    <row r="1054" spans="1:16" s="4" customFormat="1" x14ac:dyDescent="0.25">
      <c r="A1054" s="103"/>
      <c r="B1054" s="38" t="s">
        <v>1680</v>
      </c>
      <c r="C1054" s="2"/>
      <c r="D1054" s="3"/>
      <c r="E1054" s="3"/>
      <c r="F1054" s="3"/>
      <c r="G1054" s="3"/>
      <c r="H1054" s="56"/>
      <c r="I1054" s="5"/>
    </row>
    <row r="1055" spans="1:16" ht="25.5" x14ac:dyDescent="0.25">
      <c r="B1055" s="64" t="s">
        <v>1409</v>
      </c>
      <c r="C1055" s="65"/>
      <c r="D1055" s="76"/>
      <c r="E1055" s="66" t="s">
        <v>1408</v>
      </c>
      <c r="F1055" s="66" t="s">
        <v>1679</v>
      </c>
      <c r="G1055" s="66" t="s">
        <v>1676</v>
      </c>
      <c r="H1055" s="68" t="s">
        <v>1675</v>
      </c>
      <c r="I1055" s="2"/>
    </row>
    <row r="1056" spans="1:16" s="4" customFormat="1" x14ac:dyDescent="0.25">
      <c r="A1056" s="103">
        <v>19019</v>
      </c>
      <c r="B1056" s="51" t="str">
        <f>IF($A1056=0,"",VLOOKUP($A1056,'BASE EQUIPO'!$A:$D,2))</f>
        <v>TRANSPORTE DE MATERIAL</v>
      </c>
      <c r="C1056" s="52"/>
      <c r="D1056" s="82"/>
      <c r="E1056" s="78" t="str">
        <f>IF($A1056=0,"",VLOOKUP($A1056,'BASE EQUIPO'!$A:$D,3))</f>
        <v>GLOBAL</v>
      </c>
      <c r="F1056" s="55">
        <v>1</v>
      </c>
      <c r="G1056" s="83">
        <f>IF($A1056=0,"",VLOOKUP($A1056,'BASE EQUIPO'!$A:$D,4)*H1053)</f>
        <v>4.1399999999999992E-2</v>
      </c>
      <c r="H1056" s="56">
        <f>IF($A1056=0,"",ROUND(F1056*G1056,2))</f>
        <v>0.04</v>
      </c>
      <c r="I1056" s="5"/>
    </row>
    <row r="1057" spans="1:15" s="4" customFormat="1" x14ac:dyDescent="0.25">
      <c r="A1057" s="103"/>
      <c r="B1057" s="38" t="str">
        <f>IF($A1057=0,"",VLOOKUP($A1057,'BASE EQUIPO'!$A:$D,2))</f>
        <v/>
      </c>
      <c r="C1057" s="2"/>
      <c r="D1057" s="84"/>
      <c r="E1057" s="78" t="str">
        <f>IF($A1057=0,"",VLOOKUP($A1057,'BASE EQUIPO'!$A:$D,3))</f>
        <v/>
      </c>
      <c r="F1057" s="55"/>
      <c r="G1057" s="55" t="str">
        <f>IF($A1057=0,"",VLOOKUP($A1057,'BASE EQUIPO'!$A:$D,4)*H1054)</f>
        <v/>
      </c>
      <c r="H1057" s="56" t="str">
        <f>IF($A1057=0,"",ROUND(F1057*G1057,2))</f>
        <v/>
      </c>
      <c r="I1057" s="5"/>
    </row>
    <row r="1058" spans="1:15" s="4" customFormat="1" x14ac:dyDescent="0.25">
      <c r="A1058" s="103"/>
      <c r="B1058" s="57" t="str">
        <f>IF($A1058=0,"",VLOOKUP($A1058,'BASE EQUIPO'!$A:$D,2))</f>
        <v/>
      </c>
      <c r="C1058" s="58"/>
      <c r="D1058" s="85"/>
      <c r="E1058" s="86" t="str">
        <f>IF($A1058=0,"",VLOOKUP($A1058,'BASE EQUIPO'!$A:$D,3))</f>
        <v/>
      </c>
      <c r="F1058" s="59"/>
      <c r="G1058" s="59" t="str">
        <f>IF($A1058=0,"",VLOOKUP($A1058,'BASE EQUIPO'!$A:$D,4)*H1055)</f>
        <v/>
      </c>
      <c r="H1058" s="60" t="str">
        <f>IF($A1058=0,"",ROUND(F1058*G1058,2))</f>
        <v/>
      </c>
      <c r="I1058" s="5"/>
    </row>
    <row r="1059" spans="1:15" s="4" customFormat="1" ht="15.75" thickBot="1" x14ac:dyDescent="0.3">
      <c r="A1059" s="103"/>
      <c r="B1059" s="87" t="s">
        <v>1674</v>
      </c>
      <c r="C1059" s="88"/>
      <c r="D1059" s="89"/>
      <c r="E1059" s="89"/>
      <c r="F1059" s="89"/>
      <c r="G1059" s="89"/>
      <c r="H1059" s="90">
        <f>ROUND(SUM(H1055:H1058),2)</f>
        <v>0.04</v>
      </c>
      <c r="I1059" s="5"/>
    </row>
    <row r="1060" spans="1:15" s="4" customFormat="1" ht="15.75" x14ac:dyDescent="0.25">
      <c r="A1060" s="103"/>
      <c r="B1060" s="2"/>
      <c r="C1060" s="2"/>
      <c r="D1060" s="91" t="s">
        <v>1673</v>
      </c>
      <c r="E1060" s="177"/>
      <c r="F1060" s="177"/>
      <c r="G1060" s="177"/>
      <c r="H1060" s="92">
        <f>ROUND(SUM(H1059,H1053,H1034,H1024),2)</f>
        <v>5.6</v>
      </c>
      <c r="I1060" s="5"/>
    </row>
    <row r="1061" spans="1:15" s="4" customFormat="1" ht="15.75" x14ac:dyDescent="0.25">
      <c r="A1061" s="103">
        <v>40002</v>
      </c>
      <c r="B1061" s="2"/>
      <c r="C1061" s="2"/>
      <c r="D1061" s="93" t="s">
        <v>1672</v>
      </c>
      <c r="E1061" s="166"/>
      <c r="F1061" s="166"/>
      <c r="G1061" s="178">
        <f>IF($A1061=0,"",VLOOKUP($A1061,'BASE MATERIAL'!$M:$P,4))</f>
        <v>0</v>
      </c>
      <c r="H1061" s="95">
        <f>IF($A1061=0,"",ROUND(G1061*H1060,2))</f>
        <v>0</v>
      </c>
      <c r="I1061" s="5"/>
    </row>
    <row r="1062" spans="1:15" s="4" customFormat="1" ht="15.75" x14ac:dyDescent="0.25">
      <c r="A1062" s="103">
        <v>40003</v>
      </c>
      <c r="B1062" s="2"/>
      <c r="C1062" s="2"/>
      <c r="D1062" s="93" t="s">
        <v>1671</v>
      </c>
      <c r="E1062" s="166"/>
      <c r="F1062" s="166"/>
      <c r="G1062" s="178">
        <f>IF($A1062=0,"",VLOOKUP($A1062,'BASE MATERIAL'!$M:$P,4))</f>
        <v>0</v>
      </c>
      <c r="H1062" s="95">
        <f>IF($A1062=0,"",ROUND(G1062*H1060,2))</f>
        <v>0</v>
      </c>
      <c r="I1062" s="5"/>
    </row>
    <row r="1063" spans="1:15" s="4" customFormat="1" ht="15.75" x14ac:dyDescent="0.25">
      <c r="A1063" s="103"/>
      <c r="B1063" s="2"/>
      <c r="C1063" s="2"/>
      <c r="D1063" s="93" t="s">
        <v>1670</v>
      </c>
      <c r="E1063" s="166"/>
      <c r="F1063" s="166"/>
      <c r="G1063" s="166"/>
      <c r="H1063" s="96">
        <f>ROUND(SUM(H1060:H1062),2)</f>
        <v>5.6</v>
      </c>
      <c r="I1063" s="5"/>
    </row>
    <row r="1064" spans="1:15" s="4" customFormat="1" ht="16.5" thickBot="1" x14ac:dyDescent="0.3">
      <c r="A1064" s="103"/>
      <c r="B1064" s="25"/>
      <c r="C1064" s="5"/>
      <c r="D1064" s="97" t="s">
        <v>1650</v>
      </c>
      <c r="E1064" s="179"/>
      <c r="F1064" s="179"/>
      <c r="G1064" s="179"/>
      <c r="H1064" s="98">
        <f>ROUND(H1063,2)</f>
        <v>5.6</v>
      </c>
      <c r="I1064" s="5"/>
    </row>
    <row r="1065" spans="1:15" ht="15.75" x14ac:dyDescent="0.25">
      <c r="B1065" s="34" t="s">
        <v>1701</v>
      </c>
      <c r="C1065" s="5"/>
      <c r="D1065" s="157" t="str">
        <f>$D$113</f>
        <v>ESPOL</v>
      </c>
      <c r="E1065" s="2"/>
      <c r="F1065" s="2"/>
      <c r="H1065" s="2" t="s">
        <v>108</v>
      </c>
      <c r="I1065" s="2"/>
      <c r="L1065" s="40">
        <f>A1069</f>
        <v>12</v>
      </c>
      <c r="M1065" s="1" t="str">
        <f>C1070</f>
        <v>Enlucido de escalera (rampa y tumbados)</v>
      </c>
      <c r="N1065" s="2" t="str">
        <f>H1069</f>
        <v>M2</v>
      </c>
      <c r="O1065" s="2">
        <f>H1120</f>
        <v>7.43</v>
      </c>
    </row>
    <row r="1066" spans="1:15" s="4" customFormat="1" ht="15.75" x14ac:dyDescent="0.25">
      <c r="A1066" s="103"/>
      <c r="B1066" s="34" t="s">
        <v>1700</v>
      </c>
      <c r="C1066" s="3">
        <f>'1.1'!$C$2</f>
        <v>0</v>
      </c>
      <c r="D1066" s="5"/>
      <c r="E1066" s="5"/>
      <c r="F1066" s="5"/>
      <c r="G1066" s="158" t="s">
        <v>1699</v>
      </c>
      <c r="H1066" s="159"/>
      <c r="I1066" s="5" t="s">
        <v>1698</v>
      </c>
    </row>
    <row r="1067" spans="1:15" s="4" customFormat="1" ht="15.75" x14ac:dyDescent="0.25">
      <c r="A1067" s="103"/>
      <c r="B1067" s="34"/>
      <c r="C1067" s="3">
        <f>'1.1'!$C$3</f>
        <v>0</v>
      </c>
      <c r="D1067" s="5"/>
      <c r="E1067" s="5"/>
      <c r="F1067" s="5"/>
      <c r="G1067" s="5"/>
      <c r="H1067" s="5"/>
      <c r="I1067" s="5"/>
    </row>
    <row r="1068" spans="1:15" s="4" customFormat="1" ht="15.75" x14ac:dyDescent="0.25">
      <c r="A1068" s="103"/>
      <c r="B1068" s="34" t="s">
        <v>1697</v>
      </c>
      <c r="C1068" s="3"/>
      <c r="D1068" s="5"/>
      <c r="E1068" s="5"/>
      <c r="F1068" s="5"/>
      <c r="G1068" s="5"/>
      <c r="H1068" s="5"/>
      <c r="I1068" s="5"/>
    </row>
    <row r="1069" spans="1:15" x14ac:dyDescent="0.25">
      <c r="A1069" s="104">
        <v>12</v>
      </c>
      <c r="B1069" s="2" t="s">
        <v>1586</v>
      </c>
      <c r="C1069" s="111" t="s">
        <v>1544</v>
      </c>
      <c r="D1069" s="5"/>
      <c r="E1069" s="4"/>
      <c r="F1069" s="4"/>
      <c r="G1069" s="5" t="s">
        <v>1696</v>
      </c>
      <c r="H1069" s="157" t="s">
        <v>915</v>
      </c>
      <c r="I1069" s="2"/>
    </row>
    <row r="1070" spans="1:15" s="4" customFormat="1" x14ac:dyDescent="0.25">
      <c r="A1070" s="103"/>
      <c r="B1070" s="1" t="s">
        <v>1585</v>
      </c>
      <c r="C1070" s="36" t="s">
        <v>55</v>
      </c>
      <c r="D1070" s="5"/>
      <c r="E1070" s="5"/>
      <c r="F1070" s="5"/>
      <c r="G1070" s="5"/>
      <c r="H1070" s="5"/>
      <c r="I1070" s="5"/>
    </row>
    <row r="1071" spans="1:15" ht="15.75" thickBot="1" x14ac:dyDescent="0.3">
      <c r="D1071" s="2"/>
      <c r="E1071" s="2"/>
      <c r="F1071" s="2"/>
      <c r="G1071" s="2"/>
      <c r="H1071" s="2"/>
      <c r="I1071" s="2"/>
    </row>
    <row r="1072" spans="1:15" ht="15.75" thickBot="1" x14ac:dyDescent="0.3">
      <c r="B1072" s="43" t="s">
        <v>1695</v>
      </c>
      <c r="C1072" s="44"/>
      <c r="D1072" s="44"/>
      <c r="E1072" s="44"/>
      <c r="F1072" s="44"/>
      <c r="G1072" s="44"/>
      <c r="H1072" s="45"/>
      <c r="I1072" s="2"/>
    </row>
    <row r="1073" spans="1:11" ht="25.5" x14ac:dyDescent="0.25">
      <c r="B1073" s="46" t="s">
        <v>1409</v>
      </c>
      <c r="C1073" s="47"/>
      <c r="D1073" s="48" t="s">
        <v>1690</v>
      </c>
      <c r="E1073" s="48" t="s">
        <v>1694</v>
      </c>
      <c r="F1073" s="48" t="s">
        <v>1693</v>
      </c>
      <c r="G1073" s="49" t="s">
        <v>1687</v>
      </c>
      <c r="H1073" s="50" t="s">
        <v>1686</v>
      </c>
      <c r="I1073" s="2"/>
    </row>
    <row r="1074" spans="1:11" s="4" customFormat="1" x14ac:dyDescent="0.25">
      <c r="A1074" s="103">
        <v>19015</v>
      </c>
      <c r="B1074" s="51" t="str">
        <f>IF($A1074=0,"",VLOOKUP($A1074,'BASE EQUIPO'!$A:$D,2))</f>
        <v>HERRAMIENTA MENOR</v>
      </c>
      <c r="C1074" s="52"/>
      <c r="D1074" s="53">
        <v>1</v>
      </c>
      <c r="E1074" s="53">
        <f>IF($A1074=0,"",VLOOKUP($A1074,'BASE EQUIPO'!$A:$D,4)*H1090)</f>
        <v>0.1641</v>
      </c>
      <c r="F1074" s="53">
        <f t="shared" ref="F1074:F1079" si="95">IF($A1074=0,"",ROUND(D1074*E1074,2))</f>
        <v>0.16</v>
      </c>
      <c r="G1074" s="105">
        <v>1</v>
      </c>
      <c r="H1074" s="54">
        <f t="shared" ref="H1074:H1079" si="96">IF($A1074=0,"",ROUND(G1074*F1074,2))</f>
        <v>0.16</v>
      </c>
      <c r="I1074" s="5"/>
    </row>
    <row r="1075" spans="1:11" s="4" customFormat="1" x14ac:dyDescent="0.25">
      <c r="A1075" s="103"/>
      <c r="B1075" s="38" t="str">
        <f>IF($A1075=0,"",VLOOKUP($A1075,'BASE EQUIPO'!$A:$D,2))</f>
        <v/>
      </c>
      <c r="C1075" s="2"/>
      <c r="D1075" s="55"/>
      <c r="E1075" s="55" t="str">
        <f>IF($A1075=0,"",VLOOKUP($A1075,'BASE EQUIPO'!$A:$D,4))</f>
        <v/>
      </c>
      <c r="F1075" s="55" t="str">
        <f t="shared" si="95"/>
        <v/>
      </c>
      <c r="G1075" s="106"/>
      <c r="H1075" s="56" t="str">
        <f t="shared" si="96"/>
        <v/>
      </c>
      <c r="I1075" s="5"/>
    </row>
    <row r="1076" spans="1:11" s="4" customFormat="1" x14ac:dyDescent="0.25">
      <c r="A1076" s="103"/>
      <c r="B1076" s="38" t="str">
        <f>IF($A1076=0,"",VLOOKUP($A1076,'BASE EQUIPO'!$A:$D,2))</f>
        <v/>
      </c>
      <c r="C1076" s="2"/>
      <c r="D1076" s="55"/>
      <c r="E1076" s="55" t="str">
        <f>IF($A1076=0,"",VLOOKUP($A1076,'BASE EQUIPO'!$A:$D,4))</f>
        <v/>
      </c>
      <c r="F1076" s="55" t="str">
        <f t="shared" si="95"/>
        <v/>
      </c>
      <c r="G1076" s="106"/>
      <c r="H1076" s="56" t="str">
        <f t="shared" si="96"/>
        <v/>
      </c>
      <c r="I1076" s="5"/>
    </row>
    <row r="1077" spans="1:11" s="4" customFormat="1" x14ac:dyDescent="0.25">
      <c r="A1077" s="103"/>
      <c r="B1077" s="38" t="str">
        <f>IF($A1077=0,"",VLOOKUP($A1077,'BASE EQUIPO'!$A:$D,2))</f>
        <v/>
      </c>
      <c r="C1077" s="2"/>
      <c r="D1077" s="55"/>
      <c r="E1077" s="55" t="str">
        <f>IF($A1077=0,"",VLOOKUP($A1077,'BASE EQUIPO'!$A:$D,4))</f>
        <v/>
      </c>
      <c r="F1077" s="55" t="str">
        <f t="shared" si="95"/>
        <v/>
      </c>
      <c r="G1077" s="106"/>
      <c r="H1077" s="56" t="str">
        <f t="shared" si="96"/>
        <v/>
      </c>
      <c r="I1077" s="5"/>
    </row>
    <row r="1078" spans="1:11" s="4" customFormat="1" x14ac:dyDescent="0.25">
      <c r="A1078" s="103"/>
      <c r="B1078" s="38" t="str">
        <f>IF($A1078=0,"",VLOOKUP($A1078,'BASE EQUIPO'!$A:$D,2))</f>
        <v/>
      </c>
      <c r="C1078" s="2"/>
      <c r="D1078" s="55"/>
      <c r="E1078" s="55" t="str">
        <f>IF($A1078=0,"",VLOOKUP($A1078,'BASE EQUIPO'!$A:$D,4))</f>
        <v/>
      </c>
      <c r="F1078" s="55" t="str">
        <f t="shared" si="95"/>
        <v/>
      </c>
      <c r="G1078" s="106"/>
      <c r="H1078" s="56" t="str">
        <f t="shared" si="96"/>
        <v/>
      </c>
      <c r="I1078" s="5"/>
    </row>
    <row r="1079" spans="1:11" s="4" customFormat="1" x14ac:dyDescent="0.25">
      <c r="A1079" s="103"/>
      <c r="B1079" s="57" t="str">
        <f>IF($A1079=0,"",VLOOKUP($A1079,'BASE EQUIPO'!$A:$D,2))</f>
        <v/>
      </c>
      <c r="C1079" s="58"/>
      <c r="D1079" s="59"/>
      <c r="E1079" s="59" t="str">
        <f>IF($A1079=0,"",VLOOKUP($A1079,'BASE EQUIPO'!$A:$D,4))</f>
        <v/>
      </c>
      <c r="F1079" s="59" t="str">
        <f t="shared" si="95"/>
        <v/>
      </c>
      <c r="G1079" s="107"/>
      <c r="H1079" s="60" t="str">
        <f t="shared" si="96"/>
        <v/>
      </c>
      <c r="I1079" s="5"/>
    </row>
    <row r="1080" spans="1:11" s="4" customFormat="1" x14ac:dyDescent="0.25">
      <c r="A1080" s="103"/>
      <c r="B1080" s="57" t="s">
        <v>1692</v>
      </c>
      <c r="C1080" s="58"/>
      <c r="D1080" s="61"/>
      <c r="E1080" s="61"/>
      <c r="F1080" s="61"/>
      <c r="G1080" s="62"/>
      <c r="H1080" s="60">
        <f>ROUND(SUM(H1073:H1079),2)</f>
        <v>0.16</v>
      </c>
      <c r="I1080" s="5"/>
    </row>
    <row r="1081" spans="1:11" s="4" customFormat="1" x14ac:dyDescent="0.25">
      <c r="A1081" s="103"/>
      <c r="B1081" s="38" t="s">
        <v>1503</v>
      </c>
      <c r="C1081" s="2"/>
      <c r="D1081" s="3"/>
      <c r="E1081" s="3"/>
      <c r="F1081" s="3"/>
      <c r="G1081" s="63"/>
      <c r="H1081" s="56"/>
      <c r="I1081" s="5"/>
    </row>
    <row r="1082" spans="1:11" ht="25.5" x14ac:dyDescent="0.25">
      <c r="B1082" s="64" t="s">
        <v>1691</v>
      </c>
      <c r="C1082" s="65"/>
      <c r="D1082" s="66" t="s">
        <v>1690</v>
      </c>
      <c r="E1082" s="66" t="s">
        <v>1689</v>
      </c>
      <c r="F1082" s="66" t="s">
        <v>1688</v>
      </c>
      <c r="G1082" s="67" t="s">
        <v>1687</v>
      </c>
      <c r="H1082" s="68" t="s">
        <v>1686</v>
      </c>
      <c r="I1082" s="2"/>
    </row>
    <row r="1083" spans="1:11" s="4" customFormat="1" x14ac:dyDescent="0.25">
      <c r="A1083" s="103">
        <v>20001</v>
      </c>
      <c r="B1083" s="69" t="str">
        <f>IF($A1083=0,"",VLOOKUP($A1083,'BASE M-OBRA'!$A:$D,2))</f>
        <v>MAESTRO</v>
      </c>
      <c r="C1083" s="2"/>
      <c r="D1083" s="108">
        <v>1</v>
      </c>
      <c r="E1083" s="70">
        <f>IF($A1083=0,"",VLOOKUP($A1083,'BASE M-OBRA'!$A:$D,4))</f>
        <v>3.02</v>
      </c>
      <c r="F1083" s="55">
        <f t="shared" ref="F1083:F1089" si="97">IF($A1083=0,"",ROUND(D1083*E1083,2))</f>
        <v>3.02</v>
      </c>
      <c r="G1083" s="106">
        <f>IF($A1083=0,"",ROUND(H1083/F1083,2))</f>
        <v>0.3</v>
      </c>
      <c r="H1083" s="56">
        <f>IF($A1083=0,"",ROUND(SUM(H1084:H1089)*'BASE M-OBRA'!$D$23,2))</f>
        <v>0.91</v>
      </c>
      <c r="I1083" s="5"/>
    </row>
    <row r="1084" spans="1:11" s="4" customFormat="1" x14ac:dyDescent="0.25">
      <c r="A1084" s="103">
        <v>20002</v>
      </c>
      <c r="B1084" s="69" t="str">
        <f>IF($A1084=0,"",VLOOKUP($A1084,'BASE M-OBRA'!$A:$D,2))</f>
        <v>PEON</v>
      </c>
      <c r="C1084" s="2"/>
      <c r="D1084" s="108">
        <v>2</v>
      </c>
      <c r="E1084" s="70">
        <f>IF($A1084=0,"",VLOOKUP($A1084,'BASE M-OBRA'!$A:$D,4))</f>
        <v>2.79</v>
      </c>
      <c r="F1084" s="55">
        <f t="shared" si="97"/>
        <v>5.58</v>
      </c>
      <c r="G1084" s="106">
        <v>0.27</v>
      </c>
      <c r="H1084" s="56">
        <f t="shared" ref="H1084:H1089" si="98">IF($A1084=0,"",ROUND(G1084*F1084,2))</f>
        <v>1.51</v>
      </c>
      <c r="I1084" s="5"/>
      <c r="K1084" s="4">
        <f>22/86</f>
        <v>0.2558139534883721</v>
      </c>
    </row>
    <row r="1085" spans="1:11" s="4" customFormat="1" x14ac:dyDescent="0.25">
      <c r="A1085" s="103">
        <v>20003</v>
      </c>
      <c r="B1085" s="69" t="str">
        <f>IF($A1085=0,"",VLOOKUP($A1085,'BASE M-OBRA'!$A:$D,2))</f>
        <v>ALBAÑIL</v>
      </c>
      <c r="C1085" s="2"/>
      <c r="D1085" s="108">
        <v>4</v>
      </c>
      <c r="E1085" s="70">
        <f>IF($A1085=0,"",VLOOKUP($A1085,'BASE M-OBRA'!$A:$D,4))</f>
        <v>2.82</v>
      </c>
      <c r="F1085" s="55">
        <f t="shared" si="97"/>
        <v>11.28</v>
      </c>
      <c r="G1085" s="106">
        <f>+G1084</f>
        <v>0.27</v>
      </c>
      <c r="H1085" s="56">
        <f t="shared" si="98"/>
        <v>3.05</v>
      </c>
      <c r="I1085" s="5"/>
      <c r="K1085" s="4">
        <f>+K1084*160</f>
        <v>40.930232558139537</v>
      </c>
    </row>
    <row r="1086" spans="1:11" s="4" customFormat="1" x14ac:dyDescent="0.25">
      <c r="A1086" s="103"/>
      <c r="B1086" s="71" t="str">
        <f>IF($A1086=0,"",VLOOKUP($A1086,'BASE M-OBRA'!$A:$D,2))</f>
        <v/>
      </c>
      <c r="C1086" s="2"/>
      <c r="D1086" s="108"/>
      <c r="E1086" s="70" t="str">
        <f>IF($A1086=0,"",VLOOKUP($A1086,'BASE M-OBRA'!$A:$D,4))</f>
        <v/>
      </c>
      <c r="F1086" s="55" t="str">
        <f t="shared" si="97"/>
        <v/>
      </c>
      <c r="G1086" s="106"/>
      <c r="H1086" s="56" t="str">
        <f t="shared" si="98"/>
        <v/>
      </c>
      <c r="I1086" s="5"/>
    </row>
    <row r="1087" spans="1:11" s="4" customFormat="1" x14ac:dyDescent="0.25">
      <c r="A1087" s="103"/>
      <c r="B1087" s="72" t="str">
        <f>IF($A1087=0,"",VLOOKUP($A1087,'BASE M-OBRA'!$A:$D,2))</f>
        <v/>
      </c>
      <c r="C1087" s="2"/>
      <c r="D1087" s="108"/>
      <c r="E1087" s="70" t="str">
        <f>IF($A1087=0,"",VLOOKUP($A1087,'BASE M-OBRA'!$A:$D,4))</f>
        <v/>
      </c>
      <c r="F1087" s="55" t="str">
        <f t="shared" si="97"/>
        <v/>
      </c>
      <c r="G1087" s="106"/>
      <c r="H1087" s="56" t="str">
        <f t="shared" si="98"/>
        <v/>
      </c>
      <c r="I1087" s="5"/>
    </row>
    <row r="1088" spans="1:11" s="4" customFormat="1" x14ac:dyDescent="0.25">
      <c r="A1088" s="103"/>
      <c r="B1088" s="38" t="str">
        <f>IF($A1088=0,"",VLOOKUP($A1088,'BASE M-OBRA'!$A:$D,2))</f>
        <v/>
      </c>
      <c r="C1088" s="2"/>
      <c r="D1088" s="55"/>
      <c r="E1088" s="55" t="str">
        <f>IF($A1088=0,"",VLOOKUP($A1088,'BASE M-OBRA'!$A:$D,4))</f>
        <v/>
      </c>
      <c r="F1088" s="55" t="str">
        <f t="shared" si="97"/>
        <v/>
      </c>
      <c r="G1088" s="106"/>
      <c r="H1088" s="56" t="str">
        <f t="shared" si="98"/>
        <v/>
      </c>
      <c r="I1088" s="5"/>
    </row>
    <row r="1089" spans="1:16" s="4" customFormat="1" x14ac:dyDescent="0.25">
      <c r="A1089" s="103"/>
      <c r="B1089" s="57" t="str">
        <f>IF($A1089=0,"",VLOOKUP($A1089,'BASE M-OBRA'!$A:$D,2))</f>
        <v/>
      </c>
      <c r="C1089" s="58"/>
      <c r="D1089" s="59"/>
      <c r="E1089" s="59" t="str">
        <f>IF($A1089=0,"",VLOOKUP($A1089,'BASE M-OBRA'!$A:$D,4))</f>
        <v/>
      </c>
      <c r="F1089" s="59" t="str">
        <f t="shared" si="97"/>
        <v/>
      </c>
      <c r="G1089" s="107"/>
      <c r="H1089" s="60" t="str">
        <f t="shared" si="98"/>
        <v/>
      </c>
      <c r="I1089" s="5"/>
    </row>
    <row r="1090" spans="1:16" s="4" customFormat="1" x14ac:dyDescent="0.25">
      <c r="A1090" s="103"/>
      <c r="B1090" s="73" t="s">
        <v>1685</v>
      </c>
      <c r="C1090" s="65"/>
      <c r="D1090" s="74"/>
      <c r="E1090" s="74"/>
      <c r="F1090" s="74"/>
      <c r="G1090" s="74"/>
      <c r="H1090" s="75">
        <f>ROUND(SUM(H1082:H1089),2)</f>
        <v>5.47</v>
      </c>
      <c r="I1090" s="5"/>
    </row>
    <row r="1091" spans="1:16" s="4" customFormat="1" x14ac:dyDescent="0.25">
      <c r="A1091" s="103"/>
      <c r="B1091" s="38" t="s">
        <v>1684</v>
      </c>
      <c r="C1091" s="2"/>
      <c r="D1091" s="3"/>
      <c r="E1091" s="3"/>
      <c r="F1091" s="3"/>
      <c r="G1091" s="3"/>
      <c r="H1091" s="56"/>
      <c r="I1091" s="5"/>
    </row>
    <row r="1092" spans="1:16" ht="25.5" x14ac:dyDescent="0.25">
      <c r="B1092" s="64" t="s">
        <v>1409</v>
      </c>
      <c r="C1092" s="65"/>
      <c r="D1092" s="76"/>
      <c r="E1092" s="66" t="s">
        <v>1408</v>
      </c>
      <c r="F1092" s="66" t="s">
        <v>1679</v>
      </c>
      <c r="G1092" s="66" t="s">
        <v>1683</v>
      </c>
      <c r="H1092" s="68" t="s">
        <v>1675</v>
      </c>
      <c r="I1092" s="2"/>
    </row>
    <row r="1093" spans="1:16" s="4" customFormat="1" x14ac:dyDescent="0.25">
      <c r="A1093" s="103">
        <v>4001</v>
      </c>
      <c r="B1093" s="38" t="str">
        <f>IF($A1093=0,"",VLOOKUP($A1093,'BASE MATERIAL'!$A:$D,2))</f>
        <v>CEMENTO</v>
      </c>
      <c r="C1093" s="2"/>
      <c r="D1093" s="77"/>
      <c r="E1093" s="78" t="str">
        <f>IF($A1093=0,"",VLOOKUP($A1093,'BASE MATERIAL'!$A:$D,3))</f>
        <v>SACO</v>
      </c>
      <c r="F1093" s="55">
        <f>ROUND(1*0.02*10*1.05,3)</f>
        <v>0.21</v>
      </c>
      <c r="G1093" s="55">
        <f>IF($A1093=0,"",VLOOKUP($A1093,'BASE MATERIAL'!$A:$D,4))</f>
        <v>7.09</v>
      </c>
      <c r="H1093" s="56">
        <f t="shared" ref="H1093:H1107" si="99">IF($A1093=0,"",ROUND(F1093*G1093,2))</f>
        <v>1.49</v>
      </c>
      <c r="I1093" s="5"/>
      <c r="K1093" s="4">
        <f>24*2.5*0.2</f>
        <v>12</v>
      </c>
      <c r="L1093" s="5"/>
      <c r="M1093" s="5"/>
      <c r="N1093" s="160"/>
      <c r="O1093" s="5"/>
      <c r="P1093" s="5"/>
    </row>
    <row r="1094" spans="1:16" s="4" customFormat="1" x14ac:dyDescent="0.25">
      <c r="A1094" s="103">
        <v>5004</v>
      </c>
      <c r="B1094" s="38" t="str">
        <f>IF($A1094=0,"",VLOOKUP($A1094,'BASE MATERIAL'!$A:$D,2))</f>
        <v>ARENA</v>
      </c>
      <c r="C1094" s="2"/>
      <c r="D1094" s="77"/>
      <c r="E1094" s="78" t="str">
        <f>IF($A1094=0,"",VLOOKUP($A1094,'BASE MATERIAL'!$A:$D,3))</f>
        <v>M3</v>
      </c>
      <c r="F1094" s="55">
        <f>ROUND(F1093*0.032*3,2)</f>
        <v>0.02</v>
      </c>
      <c r="G1094" s="55">
        <f>IF($A1094=0,"",VLOOKUP($A1094,'BASE MATERIAL'!$A:$D,4))</f>
        <v>12.276249999999999</v>
      </c>
      <c r="H1094" s="56">
        <f t="shared" si="99"/>
        <v>0.25</v>
      </c>
      <c r="I1094" s="5"/>
      <c r="K1094" s="4">
        <v>28.4</v>
      </c>
      <c r="L1094" s="5"/>
      <c r="M1094" s="5"/>
      <c r="N1094" s="160"/>
      <c r="O1094" s="5"/>
      <c r="P1094" s="5"/>
    </row>
    <row r="1095" spans="1:16" s="4" customFormat="1" x14ac:dyDescent="0.25">
      <c r="A1095" s="103">
        <v>5005</v>
      </c>
      <c r="B1095" s="38" t="str">
        <f>IF($A1095=0,"",VLOOKUP($A1095,'BASE MATERIAL'!$A:$D,2))</f>
        <v>AGUA</v>
      </c>
      <c r="C1095" s="2"/>
      <c r="D1095" s="77"/>
      <c r="E1095" s="78" t="str">
        <f>IF($A1095=0,"",VLOOKUP($A1095,'BASE MATERIAL'!$A:$D,3))</f>
        <v>LT</v>
      </c>
      <c r="F1095" s="55">
        <f>ROUND(30*F1093,2)</f>
        <v>6.3</v>
      </c>
      <c r="G1095" s="80">
        <f>IF($A1095=0,"",VLOOKUP($A1095,'BASE MATERIAL'!$A:$D,4))</f>
        <v>2E-3</v>
      </c>
      <c r="H1095" s="56">
        <f t="shared" si="99"/>
        <v>0.01</v>
      </c>
      <c r="I1095" s="5"/>
      <c r="K1095" s="4">
        <f>SUM(K1093:K1094)</f>
        <v>40.4</v>
      </c>
      <c r="L1095" s="5"/>
      <c r="M1095" s="5"/>
      <c r="N1095" s="160"/>
      <c r="O1095" s="5"/>
      <c r="P1095" s="5"/>
    </row>
    <row r="1096" spans="1:16" s="4" customFormat="1" x14ac:dyDescent="0.25">
      <c r="A1096" s="103"/>
      <c r="B1096" s="38" t="str">
        <f>IF($A1096=0,"",VLOOKUP($A1096,'BASE MATERIAL'!$A:$D,2))</f>
        <v/>
      </c>
      <c r="C1096" s="2"/>
      <c r="D1096" s="77"/>
      <c r="E1096" s="78" t="str">
        <f>IF($A1096=0,"",VLOOKUP($A1096,'BASE MATERIAL'!$A:$D,3))</f>
        <v/>
      </c>
      <c r="F1096" s="55"/>
      <c r="G1096" s="55" t="str">
        <f>IF($A1096=0,"",VLOOKUP($A1096,'BASE MATERIAL'!$A:$D,4))</f>
        <v/>
      </c>
      <c r="H1096" s="56" t="str">
        <f t="shared" si="99"/>
        <v/>
      </c>
      <c r="I1096" s="5"/>
      <c r="K1096" s="4">
        <f>+K1095*2</f>
        <v>80.8</v>
      </c>
      <c r="L1096" s="5"/>
      <c r="M1096" s="5"/>
      <c r="N1096" s="160"/>
      <c r="O1096" s="5"/>
      <c r="P1096" s="5"/>
    </row>
    <row r="1097" spans="1:16" s="4" customFormat="1" x14ac:dyDescent="0.25">
      <c r="A1097" s="103"/>
      <c r="B1097" s="38" t="str">
        <f>IF($A1097=0,"",VLOOKUP($A1097,'BASE MATERIAL'!$A:$D,2))</f>
        <v/>
      </c>
      <c r="C1097" s="2"/>
      <c r="D1097" s="77"/>
      <c r="E1097" s="78" t="str">
        <f>IF($A1097=0,"",VLOOKUP($A1097,'BASE MATERIAL'!$A:$D,3))</f>
        <v/>
      </c>
      <c r="F1097" s="55"/>
      <c r="G1097" s="55" t="str">
        <f>IF($A1097=0,"",VLOOKUP($A1097,'BASE MATERIAL'!$A:$D,4))</f>
        <v/>
      </c>
      <c r="H1097" s="56" t="str">
        <f t="shared" si="99"/>
        <v/>
      </c>
      <c r="I1097" s="5"/>
      <c r="K1097" s="4">
        <f>+K1096*2</f>
        <v>161.6</v>
      </c>
      <c r="L1097" s="5"/>
      <c r="M1097" s="5"/>
      <c r="N1097" s="160"/>
      <c r="O1097" s="5"/>
      <c r="P1097" s="5"/>
    </row>
    <row r="1098" spans="1:16" s="4" customFormat="1" x14ac:dyDescent="0.25">
      <c r="A1098" s="103"/>
      <c r="B1098" s="38" t="str">
        <f>IF($A1098=0,"",VLOOKUP($A1098,'BASE MATERIAL'!$A:$D,2))</f>
        <v/>
      </c>
      <c r="C1098" s="2"/>
      <c r="D1098" s="77"/>
      <c r="E1098" s="78" t="str">
        <f>IF($A1098=0,"",VLOOKUP($A1098,'BASE MATERIAL'!$A:$D,3))</f>
        <v/>
      </c>
      <c r="F1098" s="55"/>
      <c r="G1098" s="55" t="str">
        <f>IF($A1098=0,"",VLOOKUP($A1098,'BASE MATERIAL'!$A:$D,4))</f>
        <v/>
      </c>
      <c r="H1098" s="56" t="str">
        <f t="shared" si="99"/>
        <v/>
      </c>
      <c r="I1098" s="5"/>
      <c r="L1098" s="5"/>
      <c r="M1098" s="5"/>
      <c r="N1098" s="160"/>
      <c r="O1098" s="5"/>
      <c r="P1098" s="5"/>
    </row>
    <row r="1099" spans="1:16" s="4" customFormat="1" x14ac:dyDescent="0.25">
      <c r="A1099" s="103"/>
      <c r="B1099" s="38" t="str">
        <f>IF($A1099=0,"",VLOOKUP($A1099,'BASE MATERIAL'!$A:$D,2))</f>
        <v/>
      </c>
      <c r="C1099" s="2"/>
      <c r="D1099" s="77"/>
      <c r="E1099" s="78" t="str">
        <f>IF($A1099=0,"",VLOOKUP($A1099,'BASE MATERIAL'!$A:$D,3))</f>
        <v/>
      </c>
      <c r="F1099" s="55"/>
      <c r="G1099" s="55" t="str">
        <f>IF($A1099=0,"",VLOOKUP($A1099,'BASE MATERIAL'!$A:$D,4))</f>
        <v/>
      </c>
      <c r="H1099" s="56" t="str">
        <f t="shared" si="99"/>
        <v/>
      </c>
      <c r="I1099" s="5"/>
      <c r="L1099" s="5"/>
      <c r="M1099" s="5"/>
      <c r="N1099" s="160"/>
      <c r="O1099" s="5"/>
      <c r="P1099" s="5"/>
    </row>
    <row r="1100" spans="1:16" s="4" customFormat="1" x14ac:dyDescent="0.25">
      <c r="A1100" s="103"/>
      <c r="B1100" s="38" t="str">
        <f>IF($A1100=0,"",VLOOKUP($A1100,'BASE MATERIAL'!$A:$D,2))</f>
        <v/>
      </c>
      <c r="C1100" s="2"/>
      <c r="D1100" s="77"/>
      <c r="E1100" s="78" t="str">
        <f>IF($A1100=0,"",VLOOKUP($A1100,'BASE MATERIAL'!$A:$D,3))</f>
        <v/>
      </c>
      <c r="F1100" s="55"/>
      <c r="G1100" s="55" t="str">
        <f>IF($A1100=0,"",VLOOKUP($A1100,'BASE MATERIAL'!$A:$D,4))</f>
        <v/>
      </c>
      <c r="H1100" s="56" t="str">
        <f t="shared" si="99"/>
        <v/>
      </c>
      <c r="I1100" s="5"/>
      <c r="L1100" s="5"/>
      <c r="M1100" s="5"/>
      <c r="N1100" s="160"/>
      <c r="O1100" s="5"/>
      <c r="P1100" s="5"/>
    </row>
    <row r="1101" spans="1:16" s="4" customFormat="1" x14ac:dyDescent="0.25">
      <c r="A1101" s="103"/>
      <c r="B1101" s="38" t="str">
        <f>IF($A1101=0,"",VLOOKUP($A1101,'BASE MATERIAL'!$A:$D,2))</f>
        <v/>
      </c>
      <c r="C1101" s="2"/>
      <c r="D1101" s="77"/>
      <c r="E1101" s="78" t="str">
        <f>IF($A1101=0,"",VLOOKUP($A1101,'BASE MATERIAL'!$A:$D,3))</f>
        <v/>
      </c>
      <c r="F1101" s="55"/>
      <c r="G1101" s="55" t="str">
        <f>IF($A1101=0,"",VLOOKUP($A1101,'BASE MATERIAL'!$A:$D,4))</f>
        <v/>
      </c>
      <c r="H1101" s="56" t="str">
        <f t="shared" si="99"/>
        <v/>
      </c>
      <c r="I1101" s="5"/>
    </row>
    <row r="1102" spans="1:16" s="4" customFormat="1" x14ac:dyDescent="0.25">
      <c r="A1102" s="103"/>
      <c r="B1102" s="38" t="str">
        <f>IF($A1102=0,"",VLOOKUP($A1102,'BASE MATERIAL'!$A:$D,2))</f>
        <v/>
      </c>
      <c r="C1102" s="2"/>
      <c r="D1102" s="77"/>
      <c r="E1102" s="78" t="str">
        <f>IF($A1102=0,"",VLOOKUP($A1102,'BASE MATERIAL'!$A:$D,3))</f>
        <v/>
      </c>
      <c r="F1102" s="55"/>
      <c r="G1102" s="55" t="str">
        <f>IF($A1102=0,"",VLOOKUP($A1102,'BASE MATERIAL'!$A:$D,4))</f>
        <v/>
      </c>
      <c r="H1102" s="56" t="str">
        <f t="shared" si="99"/>
        <v/>
      </c>
      <c r="I1102" s="5"/>
      <c r="L1102" s="5"/>
      <c r="M1102" s="5"/>
      <c r="N1102" s="160"/>
      <c r="O1102" s="5"/>
      <c r="P1102" s="5"/>
    </row>
    <row r="1103" spans="1:16" s="4" customFormat="1" x14ac:dyDescent="0.25">
      <c r="A1103" s="103"/>
      <c r="B1103" s="38" t="str">
        <f>IF($A1103=0,"",VLOOKUP($A1103,'BASE MATERIAL'!$A:$D,2))</f>
        <v/>
      </c>
      <c r="C1103" s="2"/>
      <c r="D1103" s="77"/>
      <c r="E1103" s="78" t="str">
        <f>IF($A1103=0,"",VLOOKUP($A1103,'BASE MATERIAL'!$A:$D,3))</f>
        <v/>
      </c>
      <c r="F1103" s="55"/>
      <c r="G1103" s="55" t="str">
        <f>IF($A1103=0,"",VLOOKUP($A1103,'BASE MATERIAL'!$A:$D,4))</f>
        <v/>
      </c>
      <c r="H1103" s="56" t="str">
        <f t="shared" si="99"/>
        <v/>
      </c>
      <c r="I1103" s="5"/>
      <c r="L1103" s="5"/>
      <c r="M1103" s="5"/>
      <c r="N1103" s="160"/>
      <c r="O1103" s="5"/>
      <c r="P1103" s="5"/>
    </row>
    <row r="1104" spans="1:16" s="4" customFormat="1" x14ac:dyDescent="0.25">
      <c r="A1104" s="103"/>
      <c r="B1104" s="38" t="str">
        <f>IF($A1104=0,"",VLOOKUP($A1104,'BASE MATERIAL'!$A:$D,2))</f>
        <v/>
      </c>
      <c r="C1104" s="2"/>
      <c r="D1104" s="77"/>
      <c r="E1104" s="78" t="str">
        <f>IF($A1104=0,"",VLOOKUP($A1104,'BASE MATERIAL'!$A:$D,3))</f>
        <v/>
      </c>
      <c r="F1104" s="55"/>
      <c r="G1104" s="55" t="str">
        <f>IF($A1104=0,"",VLOOKUP($A1104,'BASE MATERIAL'!$A:$D,4))</f>
        <v/>
      </c>
      <c r="H1104" s="56" t="str">
        <f t="shared" si="99"/>
        <v/>
      </c>
      <c r="I1104" s="5"/>
    </row>
    <row r="1105" spans="1:9" s="4" customFormat="1" x14ac:dyDescent="0.25">
      <c r="A1105" s="103"/>
      <c r="B1105" s="38" t="str">
        <f>IF($A1105=0,"",VLOOKUP($A1105,'BASE MATERIAL'!$A:$D,2))</f>
        <v/>
      </c>
      <c r="C1105" s="2"/>
      <c r="D1105" s="77"/>
      <c r="E1105" s="78" t="str">
        <f>IF($A1105=0,"",VLOOKUP($A1105,'BASE MATERIAL'!$A:$D,3))</f>
        <v/>
      </c>
      <c r="F1105" s="55"/>
      <c r="G1105" s="55" t="str">
        <f>IF($A1105=0,"",VLOOKUP($A1105,'BASE MATERIAL'!$A:$D,4))</f>
        <v/>
      </c>
      <c r="H1105" s="56" t="str">
        <f t="shared" si="99"/>
        <v/>
      </c>
      <c r="I1105" s="5"/>
    </row>
    <row r="1106" spans="1:9" s="4" customFormat="1" x14ac:dyDescent="0.25">
      <c r="A1106" s="103"/>
      <c r="B1106" s="38" t="str">
        <f>IF($A1106=0,"",VLOOKUP($A1106,'BASE MATERIAL'!$A:$D,2))</f>
        <v/>
      </c>
      <c r="C1106" s="2"/>
      <c r="D1106" s="77"/>
      <c r="E1106" s="78" t="str">
        <f>IF($A1106=0,"",VLOOKUP($A1106,'BASE MATERIAL'!$A:$D,3))</f>
        <v/>
      </c>
      <c r="F1106" s="55"/>
      <c r="G1106" s="55" t="str">
        <f>IF($A1106=0,"",VLOOKUP($A1106,'BASE MATERIAL'!$A:$D,4))</f>
        <v/>
      </c>
      <c r="H1106" s="56" t="str">
        <f t="shared" si="99"/>
        <v/>
      </c>
      <c r="I1106" s="5"/>
    </row>
    <row r="1107" spans="1:9" s="4" customFormat="1" x14ac:dyDescent="0.25">
      <c r="A1107" s="103"/>
      <c r="B1107" s="38" t="str">
        <f>IF($A1107=0,"",VLOOKUP($A1107,'BASE MATERIAL'!$A:$D,2))</f>
        <v/>
      </c>
      <c r="C1107" s="2"/>
      <c r="D1107" s="77"/>
      <c r="E1107" s="78" t="str">
        <f>IF($A1107=0,"",VLOOKUP($A1107,'BASE MATERIAL'!$A:$D,3))</f>
        <v/>
      </c>
      <c r="F1107" s="55"/>
      <c r="G1107" s="55" t="str">
        <f>IF($A1107=0,"",VLOOKUP($A1107,'BASE MATERIAL'!$A:$D,4))</f>
        <v/>
      </c>
      <c r="H1107" s="56" t="str">
        <f t="shared" si="99"/>
        <v/>
      </c>
      <c r="I1107" s="5"/>
    </row>
    <row r="1108" spans="1:9" s="4" customFormat="1" x14ac:dyDescent="0.25">
      <c r="A1108" s="103"/>
      <c r="B1108" s="38" t="str">
        <f>IF($A1108=0,"",VLOOKUP($A1108,'BASE MATERIAL'!$A:$D,2))</f>
        <v/>
      </c>
      <c r="C1108" s="2"/>
      <c r="D1108" s="81" t="s">
        <v>1682</v>
      </c>
      <c r="E1108" s="55" t="str">
        <f>IF($A1108=0,"",VLOOKUP($A1108,'BASE MATERIAL'!$A:$D,3))</f>
        <v/>
      </c>
      <c r="F1108" s="55" t="s">
        <v>1682</v>
      </c>
      <c r="G1108" s="55" t="str">
        <f>IF($A1108=0,"",VLOOKUP($A1108,'BASE MATERIAL'!$A:$D,4))</f>
        <v/>
      </c>
      <c r="H1108" s="56" t="str">
        <f>IF($A1108=0,"",ROUND(E1108*F1108,2))</f>
        <v/>
      </c>
      <c r="I1108" s="5"/>
    </row>
    <row r="1109" spans="1:9" s="4" customFormat="1" x14ac:dyDescent="0.25">
      <c r="A1109" s="103"/>
      <c r="B1109" s="73" t="s">
        <v>1681</v>
      </c>
      <c r="C1109" s="65"/>
      <c r="D1109" s="74"/>
      <c r="E1109" s="74"/>
      <c r="F1109" s="74"/>
      <c r="G1109" s="74"/>
      <c r="H1109" s="75">
        <f>ROUND(SUM(H1092:H1108),2)</f>
        <v>1.75</v>
      </c>
      <c r="I1109" s="5"/>
    </row>
    <row r="1110" spans="1:9" s="4" customFormat="1" x14ac:dyDescent="0.25">
      <c r="A1110" s="103"/>
      <c r="B1110" s="38" t="s">
        <v>1680</v>
      </c>
      <c r="C1110" s="2"/>
      <c r="D1110" s="3"/>
      <c r="E1110" s="3"/>
      <c r="F1110" s="3"/>
      <c r="G1110" s="3"/>
      <c r="H1110" s="56"/>
      <c r="I1110" s="5"/>
    </row>
    <row r="1111" spans="1:9" ht="25.5" x14ac:dyDescent="0.25">
      <c r="B1111" s="64" t="s">
        <v>1409</v>
      </c>
      <c r="C1111" s="65"/>
      <c r="D1111" s="76"/>
      <c r="E1111" s="66" t="s">
        <v>1408</v>
      </c>
      <c r="F1111" s="66" t="s">
        <v>1679</v>
      </c>
      <c r="G1111" s="66" t="s">
        <v>1676</v>
      </c>
      <c r="H1111" s="68" t="s">
        <v>1675</v>
      </c>
      <c r="I1111" s="2"/>
    </row>
    <row r="1112" spans="1:9" s="4" customFormat="1" x14ac:dyDescent="0.25">
      <c r="A1112" s="103">
        <v>19019</v>
      </c>
      <c r="B1112" s="51" t="str">
        <f>IF($A1112=0,"",VLOOKUP($A1112,'BASE EQUIPO'!$A:$D,2))</f>
        <v>TRANSPORTE DE MATERIAL</v>
      </c>
      <c r="C1112" s="52"/>
      <c r="D1112" s="82"/>
      <c r="E1112" s="78" t="str">
        <f>IF($A1112=0,"",VLOOKUP($A1112,'BASE EQUIPO'!$A:$D,3))</f>
        <v>GLOBAL</v>
      </c>
      <c r="F1112" s="55">
        <v>1</v>
      </c>
      <c r="G1112" s="83">
        <f>IF($A1112=0,"",VLOOKUP($A1112,'BASE EQUIPO'!$A:$D,4)*H1109)</f>
        <v>5.2499999999999998E-2</v>
      </c>
      <c r="H1112" s="56">
        <f>IF($A1112=0,"",ROUND(F1112*G1112,2))</f>
        <v>0.05</v>
      </c>
      <c r="I1112" s="5"/>
    </row>
    <row r="1113" spans="1:9" s="4" customFormat="1" x14ac:dyDescent="0.25">
      <c r="A1113" s="103"/>
      <c r="B1113" s="38" t="str">
        <f>IF($A1113=0,"",VLOOKUP($A1113,'BASE EQUIPO'!$A:$D,2))</f>
        <v/>
      </c>
      <c r="C1113" s="2"/>
      <c r="D1113" s="84"/>
      <c r="E1113" s="78" t="str">
        <f>IF($A1113=0,"",VLOOKUP($A1113,'BASE EQUIPO'!$A:$D,3))</f>
        <v/>
      </c>
      <c r="F1113" s="55"/>
      <c r="G1113" s="55" t="str">
        <f>IF($A1113=0,"",VLOOKUP($A1113,'BASE EQUIPO'!$A:$D,4)*H1110)</f>
        <v/>
      </c>
      <c r="H1113" s="56" t="str">
        <f>IF($A1113=0,"",ROUND(F1113*G1113,2))</f>
        <v/>
      </c>
      <c r="I1113" s="5"/>
    </row>
    <row r="1114" spans="1:9" s="4" customFormat="1" x14ac:dyDescent="0.25">
      <c r="A1114" s="103"/>
      <c r="B1114" s="57" t="str">
        <f>IF($A1114=0,"",VLOOKUP($A1114,'BASE EQUIPO'!$A:$D,2))</f>
        <v/>
      </c>
      <c r="C1114" s="58"/>
      <c r="D1114" s="85"/>
      <c r="E1114" s="86" t="str">
        <f>IF($A1114=0,"",VLOOKUP($A1114,'BASE EQUIPO'!$A:$D,3))</f>
        <v/>
      </c>
      <c r="F1114" s="59"/>
      <c r="G1114" s="59" t="str">
        <f>IF($A1114=0,"",VLOOKUP($A1114,'BASE EQUIPO'!$A:$D,4)*H1111)</f>
        <v/>
      </c>
      <c r="H1114" s="60" t="str">
        <f>IF($A1114=0,"",ROUND(F1114*G1114,2))</f>
        <v/>
      </c>
      <c r="I1114" s="5"/>
    </row>
    <row r="1115" spans="1:9" s="4" customFormat="1" ht="15.75" thickBot="1" x14ac:dyDescent="0.3">
      <c r="A1115" s="103"/>
      <c r="B1115" s="87" t="s">
        <v>1674</v>
      </c>
      <c r="C1115" s="88"/>
      <c r="D1115" s="89"/>
      <c r="E1115" s="89"/>
      <c r="F1115" s="89"/>
      <c r="G1115" s="89"/>
      <c r="H1115" s="90">
        <f>ROUND(SUM(H1111:H1114),2)</f>
        <v>0.05</v>
      </c>
      <c r="I1115" s="5"/>
    </row>
    <row r="1116" spans="1:9" s="4" customFormat="1" ht="15.75" x14ac:dyDescent="0.25">
      <c r="A1116" s="103"/>
      <c r="B1116" s="2"/>
      <c r="C1116" s="2"/>
      <c r="D1116" s="91" t="s">
        <v>1673</v>
      </c>
      <c r="E1116" s="177"/>
      <c r="F1116" s="177"/>
      <c r="G1116" s="177"/>
      <c r="H1116" s="92">
        <f>ROUND(SUM(H1115,H1109,H1090,H1080),2)</f>
        <v>7.43</v>
      </c>
      <c r="I1116" s="5"/>
    </row>
    <row r="1117" spans="1:9" s="4" customFormat="1" ht="15.75" x14ac:dyDescent="0.25">
      <c r="A1117" s="103">
        <v>40002</v>
      </c>
      <c r="B1117" s="2"/>
      <c r="C1117" s="2"/>
      <c r="D1117" s="93" t="s">
        <v>1672</v>
      </c>
      <c r="E1117" s="166"/>
      <c r="F1117" s="166"/>
      <c r="G1117" s="178">
        <f>IF($A1117=0,"",VLOOKUP($A1117,'BASE MATERIAL'!$M:$P,4))</f>
        <v>0</v>
      </c>
      <c r="H1117" s="95">
        <f>IF($A1117=0,"",ROUND(G1117*H1116,2))</f>
        <v>0</v>
      </c>
      <c r="I1117" s="5"/>
    </row>
    <row r="1118" spans="1:9" s="4" customFormat="1" ht="15.75" x14ac:dyDescent="0.25">
      <c r="A1118" s="103">
        <v>40003</v>
      </c>
      <c r="B1118" s="2"/>
      <c r="C1118" s="2"/>
      <c r="D1118" s="93" t="s">
        <v>1671</v>
      </c>
      <c r="E1118" s="166"/>
      <c r="F1118" s="166"/>
      <c r="G1118" s="178">
        <f>IF($A1118=0,"",VLOOKUP($A1118,'BASE MATERIAL'!$M:$P,4))</f>
        <v>0</v>
      </c>
      <c r="H1118" s="95">
        <f>IF($A1118=0,"",ROUND(G1118*H1116,2))</f>
        <v>0</v>
      </c>
      <c r="I1118" s="5"/>
    </row>
    <row r="1119" spans="1:9" s="4" customFormat="1" ht="15.75" x14ac:dyDescent="0.25">
      <c r="A1119" s="103"/>
      <c r="B1119" s="2"/>
      <c r="C1119" s="2"/>
      <c r="D1119" s="93" t="s">
        <v>1670</v>
      </c>
      <c r="E1119" s="166"/>
      <c r="F1119" s="166"/>
      <c r="G1119" s="166"/>
      <c r="H1119" s="96">
        <f>ROUND(SUM(H1116:H1118),2)</f>
        <v>7.43</v>
      </c>
      <c r="I1119" s="5"/>
    </row>
    <row r="1120" spans="1:9" s="4" customFormat="1" ht="16.5" thickBot="1" x14ac:dyDescent="0.3">
      <c r="A1120" s="103"/>
      <c r="B1120" s="25"/>
      <c r="C1120" s="5"/>
      <c r="D1120" s="97" t="s">
        <v>1650</v>
      </c>
      <c r="E1120" s="179"/>
      <c r="F1120" s="179"/>
      <c r="G1120" s="179"/>
      <c r="H1120" s="98">
        <f>ROUND(H1119,2)</f>
        <v>7.43</v>
      </c>
      <c r="I1120" s="5"/>
    </row>
    <row r="1121" spans="1:15" ht="15.75" x14ac:dyDescent="0.25">
      <c r="B1121" s="34" t="s">
        <v>1701</v>
      </c>
      <c r="C1121" s="5"/>
      <c r="D1121" s="157" t="str">
        <f>$D$113</f>
        <v>ESPOL</v>
      </c>
      <c r="E1121" s="2"/>
      <c r="F1121" s="2"/>
      <c r="H1121" s="2" t="s">
        <v>108</v>
      </c>
      <c r="I1121" s="2"/>
      <c r="L1121" s="40">
        <f>A1125</f>
        <v>22</v>
      </c>
      <c r="M1121" s="1" t="str">
        <f>C1126</f>
        <v>Enlucido de escalera (escalones)</v>
      </c>
      <c r="N1121" s="2" t="str">
        <f>H1125</f>
        <v>ml</v>
      </c>
      <c r="O1121" s="2">
        <f>H1176</f>
        <v>5.15</v>
      </c>
    </row>
    <row r="1122" spans="1:15" s="4" customFormat="1" ht="15.75" x14ac:dyDescent="0.25">
      <c r="A1122" s="103"/>
      <c r="B1122" s="34" t="s">
        <v>1700</v>
      </c>
      <c r="C1122" s="3">
        <f>'1.1'!$C$2</f>
        <v>0</v>
      </c>
      <c r="D1122" s="5"/>
      <c r="E1122" s="5"/>
      <c r="F1122" s="5"/>
      <c r="G1122" s="158" t="s">
        <v>1699</v>
      </c>
      <c r="H1122" s="159"/>
      <c r="I1122" s="5" t="s">
        <v>1698</v>
      </c>
    </row>
    <row r="1123" spans="1:15" s="4" customFormat="1" ht="15.75" x14ac:dyDescent="0.25">
      <c r="A1123" s="103"/>
      <c r="B1123" s="34"/>
      <c r="C1123" s="3">
        <f>'1.1'!$C$3</f>
        <v>0</v>
      </c>
      <c r="D1123" s="5"/>
      <c r="E1123" s="5"/>
      <c r="F1123" s="5"/>
      <c r="G1123" s="5"/>
      <c r="H1123" s="5"/>
      <c r="I1123" s="5"/>
    </row>
    <row r="1124" spans="1:15" s="4" customFormat="1" ht="15.75" x14ac:dyDescent="0.25">
      <c r="A1124" s="103"/>
      <c r="B1124" s="34" t="s">
        <v>1697</v>
      </c>
      <c r="C1124" s="3"/>
      <c r="D1124" s="5"/>
      <c r="E1124" s="5"/>
      <c r="F1124" s="5"/>
      <c r="G1124" s="5"/>
      <c r="H1124" s="5"/>
      <c r="I1124" s="5"/>
    </row>
    <row r="1125" spans="1:15" x14ac:dyDescent="0.25">
      <c r="A1125" s="104">
        <v>22</v>
      </c>
      <c r="B1125" s="2" t="s">
        <v>1586</v>
      </c>
      <c r="C1125" s="36" t="s">
        <v>665</v>
      </c>
      <c r="D1125" s="5"/>
      <c r="E1125" s="4"/>
      <c r="F1125" s="4"/>
      <c r="G1125" s="5" t="s">
        <v>1696</v>
      </c>
      <c r="H1125" s="3" t="s">
        <v>961</v>
      </c>
      <c r="I1125" s="2"/>
    </row>
    <row r="1126" spans="1:15" s="4" customFormat="1" x14ac:dyDescent="0.25">
      <c r="A1126" s="103"/>
      <c r="B1126" s="1" t="s">
        <v>1585</v>
      </c>
      <c r="C1126" s="36" t="s">
        <v>56</v>
      </c>
      <c r="D1126" s="5"/>
      <c r="E1126" s="5"/>
      <c r="F1126" s="5"/>
      <c r="G1126" s="5"/>
      <c r="H1126" s="5"/>
      <c r="I1126" s="5"/>
    </row>
    <row r="1127" spans="1:15" ht="15.75" thickBot="1" x14ac:dyDescent="0.3">
      <c r="D1127" s="2"/>
      <c r="E1127" s="2"/>
      <c r="F1127" s="2"/>
      <c r="G1127" s="2"/>
      <c r="H1127" s="2"/>
      <c r="I1127" s="2"/>
    </row>
    <row r="1128" spans="1:15" ht="15.75" thickBot="1" x14ac:dyDescent="0.3">
      <c r="B1128" s="43" t="s">
        <v>1695</v>
      </c>
      <c r="C1128" s="44"/>
      <c r="D1128" s="44"/>
      <c r="E1128" s="44"/>
      <c r="F1128" s="44"/>
      <c r="G1128" s="44"/>
      <c r="H1128" s="45"/>
      <c r="I1128" s="2"/>
    </row>
    <row r="1129" spans="1:15" ht="25.5" x14ac:dyDescent="0.25">
      <c r="B1129" s="46" t="s">
        <v>1409</v>
      </c>
      <c r="C1129" s="47"/>
      <c r="D1129" s="48" t="s">
        <v>1690</v>
      </c>
      <c r="E1129" s="48" t="s">
        <v>1694</v>
      </c>
      <c r="F1129" s="48" t="s">
        <v>1693</v>
      </c>
      <c r="G1129" s="49" t="s">
        <v>1687</v>
      </c>
      <c r="H1129" s="50" t="s">
        <v>1686</v>
      </c>
      <c r="I1129" s="2"/>
    </row>
    <row r="1130" spans="1:15" s="4" customFormat="1" x14ac:dyDescent="0.25">
      <c r="A1130" s="103">
        <v>19015</v>
      </c>
      <c r="B1130" s="51" t="str">
        <f>IF($A1130=0,"",VLOOKUP($A1130,'BASE EQUIPO'!$A:$D,2))</f>
        <v>HERRAMIENTA MENOR</v>
      </c>
      <c r="C1130" s="52"/>
      <c r="D1130" s="53">
        <v>1</v>
      </c>
      <c r="E1130" s="53">
        <f>IF($A1130=0,"",VLOOKUP($A1130,'BASE EQUIPO'!$A:$D,4)*H1146)</f>
        <v>0.10920000000000001</v>
      </c>
      <c r="F1130" s="53">
        <f t="shared" ref="F1130:F1135" si="100">IF($A1130=0,"",ROUND(D1130*E1130,2))</f>
        <v>0.11</v>
      </c>
      <c r="G1130" s="105">
        <v>1</v>
      </c>
      <c r="H1130" s="54">
        <f t="shared" ref="H1130:H1135" si="101">IF($A1130=0,"",ROUND(G1130*F1130,2))</f>
        <v>0.11</v>
      </c>
      <c r="I1130" s="5"/>
    </row>
    <row r="1131" spans="1:15" s="4" customFormat="1" x14ac:dyDescent="0.25">
      <c r="A1131" s="103">
        <v>19025</v>
      </c>
      <c r="B1131" s="38" t="str">
        <f>IF($A1131=0,"",VLOOKUP($A1131,'BASE EQUIPO'!$A:$D,2))</f>
        <v xml:space="preserve">ANDAMIOS </v>
      </c>
      <c r="C1131" s="2"/>
      <c r="D1131" s="55">
        <v>1</v>
      </c>
      <c r="E1131" s="55">
        <f>IF($A1131=0,"",VLOOKUP($A1131,'BASE EQUIPO'!$A:$D,4))</f>
        <v>5.54</v>
      </c>
      <c r="F1131" s="55">
        <f t="shared" si="100"/>
        <v>5.54</v>
      </c>
      <c r="G1131" s="106">
        <f>ROUND(G1140*0.5,2)</f>
        <v>0.09</v>
      </c>
      <c r="H1131" s="56">
        <f t="shared" si="101"/>
        <v>0.5</v>
      </c>
      <c r="I1131" s="5"/>
    </row>
    <row r="1132" spans="1:15" s="4" customFormat="1" x14ac:dyDescent="0.25">
      <c r="A1132" s="103"/>
      <c r="B1132" s="38" t="str">
        <f>IF($A1132=0,"",VLOOKUP($A1132,'BASE EQUIPO'!$A:$D,2))</f>
        <v/>
      </c>
      <c r="C1132" s="2"/>
      <c r="D1132" s="55"/>
      <c r="E1132" s="55" t="str">
        <f>IF($A1132=0,"",VLOOKUP($A1132,'BASE EQUIPO'!$A:$D,4))</f>
        <v/>
      </c>
      <c r="F1132" s="55" t="str">
        <f t="shared" si="100"/>
        <v/>
      </c>
      <c r="G1132" s="106"/>
      <c r="H1132" s="56" t="str">
        <f t="shared" si="101"/>
        <v/>
      </c>
      <c r="I1132" s="5"/>
    </row>
    <row r="1133" spans="1:15" s="4" customFormat="1" x14ac:dyDescent="0.25">
      <c r="A1133" s="103"/>
      <c r="B1133" s="38" t="str">
        <f>IF($A1133=0,"",VLOOKUP($A1133,'BASE EQUIPO'!$A:$D,2))</f>
        <v/>
      </c>
      <c r="C1133" s="2"/>
      <c r="D1133" s="55"/>
      <c r="E1133" s="55" t="str">
        <f>IF($A1133=0,"",VLOOKUP($A1133,'BASE EQUIPO'!$A:$D,4))</f>
        <v/>
      </c>
      <c r="F1133" s="55" t="str">
        <f t="shared" si="100"/>
        <v/>
      </c>
      <c r="G1133" s="106"/>
      <c r="H1133" s="56" t="str">
        <f t="shared" si="101"/>
        <v/>
      </c>
      <c r="I1133" s="5"/>
    </row>
    <row r="1134" spans="1:15" s="4" customFormat="1" x14ac:dyDescent="0.25">
      <c r="A1134" s="103"/>
      <c r="B1134" s="38" t="str">
        <f>IF($A1134=0,"",VLOOKUP($A1134,'BASE EQUIPO'!$A:$D,2))</f>
        <v/>
      </c>
      <c r="C1134" s="2"/>
      <c r="D1134" s="55"/>
      <c r="E1134" s="55" t="str">
        <f>IF($A1134=0,"",VLOOKUP($A1134,'BASE EQUIPO'!$A:$D,4))</f>
        <v/>
      </c>
      <c r="F1134" s="55" t="str">
        <f t="shared" si="100"/>
        <v/>
      </c>
      <c r="G1134" s="106"/>
      <c r="H1134" s="56" t="str">
        <f t="shared" si="101"/>
        <v/>
      </c>
      <c r="I1134" s="5"/>
    </row>
    <row r="1135" spans="1:15" s="4" customFormat="1" x14ac:dyDescent="0.25">
      <c r="A1135" s="103"/>
      <c r="B1135" s="57" t="str">
        <f>IF($A1135=0,"",VLOOKUP($A1135,'BASE EQUIPO'!$A:$D,2))</f>
        <v/>
      </c>
      <c r="C1135" s="58"/>
      <c r="D1135" s="59"/>
      <c r="E1135" s="59" t="str">
        <f>IF($A1135=0,"",VLOOKUP($A1135,'BASE EQUIPO'!$A:$D,4))</f>
        <v/>
      </c>
      <c r="F1135" s="59" t="str">
        <f t="shared" si="100"/>
        <v/>
      </c>
      <c r="G1135" s="107"/>
      <c r="H1135" s="60" t="str">
        <f t="shared" si="101"/>
        <v/>
      </c>
      <c r="I1135" s="5"/>
    </row>
    <row r="1136" spans="1:15" s="4" customFormat="1" x14ac:dyDescent="0.25">
      <c r="A1136" s="103"/>
      <c r="B1136" s="57" t="s">
        <v>1692</v>
      </c>
      <c r="C1136" s="58"/>
      <c r="D1136" s="61"/>
      <c r="E1136" s="61"/>
      <c r="F1136" s="61"/>
      <c r="G1136" s="62"/>
      <c r="H1136" s="60">
        <f>ROUND(SUM(H1129:H1135),2)</f>
        <v>0.61</v>
      </c>
      <c r="I1136" s="5"/>
    </row>
    <row r="1137" spans="1:16" s="4" customFormat="1" x14ac:dyDescent="0.25">
      <c r="A1137" s="103"/>
      <c r="B1137" s="38" t="s">
        <v>1503</v>
      </c>
      <c r="C1137" s="2"/>
      <c r="D1137" s="3"/>
      <c r="E1137" s="3"/>
      <c r="F1137" s="3"/>
      <c r="G1137" s="63"/>
      <c r="H1137" s="56"/>
      <c r="I1137" s="5"/>
    </row>
    <row r="1138" spans="1:16" ht="25.5" x14ac:dyDescent="0.25">
      <c r="B1138" s="64" t="s">
        <v>1691</v>
      </c>
      <c r="C1138" s="65"/>
      <c r="D1138" s="66" t="s">
        <v>1690</v>
      </c>
      <c r="E1138" s="66" t="s">
        <v>1689</v>
      </c>
      <c r="F1138" s="66" t="s">
        <v>1688</v>
      </c>
      <c r="G1138" s="67" t="s">
        <v>1687</v>
      </c>
      <c r="H1138" s="68" t="s">
        <v>1686</v>
      </c>
      <c r="I1138" s="2"/>
    </row>
    <row r="1139" spans="1:16" s="4" customFormat="1" x14ac:dyDescent="0.25">
      <c r="A1139" s="103">
        <v>20001</v>
      </c>
      <c r="B1139" s="69" t="str">
        <f>IF($A1139=0,"",VLOOKUP($A1139,'BASE M-OBRA'!$A:$D,2))</f>
        <v>MAESTRO</v>
      </c>
      <c r="C1139" s="2"/>
      <c r="D1139" s="108">
        <v>1</v>
      </c>
      <c r="E1139" s="70">
        <f>IF($A1139=0,"",VLOOKUP($A1139,'BASE M-OBRA'!$A:$D,4))</f>
        <v>3.02</v>
      </c>
      <c r="F1139" s="55">
        <f t="shared" ref="F1139:F1145" si="102">IF($A1139=0,"",ROUND(D1139*E1139,2))</f>
        <v>3.02</v>
      </c>
      <c r="G1139" s="106">
        <f>IF($A1139=0,"",ROUND(H1139/F1139,2))</f>
        <v>0.2</v>
      </c>
      <c r="H1139" s="56">
        <f>IF($A1139=0,"",ROUND(SUM(H1140:H1145)*'BASE M-OBRA'!$D$23,2))</f>
        <v>0.61</v>
      </c>
      <c r="I1139" s="5"/>
    </row>
    <row r="1140" spans="1:16" s="4" customFormat="1" x14ac:dyDescent="0.25">
      <c r="A1140" s="103">
        <v>20002</v>
      </c>
      <c r="B1140" s="69" t="str">
        <f>IF($A1140=0,"",VLOOKUP($A1140,'BASE M-OBRA'!$A:$D,2))</f>
        <v>PEON</v>
      </c>
      <c r="C1140" s="2"/>
      <c r="D1140" s="108">
        <v>2</v>
      </c>
      <c r="E1140" s="70">
        <f>IF($A1140=0,"",VLOOKUP($A1140,'BASE M-OBRA'!$A:$D,4))</f>
        <v>2.79</v>
      </c>
      <c r="F1140" s="55">
        <f t="shared" si="102"/>
        <v>5.58</v>
      </c>
      <c r="G1140" s="106">
        <v>0.18</v>
      </c>
      <c r="H1140" s="56">
        <f t="shared" ref="H1140:H1145" si="103">IF($A1140=0,"",ROUND(G1140*F1140,2))</f>
        <v>1</v>
      </c>
      <c r="I1140" s="5"/>
    </row>
    <row r="1141" spans="1:16" s="4" customFormat="1" x14ac:dyDescent="0.25">
      <c r="A1141" s="103">
        <v>20003</v>
      </c>
      <c r="B1141" s="69" t="str">
        <f>IF($A1141=0,"",VLOOKUP($A1141,'BASE M-OBRA'!$A:$D,2))</f>
        <v>ALBAÑIL</v>
      </c>
      <c r="C1141" s="2"/>
      <c r="D1141" s="108">
        <v>4</v>
      </c>
      <c r="E1141" s="70">
        <f>IF($A1141=0,"",VLOOKUP($A1141,'BASE M-OBRA'!$A:$D,4))</f>
        <v>2.82</v>
      </c>
      <c r="F1141" s="55">
        <f t="shared" si="102"/>
        <v>11.28</v>
      </c>
      <c r="G1141" s="106">
        <f>+G1140</f>
        <v>0.18</v>
      </c>
      <c r="H1141" s="56">
        <f t="shared" si="103"/>
        <v>2.0299999999999998</v>
      </c>
      <c r="I1141" s="5"/>
    </row>
    <row r="1142" spans="1:16" s="4" customFormat="1" x14ac:dyDescent="0.25">
      <c r="A1142" s="103"/>
      <c r="B1142" s="71" t="str">
        <f>IF($A1142=0,"",VLOOKUP($A1142,'BASE M-OBRA'!$A:$D,2))</f>
        <v/>
      </c>
      <c r="C1142" s="2"/>
      <c r="D1142" s="108"/>
      <c r="E1142" s="70" t="str">
        <f>IF($A1142=0,"",VLOOKUP($A1142,'BASE M-OBRA'!$A:$D,4))</f>
        <v/>
      </c>
      <c r="F1142" s="55" t="str">
        <f t="shared" si="102"/>
        <v/>
      </c>
      <c r="G1142" s="106"/>
      <c r="H1142" s="56" t="str">
        <f t="shared" si="103"/>
        <v/>
      </c>
      <c r="I1142" s="5"/>
    </row>
    <row r="1143" spans="1:16" s="4" customFormat="1" x14ac:dyDescent="0.25">
      <c r="A1143" s="103"/>
      <c r="B1143" s="72" t="str">
        <f>IF($A1143=0,"",VLOOKUP($A1143,'BASE M-OBRA'!$A:$D,2))</f>
        <v/>
      </c>
      <c r="C1143" s="2"/>
      <c r="D1143" s="108"/>
      <c r="E1143" s="70" t="str">
        <f>IF($A1143=0,"",VLOOKUP($A1143,'BASE M-OBRA'!$A:$D,4))</f>
        <v/>
      </c>
      <c r="F1143" s="55" t="str">
        <f t="shared" si="102"/>
        <v/>
      </c>
      <c r="G1143" s="106"/>
      <c r="H1143" s="56" t="str">
        <f t="shared" si="103"/>
        <v/>
      </c>
      <c r="I1143" s="5"/>
    </row>
    <row r="1144" spans="1:16" s="4" customFormat="1" x14ac:dyDescent="0.25">
      <c r="A1144" s="103"/>
      <c r="B1144" s="38" t="str">
        <f>IF($A1144=0,"",VLOOKUP($A1144,'BASE M-OBRA'!$A:$D,2))</f>
        <v/>
      </c>
      <c r="C1144" s="2"/>
      <c r="D1144" s="55"/>
      <c r="E1144" s="55" t="str">
        <f>IF($A1144=0,"",VLOOKUP($A1144,'BASE M-OBRA'!$A:$D,4))</f>
        <v/>
      </c>
      <c r="F1144" s="55" t="str">
        <f t="shared" si="102"/>
        <v/>
      </c>
      <c r="G1144" s="106"/>
      <c r="H1144" s="56" t="str">
        <f t="shared" si="103"/>
        <v/>
      </c>
      <c r="I1144" s="5"/>
    </row>
    <row r="1145" spans="1:16" s="4" customFormat="1" x14ac:dyDescent="0.25">
      <c r="A1145" s="103"/>
      <c r="B1145" s="57" t="str">
        <f>IF($A1145=0,"",VLOOKUP($A1145,'BASE M-OBRA'!$A:$D,2))</f>
        <v/>
      </c>
      <c r="C1145" s="58"/>
      <c r="D1145" s="59"/>
      <c r="E1145" s="59" t="str">
        <f>IF($A1145=0,"",VLOOKUP($A1145,'BASE M-OBRA'!$A:$D,4))</f>
        <v/>
      </c>
      <c r="F1145" s="59" t="str">
        <f t="shared" si="102"/>
        <v/>
      </c>
      <c r="G1145" s="107"/>
      <c r="H1145" s="60" t="str">
        <f t="shared" si="103"/>
        <v/>
      </c>
      <c r="I1145" s="5"/>
    </row>
    <row r="1146" spans="1:16" s="4" customFormat="1" x14ac:dyDescent="0.25">
      <c r="A1146" s="103"/>
      <c r="B1146" s="73" t="s">
        <v>1685</v>
      </c>
      <c r="C1146" s="65"/>
      <c r="D1146" s="74"/>
      <c r="E1146" s="74"/>
      <c r="F1146" s="74"/>
      <c r="G1146" s="74"/>
      <c r="H1146" s="75">
        <f>ROUND(SUM(H1138:H1145),2)</f>
        <v>3.64</v>
      </c>
      <c r="I1146" s="5"/>
    </row>
    <row r="1147" spans="1:16" s="4" customFormat="1" x14ac:dyDescent="0.25">
      <c r="A1147" s="103"/>
      <c r="B1147" s="38" t="s">
        <v>1684</v>
      </c>
      <c r="C1147" s="2"/>
      <c r="D1147" s="3"/>
      <c r="E1147" s="3"/>
      <c r="F1147" s="3"/>
      <c r="G1147" s="3"/>
      <c r="H1147" s="56"/>
      <c r="I1147" s="5"/>
    </row>
    <row r="1148" spans="1:16" ht="25.5" x14ac:dyDescent="0.25">
      <c r="B1148" s="64" t="s">
        <v>1409</v>
      </c>
      <c r="C1148" s="65"/>
      <c r="D1148" s="76"/>
      <c r="E1148" s="66" t="s">
        <v>1408</v>
      </c>
      <c r="F1148" s="66" t="s">
        <v>1679</v>
      </c>
      <c r="G1148" s="66" t="s">
        <v>1683</v>
      </c>
      <c r="H1148" s="68" t="s">
        <v>1675</v>
      </c>
      <c r="I1148" s="2"/>
    </row>
    <row r="1149" spans="1:16" s="4" customFormat="1" x14ac:dyDescent="0.25">
      <c r="A1149" s="103">
        <v>4001</v>
      </c>
      <c r="B1149" s="38" t="str">
        <f>IF($A1149=0,"",VLOOKUP($A1149,'BASE MATERIAL'!$A:$D,2))</f>
        <v>CEMENTO</v>
      </c>
      <c r="C1149" s="2"/>
      <c r="D1149" s="77"/>
      <c r="E1149" s="78" t="str">
        <f>IF($A1149=0,"",VLOOKUP($A1149,'BASE MATERIAL'!$A:$D,3))</f>
        <v>SACO</v>
      </c>
      <c r="F1149" s="55">
        <f>ROUND(0.5*0.02*10*1.05,3)</f>
        <v>0.105</v>
      </c>
      <c r="G1149" s="55">
        <f>IF($A1149=0,"",VLOOKUP($A1149,'BASE MATERIAL'!$A:$D,4))</f>
        <v>7.09</v>
      </c>
      <c r="H1149" s="56">
        <f t="shared" ref="H1149:H1163" si="104">IF($A1149=0,"",ROUND(F1149*G1149,2))</f>
        <v>0.74</v>
      </c>
      <c r="I1149" s="5"/>
      <c r="L1149" s="5"/>
      <c r="M1149" s="5"/>
      <c r="N1149" s="160"/>
      <c r="O1149" s="5"/>
      <c r="P1149" s="5"/>
    </row>
    <row r="1150" spans="1:16" s="4" customFormat="1" x14ac:dyDescent="0.25">
      <c r="A1150" s="103">
        <v>5004</v>
      </c>
      <c r="B1150" s="38" t="str">
        <f>IF($A1150=0,"",VLOOKUP($A1150,'BASE MATERIAL'!$A:$D,2))</f>
        <v>ARENA</v>
      </c>
      <c r="C1150" s="2"/>
      <c r="D1150" s="77"/>
      <c r="E1150" s="78" t="str">
        <f>IF($A1150=0,"",VLOOKUP($A1150,'BASE MATERIAL'!$A:$D,3))</f>
        <v>M3</v>
      </c>
      <c r="F1150" s="55">
        <f>ROUND(F1149*0.032*3,2)</f>
        <v>0.01</v>
      </c>
      <c r="G1150" s="55">
        <f>IF($A1150=0,"",VLOOKUP($A1150,'BASE MATERIAL'!$A:$D,4))</f>
        <v>12.276249999999999</v>
      </c>
      <c r="H1150" s="56">
        <f t="shared" si="104"/>
        <v>0.12</v>
      </c>
      <c r="I1150" s="5"/>
      <c r="L1150" s="5"/>
      <c r="M1150" s="5"/>
      <c r="N1150" s="160"/>
      <c r="O1150" s="5"/>
      <c r="P1150" s="5"/>
    </row>
    <row r="1151" spans="1:16" s="4" customFormat="1" x14ac:dyDescent="0.25">
      <c r="A1151" s="103">
        <v>5005</v>
      </c>
      <c r="B1151" s="38" t="str">
        <f>IF($A1151=0,"",VLOOKUP($A1151,'BASE MATERIAL'!$A:$D,2))</f>
        <v>AGUA</v>
      </c>
      <c r="C1151" s="2"/>
      <c r="D1151" s="77"/>
      <c r="E1151" s="78" t="str">
        <f>IF($A1151=0,"",VLOOKUP($A1151,'BASE MATERIAL'!$A:$D,3))</f>
        <v>LT</v>
      </c>
      <c r="F1151" s="55">
        <f>ROUND(30*F1149,2)</f>
        <v>3.15</v>
      </c>
      <c r="G1151" s="80">
        <f>IF($A1151=0,"",VLOOKUP($A1151,'BASE MATERIAL'!$A:$D,4))</f>
        <v>2E-3</v>
      </c>
      <c r="H1151" s="56">
        <f t="shared" si="104"/>
        <v>0.01</v>
      </c>
      <c r="I1151" s="5"/>
      <c r="L1151" s="5"/>
      <c r="M1151" s="5"/>
      <c r="N1151" s="160"/>
      <c r="O1151" s="5"/>
      <c r="P1151" s="5"/>
    </row>
    <row r="1152" spans="1:16" s="4" customFormat="1" x14ac:dyDescent="0.25">
      <c r="A1152" s="103"/>
      <c r="B1152" s="38" t="str">
        <f>IF($A1152=0,"",VLOOKUP($A1152,'BASE MATERIAL'!$A:$D,2))</f>
        <v/>
      </c>
      <c r="C1152" s="2"/>
      <c r="D1152" s="77"/>
      <c r="E1152" s="78" t="str">
        <f>IF($A1152=0,"",VLOOKUP($A1152,'BASE MATERIAL'!$A:$D,3))</f>
        <v/>
      </c>
      <c r="F1152" s="55"/>
      <c r="G1152" s="55" t="str">
        <f>IF($A1152=0,"",VLOOKUP($A1152,'BASE MATERIAL'!$A:$D,4))</f>
        <v/>
      </c>
      <c r="H1152" s="56" t="str">
        <f t="shared" si="104"/>
        <v/>
      </c>
      <c r="I1152" s="5"/>
      <c r="L1152" s="5"/>
      <c r="M1152" s="5"/>
      <c r="N1152" s="160"/>
      <c r="O1152" s="5"/>
      <c r="P1152" s="5"/>
    </row>
    <row r="1153" spans="1:16" s="4" customFormat="1" x14ac:dyDescent="0.25">
      <c r="A1153" s="103"/>
      <c r="B1153" s="38" t="str">
        <f>IF($A1153=0,"",VLOOKUP($A1153,'BASE MATERIAL'!$A:$D,2))</f>
        <v/>
      </c>
      <c r="C1153" s="2"/>
      <c r="D1153" s="77"/>
      <c r="E1153" s="78" t="str">
        <f>IF($A1153=0,"",VLOOKUP($A1153,'BASE MATERIAL'!$A:$D,3))</f>
        <v/>
      </c>
      <c r="F1153" s="55"/>
      <c r="G1153" s="55" t="str">
        <f>IF($A1153=0,"",VLOOKUP($A1153,'BASE MATERIAL'!$A:$D,4))</f>
        <v/>
      </c>
      <c r="H1153" s="56" t="str">
        <f t="shared" si="104"/>
        <v/>
      </c>
      <c r="I1153" s="5"/>
      <c r="L1153" s="5"/>
      <c r="M1153" s="5"/>
      <c r="N1153" s="160"/>
      <c r="O1153" s="5"/>
      <c r="P1153" s="5"/>
    </row>
    <row r="1154" spans="1:16" s="4" customFormat="1" x14ac:dyDescent="0.25">
      <c r="A1154" s="103"/>
      <c r="B1154" s="38" t="str">
        <f>IF($A1154=0,"",VLOOKUP($A1154,'BASE MATERIAL'!$A:$D,2))</f>
        <v/>
      </c>
      <c r="C1154" s="2"/>
      <c r="D1154" s="77"/>
      <c r="E1154" s="78" t="str">
        <f>IF($A1154=0,"",VLOOKUP($A1154,'BASE MATERIAL'!$A:$D,3))</f>
        <v/>
      </c>
      <c r="F1154" s="55"/>
      <c r="G1154" s="55" t="str">
        <f>IF($A1154=0,"",VLOOKUP($A1154,'BASE MATERIAL'!$A:$D,4))</f>
        <v/>
      </c>
      <c r="H1154" s="56" t="str">
        <f t="shared" si="104"/>
        <v/>
      </c>
      <c r="I1154" s="5"/>
      <c r="L1154" s="5"/>
      <c r="M1154" s="5"/>
      <c r="N1154" s="160"/>
      <c r="O1154" s="5"/>
      <c r="P1154" s="5"/>
    </row>
    <row r="1155" spans="1:16" s="4" customFormat="1" x14ac:dyDescent="0.25">
      <c r="A1155" s="103"/>
      <c r="B1155" s="38" t="str">
        <f>IF($A1155=0,"",VLOOKUP($A1155,'BASE MATERIAL'!$A:$D,2))</f>
        <v/>
      </c>
      <c r="C1155" s="2"/>
      <c r="D1155" s="77"/>
      <c r="E1155" s="78" t="str">
        <f>IF($A1155=0,"",VLOOKUP($A1155,'BASE MATERIAL'!$A:$D,3))</f>
        <v/>
      </c>
      <c r="F1155" s="55"/>
      <c r="G1155" s="55" t="str">
        <f>IF($A1155=0,"",VLOOKUP($A1155,'BASE MATERIAL'!$A:$D,4))</f>
        <v/>
      </c>
      <c r="H1155" s="56" t="str">
        <f t="shared" si="104"/>
        <v/>
      </c>
      <c r="I1155" s="5"/>
      <c r="L1155" s="5"/>
      <c r="M1155" s="5"/>
      <c r="N1155" s="160"/>
      <c r="O1155" s="5"/>
      <c r="P1155" s="5"/>
    </row>
    <row r="1156" spans="1:16" s="4" customFormat="1" x14ac:dyDescent="0.25">
      <c r="A1156" s="103"/>
      <c r="B1156" s="38" t="str">
        <f>IF($A1156=0,"",VLOOKUP($A1156,'BASE MATERIAL'!$A:$D,2))</f>
        <v/>
      </c>
      <c r="C1156" s="2"/>
      <c r="D1156" s="77"/>
      <c r="E1156" s="78" t="str">
        <f>IF($A1156=0,"",VLOOKUP($A1156,'BASE MATERIAL'!$A:$D,3))</f>
        <v/>
      </c>
      <c r="F1156" s="55"/>
      <c r="G1156" s="55" t="str">
        <f>IF($A1156=0,"",VLOOKUP($A1156,'BASE MATERIAL'!$A:$D,4))</f>
        <v/>
      </c>
      <c r="H1156" s="56" t="str">
        <f t="shared" si="104"/>
        <v/>
      </c>
      <c r="I1156" s="5"/>
      <c r="L1156" s="5"/>
      <c r="M1156" s="5"/>
      <c r="N1156" s="160"/>
      <c r="O1156" s="5"/>
      <c r="P1156" s="5"/>
    </row>
    <row r="1157" spans="1:16" s="4" customFormat="1" x14ac:dyDescent="0.25">
      <c r="A1157" s="103"/>
      <c r="B1157" s="38" t="str">
        <f>IF($A1157=0,"",VLOOKUP($A1157,'BASE MATERIAL'!$A:$D,2))</f>
        <v/>
      </c>
      <c r="C1157" s="2"/>
      <c r="D1157" s="77"/>
      <c r="E1157" s="78" t="str">
        <f>IF($A1157=0,"",VLOOKUP($A1157,'BASE MATERIAL'!$A:$D,3))</f>
        <v/>
      </c>
      <c r="F1157" s="55"/>
      <c r="G1157" s="55" t="str">
        <f>IF($A1157=0,"",VLOOKUP($A1157,'BASE MATERIAL'!$A:$D,4))</f>
        <v/>
      </c>
      <c r="H1157" s="56" t="str">
        <f t="shared" si="104"/>
        <v/>
      </c>
      <c r="I1157" s="5"/>
    </row>
    <row r="1158" spans="1:16" s="4" customFormat="1" x14ac:dyDescent="0.25">
      <c r="A1158" s="103"/>
      <c r="B1158" s="38" t="str">
        <f>IF($A1158=0,"",VLOOKUP($A1158,'BASE MATERIAL'!$A:$D,2))</f>
        <v/>
      </c>
      <c r="C1158" s="2"/>
      <c r="D1158" s="77"/>
      <c r="E1158" s="78" t="str">
        <f>IF($A1158=0,"",VLOOKUP($A1158,'BASE MATERIAL'!$A:$D,3))</f>
        <v/>
      </c>
      <c r="F1158" s="55"/>
      <c r="G1158" s="55" t="str">
        <f>IF($A1158=0,"",VLOOKUP($A1158,'BASE MATERIAL'!$A:$D,4))</f>
        <v/>
      </c>
      <c r="H1158" s="56" t="str">
        <f t="shared" si="104"/>
        <v/>
      </c>
      <c r="I1158" s="5"/>
      <c r="L1158" s="5"/>
      <c r="M1158" s="5"/>
      <c r="N1158" s="160"/>
      <c r="O1158" s="5"/>
      <c r="P1158" s="5"/>
    </row>
    <row r="1159" spans="1:16" s="4" customFormat="1" x14ac:dyDescent="0.25">
      <c r="A1159" s="103"/>
      <c r="B1159" s="38" t="str">
        <f>IF($A1159=0,"",VLOOKUP($A1159,'BASE MATERIAL'!$A:$D,2))</f>
        <v/>
      </c>
      <c r="C1159" s="2"/>
      <c r="D1159" s="77"/>
      <c r="E1159" s="78" t="str">
        <f>IF($A1159=0,"",VLOOKUP($A1159,'BASE MATERIAL'!$A:$D,3))</f>
        <v/>
      </c>
      <c r="F1159" s="55"/>
      <c r="G1159" s="55" t="str">
        <f>IF($A1159=0,"",VLOOKUP($A1159,'BASE MATERIAL'!$A:$D,4))</f>
        <v/>
      </c>
      <c r="H1159" s="56" t="str">
        <f t="shared" si="104"/>
        <v/>
      </c>
      <c r="I1159" s="5"/>
      <c r="L1159" s="5"/>
      <c r="M1159" s="5"/>
      <c r="N1159" s="160"/>
      <c r="O1159" s="5"/>
      <c r="P1159" s="5"/>
    </row>
    <row r="1160" spans="1:16" s="4" customFormat="1" x14ac:dyDescent="0.25">
      <c r="A1160" s="103"/>
      <c r="B1160" s="38" t="str">
        <f>IF($A1160=0,"",VLOOKUP($A1160,'BASE MATERIAL'!$A:$D,2))</f>
        <v/>
      </c>
      <c r="C1160" s="2"/>
      <c r="D1160" s="77"/>
      <c r="E1160" s="78" t="str">
        <f>IF($A1160=0,"",VLOOKUP($A1160,'BASE MATERIAL'!$A:$D,3))</f>
        <v/>
      </c>
      <c r="F1160" s="55"/>
      <c r="G1160" s="55" t="str">
        <f>IF($A1160=0,"",VLOOKUP($A1160,'BASE MATERIAL'!$A:$D,4))</f>
        <v/>
      </c>
      <c r="H1160" s="56" t="str">
        <f t="shared" si="104"/>
        <v/>
      </c>
      <c r="I1160" s="5"/>
    </row>
    <row r="1161" spans="1:16" s="4" customFormat="1" x14ac:dyDescent="0.25">
      <c r="A1161" s="103"/>
      <c r="B1161" s="38" t="str">
        <f>IF($A1161=0,"",VLOOKUP($A1161,'BASE MATERIAL'!$A:$D,2))</f>
        <v/>
      </c>
      <c r="C1161" s="2"/>
      <c r="D1161" s="77"/>
      <c r="E1161" s="78" t="str">
        <f>IF($A1161=0,"",VLOOKUP($A1161,'BASE MATERIAL'!$A:$D,3))</f>
        <v/>
      </c>
      <c r="F1161" s="55"/>
      <c r="G1161" s="55" t="str">
        <f>IF($A1161=0,"",VLOOKUP($A1161,'BASE MATERIAL'!$A:$D,4))</f>
        <v/>
      </c>
      <c r="H1161" s="56" t="str">
        <f t="shared" si="104"/>
        <v/>
      </c>
      <c r="I1161" s="5"/>
    </row>
    <row r="1162" spans="1:16" s="4" customFormat="1" x14ac:dyDescent="0.25">
      <c r="A1162" s="103"/>
      <c r="B1162" s="38" t="str">
        <f>IF($A1162=0,"",VLOOKUP($A1162,'BASE MATERIAL'!$A:$D,2))</f>
        <v/>
      </c>
      <c r="C1162" s="2"/>
      <c r="D1162" s="77"/>
      <c r="E1162" s="78" t="str">
        <f>IF($A1162=0,"",VLOOKUP($A1162,'BASE MATERIAL'!$A:$D,3))</f>
        <v/>
      </c>
      <c r="F1162" s="55"/>
      <c r="G1162" s="55" t="str">
        <f>IF($A1162=0,"",VLOOKUP($A1162,'BASE MATERIAL'!$A:$D,4))</f>
        <v/>
      </c>
      <c r="H1162" s="56" t="str">
        <f t="shared" si="104"/>
        <v/>
      </c>
      <c r="I1162" s="5"/>
    </row>
    <row r="1163" spans="1:16" s="4" customFormat="1" x14ac:dyDescent="0.25">
      <c r="A1163" s="103"/>
      <c r="B1163" s="38" t="str">
        <f>IF($A1163=0,"",VLOOKUP($A1163,'BASE MATERIAL'!$A:$D,2))</f>
        <v/>
      </c>
      <c r="C1163" s="2"/>
      <c r="D1163" s="77"/>
      <c r="E1163" s="78" t="str">
        <f>IF($A1163=0,"",VLOOKUP($A1163,'BASE MATERIAL'!$A:$D,3))</f>
        <v/>
      </c>
      <c r="F1163" s="55"/>
      <c r="G1163" s="55" t="str">
        <f>IF($A1163=0,"",VLOOKUP($A1163,'BASE MATERIAL'!$A:$D,4))</f>
        <v/>
      </c>
      <c r="H1163" s="56" t="str">
        <f t="shared" si="104"/>
        <v/>
      </c>
      <c r="I1163" s="5"/>
    </row>
    <row r="1164" spans="1:16" s="4" customFormat="1" x14ac:dyDescent="0.25">
      <c r="A1164" s="103"/>
      <c r="B1164" s="38" t="str">
        <f>IF($A1164=0,"",VLOOKUP($A1164,'BASE MATERIAL'!$A:$D,2))</f>
        <v/>
      </c>
      <c r="C1164" s="2"/>
      <c r="D1164" s="81" t="s">
        <v>1682</v>
      </c>
      <c r="E1164" s="55" t="str">
        <f>IF($A1164=0,"",VLOOKUP($A1164,'BASE MATERIAL'!$A:$D,3))</f>
        <v/>
      </c>
      <c r="F1164" s="55" t="s">
        <v>1682</v>
      </c>
      <c r="G1164" s="55" t="str">
        <f>IF($A1164=0,"",VLOOKUP($A1164,'BASE MATERIAL'!$A:$D,4))</f>
        <v/>
      </c>
      <c r="H1164" s="56" t="str">
        <f>IF($A1164=0,"",ROUND(E1164*F1164,2))</f>
        <v/>
      </c>
      <c r="I1164" s="5"/>
    </row>
    <row r="1165" spans="1:16" s="4" customFormat="1" x14ac:dyDescent="0.25">
      <c r="A1165" s="103"/>
      <c r="B1165" s="73" t="s">
        <v>1681</v>
      </c>
      <c r="C1165" s="65"/>
      <c r="D1165" s="74"/>
      <c r="E1165" s="74"/>
      <c r="F1165" s="74"/>
      <c r="G1165" s="74"/>
      <c r="H1165" s="75">
        <f>ROUND(SUM(H1148:H1164),2)</f>
        <v>0.87</v>
      </c>
      <c r="I1165" s="5"/>
    </row>
    <row r="1166" spans="1:16" s="4" customFormat="1" x14ac:dyDescent="0.25">
      <c r="A1166" s="103"/>
      <c r="B1166" s="38" t="s">
        <v>1680</v>
      </c>
      <c r="C1166" s="2"/>
      <c r="D1166" s="3"/>
      <c r="E1166" s="3"/>
      <c r="F1166" s="3"/>
      <c r="G1166" s="3"/>
      <c r="H1166" s="56"/>
      <c r="I1166" s="5"/>
    </row>
    <row r="1167" spans="1:16" ht="25.5" x14ac:dyDescent="0.25">
      <c r="B1167" s="64" t="s">
        <v>1409</v>
      </c>
      <c r="C1167" s="65"/>
      <c r="D1167" s="76"/>
      <c r="E1167" s="66" t="s">
        <v>1408</v>
      </c>
      <c r="F1167" s="66" t="s">
        <v>1679</v>
      </c>
      <c r="G1167" s="66" t="s">
        <v>1676</v>
      </c>
      <c r="H1167" s="68" t="s">
        <v>1675</v>
      </c>
      <c r="I1167" s="2"/>
    </row>
    <row r="1168" spans="1:16" s="4" customFormat="1" x14ac:dyDescent="0.25">
      <c r="A1168" s="103">
        <v>19019</v>
      </c>
      <c r="B1168" s="51" t="str">
        <f>IF($A1168=0,"",VLOOKUP($A1168,'BASE EQUIPO'!$A:$D,2))</f>
        <v>TRANSPORTE DE MATERIAL</v>
      </c>
      <c r="C1168" s="52"/>
      <c r="D1168" s="82"/>
      <c r="E1168" s="78" t="str">
        <f>IF($A1168=0,"",VLOOKUP($A1168,'BASE EQUIPO'!$A:$D,3))</f>
        <v>GLOBAL</v>
      </c>
      <c r="F1168" s="55">
        <v>1</v>
      </c>
      <c r="G1168" s="83">
        <f>IF($A1168=0,"",VLOOKUP($A1168,'BASE EQUIPO'!$A:$D,4)*H1165)</f>
        <v>2.6099999999999998E-2</v>
      </c>
      <c r="H1168" s="56">
        <f>IF($A1168=0,"",ROUND(F1168*G1168,2))</f>
        <v>0.03</v>
      </c>
      <c r="I1168" s="5"/>
    </row>
    <row r="1169" spans="1:15" s="4" customFormat="1" x14ac:dyDescent="0.25">
      <c r="A1169" s="103"/>
      <c r="B1169" s="38" t="str">
        <f>IF($A1169=0,"",VLOOKUP($A1169,'BASE EQUIPO'!$A:$D,2))</f>
        <v/>
      </c>
      <c r="C1169" s="2"/>
      <c r="D1169" s="84"/>
      <c r="E1169" s="78" t="str">
        <f>IF($A1169=0,"",VLOOKUP($A1169,'BASE EQUIPO'!$A:$D,3))</f>
        <v/>
      </c>
      <c r="F1169" s="55"/>
      <c r="G1169" s="55" t="str">
        <f>IF($A1169=0,"",VLOOKUP($A1169,'BASE EQUIPO'!$A:$D,4)*H1166)</f>
        <v/>
      </c>
      <c r="H1169" s="56" t="str">
        <f>IF($A1169=0,"",ROUND(F1169*G1169,2))</f>
        <v/>
      </c>
      <c r="I1169" s="5"/>
    </row>
    <row r="1170" spans="1:15" s="4" customFormat="1" x14ac:dyDescent="0.25">
      <c r="A1170" s="103"/>
      <c r="B1170" s="57" t="str">
        <f>IF($A1170=0,"",VLOOKUP($A1170,'BASE EQUIPO'!$A:$D,2))</f>
        <v/>
      </c>
      <c r="C1170" s="58"/>
      <c r="D1170" s="85"/>
      <c r="E1170" s="86" t="str">
        <f>IF($A1170=0,"",VLOOKUP($A1170,'BASE EQUIPO'!$A:$D,3))</f>
        <v/>
      </c>
      <c r="F1170" s="59"/>
      <c r="G1170" s="59" t="str">
        <f>IF($A1170=0,"",VLOOKUP($A1170,'BASE EQUIPO'!$A:$D,4)*H1167)</f>
        <v/>
      </c>
      <c r="H1170" s="60" t="str">
        <f>IF($A1170=0,"",ROUND(F1170*G1170,2))</f>
        <v/>
      </c>
      <c r="I1170" s="5"/>
    </row>
    <row r="1171" spans="1:15" s="4" customFormat="1" ht="15.75" thickBot="1" x14ac:dyDescent="0.3">
      <c r="A1171" s="103"/>
      <c r="B1171" s="87" t="s">
        <v>1674</v>
      </c>
      <c r="C1171" s="88"/>
      <c r="D1171" s="89"/>
      <c r="E1171" s="89"/>
      <c r="F1171" s="89"/>
      <c r="G1171" s="89"/>
      <c r="H1171" s="90">
        <f>ROUND(SUM(H1167:H1170),2)</f>
        <v>0.03</v>
      </c>
      <c r="I1171" s="5"/>
    </row>
    <row r="1172" spans="1:15" s="4" customFormat="1" ht="15.75" x14ac:dyDescent="0.25">
      <c r="A1172" s="103"/>
      <c r="B1172" s="2"/>
      <c r="C1172" s="2"/>
      <c r="D1172" s="91" t="s">
        <v>1673</v>
      </c>
      <c r="E1172" s="177"/>
      <c r="F1172" s="177"/>
      <c r="G1172" s="177"/>
      <c r="H1172" s="92">
        <f>ROUND(SUM(H1171,H1165,H1146,H1136),2)</f>
        <v>5.15</v>
      </c>
      <c r="I1172" s="5"/>
    </row>
    <row r="1173" spans="1:15" s="4" customFormat="1" ht="15.75" x14ac:dyDescent="0.25">
      <c r="A1173" s="103">
        <v>40002</v>
      </c>
      <c r="B1173" s="2"/>
      <c r="C1173" s="2"/>
      <c r="D1173" s="93" t="s">
        <v>1672</v>
      </c>
      <c r="E1173" s="166"/>
      <c r="F1173" s="166"/>
      <c r="G1173" s="178">
        <f>IF($A1173=0,"",VLOOKUP($A1173,'BASE MATERIAL'!$M:$P,4))</f>
        <v>0</v>
      </c>
      <c r="H1173" s="95">
        <f>IF($A1173=0,"",ROUND(G1173*H1172,2))</f>
        <v>0</v>
      </c>
      <c r="I1173" s="5"/>
    </row>
    <row r="1174" spans="1:15" s="4" customFormat="1" ht="15.75" x14ac:dyDescent="0.25">
      <c r="A1174" s="103">
        <v>40003</v>
      </c>
      <c r="B1174" s="2"/>
      <c r="C1174" s="2"/>
      <c r="D1174" s="93" t="s">
        <v>1671</v>
      </c>
      <c r="E1174" s="166"/>
      <c r="F1174" s="166"/>
      <c r="G1174" s="178">
        <f>IF($A1174=0,"",VLOOKUP($A1174,'BASE MATERIAL'!$M:$P,4))</f>
        <v>0</v>
      </c>
      <c r="H1174" s="95">
        <f>IF($A1174=0,"",ROUND(G1174*H1172,2))</f>
        <v>0</v>
      </c>
      <c r="I1174" s="5"/>
    </row>
    <row r="1175" spans="1:15" s="4" customFormat="1" ht="15.75" x14ac:dyDescent="0.25">
      <c r="A1175" s="103"/>
      <c r="B1175" s="2"/>
      <c r="C1175" s="2"/>
      <c r="D1175" s="93" t="s">
        <v>1670</v>
      </c>
      <c r="E1175" s="166"/>
      <c r="F1175" s="166"/>
      <c r="G1175" s="166"/>
      <c r="H1175" s="96">
        <f>ROUND(SUM(H1172:H1174),2)</f>
        <v>5.15</v>
      </c>
      <c r="I1175" s="5"/>
    </row>
    <row r="1176" spans="1:15" s="4" customFormat="1" ht="16.5" thickBot="1" x14ac:dyDescent="0.3">
      <c r="A1176" s="103"/>
      <c r="B1176" s="25"/>
      <c r="C1176" s="5"/>
      <c r="D1176" s="97" t="s">
        <v>1650</v>
      </c>
      <c r="E1176" s="179"/>
      <c r="F1176" s="179"/>
      <c r="G1176" s="179"/>
      <c r="H1176" s="98">
        <f>ROUND(H1175,2)</f>
        <v>5.15</v>
      </c>
      <c r="I1176" s="5"/>
    </row>
    <row r="1177" spans="1:15" ht="15.75" x14ac:dyDescent="0.25">
      <c r="B1177" s="34" t="s">
        <v>1701</v>
      </c>
      <c r="C1177" s="5"/>
      <c r="D1177" s="157" t="str">
        <f>$D$113</f>
        <v>ESPOL</v>
      </c>
      <c r="E1177" s="2"/>
      <c r="F1177" s="2"/>
      <c r="H1177" s="2" t="s">
        <v>108</v>
      </c>
      <c r="I1177" s="2"/>
      <c r="L1177" s="40">
        <f>A1181</f>
        <v>22</v>
      </c>
      <c r="M1177" s="1" t="str">
        <f>C1182</f>
        <v>Filos de columnas y paredes: interiores y exteriores</v>
      </c>
      <c r="N1177" s="2" t="str">
        <f>H1181</f>
        <v>m</v>
      </c>
      <c r="O1177" s="2">
        <f>H1232</f>
        <v>1.86</v>
      </c>
    </row>
    <row r="1178" spans="1:15" s="4" customFormat="1" ht="15.75" x14ac:dyDescent="0.25">
      <c r="A1178" s="103"/>
      <c r="B1178" s="34" t="s">
        <v>1700</v>
      </c>
      <c r="C1178" s="3">
        <f>'1.1'!$C$2</f>
        <v>0</v>
      </c>
      <c r="D1178" s="5"/>
      <c r="E1178" s="5"/>
      <c r="F1178" s="5"/>
      <c r="G1178" s="158" t="s">
        <v>1699</v>
      </c>
      <c r="H1178" s="159"/>
      <c r="I1178" s="5" t="s">
        <v>1698</v>
      </c>
    </row>
    <row r="1179" spans="1:15" s="4" customFormat="1" ht="15.75" x14ac:dyDescent="0.25">
      <c r="A1179" s="103"/>
      <c r="B1179" s="34"/>
      <c r="C1179" s="3">
        <f>'1.1'!$C$3</f>
        <v>0</v>
      </c>
      <c r="D1179" s="5"/>
      <c r="E1179" s="5"/>
      <c r="F1179" s="5"/>
      <c r="G1179" s="5"/>
      <c r="H1179" s="5"/>
      <c r="I1179" s="5"/>
    </row>
    <row r="1180" spans="1:15" s="4" customFormat="1" ht="15.75" x14ac:dyDescent="0.25">
      <c r="A1180" s="103"/>
      <c r="B1180" s="34" t="s">
        <v>1697</v>
      </c>
      <c r="C1180" s="3"/>
      <c r="D1180" s="5"/>
      <c r="E1180" s="5"/>
      <c r="F1180" s="5"/>
      <c r="G1180" s="5"/>
      <c r="H1180" s="5"/>
      <c r="I1180" s="5"/>
    </row>
    <row r="1181" spans="1:15" x14ac:dyDescent="0.25">
      <c r="A1181" s="104">
        <v>22</v>
      </c>
      <c r="B1181" s="2" t="s">
        <v>1586</v>
      </c>
      <c r="C1181" s="36" t="s">
        <v>665</v>
      </c>
      <c r="D1181" s="5"/>
      <c r="E1181" s="4"/>
      <c r="F1181" s="4"/>
      <c r="G1181" s="5" t="s">
        <v>1696</v>
      </c>
      <c r="H1181" s="157" t="s">
        <v>1708</v>
      </c>
      <c r="I1181" s="2"/>
    </row>
    <row r="1182" spans="1:15" s="4" customFormat="1" x14ac:dyDescent="0.25">
      <c r="A1182" s="103"/>
      <c r="B1182" s="1" t="s">
        <v>1585</v>
      </c>
      <c r="C1182" s="36" t="s">
        <v>670</v>
      </c>
      <c r="D1182" s="5"/>
      <c r="E1182" s="5"/>
      <c r="F1182" s="5"/>
      <c r="G1182" s="5"/>
      <c r="H1182" s="5"/>
      <c r="I1182" s="5"/>
    </row>
    <row r="1183" spans="1:15" ht="15.75" thickBot="1" x14ac:dyDescent="0.3">
      <c r="D1183" s="2"/>
      <c r="E1183" s="2"/>
      <c r="F1183" s="2"/>
      <c r="G1183" s="2"/>
      <c r="H1183" s="2"/>
      <c r="I1183" s="2"/>
    </row>
    <row r="1184" spans="1:15" ht="15.75" thickBot="1" x14ac:dyDescent="0.3">
      <c r="B1184" s="43" t="s">
        <v>1695</v>
      </c>
      <c r="C1184" s="44"/>
      <c r="D1184" s="44"/>
      <c r="E1184" s="44"/>
      <c r="F1184" s="44"/>
      <c r="G1184" s="44"/>
      <c r="H1184" s="45"/>
      <c r="I1184" s="2"/>
    </row>
    <row r="1185" spans="1:9" ht="25.5" x14ac:dyDescent="0.25">
      <c r="B1185" s="46" t="s">
        <v>1409</v>
      </c>
      <c r="C1185" s="47"/>
      <c r="D1185" s="48" t="s">
        <v>1690</v>
      </c>
      <c r="E1185" s="48" t="s">
        <v>1694</v>
      </c>
      <c r="F1185" s="48" t="s">
        <v>1693</v>
      </c>
      <c r="G1185" s="49" t="s">
        <v>1687</v>
      </c>
      <c r="H1185" s="50" t="s">
        <v>1686</v>
      </c>
      <c r="I1185" s="2"/>
    </row>
    <row r="1186" spans="1:9" s="4" customFormat="1" x14ac:dyDescent="0.25">
      <c r="A1186" s="103">
        <v>19015</v>
      </c>
      <c r="B1186" s="51" t="str">
        <f>IF($A1186=0,"",VLOOKUP($A1186,'BASE EQUIPO'!$A:$D,2))</f>
        <v>HERRAMIENTA MENOR</v>
      </c>
      <c r="C1186" s="52"/>
      <c r="D1186" s="53">
        <v>1</v>
      </c>
      <c r="E1186" s="53">
        <f>IF($A1186=0,"",VLOOKUP($A1186,'BASE EQUIPO'!$A:$D,4)*H1202)</f>
        <v>3.9300000000000002E-2</v>
      </c>
      <c r="F1186" s="53">
        <f t="shared" ref="F1186:F1191" si="105">IF($A1186=0,"",ROUND(D1186*E1186,2))</f>
        <v>0.04</v>
      </c>
      <c r="G1186" s="105">
        <v>1</v>
      </c>
      <c r="H1186" s="54">
        <f t="shared" ref="H1186:H1191" si="106">IF($A1186=0,"",ROUND(G1186*F1186,2))</f>
        <v>0.04</v>
      </c>
      <c r="I1186" s="5"/>
    </row>
    <row r="1187" spans="1:9" s="4" customFormat="1" x14ac:dyDescent="0.25">
      <c r="A1187" s="103">
        <v>19025</v>
      </c>
      <c r="B1187" s="38" t="str">
        <f>IF($A1187=0,"",VLOOKUP($A1187,'BASE EQUIPO'!$A:$D,2))</f>
        <v xml:space="preserve">ANDAMIOS </v>
      </c>
      <c r="C1187" s="2"/>
      <c r="D1187" s="55">
        <v>1</v>
      </c>
      <c r="E1187" s="55">
        <f>IF($A1187=0,"",VLOOKUP($A1187,'BASE EQUIPO'!$A:$D,4))</f>
        <v>5.54</v>
      </c>
      <c r="F1187" s="55">
        <f t="shared" si="105"/>
        <v>5.54</v>
      </c>
      <c r="G1187" s="106">
        <f>ROUND(G1196*0.5,2)</f>
        <v>0.03</v>
      </c>
      <c r="H1187" s="56">
        <f t="shared" si="106"/>
        <v>0.17</v>
      </c>
      <c r="I1187" s="5"/>
    </row>
    <row r="1188" spans="1:9" s="4" customFormat="1" x14ac:dyDescent="0.25">
      <c r="A1188" s="103"/>
      <c r="B1188" s="38" t="str">
        <f>IF($A1188=0,"",VLOOKUP($A1188,'BASE EQUIPO'!$A:$D,2))</f>
        <v/>
      </c>
      <c r="C1188" s="2"/>
      <c r="D1188" s="55"/>
      <c r="E1188" s="55" t="str">
        <f>IF($A1188=0,"",VLOOKUP($A1188,'BASE EQUIPO'!$A:$D,4))</f>
        <v/>
      </c>
      <c r="F1188" s="55" t="str">
        <f t="shared" si="105"/>
        <v/>
      </c>
      <c r="G1188" s="106"/>
      <c r="H1188" s="56" t="str">
        <f t="shared" si="106"/>
        <v/>
      </c>
      <c r="I1188" s="5"/>
    </row>
    <row r="1189" spans="1:9" s="4" customFormat="1" x14ac:dyDescent="0.25">
      <c r="A1189" s="103"/>
      <c r="B1189" s="38" t="str">
        <f>IF($A1189=0,"",VLOOKUP($A1189,'BASE EQUIPO'!$A:$D,2))</f>
        <v/>
      </c>
      <c r="C1189" s="2"/>
      <c r="D1189" s="55"/>
      <c r="E1189" s="55" t="str">
        <f>IF($A1189=0,"",VLOOKUP($A1189,'BASE EQUIPO'!$A:$D,4))</f>
        <v/>
      </c>
      <c r="F1189" s="55" t="str">
        <f t="shared" si="105"/>
        <v/>
      </c>
      <c r="G1189" s="106"/>
      <c r="H1189" s="56" t="str">
        <f t="shared" si="106"/>
        <v/>
      </c>
      <c r="I1189" s="5"/>
    </row>
    <row r="1190" spans="1:9" s="4" customFormat="1" x14ac:dyDescent="0.25">
      <c r="A1190" s="103"/>
      <c r="B1190" s="38" t="str">
        <f>IF($A1190=0,"",VLOOKUP($A1190,'BASE EQUIPO'!$A:$D,2))</f>
        <v/>
      </c>
      <c r="C1190" s="2"/>
      <c r="D1190" s="55"/>
      <c r="E1190" s="55" t="str">
        <f>IF($A1190=0,"",VLOOKUP($A1190,'BASE EQUIPO'!$A:$D,4))</f>
        <v/>
      </c>
      <c r="F1190" s="55" t="str">
        <f t="shared" si="105"/>
        <v/>
      </c>
      <c r="G1190" s="106"/>
      <c r="H1190" s="56" t="str">
        <f t="shared" si="106"/>
        <v/>
      </c>
      <c r="I1190" s="5"/>
    </row>
    <row r="1191" spans="1:9" s="4" customFormat="1" x14ac:dyDescent="0.25">
      <c r="A1191" s="103"/>
      <c r="B1191" s="57" t="str">
        <f>IF($A1191=0,"",VLOOKUP($A1191,'BASE EQUIPO'!$A:$D,2))</f>
        <v/>
      </c>
      <c r="C1191" s="58"/>
      <c r="D1191" s="59"/>
      <c r="E1191" s="59" t="str">
        <f>IF($A1191=0,"",VLOOKUP($A1191,'BASE EQUIPO'!$A:$D,4))</f>
        <v/>
      </c>
      <c r="F1191" s="59" t="str">
        <f t="shared" si="105"/>
        <v/>
      </c>
      <c r="G1191" s="107"/>
      <c r="H1191" s="60" t="str">
        <f t="shared" si="106"/>
        <v/>
      </c>
      <c r="I1191" s="5"/>
    </row>
    <row r="1192" spans="1:9" s="4" customFormat="1" x14ac:dyDescent="0.25">
      <c r="A1192" s="103"/>
      <c r="B1192" s="57" t="s">
        <v>1692</v>
      </c>
      <c r="C1192" s="58"/>
      <c r="D1192" s="61"/>
      <c r="E1192" s="61"/>
      <c r="F1192" s="61"/>
      <c r="G1192" s="62"/>
      <c r="H1192" s="60">
        <f>ROUND(SUM(H1185:H1191),2)</f>
        <v>0.21</v>
      </c>
      <c r="I1192" s="5"/>
    </row>
    <row r="1193" spans="1:9" s="4" customFormat="1" x14ac:dyDescent="0.25">
      <c r="A1193" s="103"/>
      <c r="B1193" s="38" t="s">
        <v>1503</v>
      </c>
      <c r="C1193" s="2"/>
      <c r="D1193" s="3"/>
      <c r="E1193" s="3"/>
      <c r="F1193" s="3"/>
      <c r="G1193" s="63"/>
      <c r="H1193" s="56"/>
      <c r="I1193" s="5"/>
    </row>
    <row r="1194" spans="1:9" ht="25.5" x14ac:dyDescent="0.25">
      <c r="B1194" s="64" t="s">
        <v>1691</v>
      </c>
      <c r="C1194" s="65"/>
      <c r="D1194" s="66" t="s">
        <v>1690</v>
      </c>
      <c r="E1194" s="66" t="s">
        <v>1689</v>
      </c>
      <c r="F1194" s="66" t="s">
        <v>1688</v>
      </c>
      <c r="G1194" s="67" t="s">
        <v>1687</v>
      </c>
      <c r="H1194" s="68" t="s">
        <v>1686</v>
      </c>
      <c r="I1194" s="2"/>
    </row>
    <row r="1195" spans="1:9" s="4" customFormat="1" x14ac:dyDescent="0.25">
      <c r="A1195" s="103">
        <v>20001</v>
      </c>
      <c r="B1195" s="69" t="str">
        <f>IF($A1195=0,"",VLOOKUP($A1195,'BASE M-OBRA'!$A:$D,2))</f>
        <v>MAESTRO</v>
      </c>
      <c r="C1195" s="2"/>
      <c r="D1195" s="108">
        <v>1</v>
      </c>
      <c r="E1195" s="70">
        <f>IF($A1195=0,"",VLOOKUP($A1195,'BASE M-OBRA'!$A:$D,4))</f>
        <v>3.02</v>
      </c>
      <c r="F1195" s="55">
        <f t="shared" ref="F1195:F1201" si="107">IF($A1195=0,"",ROUND(D1195*E1195,2))</f>
        <v>3.02</v>
      </c>
      <c r="G1195" s="106">
        <f>IF($A1195=0,"",ROUND(H1195/F1195,2))</f>
        <v>7.0000000000000007E-2</v>
      </c>
      <c r="H1195" s="56">
        <f>IF($A1195=0,"",ROUND(SUM(H1196:H1201)*'BASE M-OBRA'!$D$23,2))</f>
        <v>0.22</v>
      </c>
      <c r="I1195" s="5"/>
    </row>
    <row r="1196" spans="1:9" s="4" customFormat="1" x14ac:dyDescent="0.25">
      <c r="A1196" s="103">
        <v>20002</v>
      </c>
      <c r="B1196" s="69" t="str">
        <f>IF($A1196=0,"",VLOOKUP($A1196,'BASE M-OBRA'!$A:$D,2))</f>
        <v>PEON</v>
      </c>
      <c r="C1196" s="2"/>
      <c r="D1196" s="108">
        <v>2</v>
      </c>
      <c r="E1196" s="70">
        <f>IF($A1196=0,"",VLOOKUP($A1196,'BASE M-OBRA'!$A:$D,4))</f>
        <v>2.79</v>
      </c>
      <c r="F1196" s="55">
        <f t="shared" si="107"/>
        <v>5.58</v>
      </c>
      <c r="G1196" s="106">
        <v>6.5000000000000002E-2</v>
      </c>
      <c r="H1196" s="56">
        <f t="shared" ref="H1196:H1201" si="108">IF($A1196=0,"",ROUND(G1196*F1196,2))</f>
        <v>0.36</v>
      </c>
      <c r="I1196" s="5"/>
    </row>
    <row r="1197" spans="1:9" s="4" customFormat="1" x14ac:dyDescent="0.25">
      <c r="A1197" s="103">
        <v>20003</v>
      </c>
      <c r="B1197" s="69" t="str">
        <f>IF($A1197=0,"",VLOOKUP($A1197,'BASE M-OBRA'!$A:$D,2))</f>
        <v>ALBAÑIL</v>
      </c>
      <c r="C1197" s="2"/>
      <c r="D1197" s="108">
        <v>4</v>
      </c>
      <c r="E1197" s="70">
        <f>IF($A1197=0,"",VLOOKUP($A1197,'BASE M-OBRA'!$A:$D,4))</f>
        <v>2.82</v>
      </c>
      <c r="F1197" s="55">
        <f t="shared" si="107"/>
        <v>11.28</v>
      </c>
      <c r="G1197" s="106">
        <f>+G1196</f>
        <v>6.5000000000000002E-2</v>
      </c>
      <c r="H1197" s="56">
        <f t="shared" si="108"/>
        <v>0.73</v>
      </c>
      <c r="I1197" s="5"/>
    </row>
    <row r="1198" spans="1:9" s="4" customFormat="1" x14ac:dyDescent="0.25">
      <c r="A1198" s="103"/>
      <c r="B1198" s="71" t="str">
        <f>IF($A1198=0,"",VLOOKUP($A1198,'BASE M-OBRA'!$A:$D,2))</f>
        <v/>
      </c>
      <c r="C1198" s="2"/>
      <c r="D1198" s="108"/>
      <c r="E1198" s="70" t="str">
        <f>IF($A1198=0,"",VLOOKUP($A1198,'BASE M-OBRA'!$A:$D,4))</f>
        <v/>
      </c>
      <c r="F1198" s="55" t="str">
        <f t="shared" si="107"/>
        <v/>
      </c>
      <c r="G1198" s="106"/>
      <c r="H1198" s="56" t="str">
        <f t="shared" si="108"/>
        <v/>
      </c>
      <c r="I1198" s="5"/>
    </row>
    <row r="1199" spans="1:9" s="4" customFormat="1" x14ac:dyDescent="0.25">
      <c r="A1199" s="103"/>
      <c r="B1199" s="72" t="str">
        <f>IF($A1199=0,"",VLOOKUP($A1199,'BASE M-OBRA'!$A:$D,2))</f>
        <v/>
      </c>
      <c r="C1199" s="2"/>
      <c r="D1199" s="108"/>
      <c r="E1199" s="70" t="str">
        <f>IF($A1199=0,"",VLOOKUP($A1199,'BASE M-OBRA'!$A:$D,4))</f>
        <v/>
      </c>
      <c r="F1199" s="55" t="str">
        <f t="shared" si="107"/>
        <v/>
      </c>
      <c r="G1199" s="106"/>
      <c r="H1199" s="56" t="str">
        <f t="shared" si="108"/>
        <v/>
      </c>
      <c r="I1199" s="5"/>
    </row>
    <row r="1200" spans="1:9" s="4" customFormat="1" x14ac:dyDescent="0.25">
      <c r="A1200" s="103"/>
      <c r="B1200" s="38" t="str">
        <f>IF($A1200=0,"",VLOOKUP($A1200,'BASE M-OBRA'!$A:$D,2))</f>
        <v/>
      </c>
      <c r="C1200" s="2"/>
      <c r="D1200" s="55"/>
      <c r="E1200" s="55" t="str">
        <f>IF($A1200=0,"",VLOOKUP($A1200,'BASE M-OBRA'!$A:$D,4))</f>
        <v/>
      </c>
      <c r="F1200" s="55" t="str">
        <f t="shared" si="107"/>
        <v/>
      </c>
      <c r="G1200" s="106"/>
      <c r="H1200" s="56" t="str">
        <f t="shared" si="108"/>
        <v/>
      </c>
      <c r="I1200" s="5"/>
    </row>
    <row r="1201" spans="1:16" s="4" customFormat="1" x14ac:dyDescent="0.25">
      <c r="A1201" s="103"/>
      <c r="B1201" s="57" t="str">
        <f>IF($A1201=0,"",VLOOKUP($A1201,'BASE M-OBRA'!$A:$D,2))</f>
        <v/>
      </c>
      <c r="C1201" s="58"/>
      <c r="D1201" s="59"/>
      <c r="E1201" s="59" t="str">
        <f>IF($A1201=0,"",VLOOKUP($A1201,'BASE M-OBRA'!$A:$D,4))</f>
        <v/>
      </c>
      <c r="F1201" s="59" t="str">
        <f t="shared" si="107"/>
        <v/>
      </c>
      <c r="G1201" s="107"/>
      <c r="H1201" s="60" t="str">
        <f t="shared" si="108"/>
        <v/>
      </c>
      <c r="I1201" s="5"/>
    </row>
    <row r="1202" spans="1:16" s="4" customFormat="1" x14ac:dyDescent="0.25">
      <c r="A1202" s="103"/>
      <c r="B1202" s="73" t="s">
        <v>1685</v>
      </c>
      <c r="C1202" s="65"/>
      <c r="D1202" s="74"/>
      <c r="E1202" s="74"/>
      <c r="F1202" s="74"/>
      <c r="G1202" s="74"/>
      <c r="H1202" s="75">
        <f>ROUND(SUM(H1194:H1201),2)</f>
        <v>1.31</v>
      </c>
      <c r="I1202" s="5"/>
    </row>
    <row r="1203" spans="1:16" s="4" customFormat="1" x14ac:dyDescent="0.25">
      <c r="A1203" s="103"/>
      <c r="B1203" s="38" t="s">
        <v>1684</v>
      </c>
      <c r="C1203" s="2"/>
      <c r="D1203" s="3"/>
      <c r="E1203" s="3"/>
      <c r="F1203" s="3"/>
      <c r="G1203" s="3"/>
      <c r="H1203" s="56"/>
      <c r="I1203" s="5"/>
    </row>
    <row r="1204" spans="1:16" ht="25.5" x14ac:dyDescent="0.25">
      <c r="B1204" s="64" t="s">
        <v>1409</v>
      </c>
      <c r="C1204" s="65"/>
      <c r="D1204" s="76"/>
      <c r="E1204" s="66" t="s">
        <v>1408</v>
      </c>
      <c r="F1204" s="66" t="s">
        <v>1679</v>
      </c>
      <c r="G1204" s="66" t="s">
        <v>1683</v>
      </c>
      <c r="H1204" s="68" t="s">
        <v>1675</v>
      </c>
      <c r="I1204" s="2"/>
    </row>
    <row r="1205" spans="1:16" s="4" customFormat="1" x14ac:dyDescent="0.25">
      <c r="A1205" s="103">
        <v>4001</v>
      </c>
      <c r="B1205" s="38" t="str">
        <f>IF($A1205=0,"",VLOOKUP($A1205,'BASE MATERIAL'!$A:$D,2))</f>
        <v>CEMENTO</v>
      </c>
      <c r="C1205" s="2"/>
      <c r="D1205" s="77"/>
      <c r="E1205" s="78" t="str">
        <f>IF($A1205=0,"",VLOOKUP($A1205,'BASE MATERIAL'!$A:$D,3))</f>
        <v>SACO</v>
      </c>
      <c r="F1205" s="55">
        <v>0.03</v>
      </c>
      <c r="G1205" s="55">
        <f>IF($A1205=0,"",VLOOKUP($A1205,'BASE MATERIAL'!$A:$D,4))</f>
        <v>7.09</v>
      </c>
      <c r="H1205" s="56">
        <f t="shared" ref="H1205:H1219" si="109">IF($A1205=0,"",ROUND(F1205*G1205,2))</f>
        <v>0.21</v>
      </c>
      <c r="I1205" s="5"/>
      <c r="L1205" s="5"/>
      <c r="M1205" s="5"/>
      <c r="N1205" s="160"/>
      <c r="O1205" s="5"/>
      <c r="P1205" s="5"/>
    </row>
    <row r="1206" spans="1:16" s="4" customFormat="1" x14ac:dyDescent="0.25">
      <c r="A1206" s="103">
        <v>5004</v>
      </c>
      <c r="B1206" s="38" t="str">
        <f>IF($A1206=0,"",VLOOKUP($A1206,'BASE MATERIAL'!$A:$D,2))</f>
        <v>ARENA</v>
      </c>
      <c r="C1206" s="2"/>
      <c r="D1206" s="77"/>
      <c r="E1206" s="78" t="str">
        <f>IF($A1206=0,"",VLOOKUP($A1206,'BASE MATERIAL'!$A:$D,3))</f>
        <v>M3</v>
      </c>
      <c r="F1206" s="55">
        <v>0.01</v>
      </c>
      <c r="G1206" s="55">
        <f>IF($A1206=0,"",VLOOKUP($A1206,'BASE MATERIAL'!$A:$D,4))</f>
        <v>12.276249999999999</v>
      </c>
      <c r="H1206" s="56">
        <f t="shared" si="109"/>
        <v>0.12</v>
      </c>
      <c r="I1206" s="5"/>
      <c r="L1206" s="5"/>
      <c r="M1206" s="5"/>
      <c r="N1206" s="160"/>
      <c r="O1206" s="5"/>
      <c r="P1206" s="5"/>
    </row>
    <row r="1207" spans="1:16" s="4" customFormat="1" x14ac:dyDescent="0.25">
      <c r="A1207" s="103">
        <v>5005</v>
      </c>
      <c r="B1207" s="38" t="str">
        <f>IF($A1207=0,"",VLOOKUP($A1207,'BASE MATERIAL'!$A:$D,2))</f>
        <v>AGUA</v>
      </c>
      <c r="C1207" s="2"/>
      <c r="D1207" s="77"/>
      <c r="E1207" s="78" t="str">
        <f>IF($A1207=0,"",VLOOKUP($A1207,'BASE MATERIAL'!$A:$D,3))</f>
        <v>LT</v>
      </c>
      <c r="F1207" s="55">
        <f>ROUND(30*F1205,2)</f>
        <v>0.9</v>
      </c>
      <c r="G1207" s="80">
        <f>IF($A1207=0,"",VLOOKUP($A1207,'BASE MATERIAL'!$A:$D,4))</f>
        <v>2E-3</v>
      </c>
      <c r="H1207" s="56">
        <f t="shared" si="109"/>
        <v>0</v>
      </c>
      <c r="I1207" s="5"/>
      <c r="L1207" s="5"/>
      <c r="M1207" s="5"/>
      <c r="N1207" s="160"/>
      <c r="O1207" s="5"/>
      <c r="P1207" s="5"/>
    </row>
    <row r="1208" spans="1:16" s="4" customFormat="1" x14ac:dyDescent="0.25">
      <c r="A1208" s="103"/>
      <c r="B1208" s="38" t="str">
        <f>IF($A1208=0,"",VLOOKUP($A1208,'BASE MATERIAL'!$A:$D,2))</f>
        <v/>
      </c>
      <c r="C1208" s="2"/>
      <c r="D1208" s="77"/>
      <c r="E1208" s="78" t="str">
        <f>IF($A1208=0,"",VLOOKUP($A1208,'BASE MATERIAL'!$A:$D,3))</f>
        <v/>
      </c>
      <c r="F1208" s="55"/>
      <c r="G1208" s="55" t="str">
        <f>IF($A1208=0,"",VLOOKUP($A1208,'BASE MATERIAL'!$A:$D,4))</f>
        <v/>
      </c>
      <c r="H1208" s="56" t="str">
        <f t="shared" si="109"/>
        <v/>
      </c>
      <c r="I1208" s="5"/>
      <c r="L1208" s="5"/>
      <c r="M1208" s="5"/>
      <c r="N1208" s="160"/>
      <c r="O1208" s="5"/>
      <c r="P1208" s="5"/>
    </row>
    <row r="1209" spans="1:16" s="4" customFormat="1" x14ac:dyDescent="0.25">
      <c r="A1209" s="103"/>
      <c r="B1209" s="38" t="str">
        <f>IF($A1209=0,"",VLOOKUP($A1209,'BASE MATERIAL'!$A:$D,2))</f>
        <v/>
      </c>
      <c r="C1209" s="2"/>
      <c r="D1209" s="77"/>
      <c r="E1209" s="78" t="str">
        <f>IF($A1209=0,"",VLOOKUP($A1209,'BASE MATERIAL'!$A:$D,3))</f>
        <v/>
      </c>
      <c r="F1209" s="55"/>
      <c r="G1209" s="55" t="str">
        <f>IF($A1209=0,"",VLOOKUP($A1209,'BASE MATERIAL'!$A:$D,4))</f>
        <v/>
      </c>
      <c r="H1209" s="56" t="str">
        <f t="shared" si="109"/>
        <v/>
      </c>
      <c r="I1209" s="5"/>
      <c r="L1209" s="5"/>
      <c r="M1209" s="5"/>
      <c r="N1209" s="160"/>
      <c r="O1209" s="5"/>
      <c r="P1209" s="5"/>
    </row>
    <row r="1210" spans="1:16" s="4" customFormat="1" x14ac:dyDescent="0.25">
      <c r="A1210" s="103"/>
      <c r="B1210" s="38" t="str">
        <f>IF($A1210=0,"",VLOOKUP($A1210,'BASE MATERIAL'!$A:$D,2))</f>
        <v/>
      </c>
      <c r="C1210" s="2"/>
      <c r="D1210" s="77"/>
      <c r="E1210" s="78" t="str">
        <f>IF($A1210=0,"",VLOOKUP($A1210,'BASE MATERIAL'!$A:$D,3))</f>
        <v/>
      </c>
      <c r="F1210" s="55"/>
      <c r="G1210" s="55" t="str">
        <f>IF($A1210=0,"",VLOOKUP($A1210,'BASE MATERIAL'!$A:$D,4))</f>
        <v/>
      </c>
      <c r="H1210" s="56" t="str">
        <f t="shared" si="109"/>
        <v/>
      </c>
      <c r="I1210" s="5"/>
      <c r="L1210" s="5"/>
      <c r="M1210" s="5"/>
      <c r="N1210" s="160"/>
      <c r="O1210" s="5"/>
      <c r="P1210" s="5"/>
    </row>
    <row r="1211" spans="1:16" s="4" customFormat="1" x14ac:dyDescent="0.25">
      <c r="A1211" s="103"/>
      <c r="B1211" s="38" t="str">
        <f>IF($A1211=0,"",VLOOKUP($A1211,'BASE MATERIAL'!$A:$D,2))</f>
        <v/>
      </c>
      <c r="C1211" s="2"/>
      <c r="D1211" s="77"/>
      <c r="E1211" s="78" t="str">
        <f>IF($A1211=0,"",VLOOKUP($A1211,'BASE MATERIAL'!$A:$D,3))</f>
        <v/>
      </c>
      <c r="F1211" s="55"/>
      <c r="G1211" s="55" t="str">
        <f>IF($A1211=0,"",VLOOKUP($A1211,'BASE MATERIAL'!$A:$D,4))</f>
        <v/>
      </c>
      <c r="H1211" s="56" t="str">
        <f t="shared" si="109"/>
        <v/>
      </c>
      <c r="I1211" s="5"/>
      <c r="L1211" s="5"/>
      <c r="M1211" s="5"/>
      <c r="N1211" s="160"/>
      <c r="O1211" s="5"/>
      <c r="P1211" s="5"/>
    </row>
    <row r="1212" spans="1:16" s="4" customFormat="1" x14ac:dyDescent="0.25">
      <c r="A1212" s="103"/>
      <c r="B1212" s="38" t="str">
        <f>IF($A1212=0,"",VLOOKUP($A1212,'BASE MATERIAL'!$A:$D,2))</f>
        <v/>
      </c>
      <c r="C1212" s="2"/>
      <c r="D1212" s="77"/>
      <c r="E1212" s="78" t="str">
        <f>IF($A1212=0,"",VLOOKUP($A1212,'BASE MATERIAL'!$A:$D,3))</f>
        <v/>
      </c>
      <c r="F1212" s="55"/>
      <c r="G1212" s="55" t="str">
        <f>IF($A1212=0,"",VLOOKUP($A1212,'BASE MATERIAL'!$A:$D,4))</f>
        <v/>
      </c>
      <c r="H1212" s="56" t="str">
        <f t="shared" si="109"/>
        <v/>
      </c>
      <c r="I1212" s="5"/>
      <c r="L1212" s="5"/>
      <c r="M1212" s="5"/>
      <c r="N1212" s="160"/>
      <c r="O1212" s="5"/>
      <c r="P1212" s="5"/>
    </row>
    <row r="1213" spans="1:16" s="4" customFormat="1" x14ac:dyDescent="0.25">
      <c r="A1213" s="103"/>
      <c r="B1213" s="38" t="str">
        <f>IF($A1213=0,"",VLOOKUP($A1213,'BASE MATERIAL'!$A:$D,2))</f>
        <v/>
      </c>
      <c r="C1213" s="2"/>
      <c r="D1213" s="77"/>
      <c r="E1213" s="78" t="str">
        <f>IF($A1213=0,"",VLOOKUP($A1213,'BASE MATERIAL'!$A:$D,3))</f>
        <v/>
      </c>
      <c r="F1213" s="55"/>
      <c r="G1213" s="55" t="str">
        <f>IF($A1213=0,"",VLOOKUP($A1213,'BASE MATERIAL'!$A:$D,4))</f>
        <v/>
      </c>
      <c r="H1213" s="56" t="str">
        <f t="shared" si="109"/>
        <v/>
      </c>
      <c r="I1213" s="5"/>
    </row>
    <row r="1214" spans="1:16" s="4" customFormat="1" x14ac:dyDescent="0.25">
      <c r="A1214" s="103"/>
      <c r="B1214" s="38" t="str">
        <f>IF($A1214=0,"",VLOOKUP($A1214,'BASE MATERIAL'!$A:$D,2))</f>
        <v/>
      </c>
      <c r="C1214" s="2"/>
      <c r="D1214" s="77"/>
      <c r="E1214" s="78" t="str">
        <f>IF($A1214=0,"",VLOOKUP($A1214,'BASE MATERIAL'!$A:$D,3))</f>
        <v/>
      </c>
      <c r="F1214" s="55"/>
      <c r="G1214" s="55" t="str">
        <f>IF($A1214=0,"",VLOOKUP($A1214,'BASE MATERIAL'!$A:$D,4))</f>
        <v/>
      </c>
      <c r="H1214" s="56" t="str">
        <f t="shared" si="109"/>
        <v/>
      </c>
      <c r="I1214" s="5"/>
      <c r="L1214" s="5"/>
      <c r="M1214" s="5"/>
      <c r="N1214" s="160"/>
      <c r="O1214" s="5"/>
      <c r="P1214" s="5"/>
    </row>
    <row r="1215" spans="1:16" s="4" customFormat="1" x14ac:dyDescent="0.25">
      <c r="A1215" s="103"/>
      <c r="B1215" s="38" t="str">
        <f>IF($A1215=0,"",VLOOKUP($A1215,'BASE MATERIAL'!$A:$D,2))</f>
        <v/>
      </c>
      <c r="C1215" s="2"/>
      <c r="D1215" s="77"/>
      <c r="E1215" s="78" t="str">
        <f>IF($A1215=0,"",VLOOKUP($A1215,'BASE MATERIAL'!$A:$D,3))</f>
        <v/>
      </c>
      <c r="F1215" s="55"/>
      <c r="G1215" s="55" t="str">
        <f>IF($A1215=0,"",VLOOKUP($A1215,'BASE MATERIAL'!$A:$D,4))</f>
        <v/>
      </c>
      <c r="H1215" s="56" t="str">
        <f t="shared" si="109"/>
        <v/>
      </c>
      <c r="I1215" s="5"/>
      <c r="L1215" s="5"/>
      <c r="M1215" s="5"/>
      <c r="N1215" s="160"/>
      <c r="O1215" s="5"/>
      <c r="P1215" s="5"/>
    </row>
    <row r="1216" spans="1:16" s="4" customFormat="1" x14ac:dyDescent="0.25">
      <c r="A1216" s="103"/>
      <c r="B1216" s="38" t="str">
        <f>IF($A1216=0,"",VLOOKUP($A1216,'BASE MATERIAL'!$A:$D,2))</f>
        <v/>
      </c>
      <c r="C1216" s="2"/>
      <c r="D1216" s="77"/>
      <c r="E1216" s="78" t="str">
        <f>IF($A1216=0,"",VLOOKUP($A1216,'BASE MATERIAL'!$A:$D,3))</f>
        <v/>
      </c>
      <c r="F1216" s="55"/>
      <c r="G1216" s="55" t="str">
        <f>IF($A1216=0,"",VLOOKUP($A1216,'BASE MATERIAL'!$A:$D,4))</f>
        <v/>
      </c>
      <c r="H1216" s="56" t="str">
        <f t="shared" si="109"/>
        <v/>
      </c>
      <c r="I1216" s="5"/>
    </row>
    <row r="1217" spans="1:9" s="4" customFormat="1" x14ac:dyDescent="0.25">
      <c r="A1217" s="103"/>
      <c r="B1217" s="38" t="str">
        <f>IF($A1217=0,"",VLOOKUP($A1217,'BASE MATERIAL'!$A:$D,2))</f>
        <v/>
      </c>
      <c r="C1217" s="2"/>
      <c r="D1217" s="77"/>
      <c r="E1217" s="78" t="str">
        <f>IF($A1217=0,"",VLOOKUP($A1217,'BASE MATERIAL'!$A:$D,3))</f>
        <v/>
      </c>
      <c r="F1217" s="55"/>
      <c r="G1217" s="55" t="str">
        <f>IF($A1217=0,"",VLOOKUP($A1217,'BASE MATERIAL'!$A:$D,4))</f>
        <v/>
      </c>
      <c r="H1217" s="56" t="str">
        <f t="shared" si="109"/>
        <v/>
      </c>
      <c r="I1217" s="5"/>
    </row>
    <row r="1218" spans="1:9" s="4" customFormat="1" x14ac:dyDescent="0.25">
      <c r="A1218" s="103"/>
      <c r="B1218" s="38" t="str">
        <f>IF($A1218=0,"",VLOOKUP($A1218,'BASE MATERIAL'!$A:$D,2))</f>
        <v/>
      </c>
      <c r="C1218" s="2"/>
      <c r="D1218" s="77"/>
      <c r="E1218" s="78" t="str">
        <f>IF($A1218=0,"",VLOOKUP($A1218,'BASE MATERIAL'!$A:$D,3))</f>
        <v/>
      </c>
      <c r="F1218" s="55"/>
      <c r="G1218" s="55" t="str">
        <f>IF($A1218=0,"",VLOOKUP($A1218,'BASE MATERIAL'!$A:$D,4))</f>
        <v/>
      </c>
      <c r="H1218" s="56" t="str">
        <f t="shared" si="109"/>
        <v/>
      </c>
      <c r="I1218" s="5"/>
    </row>
    <row r="1219" spans="1:9" s="4" customFormat="1" x14ac:dyDescent="0.25">
      <c r="A1219" s="103"/>
      <c r="B1219" s="38" t="str">
        <f>IF($A1219=0,"",VLOOKUP($A1219,'BASE MATERIAL'!$A:$D,2))</f>
        <v/>
      </c>
      <c r="C1219" s="2"/>
      <c r="D1219" s="77"/>
      <c r="E1219" s="78" t="str">
        <f>IF($A1219=0,"",VLOOKUP($A1219,'BASE MATERIAL'!$A:$D,3))</f>
        <v/>
      </c>
      <c r="F1219" s="55"/>
      <c r="G1219" s="55" t="str">
        <f>IF($A1219=0,"",VLOOKUP($A1219,'BASE MATERIAL'!$A:$D,4))</f>
        <v/>
      </c>
      <c r="H1219" s="56" t="str">
        <f t="shared" si="109"/>
        <v/>
      </c>
      <c r="I1219" s="5"/>
    </row>
    <row r="1220" spans="1:9" s="4" customFormat="1" x14ac:dyDescent="0.25">
      <c r="A1220" s="103"/>
      <c r="B1220" s="38" t="str">
        <f>IF($A1220=0,"",VLOOKUP($A1220,'BASE MATERIAL'!$A:$D,2))</f>
        <v/>
      </c>
      <c r="C1220" s="2"/>
      <c r="D1220" s="81" t="s">
        <v>1682</v>
      </c>
      <c r="E1220" s="55" t="str">
        <f>IF($A1220=0,"",VLOOKUP($A1220,'BASE MATERIAL'!$A:$D,3))</f>
        <v/>
      </c>
      <c r="F1220" s="55" t="s">
        <v>1682</v>
      </c>
      <c r="G1220" s="55" t="str">
        <f>IF($A1220=0,"",VLOOKUP($A1220,'BASE MATERIAL'!$A:$D,4))</f>
        <v/>
      </c>
      <c r="H1220" s="56" t="str">
        <f>IF($A1220=0,"",ROUND(E1220*F1220,2))</f>
        <v/>
      </c>
      <c r="I1220" s="5"/>
    </row>
    <row r="1221" spans="1:9" s="4" customFormat="1" x14ac:dyDescent="0.25">
      <c r="A1221" s="103"/>
      <c r="B1221" s="73" t="s">
        <v>1681</v>
      </c>
      <c r="C1221" s="65"/>
      <c r="D1221" s="74"/>
      <c r="E1221" s="74"/>
      <c r="F1221" s="74"/>
      <c r="G1221" s="74"/>
      <c r="H1221" s="75">
        <f>ROUND(SUM(H1204:H1220),2)</f>
        <v>0.33</v>
      </c>
      <c r="I1221" s="5"/>
    </row>
    <row r="1222" spans="1:9" s="4" customFormat="1" x14ac:dyDescent="0.25">
      <c r="A1222" s="103"/>
      <c r="B1222" s="38" t="s">
        <v>1680</v>
      </c>
      <c r="C1222" s="2"/>
      <c r="D1222" s="3"/>
      <c r="E1222" s="3"/>
      <c r="F1222" s="3"/>
      <c r="G1222" s="3"/>
      <c r="H1222" s="56"/>
      <c r="I1222" s="5"/>
    </row>
    <row r="1223" spans="1:9" ht="25.5" x14ac:dyDescent="0.25">
      <c r="B1223" s="64" t="s">
        <v>1409</v>
      </c>
      <c r="C1223" s="65"/>
      <c r="D1223" s="76"/>
      <c r="E1223" s="66" t="s">
        <v>1408</v>
      </c>
      <c r="F1223" s="66" t="s">
        <v>1679</v>
      </c>
      <c r="G1223" s="66" t="s">
        <v>1676</v>
      </c>
      <c r="H1223" s="68" t="s">
        <v>1675</v>
      </c>
      <c r="I1223" s="2"/>
    </row>
    <row r="1224" spans="1:9" s="4" customFormat="1" x14ac:dyDescent="0.25">
      <c r="A1224" s="103">
        <v>19019</v>
      </c>
      <c r="B1224" s="51" t="str">
        <f>IF($A1224=0,"",VLOOKUP($A1224,'BASE EQUIPO'!$A:$D,2))</f>
        <v>TRANSPORTE DE MATERIAL</v>
      </c>
      <c r="C1224" s="52"/>
      <c r="D1224" s="82"/>
      <c r="E1224" s="78" t="str">
        <f>IF($A1224=0,"",VLOOKUP($A1224,'BASE EQUIPO'!$A:$D,3))</f>
        <v>GLOBAL</v>
      </c>
      <c r="F1224" s="55">
        <v>1</v>
      </c>
      <c r="G1224" s="83">
        <f>IF($A1224=0,"",VLOOKUP($A1224,'BASE EQUIPO'!$A:$D,4)*H1221)</f>
        <v>9.9000000000000008E-3</v>
      </c>
      <c r="H1224" s="56">
        <f>IF($A1224=0,"",ROUND(F1224*G1224,2))</f>
        <v>0.01</v>
      </c>
      <c r="I1224" s="5"/>
    </row>
    <row r="1225" spans="1:9" s="4" customFormat="1" x14ac:dyDescent="0.25">
      <c r="A1225" s="103"/>
      <c r="B1225" s="38" t="str">
        <f>IF($A1225=0,"",VLOOKUP($A1225,'BASE EQUIPO'!$A:$D,2))</f>
        <v/>
      </c>
      <c r="C1225" s="2"/>
      <c r="D1225" s="84"/>
      <c r="E1225" s="78" t="str">
        <f>IF($A1225=0,"",VLOOKUP($A1225,'BASE EQUIPO'!$A:$D,3))</f>
        <v/>
      </c>
      <c r="F1225" s="55"/>
      <c r="G1225" s="55" t="str">
        <f>IF($A1225=0,"",VLOOKUP($A1225,'BASE EQUIPO'!$A:$D,4)*H1222)</f>
        <v/>
      </c>
      <c r="H1225" s="56" t="str">
        <f>IF($A1225=0,"",ROUND(F1225*G1225,2))</f>
        <v/>
      </c>
      <c r="I1225" s="5"/>
    </row>
    <row r="1226" spans="1:9" s="4" customFormat="1" x14ac:dyDescent="0.25">
      <c r="A1226" s="103"/>
      <c r="B1226" s="57" t="str">
        <f>IF($A1226=0,"",VLOOKUP($A1226,'BASE EQUIPO'!$A:$D,2))</f>
        <v/>
      </c>
      <c r="C1226" s="58"/>
      <c r="D1226" s="85"/>
      <c r="E1226" s="86" t="str">
        <f>IF($A1226=0,"",VLOOKUP($A1226,'BASE EQUIPO'!$A:$D,3))</f>
        <v/>
      </c>
      <c r="F1226" s="59"/>
      <c r="G1226" s="59" t="str">
        <f>IF($A1226=0,"",VLOOKUP($A1226,'BASE EQUIPO'!$A:$D,4)*H1223)</f>
        <v/>
      </c>
      <c r="H1226" s="60" t="str">
        <f>IF($A1226=0,"",ROUND(F1226*G1226,2))</f>
        <v/>
      </c>
      <c r="I1226" s="5"/>
    </row>
    <row r="1227" spans="1:9" s="4" customFormat="1" ht="15.75" thickBot="1" x14ac:dyDescent="0.3">
      <c r="A1227" s="103"/>
      <c r="B1227" s="87" t="s">
        <v>1674</v>
      </c>
      <c r="C1227" s="88"/>
      <c r="D1227" s="89"/>
      <c r="E1227" s="89"/>
      <c r="F1227" s="89"/>
      <c r="G1227" s="89"/>
      <c r="H1227" s="90">
        <f>ROUND(SUM(H1223:H1226),2)</f>
        <v>0.01</v>
      </c>
      <c r="I1227" s="5"/>
    </row>
    <row r="1228" spans="1:9" s="4" customFormat="1" ht="15.75" x14ac:dyDescent="0.25">
      <c r="A1228" s="103"/>
      <c r="B1228" s="2"/>
      <c r="C1228" s="2"/>
      <c r="D1228" s="91" t="s">
        <v>1673</v>
      </c>
      <c r="E1228" s="177"/>
      <c r="F1228" s="177"/>
      <c r="G1228" s="177"/>
      <c r="H1228" s="92">
        <f>ROUND(SUM(H1227,H1221,H1202,H1192),2)</f>
        <v>1.86</v>
      </c>
      <c r="I1228" s="5"/>
    </row>
    <row r="1229" spans="1:9" s="4" customFormat="1" ht="15.75" x14ac:dyDescent="0.25">
      <c r="A1229" s="103">
        <v>40002</v>
      </c>
      <c r="B1229" s="2"/>
      <c r="C1229" s="2"/>
      <c r="D1229" s="93" t="s">
        <v>1672</v>
      </c>
      <c r="E1229" s="166"/>
      <c r="F1229" s="166"/>
      <c r="G1229" s="178">
        <f>IF($A1229=0,"",VLOOKUP($A1229,'BASE MATERIAL'!$M:$P,4))</f>
        <v>0</v>
      </c>
      <c r="H1229" s="95">
        <f>IF($A1229=0,"",ROUND(G1229*H1228,2))</f>
        <v>0</v>
      </c>
      <c r="I1229" s="5"/>
    </row>
    <row r="1230" spans="1:9" s="4" customFormat="1" ht="15.75" x14ac:dyDescent="0.25">
      <c r="A1230" s="103">
        <v>40003</v>
      </c>
      <c r="B1230" s="2"/>
      <c r="C1230" s="2"/>
      <c r="D1230" s="93" t="s">
        <v>1671</v>
      </c>
      <c r="E1230" s="166"/>
      <c r="F1230" s="166"/>
      <c r="G1230" s="178">
        <f>IF($A1230=0,"",VLOOKUP($A1230,'BASE MATERIAL'!$M:$P,4))</f>
        <v>0</v>
      </c>
      <c r="H1230" s="95">
        <f>IF($A1230=0,"",ROUND(G1230*H1228,2))</f>
        <v>0</v>
      </c>
      <c r="I1230" s="5"/>
    </row>
    <row r="1231" spans="1:9" s="4" customFormat="1" ht="15.75" x14ac:dyDescent="0.25">
      <c r="A1231" s="103"/>
      <c r="B1231" s="2"/>
      <c r="C1231" s="2"/>
      <c r="D1231" s="93" t="s">
        <v>1670</v>
      </c>
      <c r="E1231" s="166"/>
      <c r="F1231" s="166"/>
      <c r="G1231" s="166"/>
      <c r="H1231" s="96">
        <f>ROUND(SUM(H1228:H1230),2)</f>
        <v>1.86</v>
      </c>
      <c r="I1231" s="5"/>
    </row>
    <row r="1232" spans="1:9" s="4" customFormat="1" ht="16.5" thickBot="1" x14ac:dyDescent="0.3">
      <c r="A1232" s="103"/>
      <c r="B1232" s="25"/>
      <c r="C1232" s="5"/>
      <c r="D1232" s="97" t="s">
        <v>1650</v>
      </c>
      <c r="E1232" s="179"/>
      <c r="F1232" s="179"/>
      <c r="G1232" s="179"/>
      <c r="H1232" s="98">
        <f>ROUND(H1231,2)</f>
        <v>1.86</v>
      </c>
      <c r="I1232" s="5"/>
    </row>
    <row r="1233" spans="1:15" ht="15.75" x14ac:dyDescent="0.25">
      <c r="B1233" s="34" t="s">
        <v>1701</v>
      </c>
      <c r="C1233" s="5"/>
      <c r="D1233" s="157" t="str">
        <f>$D$113</f>
        <v>ESPOL</v>
      </c>
      <c r="E1233" s="2"/>
      <c r="F1233" s="2"/>
      <c r="H1233" s="2" t="s">
        <v>108</v>
      </c>
      <c r="I1233" s="2"/>
      <c r="L1233" s="40">
        <f>A1237</f>
        <v>24</v>
      </c>
      <c r="M1233" s="1" t="str">
        <f>C1238</f>
        <v xml:space="preserve">Cuadrada de boquetes: puertas y ventanas </v>
      </c>
      <c r="N1233" s="2" t="str">
        <f>H1237</f>
        <v>ml</v>
      </c>
      <c r="O1233" s="2">
        <f>H1288</f>
        <v>3.94</v>
      </c>
    </row>
    <row r="1234" spans="1:15" s="4" customFormat="1" ht="15.75" x14ac:dyDescent="0.25">
      <c r="A1234" s="103"/>
      <c r="B1234" s="34" t="s">
        <v>1700</v>
      </c>
      <c r="C1234" s="3">
        <f>'1.1'!$C$2</f>
        <v>0</v>
      </c>
      <c r="D1234" s="5"/>
      <c r="E1234" s="5"/>
      <c r="F1234" s="5"/>
      <c r="G1234" s="158" t="s">
        <v>1699</v>
      </c>
      <c r="H1234" s="159"/>
      <c r="I1234" s="5" t="s">
        <v>1698</v>
      </c>
    </row>
    <row r="1235" spans="1:15" s="4" customFormat="1" ht="15.75" x14ac:dyDescent="0.25">
      <c r="A1235" s="103"/>
      <c r="B1235" s="34"/>
      <c r="C1235" s="3">
        <f>'1.1'!$C$3</f>
        <v>0</v>
      </c>
      <c r="D1235" s="5"/>
      <c r="E1235" s="5"/>
      <c r="F1235" s="5"/>
      <c r="G1235" s="5"/>
      <c r="H1235" s="5"/>
      <c r="I1235" s="5"/>
    </row>
    <row r="1236" spans="1:15" s="4" customFormat="1" ht="15.75" x14ac:dyDescent="0.25">
      <c r="A1236" s="103"/>
      <c r="B1236" s="34" t="s">
        <v>1697</v>
      </c>
      <c r="C1236" s="3"/>
      <c r="D1236" s="5"/>
      <c r="E1236" s="5"/>
      <c r="F1236" s="5"/>
      <c r="G1236" s="5"/>
      <c r="H1236" s="5"/>
      <c r="I1236" s="5"/>
    </row>
    <row r="1237" spans="1:15" x14ac:dyDescent="0.25">
      <c r="A1237" s="104">
        <v>24</v>
      </c>
      <c r="B1237" s="2" t="s">
        <v>1586</v>
      </c>
      <c r="C1237" s="36" t="s">
        <v>666</v>
      </c>
      <c r="D1237" s="5"/>
      <c r="E1237" s="4"/>
      <c r="F1237" s="4"/>
      <c r="G1237" s="5" t="s">
        <v>1696</v>
      </c>
      <c r="H1237" s="157" t="s">
        <v>961</v>
      </c>
      <c r="I1237" s="2"/>
    </row>
    <row r="1238" spans="1:15" s="4" customFormat="1" x14ac:dyDescent="0.25">
      <c r="A1238" s="103"/>
      <c r="B1238" s="1" t="s">
        <v>1585</v>
      </c>
      <c r="C1238" s="36" t="s">
        <v>595</v>
      </c>
      <c r="D1238" s="5"/>
      <c r="E1238" s="5"/>
      <c r="F1238" s="5"/>
      <c r="G1238" s="5"/>
      <c r="H1238" s="5"/>
      <c r="I1238" s="5"/>
    </row>
    <row r="1239" spans="1:15" ht="15.75" thickBot="1" x14ac:dyDescent="0.3">
      <c r="D1239" s="2"/>
      <c r="E1239" s="2"/>
      <c r="F1239" s="2"/>
      <c r="G1239" s="2"/>
      <c r="H1239" s="2"/>
      <c r="I1239" s="2"/>
    </row>
    <row r="1240" spans="1:15" ht="15.75" thickBot="1" x14ac:dyDescent="0.3">
      <c r="B1240" s="43" t="s">
        <v>1695</v>
      </c>
      <c r="C1240" s="44"/>
      <c r="D1240" s="44"/>
      <c r="E1240" s="44"/>
      <c r="F1240" s="44"/>
      <c r="G1240" s="44"/>
      <c r="H1240" s="45"/>
      <c r="I1240" s="2"/>
    </row>
    <row r="1241" spans="1:15" ht="25.5" x14ac:dyDescent="0.25">
      <c r="B1241" s="46" t="s">
        <v>1409</v>
      </c>
      <c r="C1241" s="47"/>
      <c r="D1241" s="48" t="s">
        <v>1690</v>
      </c>
      <c r="E1241" s="48" t="s">
        <v>1694</v>
      </c>
      <c r="F1241" s="48" t="s">
        <v>1693</v>
      </c>
      <c r="G1241" s="49" t="s">
        <v>1687</v>
      </c>
      <c r="H1241" s="50" t="s">
        <v>1686</v>
      </c>
      <c r="I1241" s="2"/>
    </row>
    <row r="1242" spans="1:15" s="4" customFormat="1" x14ac:dyDescent="0.25">
      <c r="A1242" s="103">
        <v>19015</v>
      </c>
      <c r="B1242" s="51" t="str">
        <f>IF($A1242=0,"",VLOOKUP($A1242,'BASE EQUIPO'!$A:$D,2))</f>
        <v>HERRAMIENTA MENOR</v>
      </c>
      <c r="C1242" s="52"/>
      <c r="D1242" s="53">
        <v>1</v>
      </c>
      <c r="E1242" s="53">
        <f>IF($A1242=0,"",VLOOKUP($A1242,'BASE EQUIPO'!$A:$D,4)*H1258)</f>
        <v>8.4900000000000003E-2</v>
      </c>
      <c r="F1242" s="53">
        <f t="shared" ref="F1242:F1247" si="110">IF($A1242=0,"",ROUND(D1242*E1242,2))</f>
        <v>0.08</v>
      </c>
      <c r="G1242" s="105">
        <v>1</v>
      </c>
      <c r="H1242" s="54">
        <f t="shared" ref="H1242:H1247" si="111">IF($A1242=0,"",ROUND(G1242*F1242,2))</f>
        <v>0.08</v>
      </c>
      <c r="I1242" s="5"/>
    </row>
    <row r="1243" spans="1:15" s="4" customFormat="1" x14ac:dyDescent="0.25">
      <c r="A1243" s="103">
        <v>19025</v>
      </c>
      <c r="B1243" s="38" t="str">
        <f>IF($A1243=0,"",VLOOKUP($A1243,'BASE EQUIPO'!$A:$D,2))</f>
        <v xml:space="preserve">ANDAMIOS </v>
      </c>
      <c r="C1243" s="2"/>
      <c r="D1243" s="55">
        <v>1</v>
      </c>
      <c r="E1243" s="55">
        <f>IF($A1243=0,"",VLOOKUP($A1243,'BASE EQUIPO'!$A:$D,4))</f>
        <v>5.54</v>
      </c>
      <c r="F1243" s="55">
        <f t="shared" si="110"/>
        <v>5.54</v>
      </c>
      <c r="G1243" s="106">
        <f>ROUND(G1252*0.5,2)</f>
        <v>7.0000000000000007E-2</v>
      </c>
      <c r="H1243" s="56">
        <f t="shared" si="111"/>
        <v>0.39</v>
      </c>
      <c r="I1243" s="5"/>
    </row>
    <row r="1244" spans="1:15" s="4" customFormat="1" x14ac:dyDescent="0.25">
      <c r="A1244" s="103"/>
      <c r="B1244" s="38" t="str">
        <f>IF($A1244=0,"",VLOOKUP($A1244,'BASE EQUIPO'!$A:$D,2))</f>
        <v/>
      </c>
      <c r="C1244" s="2"/>
      <c r="D1244" s="55"/>
      <c r="E1244" s="55" t="str">
        <f>IF($A1244=0,"",VLOOKUP($A1244,'BASE EQUIPO'!$A:$D,4))</f>
        <v/>
      </c>
      <c r="F1244" s="55" t="str">
        <f t="shared" si="110"/>
        <v/>
      </c>
      <c r="G1244" s="106"/>
      <c r="H1244" s="56" t="str">
        <f t="shared" si="111"/>
        <v/>
      </c>
      <c r="I1244" s="5"/>
    </row>
    <row r="1245" spans="1:15" s="4" customFormat="1" x14ac:dyDescent="0.25">
      <c r="A1245" s="103"/>
      <c r="B1245" s="38" t="str">
        <f>IF($A1245=0,"",VLOOKUP($A1245,'BASE EQUIPO'!$A:$D,2))</f>
        <v/>
      </c>
      <c r="C1245" s="2"/>
      <c r="D1245" s="55"/>
      <c r="E1245" s="55" t="str">
        <f>IF($A1245=0,"",VLOOKUP($A1245,'BASE EQUIPO'!$A:$D,4))</f>
        <v/>
      </c>
      <c r="F1245" s="55" t="str">
        <f t="shared" si="110"/>
        <v/>
      </c>
      <c r="G1245" s="106"/>
      <c r="H1245" s="56" t="str">
        <f t="shared" si="111"/>
        <v/>
      </c>
      <c r="I1245" s="5"/>
    </row>
    <row r="1246" spans="1:15" s="4" customFormat="1" x14ac:dyDescent="0.25">
      <c r="A1246" s="103"/>
      <c r="B1246" s="38" t="str">
        <f>IF($A1246=0,"",VLOOKUP($A1246,'BASE EQUIPO'!$A:$D,2))</f>
        <v/>
      </c>
      <c r="C1246" s="2"/>
      <c r="D1246" s="55"/>
      <c r="E1246" s="55" t="str">
        <f>IF($A1246=0,"",VLOOKUP($A1246,'BASE EQUIPO'!$A:$D,4))</f>
        <v/>
      </c>
      <c r="F1246" s="55" t="str">
        <f t="shared" si="110"/>
        <v/>
      </c>
      <c r="G1246" s="106"/>
      <c r="H1246" s="56" t="str">
        <f t="shared" si="111"/>
        <v/>
      </c>
      <c r="I1246" s="5"/>
    </row>
    <row r="1247" spans="1:15" s="4" customFormat="1" x14ac:dyDescent="0.25">
      <c r="A1247" s="103"/>
      <c r="B1247" s="57" t="str">
        <f>IF($A1247=0,"",VLOOKUP($A1247,'BASE EQUIPO'!$A:$D,2))</f>
        <v/>
      </c>
      <c r="C1247" s="58"/>
      <c r="D1247" s="59"/>
      <c r="E1247" s="59" t="str">
        <f>IF($A1247=0,"",VLOOKUP($A1247,'BASE EQUIPO'!$A:$D,4))</f>
        <v/>
      </c>
      <c r="F1247" s="59" t="str">
        <f t="shared" si="110"/>
        <v/>
      </c>
      <c r="G1247" s="107"/>
      <c r="H1247" s="60" t="str">
        <f t="shared" si="111"/>
        <v/>
      </c>
      <c r="I1247" s="5"/>
    </row>
    <row r="1248" spans="1:15" s="4" customFormat="1" x14ac:dyDescent="0.25">
      <c r="A1248" s="103"/>
      <c r="B1248" s="57" t="s">
        <v>1692</v>
      </c>
      <c r="C1248" s="58"/>
      <c r="D1248" s="61"/>
      <c r="E1248" s="61"/>
      <c r="F1248" s="61"/>
      <c r="G1248" s="62"/>
      <c r="H1248" s="60">
        <f>ROUND(SUM(H1241:H1247),2)</f>
        <v>0.47</v>
      </c>
      <c r="I1248" s="5"/>
    </row>
    <row r="1249" spans="1:16" s="4" customFormat="1" x14ac:dyDescent="0.25">
      <c r="A1249" s="103"/>
      <c r="B1249" s="38" t="s">
        <v>1503</v>
      </c>
      <c r="C1249" s="2"/>
      <c r="D1249" s="3"/>
      <c r="E1249" s="3"/>
      <c r="F1249" s="3"/>
      <c r="G1249" s="63"/>
      <c r="H1249" s="56"/>
      <c r="I1249" s="5"/>
    </row>
    <row r="1250" spans="1:16" ht="25.5" x14ac:dyDescent="0.25">
      <c r="B1250" s="64" t="s">
        <v>1691</v>
      </c>
      <c r="C1250" s="65"/>
      <c r="D1250" s="66" t="s">
        <v>1690</v>
      </c>
      <c r="E1250" s="66" t="s">
        <v>1689</v>
      </c>
      <c r="F1250" s="66" t="s">
        <v>1688</v>
      </c>
      <c r="G1250" s="67" t="s">
        <v>1687</v>
      </c>
      <c r="H1250" s="68" t="s">
        <v>1686</v>
      </c>
      <c r="I1250" s="2"/>
    </row>
    <row r="1251" spans="1:16" s="4" customFormat="1" x14ac:dyDescent="0.25">
      <c r="A1251" s="103">
        <v>20001</v>
      </c>
      <c r="B1251" s="69" t="str">
        <f>IF($A1251=0,"",VLOOKUP($A1251,'BASE M-OBRA'!$A:$D,2))</f>
        <v>MAESTRO</v>
      </c>
      <c r="C1251" s="2"/>
      <c r="D1251" s="108">
        <v>1</v>
      </c>
      <c r="E1251" s="70">
        <f>IF($A1251=0,"",VLOOKUP($A1251,'BASE M-OBRA'!$A:$D,4))</f>
        <v>3.02</v>
      </c>
      <c r="F1251" s="55">
        <f t="shared" ref="F1251:F1257" si="112">IF($A1251=0,"",ROUND(D1251*E1251,2))</f>
        <v>3.02</v>
      </c>
      <c r="G1251" s="106">
        <f>IF($A1251=0,"",ROUND(H1251/F1251,2))</f>
        <v>0.16</v>
      </c>
      <c r="H1251" s="56">
        <f>IF($A1251=0,"",ROUND(SUM(H1252:H1257)*'BASE M-OBRA'!$D$23,2))</f>
        <v>0.47</v>
      </c>
      <c r="I1251" s="5"/>
    </row>
    <row r="1252" spans="1:16" s="4" customFormat="1" x14ac:dyDescent="0.25">
      <c r="A1252" s="103">
        <v>20002</v>
      </c>
      <c r="B1252" s="69" t="str">
        <f>IF($A1252=0,"",VLOOKUP($A1252,'BASE M-OBRA'!$A:$D,2))</f>
        <v>PEON</v>
      </c>
      <c r="C1252" s="2"/>
      <c r="D1252" s="108">
        <v>2</v>
      </c>
      <c r="E1252" s="70">
        <f>IF($A1252=0,"",VLOOKUP($A1252,'BASE M-OBRA'!$A:$D,4))</f>
        <v>2.79</v>
      </c>
      <c r="F1252" s="55">
        <f t="shared" si="112"/>
        <v>5.58</v>
      </c>
      <c r="G1252" s="106">
        <v>0.14000000000000001</v>
      </c>
      <c r="H1252" s="56">
        <f t="shared" ref="H1252:H1257" si="113">IF($A1252=0,"",ROUND(G1252*F1252,2))</f>
        <v>0.78</v>
      </c>
      <c r="I1252" s="5"/>
    </row>
    <row r="1253" spans="1:16" s="4" customFormat="1" x14ac:dyDescent="0.25">
      <c r="A1253" s="103">
        <v>20003</v>
      </c>
      <c r="B1253" s="69" t="str">
        <f>IF($A1253=0,"",VLOOKUP($A1253,'BASE M-OBRA'!$A:$D,2))</f>
        <v>ALBAÑIL</v>
      </c>
      <c r="C1253" s="2"/>
      <c r="D1253" s="108">
        <v>4</v>
      </c>
      <c r="E1253" s="70">
        <f>IF($A1253=0,"",VLOOKUP($A1253,'BASE M-OBRA'!$A:$D,4))</f>
        <v>2.82</v>
      </c>
      <c r="F1253" s="55">
        <f t="shared" si="112"/>
        <v>11.28</v>
      </c>
      <c r="G1253" s="106">
        <f>+G1252</f>
        <v>0.14000000000000001</v>
      </c>
      <c r="H1253" s="56">
        <f t="shared" si="113"/>
        <v>1.58</v>
      </c>
      <c r="I1253" s="5"/>
    </row>
    <row r="1254" spans="1:16" s="4" customFormat="1" x14ac:dyDescent="0.25">
      <c r="A1254" s="103"/>
      <c r="B1254" s="71" t="str">
        <f>IF($A1254=0,"",VLOOKUP($A1254,'BASE M-OBRA'!$A:$D,2))</f>
        <v/>
      </c>
      <c r="C1254" s="2"/>
      <c r="D1254" s="108"/>
      <c r="E1254" s="70" t="str">
        <f>IF($A1254=0,"",VLOOKUP($A1254,'BASE M-OBRA'!$A:$D,4))</f>
        <v/>
      </c>
      <c r="F1254" s="55" t="str">
        <f t="shared" si="112"/>
        <v/>
      </c>
      <c r="G1254" s="106"/>
      <c r="H1254" s="56" t="str">
        <f t="shared" si="113"/>
        <v/>
      </c>
      <c r="I1254" s="5"/>
    </row>
    <row r="1255" spans="1:16" s="4" customFormat="1" x14ac:dyDescent="0.25">
      <c r="A1255" s="103"/>
      <c r="B1255" s="72" t="str">
        <f>IF($A1255=0,"",VLOOKUP($A1255,'BASE M-OBRA'!$A:$D,2))</f>
        <v/>
      </c>
      <c r="C1255" s="2"/>
      <c r="D1255" s="108"/>
      <c r="E1255" s="70" t="str">
        <f>IF($A1255=0,"",VLOOKUP($A1255,'BASE M-OBRA'!$A:$D,4))</f>
        <v/>
      </c>
      <c r="F1255" s="55" t="str">
        <f t="shared" si="112"/>
        <v/>
      </c>
      <c r="G1255" s="106"/>
      <c r="H1255" s="56" t="str">
        <f t="shared" si="113"/>
        <v/>
      </c>
      <c r="I1255" s="5"/>
    </row>
    <row r="1256" spans="1:16" s="4" customFormat="1" x14ac:dyDescent="0.25">
      <c r="A1256" s="103"/>
      <c r="B1256" s="38" t="str">
        <f>IF($A1256=0,"",VLOOKUP($A1256,'BASE M-OBRA'!$A:$D,2))</f>
        <v/>
      </c>
      <c r="C1256" s="2"/>
      <c r="D1256" s="55"/>
      <c r="E1256" s="55" t="str">
        <f>IF($A1256=0,"",VLOOKUP($A1256,'BASE M-OBRA'!$A:$D,4))</f>
        <v/>
      </c>
      <c r="F1256" s="55" t="str">
        <f t="shared" si="112"/>
        <v/>
      </c>
      <c r="G1256" s="106"/>
      <c r="H1256" s="56" t="str">
        <f t="shared" si="113"/>
        <v/>
      </c>
      <c r="I1256" s="5"/>
    </row>
    <row r="1257" spans="1:16" s="4" customFormat="1" x14ac:dyDescent="0.25">
      <c r="A1257" s="103"/>
      <c r="B1257" s="57" t="str">
        <f>IF($A1257=0,"",VLOOKUP($A1257,'BASE M-OBRA'!$A:$D,2))</f>
        <v/>
      </c>
      <c r="C1257" s="58"/>
      <c r="D1257" s="59"/>
      <c r="E1257" s="59" t="str">
        <f>IF($A1257=0,"",VLOOKUP($A1257,'BASE M-OBRA'!$A:$D,4))</f>
        <v/>
      </c>
      <c r="F1257" s="59" t="str">
        <f t="shared" si="112"/>
        <v/>
      </c>
      <c r="G1257" s="107"/>
      <c r="H1257" s="60" t="str">
        <f t="shared" si="113"/>
        <v/>
      </c>
      <c r="I1257" s="5"/>
    </row>
    <row r="1258" spans="1:16" s="4" customFormat="1" x14ac:dyDescent="0.25">
      <c r="A1258" s="103"/>
      <c r="B1258" s="73" t="s">
        <v>1685</v>
      </c>
      <c r="C1258" s="65"/>
      <c r="D1258" s="74"/>
      <c r="E1258" s="74"/>
      <c r="F1258" s="74"/>
      <c r="G1258" s="74"/>
      <c r="H1258" s="75">
        <f>ROUND(SUM(H1250:H1257),2)</f>
        <v>2.83</v>
      </c>
      <c r="I1258" s="5"/>
    </row>
    <row r="1259" spans="1:16" s="4" customFormat="1" x14ac:dyDescent="0.25">
      <c r="A1259" s="103"/>
      <c r="B1259" s="38" t="s">
        <v>1684</v>
      </c>
      <c r="C1259" s="2"/>
      <c r="D1259" s="3"/>
      <c r="E1259" s="3"/>
      <c r="F1259" s="3"/>
      <c r="G1259" s="3"/>
      <c r="H1259" s="56"/>
      <c r="I1259" s="5"/>
    </row>
    <row r="1260" spans="1:16" ht="25.5" x14ac:dyDescent="0.25">
      <c r="B1260" s="64" t="s">
        <v>1409</v>
      </c>
      <c r="C1260" s="65"/>
      <c r="D1260" s="76"/>
      <c r="E1260" s="66" t="s">
        <v>1408</v>
      </c>
      <c r="F1260" s="66" t="s">
        <v>1679</v>
      </c>
      <c r="G1260" s="66" t="s">
        <v>1683</v>
      </c>
      <c r="H1260" s="68" t="s">
        <v>1675</v>
      </c>
      <c r="I1260" s="2"/>
    </row>
    <row r="1261" spans="1:16" s="4" customFormat="1" x14ac:dyDescent="0.25">
      <c r="A1261" s="103">
        <v>4001</v>
      </c>
      <c r="B1261" s="38" t="str">
        <f>IF($A1261=0,"",VLOOKUP($A1261,'BASE MATERIAL'!$A:$D,2))</f>
        <v>CEMENTO</v>
      </c>
      <c r="C1261" s="2"/>
      <c r="D1261" s="77"/>
      <c r="E1261" s="78" t="str">
        <f>IF($A1261=0,"",VLOOKUP($A1261,'BASE MATERIAL'!$A:$D,3))</f>
        <v>SACO</v>
      </c>
      <c r="F1261" s="55">
        <v>7.0000000000000007E-2</v>
      </c>
      <c r="G1261" s="55">
        <f>IF($A1261=0,"",VLOOKUP($A1261,'BASE MATERIAL'!$A:$D,4))</f>
        <v>7.09</v>
      </c>
      <c r="H1261" s="56">
        <f t="shared" ref="H1261:H1275" si="114">IF($A1261=0,"",ROUND(F1261*G1261,2))</f>
        <v>0.5</v>
      </c>
      <c r="I1261" s="5"/>
      <c r="L1261" s="5"/>
      <c r="M1261" s="5"/>
      <c r="N1261" s="160"/>
      <c r="O1261" s="5"/>
      <c r="P1261" s="5"/>
    </row>
    <row r="1262" spans="1:16" s="4" customFormat="1" x14ac:dyDescent="0.25">
      <c r="A1262" s="103">
        <v>5004</v>
      </c>
      <c r="B1262" s="38" t="str">
        <f>IF($A1262=0,"",VLOOKUP($A1262,'BASE MATERIAL'!$A:$D,2))</f>
        <v>ARENA</v>
      </c>
      <c r="C1262" s="2"/>
      <c r="D1262" s="77"/>
      <c r="E1262" s="78" t="str">
        <f>IF($A1262=0,"",VLOOKUP($A1262,'BASE MATERIAL'!$A:$D,3))</f>
        <v>M3</v>
      </c>
      <c r="F1262" s="55">
        <v>0.01</v>
      </c>
      <c r="G1262" s="55">
        <f>IF($A1262=0,"",VLOOKUP($A1262,'BASE MATERIAL'!$A:$D,4))</f>
        <v>12.276249999999999</v>
      </c>
      <c r="H1262" s="56">
        <f t="shared" si="114"/>
        <v>0.12</v>
      </c>
      <c r="I1262" s="5"/>
      <c r="L1262" s="5"/>
      <c r="M1262" s="5"/>
      <c r="N1262" s="160"/>
      <c r="O1262" s="5"/>
      <c r="P1262" s="5"/>
    </row>
    <row r="1263" spans="1:16" s="4" customFormat="1" x14ac:dyDescent="0.25">
      <c r="A1263" s="103">
        <v>5005</v>
      </c>
      <c r="B1263" s="38" t="str">
        <f>IF($A1263=0,"",VLOOKUP($A1263,'BASE MATERIAL'!$A:$D,2))</f>
        <v>AGUA</v>
      </c>
      <c r="C1263" s="2"/>
      <c r="D1263" s="77"/>
      <c r="E1263" s="78" t="str">
        <f>IF($A1263=0,"",VLOOKUP($A1263,'BASE MATERIAL'!$A:$D,3))</f>
        <v>LT</v>
      </c>
      <c r="F1263" s="55">
        <f>ROUND(30*F1261,2)</f>
        <v>2.1</v>
      </c>
      <c r="G1263" s="80">
        <f>IF($A1263=0,"",VLOOKUP($A1263,'BASE MATERIAL'!$A:$D,4))</f>
        <v>2E-3</v>
      </c>
      <c r="H1263" s="56">
        <f t="shared" si="114"/>
        <v>0</v>
      </c>
      <c r="I1263" s="5"/>
      <c r="L1263" s="5"/>
      <c r="M1263" s="5"/>
      <c r="N1263" s="160"/>
      <c r="O1263" s="5"/>
      <c r="P1263" s="5"/>
    </row>
    <row r="1264" spans="1:16" s="4" customFormat="1" x14ac:dyDescent="0.25">
      <c r="A1264" s="103"/>
      <c r="B1264" s="38" t="str">
        <f>IF($A1264=0,"",VLOOKUP($A1264,'BASE MATERIAL'!$A:$D,2))</f>
        <v/>
      </c>
      <c r="C1264" s="2"/>
      <c r="D1264" s="77"/>
      <c r="E1264" s="78" t="str">
        <f>IF($A1264=0,"",VLOOKUP($A1264,'BASE MATERIAL'!$A:$D,3))</f>
        <v/>
      </c>
      <c r="F1264" s="55"/>
      <c r="G1264" s="55" t="str">
        <f>IF($A1264=0,"",VLOOKUP($A1264,'BASE MATERIAL'!$A:$D,4))</f>
        <v/>
      </c>
      <c r="H1264" s="56" t="str">
        <f t="shared" si="114"/>
        <v/>
      </c>
      <c r="I1264" s="5"/>
      <c r="L1264" s="5"/>
      <c r="M1264" s="5"/>
      <c r="N1264" s="160"/>
      <c r="O1264" s="5"/>
      <c r="P1264" s="5"/>
    </row>
    <row r="1265" spans="1:16" s="4" customFormat="1" x14ac:dyDescent="0.25">
      <c r="A1265" s="103"/>
      <c r="B1265" s="38" t="str">
        <f>IF($A1265=0,"",VLOOKUP($A1265,'BASE MATERIAL'!$A:$D,2))</f>
        <v/>
      </c>
      <c r="C1265" s="2"/>
      <c r="D1265" s="77"/>
      <c r="E1265" s="78" t="str">
        <f>IF($A1265=0,"",VLOOKUP($A1265,'BASE MATERIAL'!$A:$D,3))</f>
        <v/>
      </c>
      <c r="F1265" s="55"/>
      <c r="G1265" s="55" t="str">
        <f>IF($A1265=0,"",VLOOKUP($A1265,'BASE MATERIAL'!$A:$D,4))</f>
        <v/>
      </c>
      <c r="H1265" s="56" t="str">
        <f t="shared" si="114"/>
        <v/>
      </c>
      <c r="I1265" s="5"/>
      <c r="L1265" s="5"/>
      <c r="M1265" s="5"/>
      <c r="N1265" s="160"/>
      <c r="O1265" s="5"/>
      <c r="P1265" s="5"/>
    </row>
    <row r="1266" spans="1:16" s="4" customFormat="1" x14ac:dyDescent="0.25">
      <c r="A1266" s="103"/>
      <c r="B1266" s="38" t="str">
        <f>IF($A1266=0,"",VLOOKUP($A1266,'BASE MATERIAL'!$A:$D,2))</f>
        <v/>
      </c>
      <c r="C1266" s="2"/>
      <c r="D1266" s="77"/>
      <c r="E1266" s="78" t="str">
        <f>IF($A1266=0,"",VLOOKUP($A1266,'BASE MATERIAL'!$A:$D,3))</f>
        <v/>
      </c>
      <c r="F1266" s="55"/>
      <c r="G1266" s="55" t="str">
        <f>IF($A1266=0,"",VLOOKUP($A1266,'BASE MATERIAL'!$A:$D,4))</f>
        <v/>
      </c>
      <c r="H1266" s="56" t="str">
        <f t="shared" si="114"/>
        <v/>
      </c>
      <c r="I1266" s="5"/>
      <c r="L1266" s="5"/>
      <c r="M1266" s="5"/>
      <c r="N1266" s="160"/>
      <c r="O1266" s="5"/>
      <c r="P1266" s="5"/>
    </row>
    <row r="1267" spans="1:16" s="4" customFormat="1" x14ac:dyDescent="0.25">
      <c r="A1267" s="103"/>
      <c r="B1267" s="38" t="str">
        <f>IF($A1267=0,"",VLOOKUP($A1267,'BASE MATERIAL'!$A:$D,2))</f>
        <v/>
      </c>
      <c r="C1267" s="2"/>
      <c r="D1267" s="77"/>
      <c r="E1267" s="78" t="str">
        <f>IF($A1267=0,"",VLOOKUP($A1267,'BASE MATERIAL'!$A:$D,3))</f>
        <v/>
      </c>
      <c r="F1267" s="55"/>
      <c r="G1267" s="55" t="str">
        <f>IF($A1267=0,"",VLOOKUP($A1267,'BASE MATERIAL'!$A:$D,4))</f>
        <v/>
      </c>
      <c r="H1267" s="56" t="str">
        <f t="shared" si="114"/>
        <v/>
      </c>
      <c r="I1267" s="5"/>
      <c r="L1267" s="5"/>
      <c r="M1267" s="5"/>
      <c r="N1267" s="160"/>
      <c r="O1267" s="5"/>
      <c r="P1267" s="5"/>
    </row>
    <row r="1268" spans="1:16" s="4" customFormat="1" x14ac:dyDescent="0.25">
      <c r="A1268" s="103"/>
      <c r="B1268" s="38" t="str">
        <f>IF($A1268=0,"",VLOOKUP($A1268,'BASE MATERIAL'!$A:$D,2))</f>
        <v/>
      </c>
      <c r="C1268" s="2"/>
      <c r="D1268" s="77"/>
      <c r="E1268" s="78" t="str">
        <f>IF($A1268=0,"",VLOOKUP($A1268,'BASE MATERIAL'!$A:$D,3))</f>
        <v/>
      </c>
      <c r="F1268" s="55"/>
      <c r="G1268" s="55" t="str">
        <f>IF($A1268=0,"",VLOOKUP($A1268,'BASE MATERIAL'!$A:$D,4))</f>
        <v/>
      </c>
      <c r="H1268" s="56" t="str">
        <f t="shared" si="114"/>
        <v/>
      </c>
      <c r="I1268" s="5"/>
      <c r="L1268" s="5"/>
      <c r="M1268" s="5"/>
      <c r="N1268" s="160"/>
      <c r="O1268" s="5"/>
      <c r="P1268" s="5"/>
    </row>
    <row r="1269" spans="1:16" s="4" customFormat="1" x14ac:dyDescent="0.25">
      <c r="A1269" s="103"/>
      <c r="B1269" s="38" t="str">
        <f>IF($A1269=0,"",VLOOKUP($A1269,'BASE MATERIAL'!$A:$D,2))</f>
        <v/>
      </c>
      <c r="C1269" s="2"/>
      <c r="D1269" s="77"/>
      <c r="E1269" s="78" t="str">
        <f>IF($A1269=0,"",VLOOKUP($A1269,'BASE MATERIAL'!$A:$D,3))</f>
        <v/>
      </c>
      <c r="F1269" s="55"/>
      <c r="G1269" s="55" t="str">
        <f>IF($A1269=0,"",VLOOKUP($A1269,'BASE MATERIAL'!$A:$D,4))</f>
        <v/>
      </c>
      <c r="H1269" s="56" t="str">
        <f t="shared" si="114"/>
        <v/>
      </c>
      <c r="I1269" s="5"/>
    </row>
    <row r="1270" spans="1:16" s="4" customFormat="1" x14ac:dyDescent="0.25">
      <c r="A1270" s="103"/>
      <c r="B1270" s="38" t="str">
        <f>IF($A1270=0,"",VLOOKUP($A1270,'BASE MATERIAL'!$A:$D,2))</f>
        <v/>
      </c>
      <c r="C1270" s="2"/>
      <c r="D1270" s="77"/>
      <c r="E1270" s="78" t="str">
        <f>IF($A1270=0,"",VLOOKUP($A1270,'BASE MATERIAL'!$A:$D,3))</f>
        <v/>
      </c>
      <c r="F1270" s="55"/>
      <c r="G1270" s="55" t="str">
        <f>IF($A1270=0,"",VLOOKUP($A1270,'BASE MATERIAL'!$A:$D,4))</f>
        <v/>
      </c>
      <c r="H1270" s="56" t="str">
        <f t="shared" si="114"/>
        <v/>
      </c>
      <c r="I1270" s="5"/>
      <c r="L1270" s="5"/>
      <c r="M1270" s="5"/>
      <c r="N1270" s="160"/>
      <c r="O1270" s="5"/>
      <c r="P1270" s="5"/>
    </row>
    <row r="1271" spans="1:16" s="4" customFormat="1" x14ac:dyDescent="0.25">
      <c r="A1271" s="103"/>
      <c r="B1271" s="38" t="str">
        <f>IF($A1271=0,"",VLOOKUP($A1271,'BASE MATERIAL'!$A:$D,2))</f>
        <v/>
      </c>
      <c r="C1271" s="2"/>
      <c r="D1271" s="77"/>
      <c r="E1271" s="78" t="str">
        <f>IF($A1271=0,"",VLOOKUP($A1271,'BASE MATERIAL'!$A:$D,3))</f>
        <v/>
      </c>
      <c r="F1271" s="55"/>
      <c r="G1271" s="55" t="str">
        <f>IF($A1271=0,"",VLOOKUP($A1271,'BASE MATERIAL'!$A:$D,4))</f>
        <v/>
      </c>
      <c r="H1271" s="56" t="str">
        <f t="shared" si="114"/>
        <v/>
      </c>
      <c r="I1271" s="5"/>
      <c r="L1271" s="5"/>
      <c r="M1271" s="5"/>
      <c r="N1271" s="160"/>
      <c r="O1271" s="5"/>
      <c r="P1271" s="5"/>
    </row>
    <row r="1272" spans="1:16" s="4" customFormat="1" x14ac:dyDescent="0.25">
      <c r="A1272" s="103"/>
      <c r="B1272" s="38" t="str">
        <f>IF($A1272=0,"",VLOOKUP($A1272,'BASE MATERIAL'!$A:$D,2))</f>
        <v/>
      </c>
      <c r="C1272" s="2"/>
      <c r="D1272" s="77"/>
      <c r="E1272" s="78" t="str">
        <f>IF($A1272=0,"",VLOOKUP($A1272,'BASE MATERIAL'!$A:$D,3))</f>
        <v/>
      </c>
      <c r="F1272" s="55"/>
      <c r="G1272" s="55" t="str">
        <f>IF($A1272=0,"",VLOOKUP($A1272,'BASE MATERIAL'!$A:$D,4))</f>
        <v/>
      </c>
      <c r="H1272" s="56" t="str">
        <f t="shared" si="114"/>
        <v/>
      </c>
      <c r="I1272" s="5"/>
    </row>
    <row r="1273" spans="1:16" s="4" customFormat="1" x14ac:dyDescent="0.25">
      <c r="A1273" s="103"/>
      <c r="B1273" s="38" t="str">
        <f>IF($A1273=0,"",VLOOKUP($A1273,'BASE MATERIAL'!$A:$D,2))</f>
        <v/>
      </c>
      <c r="C1273" s="2"/>
      <c r="D1273" s="77"/>
      <c r="E1273" s="78" t="str">
        <f>IF($A1273=0,"",VLOOKUP($A1273,'BASE MATERIAL'!$A:$D,3))</f>
        <v/>
      </c>
      <c r="F1273" s="55"/>
      <c r="G1273" s="55" t="str">
        <f>IF($A1273=0,"",VLOOKUP($A1273,'BASE MATERIAL'!$A:$D,4))</f>
        <v/>
      </c>
      <c r="H1273" s="56" t="str">
        <f t="shared" si="114"/>
        <v/>
      </c>
      <c r="I1273" s="5"/>
    </row>
    <row r="1274" spans="1:16" s="4" customFormat="1" x14ac:dyDescent="0.25">
      <c r="A1274" s="103"/>
      <c r="B1274" s="38" t="str">
        <f>IF($A1274=0,"",VLOOKUP($A1274,'BASE MATERIAL'!$A:$D,2))</f>
        <v/>
      </c>
      <c r="C1274" s="2"/>
      <c r="D1274" s="77"/>
      <c r="E1274" s="78" t="str">
        <f>IF($A1274=0,"",VLOOKUP($A1274,'BASE MATERIAL'!$A:$D,3))</f>
        <v/>
      </c>
      <c r="F1274" s="55"/>
      <c r="G1274" s="55" t="str">
        <f>IF($A1274=0,"",VLOOKUP($A1274,'BASE MATERIAL'!$A:$D,4))</f>
        <v/>
      </c>
      <c r="H1274" s="56" t="str">
        <f t="shared" si="114"/>
        <v/>
      </c>
      <c r="I1274" s="5"/>
    </row>
    <row r="1275" spans="1:16" s="4" customFormat="1" x14ac:dyDescent="0.25">
      <c r="A1275" s="103"/>
      <c r="B1275" s="38" t="str">
        <f>IF($A1275=0,"",VLOOKUP($A1275,'BASE MATERIAL'!$A:$D,2))</f>
        <v/>
      </c>
      <c r="C1275" s="2"/>
      <c r="D1275" s="77"/>
      <c r="E1275" s="78" t="str">
        <f>IF($A1275=0,"",VLOOKUP($A1275,'BASE MATERIAL'!$A:$D,3))</f>
        <v/>
      </c>
      <c r="F1275" s="55"/>
      <c r="G1275" s="55" t="str">
        <f>IF($A1275=0,"",VLOOKUP($A1275,'BASE MATERIAL'!$A:$D,4))</f>
        <v/>
      </c>
      <c r="H1275" s="56" t="str">
        <f t="shared" si="114"/>
        <v/>
      </c>
      <c r="I1275" s="5"/>
    </row>
    <row r="1276" spans="1:16" s="4" customFormat="1" x14ac:dyDescent="0.25">
      <c r="A1276" s="103"/>
      <c r="B1276" s="38" t="str">
        <f>IF($A1276=0,"",VLOOKUP($A1276,'BASE MATERIAL'!$A:$D,2))</f>
        <v/>
      </c>
      <c r="C1276" s="2"/>
      <c r="D1276" s="81" t="s">
        <v>1682</v>
      </c>
      <c r="E1276" s="55" t="str">
        <f>IF($A1276=0,"",VLOOKUP($A1276,'BASE MATERIAL'!$A:$D,3))</f>
        <v/>
      </c>
      <c r="F1276" s="55" t="s">
        <v>1682</v>
      </c>
      <c r="G1276" s="55" t="str">
        <f>IF($A1276=0,"",VLOOKUP($A1276,'BASE MATERIAL'!$A:$D,4))</f>
        <v/>
      </c>
      <c r="H1276" s="56" t="str">
        <f>IF($A1276=0,"",ROUND(E1276*F1276,2))</f>
        <v/>
      </c>
      <c r="I1276" s="5"/>
    </row>
    <row r="1277" spans="1:16" s="4" customFormat="1" x14ac:dyDescent="0.25">
      <c r="A1277" s="103"/>
      <c r="B1277" s="73" t="s">
        <v>1681</v>
      </c>
      <c r="C1277" s="65"/>
      <c r="D1277" s="74"/>
      <c r="E1277" s="74"/>
      <c r="F1277" s="74"/>
      <c r="G1277" s="74"/>
      <c r="H1277" s="75">
        <f>ROUND(SUM(H1260:H1276),2)</f>
        <v>0.62</v>
      </c>
      <c r="I1277" s="5"/>
    </row>
    <row r="1278" spans="1:16" s="4" customFormat="1" x14ac:dyDescent="0.25">
      <c r="A1278" s="103"/>
      <c r="B1278" s="38" t="s">
        <v>1680</v>
      </c>
      <c r="C1278" s="2"/>
      <c r="D1278" s="3"/>
      <c r="E1278" s="3"/>
      <c r="F1278" s="3"/>
      <c r="G1278" s="3"/>
      <c r="H1278" s="56"/>
      <c r="I1278" s="5"/>
    </row>
    <row r="1279" spans="1:16" ht="25.5" x14ac:dyDescent="0.25">
      <c r="B1279" s="64" t="s">
        <v>1409</v>
      </c>
      <c r="C1279" s="65"/>
      <c r="D1279" s="76"/>
      <c r="E1279" s="66" t="s">
        <v>1408</v>
      </c>
      <c r="F1279" s="66" t="s">
        <v>1679</v>
      </c>
      <c r="G1279" s="66" t="s">
        <v>1676</v>
      </c>
      <c r="H1279" s="68" t="s">
        <v>1675</v>
      </c>
      <c r="I1279" s="2"/>
    </row>
    <row r="1280" spans="1:16" s="4" customFormat="1" x14ac:dyDescent="0.25">
      <c r="A1280" s="103">
        <v>19019</v>
      </c>
      <c r="B1280" s="51" t="str">
        <f>IF($A1280=0,"",VLOOKUP($A1280,'BASE EQUIPO'!$A:$D,2))</f>
        <v>TRANSPORTE DE MATERIAL</v>
      </c>
      <c r="C1280" s="52"/>
      <c r="D1280" s="82"/>
      <c r="E1280" s="78" t="str">
        <f>IF($A1280=0,"",VLOOKUP($A1280,'BASE EQUIPO'!$A:$D,3))</f>
        <v>GLOBAL</v>
      </c>
      <c r="F1280" s="55">
        <v>1</v>
      </c>
      <c r="G1280" s="83">
        <f>IF($A1280=0,"",VLOOKUP($A1280,'BASE EQUIPO'!$A:$D,4)*H1277)</f>
        <v>1.8599999999999998E-2</v>
      </c>
      <c r="H1280" s="56">
        <f>IF($A1280=0,"",ROUND(F1280*G1280,2))</f>
        <v>0.02</v>
      </c>
      <c r="I1280" s="5"/>
    </row>
    <row r="1281" spans="1:15" s="4" customFormat="1" x14ac:dyDescent="0.25">
      <c r="A1281" s="103"/>
      <c r="B1281" s="38" t="str">
        <f>IF($A1281=0,"",VLOOKUP($A1281,'BASE EQUIPO'!$A:$D,2))</f>
        <v/>
      </c>
      <c r="C1281" s="2"/>
      <c r="D1281" s="84"/>
      <c r="E1281" s="78" t="str">
        <f>IF($A1281=0,"",VLOOKUP($A1281,'BASE EQUIPO'!$A:$D,3))</f>
        <v/>
      </c>
      <c r="F1281" s="55"/>
      <c r="G1281" s="55" t="str">
        <f>IF($A1281=0,"",VLOOKUP($A1281,'BASE EQUIPO'!$A:$D,4)*H1278)</f>
        <v/>
      </c>
      <c r="H1281" s="56" t="str">
        <f>IF($A1281=0,"",ROUND(F1281*G1281,2))</f>
        <v/>
      </c>
      <c r="I1281" s="5"/>
    </row>
    <row r="1282" spans="1:15" s="4" customFormat="1" x14ac:dyDescent="0.25">
      <c r="A1282" s="103"/>
      <c r="B1282" s="57" t="str">
        <f>IF($A1282=0,"",VLOOKUP($A1282,'BASE EQUIPO'!$A:$D,2))</f>
        <v/>
      </c>
      <c r="C1282" s="58"/>
      <c r="D1282" s="85"/>
      <c r="E1282" s="86" t="str">
        <f>IF($A1282=0,"",VLOOKUP($A1282,'BASE EQUIPO'!$A:$D,3))</f>
        <v/>
      </c>
      <c r="F1282" s="59"/>
      <c r="G1282" s="59" t="str">
        <f>IF($A1282=0,"",VLOOKUP($A1282,'BASE EQUIPO'!$A:$D,4)*H1279)</f>
        <v/>
      </c>
      <c r="H1282" s="60" t="str">
        <f>IF($A1282=0,"",ROUND(F1282*G1282,2))</f>
        <v/>
      </c>
      <c r="I1282" s="5"/>
    </row>
    <row r="1283" spans="1:15" s="4" customFormat="1" ht="15.75" thickBot="1" x14ac:dyDescent="0.3">
      <c r="A1283" s="103"/>
      <c r="B1283" s="87" t="s">
        <v>1674</v>
      </c>
      <c r="C1283" s="88"/>
      <c r="D1283" s="89"/>
      <c r="E1283" s="89"/>
      <c r="F1283" s="89"/>
      <c r="G1283" s="89"/>
      <c r="H1283" s="90">
        <f>ROUND(SUM(H1279:H1282),2)</f>
        <v>0.02</v>
      </c>
      <c r="I1283" s="5"/>
    </row>
    <row r="1284" spans="1:15" s="4" customFormat="1" ht="15.75" x14ac:dyDescent="0.25">
      <c r="A1284" s="103"/>
      <c r="B1284" s="2"/>
      <c r="C1284" s="2"/>
      <c r="D1284" s="91" t="s">
        <v>1673</v>
      </c>
      <c r="E1284" s="177"/>
      <c r="F1284" s="177"/>
      <c r="G1284" s="177"/>
      <c r="H1284" s="92">
        <f>ROUND(SUM(H1283,H1277,H1258,H1248),2)</f>
        <v>3.94</v>
      </c>
      <c r="I1284" s="5"/>
    </row>
    <row r="1285" spans="1:15" s="4" customFormat="1" ht="15.75" x14ac:dyDescent="0.25">
      <c r="A1285" s="103">
        <v>40002</v>
      </c>
      <c r="B1285" s="2"/>
      <c r="C1285" s="2"/>
      <c r="D1285" s="93" t="s">
        <v>1672</v>
      </c>
      <c r="E1285" s="166"/>
      <c r="F1285" s="166"/>
      <c r="G1285" s="178">
        <f>IF($A1285=0,"",VLOOKUP($A1285,'BASE MATERIAL'!$M:$P,4))</f>
        <v>0</v>
      </c>
      <c r="H1285" s="95">
        <f>IF($A1285=0,"",ROUND(G1285*H1284,2))</f>
        <v>0</v>
      </c>
      <c r="I1285" s="5"/>
    </row>
    <row r="1286" spans="1:15" s="4" customFormat="1" ht="15.75" x14ac:dyDescent="0.25">
      <c r="A1286" s="103">
        <v>40003</v>
      </c>
      <c r="B1286" s="2"/>
      <c r="C1286" s="2"/>
      <c r="D1286" s="93" t="s">
        <v>1671</v>
      </c>
      <c r="E1286" s="166"/>
      <c r="F1286" s="166"/>
      <c r="G1286" s="178">
        <f>IF($A1286=0,"",VLOOKUP($A1286,'BASE MATERIAL'!$M:$P,4))</f>
        <v>0</v>
      </c>
      <c r="H1286" s="95">
        <f>IF($A1286=0,"",ROUND(G1286*H1284,2))</f>
        <v>0</v>
      </c>
      <c r="I1286" s="5"/>
    </row>
    <row r="1287" spans="1:15" s="4" customFormat="1" ht="15.75" x14ac:dyDescent="0.25">
      <c r="A1287" s="103"/>
      <c r="B1287" s="2"/>
      <c r="C1287" s="2"/>
      <c r="D1287" s="93" t="s">
        <v>1670</v>
      </c>
      <c r="E1287" s="166"/>
      <c r="F1287" s="166"/>
      <c r="G1287" s="166"/>
      <c r="H1287" s="96">
        <f>ROUND(SUM(H1284:H1286),2)</f>
        <v>3.94</v>
      </c>
      <c r="I1287" s="5"/>
    </row>
    <row r="1288" spans="1:15" s="4" customFormat="1" ht="16.5" thickBot="1" x14ac:dyDescent="0.3">
      <c r="A1288" s="103"/>
      <c r="B1288" s="25"/>
      <c r="C1288" s="5"/>
      <c r="D1288" s="97" t="s">
        <v>1650</v>
      </c>
      <c r="E1288" s="179"/>
      <c r="F1288" s="179"/>
      <c r="G1288" s="179"/>
      <c r="H1288" s="98">
        <f>ROUND(H1287,2)</f>
        <v>3.94</v>
      </c>
      <c r="I1288" s="5"/>
    </row>
    <row r="1289" spans="1:15" ht="15.75" x14ac:dyDescent="0.25">
      <c r="B1289" s="34" t="s">
        <v>1701</v>
      </c>
      <c r="C1289" s="5"/>
      <c r="D1289" s="157" t="str">
        <f>$D$113</f>
        <v>ESPOL</v>
      </c>
      <c r="E1289" s="2"/>
      <c r="F1289" s="2"/>
      <c r="H1289" s="2" t="s">
        <v>108</v>
      </c>
      <c r="I1289" s="2"/>
      <c r="L1289" s="40">
        <f>A1293</f>
        <v>24</v>
      </c>
      <c r="M1289" s="1" t="str">
        <f>C1294</f>
        <v>Molduras en cubiertas</v>
      </c>
      <c r="N1289" s="2" t="str">
        <f>H1293</f>
        <v>ml</v>
      </c>
      <c r="O1289" s="2">
        <f>H1344</f>
        <v>31.74</v>
      </c>
    </row>
    <row r="1290" spans="1:15" s="4" customFormat="1" ht="15.75" x14ac:dyDescent="0.25">
      <c r="A1290" s="103"/>
      <c r="B1290" s="34" t="s">
        <v>1700</v>
      </c>
      <c r="C1290" s="3">
        <f>'1.1'!$C$2</f>
        <v>0</v>
      </c>
      <c r="D1290" s="5"/>
      <c r="E1290" s="5"/>
      <c r="F1290" s="5"/>
      <c r="G1290" s="158" t="s">
        <v>1699</v>
      </c>
      <c r="H1290" s="159"/>
      <c r="I1290" s="5" t="s">
        <v>1698</v>
      </c>
    </row>
    <row r="1291" spans="1:15" s="4" customFormat="1" ht="15.75" x14ac:dyDescent="0.25">
      <c r="A1291" s="103"/>
      <c r="B1291" s="34"/>
      <c r="C1291" s="3">
        <f>'1.1'!$C$3</f>
        <v>0</v>
      </c>
      <c r="D1291" s="5"/>
      <c r="E1291" s="5"/>
      <c r="F1291" s="5"/>
      <c r="G1291" s="5"/>
      <c r="H1291" s="5"/>
      <c r="I1291" s="5"/>
    </row>
    <row r="1292" spans="1:15" s="4" customFormat="1" ht="15.75" x14ac:dyDescent="0.25">
      <c r="A1292" s="103"/>
      <c r="B1292" s="34" t="s">
        <v>1697</v>
      </c>
      <c r="C1292" s="3"/>
      <c r="D1292" s="5"/>
      <c r="E1292" s="5"/>
      <c r="F1292" s="5"/>
      <c r="G1292" s="5"/>
      <c r="H1292" s="5"/>
      <c r="I1292" s="5"/>
    </row>
    <row r="1293" spans="1:15" x14ac:dyDescent="0.25">
      <c r="A1293" s="104">
        <v>24</v>
      </c>
      <c r="B1293" s="2" t="s">
        <v>1586</v>
      </c>
      <c r="C1293" s="36" t="s">
        <v>666</v>
      </c>
      <c r="D1293" s="5"/>
      <c r="E1293" s="4"/>
      <c r="F1293" s="4"/>
      <c r="G1293" s="5" t="s">
        <v>1696</v>
      </c>
      <c r="H1293" s="157" t="s">
        <v>961</v>
      </c>
      <c r="I1293" s="2"/>
    </row>
    <row r="1294" spans="1:15" s="4" customFormat="1" x14ac:dyDescent="0.25">
      <c r="A1294" s="103"/>
      <c r="B1294" s="1" t="s">
        <v>1585</v>
      </c>
      <c r="C1294" s="36" t="s">
        <v>1872</v>
      </c>
      <c r="D1294" s="5"/>
      <c r="E1294" s="5"/>
      <c r="F1294" s="5"/>
      <c r="G1294" s="5"/>
      <c r="H1294" s="5"/>
      <c r="I1294" s="5"/>
    </row>
    <row r="1295" spans="1:15" ht="15.75" thickBot="1" x14ac:dyDescent="0.3">
      <c r="D1295" s="2"/>
      <c r="E1295" s="2"/>
      <c r="F1295" s="2"/>
      <c r="G1295" s="2"/>
      <c r="H1295" s="2"/>
      <c r="I1295" s="2"/>
    </row>
    <row r="1296" spans="1:15" ht="15.75" thickBot="1" x14ac:dyDescent="0.3">
      <c r="B1296" s="43" t="s">
        <v>1695</v>
      </c>
      <c r="C1296" s="44"/>
      <c r="D1296" s="44"/>
      <c r="E1296" s="44"/>
      <c r="F1296" s="44"/>
      <c r="G1296" s="44"/>
      <c r="H1296" s="45"/>
      <c r="I1296" s="2"/>
    </row>
    <row r="1297" spans="1:12" ht="25.5" x14ac:dyDescent="0.25">
      <c r="B1297" s="46" t="s">
        <v>1409</v>
      </c>
      <c r="C1297" s="47"/>
      <c r="D1297" s="48" t="s">
        <v>1690</v>
      </c>
      <c r="E1297" s="48" t="s">
        <v>1694</v>
      </c>
      <c r="F1297" s="48" t="s">
        <v>1693</v>
      </c>
      <c r="G1297" s="49" t="s">
        <v>1687</v>
      </c>
      <c r="H1297" s="50" t="s">
        <v>1686</v>
      </c>
      <c r="I1297" s="2"/>
    </row>
    <row r="1298" spans="1:12" s="4" customFormat="1" x14ac:dyDescent="0.25">
      <c r="A1298" s="103">
        <v>19015</v>
      </c>
      <c r="B1298" s="51" t="str">
        <f>IF($A1298=0,"",VLOOKUP($A1298,'BASE EQUIPO'!$A:$D,2))</f>
        <v>HERRAMIENTA MENOR</v>
      </c>
      <c r="C1298" s="52"/>
      <c r="D1298" s="53">
        <v>1</v>
      </c>
      <c r="E1298" s="53">
        <f>IF($A1298=0,"",VLOOKUP($A1298,'BASE EQUIPO'!$A:$D,4)*H1314)</f>
        <v>0.38880000000000003</v>
      </c>
      <c r="F1298" s="53">
        <f t="shared" ref="F1298:F1303" si="115">IF($A1298=0,"",ROUND(D1298*E1298,2))</f>
        <v>0.39</v>
      </c>
      <c r="G1298" s="105">
        <v>1</v>
      </c>
      <c r="H1298" s="54">
        <f t="shared" ref="H1298:H1303" si="116">IF($A1298=0,"",ROUND(G1298*F1298,2))</f>
        <v>0.39</v>
      </c>
      <c r="I1298" s="5"/>
    </row>
    <row r="1299" spans="1:12" s="4" customFormat="1" x14ac:dyDescent="0.25">
      <c r="A1299" s="103">
        <v>19025</v>
      </c>
      <c r="B1299" s="38" t="str">
        <f>IF($A1299=0,"",VLOOKUP($A1299,'BASE EQUIPO'!$A:$D,2))</f>
        <v xml:space="preserve">ANDAMIOS </v>
      </c>
      <c r="C1299" s="2"/>
      <c r="D1299" s="55">
        <v>1</v>
      </c>
      <c r="E1299" s="55">
        <f>IF($A1299=0,"",VLOOKUP($A1299,'BASE EQUIPO'!$A:$D,4))</f>
        <v>5.54</v>
      </c>
      <c r="F1299" s="55">
        <f t="shared" si="115"/>
        <v>5.54</v>
      </c>
      <c r="G1299" s="106">
        <f>ROUND(G1308*0.5,2)</f>
        <v>0.4</v>
      </c>
      <c r="H1299" s="56">
        <f t="shared" si="116"/>
        <v>2.2200000000000002</v>
      </c>
      <c r="I1299" s="5"/>
    </row>
    <row r="1300" spans="1:12" s="4" customFormat="1" x14ac:dyDescent="0.25">
      <c r="A1300" s="103"/>
      <c r="B1300" s="38" t="str">
        <f>IF($A1300=0,"",VLOOKUP($A1300,'BASE EQUIPO'!$A:$D,2))</f>
        <v/>
      </c>
      <c r="C1300" s="2"/>
      <c r="D1300" s="55"/>
      <c r="E1300" s="55" t="str">
        <f>IF($A1300=0,"",VLOOKUP($A1300,'BASE EQUIPO'!$A:$D,4))</f>
        <v/>
      </c>
      <c r="F1300" s="55" t="str">
        <f t="shared" si="115"/>
        <v/>
      </c>
      <c r="G1300" s="106"/>
      <c r="H1300" s="56" t="str">
        <f t="shared" si="116"/>
        <v/>
      </c>
      <c r="I1300" s="5"/>
    </row>
    <row r="1301" spans="1:12" s="4" customFormat="1" x14ac:dyDescent="0.25">
      <c r="A1301" s="103"/>
      <c r="B1301" s="38" t="str">
        <f>IF($A1301=0,"",VLOOKUP($A1301,'BASE EQUIPO'!$A:$D,2))</f>
        <v/>
      </c>
      <c r="C1301" s="2"/>
      <c r="D1301" s="55"/>
      <c r="E1301" s="55" t="str">
        <f>IF($A1301=0,"",VLOOKUP($A1301,'BASE EQUIPO'!$A:$D,4))</f>
        <v/>
      </c>
      <c r="F1301" s="55" t="str">
        <f t="shared" si="115"/>
        <v/>
      </c>
      <c r="G1301" s="106"/>
      <c r="H1301" s="56" t="str">
        <f t="shared" si="116"/>
        <v/>
      </c>
      <c r="I1301" s="5"/>
    </row>
    <row r="1302" spans="1:12" s="4" customFormat="1" x14ac:dyDescent="0.25">
      <c r="A1302" s="103"/>
      <c r="B1302" s="38" t="str">
        <f>IF($A1302=0,"",VLOOKUP($A1302,'BASE EQUIPO'!$A:$D,2))</f>
        <v/>
      </c>
      <c r="C1302" s="2"/>
      <c r="D1302" s="55"/>
      <c r="E1302" s="55" t="str">
        <f>IF($A1302=0,"",VLOOKUP($A1302,'BASE EQUIPO'!$A:$D,4))</f>
        <v/>
      </c>
      <c r="F1302" s="55" t="str">
        <f t="shared" si="115"/>
        <v/>
      </c>
      <c r="G1302" s="106"/>
      <c r="H1302" s="56" t="str">
        <f t="shared" si="116"/>
        <v/>
      </c>
      <c r="I1302" s="5"/>
    </row>
    <row r="1303" spans="1:12" s="4" customFormat="1" x14ac:dyDescent="0.25">
      <c r="A1303" s="103"/>
      <c r="B1303" s="57" t="str">
        <f>IF($A1303=0,"",VLOOKUP($A1303,'BASE EQUIPO'!$A:$D,2))</f>
        <v/>
      </c>
      <c r="C1303" s="58"/>
      <c r="D1303" s="59"/>
      <c r="E1303" s="59" t="str">
        <f>IF($A1303=0,"",VLOOKUP($A1303,'BASE EQUIPO'!$A:$D,4))</f>
        <v/>
      </c>
      <c r="F1303" s="59" t="str">
        <f t="shared" si="115"/>
        <v/>
      </c>
      <c r="G1303" s="107"/>
      <c r="H1303" s="60" t="str">
        <f t="shared" si="116"/>
        <v/>
      </c>
      <c r="I1303" s="5"/>
    </row>
    <row r="1304" spans="1:12" s="4" customFormat="1" x14ac:dyDescent="0.25">
      <c r="A1304" s="103"/>
      <c r="B1304" s="57" t="s">
        <v>1692</v>
      </c>
      <c r="C1304" s="58"/>
      <c r="D1304" s="61"/>
      <c r="E1304" s="61"/>
      <c r="F1304" s="61"/>
      <c r="G1304" s="62"/>
      <c r="H1304" s="60">
        <f>ROUND(SUM(H1297:H1303),2)</f>
        <v>2.61</v>
      </c>
      <c r="I1304" s="5"/>
    </row>
    <row r="1305" spans="1:12" s="4" customFormat="1" x14ac:dyDescent="0.25">
      <c r="A1305" s="103"/>
      <c r="B1305" s="38" t="s">
        <v>1503</v>
      </c>
      <c r="C1305" s="2"/>
      <c r="D1305" s="3"/>
      <c r="E1305" s="3"/>
      <c r="F1305" s="3"/>
      <c r="G1305" s="63"/>
      <c r="H1305" s="56"/>
      <c r="I1305" s="5"/>
    </row>
    <row r="1306" spans="1:12" ht="25.5" x14ac:dyDescent="0.25">
      <c r="B1306" s="64" t="s">
        <v>1691</v>
      </c>
      <c r="C1306" s="65"/>
      <c r="D1306" s="66" t="s">
        <v>1690</v>
      </c>
      <c r="E1306" s="66" t="s">
        <v>1689</v>
      </c>
      <c r="F1306" s="66" t="s">
        <v>1688</v>
      </c>
      <c r="G1306" s="67" t="s">
        <v>1687</v>
      </c>
      <c r="H1306" s="68" t="s">
        <v>1686</v>
      </c>
      <c r="I1306" s="2"/>
    </row>
    <row r="1307" spans="1:12" s="4" customFormat="1" x14ac:dyDescent="0.25">
      <c r="A1307" s="103">
        <v>20001</v>
      </c>
      <c r="B1307" s="69" t="str">
        <f>IF($A1307=0,"",VLOOKUP($A1307,'BASE M-OBRA'!$A:$D,2))</f>
        <v>MAESTRO</v>
      </c>
      <c r="C1307" s="2"/>
      <c r="D1307" s="108">
        <v>1</v>
      </c>
      <c r="E1307" s="70">
        <f>IF($A1307=0,"",VLOOKUP($A1307,'BASE M-OBRA'!$A:$D,4))</f>
        <v>3.02</v>
      </c>
      <c r="F1307" s="55">
        <f t="shared" ref="F1307:F1313" si="117">IF($A1307=0,"",ROUND(D1307*E1307,2))</f>
        <v>3.02</v>
      </c>
      <c r="G1307" s="106">
        <f>IF($A1307=0,"",ROUND(H1307/F1307,2))</f>
        <v>0.72</v>
      </c>
      <c r="H1307" s="56">
        <f>IF($A1307=0,"",ROUND(SUM(H1308:H1313)*'BASE M-OBRA'!$D$23,2))</f>
        <v>2.16</v>
      </c>
      <c r="I1307" s="5"/>
    </row>
    <row r="1308" spans="1:12" s="4" customFormat="1" x14ac:dyDescent="0.25">
      <c r="A1308" s="103">
        <v>20002</v>
      </c>
      <c r="B1308" s="69" t="str">
        <f>IF($A1308=0,"",VLOOKUP($A1308,'BASE M-OBRA'!$A:$D,2))</f>
        <v>PEON</v>
      </c>
      <c r="C1308" s="2"/>
      <c r="D1308" s="108">
        <v>1</v>
      </c>
      <c r="E1308" s="70">
        <f>IF($A1308=0,"",VLOOKUP($A1308,'BASE M-OBRA'!$A:$D,4))</f>
        <v>2.79</v>
      </c>
      <c r="F1308" s="55">
        <f t="shared" si="117"/>
        <v>2.79</v>
      </c>
      <c r="G1308" s="106">
        <v>0.8</v>
      </c>
      <c r="H1308" s="56">
        <f t="shared" ref="H1308:H1313" si="118">IF($A1308=0,"",ROUND(G1308*F1308,2))</f>
        <v>2.23</v>
      </c>
      <c r="I1308" s="5"/>
      <c r="K1308" s="4">
        <f>((24*0.65*0.07)+(1.3*4+4*0.65)/1.2)</f>
        <v>7.5920000000000014</v>
      </c>
      <c r="L1308" s="5">
        <f>H1308+H1309</f>
        <v>6.74</v>
      </c>
    </row>
    <row r="1309" spans="1:12" s="4" customFormat="1" x14ac:dyDescent="0.25">
      <c r="A1309" s="103">
        <v>20003</v>
      </c>
      <c r="B1309" s="69" t="str">
        <f>IF($A1309=0,"",VLOOKUP($A1309,'BASE M-OBRA'!$A:$D,2))</f>
        <v>ALBAÑIL</v>
      </c>
      <c r="C1309" s="2"/>
      <c r="D1309" s="108">
        <v>2</v>
      </c>
      <c r="E1309" s="70">
        <f>IF($A1309=0,"",VLOOKUP($A1309,'BASE M-OBRA'!$A:$D,4))</f>
        <v>2.82</v>
      </c>
      <c r="F1309" s="55">
        <f t="shared" si="117"/>
        <v>5.64</v>
      </c>
      <c r="G1309" s="106">
        <f>+G1308</f>
        <v>0.8</v>
      </c>
      <c r="H1309" s="56">
        <f t="shared" si="118"/>
        <v>4.51</v>
      </c>
      <c r="I1309" s="5"/>
    </row>
    <row r="1310" spans="1:12" s="4" customFormat="1" x14ac:dyDescent="0.25">
      <c r="A1310" s="103">
        <v>20004</v>
      </c>
      <c r="B1310" s="71" t="str">
        <f>IF($A1310=0,"",VLOOKUP($A1310,'BASE M-OBRA'!$A:$D,2))</f>
        <v>CARPINTERO</v>
      </c>
      <c r="C1310" s="2"/>
      <c r="D1310" s="108">
        <v>2</v>
      </c>
      <c r="E1310" s="70">
        <f>IF($A1310=0,"",VLOOKUP($A1310,'BASE M-OBRA'!$A:$D,4))</f>
        <v>2.82</v>
      </c>
      <c r="F1310" s="55">
        <f t="shared" si="117"/>
        <v>5.64</v>
      </c>
      <c r="G1310" s="106">
        <v>0.4</v>
      </c>
      <c r="H1310" s="56">
        <f t="shared" si="118"/>
        <v>2.2599999999999998</v>
      </c>
      <c r="I1310" s="5"/>
      <c r="K1310" s="4">
        <f>0.5*7/1.2</f>
        <v>2.916666666666667</v>
      </c>
    </row>
    <row r="1311" spans="1:12" s="4" customFormat="1" x14ac:dyDescent="0.25">
      <c r="A1311" s="103">
        <v>20005</v>
      </c>
      <c r="B1311" s="72" t="str">
        <f>IF($A1311=0,"",VLOOKUP($A1311,'BASE M-OBRA'!$A:$D,2))</f>
        <v>FIERRERO</v>
      </c>
      <c r="C1311" s="2"/>
      <c r="D1311" s="108">
        <v>2</v>
      </c>
      <c r="E1311" s="70">
        <f>IF($A1311=0,"",VLOOKUP($A1311,'BASE M-OBRA'!$A:$D,4))</f>
        <v>2.82</v>
      </c>
      <c r="F1311" s="55">
        <f t="shared" si="117"/>
        <v>5.64</v>
      </c>
      <c r="G1311" s="106">
        <v>0.32</v>
      </c>
      <c r="H1311" s="56">
        <f t="shared" si="118"/>
        <v>1.8</v>
      </c>
      <c r="I1311" s="5"/>
      <c r="K1311" s="4">
        <f>0.3*F1320/1.2</f>
        <v>1.7124999999999999</v>
      </c>
    </row>
    <row r="1312" spans="1:12" s="4" customFormat="1" x14ac:dyDescent="0.25">
      <c r="A1312" s="103"/>
      <c r="B1312" s="38" t="str">
        <f>IF($A1312=0,"",VLOOKUP($A1312,'BASE M-OBRA'!$A:$D,2))</f>
        <v/>
      </c>
      <c r="C1312" s="2"/>
      <c r="D1312" s="55"/>
      <c r="E1312" s="55" t="str">
        <f>IF($A1312=0,"",VLOOKUP($A1312,'BASE M-OBRA'!$A:$D,4))</f>
        <v/>
      </c>
      <c r="F1312" s="55" t="str">
        <f t="shared" si="117"/>
        <v/>
      </c>
      <c r="G1312" s="106"/>
      <c r="H1312" s="56" t="str">
        <f t="shared" si="118"/>
        <v/>
      </c>
      <c r="I1312" s="5"/>
    </row>
    <row r="1313" spans="1:16" s="4" customFormat="1" x14ac:dyDescent="0.25">
      <c r="A1313" s="103"/>
      <c r="B1313" s="57" t="str">
        <f>IF($A1313=0,"",VLOOKUP($A1313,'BASE M-OBRA'!$A:$D,2))</f>
        <v/>
      </c>
      <c r="C1313" s="58"/>
      <c r="D1313" s="59"/>
      <c r="E1313" s="59" t="str">
        <f>IF($A1313=0,"",VLOOKUP($A1313,'BASE M-OBRA'!$A:$D,4))</f>
        <v/>
      </c>
      <c r="F1313" s="59" t="str">
        <f t="shared" si="117"/>
        <v/>
      </c>
      <c r="G1313" s="107"/>
      <c r="H1313" s="60" t="str">
        <f t="shared" si="118"/>
        <v/>
      </c>
      <c r="I1313" s="5"/>
    </row>
    <row r="1314" spans="1:16" s="4" customFormat="1" x14ac:dyDescent="0.25">
      <c r="A1314" s="103"/>
      <c r="B1314" s="73" t="s">
        <v>1685</v>
      </c>
      <c r="C1314" s="65"/>
      <c r="D1314" s="74"/>
      <c r="E1314" s="74"/>
      <c r="F1314" s="74"/>
      <c r="G1314" s="74"/>
      <c r="H1314" s="75">
        <f>ROUND(SUM(H1306:H1313),2)</f>
        <v>12.96</v>
      </c>
      <c r="I1314" s="5"/>
    </row>
    <row r="1315" spans="1:16" s="4" customFormat="1" x14ac:dyDescent="0.25">
      <c r="A1315" s="103"/>
      <c r="B1315" s="38" t="s">
        <v>1684</v>
      </c>
      <c r="C1315" s="2"/>
      <c r="D1315" s="3"/>
      <c r="E1315" s="3"/>
      <c r="F1315" s="3"/>
      <c r="G1315" s="3"/>
      <c r="H1315" s="56"/>
      <c r="I1315" s="5"/>
    </row>
    <row r="1316" spans="1:16" ht="25.5" x14ac:dyDescent="0.25">
      <c r="B1316" s="64" t="s">
        <v>1409</v>
      </c>
      <c r="C1316" s="65"/>
      <c r="D1316" s="76"/>
      <c r="E1316" s="66" t="s">
        <v>1408</v>
      </c>
      <c r="F1316" s="66" t="s">
        <v>1679</v>
      </c>
      <c r="G1316" s="66" t="s">
        <v>1683</v>
      </c>
      <c r="H1316" s="68" t="s">
        <v>1675</v>
      </c>
      <c r="I1316" s="2"/>
    </row>
    <row r="1317" spans="1:16" s="4" customFormat="1" x14ac:dyDescent="0.25">
      <c r="A1317" s="103">
        <v>11011</v>
      </c>
      <c r="B1317" s="37" t="str">
        <f>IF($A1317=0,"",VLOOKUP($A1317,'BASE MATERIAL'!$A:$D,2))</f>
        <v>PLYWOOD ENCOFRADO 15 MM</v>
      </c>
      <c r="C1317" s="2"/>
      <c r="D1317" s="77"/>
      <c r="E1317" s="78" t="str">
        <f>IF($A1317=0,"",VLOOKUP($A1317,'BASE MATERIAL'!$A:$D,3))</f>
        <v>U</v>
      </c>
      <c r="F1317" s="55">
        <f>ROUND(0.65/(1.2*2.4*5),2)</f>
        <v>0.05</v>
      </c>
      <c r="G1317" s="55">
        <f>IF($A1317=0,"",VLOOKUP($A1317,'BASE MATERIAL'!$A:$D,4))</f>
        <v>37.799999999999997</v>
      </c>
      <c r="H1317" s="56">
        <f t="shared" ref="H1317:H1331" si="119">IF($A1317=0,"",ROUND(F1317*G1317,2))</f>
        <v>1.89</v>
      </c>
      <c r="I1317" s="5"/>
      <c r="L1317" s="5"/>
      <c r="M1317" s="5"/>
      <c r="N1317" s="160"/>
      <c r="O1317" s="5"/>
      <c r="P1317" s="5"/>
    </row>
    <row r="1318" spans="1:16" s="4" customFormat="1" x14ac:dyDescent="0.25">
      <c r="A1318" s="103">
        <v>11009</v>
      </c>
      <c r="B1318" s="38" t="str">
        <f>IF($A1318=0,"",VLOOKUP($A1318,'BASE MATERIAL'!$A:$D,2))</f>
        <v>CUARTON</v>
      </c>
      <c r="C1318" s="2"/>
      <c r="D1318" s="77"/>
      <c r="E1318" s="78" t="str">
        <f>IF($A1318=0,"",VLOOKUP($A1318,'BASE MATERIAL'!$A:$D,3))</f>
        <v>U</v>
      </c>
      <c r="F1318" s="55">
        <f>ROUND(0.65*8/(4*3),2)</f>
        <v>0.43</v>
      </c>
      <c r="G1318" s="55">
        <f>IF($A1318=0,"",VLOOKUP($A1318,'BASE MATERIAL'!$A:$D,4))</f>
        <v>2.42</v>
      </c>
      <c r="H1318" s="56">
        <f t="shared" si="119"/>
        <v>1.04</v>
      </c>
      <c r="I1318" s="5"/>
      <c r="L1318" s="5"/>
      <c r="M1318" s="5"/>
      <c r="N1318" s="160"/>
      <c r="O1318" s="5"/>
      <c r="P1318" s="5"/>
    </row>
    <row r="1319" spans="1:16" s="4" customFormat="1" x14ac:dyDescent="0.25">
      <c r="A1319" s="103">
        <v>11007</v>
      </c>
      <c r="B1319" s="38" t="str">
        <f>IF($A1319=0,"",VLOOKUP($A1319,'BASE MATERIAL'!$A:$D,2))</f>
        <v>CLAVO 2 1/2"</v>
      </c>
      <c r="C1319" s="2"/>
      <c r="D1319" s="77"/>
      <c r="E1319" s="78" t="str">
        <f>IF($A1319=0,"",VLOOKUP($A1319,'BASE MATERIAL'!$A:$D,3))</f>
        <v>KG</v>
      </c>
      <c r="F1319" s="55">
        <f>ROUND(0.65*56/(178*1.5),2)</f>
        <v>0.14000000000000001</v>
      </c>
      <c r="G1319" s="55">
        <f>IF($A1319=0,"",VLOOKUP($A1319,'BASE MATERIAL'!$A:$D,4))</f>
        <v>2.6520000000000001</v>
      </c>
      <c r="H1319" s="56">
        <f t="shared" si="119"/>
        <v>0.37</v>
      </c>
      <c r="I1319" s="5"/>
      <c r="L1319" s="5"/>
      <c r="M1319" s="5"/>
      <c r="N1319" s="160"/>
      <c r="O1319" s="5"/>
      <c r="P1319" s="5"/>
    </row>
    <row r="1320" spans="1:16" s="4" customFormat="1" x14ac:dyDescent="0.25">
      <c r="A1320" s="103">
        <v>1001</v>
      </c>
      <c r="B1320" s="38" t="str">
        <f>IF($A1320=0,"",VLOOKUP($A1320,'BASE MATERIAL'!$A:$D,2))</f>
        <v>HIERRO</v>
      </c>
      <c r="C1320" s="2"/>
      <c r="D1320" s="77"/>
      <c r="E1320" s="78" t="str">
        <f>IF($A1320=0,"",VLOOKUP($A1320,'BASE MATERIAL'!$A:$D,3))</f>
        <v>KG</v>
      </c>
      <c r="F1320" s="55">
        <v>6.85</v>
      </c>
      <c r="G1320" s="55">
        <f>IF($A1320=0,"",VLOOKUP($A1320,'BASE MATERIAL'!$A:$D,4))</f>
        <v>1.17</v>
      </c>
      <c r="H1320" s="56">
        <f t="shared" si="119"/>
        <v>8.01</v>
      </c>
      <c r="I1320" s="5"/>
      <c r="K1320" s="4">
        <f>7*0.617</f>
        <v>4.319</v>
      </c>
      <c r="L1320" s="5"/>
      <c r="M1320" s="5"/>
      <c r="N1320" s="160"/>
      <c r="O1320" s="5"/>
      <c r="P1320" s="5"/>
    </row>
    <row r="1321" spans="1:16" s="4" customFormat="1" x14ac:dyDescent="0.25">
      <c r="A1321" s="103">
        <v>11002</v>
      </c>
      <c r="B1321" s="38" t="str">
        <f>IF($A1321=0,"",VLOOKUP($A1321,'BASE MATERIAL'!$A:$D,2))</f>
        <v>ALAMBRE #18 RECOCIDO</v>
      </c>
      <c r="C1321" s="2"/>
      <c r="D1321" s="77"/>
      <c r="E1321" s="78" t="str">
        <f>IF($A1321=0,"",VLOOKUP($A1321,'BASE MATERIAL'!$A:$D,3))</f>
        <v>KG</v>
      </c>
      <c r="F1321" s="55">
        <f>ROUND(F1320*0.02,2)</f>
        <v>0.14000000000000001</v>
      </c>
      <c r="G1321" s="55">
        <f>IF($A1321=0,"",VLOOKUP($A1321,'BASE MATERIAL'!$A:$D,4))</f>
        <v>1.87</v>
      </c>
      <c r="H1321" s="56">
        <f t="shared" si="119"/>
        <v>0.26</v>
      </c>
      <c r="I1321" s="5"/>
      <c r="K1321" s="4">
        <f>8*0.8*0.394</f>
        <v>2.5216000000000003</v>
      </c>
      <c r="L1321" s="5"/>
      <c r="M1321" s="5"/>
      <c r="N1321" s="160"/>
      <c r="O1321" s="5"/>
      <c r="P1321" s="5"/>
    </row>
    <row r="1322" spans="1:16" s="4" customFormat="1" x14ac:dyDescent="0.25">
      <c r="A1322" s="103">
        <v>4001</v>
      </c>
      <c r="B1322" s="38" t="str">
        <f>IF($A1322=0,"",VLOOKUP($A1322,'BASE MATERIAL'!$A:$D,2))</f>
        <v>CEMENTO</v>
      </c>
      <c r="C1322" s="2"/>
      <c r="D1322" s="77"/>
      <c r="E1322" s="78" t="str">
        <f>IF($A1322=0,"",VLOOKUP($A1322,'BASE MATERIAL'!$A:$D,3))</f>
        <v>SACO</v>
      </c>
      <c r="F1322" s="55">
        <f>ROUND(7*0.07*0.65+0.65*0.2,2)</f>
        <v>0.45</v>
      </c>
      <c r="G1322" s="55">
        <f>IF($A1322=0,"",VLOOKUP($A1322,'BASE MATERIAL'!$A:$D,4))</f>
        <v>7.09</v>
      </c>
      <c r="H1322" s="56">
        <f t="shared" si="119"/>
        <v>3.19</v>
      </c>
      <c r="I1322" s="5"/>
      <c r="K1322" s="4">
        <f>SUM(K1320:K1321)</f>
        <v>6.8406000000000002</v>
      </c>
      <c r="L1322" s="5"/>
      <c r="M1322" s="5"/>
      <c r="N1322" s="160"/>
      <c r="O1322" s="5"/>
      <c r="P1322" s="5"/>
    </row>
    <row r="1323" spans="1:16" s="4" customFormat="1" x14ac:dyDescent="0.25">
      <c r="A1323" s="103">
        <v>5004</v>
      </c>
      <c r="B1323" s="38" t="str">
        <f>IF($A1323=0,"",VLOOKUP($A1323,'BASE MATERIAL'!$A:$D,2))</f>
        <v>ARENA</v>
      </c>
      <c r="C1323" s="2"/>
      <c r="D1323" s="77"/>
      <c r="E1323" s="78" t="str">
        <f>IF($A1323=0,"",VLOOKUP($A1323,'BASE MATERIAL'!$A:$D,3))</f>
        <v>M3</v>
      </c>
      <c r="F1323" s="55">
        <f>ROUND(F1322*0.032*2,2)</f>
        <v>0.03</v>
      </c>
      <c r="G1323" s="55">
        <f>IF($A1323=0,"",VLOOKUP($A1323,'BASE MATERIAL'!$A:$D,4))</f>
        <v>12.276249999999999</v>
      </c>
      <c r="H1323" s="56">
        <f t="shared" si="119"/>
        <v>0.37</v>
      </c>
      <c r="I1323" s="5"/>
      <c r="L1323" s="5"/>
      <c r="M1323" s="5"/>
      <c r="N1323" s="160"/>
      <c r="O1323" s="5"/>
      <c r="P1323" s="5"/>
    </row>
    <row r="1324" spans="1:16" s="4" customFormat="1" x14ac:dyDescent="0.25">
      <c r="A1324" s="103">
        <v>5002</v>
      </c>
      <c r="B1324" s="38" t="str">
        <f>IF($A1324=0,"",VLOOKUP($A1324,'BASE MATERIAL'!$A:$D,2))</f>
        <v>PIEDRA 3-4</v>
      </c>
      <c r="C1324" s="2"/>
      <c r="D1324" s="77"/>
      <c r="E1324" s="78" t="str">
        <f>IF($A1324=0,"",VLOOKUP($A1324,'BASE MATERIAL'!$A:$D,3))</f>
        <v>M3</v>
      </c>
      <c r="F1324" s="55">
        <f>ROUND(F1322*0.032*3,2)</f>
        <v>0.04</v>
      </c>
      <c r="G1324" s="55">
        <f>IF($A1324=0,"",VLOOKUP($A1324,'BASE MATERIAL'!$A:$D,4))</f>
        <v>13.75</v>
      </c>
      <c r="H1324" s="56">
        <f t="shared" si="119"/>
        <v>0.55000000000000004</v>
      </c>
      <c r="I1324" s="5"/>
      <c r="L1324" s="5"/>
      <c r="M1324" s="5"/>
      <c r="N1324" s="160"/>
      <c r="O1324" s="5"/>
      <c r="P1324" s="5"/>
    </row>
    <row r="1325" spans="1:16" s="4" customFormat="1" x14ac:dyDescent="0.25">
      <c r="A1325" s="103">
        <v>5005</v>
      </c>
      <c r="B1325" s="38" t="str">
        <f>IF($A1325=0,"",VLOOKUP($A1325,'BASE MATERIAL'!$A:$D,2))</f>
        <v>AGUA</v>
      </c>
      <c r="C1325" s="2"/>
      <c r="D1325" s="77"/>
      <c r="E1325" s="78" t="str">
        <f>IF($A1325=0,"",VLOOKUP($A1325,'BASE MATERIAL'!$A:$D,3))</f>
        <v>LT</v>
      </c>
      <c r="F1325" s="55">
        <f>ROUND(26*F1322,2)</f>
        <v>11.7</v>
      </c>
      <c r="G1325" s="112">
        <f>IF($A1325=0,"",VLOOKUP($A1325,'BASE MATERIAL'!$A:$D,4))</f>
        <v>2E-3</v>
      </c>
      <c r="H1325" s="56">
        <f t="shared" si="119"/>
        <v>0.02</v>
      </c>
      <c r="I1325" s="5"/>
    </row>
    <row r="1326" spans="1:16" s="4" customFormat="1" x14ac:dyDescent="0.25">
      <c r="A1326" s="103"/>
      <c r="B1326" s="38" t="str">
        <f>IF($A1326=0,"",VLOOKUP($A1326,'BASE MATERIAL'!$A:$D,2))</f>
        <v/>
      </c>
      <c r="C1326" s="2"/>
      <c r="D1326" s="77"/>
      <c r="E1326" s="78" t="str">
        <f>IF($A1326=0,"",VLOOKUP($A1326,'BASE MATERIAL'!$A:$D,3))</f>
        <v/>
      </c>
      <c r="F1326" s="55"/>
      <c r="G1326" s="55" t="str">
        <f>IF($A1326=0,"",VLOOKUP($A1326,'BASE MATERIAL'!$A:$D,4))</f>
        <v/>
      </c>
      <c r="H1326" s="56" t="str">
        <f t="shared" si="119"/>
        <v/>
      </c>
      <c r="I1326" s="5"/>
      <c r="L1326" s="5"/>
      <c r="M1326" s="5"/>
      <c r="N1326" s="160"/>
      <c r="O1326" s="5"/>
      <c r="P1326" s="5"/>
    </row>
    <row r="1327" spans="1:16" s="4" customFormat="1" x14ac:dyDescent="0.25">
      <c r="A1327" s="103"/>
      <c r="B1327" s="38" t="str">
        <f>IF($A1327=0,"",VLOOKUP($A1327,'BASE MATERIAL'!$A:$D,2))</f>
        <v/>
      </c>
      <c r="C1327" s="2"/>
      <c r="D1327" s="77"/>
      <c r="E1327" s="78" t="str">
        <f>IF($A1327=0,"",VLOOKUP($A1327,'BASE MATERIAL'!$A:$D,3))</f>
        <v/>
      </c>
      <c r="F1327" s="55"/>
      <c r="G1327" s="55" t="str">
        <f>IF($A1327=0,"",VLOOKUP($A1327,'BASE MATERIAL'!$A:$D,4))</f>
        <v/>
      </c>
      <c r="H1327" s="56" t="str">
        <f t="shared" si="119"/>
        <v/>
      </c>
      <c r="I1327" s="5"/>
      <c r="L1327" s="5"/>
      <c r="M1327" s="5"/>
      <c r="N1327" s="160"/>
      <c r="O1327" s="5"/>
      <c r="P1327" s="5"/>
    </row>
    <row r="1328" spans="1:16" s="4" customFormat="1" x14ac:dyDescent="0.25">
      <c r="A1328" s="103"/>
      <c r="B1328" s="38" t="str">
        <f>IF($A1328=0,"",VLOOKUP($A1328,'BASE MATERIAL'!$A:$D,2))</f>
        <v/>
      </c>
      <c r="C1328" s="2"/>
      <c r="D1328" s="77"/>
      <c r="E1328" s="78" t="str">
        <f>IF($A1328=0,"",VLOOKUP($A1328,'BASE MATERIAL'!$A:$D,3))</f>
        <v/>
      </c>
      <c r="F1328" s="55"/>
      <c r="G1328" s="55" t="str">
        <f>IF($A1328=0,"",VLOOKUP($A1328,'BASE MATERIAL'!$A:$D,4))</f>
        <v/>
      </c>
      <c r="H1328" s="56" t="str">
        <f t="shared" si="119"/>
        <v/>
      </c>
      <c r="I1328" s="5"/>
    </row>
    <row r="1329" spans="1:9" s="4" customFormat="1" x14ac:dyDescent="0.25">
      <c r="A1329" s="103"/>
      <c r="B1329" s="38" t="str">
        <f>IF($A1329=0,"",VLOOKUP($A1329,'BASE MATERIAL'!$A:$D,2))</f>
        <v/>
      </c>
      <c r="C1329" s="2"/>
      <c r="D1329" s="77"/>
      <c r="E1329" s="78" t="str">
        <f>IF($A1329=0,"",VLOOKUP($A1329,'BASE MATERIAL'!$A:$D,3))</f>
        <v/>
      </c>
      <c r="F1329" s="55"/>
      <c r="G1329" s="55" t="str">
        <f>IF($A1329=0,"",VLOOKUP($A1329,'BASE MATERIAL'!$A:$D,4))</f>
        <v/>
      </c>
      <c r="H1329" s="56" t="str">
        <f t="shared" si="119"/>
        <v/>
      </c>
      <c r="I1329" s="5"/>
    </row>
    <row r="1330" spans="1:9" s="4" customFormat="1" x14ac:dyDescent="0.25">
      <c r="A1330" s="103"/>
      <c r="B1330" s="38" t="str">
        <f>IF($A1330=0,"",VLOOKUP($A1330,'BASE MATERIAL'!$A:$D,2))</f>
        <v/>
      </c>
      <c r="C1330" s="2"/>
      <c r="D1330" s="77"/>
      <c r="E1330" s="78" t="str">
        <f>IF($A1330=0,"",VLOOKUP($A1330,'BASE MATERIAL'!$A:$D,3))</f>
        <v/>
      </c>
      <c r="F1330" s="55"/>
      <c r="G1330" s="55" t="str">
        <f>IF($A1330=0,"",VLOOKUP($A1330,'BASE MATERIAL'!$A:$D,4))</f>
        <v/>
      </c>
      <c r="H1330" s="56" t="str">
        <f t="shared" si="119"/>
        <v/>
      </c>
      <c r="I1330" s="5"/>
    </row>
    <row r="1331" spans="1:9" s="4" customFormat="1" x14ac:dyDescent="0.25">
      <c r="A1331" s="103"/>
      <c r="B1331" s="38" t="str">
        <f>IF($A1331=0,"",VLOOKUP($A1331,'BASE MATERIAL'!$A:$D,2))</f>
        <v/>
      </c>
      <c r="C1331" s="2"/>
      <c r="D1331" s="77"/>
      <c r="E1331" s="78" t="str">
        <f>IF($A1331=0,"",VLOOKUP($A1331,'BASE MATERIAL'!$A:$D,3))</f>
        <v/>
      </c>
      <c r="F1331" s="55"/>
      <c r="G1331" s="55" t="str">
        <f>IF($A1331=0,"",VLOOKUP($A1331,'BASE MATERIAL'!$A:$D,4))</f>
        <v/>
      </c>
      <c r="H1331" s="56" t="str">
        <f t="shared" si="119"/>
        <v/>
      </c>
      <c r="I1331" s="5"/>
    </row>
    <row r="1332" spans="1:9" s="4" customFormat="1" x14ac:dyDescent="0.25">
      <c r="A1332" s="103"/>
      <c r="B1332" s="38" t="str">
        <f>IF($A1332=0,"",VLOOKUP($A1332,'BASE MATERIAL'!$A:$D,2))</f>
        <v/>
      </c>
      <c r="C1332" s="2"/>
      <c r="D1332" s="81" t="s">
        <v>1682</v>
      </c>
      <c r="E1332" s="55" t="str">
        <f>IF($A1332=0,"",VLOOKUP($A1332,'BASE MATERIAL'!$A:$D,3))</f>
        <v/>
      </c>
      <c r="F1332" s="55" t="s">
        <v>1682</v>
      </c>
      <c r="G1332" s="55" t="str">
        <f>IF($A1332=0,"",VLOOKUP($A1332,'BASE MATERIAL'!$A:$D,4))</f>
        <v/>
      </c>
      <c r="H1332" s="56" t="str">
        <f>IF($A1332=0,"",ROUND(E1332*F1332,2))</f>
        <v/>
      </c>
      <c r="I1332" s="5"/>
    </row>
    <row r="1333" spans="1:9" s="4" customFormat="1" x14ac:dyDescent="0.25">
      <c r="A1333" s="103"/>
      <c r="B1333" s="73" t="s">
        <v>1681</v>
      </c>
      <c r="C1333" s="65"/>
      <c r="D1333" s="74"/>
      <c r="E1333" s="74"/>
      <c r="F1333" s="74"/>
      <c r="G1333" s="74"/>
      <c r="H1333" s="75">
        <f>ROUND(SUM(H1316:H1332),2)</f>
        <v>15.7</v>
      </c>
      <c r="I1333" s="5"/>
    </row>
    <row r="1334" spans="1:9" s="4" customFormat="1" x14ac:dyDescent="0.25">
      <c r="A1334" s="103"/>
      <c r="B1334" s="38" t="s">
        <v>1680</v>
      </c>
      <c r="C1334" s="2"/>
      <c r="D1334" s="3"/>
      <c r="E1334" s="3"/>
      <c r="F1334" s="3"/>
      <c r="G1334" s="3"/>
      <c r="H1334" s="56"/>
      <c r="I1334" s="5"/>
    </row>
    <row r="1335" spans="1:9" ht="25.5" x14ac:dyDescent="0.25">
      <c r="B1335" s="64" t="s">
        <v>1409</v>
      </c>
      <c r="C1335" s="65"/>
      <c r="D1335" s="76"/>
      <c r="E1335" s="66" t="s">
        <v>1408</v>
      </c>
      <c r="F1335" s="66" t="s">
        <v>1679</v>
      </c>
      <c r="G1335" s="66" t="s">
        <v>1676</v>
      </c>
      <c r="H1335" s="68" t="s">
        <v>1675</v>
      </c>
      <c r="I1335" s="2"/>
    </row>
    <row r="1336" spans="1:9" s="4" customFormat="1" x14ac:dyDescent="0.25">
      <c r="A1336" s="103">
        <v>19019</v>
      </c>
      <c r="B1336" s="51" t="str">
        <f>IF($A1336=0,"",VLOOKUP($A1336,'BASE EQUIPO'!$A:$D,2))</f>
        <v>TRANSPORTE DE MATERIAL</v>
      </c>
      <c r="C1336" s="52"/>
      <c r="D1336" s="82"/>
      <c r="E1336" s="78" t="str">
        <f>IF($A1336=0,"",VLOOKUP($A1336,'BASE EQUIPO'!$A:$D,3))</f>
        <v>GLOBAL</v>
      </c>
      <c r="F1336" s="55">
        <v>1</v>
      </c>
      <c r="G1336" s="83">
        <f>IF($A1336=0,"",VLOOKUP($A1336,'BASE EQUIPO'!$A:$D,4)*H1333)</f>
        <v>0.47099999999999997</v>
      </c>
      <c r="H1336" s="56">
        <f>IF($A1336=0,"",ROUND(F1336*G1336,2))</f>
        <v>0.47</v>
      </c>
      <c r="I1336" s="5"/>
    </row>
    <row r="1337" spans="1:9" s="4" customFormat="1" x14ac:dyDescent="0.25">
      <c r="A1337" s="103"/>
      <c r="B1337" s="38" t="str">
        <f>IF($A1337=0,"",VLOOKUP($A1337,'BASE EQUIPO'!$A:$D,2))</f>
        <v/>
      </c>
      <c r="C1337" s="2"/>
      <c r="D1337" s="84"/>
      <c r="E1337" s="78" t="str">
        <f>IF($A1337=0,"",VLOOKUP($A1337,'BASE EQUIPO'!$A:$D,3))</f>
        <v/>
      </c>
      <c r="F1337" s="55"/>
      <c r="G1337" s="55" t="str">
        <f>IF($A1337=0,"",VLOOKUP($A1337,'BASE EQUIPO'!$A:$D,4)*H1334)</f>
        <v/>
      </c>
      <c r="H1337" s="56" t="str">
        <f>IF($A1337=0,"",ROUND(F1337*G1337,2))</f>
        <v/>
      </c>
      <c r="I1337" s="5"/>
    </row>
    <row r="1338" spans="1:9" s="4" customFormat="1" x14ac:dyDescent="0.25">
      <c r="A1338" s="103"/>
      <c r="B1338" s="57" t="str">
        <f>IF($A1338=0,"",VLOOKUP($A1338,'BASE EQUIPO'!$A:$D,2))</f>
        <v/>
      </c>
      <c r="C1338" s="58"/>
      <c r="D1338" s="85"/>
      <c r="E1338" s="86" t="str">
        <f>IF($A1338=0,"",VLOOKUP($A1338,'BASE EQUIPO'!$A:$D,3))</f>
        <v/>
      </c>
      <c r="F1338" s="59"/>
      <c r="G1338" s="59" t="str">
        <f>IF($A1338=0,"",VLOOKUP($A1338,'BASE EQUIPO'!$A:$D,4)*H1335)</f>
        <v/>
      </c>
      <c r="H1338" s="60" t="str">
        <f>IF($A1338=0,"",ROUND(F1338*G1338,2))</f>
        <v/>
      </c>
      <c r="I1338" s="5"/>
    </row>
    <row r="1339" spans="1:9" s="4" customFormat="1" ht="15.75" thickBot="1" x14ac:dyDescent="0.3">
      <c r="A1339" s="103"/>
      <c r="B1339" s="87" t="s">
        <v>1674</v>
      </c>
      <c r="C1339" s="88"/>
      <c r="D1339" s="89"/>
      <c r="E1339" s="89"/>
      <c r="F1339" s="89"/>
      <c r="G1339" s="89"/>
      <c r="H1339" s="90">
        <f>ROUND(SUM(H1335:H1338),2)</f>
        <v>0.47</v>
      </c>
      <c r="I1339" s="5"/>
    </row>
    <row r="1340" spans="1:9" s="4" customFormat="1" ht="15.75" x14ac:dyDescent="0.25">
      <c r="A1340" s="103"/>
      <c r="B1340" s="2"/>
      <c r="C1340" s="2"/>
      <c r="D1340" s="91" t="s">
        <v>1673</v>
      </c>
      <c r="E1340" s="177"/>
      <c r="F1340" s="177"/>
      <c r="G1340" s="177"/>
      <c r="H1340" s="92">
        <f>ROUND(SUM(H1339,H1333,H1314,H1304),2)</f>
        <v>31.74</v>
      </c>
      <c r="I1340" s="5"/>
    </row>
    <row r="1341" spans="1:9" s="4" customFormat="1" ht="15.75" x14ac:dyDescent="0.25">
      <c r="A1341" s="103">
        <v>40002</v>
      </c>
      <c r="B1341" s="2"/>
      <c r="C1341" s="2"/>
      <c r="D1341" s="93" t="s">
        <v>1672</v>
      </c>
      <c r="E1341" s="166"/>
      <c r="F1341" s="166"/>
      <c r="G1341" s="178">
        <f>IF($A1341=0,"",VLOOKUP($A1341,'BASE MATERIAL'!$M:$P,4))</f>
        <v>0</v>
      </c>
      <c r="H1341" s="95">
        <f>IF($A1341=0,"",ROUND(G1341*H1340,2))</f>
        <v>0</v>
      </c>
      <c r="I1341" s="5"/>
    </row>
    <row r="1342" spans="1:9" s="4" customFormat="1" ht="15.75" x14ac:dyDescent="0.25">
      <c r="A1342" s="103">
        <v>40003</v>
      </c>
      <c r="B1342" s="2"/>
      <c r="C1342" s="2"/>
      <c r="D1342" s="93" t="s">
        <v>1671</v>
      </c>
      <c r="E1342" s="166"/>
      <c r="F1342" s="166"/>
      <c r="G1342" s="178">
        <f>IF($A1342=0,"",VLOOKUP($A1342,'BASE MATERIAL'!$M:$P,4))</f>
        <v>0</v>
      </c>
      <c r="H1342" s="95">
        <f>IF($A1342=0,"",ROUND(G1342*H1340,2))</f>
        <v>0</v>
      </c>
      <c r="I1342" s="5"/>
    </row>
    <row r="1343" spans="1:9" s="4" customFormat="1" ht="15.75" x14ac:dyDescent="0.25">
      <c r="A1343" s="103"/>
      <c r="B1343" s="2"/>
      <c r="C1343" s="2"/>
      <c r="D1343" s="93" t="s">
        <v>1670</v>
      </c>
      <c r="E1343" s="166"/>
      <c r="F1343" s="166"/>
      <c r="G1343" s="166"/>
      <c r="H1343" s="96">
        <f>ROUND(SUM(H1340:H1342),2)</f>
        <v>31.74</v>
      </c>
      <c r="I1343" s="5"/>
    </row>
    <row r="1344" spans="1:9" s="4" customFormat="1" ht="16.5" thickBot="1" x14ac:dyDescent="0.3">
      <c r="A1344" s="103"/>
      <c r="B1344" s="25"/>
      <c r="C1344" s="5"/>
      <c r="D1344" s="97" t="s">
        <v>1650</v>
      </c>
      <c r="E1344" s="179"/>
      <c r="F1344" s="179"/>
      <c r="G1344" s="179"/>
      <c r="H1344" s="98">
        <f>ROUND(H1343,2)</f>
        <v>31.74</v>
      </c>
      <c r="I1344" s="5"/>
    </row>
    <row r="1345" spans="1:15" ht="15.75" x14ac:dyDescent="0.25">
      <c r="B1345" s="34" t="s">
        <v>1701</v>
      </c>
      <c r="C1345" s="5"/>
      <c r="D1345" s="157" t="str">
        <f>$D$113</f>
        <v>ESPOL</v>
      </c>
      <c r="E1345" s="2"/>
      <c r="F1345" s="2"/>
      <c r="H1345" s="2" t="s">
        <v>108</v>
      </c>
      <c r="I1345" s="2"/>
      <c r="L1345" s="40">
        <f>A1349</f>
        <v>1</v>
      </c>
      <c r="M1345" s="2" t="str">
        <f>C1350</f>
        <v>Molduras en ventanas</v>
      </c>
      <c r="N1345" s="2" t="str">
        <f>H1349</f>
        <v>ml</v>
      </c>
      <c r="O1345" s="2">
        <f>H1400</f>
        <v>14.93</v>
      </c>
    </row>
    <row r="1346" spans="1:15" s="4" customFormat="1" ht="15.75" x14ac:dyDescent="0.25">
      <c r="A1346" s="103"/>
      <c r="B1346" s="34" t="s">
        <v>1700</v>
      </c>
      <c r="C1346" s="3">
        <f>'1.1'!$C$2</f>
        <v>0</v>
      </c>
      <c r="D1346" s="5"/>
      <c r="E1346" s="5"/>
      <c r="F1346" s="5"/>
      <c r="G1346" s="158" t="s">
        <v>1699</v>
      </c>
      <c r="H1346" s="159"/>
      <c r="I1346" s="5" t="s">
        <v>1698</v>
      </c>
    </row>
    <row r="1347" spans="1:15" s="4" customFormat="1" ht="15.75" x14ac:dyDescent="0.25">
      <c r="A1347" s="103"/>
      <c r="B1347" s="34"/>
      <c r="C1347" s="3">
        <f>'1.1'!$C$3</f>
        <v>0</v>
      </c>
      <c r="D1347" s="5"/>
      <c r="E1347" s="5"/>
      <c r="F1347" s="5"/>
      <c r="G1347" s="5"/>
      <c r="H1347" s="5"/>
      <c r="I1347" s="5"/>
    </row>
    <row r="1348" spans="1:15" s="4" customFormat="1" ht="15.75" x14ac:dyDescent="0.25">
      <c r="A1348" s="103"/>
      <c r="B1348" s="34" t="s">
        <v>1697</v>
      </c>
      <c r="C1348" s="3"/>
      <c r="D1348" s="5"/>
      <c r="E1348" s="5"/>
      <c r="F1348" s="5"/>
      <c r="G1348" s="5"/>
      <c r="H1348" s="5"/>
      <c r="I1348" s="5"/>
    </row>
    <row r="1349" spans="1:15" x14ac:dyDescent="0.25">
      <c r="A1349" s="104">
        <v>1</v>
      </c>
      <c r="B1349" s="2" t="s">
        <v>1586</v>
      </c>
      <c r="C1349" s="111"/>
      <c r="D1349" s="5"/>
      <c r="E1349" s="4"/>
      <c r="F1349" s="4"/>
      <c r="G1349" s="5" t="s">
        <v>1696</v>
      </c>
      <c r="H1349" s="157" t="s">
        <v>961</v>
      </c>
      <c r="I1349" s="2"/>
    </row>
    <row r="1350" spans="1:15" s="4" customFormat="1" x14ac:dyDescent="0.25">
      <c r="A1350" s="103"/>
      <c r="B1350" s="1" t="s">
        <v>1585</v>
      </c>
      <c r="C1350" s="36" t="s">
        <v>2058</v>
      </c>
      <c r="D1350" s="5"/>
      <c r="E1350" s="5"/>
      <c r="F1350" s="5"/>
      <c r="G1350" s="5"/>
      <c r="H1350" s="5"/>
      <c r="I1350" s="5"/>
    </row>
    <row r="1351" spans="1:15" ht="15.75" thickBot="1" x14ac:dyDescent="0.3">
      <c r="D1351" s="2"/>
      <c r="E1351" s="2"/>
      <c r="F1351" s="2"/>
      <c r="G1351" s="2"/>
      <c r="H1351" s="2"/>
      <c r="I1351" s="2"/>
    </row>
    <row r="1352" spans="1:15" ht="15.75" thickBot="1" x14ac:dyDescent="0.3">
      <c r="B1352" s="43" t="s">
        <v>1695</v>
      </c>
      <c r="C1352" s="44"/>
      <c r="D1352" s="44"/>
      <c r="E1352" s="44"/>
      <c r="F1352" s="44"/>
      <c r="G1352" s="44"/>
      <c r="H1352" s="45"/>
      <c r="I1352" s="2"/>
    </row>
    <row r="1353" spans="1:15" ht="25.5" x14ac:dyDescent="0.25">
      <c r="B1353" s="46" t="s">
        <v>1409</v>
      </c>
      <c r="C1353" s="47"/>
      <c r="D1353" s="48" t="s">
        <v>1690</v>
      </c>
      <c r="E1353" s="48" t="s">
        <v>1694</v>
      </c>
      <c r="F1353" s="48" t="s">
        <v>1693</v>
      </c>
      <c r="G1353" s="49" t="s">
        <v>1687</v>
      </c>
      <c r="H1353" s="50" t="s">
        <v>1686</v>
      </c>
      <c r="I1353" s="2"/>
    </row>
    <row r="1354" spans="1:15" s="4" customFormat="1" x14ac:dyDescent="0.25">
      <c r="A1354" s="103">
        <v>19015</v>
      </c>
      <c r="B1354" s="51" t="str">
        <f>IF($A1354=0,"",VLOOKUP($A1354,'BASE EQUIPO'!$A:$D,2))</f>
        <v>HERRAMIENTA MENOR</v>
      </c>
      <c r="C1354" s="52"/>
      <c r="D1354" s="53">
        <v>1</v>
      </c>
      <c r="E1354" s="53">
        <f>IF($A1354=0,"",VLOOKUP($A1354,'BASE EQUIPO'!$A:$D,4)*H1370)</f>
        <v>0.26099999999999995</v>
      </c>
      <c r="F1354" s="53">
        <f t="shared" ref="F1354:F1359" si="120">IF($A1354=0,"",ROUND(D1354*E1354,2))</f>
        <v>0.26</v>
      </c>
      <c r="G1354" s="105">
        <v>1</v>
      </c>
      <c r="H1354" s="54">
        <f t="shared" ref="H1354:H1359" si="121">IF($A1354=0,"",ROUND(G1354*F1354,2))</f>
        <v>0.26</v>
      </c>
      <c r="I1354" s="5"/>
    </row>
    <row r="1355" spans="1:15" s="4" customFormat="1" x14ac:dyDescent="0.25">
      <c r="A1355" s="103"/>
      <c r="B1355" s="38" t="str">
        <f>IF($A1355=0,"",VLOOKUP($A1355,'BASE EQUIPO'!$A:$D,2))</f>
        <v/>
      </c>
      <c r="C1355" s="2"/>
      <c r="D1355" s="55"/>
      <c r="E1355" s="55" t="str">
        <f>IF($A1355=0,"",VLOOKUP($A1355,'BASE EQUIPO'!$A:$D,4))</f>
        <v/>
      </c>
      <c r="F1355" s="55" t="str">
        <f t="shared" si="120"/>
        <v/>
      </c>
      <c r="G1355" s="106"/>
      <c r="H1355" s="56" t="str">
        <f t="shared" si="121"/>
        <v/>
      </c>
      <c r="I1355" s="5"/>
    </row>
    <row r="1356" spans="1:15" s="4" customFormat="1" x14ac:dyDescent="0.25">
      <c r="A1356" s="103"/>
      <c r="B1356" s="38" t="str">
        <f>IF($A1356=0,"",VLOOKUP($A1356,'BASE EQUIPO'!$A:$D,2))</f>
        <v/>
      </c>
      <c r="C1356" s="2"/>
      <c r="D1356" s="55"/>
      <c r="E1356" s="55" t="str">
        <f>IF($A1356=0,"",VLOOKUP($A1356,'BASE EQUIPO'!$A:$D,4))</f>
        <v/>
      </c>
      <c r="F1356" s="55" t="str">
        <f t="shared" si="120"/>
        <v/>
      </c>
      <c r="G1356" s="106"/>
      <c r="H1356" s="56" t="str">
        <f t="shared" si="121"/>
        <v/>
      </c>
      <c r="I1356" s="5"/>
    </row>
    <row r="1357" spans="1:15" s="4" customFormat="1" x14ac:dyDescent="0.25">
      <c r="A1357" s="103"/>
      <c r="B1357" s="38" t="str">
        <f>IF($A1357=0,"",VLOOKUP($A1357,'BASE EQUIPO'!$A:$D,2))</f>
        <v/>
      </c>
      <c r="C1357" s="2"/>
      <c r="D1357" s="55"/>
      <c r="E1357" s="55" t="str">
        <f>IF($A1357=0,"",VLOOKUP($A1357,'BASE EQUIPO'!$A:$D,4))</f>
        <v/>
      </c>
      <c r="F1357" s="55" t="str">
        <f t="shared" si="120"/>
        <v/>
      </c>
      <c r="G1357" s="106"/>
      <c r="H1357" s="56" t="str">
        <f t="shared" si="121"/>
        <v/>
      </c>
      <c r="I1357" s="5"/>
    </row>
    <row r="1358" spans="1:15" s="4" customFormat="1" x14ac:dyDescent="0.25">
      <c r="A1358" s="103"/>
      <c r="B1358" s="38" t="str">
        <f>IF($A1358=0,"",VLOOKUP($A1358,'BASE EQUIPO'!$A:$D,2))</f>
        <v/>
      </c>
      <c r="C1358" s="2"/>
      <c r="D1358" s="55"/>
      <c r="E1358" s="55" t="str">
        <f>IF($A1358=0,"",VLOOKUP($A1358,'BASE EQUIPO'!$A:$D,4))</f>
        <v/>
      </c>
      <c r="F1358" s="55" t="str">
        <f t="shared" si="120"/>
        <v/>
      </c>
      <c r="G1358" s="106"/>
      <c r="H1358" s="56" t="str">
        <f t="shared" si="121"/>
        <v/>
      </c>
      <c r="I1358" s="5"/>
    </row>
    <row r="1359" spans="1:15" s="4" customFormat="1" x14ac:dyDescent="0.25">
      <c r="A1359" s="103"/>
      <c r="B1359" s="57" t="str">
        <f>IF($A1359=0,"",VLOOKUP($A1359,'BASE EQUIPO'!$A:$D,2))</f>
        <v/>
      </c>
      <c r="C1359" s="58"/>
      <c r="D1359" s="59"/>
      <c r="E1359" s="59" t="str">
        <f>IF($A1359=0,"",VLOOKUP($A1359,'BASE EQUIPO'!$A:$D,4))</f>
        <v/>
      </c>
      <c r="F1359" s="59" t="str">
        <f t="shared" si="120"/>
        <v/>
      </c>
      <c r="G1359" s="107"/>
      <c r="H1359" s="60" t="str">
        <f t="shared" si="121"/>
        <v/>
      </c>
      <c r="I1359" s="5"/>
    </row>
    <row r="1360" spans="1:15" s="4" customFormat="1" x14ac:dyDescent="0.25">
      <c r="A1360" s="103"/>
      <c r="B1360" s="57" t="s">
        <v>1692</v>
      </c>
      <c r="C1360" s="58"/>
      <c r="D1360" s="61"/>
      <c r="E1360" s="61"/>
      <c r="F1360" s="61"/>
      <c r="G1360" s="62"/>
      <c r="H1360" s="60">
        <f>ROUND(SUM(H1353:H1359),2)</f>
        <v>0.26</v>
      </c>
      <c r="I1360" s="5"/>
    </row>
    <row r="1361" spans="1:16" s="4" customFormat="1" x14ac:dyDescent="0.25">
      <c r="A1361" s="103"/>
      <c r="B1361" s="38" t="s">
        <v>1503</v>
      </c>
      <c r="C1361" s="2"/>
      <c r="D1361" s="3"/>
      <c r="E1361" s="3"/>
      <c r="F1361" s="3"/>
      <c r="G1361" s="63"/>
      <c r="H1361" s="56"/>
      <c r="I1361" s="5"/>
    </row>
    <row r="1362" spans="1:16" ht="25.5" x14ac:dyDescent="0.25">
      <c r="B1362" s="64" t="s">
        <v>1691</v>
      </c>
      <c r="C1362" s="65"/>
      <c r="D1362" s="66" t="s">
        <v>1690</v>
      </c>
      <c r="E1362" s="66" t="s">
        <v>1689</v>
      </c>
      <c r="F1362" s="66" t="s">
        <v>1688</v>
      </c>
      <c r="G1362" s="67" t="s">
        <v>1687</v>
      </c>
      <c r="H1362" s="68" t="s">
        <v>1686</v>
      </c>
      <c r="I1362" s="2"/>
    </row>
    <row r="1363" spans="1:16" s="4" customFormat="1" x14ac:dyDescent="0.25">
      <c r="A1363" s="103">
        <v>20001</v>
      </c>
      <c r="B1363" s="69" t="str">
        <f>IF($A1363=0,"",VLOOKUP($A1363,'BASE M-OBRA'!$A:$D,2))</f>
        <v>MAESTRO</v>
      </c>
      <c r="C1363" s="2"/>
      <c r="D1363" s="108">
        <v>1</v>
      </c>
      <c r="E1363" s="70">
        <f>IF($A1363=0,"",VLOOKUP($A1363,'BASE M-OBRA'!$A:$D,4))</f>
        <v>3.02</v>
      </c>
      <c r="F1363" s="55">
        <f t="shared" ref="F1363:F1369" si="122">IF($A1363=0,"",ROUND(D1363*E1363,2))</f>
        <v>3.02</v>
      </c>
      <c r="G1363" s="106">
        <f>IF($A1363=0,"",ROUND(H1363/F1363,2))</f>
        <v>0.48</v>
      </c>
      <c r="H1363" s="56">
        <f>IF($A1363=0,"",ROUND(SUM(H1364:H1369)*'BASE M-OBRA'!$D$23,2))</f>
        <v>1.45</v>
      </c>
      <c r="I1363" s="5"/>
    </row>
    <row r="1364" spans="1:16" s="4" customFormat="1" x14ac:dyDescent="0.25">
      <c r="A1364" s="103">
        <v>20002</v>
      </c>
      <c r="B1364" s="69" t="str">
        <f>IF($A1364=0,"",VLOOKUP($A1364,'BASE M-OBRA'!$A:$D,2))</f>
        <v>PEON</v>
      </c>
      <c r="C1364" s="2"/>
      <c r="D1364" s="108">
        <v>2</v>
      </c>
      <c r="E1364" s="70">
        <f>IF($A1364=0,"",VLOOKUP($A1364,'BASE M-OBRA'!$A:$D,4))</f>
        <v>2.79</v>
      </c>
      <c r="F1364" s="55">
        <f t="shared" si="122"/>
        <v>5.58</v>
      </c>
      <c r="G1364" s="106">
        <v>0.37</v>
      </c>
      <c r="H1364" s="56">
        <f t="shared" ref="H1364:H1369" si="123">IF($A1364=0,"",ROUND(G1364*F1364,2))</f>
        <v>2.06</v>
      </c>
      <c r="I1364" s="5"/>
      <c r="K1364" s="4">
        <f>((24*0.15*0.15)+(1.3*2+4*0.45)/1.2)</f>
        <v>4.206666666666667</v>
      </c>
      <c r="L1364" s="5">
        <f>H1364+H1365</f>
        <v>4.1500000000000004</v>
      </c>
    </row>
    <row r="1365" spans="1:16" s="4" customFormat="1" x14ac:dyDescent="0.25">
      <c r="A1365" s="103">
        <v>20003</v>
      </c>
      <c r="B1365" s="69" t="str">
        <f>IF($A1365=0,"",VLOOKUP($A1365,'BASE M-OBRA'!$A:$D,2))</f>
        <v>ALBAÑIL</v>
      </c>
      <c r="C1365" s="2"/>
      <c r="D1365" s="108">
        <v>2</v>
      </c>
      <c r="E1365" s="70">
        <f>IF($A1365=0,"",VLOOKUP($A1365,'BASE M-OBRA'!$A:$D,4))</f>
        <v>2.82</v>
      </c>
      <c r="F1365" s="55">
        <f t="shared" si="122"/>
        <v>5.64</v>
      </c>
      <c r="G1365" s="106">
        <f>+G1364</f>
        <v>0.37</v>
      </c>
      <c r="H1365" s="56">
        <f t="shared" si="123"/>
        <v>2.09</v>
      </c>
      <c r="I1365" s="5"/>
    </row>
    <row r="1366" spans="1:16" s="4" customFormat="1" x14ac:dyDescent="0.25">
      <c r="A1366" s="103">
        <v>20004</v>
      </c>
      <c r="B1366" s="71" t="str">
        <f>IF($A1366=0,"",VLOOKUP($A1366,'BASE M-OBRA'!$A:$D,2))</f>
        <v>CARPINTERO</v>
      </c>
      <c r="C1366" s="2"/>
      <c r="D1366" s="108">
        <v>2</v>
      </c>
      <c r="E1366" s="70">
        <f>IF($A1366=0,"",VLOOKUP($A1366,'BASE M-OBRA'!$A:$D,4))</f>
        <v>2.82</v>
      </c>
      <c r="F1366" s="55">
        <f t="shared" si="122"/>
        <v>5.64</v>
      </c>
      <c r="G1366" s="106">
        <v>0.45</v>
      </c>
      <c r="H1366" s="56">
        <f t="shared" si="123"/>
        <v>2.54</v>
      </c>
      <c r="I1366" s="5"/>
      <c r="K1366" s="4">
        <f>0.5*7/1.2</f>
        <v>2.916666666666667</v>
      </c>
    </row>
    <row r="1367" spans="1:16" s="4" customFormat="1" x14ac:dyDescent="0.25">
      <c r="A1367" s="103">
        <v>20005</v>
      </c>
      <c r="B1367" s="72" t="str">
        <f>IF($A1367=0,"",VLOOKUP($A1367,'BASE M-OBRA'!$A:$D,2))</f>
        <v>FIERRERO</v>
      </c>
      <c r="C1367" s="2"/>
      <c r="D1367" s="108">
        <v>2</v>
      </c>
      <c r="E1367" s="70">
        <f>IF($A1367=0,"",VLOOKUP($A1367,'BASE M-OBRA'!$A:$D,4))</f>
        <v>2.82</v>
      </c>
      <c r="F1367" s="55">
        <f t="shared" si="122"/>
        <v>5.64</v>
      </c>
      <c r="G1367" s="106">
        <v>0.1</v>
      </c>
      <c r="H1367" s="56">
        <f t="shared" si="123"/>
        <v>0.56000000000000005</v>
      </c>
      <c r="I1367" s="5"/>
      <c r="K1367" s="4">
        <f>0.3*F1376/1.2</f>
        <v>0.54489999999999994</v>
      </c>
    </row>
    <row r="1368" spans="1:16" s="4" customFormat="1" x14ac:dyDescent="0.25">
      <c r="A1368" s="103"/>
      <c r="B1368" s="38" t="str">
        <f>IF($A1368=0,"",VLOOKUP($A1368,'BASE M-OBRA'!$A:$D,2))</f>
        <v/>
      </c>
      <c r="C1368" s="2"/>
      <c r="D1368" s="55"/>
      <c r="E1368" s="55" t="str">
        <f>IF($A1368=0,"",VLOOKUP($A1368,'BASE M-OBRA'!$A:$D,4))</f>
        <v/>
      </c>
      <c r="F1368" s="55" t="str">
        <f t="shared" si="122"/>
        <v/>
      </c>
      <c r="G1368" s="106"/>
      <c r="H1368" s="56" t="str">
        <f t="shared" si="123"/>
        <v/>
      </c>
      <c r="I1368" s="5"/>
    </row>
    <row r="1369" spans="1:16" s="4" customFormat="1" x14ac:dyDescent="0.25">
      <c r="A1369" s="103"/>
      <c r="B1369" s="57" t="str">
        <f>IF($A1369=0,"",VLOOKUP($A1369,'BASE M-OBRA'!$A:$D,2))</f>
        <v/>
      </c>
      <c r="C1369" s="58"/>
      <c r="D1369" s="59"/>
      <c r="E1369" s="59" t="str">
        <f>IF($A1369=0,"",VLOOKUP($A1369,'BASE M-OBRA'!$A:$D,4))</f>
        <v/>
      </c>
      <c r="F1369" s="59" t="str">
        <f t="shared" si="122"/>
        <v/>
      </c>
      <c r="G1369" s="107"/>
      <c r="H1369" s="60" t="str">
        <f t="shared" si="123"/>
        <v/>
      </c>
      <c r="I1369" s="5"/>
    </row>
    <row r="1370" spans="1:16" s="4" customFormat="1" x14ac:dyDescent="0.25">
      <c r="A1370" s="103"/>
      <c r="B1370" s="73" t="s">
        <v>1685</v>
      </c>
      <c r="C1370" s="65"/>
      <c r="D1370" s="74"/>
      <c r="E1370" s="74"/>
      <c r="F1370" s="74"/>
      <c r="G1370" s="74"/>
      <c r="H1370" s="75">
        <f>ROUND(SUM(H1362:H1369),2)</f>
        <v>8.6999999999999993</v>
      </c>
      <c r="I1370" s="5"/>
    </row>
    <row r="1371" spans="1:16" s="4" customFormat="1" x14ac:dyDescent="0.25">
      <c r="A1371" s="103"/>
      <c r="B1371" s="38" t="s">
        <v>1684</v>
      </c>
      <c r="C1371" s="2"/>
      <c r="D1371" s="3"/>
      <c r="E1371" s="3"/>
      <c r="F1371" s="3"/>
      <c r="G1371" s="3"/>
      <c r="H1371" s="56"/>
      <c r="I1371" s="5"/>
    </row>
    <row r="1372" spans="1:16" ht="25.5" x14ac:dyDescent="0.25">
      <c r="B1372" s="64" t="s">
        <v>1409</v>
      </c>
      <c r="C1372" s="65"/>
      <c r="D1372" s="76"/>
      <c r="E1372" s="66" t="s">
        <v>1408</v>
      </c>
      <c r="F1372" s="66" t="s">
        <v>1679</v>
      </c>
      <c r="G1372" s="66" t="s">
        <v>1683</v>
      </c>
      <c r="H1372" s="68" t="s">
        <v>1675</v>
      </c>
      <c r="I1372" s="2"/>
    </row>
    <row r="1373" spans="1:16" s="4" customFormat="1" x14ac:dyDescent="0.25">
      <c r="A1373" s="103">
        <v>11008</v>
      </c>
      <c r="B1373" s="37" t="str">
        <f>IF($A1373=0,"",VLOOKUP($A1373,'BASE MATERIAL'!$A:$D,2))</f>
        <v>TABLA</v>
      </c>
      <c r="C1373" s="2"/>
      <c r="D1373" s="77"/>
      <c r="E1373" s="78" t="str">
        <f>IF($A1373=0,"",VLOOKUP($A1373,'BASE MATERIAL'!$A:$D,3))</f>
        <v>U</v>
      </c>
      <c r="F1373" s="55">
        <f>ROUND(0.45*5/(4*3),2)</f>
        <v>0.19</v>
      </c>
      <c r="G1373" s="55">
        <f>IF($A1373=0,"",VLOOKUP($A1373,'BASE MATERIAL'!$A:$D,4))</f>
        <v>3.5</v>
      </c>
      <c r="H1373" s="56">
        <f t="shared" ref="H1373:H1387" si="124">IF($A1373=0,"",ROUND(F1373*G1373,2))</f>
        <v>0.67</v>
      </c>
      <c r="I1373" s="5"/>
      <c r="K1373" s="4">
        <f>0.15*3</f>
        <v>0.44999999999999996</v>
      </c>
      <c r="L1373" s="5"/>
      <c r="M1373" s="5"/>
      <c r="N1373" s="160"/>
      <c r="O1373" s="5"/>
      <c r="P1373" s="5"/>
    </row>
    <row r="1374" spans="1:16" s="4" customFormat="1" x14ac:dyDescent="0.25">
      <c r="A1374" s="103">
        <v>11009</v>
      </c>
      <c r="B1374" s="38" t="str">
        <f>IF($A1374=0,"",VLOOKUP($A1374,'BASE MATERIAL'!$A:$D,2))</f>
        <v>CUARTON</v>
      </c>
      <c r="C1374" s="2"/>
      <c r="D1374" s="77"/>
      <c r="E1374" s="78" t="str">
        <f>IF($A1374=0,"",VLOOKUP($A1374,'BASE MATERIAL'!$A:$D,3))</f>
        <v>U</v>
      </c>
      <c r="F1374" s="55">
        <f>ROUND(0.45*8/(4*3),2)</f>
        <v>0.3</v>
      </c>
      <c r="G1374" s="55">
        <f>IF($A1374=0,"",VLOOKUP($A1374,'BASE MATERIAL'!$A:$D,4))</f>
        <v>2.42</v>
      </c>
      <c r="H1374" s="56">
        <f t="shared" si="124"/>
        <v>0.73</v>
      </c>
      <c r="I1374" s="5"/>
      <c r="L1374" s="5"/>
      <c r="M1374" s="5"/>
      <c r="N1374" s="160"/>
      <c r="O1374" s="5"/>
      <c r="P1374" s="5"/>
    </row>
    <row r="1375" spans="1:16" s="4" customFormat="1" x14ac:dyDescent="0.25">
      <c r="A1375" s="103">
        <v>11007</v>
      </c>
      <c r="B1375" s="38" t="str">
        <f>IF($A1375=0,"",VLOOKUP($A1375,'BASE MATERIAL'!$A:$D,2))</f>
        <v>CLAVO 2 1/2"</v>
      </c>
      <c r="C1375" s="2"/>
      <c r="D1375" s="77"/>
      <c r="E1375" s="78" t="str">
        <f>IF($A1375=0,"",VLOOKUP($A1375,'BASE MATERIAL'!$A:$D,3))</f>
        <v>KG</v>
      </c>
      <c r="F1375" s="55">
        <f>ROUND(0.45*56/(178*1.5),2)</f>
        <v>0.09</v>
      </c>
      <c r="G1375" s="55">
        <f>IF($A1375=0,"",VLOOKUP($A1375,'BASE MATERIAL'!$A:$D,4))</f>
        <v>2.6520000000000001</v>
      </c>
      <c r="H1375" s="56">
        <f t="shared" si="124"/>
        <v>0.24</v>
      </c>
      <c r="I1375" s="5"/>
      <c r="L1375" s="5"/>
      <c r="M1375" s="5"/>
      <c r="N1375" s="160"/>
      <c r="O1375" s="5"/>
      <c r="P1375" s="5"/>
    </row>
    <row r="1376" spans="1:16" s="4" customFormat="1" x14ac:dyDescent="0.25">
      <c r="A1376" s="103">
        <v>1001</v>
      </c>
      <c r="B1376" s="38" t="str">
        <f>IF($A1376=0,"",VLOOKUP($A1376,'BASE MATERIAL'!$A:$D,2))</f>
        <v>HIERRO</v>
      </c>
      <c r="C1376" s="2"/>
      <c r="D1376" s="77"/>
      <c r="E1376" s="78" t="str">
        <f>IF($A1376=0,"",VLOOKUP($A1376,'BASE MATERIAL'!$A:$D,3))</f>
        <v>KG</v>
      </c>
      <c r="F1376" s="55">
        <f>2*0.617+8*0.3*0.394</f>
        <v>2.1795999999999998</v>
      </c>
      <c r="G1376" s="55">
        <f>IF($A1376=0,"",VLOOKUP($A1376,'BASE MATERIAL'!$A:$D,4))</f>
        <v>1.17</v>
      </c>
      <c r="H1376" s="56">
        <f t="shared" si="124"/>
        <v>2.5499999999999998</v>
      </c>
      <c r="I1376" s="5"/>
      <c r="K1376" s="4">
        <f>4*0.617</f>
        <v>2.468</v>
      </c>
      <c r="L1376" s="5"/>
      <c r="M1376" s="5"/>
      <c r="N1376" s="160"/>
      <c r="O1376" s="5"/>
      <c r="P1376" s="5"/>
    </row>
    <row r="1377" spans="1:16" s="4" customFormat="1" x14ac:dyDescent="0.25">
      <c r="A1377" s="103">
        <v>11002</v>
      </c>
      <c r="B1377" s="38" t="str">
        <f>IF($A1377=0,"",VLOOKUP($A1377,'BASE MATERIAL'!$A:$D,2))</f>
        <v>ALAMBRE #18 RECOCIDO</v>
      </c>
      <c r="C1377" s="2"/>
      <c r="D1377" s="77"/>
      <c r="E1377" s="78" t="str">
        <f>IF($A1377=0,"",VLOOKUP($A1377,'BASE MATERIAL'!$A:$D,3))</f>
        <v>KG</v>
      </c>
      <c r="F1377" s="55">
        <f>ROUND(F1376*0.02,2)</f>
        <v>0.04</v>
      </c>
      <c r="G1377" s="55">
        <f>IF($A1377=0,"",VLOOKUP($A1377,'BASE MATERIAL'!$A:$D,4))</f>
        <v>1.87</v>
      </c>
      <c r="H1377" s="56">
        <f t="shared" si="124"/>
        <v>7.0000000000000007E-2</v>
      </c>
      <c r="I1377" s="5"/>
      <c r="K1377" s="4">
        <f>8*0.8*0.394</f>
        <v>2.5216000000000003</v>
      </c>
      <c r="L1377" s="5"/>
      <c r="M1377" s="5"/>
      <c r="N1377" s="160"/>
      <c r="O1377" s="5"/>
      <c r="P1377" s="5"/>
    </row>
    <row r="1378" spans="1:16" s="4" customFormat="1" x14ac:dyDescent="0.25">
      <c r="A1378" s="103">
        <v>4001</v>
      </c>
      <c r="B1378" s="38" t="str">
        <f>IF($A1378=0,"",VLOOKUP($A1378,'BASE MATERIAL'!$A:$D,2))</f>
        <v>CEMENTO</v>
      </c>
      <c r="C1378" s="2"/>
      <c r="D1378" s="77"/>
      <c r="E1378" s="78" t="str">
        <f>IF($A1378=0,"",VLOOKUP($A1378,'BASE MATERIAL'!$A:$D,3))</f>
        <v>SACO</v>
      </c>
      <c r="F1378" s="55">
        <f>ROUND(7*0.15*0.15,2)</f>
        <v>0.16</v>
      </c>
      <c r="G1378" s="55">
        <f>IF($A1378=0,"",VLOOKUP($A1378,'BASE MATERIAL'!$A:$D,4))</f>
        <v>7.09</v>
      </c>
      <c r="H1378" s="56">
        <f t="shared" si="124"/>
        <v>1.1299999999999999</v>
      </c>
      <c r="I1378" s="5"/>
      <c r="L1378" s="5"/>
      <c r="M1378" s="5"/>
      <c r="N1378" s="160"/>
      <c r="O1378" s="5"/>
      <c r="P1378" s="5"/>
    </row>
    <row r="1379" spans="1:16" s="4" customFormat="1" x14ac:dyDescent="0.25">
      <c r="A1379" s="103">
        <v>5004</v>
      </c>
      <c r="B1379" s="38" t="str">
        <f>IF($A1379=0,"",VLOOKUP($A1379,'BASE MATERIAL'!$A:$D,2))</f>
        <v>ARENA</v>
      </c>
      <c r="C1379" s="2"/>
      <c r="D1379" s="77"/>
      <c r="E1379" s="78" t="str">
        <f>IF($A1379=0,"",VLOOKUP($A1379,'BASE MATERIAL'!$A:$D,3))</f>
        <v>M3</v>
      </c>
      <c r="F1379" s="55">
        <f>ROUND(F1378*0.032*2,2)</f>
        <v>0.01</v>
      </c>
      <c r="G1379" s="55">
        <f>IF($A1379=0,"",VLOOKUP($A1379,'BASE MATERIAL'!$A:$D,4))</f>
        <v>12.276249999999999</v>
      </c>
      <c r="H1379" s="56">
        <f t="shared" si="124"/>
        <v>0.12</v>
      </c>
      <c r="I1379" s="5"/>
      <c r="L1379" s="5"/>
      <c r="M1379" s="5"/>
      <c r="N1379" s="160"/>
      <c r="O1379" s="5"/>
      <c r="P1379" s="5"/>
    </row>
    <row r="1380" spans="1:16" s="4" customFormat="1" x14ac:dyDescent="0.25">
      <c r="A1380" s="103">
        <v>5002</v>
      </c>
      <c r="B1380" s="38" t="str">
        <f>IF($A1380=0,"",VLOOKUP($A1380,'BASE MATERIAL'!$A:$D,2))</f>
        <v>PIEDRA 3-4</v>
      </c>
      <c r="C1380" s="2"/>
      <c r="D1380" s="77"/>
      <c r="E1380" s="78" t="str">
        <f>IF($A1380=0,"",VLOOKUP($A1380,'BASE MATERIAL'!$A:$D,3))</f>
        <v>M3</v>
      </c>
      <c r="F1380" s="55">
        <f>ROUND(F1378*0.032*3,2)</f>
        <v>0.02</v>
      </c>
      <c r="G1380" s="55">
        <f>IF($A1380=0,"",VLOOKUP($A1380,'BASE MATERIAL'!$A:$D,4))</f>
        <v>13.75</v>
      </c>
      <c r="H1380" s="56">
        <f t="shared" si="124"/>
        <v>0.28000000000000003</v>
      </c>
      <c r="I1380" s="5"/>
      <c r="L1380" s="5"/>
      <c r="M1380" s="5"/>
      <c r="N1380" s="160"/>
      <c r="O1380" s="5"/>
      <c r="P1380" s="5"/>
    </row>
    <row r="1381" spans="1:16" s="4" customFormat="1" x14ac:dyDescent="0.25">
      <c r="A1381" s="103">
        <v>5005</v>
      </c>
      <c r="B1381" s="38" t="str">
        <f>IF($A1381=0,"",VLOOKUP($A1381,'BASE MATERIAL'!$A:$D,2))</f>
        <v>AGUA</v>
      </c>
      <c r="C1381" s="2"/>
      <c r="D1381" s="77"/>
      <c r="E1381" s="78" t="str">
        <f>IF($A1381=0,"",VLOOKUP($A1381,'BASE MATERIAL'!$A:$D,3))</f>
        <v>LT</v>
      </c>
      <c r="F1381" s="55">
        <f>ROUND(26*F1378,2)</f>
        <v>4.16</v>
      </c>
      <c r="G1381" s="80">
        <f>IF($A1381=0,"",VLOOKUP($A1381,'BASE MATERIAL'!$A:$D,4))</f>
        <v>2E-3</v>
      </c>
      <c r="H1381" s="56">
        <f t="shared" si="124"/>
        <v>0.01</v>
      </c>
      <c r="I1381" s="5"/>
    </row>
    <row r="1382" spans="1:16" s="4" customFormat="1" x14ac:dyDescent="0.25">
      <c r="A1382" s="103"/>
      <c r="B1382" s="38" t="str">
        <f>IF($A1382=0,"",VLOOKUP($A1382,'BASE MATERIAL'!$A:$D,2))</f>
        <v/>
      </c>
      <c r="C1382" s="2"/>
      <c r="D1382" s="77"/>
      <c r="E1382" s="78" t="str">
        <f>IF($A1382=0,"",VLOOKUP($A1382,'BASE MATERIAL'!$A:$D,3))</f>
        <v/>
      </c>
      <c r="F1382" s="55"/>
      <c r="G1382" s="55" t="str">
        <f>IF($A1382=0,"",VLOOKUP($A1382,'BASE MATERIAL'!$A:$D,4))</f>
        <v/>
      </c>
      <c r="H1382" s="56" t="str">
        <f t="shared" si="124"/>
        <v/>
      </c>
      <c r="I1382" s="5"/>
      <c r="L1382" s="5"/>
      <c r="M1382" s="5"/>
      <c r="N1382" s="160"/>
      <c r="O1382" s="5"/>
      <c r="P1382" s="5"/>
    </row>
    <row r="1383" spans="1:16" s="4" customFormat="1" x14ac:dyDescent="0.25">
      <c r="A1383" s="103"/>
      <c r="B1383" s="38" t="str">
        <f>IF($A1383=0,"",VLOOKUP($A1383,'BASE MATERIAL'!$A:$D,2))</f>
        <v/>
      </c>
      <c r="C1383" s="2"/>
      <c r="D1383" s="77"/>
      <c r="E1383" s="78" t="str">
        <f>IF($A1383=0,"",VLOOKUP($A1383,'BASE MATERIAL'!$A:$D,3))</f>
        <v/>
      </c>
      <c r="F1383" s="55"/>
      <c r="G1383" s="55" t="str">
        <f>IF($A1383=0,"",VLOOKUP($A1383,'BASE MATERIAL'!$A:$D,4))</f>
        <v/>
      </c>
      <c r="H1383" s="56" t="str">
        <f t="shared" si="124"/>
        <v/>
      </c>
      <c r="I1383" s="5"/>
      <c r="L1383" s="5"/>
      <c r="M1383" s="5"/>
      <c r="N1383" s="160"/>
      <c r="O1383" s="5"/>
      <c r="P1383" s="5"/>
    </row>
    <row r="1384" spans="1:16" s="4" customFormat="1" x14ac:dyDescent="0.25">
      <c r="A1384" s="103"/>
      <c r="B1384" s="38" t="str">
        <f>IF($A1384=0,"",VLOOKUP($A1384,'BASE MATERIAL'!$A:$D,2))</f>
        <v/>
      </c>
      <c r="C1384" s="2"/>
      <c r="D1384" s="77"/>
      <c r="E1384" s="78" t="str">
        <f>IF($A1384=0,"",VLOOKUP($A1384,'BASE MATERIAL'!$A:$D,3))</f>
        <v/>
      </c>
      <c r="F1384" s="55"/>
      <c r="G1384" s="55" t="str">
        <f>IF($A1384=0,"",VLOOKUP($A1384,'BASE MATERIAL'!$A:$D,4))</f>
        <v/>
      </c>
      <c r="H1384" s="56" t="str">
        <f t="shared" si="124"/>
        <v/>
      </c>
      <c r="I1384" s="5"/>
    </row>
    <row r="1385" spans="1:16" s="4" customFormat="1" x14ac:dyDescent="0.25">
      <c r="A1385" s="103"/>
      <c r="B1385" s="38" t="str">
        <f>IF($A1385=0,"",VLOOKUP($A1385,'BASE MATERIAL'!$A:$D,2))</f>
        <v/>
      </c>
      <c r="C1385" s="2"/>
      <c r="D1385" s="77"/>
      <c r="E1385" s="78" t="str">
        <f>IF($A1385=0,"",VLOOKUP($A1385,'BASE MATERIAL'!$A:$D,3))</f>
        <v/>
      </c>
      <c r="F1385" s="55"/>
      <c r="G1385" s="55" t="str">
        <f>IF($A1385=0,"",VLOOKUP($A1385,'BASE MATERIAL'!$A:$D,4))</f>
        <v/>
      </c>
      <c r="H1385" s="56" t="str">
        <f t="shared" si="124"/>
        <v/>
      </c>
      <c r="I1385" s="5"/>
    </row>
    <row r="1386" spans="1:16" s="4" customFormat="1" x14ac:dyDescent="0.25">
      <c r="A1386" s="103"/>
      <c r="B1386" s="38" t="str">
        <f>IF($A1386=0,"",VLOOKUP($A1386,'BASE MATERIAL'!$A:$D,2))</f>
        <v/>
      </c>
      <c r="C1386" s="2"/>
      <c r="D1386" s="77"/>
      <c r="E1386" s="78" t="str">
        <f>IF($A1386=0,"",VLOOKUP($A1386,'BASE MATERIAL'!$A:$D,3))</f>
        <v/>
      </c>
      <c r="F1386" s="55"/>
      <c r="G1386" s="55" t="str">
        <f>IF($A1386=0,"",VLOOKUP($A1386,'BASE MATERIAL'!$A:$D,4))</f>
        <v/>
      </c>
      <c r="H1386" s="56" t="str">
        <f t="shared" si="124"/>
        <v/>
      </c>
      <c r="I1386" s="5"/>
    </row>
    <row r="1387" spans="1:16" s="4" customFormat="1" x14ac:dyDescent="0.25">
      <c r="A1387" s="103"/>
      <c r="B1387" s="38" t="str">
        <f>IF($A1387=0,"",VLOOKUP($A1387,'BASE MATERIAL'!$A:$D,2))</f>
        <v/>
      </c>
      <c r="C1387" s="2"/>
      <c r="D1387" s="77"/>
      <c r="E1387" s="78" t="str">
        <f>IF($A1387=0,"",VLOOKUP($A1387,'BASE MATERIAL'!$A:$D,3))</f>
        <v/>
      </c>
      <c r="F1387" s="55"/>
      <c r="G1387" s="55" t="str">
        <f>IF($A1387=0,"",VLOOKUP($A1387,'BASE MATERIAL'!$A:$D,4))</f>
        <v/>
      </c>
      <c r="H1387" s="56" t="str">
        <f t="shared" si="124"/>
        <v/>
      </c>
      <c r="I1387" s="5"/>
    </row>
    <row r="1388" spans="1:16" s="4" customFormat="1" x14ac:dyDescent="0.25">
      <c r="A1388" s="103"/>
      <c r="B1388" s="38" t="str">
        <f>IF($A1388=0,"",VLOOKUP($A1388,'BASE MATERIAL'!$A:$D,2))</f>
        <v/>
      </c>
      <c r="C1388" s="2"/>
      <c r="D1388" s="81" t="s">
        <v>1682</v>
      </c>
      <c r="E1388" s="55" t="str">
        <f>IF($A1388=0,"",VLOOKUP($A1388,'BASE MATERIAL'!$A:$D,3))</f>
        <v/>
      </c>
      <c r="F1388" s="55" t="s">
        <v>1682</v>
      </c>
      <c r="G1388" s="55" t="str">
        <f>IF($A1388=0,"",VLOOKUP($A1388,'BASE MATERIAL'!$A:$D,4))</f>
        <v/>
      </c>
      <c r="H1388" s="56" t="str">
        <f>IF($A1388=0,"",ROUND(E1388*F1388,2))</f>
        <v/>
      </c>
      <c r="I1388" s="5"/>
    </row>
    <row r="1389" spans="1:16" s="4" customFormat="1" x14ac:dyDescent="0.25">
      <c r="A1389" s="103"/>
      <c r="B1389" s="73" t="s">
        <v>1681</v>
      </c>
      <c r="C1389" s="65"/>
      <c r="D1389" s="74"/>
      <c r="E1389" s="74"/>
      <c r="F1389" s="74"/>
      <c r="G1389" s="74"/>
      <c r="H1389" s="75">
        <f>ROUND(SUM(H1372:H1388),2)</f>
        <v>5.8</v>
      </c>
      <c r="I1389" s="5"/>
    </row>
    <row r="1390" spans="1:16" s="4" customFormat="1" x14ac:dyDescent="0.25">
      <c r="A1390" s="103"/>
      <c r="B1390" s="38" t="s">
        <v>1680</v>
      </c>
      <c r="C1390" s="2"/>
      <c r="D1390" s="3"/>
      <c r="E1390" s="3"/>
      <c r="F1390" s="3"/>
      <c r="G1390" s="3"/>
      <c r="H1390" s="56"/>
      <c r="I1390" s="5"/>
    </row>
    <row r="1391" spans="1:16" ht="25.5" x14ac:dyDescent="0.25">
      <c r="B1391" s="64" t="s">
        <v>1409</v>
      </c>
      <c r="C1391" s="65"/>
      <c r="D1391" s="76"/>
      <c r="E1391" s="66" t="s">
        <v>1408</v>
      </c>
      <c r="F1391" s="66" t="s">
        <v>1679</v>
      </c>
      <c r="G1391" s="66" t="s">
        <v>1676</v>
      </c>
      <c r="H1391" s="68" t="s">
        <v>1675</v>
      </c>
      <c r="I1391" s="2"/>
    </row>
    <row r="1392" spans="1:16" s="4" customFormat="1" x14ac:dyDescent="0.25">
      <c r="A1392" s="103">
        <v>19019</v>
      </c>
      <c r="B1392" s="51" t="str">
        <f>IF($A1392=0,"",VLOOKUP($A1392,'BASE EQUIPO'!$A:$D,2))</f>
        <v>TRANSPORTE DE MATERIAL</v>
      </c>
      <c r="C1392" s="52"/>
      <c r="D1392" s="82"/>
      <c r="E1392" s="78" t="str">
        <f>IF($A1392=0,"",VLOOKUP($A1392,'BASE EQUIPO'!$A:$D,3))</f>
        <v>GLOBAL</v>
      </c>
      <c r="F1392" s="55">
        <v>1</v>
      </c>
      <c r="G1392" s="83">
        <f>IF($A1392=0,"",VLOOKUP($A1392,'BASE EQUIPO'!$A:$D,4)*H1389)</f>
        <v>0.17399999999999999</v>
      </c>
      <c r="H1392" s="56">
        <f>IF($A1392=0,"",ROUND(F1392*G1392,2))</f>
        <v>0.17</v>
      </c>
      <c r="I1392" s="5"/>
    </row>
    <row r="1393" spans="1:15" s="4" customFormat="1" x14ac:dyDescent="0.25">
      <c r="A1393" s="103"/>
      <c r="B1393" s="38" t="str">
        <f>IF($A1393=0,"",VLOOKUP($A1393,'BASE EQUIPO'!$A:$D,2))</f>
        <v/>
      </c>
      <c r="C1393" s="2"/>
      <c r="D1393" s="84"/>
      <c r="E1393" s="78" t="str">
        <f>IF($A1393=0,"",VLOOKUP($A1393,'BASE EQUIPO'!$A:$D,3))</f>
        <v/>
      </c>
      <c r="F1393" s="55"/>
      <c r="G1393" s="55" t="str">
        <f>IF($A1393=0,"",VLOOKUP($A1393,'BASE EQUIPO'!$A:$D,4)*H1390)</f>
        <v/>
      </c>
      <c r="H1393" s="56" t="str">
        <f>IF($A1393=0,"",ROUND(F1393*G1393,2))</f>
        <v/>
      </c>
      <c r="I1393" s="5"/>
    </row>
    <row r="1394" spans="1:15" s="4" customFormat="1" x14ac:dyDescent="0.25">
      <c r="A1394" s="103"/>
      <c r="B1394" s="57" t="str">
        <f>IF($A1394=0,"",VLOOKUP($A1394,'BASE EQUIPO'!$A:$D,2))</f>
        <v/>
      </c>
      <c r="C1394" s="58"/>
      <c r="D1394" s="85"/>
      <c r="E1394" s="86" t="str">
        <f>IF($A1394=0,"",VLOOKUP($A1394,'BASE EQUIPO'!$A:$D,3))</f>
        <v/>
      </c>
      <c r="F1394" s="59"/>
      <c r="G1394" s="59" t="str">
        <f>IF($A1394=0,"",VLOOKUP($A1394,'BASE EQUIPO'!$A:$D,4)*H1391)</f>
        <v/>
      </c>
      <c r="H1394" s="60" t="str">
        <f>IF($A1394=0,"",ROUND(F1394*G1394,2))</f>
        <v/>
      </c>
      <c r="I1394" s="5"/>
    </row>
    <row r="1395" spans="1:15" s="4" customFormat="1" ht="15.75" thickBot="1" x14ac:dyDescent="0.3">
      <c r="A1395" s="103"/>
      <c r="B1395" s="87" t="s">
        <v>1674</v>
      </c>
      <c r="C1395" s="88"/>
      <c r="D1395" s="89"/>
      <c r="E1395" s="89"/>
      <c r="F1395" s="89"/>
      <c r="G1395" s="89"/>
      <c r="H1395" s="90">
        <f>ROUND(SUM(H1391:H1394),2)</f>
        <v>0.17</v>
      </c>
      <c r="I1395" s="5"/>
    </row>
    <row r="1396" spans="1:15" s="4" customFormat="1" ht="15.75" x14ac:dyDescent="0.25">
      <c r="A1396" s="103"/>
      <c r="B1396" s="2"/>
      <c r="C1396" s="2"/>
      <c r="D1396" s="91" t="s">
        <v>1673</v>
      </c>
      <c r="E1396" s="177"/>
      <c r="F1396" s="177"/>
      <c r="G1396" s="177"/>
      <c r="H1396" s="92">
        <f>ROUND(SUM(H1395,H1389,H1370,H1360),2)</f>
        <v>14.93</v>
      </c>
      <c r="I1396" s="5"/>
    </row>
    <row r="1397" spans="1:15" s="4" customFormat="1" ht="15.75" x14ac:dyDescent="0.25">
      <c r="A1397" s="103">
        <v>40002</v>
      </c>
      <c r="B1397" s="2"/>
      <c r="C1397" s="2"/>
      <c r="D1397" s="93" t="s">
        <v>1672</v>
      </c>
      <c r="E1397" s="166"/>
      <c r="F1397" s="166"/>
      <c r="G1397" s="178">
        <f>IF($A1397=0,"",VLOOKUP($A1397,'BASE MATERIAL'!$M:$P,4))</f>
        <v>0</v>
      </c>
      <c r="H1397" s="95">
        <f>IF($A1397=0,"",ROUND(G1397*H1396,2))</f>
        <v>0</v>
      </c>
      <c r="I1397" s="5"/>
    </row>
    <row r="1398" spans="1:15" s="4" customFormat="1" ht="15.75" x14ac:dyDescent="0.25">
      <c r="A1398" s="103">
        <v>40003</v>
      </c>
      <c r="B1398" s="2"/>
      <c r="C1398" s="2"/>
      <c r="D1398" s="93" t="s">
        <v>1671</v>
      </c>
      <c r="E1398" s="166"/>
      <c r="F1398" s="166"/>
      <c r="G1398" s="178">
        <f>IF($A1398=0,"",VLOOKUP($A1398,'BASE MATERIAL'!$M:$P,4))</f>
        <v>0</v>
      </c>
      <c r="H1398" s="95">
        <f>IF($A1398=0,"",ROUND(G1398*H1396,2))</f>
        <v>0</v>
      </c>
      <c r="I1398" s="5"/>
    </row>
    <row r="1399" spans="1:15" s="4" customFormat="1" ht="15.75" x14ac:dyDescent="0.25">
      <c r="A1399" s="103"/>
      <c r="B1399" s="2"/>
      <c r="C1399" s="2"/>
      <c r="D1399" s="93" t="s">
        <v>1670</v>
      </c>
      <c r="E1399" s="166"/>
      <c r="F1399" s="166"/>
      <c r="G1399" s="166"/>
      <c r="H1399" s="96">
        <f>ROUND(SUM(H1396:H1398),2)</f>
        <v>14.93</v>
      </c>
      <c r="I1399" s="5"/>
    </row>
    <row r="1400" spans="1:15" s="4" customFormat="1" ht="16.5" thickBot="1" x14ac:dyDescent="0.3">
      <c r="A1400" s="103"/>
      <c r="B1400" s="25"/>
      <c r="C1400" s="5"/>
      <c r="D1400" s="97" t="s">
        <v>1650</v>
      </c>
      <c r="E1400" s="179"/>
      <c r="F1400" s="179"/>
      <c r="G1400" s="179"/>
      <c r="H1400" s="98">
        <f>ROUND(H1399,2)</f>
        <v>14.93</v>
      </c>
      <c r="I1400" s="5"/>
    </row>
    <row r="1401" spans="1:15" ht="15.75" x14ac:dyDescent="0.25">
      <c r="B1401" s="34" t="s">
        <v>1701</v>
      </c>
      <c r="C1401" s="5"/>
      <c r="D1401" s="157" t="str">
        <f>$D$113</f>
        <v>ESPOL</v>
      </c>
      <c r="E1401" s="2"/>
      <c r="F1401" s="2"/>
      <c r="H1401" s="2" t="s">
        <v>108</v>
      </c>
      <c r="I1401" s="2"/>
      <c r="L1401" s="40">
        <f>A1405</f>
        <v>23</v>
      </c>
      <c r="M1401" s="1" t="str">
        <f>C1406</f>
        <v>Goteros</v>
      </c>
      <c r="N1401" s="2" t="str">
        <f>H1405</f>
        <v>ml</v>
      </c>
      <c r="O1401" s="2">
        <f>H1456</f>
        <v>6.34</v>
      </c>
    </row>
    <row r="1402" spans="1:15" s="4" customFormat="1" ht="15.75" x14ac:dyDescent="0.25">
      <c r="A1402" s="103"/>
      <c r="B1402" s="34" t="s">
        <v>1700</v>
      </c>
      <c r="C1402" s="3">
        <f>'1.1'!$C$2</f>
        <v>0</v>
      </c>
      <c r="D1402" s="5"/>
      <c r="E1402" s="5"/>
      <c r="F1402" s="5"/>
      <c r="G1402" s="158" t="s">
        <v>1699</v>
      </c>
      <c r="H1402" s="159"/>
      <c r="I1402" s="5" t="s">
        <v>1698</v>
      </c>
    </row>
    <row r="1403" spans="1:15" s="4" customFormat="1" ht="15.75" x14ac:dyDescent="0.25">
      <c r="A1403" s="103"/>
      <c r="B1403" s="34"/>
      <c r="C1403" s="3">
        <f>'1.1'!$C$3</f>
        <v>0</v>
      </c>
      <c r="D1403" s="5"/>
      <c r="E1403" s="5"/>
      <c r="F1403" s="5"/>
      <c r="G1403" s="5"/>
      <c r="H1403" s="5"/>
      <c r="I1403" s="5"/>
    </row>
    <row r="1404" spans="1:15" s="4" customFormat="1" ht="15.75" x14ac:dyDescent="0.25">
      <c r="A1404" s="103"/>
      <c r="B1404" s="34" t="s">
        <v>1697</v>
      </c>
      <c r="C1404" s="3"/>
      <c r="D1404" s="5"/>
      <c r="E1404" s="5"/>
      <c r="F1404" s="5"/>
      <c r="G1404" s="5"/>
      <c r="H1404" s="5"/>
      <c r="I1404" s="5"/>
    </row>
    <row r="1405" spans="1:15" x14ac:dyDescent="0.25">
      <c r="A1405" s="104">
        <v>23</v>
      </c>
      <c r="B1405" s="2" t="s">
        <v>1586</v>
      </c>
      <c r="C1405" s="36" t="s">
        <v>1543</v>
      </c>
      <c r="D1405" s="5"/>
      <c r="E1405" s="4"/>
      <c r="F1405" s="4"/>
      <c r="G1405" s="5" t="s">
        <v>1696</v>
      </c>
      <c r="H1405" s="157" t="s">
        <v>961</v>
      </c>
      <c r="I1405" s="2"/>
    </row>
    <row r="1406" spans="1:15" s="4" customFormat="1" x14ac:dyDescent="0.25">
      <c r="A1406" s="103"/>
      <c r="B1406" s="1" t="s">
        <v>1585</v>
      </c>
      <c r="C1406" s="36" t="s">
        <v>1540</v>
      </c>
      <c r="D1406" s="5"/>
      <c r="E1406" s="5"/>
      <c r="F1406" s="5"/>
      <c r="G1406" s="5"/>
      <c r="H1406" s="5"/>
      <c r="I1406" s="5"/>
    </row>
    <row r="1407" spans="1:15" ht="15.75" thickBot="1" x14ac:dyDescent="0.3">
      <c r="D1407" s="2"/>
      <c r="E1407" s="2"/>
      <c r="F1407" s="2"/>
      <c r="G1407" s="2"/>
      <c r="H1407" s="2"/>
      <c r="I1407" s="2"/>
    </row>
    <row r="1408" spans="1:15" ht="15.75" thickBot="1" x14ac:dyDescent="0.3">
      <c r="B1408" s="43" t="s">
        <v>1695</v>
      </c>
      <c r="C1408" s="44"/>
      <c r="D1408" s="44"/>
      <c r="E1408" s="44"/>
      <c r="F1408" s="44"/>
      <c r="G1408" s="44"/>
      <c r="H1408" s="45"/>
      <c r="I1408" s="2"/>
    </row>
    <row r="1409" spans="1:9" ht="25.5" x14ac:dyDescent="0.25">
      <c r="B1409" s="46" t="s">
        <v>1409</v>
      </c>
      <c r="C1409" s="47"/>
      <c r="D1409" s="48" t="s">
        <v>1690</v>
      </c>
      <c r="E1409" s="48" t="s">
        <v>1694</v>
      </c>
      <c r="F1409" s="48" t="s">
        <v>1693</v>
      </c>
      <c r="G1409" s="49" t="s">
        <v>1687</v>
      </c>
      <c r="H1409" s="50" t="s">
        <v>1686</v>
      </c>
      <c r="I1409" s="2"/>
    </row>
    <row r="1410" spans="1:9" s="4" customFormat="1" x14ac:dyDescent="0.25">
      <c r="A1410" s="103">
        <v>19015</v>
      </c>
      <c r="B1410" s="51" t="str">
        <f>IF($A1410=0,"",VLOOKUP($A1410,'BASE EQUIPO'!$A:$D,2))</f>
        <v>HERRAMIENTA MENOR</v>
      </c>
      <c r="C1410" s="52"/>
      <c r="D1410" s="53">
        <v>1</v>
      </c>
      <c r="E1410" s="53">
        <f>IF($A1410=0,"",VLOOKUP($A1410,'BASE EQUIPO'!$A:$D,4)*H1426)</f>
        <v>0.15179999999999999</v>
      </c>
      <c r="F1410" s="53">
        <f t="shared" ref="F1410:F1415" si="125">IF($A1410=0,"",ROUND(D1410*E1410,2))</f>
        <v>0.15</v>
      </c>
      <c r="G1410" s="105">
        <v>1</v>
      </c>
      <c r="H1410" s="54">
        <f t="shared" ref="H1410:H1415" si="126">IF($A1410=0,"",ROUND(G1410*F1410,2))</f>
        <v>0.15</v>
      </c>
      <c r="I1410" s="5"/>
    </row>
    <row r="1411" spans="1:9" s="4" customFormat="1" x14ac:dyDescent="0.25">
      <c r="A1411" s="103">
        <v>19025</v>
      </c>
      <c r="B1411" s="38" t="str">
        <f>IF($A1411=0,"",VLOOKUP($A1411,'BASE EQUIPO'!$A:$D,2))</f>
        <v xml:space="preserve">ANDAMIOS </v>
      </c>
      <c r="C1411" s="2"/>
      <c r="D1411" s="55">
        <v>1</v>
      </c>
      <c r="E1411" s="55">
        <f>IF($A1411=0,"",VLOOKUP($A1411,'BASE EQUIPO'!$A:$D,4))</f>
        <v>5.54</v>
      </c>
      <c r="F1411" s="55">
        <f t="shared" si="125"/>
        <v>5.54</v>
      </c>
      <c r="G1411" s="106">
        <f>ROUND(G1420*0.5,2)</f>
        <v>0.13</v>
      </c>
      <c r="H1411" s="56">
        <f t="shared" si="126"/>
        <v>0.72</v>
      </c>
      <c r="I1411" s="5"/>
    </row>
    <row r="1412" spans="1:9" s="4" customFormat="1" x14ac:dyDescent="0.25">
      <c r="A1412" s="103"/>
      <c r="B1412" s="38" t="str">
        <f>IF($A1412=0,"",VLOOKUP($A1412,'BASE EQUIPO'!$A:$D,2))</f>
        <v/>
      </c>
      <c r="C1412" s="2"/>
      <c r="D1412" s="55"/>
      <c r="E1412" s="55" t="str">
        <f>IF($A1412=0,"",VLOOKUP($A1412,'BASE EQUIPO'!$A:$D,4))</f>
        <v/>
      </c>
      <c r="F1412" s="55" t="str">
        <f t="shared" si="125"/>
        <v/>
      </c>
      <c r="G1412" s="106"/>
      <c r="H1412" s="56" t="str">
        <f t="shared" si="126"/>
        <v/>
      </c>
      <c r="I1412" s="5"/>
    </row>
    <row r="1413" spans="1:9" s="4" customFormat="1" x14ac:dyDescent="0.25">
      <c r="A1413" s="103"/>
      <c r="B1413" s="38" t="str">
        <f>IF($A1413=0,"",VLOOKUP($A1413,'BASE EQUIPO'!$A:$D,2))</f>
        <v/>
      </c>
      <c r="C1413" s="2"/>
      <c r="D1413" s="55"/>
      <c r="E1413" s="55" t="str">
        <f>IF($A1413=0,"",VLOOKUP($A1413,'BASE EQUIPO'!$A:$D,4))</f>
        <v/>
      </c>
      <c r="F1413" s="55" t="str">
        <f t="shared" si="125"/>
        <v/>
      </c>
      <c r="G1413" s="106"/>
      <c r="H1413" s="56" t="str">
        <f t="shared" si="126"/>
        <v/>
      </c>
      <c r="I1413" s="5"/>
    </row>
    <row r="1414" spans="1:9" s="4" customFormat="1" x14ac:dyDescent="0.25">
      <c r="A1414" s="103"/>
      <c r="B1414" s="38" t="str">
        <f>IF($A1414=0,"",VLOOKUP($A1414,'BASE EQUIPO'!$A:$D,2))</f>
        <v/>
      </c>
      <c r="C1414" s="2"/>
      <c r="D1414" s="55"/>
      <c r="E1414" s="55" t="str">
        <f>IF($A1414=0,"",VLOOKUP($A1414,'BASE EQUIPO'!$A:$D,4))</f>
        <v/>
      </c>
      <c r="F1414" s="55" t="str">
        <f t="shared" si="125"/>
        <v/>
      </c>
      <c r="G1414" s="106"/>
      <c r="H1414" s="56" t="str">
        <f t="shared" si="126"/>
        <v/>
      </c>
      <c r="I1414" s="5"/>
    </row>
    <row r="1415" spans="1:9" s="4" customFormat="1" x14ac:dyDescent="0.25">
      <c r="A1415" s="103"/>
      <c r="B1415" s="57" t="str">
        <f>IF($A1415=0,"",VLOOKUP($A1415,'BASE EQUIPO'!$A:$D,2))</f>
        <v/>
      </c>
      <c r="C1415" s="58"/>
      <c r="D1415" s="59"/>
      <c r="E1415" s="59" t="str">
        <f>IF($A1415=0,"",VLOOKUP($A1415,'BASE EQUIPO'!$A:$D,4))</f>
        <v/>
      </c>
      <c r="F1415" s="59" t="str">
        <f t="shared" si="125"/>
        <v/>
      </c>
      <c r="G1415" s="107"/>
      <c r="H1415" s="60" t="str">
        <f t="shared" si="126"/>
        <v/>
      </c>
      <c r="I1415" s="5"/>
    </row>
    <row r="1416" spans="1:9" s="4" customFormat="1" x14ac:dyDescent="0.25">
      <c r="A1416" s="103"/>
      <c r="B1416" s="57" t="s">
        <v>1692</v>
      </c>
      <c r="C1416" s="58"/>
      <c r="D1416" s="61"/>
      <c r="E1416" s="61"/>
      <c r="F1416" s="61"/>
      <c r="G1416" s="62"/>
      <c r="H1416" s="60">
        <f>ROUND(SUM(H1409:H1415),2)</f>
        <v>0.87</v>
      </c>
      <c r="I1416" s="5"/>
    </row>
    <row r="1417" spans="1:9" s="4" customFormat="1" x14ac:dyDescent="0.25">
      <c r="A1417" s="103"/>
      <c r="B1417" s="38" t="s">
        <v>1503</v>
      </c>
      <c r="C1417" s="2"/>
      <c r="D1417" s="3"/>
      <c r="E1417" s="3"/>
      <c r="F1417" s="3"/>
      <c r="G1417" s="63"/>
      <c r="H1417" s="56"/>
      <c r="I1417" s="5"/>
    </row>
    <row r="1418" spans="1:9" ht="25.5" x14ac:dyDescent="0.25">
      <c r="B1418" s="64" t="s">
        <v>1691</v>
      </c>
      <c r="C1418" s="65"/>
      <c r="D1418" s="66" t="s">
        <v>1690</v>
      </c>
      <c r="E1418" s="66" t="s">
        <v>1689</v>
      </c>
      <c r="F1418" s="66" t="s">
        <v>1688</v>
      </c>
      <c r="G1418" s="67" t="s">
        <v>1687</v>
      </c>
      <c r="H1418" s="68" t="s">
        <v>1686</v>
      </c>
      <c r="I1418" s="2"/>
    </row>
    <row r="1419" spans="1:9" s="4" customFormat="1" x14ac:dyDescent="0.25">
      <c r="A1419" s="103">
        <v>20001</v>
      </c>
      <c r="B1419" s="69" t="str">
        <f>IF($A1419=0,"",VLOOKUP($A1419,'BASE M-OBRA'!$A:$D,2))</f>
        <v>MAESTRO</v>
      </c>
      <c r="C1419" s="2"/>
      <c r="D1419" s="108">
        <v>1</v>
      </c>
      <c r="E1419" s="70">
        <f>IF($A1419=0,"",VLOOKUP($A1419,'BASE M-OBRA'!$A:$D,4))</f>
        <v>3.02</v>
      </c>
      <c r="F1419" s="55">
        <f t="shared" ref="F1419:F1425" si="127">IF($A1419=0,"",ROUND(D1419*E1419,2))</f>
        <v>3.02</v>
      </c>
      <c r="G1419" s="106">
        <f>IF($A1419=0,"",ROUND(H1419/F1419,2))</f>
        <v>0.28000000000000003</v>
      </c>
      <c r="H1419" s="56">
        <f>IF($A1419=0,"",ROUND(SUM(H1420:H1425)*'BASE M-OBRA'!$D$23,2))</f>
        <v>0.84</v>
      </c>
      <c r="I1419" s="5"/>
    </row>
    <row r="1420" spans="1:9" s="4" customFormat="1" x14ac:dyDescent="0.25">
      <c r="A1420" s="103">
        <v>20002</v>
      </c>
      <c r="B1420" s="69" t="str">
        <f>IF($A1420=0,"",VLOOKUP($A1420,'BASE M-OBRA'!$A:$D,2))</f>
        <v>PEON</v>
      </c>
      <c r="C1420" s="2"/>
      <c r="D1420" s="108">
        <v>2</v>
      </c>
      <c r="E1420" s="70">
        <f>IF($A1420=0,"",VLOOKUP($A1420,'BASE M-OBRA'!$A:$D,4))</f>
        <v>2.79</v>
      </c>
      <c r="F1420" s="55">
        <f t="shared" si="127"/>
        <v>5.58</v>
      </c>
      <c r="G1420" s="106">
        <v>0.25</v>
      </c>
      <c r="H1420" s="56">
        <f t="shared" ref="H1420:H1425" si="128">IF($A1420=0,"",ROUND(G1420*F1420,2))</f>
        <v>1.4</v>
      </c>
      <c r="I1420" s="5"/>
    </row>
    <row r="1421" spans="1:9" s="4" customFormat="1" x14ac:dyDescent="0.25">
      <c r="A1421" s="103">
        <v>20003</v>
      </c>
      <c r="B1421" s="69" t="str">
        <f>IF($A1421=0,"",VLOOKUP($A1421,'BASE M-OBRA'!$A:$D,2))</f>
        <v>ALBAÑIL</v>
      </c>
      <c r="C1421" s="2"/>
      <c r="D1421" s="108">
        <v>4</v>
      </c>
      <c r="E1421" s="70">
        <f>IF($A1421=0,"",VLOOKUP($A1421,'BASE M-OBRA'!$A:$D,4))</f>
        <v>2.82</v>
      </c>
      <c r="F1421" s="55">
        <f t="shared" si="127"/>
        <v>11.28</v>
      </c>
      <c r="G1421" s="106">
        <f>+G1420</f>
        <v>0.25</v>
      </c>
      <c r="H1421" s="56">
        <f t="shared" si="128"/>
        <v>2.82</v>
      </c>
      <c r="I1421" s="5"/>
    </row>
    <row r="1422" spans="1:9" s="4" customFormat="1" x14ac:dyDescent="0.25">
      <c r="A1422" s="103"/>
      <c r="B1422" s="71" t="str">
        <f>IF($A1422=0,"",VLOOKUP($A1422,'BASE M-OBRA'!$A:$D,2))</f>
        <v/>
      </c>
      <c r="C1422" s="2"/>
      <c r="D1422" s="108"/>
      <c r="E1422" s="70" t="str">
        <f>IF($A1422=0,"",VLOOKUP($A1422,'BASE M-OBRA'!$A:$D,4))</f>
        <v/>
      </c>
      <c r="F1422" s="55" t="str">
        <f t="shared" si="127"/>
        <v/>
      </c>
      <c r="G1422" s="106"/>
      <c r="H1422" s="56" t="str">
        <f t="shared" si="128"/>
        <v/>
      </c>
      <c r="I1422" s="5"/>
    </row>
    <row r="1423" spans="1:9" s="4" customFormat="1" x14ac:dyDescent="0.25">
      <c r="A1423" s="103"/>
      <c r="B1423" s="72" t="str">
        <f>IF($A1423=0,"",VLOOKUP($A1423,'BASE M-OBRA'!$A:$D,2))</f>
        <v/>
      </c>
      <c r="C1423" s="2"/>
      <c r="D1423" s="108"/>
      <c r="E1423" s="70" t="str">
        <f>IF($A1423=0,"",VLOOKUP($A1423,'BASE M-OBRA'!$A:$D,4))</f>
        <v/>
      </c>
      <c r="F1423" s="55" t="str">
        <f t="shared" si="127"/>
        <v/>
      </c>
      <c r="G1423" s="106"/>
      <c r="H1423" s="56" t="str">
        <f t="shared" si="128"/>
        <v/>
      </c>
      <c r="I1423" s="5"/>
    </row>
    <row r="1424" spans="1:9" s="4" customFormat="1" x14ac:dyDescent="0.25">
      <c r="A1424" s="103"/>
      <c r="B1424" s="38" t="str">
        <f>IF($A1424=0,"",VLOOKUP($A1424,'BASE M-OBRA'!$A:$D,2))</f>
        <v/>
      </c>
      <c r="C1424" s="2"/>
      <c r="D1424" s="55"/>
      <c r="E1424" s="55" t="str">
        <f>IF($A1424=0,"",VLOOKUP($A1424,'BASE M-OBRA'!$A:$D,4))</f>
        <v/>
      </c>
      <c r="F1424" s="55" t="str">
        <f t="shared" si="127"/>
        <v/>
      </c>
      <c r="G1424" s="106"/>
      <c r="H1424" s="56" t="str">
        <f t="shared" si="128"/>
        <v/>
      </c>
      <c r="I1424" s="5"/>
    </row>
    <row r="1425" spans="1:16" s="4" customFormat="1" x14ac:dyDescent="0.25">
      <c r="A1425" s="103"/>
      <c r="B1425" s="57" t="str">
        <f>IF($A1425=0,"",VLOOKUP($A1425,'BASE M-OBRA'!$A:$D,2))</f>
        <v/>
      </c>
      <c r="C1425" s="58"/>
      <c r="D1425" s="59"/>
      <c r="E1425" s="59" t="str">
        <f>IF($A1425=0,"",VLOOKUP($A1425,'BASE M-OBRA'!$A:$D,4))</f>
        <v/>
      </c>
      <c r="F1425" s="59" t="str">
        <f t="shared" si="127"/>
        <v/>
      </c>
      <c r="G1425" s="107"/>
      <c r="H1425" s="60" t="str">
        <f t="shared" si="128"/>
        <v/>
      </c>
      <c r="I1425" s="5"/>
    </row>
    <row r="1426" spans="1:16" s="4" customFormat="1" x14ac:dyDescent="0.25">
      <c r="A1426" s="103"/>
      <c r="B1426" s="73" t="s">
        <v>1685</v>
      </c>
      <c r="C1426" s="65"/>
      <c r="D1426" s="74"/>
      <c r="E1426" s="74"/>
      <c r="F1426" s="74"/>
      <c r="G1426" s="74"/>
      <c r="H1426" s="75">
        <f>ROUND(SUM(H1418:H1425),2)</f>
        <v>5.0599999999999996</v>
      </c>
      <c r="I1426" s="5"/>
    </row>
    <row r="1427" spans="1:16" s="4" customFormat="1" x14ac:dyDescent="0.25">
      <c r="A1427" s="103"/>
      <c r="B1427" s="38" t="s">
        <v>1684</v>
      </c>
      <c r="C1427" s="2"/>
      <c r="D1427" s="3"/>
      <c r="E1427" s="3"/>
      <c r="F1427" s="3"/>
      <c r="G1427" s="3"/>
      <c r="H1427" s="56"/>
      <c r="I1427" s="5"/>
    </row>
    <row r="1428" spans="1:16" ht="25.5" x14ac:dyDescent="0.25">
      <c r="B1428" s="64" t="s">
        <v>1409</v>
      </c>
      <c r="C1428" s="65"/>
      <c r="D1428" s="76"/>
      <c r="E1428" s="66" t="s">
        <v>1408</v>
      </c>
      <c r="F1428" s="66" t="s">
        <v>1679</v>
      </c>
      <c r="G1428" s="66" t="s">
        <v>1683</v>
      </c>
      <c r="H1428" s="68" t="s">
        <v>1675</v>
      </c>
      <c r="I1428" s="2"/>
    </row>
    <row r="1429" spans="1:16" s="4" customFormat="1" x14ac:dyDescent="0.25">
      <c r="A1429" s="103">
        <v>4001</v>
      </c>
      <c r="B1429" s="38" t="str">
        <f>IF($A1429=0,"",VLOOKUP($A1429,'BASE MATERIAL'!$A:$D,2))</f>
        <v>CEMENTO</v>
      </c>
      <c r="C1429" s="2"/>
      <c r="D1429" s="77"/>
      <c r="E1429" s="78" t="str">
        <f>IF($A1429=0,"",VLOOKUP($A1429,'BASE MATERIAL'!$A:$D,3))</f>
        <v>SACO</v>
      </c>
      <c r="F1429" s="55">
        <v>0.04</v>
      </c>
      <c r="G1429" s="55">
        <f>IF($A1429=0,"",VLOOKUP($A1429,'BASE MATERIAL'!$A:$D,4))</f>
        <v>7.09</v>
      </c>
      <c r="H1429" s="56">
        <f t="shared" ref="H1429:H1443" si="129">IF($A1429=0,"",ROUND(F1429*G1429,2))</f>
        <v>0.28000000000000003</v>
      </c>
      <c r="I1429" s="5"/>
      <c r="L1429" s="5"/>
      <c r="M1429" s="5"/>
      <c r="N1429" s="160"/>
      <c r="O1429" s="5"/>
      <c r="P1429" s="5"/>
    </row>
    <row r="1430" spans="1:16" s="4" customFormat="1" x14ac:dyDescent="0.25">
      <c r="A1430" s="103">
        <v>5004</v>
      </c>
      <c r="B1430" s="38" t="str">
        <f>IF($A1430=0,"",VLOOKUP($A1430,'BASE MATERIAL'!$A:$D,2))</f>
        <v>ARENA</v>
      </c>
      <c r="C1430" s="2"/>
      <c r="D1430" s="77"/>
      <c r="E1430" s="78" t="str">
        <f>IF($A1430=0,"",VLOOKUP($A1430,'BASE MATERIAL'!$A:$D,3))</f>
        <v>M3</v>
      </c>
      <c r="F1430" s="55">
        <v>0.01</v>
      </c>
      <c r="G1430" s="55">
        <f>IF($A1430=0,"",VLOOKUP($A1430,'BASE MATERIAL'!$A:$D,4))</f>
        <v>12.276249999999999</v>
      </c>
      <c r="H1430" s="56">
        <f t="shared" si="129"/>
        <v>0.12</v>
      </c>
      <c r="I1430" s="5"/>
      <c r="L1430" s="5"/>
      <c r="M1430" s="5"/>
      <c r="N1430" s="160"/>
      <c r="O1430" s="5"/>
      <c r="P1430" s="5"/>
    </row>
    <row r="1431" spans="1:16" s="4" customFormat="1" x14ac:dyDescent="0.25">
      <c r="A1431" s="103">
        <v>5005</v>
      </c>
      <c r="B1431" s="38" t="str">
        <f>IF($A1431=0,"",VLOOKUP($A1431,'BASE MATERIAL'!$A:$D,2))</f>
        <v>AGUA</v>
      </c>
      <c r="C1431" s="2"/>
      <c r="D1431" s="77"/>
      <c r="E1431" s="78" t="str">
        <f>IF($A1431=0,"",VLOOKUP($A1431,'BASE MATERIAL'!$A:$D,3))</f>
        <v>LT</v>
      </c>
      <c r="F1431" s="55">
        <f>ROUND(30*F1429,2)</f>
        <v>1.2</v>
      </c>
      <c r="G1431" s="80">
        <f>IF($A1431=0,"",VLOOKUP($A1431,'BASE MATERIAL'!$A:$D,4))</f>
        <v>2E-3</v>
      </c>
      <c r="H1431" s="56">
        <f t="shared" si="129"/>
        <v>0</v>
      </c>
      <c r="I1431" s="5"/>
      <c r="L1431" s="5"/>
      <c r="M1431" s="5"/>
      <c r="N1431" s="160"/>
      <c r="O1431" s="5"/>
      <c r="P1431" s="5"/>
    </row>
    <row r="1432" spans="1:16" s="4" customFormat="1" x14ac:dyDescent="0.25">
      <c r="A1432" s="103"/>
      <c r="B1432" s="38" t="str">
        <f>IF($A1432=0,"",VLOOKUP($A1432,'BASE MATERIAL'!$A:$D,2))</f>
        <v/>
      </c>
      <c r="C1432" s="2"/>
      <c r="D1432" s="77"/>
      <c r="E1432" s="78" t="str">
        <f>IF($A1432=0,"",VLOOKUP($A1432,'BASE MATERIAL'!$A:$D,3))</f>
        <v/>
      </c>
      <c r="F1432" s="55"/>
      <c r="G1432" s="55" t="str">
        <f>IF($A1432=0,"",VLOOKUP($A1432,'BASE MATERIAL'!$A:$D,4))</f>
        <v/>
      </c>
      <c r="H1432" s="56" t="str">
        <f t="shared" si="129"/>
        <v/>
      </c>
      <c r="I1432" s="5"/>
      <c r="L1432" s="5"/>
      <c r="M1432" s="5"/>
      <c r="N1432" s="160"/>
      <c r="O1432" s="5"/>
      <c r="P1432" s="5"/>
    </row>
    <row r="1433" spans="1:16" s="4" customFormat="1" x14ac:dyDescent="0.25">
      <c r="A1433" s="103"/>
      <c r="B1433" s="38" t="str">
        <f>IF($A1433=0,"",VLOOKUP($A1433,'BASE MATERIAL'!$A:$D,2))</f>
        <v/>
      </c>
      <c r="C1433" s="2"/>
      <c r="D1433" s="77"/>
      <c r="E1433" s="78" t="str">
        <f>IF($A1433=0,"",VLOOKUP($A1433,'BASE MATERIAL'!$A:$D,3))</f>
        <v/>
      </c>
      <c r="F1433" s="55"/>
      <c r="G1433" s="55" t="str">
        <f>IF($A1433=0,"",VLOOKUP($A1433,'BASE MATERIAL'!$A:$D,4))</f>
        <v/>
      </c>
      <c r="H1433" s="56" t="str">
        <f t="shared" si="129"/>
        <v/>
      </c>
      <c r="I1433" s="5"/>
      <c r="L1433" s="5"/>
      <c r="M1433" s="5"/>
      <c r="N1433" s="160"/>
      <c r="O1433" s="5"/>
      <c r="P1433" s="5"/>
    </row>
    <row r="1434" spans="1:16" s="4" customFormat="1" x14ac:dyDescent="0.25">
      <c r="A1434" s="103"/>
      <c r="B1434" s="38" t="str">
        <f>IF($A1434=0,"",VLOOKUP($A1434,'BASE MATERIAL'!$A:$D,2))</f>
        <v/>
      </c>
      <c r="C1434" s="2"/>
      <c r="D1434" s="77"/>
      <c r="E1434" s="78" t="str">
        <f>IF($A1434=0,"",VLOOKUP($A1434,'BASE MATERIAL'!$A:$D,3))</f>
        <v/>
      </c>
      <c r="F1434" s="55"/>
      <c r="G1434" s="55" t="str">
        <f>IF($A1434=0,"",VLOOKUP($A1434,'BASE MATERIAL'!$A:$D,4))</f>
        <v/>
      </c>
      <c r="H1434" s="56" t="str">
        <f t="shared" si="129"/>
        <v/>
      </c>
      <c r="I1434" s="5"/>
      <c r="L1434" s="5"/>
      <c r="M1434" s="5"/>
      <c r="N1434" s="160"/>
      <c r="O1434" s="5"/>
      <c r="P1434" s="5"/>
    </row>
    <row r="1435" spans="1:16" s="4" customFormat="1" x14ac:dyDescent="0.25">
      <c r="A1435" s="103"/>
      <c r="B1435" s="38" t="str">
        <f>IF($A1435=0,"",VLOOKUP($A1435,'BASE MATERIAL'!$A:$D,2))</f>
        <v/>
      </c>
      <c r="C1435" s="2"/>
      <c r="D1435" s="77"/>
      <c r="E1435" s="78" t="str">
        <f>IF($A1435=0,"",VLOOKUP($A1435,'BASE MATERIAL'!$A:$D,3))</f>
        <v/>
      </c>
      <c r="F1435" s="55"/>
      <c r="G1435" s="55" t="str">
        <f>IF($A1435=0,"",VLOOKUP($A1435,'BASE MATERIAL'!$A:$D,4))</f>
        <v/>
      </c>
      <c r="H1435" s="56" t="str">
        <f t="shared" si="129"/>
        <v/>
      </c>
      <c r="I1435" s="5"/>
      <c r="L1435" s="5"/>
      <c r="M1435" s="5"/>
      <c r="N1435" s="160"/>
      <c r="O1435" s="5"/>
      <c r="P1435" s="5"/>
    </row>
    <row r="1436" spans="1:16" s="4" customFormat="1" x14ac:dyDescent="0.25">
      <c r="A1436" s="103"/>
      <c r="B1436" s="38" t="str">
        <f>IF($A1436=0,"",VLOOKUP($A1436,'BASE MATERIAL'!$A:$D,2))</f>
        <v/>
      </c>
      <c r="C1436" s="2"/>
      <c r="D1436" s="77"/>
      <c r="E1436" s="78" t="str">
        <f>IF($A1436=0,"",VLOOKUP($A1436,'BASE MATERIAL'!$A:$D,3))</f>
        <v/>
      </c>
      <c r="F1436" s="55"/>
      <c r="G1436" s="55" t="str">
        <f>IF($A1436=0,"",VLOOKUP($A1436,'BASE MATERIAL'!$A:$D,4))</f>
        <v/>
      </c>
      <c r="H1436" s="56" t="str">
        <f t="shared" si="129"/>
        <v/>
      </c>
      <c r="I1436" s="5"/>
      <c r="L1436" s="5"/>
      <c r="M1436" s="5"/>
      <c r="N1436" s="160"/>
      <c r="O1436" s="5"/>
      <c r="P1436" s="5"/>
    </row>
    <row r="1437" spans="1:16" s="4" customFormat="1" x14ac:dyDescent="0.25">
      <c r="A1437" s="103"/>
      <c r="B1437" s="38" t="str">
        <f>IF($A1437=0,"",VLOOKUP($A1437,'BASE MATERIAL'!$A:$D,2))</f>
        <v/>
      </c>
      <c r="C1437" s="2"/>
      <c r="D1437" s="77"/>
      <c r="E1437" s="78" t="str">
        <f>IF($A1437=0,"",VLOOKUP($A1437,'BASE MATERIAL'!$A:$D,3))</f>
        <v/>
      </c>
      <c r="F1437" s="55"/>
      <c r="G1437" s="55" t="str">
        <f>IF($A1437=0,"",VLOOKUP($A1437,'BASE MATERIAL'!$A:$D,4))</f>
        <v/>
      </c>
      <c r="H1437" s="56" t="str">
        <f t="shared" si="129"/>
        <v/>
      </c>
      <c r="I1437" s="5"/>
    </row>
    <row r="1438" spans="1:16" s="4" customFormat="1" x14ac:dyDescent="0.25">
      <c r="A1438" s="103"/>
      <c r="B1438" s="38" t="str">
        <f>IF($A1438=0,"",VLOOKUP($A1438,'BASE MATERIAL'!$A:$D,2))</f>
        <v/>
      </c>
      <c r="C1438" s="2"/>
      <c r="D1438" s="77"/>
      <c r="E1438" s="78" t="str">
        <f>IF($A1438=0,"",VLOOKUP($A1438,'BASE MATERIAL'!$A:$D,3))</f>
        <v/>
      </c>
      <c r="F1438" s="55"/>
      <c r="G1438" s="55" t="str">
        <f>IF($A1438=0,"",VLOOKUP($A1438,'BASE MATERIAL'!$A:$D,4))</f>
        <v/>
      </c>
      <c r="H1438" s="56" t="str">
        <f t="shared" si="129"/>
        <v/>
      </c>
      <c r="I1438" s="5"/>
      <c r="L1438" s="5"/>
      <c r="M1438" s="5"/>
      <c r="N1438" s="160"/>
      <c r="O1438" s="5"/>
      <c r="P1438" s="5"/>
    </row>
    <row r="1439" spans="1:16" s="4" customFormat="1" x14ac:dyDescent="0.25">
      <c r="A1439" s="103"/>
      <c r="B1439" s="38" t="str">
        <f>IF($A1439=0,"",VLOOKUP($A1439,'BASE MATERIAL'!$A:$D,2))</f>
        <v/>
      </c>
      <c r="C1439" s="2"/>
      <c r="D1439" s="77"/>
      <c r="E1439" s="78" t="str">
        <f>IF($A1439=0,"",VLOOKUP($A1439,'BASE MATERIAL'!$A:$D,3))</f>
        <v/>
      </c>
      <c r="F1439" s="55"/>
      <c r="G1439" s="55" t="str">
        <f>IF($A1439=0,"",VLOOKUP($A1439,'BASE MATERIAL'!$A:$D,4))</f>
        <v/>
      </c>
      <c r="H1439" s="56" t="str">
        <f t="shared" si="129"/>
        <v/>
      </c>
      <c r="I1439" s="5"/>
      <c r="L1439" s="5"/>
      <c r="M1439" s="5"/>
      <c r="N1439" s="160"/>
      <c r="O1439" s="5"/>
      <c r="P1439" s="5"/>
    </row>
    <row r="1440" spans="1:16" s="4" customFormat="1" x14ac:dyDescent="0.25">
      <c r="A1440" s="103"/>
      <c r="B1440" s="38" t="str">
        <f>IF($A1440=0,"",VLOOKUP($A1440,'BASE MATERIAL'!$A:$D,2))</f>
        <v/>
      </c>
      <c r="C1440" s="2"/>
      <c r="D1440" s="77"/>
      <c r="E1440" s="78" t="str">
        <f>IF($A1440=0,"",VLOOKUP($A1440,'BASE MATERIAL'!$A:$D,3))</f>
        <v/>
      </c>
      <c r="F1440" s="55"/>
      <c r="G1440" s="55" t="str">
        <f>IF($A1440=0,"",VLOOKUP($A1440,'BASE MATERIAL'!$A:$D,4))</f>
        <v/>
      </c>
      <c r="H1440" s="56" t="str">
        <f t="shared" si="129"/>
        <v/>
      </c>
      <c r="I1440" s="5"/>
    </row>
    <row r="1441" spans="1:9" s="4" customFormat="1" x14ac:dyDescent="0.25">
      <c r="A1441" s="103"/>
      <c r="B1441" s="38" t="str">
        <f>IF($A1441=0,"",VLOOKUP($A1441,'BASE MATERIAL'!$A:$D,2))</f>
        <v/>
      </c>
      <c r="C1441" s="2"/>
      <c r="D1441" s="77"/>
      <c r="E1441" s="78" t="str">
        <f>IF($A1441=0,"",VLOOKUP($A1441,'BASE MATERIAL'!$A:$D,3))</f>
        <v/>
      </c>
      <c r="F1441" s="55"/>
      <c r="G1441" s="55" t="str">
        <f>IF($A1441=0,"",VLOOKUP($A1441,'BASE MATERIAL'!$A:$D,4))</f>
        <v/>
      </c>
      <c r="H1441" s="56" t="str">
        <f t="shared" si="129"/>
        <v/>
      </c>
      <c r="I1441" s="5"/>
    </row>
    <row r="1442" spans="1:9" s="4" customFormat="1" x14ac:dyDescent="0.25">
      <c r="A1442" s="103"/>
      <c r="B1442" s="38" t="str">
        <f>IF($A1442=0,"",VLOOKUP($A1442,'BASE MATERIAL'!$A:$D,2))</f>
        <v/>
      </c>
      <c r="C1442" s="2"/>
      <c r="D1442" s="77"/>
      <c r="E1442" s="78" t="str">
        <f>IF($A1442=0,"",VLOOKUP($A1442,'BASE MATERIAL'!$A:$D,3))</f>
        <v/>
      </c>
      <c r="F1442" s="55"/>
      <c r="G1442" s="55" t="str">
        <f>IF($A1442=0,"",VLOOKUP($A1442,'BASE MATERIAL'!$A:$D,4))</f>
        <v/>
      </c>
      <c r="H1442" s="56" t="str">
        <f t="shared" si="129"/>
        <v/>
      </c>
      <c r="I1442" s="5"/>
    </row>
    <row r="1443" spans="1:9" s="4" customFormat="1" x14ac:dyDescent="0.25">
      <c r="A1443" s="103"/>
      <c r="B1443" s="38" t="str">
        <f>IF($A1443=0,"",VLOOKUP($A1443,'BASE MATERIAL'!$A:$D,2))</f>
        <v/>
      </c>
      <c r="C1443" s="2"/>
      <c r="D1443" s="77"/>
      <c r="E1443" s="78" t="str">
        <f>IF($A1443=0,"",VLOOKUP($A1443,'BASE MATERIAL'!$A:$D,3))</f>
        <v/>
      </c>
      <c r="F1443" s="55"/>
      <c r="G1443" s="55" t="str">
        <f>IF($A1443=0,"",VLOOKUP($A1443,'BASE MATERIAL'!$A:$D,4))</f>
        <v/>
      </c>
      <c r="H1443" s="56" t="str">
        <f t="shared" si="129"/>
        <v/>
      </c>
      <c r="I1443" s="5"/>
    </row>
    <row r="1444" spans="1:9" s="4" customFormat="1" x14ac:dyDescent="0.25">
      <c r="A1444" s="103"/>
      <c r="B1444" s="38" t="str">
        <f>IF($A1444=0,"",VLOOKUP($A1444,'BASE MATERIAL'!$A:$D,2))</f>
        <v/>
      </c>
      <c r="C1444" s="2"/>
      <c r="D1444" s="81" t="s">
        <v>1682</v>
      </c>
      <c r="E1444" s="55" t="str">
        <f>IF($A1444=0,"",VLOOKUP($A1444,'BASE MATERIAL'!$A:$D,3))</f>
        <v/>
      </c>
      <c r="F1444" s="55" t="s">
        <v>1682</v>
      </c>
      <c r="G1444" s="55" t="str">
        <f>IF($A1444=0,"",VLOOKUP($A1444,'BASE MATERIAL'!$A:$D,4))</f>
        <v/>
      </c>
      <c r="H1444" s="56" t="str">
        <f>IF($A1444=0,"",ROUND(E1444*F1444,2))</f>
        <v/>
      </c>
      <c r="I1444" s="5"/>
    </row>
    <row r="1445" spans="1:9" s="4" customFormat="1" x14ac:dyDescent="0.25">
      <c r="A1445" s="103"/>
      <c r="B1445" s="73" t="s">
        <v>1681</v>
      </c>
      <c r="C1445" s="65"/>
      <c r="D1445" s="74"/>
      <c r="E1445" s="74"/>
      <c r="F1445" s="74"/>
      <c r="G1445" s="74"/>
      <c r="H1445" s="75">
        <f>ROUND(SUM(H1428:H1444),2)</f>
        <v>0.4</v>
      </c>
      <c r="I1445" s="5"/>
    </row>
    <row r="1446" spans="1:9" s="4" customFormat="1" x14ac:dyDescent="0.25">
      <c r="A1446" s="103"/>
      <c r="B1446" s="38" t="s">
        <v>1680</v>
      </c>
      <c r="C1446" s="2"/>
      <c r="D1446" s="3"/>
      <c r="E1446" s="3"/>
      <c r="F1446" s="3"/>
      <c r="G1446" s="3"/>
      <c r="H1446" s="56"/>
      <c r="I1446" s="5"/>
    </row>
    <row r="1447" spans="1:9" ht="25.5" x14ac:dyDescent="0.25">
      <c r="B1447" s="64" t="s">
        <v>1409</v>
      </c>
      <c r="C1447" s="65"/>
      <c r="D1447" s="76"/>
      <c r="E1447" s="66" t="s">
        <v>1408</v>
      </c>
      <c r="F1447" s="66" t="s">
        <v>1679</v>
      </c>
      <c r="G1447" s="66" t="s">
        <v>1676</v>
      </c>
      <c r="H1447" s="68" t="s">
        <v>1675</v>
      </c>
      <c r="I1447" s="2"/>
    </row>
    <row r="1448" spans="1:9" s="4" customFormat="1" x14ac:dyDescent="0.25">
      <c r="A1448" s="103">
        <v>19019</v>
      </c>
      <c r="B1448" s="51" t="str">
        <f>IF($A1448=0,"",VLOOKUP($A1448,'BASE EQUIPO'!$A:$D,2))</f>
        <v>TRANSPORTE DE MATERIAL</v>
      </c>
      <c r="C1448" s="52"/>
      <c r="D1448" s="82"/>
      <c r="E1448" s="78" t="str">
        <f>IF($A1448=0,"",VLOOKUP($A1448,'BASE EQUIPO'!$A:$D,3))</f>
        <v>GLOBAL</v>
      </c>
      <c r="F1448" s="55">
        <v>1</v>
      </c>
      <c r="G1448" s="83">
        <f>IF($A1448=0,"",VLOOKUP($A1448,'BASE EQUIPO'!$A:$D,4)*H1445)</f>
        <v>1.2E-2</v>
      </c>
      <c r="H1448" s="56">
        <f>IF($A1448=0,"",ROUND(F1448*G1448,2))</f>
        <v>0.01</v>
      </c>
      <c r="I1448" s="5"/>
    </row>
    <row r="1449" spans="1:9" s="4" customFormat="1" x14ac:dyDescent="0.25">
      <c r="A1449" s="103"/>
      <c r="B1449" s="38" t="str">
        <f>IF($A1449=0,"",VLOOKUP($A1449,'BASE EQUIPO'!$A:$D,2))</f>
        <v/>
      </c>
      <c r="C1449" s="2"/>
      <c r="D1449" s="84"/>
      <c r="E1449" s="78" t="str">
        <f>IF($A1449=0,"",VLOOKUP($A1449,'BASE EQUIPO'!$A:$D,3))</f>
        <v/>
      </c>
      <c r="F1449" s="55"/>
      <c r="G1449" s="55" t="str">
        <f>IF($A1449=0,"",VLOOKUP($A1449,'BASE EQUIPO'!$A:$D,4)*H1446)</f>
        <v/>
      </c>
      <c r="H1449" s="56" t="str">
        <f>IF($A1449=0,"",ROUND(F1449*G1449,2))</f>
        <v/>
      </c>
      <c r="I1449" s="5"/>
    </row>
    <row r="1450" spans="1:9" s="4" customFormat="1" x14ac:dyDescent="0.25">
      <c r="A1450" s="103"/>
      <c r="B1450" s="57" t="str">
        <f>IF($A1450=0,"",VLOOKUP($A1450,'BASE EQUIPO'!$A:$D,2))</f>
        <v/>
      </c>
      <c r="C1450" s="58"/>
      <c r="D1450" s="85"/>
      <c r="E1450" s="86" t="str">
        <f>IF($A1450=0,"",VLOOKUP($A1450,'BASE EQUIPO'!$A:$D,3))</f>
        <v/>
      </c>
      <c r="F1450" s="59"/>
      <c r="G1450" s="59" t="str">
        <f>IF($A1450=0,"",VLOOKUP($A1450,'BASE EQUIPO'!$A:$D,4)*H1447)</f>
        <v/>
      </c>
      <c r="H1450" s="60" t="str">
        <f>IF($A1450=0,"",ROUND(F1450*G1450,2))</f>
        <v/>
      </c>
      <c r="I1450" s="5"/>
    </row>
    <row r="1451" spans="1:9" s="4" customFormat="1" ht="15.75" thickBot="1" x14ac:dyDescent="0.3">
      <c r="A1451" s="103"/>
      <c r="B1451" s="87" t="s">
        <v>1674</v>
      </c>
      <c r="C1451" s="88"/>
      <c r="D1451" s="89"/>
      <c r="E1451" s="89"/>
      <c r="F1451" s="89"/>
      <c r="G1451" s="89"/>
      <c r="H1451" s="90">
        <f>ROUND(SUM(H1447:H1450),2)</f>
        <v>0.01</v>
      </c>
      <c r="I1451" s="5"/>
    </row>
    <row r="1452" spans="1:9" s="4" customFormat="1" ht="15.75" x14ac:dyDescent="0.25">
      <c r="A1452" s="103"/>
      <c r="B1452" s="2"/>
      <c r="C1452" s="2"/>
      <c r="D1452" s="91" t="s">
        <v>1673</v>
      </c>
      <c r="E1452" s="177"/>
      <c r="F1452" s="177"/>
      <c r="G1452" s="177"/>
      <c r="H1452" s="92">
        <f>ROUND(SUM(H1451,H1445,H1426,H1416),2)</f>
        <v>6.34</v>
      </c>
      <c r="I1452" s="5"/>
    </row>
    <row r="1453" spans="1:9" s="4" customFormat="1" ht="15.75" x14ac:dyDescent="0.25">
      <c r="A1453" s="103">
        <v>40002</v>
      </c>
      <c r="B1453" s="2"/>
      <c r="C1453" s="2"/>
      <c r="D1453" s="93" t="s">
        <v>1672</v>
      </c>
      <c r="E1453" s="166"/>
      <c r="F1453" s="166"/>
      <c r="G1453" s="178">
        <f>IF($A1453=0,"",VLOOKUP($A1453,'BASE MATERIAL'!$M:$P,4))</f>
        <v>0</v>
      </c>
      <c r="H1453" s="95">
        <f>IF($A1453=0,"",ROUND(G1453*H1452,2))</f>
        <v>0</v>
      </c>
      <c r="I1453" s="5"/>
    </row>
    <row r="1454" spans="1:9" s="4" customFormat="1" ht="15.75" x14ac:dyDescent="0.25">
      <c r="A1454" s="103">
        <v>40003</v>
      </c>
      <c r="B1454" s="2"/>
      <c r="C1454" s="2"/>
      <c r="D1454" s="93" t="s">
        <v>1671</v>
      </c>
      <c r="E1454" s="166"/>
      <c r="F1454" s="166"/>
      <c r="G1454" s="178">
        <f>IF($A1454=0,"",VLOOKUP($A1454,'BASE MATERIAL'!$M:$P,4))</f>
        <v>0</v>
      </c>
      <c r="H1454" s="95">
        <f>IF($A1454=0,"",ROUND(G1454*H1452,2))</f>
        <v>0</v>
      </c>
      <c r="I1454" s="5"/>
    </row>
    <row r="1455" spans="1:9" s="4" customFormat="1" ht="15.75" x14ac:dyDescent="0.25">
      <c r="A1455" s="103"/>
      <c r="B1455" s="2"/>
      <c r="C1455" s="2"/>
      <c r="D1455" s="93" t="s">
        <v>1670</v>
      </c>
      <c r="E1455" s="166"/>
      <c r="F1455" s="166"/>
      <c r="G1455" s="166"/>
      <c r="H1455" s="96">
        <f>ROUND(SUM(H1452:H1454),2)</f>
        <v>6.34</v>
      </c>
      <c r="I1455" s="5"/>
    </row>
    <row r="1456" spans="1:9" s="4" customFormat="1" ht="16.5" thickBot="1" x14ac:dyDescent="0.3">
      <c r="A1456" s="103"/>
      <c r="B1456" s="25"/>
      <c r="C1456" s="5"/>
      <c r="D1456" s="97" t="s">
        <v>1650</v>
      </c>
      <c r="E1456" s="179"/>
      <c r="F1456" s="179"/>
      <c r="G1456" s="179"/>
      <c r="H1456" s="98">
        <f>ROUND(H1455,2)</f>
        <v>6.34</v>
      </c>
      <c r="I1456" s="5"/>
    </row>
    <row r="1457" spans="1:15" ht="15.75" x14ac:dyDescent="0.25">
      <c r="B1457" s="34" t="s">
        <v>1701</v>
      </c>
      <c r="C1457" s="5"/>
      <c r="D1457" s="157" t="str">
        <f>$D$113</f>
        <v>ESPOL</v>
      </c>
      <c r="E1457" s="2"/>
      <c r="F1457" s="2"/>
      <c r="H1457" s="2" t="s">
        <v>108</v>
      </c>
      <c r="I1457" s="2"/>
      <c r="L1457" s="40">
        <f>A1461</f>
        <v>26</v>
      </c>
      <c r="M1457" s="1" t="str">
        <f>C1462</f>
        <v>Mesones de hormigon armado en baños (inc. Enlucido)</v>
      </c>
      <c r="N1457" s="2" t="str">
        <f>H1461</f>
        <v>ml</v>
      </c>
      <c r="O1457" s="2">
        <f>H1512</f>
        <v>61.17</v>
      </c>
    </row>
    <row r="1458" spans="1:15" s="4" customFormat="1" ht="15.75" x14ac:dyDescent="0.25">
      <c r="A1458" s="103"/>
      <c r="B1458" s="34" t="s">
        <v>1700</v>
      </c>
      <c r="C1458" s="3">
        <f>'1.1'!$C$2</f>
        <v>0</v>
      </c>
      <c r="D1458" s="5"/>
      <c r="E1458" s="5"/>
      <c r="F1458" s="5"/>
      <c r="G1458" s="158" t="s">
        <v>1699</v>
      </c>
      <c r="H1458" s="159"/>
      <c r="I1458" s="5" t="s">
        <v>1698</v>
      </c>
    </row>
    <row r="1459" spans="1:15" s="4" customFormat="1" ht="15.75" x14ac:dyDescent="0.25">
      <c r="A1459" s="103"/>
      <c r="B1459" s="34"/>
      <c r="C1459" s="3">
        <f>'1.1'!$C$3</f>
        <v>0</v>
      </c>
      <c r="D1459" s="5"/>
      <c r="E1459" s="5"/>
      <c r="F1459" s="5"/>
      <c r="G1459" s="5"/>
      <c r="H1459" s="5"/>
      <c r="I1459" s="5"/>
    </row>
    <row r="1460" spans="1:15" s="4" customFormat="1" ht="15.75" x14ac:dyDescent="0.25">
      <c r="A1460" s="103"/>
      <c r="B1460" s="34" t="s">
        <v>1697</v>
      </c>
      <c r="C1460" s="3"/>
      <c r="D1460" s="5"/>
      <c r="E1460" s="5"/>
      <c r="F1460" s="5"/>
      <c r="G1460" s="5"/>
      <c r="H1460" s="5"/>
      <c r="I1460" s="5"/>
    </row>
    <row r="1461" spans="1:15" x14ac:dyDescent="0.25">
      <c r="A1461" s="104">
        <v>26</v>
      </c>
      <c r="B1461" s="2" t="s">
        <v>1586</v>
      </c>
      <c r="C1461" s="36" t="s">
        <v>1542</v>
      </c>
      <c r="D1461" s="5"/>
      <c r="E1461" s="4"/>
      <c r="F1461" s="4"/>
      <c r="G1461" s="5" t="s">
        <v>1696</v>
      </c>
      <c r="H1461" s="157" t="s">
        <v>961</v>
      </c>
      <c r="I1461" s="2"/>
    </row>
    <row r="1462" spans="1:15" s="4" customFormat="1" x14ac:dyDescent="0.25">
      <c r="A1462" s="103"/>
      <c r="B1462" s="1" t="s">
        <v>1585</v>
      </c>
      <c r="C1462" s="36" t="s">
        <v>614</v>
      </c>
      <c r="D1462" s="5"/>
      <c r="E1462" s="5"/>
      <c r="F1462" s="5"/>
      <c r="G1462" s="5"/>
      <c r="H1462" s="5"/>
      <c r="I1462" s="5"/>
    </row>
    <row r="1463" spans="1:15" ht="15.75" thickBot="1" x14ac:dyDescent="0.3">
      <c r="D1463" s="2"/>
      <c r="E1463" s="2"/>
      <c r="F1463" s="2"/>
      <c r="G1463" s="2"/>
      <c r="H1463" s="2"/>
      <c r="I1463" s="2"/>
    </row>
    <row r="1464" spans="1:15" ht="15.75" thickBot="1" x14ac:dyDescent="0.3">
      <c r="B1464" s="43" t="s">
        <v>1695</v>
      </c>
      <c r="C1464" s="44"/>
      <c r="D1464" s="44"/>
      <c r="E1464" s="44"/>
      <c r="F1464" s="44"/>
      <c r="G1464" s="44"/>
      <c r="H1464" s="45"/>
      <c r="I1464" s="2"/>
    </row>
    <row r="1465" spans="1:15" ht="25.5" x14ac:dyDescent="0.25">
      <c r="B1465" s="46" t="s">
        <v>1409</v>
      </c>
      <c r="C1465" s="47"/>
      <c r="D1465" s="48" t="s">
        <v>1690</v>
      </c>
      <c r="E1465" s="48" t="s">
        <v>1694</v>
      </c>
      <c r="F1465" s="48" t="s">
        <v>1693</v>
      </c>
      <c r="G1465" s="49" t="s">
        <v>1687</v>
      </c>
      <c r="H1465" s="50" t="s">
        <v>1686</v>
      </c>
      <c r="I1465" s="2"/>
    </row>
    <row r="1466" spans="1:15" s="4" customFormat="1" x14ac:dyDescent="0.25">
      <c r="A1466" s="103">
        <v>19015</v>
      </c>
      <c r="B1466" s="51" t="str">
        <f>IF($A1466=0,"",VLOOKUP($A1466,'BASE EQUIPO'!$A:$D,2))</f>
        <v>HERRAMIENTA MENOR</v>
      </c>
      <c r="C1466" s="52"/>
      <c r="D1466" s="53">
        <v>1</v>
      </c>
      <c r="E1466" s="53">
        <f>IF($A1466=0,"",VLOOKUP($A1466,'BASE EQUIPO'!$A:$D,4)*H1482)</f>
        <v>1.0622999999999998</v>
      </c>
      <c r="F1466" s="53">
        <f t="shared" ref="F1466:F1471" si="130">IF($A1466=0,"",ROUND(D1466*E1466,2))</f>
        <v>1.06</v>
      </c>
      <c r="G1466" s="105">
        <v>1</v>
      </c>
      <c r="H1466" s="54">
        <f t="shared" ref="H1466:H1471" si="131">IF($A1466=0,"",ROUND(G1466*F1466,2))</f>
        <v>1.06</v>
      </c>
      <c r="I1466" s="5"/>
    </row>
    <row r="1467" spans="1:15" s="4" customFormat="1" x14ac:dyDescent="0.25">
      <c r="A1467" s="103"/>
      <c r="B1467" s="38" t="str">
        <f>IF($A1467=0,"",VLOOKUP($A1467,'BASE EQUIPO'!$A:$D,2))</f>
        <v/>
      </c>
      <c r="C1467" s="2"/>
      <c r="D1467" s="55"/>
      <c r="E1467" s="55" t="str">
        <f>IF($A1467=0,"",VLOOKUP($A1467,'BASE EQUIPO'!$A:$D,4))</f>
        <v/>
      </c>
      <c r="F1467" s="55" t="str">
        <f t="shared" si="130"/>
        <v/>
      </c>
      <c r="G1467" s="106"/>
      <c r="H1467" s="56" t="str">
        <f t="shared" si="131"/>
        <v/>
      </c>
      <c r="I1467" s="5"/>
    </row>
    <row r="1468" spans="1:15" s="4" customFormat="1" x14ac:dyDescent="0.25">
      <c r="A1468" s="103"/>
      <c r="B1468" s="38" t="str">
        <f>IF($A1468=0,"",VLOOKUP($A1468,'BASE EQUIPO'!$A:$D,2))</f>
        <v/>
      </c>
      <c r="C1468" s="2"/>
      <c r="D1468" s="55"/>
      <c r="E1468" s="55" t="str">
        <f>IF($A1468=0,"",VLOOKUP($A1468,'BASE EQUIPO'!$A:$D,4))</f>
        <v/>
      </c>
      <c r="F1468" s="55" t="str">
        <f t="shared" si="130"/>
        <v/>
      </c>
      <c r="G1468" s="106"/>
      <c r="H1468" s="56" t="str">
        <f t="shared" si="131"/>
        <v/>
      </c>
      <c r="I1468" s="5"/>
    </row>
    <row r="1469" spans="1:15" s="4" customFormat="1" x14ac:dyDescent="0.25">
      <c r="A1469" s="103"/>
      <c r="B1469" s="38" t="str">
        <f>IF($A1469=0,"",VLOOKUP($A1469,'BASE EQUIPO'!$A:$D,2))</f>
        <v/>
      </c>
      <c r="C1469" s="2"/>
      <c r="D1469" s="55"/>
      <c r="E1469" s="55" t="str">
        <f>IF($A1469=0,"",VLOOKUP($A1469,'BASE EQUIPO'!$A:$D,4))</f>
        <v/>
      </c>
      <c r="F1469" s="55" t="str">
        <f t="shared" si="130"/>
        <v/>
      </c>
      <c r="G1469" s="106"/>
      <c r="H1469" s="56" t="str">
        <f t="shared" si="131"/>
        <v/>
      </c>
      <c r="I1469" s="5"/>
    </row>
    <row r="1470" spans="1:15" s="4" customFormat="1" x14ac:dyDescent="0.25">
      <c r="A1470" s="103"/>
      <c r="B1470" s="38" t="str">
        <f>IF($A1470=0,"",VLOOKUP($A1470,'BASE EQUIPO'!$A:$D,2))</f>
        <v/>
      </c>
      <c r="C1470" s="2"/>
      <c r="D1470" s="55"/>
      <c r="E1470" s="55" t="str">
        <f>IF($A1470=0,"",VLOOKUP($A1470,'BASE EQUIPO'!$A:$D,4))</f>
        <v/>
      </c>
      <c r="F1470" s="55" t="str">
        <f t="shared" si="130"/>
        <v/>
      </c>
      <c r="G1470" s="106"/>
      <c r="H1470" s="56" t="str">
        <f t="shared" si="131"/>
        <v/>
      </c>
      <c r="I1470" s="5"/>
    </row>
    <row r="1471" spans="1:15" s="4" customFormat="1" x14ac:dyDescent="0.25">
      <c r="A1471" s="103"/>
      <c r="B1471" s="57" t="str">
        <f>IF($A1471=0,"",VLOOKUP($A1471,'BASE EQUIPO'!$A:$D,2))</f>
        <v/>
      </c>
      <c r="C1471" s="58"/>
      <c r="D1471" s="59"/>
      <c r="E1471" s="59" t="str">
        <f>IF($A1471=0,"",VLOOKUP($A1471,'BASE EQUIPO'!$A:$D,4))</f>
        <v/>
      </c>
      <c r="F1471" s="59" t="str">
        <f t="shared" si="130"/>
        <v/>
      </c>
      <c r="G1471" s="107"/>
      <c r="H1471" s="60" t="str">
        <f t="shared" si="131"/>
        <v/>
      </c>
      <c r="I1471" s="5"/>
    </row>
    <row r="1472" spans="1:15" s="4" customFormat="1" x14ac:dyDescent="0.25">
      <c r="A1472" s="103"/>
      <c r="B1472" s="57" t="s">
        <v>1692</v>
      </c>
      <c r="C1472" s="58"/>
      <c r="D1472" s="61"/>
      <c r="E1472" s="61"/>
      <c r="F1472" s="61"/>
      <c r="G1472" s="62"/>
      <c r="H1472" s="60">
        <f>ROUND(SUM(H1465:H1471),2)</f>
        <v>1.06</v>
      </c>
      <c r="I1472" s="5"/>
    </row>
    <row r="1473" spans="1:16" s="4" customFormat="1" x14ac:dyDescent="0.25">
      <c r="A1473" s="103"/>
      <c r="B1473" s="38" t="s">
        <v>1503</v>
      </c>
      <c r="C1473" s="2"/>
      <c r="D1473" s="3"/>
      <c r="E1473" s="3"/>
      <c r="F1473" s="3"/>
      <c r="G1473" s="63"/>
      <c r="H1473" s="56"/>
      <c r="I1473" s="5"/>
    </row>
    <row r="1474" spans="1:16" ht="25.5" x14ac:dyDescent="0.25">
      <c r="B1474" s="64" t="s">
        <v>1691</v>
      </c>
      <c r="C1474" s="65"/>
      <c r="D1474" s="66" t="s">
        <v>1690</v>
      </c>
      <c r="E1474" s="66" t="s">
        <v>1689</v>
      </c>
      <c r="F1474" s="66" t="s">
        <v>1688</v>
      </c>
      <c r="G1474" s="67" t="s">
        <v>1687</v>
      </c>
      <c r="H1474" s="68" t="s">
        <v>1686</v>
      </c>
      <c r="I1474" s="2"/>
    </row>
    <row r="1475" spans="1:16" s="4" customFormat="1" x14ac:dyDescent="0.25">
      <c r="A1475" s="103">
        <v>20001</v>
      </c>
      <c r="B1475" s="69" t="str">
        <f>IF($A1475=0,"",VLOOKUP($A1475,'BASE M-OBRA'!$A:$D,2))</f>
        <v>MAESTRO</v>
      </c>
      <c r="C1475" s="2"/>
      <c r="D1475" s="108">
        <v>1</v>
      </c>
      <c r="E1475" s="70">
        <f>IF($A1475=0,"",VLOOKUP($A1475,'BASE M-OBRA'!$A:$D,4))</f>
        <v>3.02</v>
      </c>
      <c r="F1475" s="55">
        <f t="shared" ref="F1475:F1481" si="132">IF($A1475=0,"",ROUND(D1475*E1475,2))</f>
        <v>3.02</v>
      </c>
      <c r="G1475" s="106">
        <f>IF($A1475=0,"",ROUND(H1475/F1475,2))</f>
        <v>1.95</v>
      </c>
      <c r="H1475" s="56">
        <f>IF($A1475=0,"",ROUND(SUM(H1476:H1481)*'BASE M-OBRA'!$D$23,2))</f>
        <v>5.9</v>
      </c>
      <c r="I1475" s="5"/>
    </row>
    <row r="1476" spans="1:16" s="4" customFormat="1" x14ac:dyDescent="0.25">
      <c r="A1476" s="103">
        <v>20002</v>
      </c>
      <c r="B1476" s="69" t="str">
        <f>IF($A1476=0,"",VLOOKUP($A1476,'BASE M-OBRA'!$A:$D,2))</f>
        <v>PEON</v>
      </c>
      <c r="C1476" s="2"/>
      <c r="D1476" s="108">
        <v>1</v>
      </c>
      <c r="E1476" s="70">
        <f>IF($A1476=0,"",VLOOKUP($A1476,'BASE M-OBRA'!$A:$D,4))</f>
        <v>2.79</v>
      </c>
      <c r="F1476" s="55">
        <f t="shared" si="132"/>
        <v>2.79</v>
      </c>
      <c r="G1476" s="106">
        <v>3.5</v>
      </c>
      <c r="H1476" s="56">
        <f t="shared" ref="H1476:H1481" si="133">IF($A1476=0,"",ROUND(G1476*F1476,2))</f>
        <v>9.77</v>
      </c>
      <c r="I1476" s="5"/>
    </row>
    <row r="1477" spans="1:16" s="4" customFormat="1" x14ac:dyDescent="0.25">
      <c r="A1477" s="103">
        <v>20003</v>
      </c>
      <c r="B1477" s="69" t="str">
        <f>IF($A1477=0,"",VLOOKUP($A1477,'BASE M-OBRA'!$A:$D,2))</f>
        <v>ALBAÑIL</v>
      </c>
      <c r="C1477" s="2"/>
      <c r="D1477" s="108">
        <v>2</v>
      </c>
      <c r="E1477" s="70">
        <f>IF($A1477=0,"",VLOOKUP($A1477,'BASE M-OBRA'!$A:$D,4))</f>
        <v>2.82</v>
      </c>
      <c r="F1477" s="55">
        <f t="shared" si="132"/>
        <v>5.64</v>
      </c>
      <c r="G1477" s="106">
        <f>+G1476</f>
        <v>3.5</v>
      </c>
      <c r="H1477" s="56">
        <f t="shared" si="133"/>
        <v>19.739999999999998</v>
      </c>
      <c r="I1477" s="5"/>
    </row>
    <row r="1478" spans="1:16" s="4" customFormat="1" x14ac:dyDescent="0.25">
      <c r="A1478" s="103"/>
      <c r="B1478" s="71" t="str">
        <f>IF($A1478=0,"",VLOOKUP($A1478,'BASE M-OBRA'!$A:$D,2))</f>
        <v/>
      </c>
      <c r="C1478" s="2"/>
      <c r="D1478" s="108"/>
      <c r="E1478" s="70" t="str">
        <f>IF($A1478=0,"",VLOOKUP($A1478,'BASE M-OBRA'!$A:$D,4))</f>
        <v/>
      </c>
      <c r="F1478" s="55" t="str">
        <f t="shared" si="132"/>
        <v/>
      </c>
      <c r="G1478" s="106"/>
      <c r="H1478" s="56" t="str">
        <f t="shared" si="133"/>
        <v/>
      </c>
      <c r="I1478" s="5"/>
    </row>
    <row r="1479" spans="1:16" s="4" customFormat="1" x14ac:dyDescent="0.25">
      <c r="A1479" s="103"/>
      <c r="B1479" s="72" t="str">
        <f>IF($A1479=0,"",VLOOKUP($A1479,'BASE M-OBRA'!$A:$D,2))</f>
        <v/>
      </c>
      <c r="C1479" s="2"/>
      <c r="D1479" s="108"/>
      <c r="E1479" s="70" t="str">
        <f>IF($A1479=0,"",VLOOKUP($A1479,'BASE M-OBRA'!$A:$D,4))</f>
        <v/>
      </c>
      <c r="F1479" s="55" t="str">
        <f t="shared" si="132"/>
        <v/>
      </c>
      <c r="G1479" s="106"/>
      <c r="H1479" s="56" t="str">
        <f t="shared" si="133"/>
        <v/>
      </c>
      <c r="I1479" s="5"/>
    </row>
    <row r="1480" spans="1:16" s="4" customFormat="1" x14ac:dyDescent="0.25">
      <c r="A1480" s="103"/>
      <c r="B1480" s="38" t="str">
        <f>IF($A1480=0,"",VLOOKUP($A1480,'BASE M-OBRA'!$A:$D,2))</f>
        <v/>
      </c>
      <c r="C1480" s="2"/>
      <c r="D1480" s="55"/>
      <c r="E1480" s="55" t="str">
        <f>IF($A1480=0,"",VLOOKUP($A1480,'BASE M-OBRA'!$A:$D,4))</f>
        <v/>
      </c>
      <c r="F1480" s="55" t="str">
        <f t="shared" si="132"/>
        <v/>
      </c>
      <c r="G1480" s="106"/>
      <c r="H1480" s="56" t="str">
        <f t="shared" si="133"/>
        <v/>
      </c>
      <c r="I1480" s="5"/>
    </row>
    <row r="1481" spans="1:16" s="4" customFormat="1" x14ac:dyDescent="0.25">
      <c r="A1481" s="103"/>
      <c r="B1481" s="57" t="str">
        <f>IF($A1481=0,"",VLOOKUP($A1481,'BASE M-OBRA'!$A:$D,2))</f>
        <v/>
      </c>
      <c r="C1481" s="58"/>
      <c r="D1481" s="59"/>
      <c r="E1481" s="59" t="str">
        <f>IF($A1481=0,"",VLOOKUP($A1481,'BASE M-OBRA'!$A:$D,4))</f>
        <v/>
      </c>
      <c r="F1481" s="59" t="str">
        <f t="shared" si="132"/>
        <v/>
      </c>
      <c r="G1481" s="107"/>
      <c r="H1481" s="60" t="str">
        <f t="shared" si="133"/>
        <v/>
      </c>
      <c r="I1481" s="5"/>
    </row>
    <row r="1482" spans="1:16" s="4" customFormat="1" x14ac:dyDescent="0.25">
      <c r="A1482" s="103"/>
      <c r="B1482" s="73" t="s">
        <v>1685</v>
      </c>
      <c r="C1482" s="65"/>
      <c r="D1482" s="74"/>
      <c r="E1482" s="74"/>
      <c r="F1482" s="74"/>
      <c r="G1482" s="74"/>
      <c r="H1482" s="75">
        <f>ROUND(SUM(H1474:H1481),2)</f>
        <v>35.409999999999997</v>
      </c>
      <c r="I1482" s="5"/>
    </row>
    <row r="1483" spans="1:16" s="4" customFormat="1" x14ac:dyDescent="0.25">
      <c r="A1483" s="103"/>
      <c r="B1483" s="38" t="s">
        <v>1684</v>
      </c>
      <c r="C1483" s="2"/>
      <c r="D1483" s="3"/>
      <c r="E1483" s="3"/>
      <c r="F1483" s="3"/>
      <c r="G1483" s="3"/>
      <c r="H1483" s="56"/>
      <c r="I1483" s="5"/>
    </row>
    <row r="1484" spans="1:16" ht="25.5" x14ac:dyDescent="0.25">
      <c r="B1484" s="64" t="s">
        <v>1409</v>
      </c>
      <c r="C1484" s="65"/>
      <c r="D1484" s="76"/>
      <c r="E1484" s="66" t="s">
        <v>1408</v>
      </c>
      <c r="F1484" s="66" t="s">
        <v>1679</v>
      </c>
      <c r="G1484" s="66" t="s">
        <v>1683</v>
      </c>
      <c r="H1484" s="68" t="s">
        <v>1675</v>
      </c>
      <c r="I1484" s="2"/>
    </row>
    <row r="1485" spans="1:16" s="4" customFormat="1" x14ac:dyDescent="0.25">
      <c r="A1485" s="103">
        <v>11011</v>
      </c>
      <c r="B1485" s="37" t="str">
        <f>IF($A1485=0,"",VLOOKUP($A1485,'BASE MATERIAL'!$A:$D,2))</f>
        <v>PLYWOOD ENCOFRADO 15 MM</v>
      </c>
      <c r="C1485" s="2"/>
      <c r="D1485" s="77"/>
      <c r="E1485" s="78" t="str">
        <f>IF($A1485=0,"",VLOOKUP($A1485,'BASE MATERIAL'!$A:$D,3))</f>
        <v>U</v>
      </c>
      <c r="F1485" s="55">
        <f>ROUND(0.7/(1.2*2.4*4),2)</f>
        <v>0.06</v>
      </c>
      <c r="G1485" s="55">
        <f>IF($A1485=0,"",VLOOKUP($A1485,'BASE MATERIAL'!$A:$D,4))</f>
        <v>37.799999999999997</v>
      </c>
      <c r="H1485" s="56">
        <f t="shared" ref="H1485:H1499" si="134">IF($A1485=0,"",ROUND(F1485*G1485,2))</f>
        <v>2.27</v>
      </c>
      <c r="I1485" s="5"/>
      <c r="L1485" s="5"/>
      <c r="M1485" s="5"/>
      <c r="N1485" s="160"/>
      <c r="O1485" s="5"/>
      <c r="P1485" s="5"/>
    </row>
    <row r="1486" spans="1:16" s="4" customFormat="1" x14ac:dyDescent="0.25">
      <c r="A1486" s="103">
        <v>11009</v>
      </c>
      <c r="B1486" s="38" t="str">
        <f>IF($A1486=0,"",VLOOKUP($A1486,'BASE MATERIAL'!$A:$D,2))</f>
        <v>CUARTON</v>
      </c>
      <c r="C1486" s="2"/>
      <c r="D1486" s="77"/>
      <c r="E1486" s="78" t="str">
        <f>IF($A1486=0,"",VLOOKUP($A1486,'BASE MATERIAL'!$A:$D,3))</f>
        <v>U</v>
      </c>
      <c r="F1486" s="55">
        <v>2.5</v>
      </c>
      <c r="G1486" s="55">
        <f>IF($A1486=0,"",VLOOKUP($A1486,'BASE MATERIAL'!$A:$D,4))</f>
        <v>2.42</v>
      </c>
      <c r="H1486" s="56">
        <f t="shared" si="134"/>
        <v>6.05</v>
      </c>
      <c r="I1486" s="5"/>
      <c r="L1486" s="5"/>
      <c r="M1486" s="5"/>
      <c r="N1486" s="160"/>
      <c r="O1486" s="5"/>
      <c r="P1486" s="5"/>
    </row>
    <row r="1487" spans="1:16" s="4" customFormat="1" x14ac:dyDescent="0.25">
      <c r="A1487" s="103">
        <v>11007</v>
      </c>
      <c r="B1487" s="38" t="str">
        <f>IF($A1487=0,"",VLOOKUP($A1487,'BASE MATERIAL'!$A:$D,2))</f>
        <v>CLAVO 2 1/2"</v>
      </c>
      <c r="C1487" s="2"/>
      <c r="D1487" s="77"/>
      <c r="E1487" s="78" t="str">
        <f>IF($A1487=0,"",VLOOKUP($A1487,'BASE MATERIAL'!$A:$D,3))</f>
        <v>KG</v>
      </c>
      <c r="F1487" s="55">
        <f>ROUND(0.7*56/(178*1.5),2)</f>
        <v>0.15</v>
      </c>
      <c r="G1487" s="55">
        <f>IF($A1487=0,"",VLOOKUP($A1487,'BASE MATERIAL'!$A:$D,4))</f>
        <v>2.6520000000000001</v>
      </c>
      <c r="H1487" s="56">
        <f t="shared" si="134"/>
        <v>0.4</v>
      </c>
      <c r="I1487" s="5"/>
      <c r="L1487" s="5"/>
      <c r="M1487" s="5"/>
      <c r="N1487" s="160"/>
      <c r="O1487" s="5"/>
      <c r="P1487" s="5"/>
    </row>
    <row r="1488" spans="1:16" s="4" customFormat="1" x14ac:dyDescent="0.25">
      <c r="A1488" s="103">
        <v>1001</v>
      </c>
      <c r="B1488" s="38" t="str">
        <f>IF($A1488=0,"",VLOOKUP($A1488,'BASE MATERIAL'!$A:$D,2))</f>
        <v>HIERRO</v>
      </c>
      <c r="C1488" s="2"/>
      <c r="D1488" s="77"/>
      <c r="E1488" s="78" t="str">
        <f>IF($A1488=0,"",VLOOKUP($A1488,'BASE MATERIAL'!$A:$D,3))</f>
        <v>KG</v>
      </c>
      <c r="F1488" s="55">
        <v>8</v>
      </c>
      <c r="G1488" s="55">
        <f>IF($A1488=0,"",VLOOKUP($A1488,'BASE MATERIAL'!$A:$D,4))</f>
        <v>1.17</v>
      </c>
      <c r="H1488" s="56">
        <f t="shared" si="134"/>
        <v>9.36</v>
      </c>
      <c r="I1488" s="5"/>
      <c r="L1488" s="5"/>
      <c r="M1488" s="5"/>
      <c r="N1488" s="160"/>
      <c r="O1488" s="5"/>
      <c r="P1488" s="5"/>
    </row>
    <row r="1489" spans="1:16" s="4" customFormat="1" x14ac:dyDescent="0.25">
      <c r="A1489" s="103">
        <v>11002</v>
      </c>
      <c r="B1489" s="38" t="str">
        <f>IF($A1489=0,"",VLOOKUP($A1489,'BASE MATERIAL'!$A:$D,2))</f>
        <v>ALAMBRE #18 RECOCIDO</v>
      </c>
      <c r="C1489" s="2"/>
      <c r="D1489" s="77"/>
      <c r="E1489" s="78" t="str">
        <f>IF($A1489=0,"",VLOOKUP($A1489,'BASE MATERIAL'!$A:$D,3))</f>
        <v>KG</v>
      </c>
      <c r="F1489" s="55">
        <f>ROUND(F1488*0.02,2)</f>
        <v>0.16</v>
      </c>
      <c r="G1489" s="55">
        <f>IF($A1489=0,"",VLOOKUP($A1489,'BASE MATERIAL'!$A:$D,4))</f>
        <v>1.87</v>
      </c>
      <c r="H1489" s="56">
        <f t="shared" si="134"/>
        <v>0.3</v>
      </c>
      <c r="I1489" s="5"/>
      <c r="L1489" s="5"/>
      <c r="M1489" s="5"/>
      <c r="N1489" s="160"/>
      <c r="O1489" s="5"/>
      <c r="P1489" s="5"/>
    </row>
    <row r="1490" spans="1:16" s="4" customFormat="1" x14ac:dyDescent="0.25">
      <c r="A1490" s="103">
        <v>4001</v>
      </c>
      <c r="B1490" s="38" t="str">
        <f>IF($A1490=0,"",VLOOKUP($A1490,'BASE MATERIAL'!$A:$D,2))</f>
        <v>CEMENTO</v>
      </c>
      <c r="C1490" s="2"/>
      <c r="D1490" s="77"/>
      <c r="E1490" s="78" t="str">
        <f>IF($A1490=0,"",VLOOKUP($A1490,'BASE MATERIAL'!$A:$D,3))</f>
        <v>SACO</v>
      </c>
      <c r="F1490" s="55">
        <f>ROUND(8*0.07*0.6+1.3*0.2,2)</f>
        <v>0.6</v>
      </c>
      <c r="G1490" s="55">
        <f>IF($A1490=0,"",VLOOKUP($A1490,'BASE MATERIAL'!$A:$D,4))</f>
        <v>7.09</v>
      </c>
      <c r="H1490" s="56">
        <f t="shared" si="134"/>
        <v>4.25</v>
      </c>
      <c r="I1490" s="5"/>
      <c r="L1490" s="5"/>
      <c r="M1490" s="5"/>
      <c r="N1490" s="160"/>
      <c r="O1490" s="5"/>
      <c r="P1490" s="5"/>
    </row>
    <row r="1491" spans="1:16" s="4" customFormat="1" x14ac:dyDescent="0.25">
      <c r="A1491" s="103">
        <v>5004</v>
      </c>
      <c r="B1491" s="38" t="str">
        <f>IF($A1491=0,"",VLOOKUP($A1491,'BASE MATERIAL'!$A:$D,2))</f>
        <v>ARENA</v>
      </c>
      <c r="C1491" s="2"/>
      <c r="D1491" s="77"/>
      <c r="E1491" s="78" t="str">
        <f>IF($A1491=0,"",VLOOKUP($A1491,'BASE MATERIAL'!$A:$D,3))</f>
        <v>M3</v>
      </c>
      <c r="F1491" s="55">
        <f>ROUND(F1490*0.032*2,2)</f>
        <v>0.04</v>
      </c>
      <c r="G1491" s="55">
        <f>IF($A1491=0,"",VLOOKUP($A1491,'BASE MATERIAL'!$A:$D,4))</f>
        <v>12.276249999999999</v>
      </c>
      <c r="H1491" s="56">
        <f t="shared" si="134"/>
        <v>0.49</v>
      </c>
      <c r="I1491" s="5"/>
      <c r="L1491" s="5"/>
      <c r="M1491" s="5"/>
      <c r="N1491" s="160"/>
      <c r="O1491" s="5"/>
      <c r="P1491" s="5"/>
    </row>
    <row r="1492" spans="1:16" s="4" customFormat="1" x14ac:dyDescent="0.25">
      <c r="A1492" s="103">
        <v>5002</v>
      </c>
      <c r="B1492" s="38" t="str">
        <f>IF($A1492=0,"",VLOOKUP($A1492,'BASE MATERIAL'!$A:$D,2))</f>
        <v>PIEDRA 3-4</v>
      </c>
      <c r="C1492" s="2"/>
      <c r="D1492" s="77"/>
      <c r="E1492" s="78" t="str">
        <f>IF($A1492=0,"",VLOOKUP($A1492,'BASE MATERIAL'!$A:$D,3))</f>
        <v>M3</v>
      </c>
      <c r="F1492" s="55">
        <f>ROUND(F1490*0.032*3,2)</f>
        <v>0.06</v>
      </c>
      <c r="G1492" s="55">
        <f>IF($A1492=0,"",VLOOKUP($A1492,'BASE MATERIAL'!$A:$D,4))</f>
        <v>13.75</v>
      </c>
      <c r="H1492" s="56">
        <f t="shared" si="134"/>
        <v>0.83</v>
      </c>
      <c r="I1492" s="5"/>
      <c r="L1492" s="5"/>
      <c r="M1492" s="5"/>
      <c r="N1492" s="160"/>
      <c r="O1492" s="5"/>
      <c r="P1492" s="5"/>
    </row>
    <row r="1493" spans="1:16" s="4" customFormat="1" x14ac:dyDescent="0.25">
      <c r="A1493" s="103">
        <v>5005</v>
      </c>
      <c r="B1493" s="38" t="str">
        <f>IF($A1493=0,"",VLOOKUP($A1493,'BASE MATERIAL'!$A:$D,2))</f>
        <v>AGUA</v>
      </c>
      <c r="C1493" s="2"/>
      <c r="D1493" s="77"/>
      <c r="E1493" s="78" t="str">
        <f>IF($A1493=0,"",VLOOKUP($A1493,'BASE MATERIAL'!$A:$D,3))</f>
        <v>LT</v>
      </c>
      <c r="F1493" s="55">
        <f>ROUND(26*F1490,2)</f>
        <v>15.6</v>
      </c>
      <c r="G1493" s="80">
        <f>IF($A1493=0,"",VLOOKUP($A1493,'BASE MATERIAL'!$A:$D,4))</f>
        <v>2E-3</v>
      </c>
      <c r="H1493" s="56">
        <f t="shared" si="134"/>
        <v>0.03</v>
      </c>
      <c r="I1493" s="5"/>
    </row>
    <row r="1494" spans="1:16" s="4" customFormat="1" x14ac:dyDescent="0.25">
      <c r="A1494" s="103"/>
      <c r="B1494" s="38" t="str">
        <f>IF($A1494=0,"",VLOOKUP($A1494,'BASE MATERIAL'!$A:$D,2))</f>
        <v/>
      </c>
      <c r="C1494" s="2"/>
      <c r="D1494" s="77"/>
      <c r="E1494" s="78" t="str">
        <f>IF($A1494=0,"",VLOOKUP($A1494,'BASE MATERIAL'!$A:$D,3))</f>
        <v/>
      </c>
      <c r="F1494" s="55"/>
      <c r="G1494" s="55" t="str">
        <f>IF($A1494=0,"",VLOOKUP($A1494,'BASE MATERIAL'!$A:$D,4))</f>
        <v/>
      </c>
      <c r="H1494" s="56" t="str">
        <f t="shared" si="134"/>
        <v/>
      </c>
      <c r="I1494" s="5"/>
      <c r="L1494" s="5"/>
      <c r="M1494" s="5"/>
      <c r="N1494" s="160"/>
      <c r="O1494" s="5"/>
      <c r="P1494" s="5"/>
    </row>
    <row r="1495" spans="1:16" s="4" customFormat="1" x14ac:dyDescent="0.25">
      <c r="A1495" s="103"/>
      <c r="B1495" s="38" t="str">
        <f>IF($A1495=0,"",VLOOKUP($A1495,'BASE MATERIAL'!$A:$D,2))</f>
        <v/>
      </c>
      <c r="C1495" s="2"/>
      <c r="D1495" s="77"/>
      <c r="E1495" s="78" t="str">
        <f>IF($A1495=0,"",VLOOKUP($A1495,'BASE MATERIAL'!$A:$D,3))</f>
        <v/>
      </c>
      <c r="F1495" s="55"/>
      <c r="G1495" s="55" t="str">
        <f>IF($A1495=0,"",VLOOKUP($A1495,'BASE MATERIAL'!$A:$D,4))</f>
        <v/>
      </c>
      <c r="H1495" s="56" t="str">
        <f t="shared" si="134"/>
        <v/>
      </c>
      <c r="I1495" s="5"/>
      <c r="L1495" s="5"/>
      <c r="M1495" s="5"/>
      <c r="N1495" s="160"/>
      <c r="O1495" s="5"/>
      <c r="P1495" s="5"/>
    </row>
    <row r="1496" spans="1:16" s="4" customFormat="1" x14ac:dyDescent="0.25">
      <c r="A1496" s="103"/>
      <c r="B1496" s="38" t="str">
        <f>IF($A1496=0,"",VLOOKUP($A1496,'BASE MATERIAL'!$A:$D,2))</f>
        <v/>
      </c>
      <c r="C1496" s="2"/>
      <c r="D1496" s="77"/>
      <c r="E1496" s="78" t="str">
        <f>IF($A1496=0,"",VLOOKUP($A1496,'BASE MATERIAL'!$A:$D,3))</f>
        <v/>
      </c>
      <c r="F1496" s="55"/>
      <c r="G1496" s="55" t="str">
        <f>IF($A1496=0,"",VLOOKUP($A1496,'BASE MATERIAL'!$A:$D,4))</f>
        <v/>
      </c>
      <c r="H1496" s="56" t="str">
        <f t="shared" si="134"/>
        <v/>
      </c>
      <c r="I1496" s="5"/>
    </row>
    <row r="1497" spans="1:16" s="4" customFormat="1" x14ac:dyDescent="0.25">
      <c r="A1497" s="103"/>
      <c r="B1497" s="38" t="str">
        <f>IF($A1497=0,"",VLOOKUP($A1497,'BASE MATERIAL'!$A:$D,2))</f>
        <v/>
      </c>
      <c r="C1497" s="2"/>
      <c r="D1497" s="77"/>
      <c r="E1497" s="78" t="str">
        <f>IF($A1497=0,"",VLOOKUP($A1497,'BASE MATERIAL'!$A:$D,3))</f>
        <v/>
      </c>
      <c r="F1497" s="55"/>
      <c r="G1497" s="55" t="str">
        <f>IF($A1497=0,"",VLOOKUP($A1497,'BASE MATERIAL'!$A:$D,4))</f>
        <v/>
      </c>
      <c r="H1497" s="56" t="str">
        <f t="shared" si="134"/>
        <v/>
      </c>
      <c r="I1497" s="5"/>
    </row>
    <row r="1498" spans="1:16" s="4" customFormat="1" x14ac:dyDescent="0.25">
      <c r="A1498" s="103"/>
      <c r="B1498" s="38" t="str">
        <f>IF($A1498=0,"",VLOOKUP($A1498,'BASE MATERIAL'!$A:$D,2))</f>
        <v/>
      </c>
      <c r="C1498" s="2"/>
      <c r="D1498" s="77"/>
      <c r="E1498" s="78" t="str">
        <f>IF($A1498=0,"",VLOOKUP($A1498,'BASE MATERIAL'!$A:$D,3))</f>
        <v/>
      </c>
      <c r="F1498" s="55"/>
      <c r="G1498" s="55" t="str">
        <f>IF($A1498=0,"",VLOOKUP($A1498,'BASE MATERIAL'!$A:$D,4))</f>
        <v/>
      </c>
      <c r="H1498" s="56" t="str">
        <f t="shared" si="134"/>
        <v/>
      </c>
      <c r="I1498" s="5"/>
    </row>
    <row r="1499" spans="1:16" s="4" customFormat="1" x14ac:dyDescent="0.25">
      <c r="A1499" s="103"/>
      <c r="B1499" s="38" t="str">
        <f>IF($A1499=0,"",VLOOKUP($A1499,'BASE MATERIAL'!$A:$D,2))</f>
        <v/>
      </c>
      <c r="C1499" s="2"/>
      <c r="D1499" s="77"/>
      <c r="E1499" s="78" t="str">
        <f>IF($A1499=0,"",VLOOKUP($A1499,'BASE MATERIAL'!$A:$D,3))</f>
        <v/>
      </c>
      <c r="F1499" s="55"/>
      <c r="G1499" s="55" t="str">
        <f>IF($A1499=0,"",VLOOKUP($A1499,'BASE MATERIAL'!$A:$D,4))</f>
        <v/>
      </c>
      <c r="H1499" s="56" t="str">
        <f t="shared" si="134"/>
        <v/>
      </c>
      <c r="I1499" s="5"/>
    </row>
    <row r="1500" spans="1:16" s="4" customFormat="1" x14ac:dyDescent="0.25">
      <c r="A1500" s="103"/>
      <c r="B1500" s="38" t="str">
        <f>IF($A1500=0,"",VLOOKUP($A1500,'BASE MATERIAL'!$A:$D,2))</f>
        <v/>
      </c>
      <c r="C1500" s="2"/>
      <c r="D1500" s="81" t="s">
        <v>1682</v>
      </c>
      <c r="E1500" s="55" t="str">
        <f>IF($A1500=0,"",VLOOKUP($A1500,'BASE MATERIAL'!$A:$D,3))</f>
        <v/>
      </c>
      <c r="F1500" s="55" t="s">
        <v>1682</v>
      </c>
      <c r="G1500" s="55" t="str">
        <f>IF($A1500=0,"",VLOOKUP($A1500,'BASE MATERIAL'!$A:$D,4))</f>
        <v/>
      </c>
      <c r="H1500" s="56" t="str">
        <f>IF($A1500=0,"",ROUND(E1500*F1500,2))</f>
        <v/>
      </c>
      <c r="I1500" s="5"/>
    </row>
    <row r="1501" spans="1:16" s="4" customFormat="1" x14ac:dyDescent="0.25">
      <c r="A1501" s="103"/>
      <c r="B1501" s="73" t="s">
        <v>1681</v>
      </c>
      <c r="C1501" s="65"/>
      <c r="D1501" s="74"/>
      <c r="E1501" s="74"/>
      <c r="F1501" s="74"/>
      <c r="G1501" s="74"/>
      <c r="H1501" s="75">
        <f>ROUND(SUM(H1484:H1500),2)</f>
        <v>23.98</v>
      </c>
      <c r="I1501" s="5"/>
    </row>
    <row r="1502" spans="1:16" s="4" customFormat="1" x14ac:dyDescent="0.25">
      <c r="A1502" s="103"/>
      <c r="B1502" s="38" t="s">
        <v>1680</v>
      </c>
      <c r="C1502" s="2"/>
      <c r="D1502" s="3"/>
      <c r="E1502" s="3"/>
      <c r="F1502" s="3"/>
      <c r="G1502" s="3"/>
      <c r="H1502" s="56"/>
      <c r="I1502" s="5"/>
    </row>
    <row r="1503" spans="1:16" ht="25.5" x14ac:dyDescent="0.25">
      <c r="B1503" s="64" t="s">
        <v>1409</v>
      </c>
      <c r="C1503" s="65"/>
      <c r="D1503" s="76"/>
      <c r="E1503" s="66" t="s">
        <v>1408</v>
      </c>
      <c r="F1503" s="66" t="s">
        <v>1679</v>
      </c>
      <c r="G1503" s="66" t="s">
        <v>1676</v>
      </c>
      <c r="H1503" s="68" t="s">
        <v>1675</v>
      </c>
      <c r="I1503" s="2"/>
    </row>
    <row r="1504" spans="1:16" s="4" customFormat="1" x14ac:dyDescent="0.25">
      <c r="A1504" s="103">
        <v>19019</v>
      </c>
      <c r="B1504" s="51" t="str">
        <f>IF($A1504=0,"",VLOOKUP($A1504,'BASE EQUIPO'!$A:$D,2))</f>
        <v>TRANSPORTE DE MATERIAL</v>
      </c>
      <c r="C1504" s="52"/>
      <c r="D1504" s="82"/>
      <c r="E1504" s="78" t="str">
        <f>IF($A1504=0,"",VLOOKUP($A1504,'BASE EQUIPO'!$A:$D,3))</f>
        <v>GLOBAL</v>
      </c>
      <c r="F1504" s="55">
        <v>1</v>
      </c>
      <c r="G1504" s="83">
        <f>IF($A1504=0,"",VLOOKUP($A1504,'BASE EQUIPO'!$A:$D,4)*H1501)</f>
        <v>0.71940000000000004</v>
      </c>
      <c r="H1504" s="56">
        <f>IF($A1504=0,"",ROUND(F1504*G1504,2))</f>
        <v>0.72</v>
      </c>
      <c r="I1504" s="5"/>
    </row>
    <row r="1505" spans="1:15" s="4" customFormat="1" x14ac:dyDescent="0.25">
      <c r="A1505" s="103"/>
      <c r="B1505" s="38" t="str">
        <f>IF($A1505=0,"",VLOOKUP($A1505,'BASE EQUIPO'!$A:$D,2))</f>
        <v/>
      </c>
      <c r="C1505" s="2"/>
      <c r="D1505" s="84"/>
      <c r="E1505" s="78" t="str">
        <f>IF($A1505=0,"",VLOOKUP($A1505,'BASE EQUIPO'!$A:$D,3))</f>
        <v/>
      </c>
      <c r="F1505" s="55"/>
      <c r="G1505" s="55" t="str">
        <f>IF($A1505=0,"",VLOOKUP($A1505,'BASE EQUIPO'!$A:$D,4)*H1502)</f>
        <v/>
      </c>
      <c r="H1505" s="56" t="str">
        <f>IF($A1505=0,"",ROUND(F1505*G1505,2))</f>
        <v/>
      </c>
      <c r="I1505" s="5"/>
    </row>
    <row r="1506" spans="1:15" s="4" customFormat="1" x14ac:dyDescent="0.25">
      <c r="A1506" s="103"/>
      <c r="B1506" s="57" t="str">
        <f>IF($A1506=0,"",VLOOKUP($A1506,'BASE EQUIPO'!$A:$D,2))</f>
        <v/>
      </c>
      <c r="C1506" s="58"/>
      <c r="D1506" s="85"/>
      <c r="E1506" s="86" t="str">
        <f>IF($A1506=0,"",VLOOKUP($A1506,'BASE EQUIPO'!$A:$D,3))</f>
        <v/>
      </c>
      <c r="F1506" s="59"/>
      <c r="G1506" s="59" t="str">
        <f>IF($A1506=0,"",VLOOKUP($A1506,'BASE EQUIPO'!$A:$D,4)*H1503)</f>
        <v/>
      </c>
      <c r="H1506" s="60" t="str">
        <f>IF($A1506=0,"",ROUND(F1506*G1506,2))</f>
        <v/>
      </c>
      <c r="I1506" s="5"/>
    </row>
    <row r="1507" spans="1:15" s="4" customFormat="1" ht="15.75" thickBot="1" x14ac:dyDescent="0.3">
      <c r="A1507" s="103"/>
      <c r="B1507" s="87" t="s">
        <v>1674</v>
      </c>
      <c r="C1507" s="88"/>
      <c r="D1507" s="89"/>
      <c r="E1507" s="89"/>
      <c r="F1507" s="89"/>
      <c r="G1507" s="89"/>
      <c r="H1507" s="90">
        <f>ROUND(SUM(H1503:H1506),2)</f>
        <v>0.72</v>
      </c>
      <c r="I1507" s="5"/>
    </row>
    <row r="1508" spans="1:15" s="4" customFormat="1" ht="15.75" x14ac:dyDescent="0.25">
      <c r="A1508" s="103"/>
      <c r="B1508" s="2"/>
      <c r="C1508" s="2"/>
      <c r="D1508" s="91" t="s">
        <v>1673</v>
      </c>
      <c r="E1508" s="177"/>
      <c r="F1508" s="177"/>
      <c r="G1508" s="177"/>
      <c r="H1508" s="92">
        <f>ROUND(SUM(H1507,H1501,H1482,H1472),2)</f>
        <v>61.17</v>
      </c>
      <c r="I1508" s="5"/>
    </row>
    <row r="1509" spans="1:15" s="4" customFormat="1" ht="15.75" x14ac:dyDescent="0.25">
      <c r="A1509" s="103">
        <v>40002</v>
      </c>
      <c r="B1509" s="2"/>
      <c r="C1509" s="2"/>
      <c r="D1509" s="93" t="s">
        <v>1672</v>
      </c>
      <c r="E1509" s="166"/>
      <c r="F1509" s="166"/>
      <c r="G1509" s="178">
        <f>IF($A1509=0,"",VLOOKUP($A1509,'BASE MATERIAL'!$M:$P,4))</f>
        <v>0</v>
      </c>
      <c r="H1509" s="95">
        <f>IF($A1509=0,"",ROUND(G1509*H1508,2))</f>
        <v>0</v>
      </c>
      <c r="I1509" s="5"/>
    </row>
    <row r="1510" spans="1:15" s="4" customFormat="1" ht="15.75" x14ac:dyDescent="0.25">
      <c r="A1510" s="103">
        <v>40003</v>
      </c>
      <c r="B1510" s="2"/>
      <c r="C1510" s="2"/>
      <c r="D1510" s="93" t="s">
        <v>1671</v>
      </c>
      <c r="E1510" s="166"/>
      <c r="F1510" s="166"/>
      <c r="G1510" s="178">
        <f>IF($A1510=0,"",VLOOKUP($A1510,'BASE MATERIAL'!$M:$P,4))</f>
        <v>0</v>
      </c>
      <c r="H1510" s="95">
        <f>IF($A1510=0,"",ROUND(G1510*H1508,2))</f>
        <v>0</v>
      </c>
      <c r="I1510" s="5"/>
    </row>
    <row r="1511" spans="1:15" s="4" customFormat="1" ht="15.75" x14ac:dyDescent="0.25">
      <c r="A1511" s="103"/>
      <c r="B1511" s="2"/>
      <c r="C1511" s="2"/>
      <c r="D1511" s="93" t="s">
        <v>1670</v>
      </c>
      <c r="E1511" s="166"/>
      <c r="F1511" s="166"/>
      <c r="G1511" s="166"/>
      <c r="H1511" s="96">
        <f>ROUND(SUM(H1508:H1510),2)</f>
        <v>61.17</v>
      </c>
      <c r="I1511" s="5"/>
    </row>
    <row r="1512" spans="1:15" s="4" customFormat="1" ht="16.5" thickBot="1" x14ac:dyDescent="0.3">
      <c r="A1512" s="103"/>
      <c r="B1512" s="25"/>
      <c r="C1512" s="5"/>
      <c r="D1512" s="97" t="s">
        <v>1650</v>
      </c>
      <c r="E1512" s="179"/>
      <c r="F1512" s="179"/>
      <c r="G1512" s="179"/>
      <c r="H1512" s="98">
        <f>ROUND(H1511,2)</f>
        <v>61.17</v>
      </c>
      <c r="I1512" s="5"/>
    </row>
    <row r="1513" spans="1:15" ht="15.75" x14ac:dyDescent="0.25">
      <c r="B1513" s="34" t="s">
        <v>1701</v>
      </c>
      <c r="C1513" s="5"/>
      <c r="D1513" s="157" t="str">
        <f>$D$113</f>
        <v>ESPOL</v>
      </c>
      <c r="E1513" s="2"/>
      <c r="F1513" s="2"/>
      <c r="H1513" s="2" t="s">
        <v>108</v>
      </c>
      <c r="I1513" s="2"/>
      <c r="L1513" s="40">
        <f>A1517</f>
        <v>26</v>
      </c>
      <c r="M1513" s="1" t="str">
        <f>C1518</f>
        <v>Meson de hormigon armado en cafeteria (inc. Enlucido)</v>
      </c>
      <c r="N1513" s="2" t="str">
        <f>H1517</f>
        <v>ml</v>
      </c>
      <c r="O1513" s="2">
        <f>H1568</f>
        <v>96.15</v>
      </c>
    </row>
    <row r="1514" spans="1:15" s="4" customFormat="1" ht="15.75" x14ac:dyDescent="0.25">
      <c r="A1514" s="103"/>
      <c r="B1514" s="34" t="s">
        <v>1700</v>
      </c>
      <c r="C1514" s="3">
        <f>'1.1'!$C$2</f>
        <v>0</v>
      </c>
      <c r="D1514" s="5"/>
      <c r="E1514" s="5"/>
      <c r="F1514" s="5"/>
      <c r="G1514" s="158" t="s">
        <v>1699</v>
      </c>
      <c r="H1514" s="159"/>
      <c r="I1514" s="5" t="s">
        <v>1698</v>
      </c>
    </row>
    <row r="1515" spans="1:15" s="4" customFormat="1" ht="15.75" x14ac:dyDescent="0.25">
      <c r="A1515" s="103"/>
      <c r="B1515" s="34"/>
      <c r="C1515" s="3">
        <f>'1.1'!$C$3</f>
        <v>0</v>
      </c>
      <c r="D1515" s="5"/>
      <c r="E1515" s="5"/>
      <c r="F1515" s="5"/>
      <c r="G1515" s="5"/>
      <c r="H1515" s="5"/>
      <c r="I1515" s="5"/>
    </row>
    <row r="1516" spans="1:15" s="4" customFormat="1" ht="15.75" x14ac:dyDescent="0.25">
      <c r="A1516" s="103"/>
      <c r="B1516" s="34" t="s">
        <v>1697</v>
      </c>
      <c r="C1516" s="3"/>
      <c r="D1516" s="5"/>
      <c r="E1516" s="5"/>
      <c r="F1516" s="5"/>
      <c r="G1516" s="5"/>
      <c r="H1516" s="5"/>
      <c r="I1516" s="5"/>
    </row>
    <row r="1517" spans="1:15" x14ac:dyDescent="0.25">
      <c r="A1517" s="104">
        <v>26</v>
      </c>
      <c r="B1517" s="2" t="s">
        <v>1586</v>
      </c>
      <c r="C1517" s="36" t="s">
        <v>1541</v>
      </c>
      <c r="D1517" s="5"/>
      <c r="E1517" s="4"/>
      <c r="F1517" s="4"/>
      <c r="G1517" s="5" t="s">
        <v>1696</v>
      </c>
      <c r="H1517" s="157" t="s">
        <v>961</v>
      </c>
      <c r="I1517" s="2"/>
    </row>
    <row r="1518" spans="1:15" s="4" customFormat="1" x14ac:dyDescent="0.25">
      <c r="A1518" s="103"/>
      <c r="B1518" s="1" t="s">
        <v>1585</v>
      </c>
      <c r="C1518" s="36" t="s">
        <v>615</v>
      </c>
      <c r="D1518" s="5"/>
      <c r="E1518" s="5"/>
      <c r="F1518" s="5"/>
      <c r="G1518" s="5"/>
      <c r="H1518" s="5"/>
      <c r="I1518" s="5"/>
    </row>
    <row r="1519" spans="1:15" ht="15.75" thickBot="1" x14ac:dyDescent="0.3">
      <c r="D1519" s="2"/>
      <c r="E1519" s="2"/>
      <c r="F1519" s="2"/>
      <c r="G1519" s="2"/>
      <c r="H1519" s="2"/>
      <c r="I1519" s="2"/>
    </row>
    <row r="1520" spans="1:15" ht="15.75" thickBot="1" x14ac:dyDescent="0.3">
      <c r="B1520" s="43" t="s">
        <v>1695</v>
      </c>
      <c r="C1520" s="44"/>
      <c r="D1520" s="44"/>
      <c r="E1520" s="44"/>
      <c r="F1520" s="44"/>
      <c r="G1520" s="44"/>
      <c r="H1520" s="45"/>
      <c r="I1520" s="2"/>
    </row>
    <row r="1521" spans="1:9" ht="25.5" x14ac:dyDescent="0.25">
      <c r="B1521" s="46" t="s">
        <v>1409</v>
      </c>
      <c r="C1521" s="47"/>
      <c r="D1521" s="48" t="s">
        <v>1690</v>
      </c>
      <c r="E1521" s="48" t="s">
        <v>1694</v>
      </c>
      <c r="F1521" s="48" t="s">
        <v>1693</v>
      </c>
      <c r="G1521" s="49" t="s">
        <v>1687</v>
      </c>
      <c r="H1521" s="50" t="s">
        <v>1686</v>
      </c>
      <c r="I1521" s="2"/>
    </row>
    <row r="1522" spans="1:9" s="4" customFormat="1" x14ac:dyDescent="0.25">
      <c r="A1522" s="103">
        <v>19015</v>
      </c>
      <c r="B1522" s="51" t="str">
        <f>IF($A1522=0,"",VLOOKUP($A1522,'BASE EQUIPO'!$A:$D,2))</f>
        <v>HERRAMIENTA MENOR</v>
      </c>
      <c r="C1522" s="52"/>
      <c r="D1522" s="53">
        <v>1</v>
      </c>
      <c r="E1522" s="53">
        <f>IF($A1522=0,"",VLOOKUP($A1522,'BASE EQUIPO'!$A:$D,4)*H1538)</f>
        <v>1.821</v>
      </c>
      <c r="F1522" s="53">
        <f t="shared" ref="F1522:F1527" si="135">IF($A1522=0,"",ROUND(D1522*E1522,2))</f>
        <v>1.82</v>
      </c>
      <c r="G1522" s="105">
        <v>1</v>
      </c>
      <c r="H1522" s="54">
        <f t="shared" ref="H1522:H1527" si="136">IF($A1522=0,"",ROUND(G1522*F1522,2))</f>
        <v>1.82</v>
      </c>
      <c r="I1522" s="5"/>
    </row>
    <row r="1523" spans="1:9" s="4" customFormat="1" x14ac:dyDescent="0.25">
      <c r="A1523" s="103"/>
      <c r="B1523" s="38" t="str">
        <f>IF($A1523=0,"",VLOOKUP($A1523,'BASE EQUIPO'!$A:$D,2))</f>
        <v/>
      </c>
      <c r="C1523" s="2"/>
      <c r="D1523" s="55"/>
      <c r="E1523" s="55" t="str">
        <f>IF($A1523=0,"",VLOOKUP($A1523,'BASE EQUIPO'!$A:$D,4))</f>
        <v/>
      </c>
      <c r="F1523" s="55" t="str">
        <f t="shared" si="135"/>
        <v/>
      </c>
      <c r="G1523" s="106"/>
      <c r="H1523" s="56" t="str">
        <f t="shared" si="136"/>
        <v/>
      </c>
      <c r="I1523" s="5"/>
    </row>
    <row r="1524" spans="1:9" s="4" customFormat="1" x14ac:dyDescent="0.25">
      <c r="A1524" s="103"/>
      <c r="B1524" s="38" t="str">
        <f>IF($A1524=0,"",VLOOKUP($A1524,'BASE EQUIPO'!$A:$D,2))</f>
        <v/>
      </c>
      <c r="C1524" s="2"/>
      <c r="D1524" s="55"/>
      <c r="E1524" s="55" t="str">
        <f>IF($A1524=0,"",VLOOKUP($A1524,'BASE EQUIPO'!$A:$D,4))</f>
        <v/>
      </c>
      <c r="F1524" s="55" t="str">
        <f t="shared" si="135"/>
        <v/>
      </c>
      <c r="G1524" s="106"/>
      <c r="H1524" s="56" t="str">
        <f t="shared" si="136"/>
        <v/>
      </c>
      <c r="I1524" s="5"/>
    </row>
    <row r="1525" spans="1:9" s="4" customFormat="1" x14ac:dyDescent="0.25">
      <c r="A1525" s="103"/>
      <c r="B1525" s="38" t="str">
        <f>IF($A1525=0,"",VLOOKUP($A1525,'BASE EQUIPO'!$A:$D,2))</f>
        <v/>
      </c>
      <c r="C1525" s="2"/>
      <c r="D1525" s="55"/>
      <c r="E1525" s="55" t="str">
        <f>IF($A1525=0,"",VLOOKUP($A1525,'BASE EQUIPO'!$A:$D,4))</f>
        <v/>
      </c>
      <c r="F1525" s="55" t="str">
        <f t="shared" si="135"/>
        <v/>
      </c>
      <c r="G1525" s="106"/>
      <c r="H1525" s="56" t="str">
        <f t="shared" si="136"/>
        <v/>
      </c>
      <c r="I1525" s="5"/>
    </row>
    <row r="1526" spans="1:9" s="4" customFormat="1" x14ac:dyDescent="0.25">
      <c r="A1526" s="103"/>
      <c r="B1526" s="38" t="str">
        <f>IF($A1526=0,"",VLOOKUP($A1526,'BASE EQUIPO'!$A:$D,2))</f>
        <v/>
      </c>
      <c r="C1526" s="2"/>
      <c r="D1526" s="55"/>
      <c r="E1526" s="55" t="str">
        <f>IF($A1526=0,"",VLOOKUP($A1526,'BASE EQUIPO'!$A:$D,4))</f>
        <v/>
      </c>
      <c r="F1526" s="55" t="str">
        <f t="shared" si="135"/>
        <v/>
      </c>
      <c r="G1526" s="106"/>
      <c r="H1526" s="56" t="str">
        <f t="shared" si="136"/>
        <v/>
      </c>
      <c r="I1526" s="5"/>
    </row>
    <row r="1527" spans="1:9" s="4" customFormat="1" x14ac:dyDescent="0.25">
      <c r="A1527" s="103"/>
      <c r="B1527" s="57" t="str">
        <f>IF($A1527=0,"",VLOOKUP($A1527,'BASE EQUIPO'!$A:$D,2))</f>
        <v/>
      </c>
      <c r="C1527" s="58"/>
      <c r="D1527" s="59"/>
      <c r="E1527" s="59" t="str">
        <f>IF($A1527=0,"",VLOOKUP($A1527,'BASE EQUIPO'!$A:$D,4))</f>
        <v/>
      </c>
      <c r="F1527" s="59" t="str">
        <f t="shared" si="135"/>
        <v/>
      </c>
      <c r="G1527" s="107"/>
      <c r="H1527" s="60" t="str">
        <f t="shared" si="136"/>
        <v/>
      </c>
      <c r="I1527" s="5"/>
    </row>
    <row r="1528" spans="1:9" s="4" customFormat="1" x14ac:dyDescent="0.25">
      <c r="A1528" s="103"/>
      <c r="B1528" s="57" t="s">
        <v>1692</v>
      </c>
      <c r="C1528" s="58"/>
      <c r="D1528" s="61"/>
      <c r="E1528" s="61"/>
      <c r="F1528" s="61"/>
      <c r="G1528" s="62"/>
      <c r="H1528" s="60">
        <f>ROUND(SUM(H1521:H1527),2)</f>
        <v>1.82</v>
      </c>
      <c r="I1528" s="5"/>
    </row>
    <row r="1529" spans="1:9" s="4" customFormat="1" x14ac:dyDescent="0.25">
      <c r="A1529" s="103"/>
      <c r="B1529" s="38" t="s">
        <v>1503</v>
      </c>
      <c r="C1529" s="2"/>
      <c r="D1529" s="3"/>
      <c r="E1529" s="3"/>
      <c r="F1529" s="3"/>
      <c r="G1529" s="63"/>
      <c r="H1529" s="56"/>
      <c r="I1529" s="5"/>
    </row>
    <row r="1530" spans="1:9" ht="25.5" x14ac:dyDescent="0.25">
      <c r="B1530" s="64" t="s">
        <v>1691</v>
      </c>
      <c r="C1530" s="65"/>
      <c r="D1530" s="66" t="s">
        <v>1690</v>
      </c>
      <c r="E1530" s="66" t="s">
        <v>1689</v>
      </c>
      <c r="F1530" s="66" t="s">
        <v>1688</v>
      </c>
      <c r="G1530" s="67" t="s">
        <v>1687</v>
      </c>
      <c r="H1530" s="68" t="s">
        <v>1686</v>
      </c>
      <c r="I1530" s="2"/>
    </row>
    <row r="1531" spans="1:9" s="4" customFormat="1" x14ac:dyDescent="0.25">
      <c r="A1531" s="103">
        <v>20001</v>
      </c>
      <c r="B1531" s="69" t="str">
        <f>IF($A1531=0,"",VLOOKUP($A1531,'BASE M-OBRA'!$A:$D,2))</f>
        <v>MAESTRO</v>
      </c>
      <c r="C1531" s="2"/>
      <c r="D1531" s="108">
        <v>1</v>
      </c>
      <c r="E1531" s="70">
        <f>IF($A1531=0,"",VLOOKUP($A1531,'BASE M-OBRA'!$A:$D,4))</f>
        <v>3.02</v>
      </c>
      <c r="F1531" s="55">
        <f t="shared" ref="F1531:F1537" si="137">IF($A1531=0,"",ROUND(D1531*E1531,2))</f>
        <v>3.02</v>
      </c>
      <c r="G1531" s="106">
        <f>IF($A1531=0,"",ROUND(H1531/F1531,2))</f>
        <v>3.35</v>
      </c>
      <c r="H1531" s="56">
        <f>IF($A1531=0,"",ROUND(SUM(H1532:H1537)*'BASE M-OBRA'!$D$23,2))</f>
        <v>10.119999999999999</v>
      </c>
      <c r="I1531" s="5"/>
    </row>
    <row r="1532" spans="1:9" s="4" customFormat="1" x14ac:dyDescent="0.25">
      <c r="A1532" s="103">
        <v>20002</v>
      </c>
      <c r="B1532" s="69" t="str">
        <f>IF($A1532=0,"",VLOOKUP($A1532,'BASE M-OBRA'!$A:$D,2))</f>
        <v>PEON</v>
      </c>
      <c r="C1532" s="2"/>
      <c r="D1532" s="108">
        <v>1</v>
      </c>
      <c r="E1532" s="70">
        <f>IF($A1532=0,"",VLOOKUP($A1532,'BASE M-OBRA'!$A:$D,4))</f>
        <v>2.79</v>
      </c>
      <c r="F1532" s="55">
        <f t="shared" si="137"/>
        <v>2.79</v>
      </c>
      <c r="G1532" s="106">
        <v>6</v>
      </c>
      <c r="H1532" s="56">
        <f t="shared" ref="H1532:H1537" si="138">IF($A1532=0,"",ROUND(G1532*F1532,2))</f>
        <v>16.739999999999998</v>
      </c>
      <c r="I1532" s="5"/>
    </row>
    <row r="1533" spans="1:9" s="4" customFormat="1" x14ac:dyDescent="0.25">
      <c r="A1533" s="103">
        <v>20003</v>
      </c>
      <c r="B1533" s="69" t="str">
        <f>IF($A1533=0,"",VLOOKUP($A1533,'BASE M-OBRA'!$A:$D,2))</f>
        <v>ALBAÑIL</v>
      </c>
      <c r="C1533" s="2"/>
      <c r="D1533" s="108">
        <v>2</v>
      </c>
      <c r="E1533" s="70">
        <f>IF($A1533=0,"",VLOOKUP($A1533,'BASE M-OBRA'!$A:$D,4))</f>
        <v>2.82</v>
      </c>
      <c r="F1533" s="55">
        <f t="shared" si="137"/>
        <v>5.64</v>
      </c>
      <c r="G1533" s="106">
        <f>+G1532</f>
        <v>6</v>
      </c>
      <c r="H1533" s="56">
        <f t="shared" si="138"/>
        <v>33.840000000000003</v>
      </c>
      <c r="I1533" s="5"/>
    </row>
    <row r="1534" spans="1:9" s="4" customFormat="1" x14ac:dyDescent="0.25">
      <c r="A1534" s="103"/>
      <c r="B1534" s="71" t="str">
        <f>IF($A1534=0,"",VLOOKUP($A1534,'BASE M-OBRA'!$A:$D,2))</f>
        <v/>
      </c>
      <c r="C1534" s="2"/>
      <c r="D1534" s="108"/>
      <c r="E1534" s="70" t="str">
        <f>IF($A1534=0,"",VLOOKUP($A1534,'BASE M-OBRA'!$A:$D,4))</f>
        <v/>
      </c>
      <c r="F1534" s="55" t="str">
        <f t="shared" si="137"/>
        <v/>
      </c>
      <c r="G1534" s="106"/>
      <c r="H1534" s="56" t="str">
        <f t="shared" si="138"/>
        <v/>
      </c>
      <c r="I1534" s="5"/>
    </row>
    <row r="1535" spans="1:9" s="4" customFormat="1" x14ac:dyDescent="0.25">
      <c r="A1535" s="103"/>
      <c r="B1535" s="72" t="str">
        <f>IF($A1535=0,"",VLOOKUP($A1535,'BASE M-OBRA'!$A:$D,2))</f>
        <v/>
      </c>
      <c r="C1535" s="2"/>
      <c r="D1535" s="108"/>
      <c r="E1535" s="70" t="str">
        <f>IF($A1535=0,"",VLOOKUP($A1535,'BASE M-OBRA'!$A:$D,4))</f>
        <v/>
      </c>
      <c r="F1535" s="55" t="str">
        <f t="shared" si="137"/>
        <v/>
      </c>
      <c r="G1535" s="106"/>
      <c r="H1535" s="56" t="str">
        <f t="shared" si="138"/>
        <v/>
      </c>
      <c r="I1535" s="5"/>
    </row>
    <row r="1536" spans="1:9" s="4" customFormat="1" x14ac:dyDescent="0.25">
      <c r="A1536" s="103"/>
      <c r="B1536" s="38" t="str">
        <f>IF($A1536=0,"",VLOOKUP($A1536,'BASE M-OBRA'!$A:$D,2))</f>
        <v/>
      </c>
      <c r="C1536" s="2"/>
      <c r="D1536" s="55"/>
      <c r="E1536" s="55" t="str">
        <f>IF($A1536=0,"",VLOOKUP($A1536,'BASE M-OBRA'!$A:$D,4))</f>
        <v/>
      </c>
      <c r="F1536" s="55" t="str">
        <f t="shared" si="137"/>
        <v/>
      </c>
      <c r="G1536" s="106"/>
      <c r="H1536" s="56" t="str">
        <f t="shared" si="138"/>
        <v/>
      </c>
      <c r="I1536" s="5"/>
    </row>
    <row r="1537" spans="1:16" s="4" customFormat="1" x14ac:dyDescent="0.25">
      <c r="A1537" s="103"/>
      <c r="B1537" s="57" t="str">
        <f>IF($A1537=0,"",VLOOKUP($A1537,'BASE M-OBRA'!$A:$D,2))</f>
        <v/>
      </c>
      <c r="C1537" s="58"/>
      <c r="D1537" s="59"/>
      <c r="E1537" s="59" t="str">
        <f>IF($A1537=0,"",VLOOKUP($A1537,'BASE M-OBRA'!$A:$D,4))</f>
        <v/>
      </c>
      <c r="F1537" s="59" t="str">
        <f t="shared" si="137"/>
        <v/>
      </c>
      <c r="G1537" s="107"/>
      <c r="H1537" s="60" t="str">
        <f t="shared" si="138"/>
        <v/>
      </c>
      <c r="I1537" s="5"/>
    </row>
    <row r="1538" spans="1:16" s="4" customFormat="1" x14ac:dyDescent="0.25">
      <c r="A1538" s="103"/>
      <c r="B1538" s="73" t="s">
        <v>1685</v>
      </c>
      <c r="C1538" s="65"/>
      <c r="D1538" s="74"/>
      <c r="E1538" s="74"/>
      <c r="F1538" s="74"/>
      <c r="G1538" s="74"/>
      <c r="H1538" s="75">
        <f>ROUND(SUM(H1530:H1537),2)</f>
        <v>60.7</v>
      </c>
      <c r="I1538" s="5"/>
    </row>
    <row r="1539" spans="1:16" s="4" customFormat="1" x14ac:dyDescent="0.25">
      <c r="A1539" s="103"/>
      <c r="B1539" s="38" t="s">
        <v>1684</v>
      </c>
      <c r="C1539" s="2"/>
      <c r="D1539" s="3"/>
      <c r="E1539" s="3"/>
      <c r="F1539" s="3"/>
      <c r="G1539" s="3"/>
      <c r="H1539" s="56"/>
      <c r="I1539" s="5"/>
    </row>
    <row r="1540" spans="1:16" ht="25.5" x14ac:dyDescent="0.25">
      <c r="B1540" s="64" t="s">
        <v>1409</v>
      </c>
      <c r="C1540" s="65"/>
      <c r="D1540" s="76"/>
      <c r="E1540" s="66" t="s">
        <v>1408</v>
      </c>
      <c r="F1540" s="66" t="s">
        <v>1679</v>
      </c>
      <c r="G1540" s="66" t="s">
        <v>1683</v>
      </c>
      <c r="H1540" s="68" t="s">
        <v>1675</v>
      </c>
      <c r="I1540" s="2"/>
    </row>
    <row r="1541" spans="1:16" s="4" customFormat="1" x14ac:dyDescent="0.25">
      <c r="A1541" s="103">
        <v>11011</v>
      </c>
      <c r="B1541" s="37" t="str">
        <f>IF($A1541=0,"",VLOOKUP($A1541,'BASE MATERIAL'!$A:$D,2))</f>
        <v>PLYWOOD ENCOFRADO 15 MM</v>
      </c>
      <c r="C1541" s="2"/>
      <c r="D1541" s="77"/>
      <c r="E1541" s="78" t="str">
        <f>IF($A1541=0,"",VLOOKUP($A1541,'BASE MATERIAL'!$A:$D,3))</f>
        <v>U</v>
      </c>
      <c r="F1541" s="55">
        <f>ROUND(0.7/(1.2*2.4*4),2)</f>
        <v>0.06</v>
      </c>
      <c r="G1541" s="55">
        <f>IF($A1541=0,"",VLOOKUP($A1541,'BASE MATERIAL'!$A:$D,4))</f>
        <v>37.799999999999997</v>
      </c>
      <c r="H1541" s="56">
        <f t="shared" ref="H1541:H1555" si="139">IF($A1541=0,"",ROUND(F1541*G1541,2))</f>
        <v>2.27</v>
      </c>
      <c r="I1541" s="5"/>
      <c r="L1541" s="5"/>
      <c r="M1541" s="5"/>
      <c r="N1541" s="160"/>
      <c r="O1541" s="5"/>
      <c r="P1541" s="5"/>
    </row>
    <row r="1542" spans="1:16" s="4" customFormat="1" x14ac:dyDescent="0.25">
      <c r="A1542" s="103">
        <v>11009</v>
      </c>
      <c r="B1542" s="38" t="str">
        <f>IF($A1542=0,"",VLOOKUP($A1542,'BASE MATERIAL'!$A:$D,2))</f>
        <v>CUARTON</v>
      </c>
      <c r="C1542" s="2"/>
      <c r="D1542" s="77"/>
      <c r="E1542" s="78" t="str">
        <f>IF($A1542=0,"",VLOOKUP($A1542,'BASE MATERIAL'!$A:$D,3))</f>
        <v>U</v>
      </c>
      <c r="F1542" s="55">
        <v>2.5</v>
      </c>
      <c r="G1542" s="55">
        <f>IF($A1542=0,"",VLOOKUP($A1542,'BASE MATERIAL'!$A:$D,4))</f>
        <v>2.42</v>
      </c>
      <c r="H1542" s="56">
        <f t="shared" si="139"/>
        <v>6.05</v>
      </c>
      <c r="I1542" s="5"/>
      <c r="L1542" s="5"/>
      <c r="M1542" s="5"/>
      <c r="N1542" s="160"/>
      <c r="O1542" s="5"/>
      <c r="P1542" s="5"/>
    </row>
    <row r="1543" spans="1:16" s="4" customFormat="1" x14ac:dyDescent="0.25">
      <c r="A1543" s="103">
        <v>11007</v>
      </c>
      <c r="B1543" s="38" t="str">
        <f>IF($A1543=0,"",VLOOKUP($A1543,'BASE MATERIAL'!$A:$D,2))</f>
        <v>CLAVO 2 1/2"</v>
      </c>
      <c r="C1543" s="2"/>
      <c r="D1543" s="77"/>
      <c r="E1543" s="78" t="str">
        <f>IF($A1543=0,"",VLOOKUP($A1543,'BASE MATERIAL'!$A:$D,3))</f>
        <v>KG</v>
      </c>
      <c r="F1543" s="55">
        <f>ROUND(0.7*56/(178*1.5),2)</f>
        <v>0.15</v>
      </c>
      <c r="G1543" s="55">
        <f>IF($A1543=0,"",VLOOKUP($A1543,'BASE MATERIAL'!$A:$D,4))</f>
        <v>2.6520000000000001</v>
      </c>
      <c r="H1543" s="56">
        <f t="shared" si="139"/>
        <v>0.4</v>
      </c>
      <c r="I1543" s="5"/>
      <c r="L1543" s="5"/>
      <c r="M1543" s="5"/>
      <c r="N1543" s="160"/>
      <c r="O1543" s="5"/>
      <c r="P1543" s="5"/>
    </row>
    <row r="1544" spans="1:16" s="4" customFormat="1" x14ac:dyDescent="0.25">
      <c r="A1544" s="103">
        <v>1001</v>
      </c>
      <c r="B1544" s="38" t="str">
        <f>IF($A1544=0,"",VLOOKUP($A1544,'BASE MATERIAL'!$A:$D,2))</f>
        <v>HIERRO</v>
      </c>
      <c r="C1544" s="2"/>
      <c r="D1544" s="77"/>
      <c r="E1544" s="78" t="str">
        <f>IF($A1544=0,"",VLOOKUP($A1544,'BASE MATERIAL'!$A:$D,3))</f>
        <v>KG</v>
      </c>
      <c r="F1544" s="55">
        <v>8</v>
      </c>
      <c r="G1544" s="55">
        <f>IF($A1544=0,"",VLOOKUP($A1544,'BASE MATERIAL'!$A:$D,4))</f>
        <v>1.17</v>
      </c>
      <c r="H1544" s="56">
        <f t="shared" si="139"/>
        <v>9.36</v>
      </c>
      <c r="I1544" s="5"/>
      <c r="L1544" s="5"/>
      <c r="M1544" s="5"/>
      <c r="N1544" s="160"/>
      <c r="O1544" s="5"/>
      <c r="P1544" s="5"/>
    </row>
    <row r="1545" spans="1:16" s="4" customFormat="1" x14ac:dyDescent="0.25">
      <c r="A1545" s="103">
        <v>11002</v>
      </c>
      <c r="B1545" s="38" t="str">
        <f>IF($A1545=0,"",VLOOKUP($A1545,'BASE MATERIAL'!$A:$D,2))</f>
        <v>ALAMBRE #18 RECOCIDO</v>
      </c>
      <c r="C1545" s="2"/>
      <c r="D1545" s="77"/>
      <c r="E1545" s="78" t="str">
        <f>IF($A1545=0,"",VLOOKUP($A1545,'BASE MATERIAL'!$A:$D,3))</f>
        <v>KG</v>
      </c>
      <c r="F1545" s="55">
        <f>ROUND(F1544*0.02,2)</f>
        <v>0.16</v>
      </c>
      <c r="G1545" s="55">
        <f>IF($A1545=0,"",VLOOKUP($A1545,'BASE MATERIAL'!$A:$D,4))</f>
        <v>1.87</v>
      </c>
      <c r="H1545" s="56">
        <f t="shared" si="139"/>
        <v>0.3</v>
      </c>
      <c r="I1545" s="5"/>
      <c r="L1545" s="5"/>
      <c r="M1545" s="5"/>
      <c r="N1545" s="160"/>
      <c r="O1545" s="5"/>
      <c r="P1545" s="5"/>
    </row>
    <row r="1546" spans="1:16" s="4" customFormat="1" x14ac:dyDescent="0.25">
      <c r="A1546" s="103">
        <v>4001</v>
      </c>
      <c r="B1546" s="38" t="str">
        <f>IF($A1546=0,"",VLOOKUP($A1546,'BASE MATERIAL'!$A:$D,2))</f>
        <v>CEMENTO</v>
      </c>
      <c r="C1546" s="2"/>
      <c r="D1546" s="77"/>
      <c r="E1546" s="78" t="str">
        <f>IF($A1546=0,"",VLOOKUP($A1546,'BASE MATERIAL'!$A:$D,3))</f>
        <v>SACO</v>
      </c>
      <c r="F1546" s="55">
        <f>ROUND(8*0.07*0.6+1.3*0.2,2)</f>
        <v>0.6</v>
      </c>
      <c r="G1546" s="55">
        <f>IF($A1546=0,"",VLOOKUP($A1546,'BASE MATERIAL'!$A:$D,4))</f>
        <v>7.09</v>
      </c>
      <c r="H1546" s="56">
        <f t="shared" si="139"/>
        <v>4.25</v>
      </c>
      <c r="I1546" s="5"/>
      <c r="L1546" s="5"/>
      <c r="M1546" s="5"/>
      <c r="N1546" s="160"/>
      <c r="O1546" s="5"/>
      <c r="P1546" s="5"/>
    </row>
    <row r="1547" spans="1:16" s="4" customFormat="1" x14ac:dyDescent="0.25">
      <c r="A1547" s="103">
        <v>5004</v>
      </c>
      <c r="B1547" s="38" t="str">
        <f>IF($A1547=0,"",VLOOKUP($A1547,'BASE MATERIAL'!$A:$D,2))</f>
        <v>ARENA</v>
      </c>
      <c r="C1547" s="2"/>
      <c r="D1547" s="77"/>
      <c r="E1547" s="78" t="str">
        <f>IF($A1547=0,"",VLOOKUP($A1547,'BASE MATERIAL'!$A:$D,3))</f>
        <v>M3</v>
      </c>
      <c r="F1547" s="55">
        <f>ROUND(F1546*0.032*2,2)</f>
        <v>0.04</v>
      </c>
      <c r="G1547" s="55">
        <f>IF($A1547=0,"",VLOOKUP($A1547,'BASE MATERIAL'!$A:$D,4))</f>
        <v>12.276249999999999</v>
      </c>
      <c r="H1547" s="56">
        <f t="shared" si="139"/>
        <v>0.49</v>
      </c>
      <c r="I1547" s="5"/>
      <c r="L1547" s="5"/>
      <c r="M1547" s="5"/>
      <c r="N1547" s="160"/>
      <c r="O1547" s="5"/>
      <c r="P1547" s="5"/>
    </row>
    <row r="1548" spans="1:16" s="4" customFormat="1" x14ac:dyDescent="0.25">
      <c r="A1548" s="103">
        <v>5002</v>
      </c>
      <c r="B1548" s="38" t="str">
        <f>IF($A1548=0,"",VLOOKUP($A1548,'BASE MATERIAL'!$A:$D,2))</f>
        <v>PIEDRA 3-4</v>
      </c>
      <c r="C1548" s="2"/>
      <c r="D1548" s="77"/>
      <c r="E1548" s="78" t="str">
        <f>IF($A1548=0,"",VLOOKUP($A1548,'BASE MATERIAL'!$A:$D,3))</f>
        <v>M3</v>
      </c>
      <c r="F1548" s="55">
        <f>ROUND(F1546*0.032*3,2)</f>
        <v>0.06</v>
      </c>
      <c r="G1548" s="55">
        <f>IF($A1548=0,"",VLOOKUP($A1548,'BASE MATERIAL'!$A:$D,4))</f>
        <v>13.75</v>
      </c>
      <c r="H1548" s="56">
        <f t="shared" si="139"/>
        <v>0.83</v>
      </c>
      <c r="I1548" s="5"/>
      <c r="L1548" s="5"/>
      <c r="M1548" s="5"/>
      <c r="N1548" s="160"/>
      <c r="O1548" s="5"/>
      <c r="P1548" s="5"/>
    </row>
    <row r="1549" spans="1:16" s="4" customFormat="1" x14ac:dyDescent="0.25">
      <c r="A1549" s="103">
        <v>5005</v>
      </c>
      <c r="B1549" s="38" t="str">
        <f>IF($A1549=0,"",VLOOKUP($A1549,'BASE MATERIAL'!$A:$D,2))</f>
        <v>AGUA</v>
      </c>
      <c r="C1549" s="2"/>
      <c r="D1549" s="77"/>
      <c r="E1549" s="78" t="str">
        <f>IF($A1549=0,"",VLOOKUP($A1549,'BASE MATERIAL'!$A:$D,3))</f>
        <v>LT</v>
      </c>
      <c r="F1549" s="55">
        <f>ROUND(26*F1546,2)</f>
        <v>15.6</v>
      </c>
      <c r="G1549" s="80">
        <f>IF($A1549=0,"",VLOOKUP($A1549,'BASE MATERIAL'!$A:$D,4))</f>
        <v>2E-3</v>
      </c>
      <c r="H1549" s="56">
        <f t="shared" si="139"/>
        <v>0.03</v>
      </c>
      <c r="I1549" s="5"/>
    </row>
    <row r="1550" spans="1:16" s="4" customFormat="1" x14ac:dyDescent="0.25">
      <c r="A1550" s="103">
        <v>4001</v>
      </c>
      <c r="B1550" s="38" t="str">
        <f>IF($A1550=0,"",VLOOKUP($A1550,'BASE MATERIAL'!$A:$D,2))</f>
        <v>CEMENTO</v>
      </c>
      <c r="C1550" s="2"/>
      <c r="D1550" s="77"/>
      <c r="E1550" s="78" t="str">
        <f>IF($A1550=0,"",VLOOKUP($A1550,'BASE MATERIAL'!$A:$D,3))</f>
        <v>SACO</v>
      </c>
      <c r="F1550" s="55">
        <f>ROUND(8*0.09*0.025*10*1.1,3)*2</f>
        <v>0.39600000000000002</v>
      </c>
      <c r="G1550" s="55">
        <f>IF($A1550=0,"",VLOOKUP($A1550,'BASE MATERIAL'!$A:$D,4))</f>
        <v>7.09</v>
      </c>
      <c r="H1550" s="56">
        <f t="shared" si="139"/>
        <v>2.81</v>
      </c>
      <c r="I1550" s="5"/>
      <c r="L1550" s="5"/>
      <c r="M1550" s="5"/>
      <c r="N1550" s="160"/>
      <c r="O1550" s="5"/>
      <c r="P1550" s="5"/>
    </row>
    <row r="1551" spans="1:16" s="4" customFormat="1" x14ac:dyDescent="0.25">
      <c r="A1551" s="103">
        <v>5004</v>
      </c>
      <c r="B1551" s="38" t="str">
        <f>IF($A1551=0,"",VLOOKUP($A1551,'BASE MATERIAL'!$A:$D,2))</f>
        <v>ARENA</v>
      </c>
      <c r="C1551" s="2"/>
      <c r="D1551" s="77"/>
      <c r="E1551" s="78" t="str">
        <f>IF($A1551=0,"",VLOOKUP($A1551,'BASE MATERIAL'!$A:$D,3))</f>
        <v>M3</v>
      </c>
      <c r="F1551" s="55">
        <f>ROUND(F1550*0.032*3,2)</f>
        <v>0.04</v>
      </c>
      <c r="G1551" s="55">
        <f>IF($A1551=0,"",VLOOKUP($A1551,'BASE MATERIAL'!$A:$D,4))</f>
        <v>12.276249999999999</v>
      </c>
      <c r="H1551" s="56">
        <f t="shared" si="139"/>
        <v>0.49</v>
      </c>
      <c r="I1551" s="5"/>
      <c r="L1551" s="5"/>
      <c r="M1551" s="5"/>
      <c r="N1551" s="160"/>
      <c r="O1551" s="5"/>
      <c r="P1551" s="5"/>
    </row>
    <row r="1552" spans="1:16" s="4" customFormat="1" x14ac:dyDescent="0.25">
      <c r="A1552" s="103">
        <v>5005</v>
      </c>
      <c r="B1552" s="38" t="str">
        <f>IF($A1552=0,"",VLOOKUP($A1552,'BASE MATERIAL'!$A:$D,2))</f>
        <v>AGUA</v>
      </c>
      <c r="C1552" s="2"/>
      <c r="D1552" s="77"/>
      <c r="E1552" s="78" t="str">
        <f>IF($A1552=0,"",VLOOKUP($A1552,'BASE MATERIAL'!$A:$D,3))</f>
        <v>LT</v>
      </c>
      <c r="F1552" s="55">
        <f>ROUND(30*F1550,2)</f>
        <v>11.88</v>
      </c>
      <c r="G1552" s="80">
        <f>IF($A1552=0,"",VLOOKUP($A1552,'BASE MATERIAL'!$A:$D,4))</f>
        <v>2E-3</v>
      </c>
      <c r="H1552" s="56">
        <f t="shared" si="139"/>
        <v>0.02</v>
      </c>
      <c r="I1552" s="5"/>
      <c r="L1552" s="5"/>
      <c r="M1552" s="5"/>
      <c r="N1552" s="160"/>
      <c r="O1552" s="5"/>
      <c r="P1552" s="5"/>
    </row>
    <row r="1553" spans="1:16" s="4" customFormat="1" x14ac:dyDescent="0.25">
      <c r="A1553" s="103">
        <v>8004</v>
      </c>
      <c r="B1553" s="38" t="str">
        <f>IF($A1553=0,"",VLOOKUP($A1553,'BASE MATERIAL'!$A:$D,2))</f>
        <v>BLOQUE DE CONCRETO 9x19x39 PL9</v>
      </c>
      <c r="C1553" s="2"/>
      <c r="D1553" s="77"/>
      <c r="E1553" s="78" t="str">
        <f>IF($A1553=0,"",VLOOKUP($A1553,'BASE MATERIAL'!$A:$D,3))</f>
        <v>U</v>
      </c>
      <c r="F1553" s="55">
        <v>12.5</v>
      </c>
      <c r="G1553" s="55">
        <f>IF($A1553=0,"",VLOOKUP($A1553,'BASE MATERIAL'!$A:$D,4))</f>
        <v>0.4</v>
      </c>
      <c r="H1553" s="56">
        <f t="shared" si="139"/>
        <v>5</v>
      </c>
      <c r="I1553" s="5"/>
      <c r="L1553" s="5"/>
      <c r="M1553" s="5"/>
      <c r="N1553" s="160"/>
      <c r="O1553" s="5"/>
      <c r="P1553" s="5"/>
    </row>
    <row r="1554" spans="1:16" s="4" customFormat="1" x14ac:dyDescent="0.25">
      <c r="A1554" s="103">
        <v>1001</v>
      </c>
      <c r="B1554" s="38" t="str">
        <f>IF($A1554=0,"",VLOOKUP($A1554,'BASE MATERIAL'!$A:$D,2))</f>
        <v>HIERRO</v>
      </c>
      <c r="C1554" s="2"/>
      <c r="D1554" s="77"/>
      <c r="E1554" s="78" t="str">
        <f>IF($A1554=0,"",VLOOKUP($A1554,'BASE MATERIAL'!$A:$D,3))</f>
        <v>KG</v>
      </c>
      <c r="F1554" s="55">
        <v>0.3</v>
      </c>
      <c r="G1554" s="55">
        <f>IF($A1554=0,"",VLOOKUP($A1554,'BASE MATERIAL'!$A:$D,4))</f>
        <v>1.17</v>
      </c>
      <c r="H1554" s="56">
        <f t="shared" si="139"/>
        <v>0.35</v>
      </c>
      <c r="I1554" s="5"/>
      <c r="L1554" s="5"/>
      <c r="M1554" s="5"/>
      <c r="N1554" s="160"/>
      <c r="O1554" s="5"/>
      <c r="P1554" s="5"/>
    </row>
    <row r="1555" spans="1:16" s="4" customFormat="1" x14ac:dyDescent="0.25">
      <c r="A1555" s="103"/>
      <c r="B1555" s="38" t="str">
        <f>IF($A1555=0,"",VLOOKUP($A1555,'BASE MATERIAL'!$A:$D,2))</f>
        <v/>
      </c>
      <c r="C1555" s="2"/>
      <c r="D1555" s="77"/>
      <c r="E1555" s="78" t="str">
        <f>IF($A1555=0,"",VLOOKUP($A1555,'BASE MATERIAL'!$A:$D,3))</f>
        <v/>
      </c>
      <c r="F1555" s="55"/>
      <c r="G1555" s="55" t="str">
        <f>IF($A1555=0,"",VLOOKUP($A1555,'BASE MATERIAL'!$A:$D,4))</f>
        <v/>
      </c>
      <c r="H1555" s="56" t="str">
        <f t="shared" si="139"/>
        <v/>
      </c>
      <c r="I1555" s="5"/>
      <c r="L1555" s="5"/>
      <c r="M1555" s="5"/>
      <c r="N1555" s="160"/>
      <c r="O1555" s="5"/>
      <c r="P1555" s="5"/>
    </row>
    <row r="1556" spans="1:16" s="4" customFormat="1" x14ac:dyDescent="0.25">
      <c r="A1556" s="103"/>
      <c r="B1556" s="38" t="str">
        <f>IF($A1556=0,"",VLOOKUP($A1556,'BASE MATERIAL'!$A:$D,2))</f>
        <v/>
      </c>
      <c r="C1556" s="2"/>
      <c r="D1556" s="81" t="s">
        <v>1682</v>
      </c>
      <c r="E1556" s="55" t="str">
        <f>IF($A1556=0,"",VLOOKUP($A1556,'BASE MATERIAL'!$A:$D,3))</f>
        <v/>
      </c>
      <c r="F1556" s="55" t="s">
        <v>1682</v>
      </c>
      <c r="G1556" s="55" t="str">
        <f>IF($A1556=0,"",VLOOKUP($A1556,'BASE MATERIAL'!$A:$D,4))</f>
        <v/>
      </c>
      <c r="H1556" s="56" t="str">
        <f>IF($A1556=0,"",ROUND(E1556*F1556,2))</f>
        <v/>
      </c>
      <c r="I1556" s="5"/>
    </row>
    <row r="1557" spans="1:16" s="4" customFormat="1" x14ac:dyDescent="0.25">
      <c r="A1557" s="103"/>
      <c r="B1557" s="73" t="s">
        <v>1681</v>
      </c>
      <c r="C1557" s="65"/>
      <c r="D1557" s="74"/>
      <c r="E1557" s="74"/>
      <c r="F1557" s="74"/>
      <c r="G1557" s="74"/>
      <c r="H1557" s="75">
        <f>ROUND(SUM(H1540:H1556),2)</f>
        <v>32.65</v>
      </c>
      <c r="I1557" s="5"/>
    </row>
    <row r="1558" spans="1:16" s="4" customFormat="1" x14ac:dyDescent="0.25">
      <c r="A1558" s="103"/>
      <c r="B1558" s="38" t="s">
        <v>1680</v>
      </c>
      <c r="C1558" s="2"/>
      <c r="D1558" s="3"/>
      <c r="E1558" s="3"/>
      <c r="F1558" s="3"/>
      <c r="G1558" s="3"/>
      <c r="H1558" s="56"/>
      <c r="I1558" s="5"/>
    </row>
    <row r="1559" spans="1:16" ht="25.5" x14ac:dyDescent="0.25">
      <c r="B1559" s="64" t="s">
        <v>1409</v>
      </c>
      <c r="C1559" s="65"/>
      <c r="D1559" s="76"/>
      <c r="E1559" s="66" t="s">
        <v>1408</v>
      </c>
      <c r="F1559" s="66" t="s">
        <v>1679</v>
      </c>
      <c r="G1559" s="66" t="s">
        <v>1676</v>
      </c>
      <c r="H1559" s="68" t="s">
        <v>1675</v>
      </c>
      <c r="I1559" s="2"/>
    </row>
    <row r="1560" spans="1:16" s="4" customFormat="1" x14ac:dyDescent="0.25">
      <c r="A1560" s="103">
        <v>19019</v>
      </c>
      <c r="B1560" s="51" t="str">
        <f>IF($A1560=0,"",VLOOKUP($A1560,'BASE EQUIPO'!$A:$D,2))</f>
        <v>TRANSPORTE DE MATERIAL</v>
      </c>
      <c r="C1560" s="52"/>
      <c r="D1560" s="82"/>
      <c r="E1560" s="78" t="str">
        <f>IF($A1560=0,"",VLOOKUP($A1560,'BASE EQUIPO'!$A:$D,3))</f>
        <v>GLOBAL</v>
      </c>
      <c r="F1560" s="55">
        <v>1</v>
      </c>
      <c r="G1560" s="83">
        <f>IF($A1560=0,"",VLOOKUP($A1560,'BASE EQUIPO'!$A:$D,4)*H1557)</f>
        <v>0.97949999999999993</v>
      </c>
      <c r="H1560" s="56">
        <f>IF($A1560=0,"",ROUND(F1560*G1560,2))</f>
        <v>0.98</v>
      </c>
      <c r="I1560" s="5"/>
    </row>
    <row r="1561" spans="1:16" s="4" customFormat="1" x14ac:dyDescent="0.25">
      <c r="A1561" s="103"/>
      <c r="B1561" s="38" t="str">
        <f>IF($A1561=0,"",VLOOKUP($A1561,'BASE EQUIPO'!$A:$D,2))</f>
        <v/>
      </c>
      <c r="C1561" s="2"/>
      <c r="D1561" s="84"/>
      <c r="E1561" s="78" t="str">
        <f>IF($A1561=0,"",VLOOKUP($A1561,'BASE EQUIPO'!$A:$D,3))</f>
        <v/>
      </c>
      <c r="F1561" s="55"/>
      <c r="G1561" s="55" t="str">
        <f>IF($A1561=0,"",VLOOKUP($A1561,'BASE EQUIPO'!$A:$D,4)*H1558)</f>
        <v/>
      </c>
      <c r="H1561" s="56" t="str">
        <f>IF($A1561=0,"",ROUND(F1561*G1561,2))</f>
        <v/>
      </c>
      <c r="I1561" s="5"/>
    </row>
    <row r="1562" spans="1:16" s="4" customFormat="1" x14ac:dyDescent="0.25">
      <c r="A1562" s="103"/>
      <c r="B1562" s="57" t="str">
        <f>IF($A1562=0,"",VLOOKUP($A1562,'BASE EQUIPO'!$A:$D,2))</f>
        <v/>
      </c>
      <c r="C1562" s="58"/>
      <c r="D1562" s="85"/>
      <c r="E1562" s="86" t="str">
        <f>IF($A1562=0,"",VLOOKUP($A1562,'BASE EQUIPO'!$A:$D,3))</f>
        <v/>
      </c>
      <c r="F1562" s="59"/>
      <c r="G1562" s="59" t="str">
        <f>IF($A1562=0,"",VLOOKUP($A1562,'BASE EQUIPO'!$A:$D,4)*H1559)</f>
        <v/>
      </c>
      <c r="H1562" s="60" t="str">
        <f>IF($A1562=0,"",ROUND(F1562*G1562,2))</f>
        <v/>
      </c>
      <c r="I1562" s="5"/>
    </row>
    <row r="1563" spans="1:16" s="4" customFormat="1" ht="15.75" thickBot="1" x14ac:dyDescent="0.3">
      <c r="A1563" s="103"/>
      <c r="B1563" s="87" t="s">
        <v>1674</v>
      </c>
      <c r="C1563" s="88"/>
      <c r="D1563" s="89"/>
      <c r="E1563" s="89"/>
      <c r="F1563" s="89"/>
      <c r="G1563" s="89"/>
      <c r="H1563" s="90">
        <f>ROUND(SUM(H1559:H1562),2)</f>
        <v>0.98</v>
      </c>
      <c r="I1563" s="5"/>
    </row>
    <row r="1564" spans="1:16" s="4" customFormat="1" ht="15.75" x14ac:dyDescent="0.25">
      <c r="A1564" s="103"/>
      <c r="B1564" s="2"/>
      <c r="C1564" s="2"/>
      <c r="D1564" s="91" t="s">
        <v>1673</v>
      </c>
      <c r="E1564" s="177"/>
      <c r="F1564" s="177"/>
      <c r="G1564" s="177"/>
      <c r="H1564" s="92">
        <f>ROUND(SUM(H1563,H1557,H1538,H1528),2)</f>
        <v>96.15</v>
      </c>
      <c r="I1564" s="5"/>
    </row>
    <row r="1565" spans="1:16" s="4" customFormat="1" ht="15.75" x14ac:dyDescent="0.25">
      <c r="A1565" s="103">
        <v>40002</v>
      </c>
      <c r="B1565" s="2"/>
      <c r="C1565" s="2"/>
      <c r="D1565" s="93" t="s">
        <v>1672</v>
      </c>
      <c r="E1565" s="166"/>
      <c r="F1565" s="166"/>
      <c r="G1565" s="178">
        <f>IF($A1565=0,"",VLOOKUP($A1565,'BASE MATERIAL'!$M:$P,4))</f>
        <v>0</v>
      </c>
      <c r="H1565" s="95">
        <f>IF($A1565=0,"",ROUND(G1565*H1564,2))</f>
        <v>0</v>
      </c>
      <c r="I1565" s="5"/>
    </row>
    <row r="1566" spans="1:16" s="4" customFormat="1" ht="15.75" x14ac:dyDescent="0.25">
      <c r="A1566" s="103">
        <v>40003</v>
      </c>
      <c r="B1566" s="2"/>
      <c r="C1566" s="2"/>
      <c r="D1566" s="93" t="s">
        <v>1671</v>
      </c>
      <c r="E1566" s="166"/>
      <c r="F1566" s="166"/>
      <c r="G1566" s="178">
        <f>IF($A1566=0,"",VLOOKUP($A1566,'BASE MATERIAL'!$M:$P,4))</f>
        <v>0</v>
      </c>
      <c r="H1566" s="95">
        <f>IF($A1566=0,"",ROUND(G1566*H1564,2))</f>
        <v>0</v>
      </c>
      <c r="I1566" s="5"/>
    </row>
    <row r="1567" spans="1:16" s="4" customFormat="1" ht="15.75" x14ac:dyDescent="0.25">
      <c r="A1567" s="103"/>
      <c r="B1567" s="2"/>
      <c r="C1567" s="2"/>
      <c r="D1567" s="93" t="s">
        <v>1670</v>
      </c>
      <c r="E1567" s="166"/>
      <c r="F1567" s="166"/>
      <c r="G1567" s="166"/>
      <c r="H1567" s="96">
        <f>ROUND(SUM(H1564:H1566),2)</f>
        <v>96.15</v>
      </c>
      <c r="I1567" s="5"/>
    </row>
    <row r="1568" spans="1:16" s="4" customFormat="1" ht="16.5" thickBot="1" x14ac:dyDescent="0.3">
      <c r="A1568" s="103"/>
      <c r="B1568" s="25"/>
      <c r="C1568" s="5"/>
      <c r="D1568" s="97" t="s">
        <v>1650</v>
      </c>
      <c r="E1568" s="179"/>
      <c r="F1568" s="179"/>
      <c r="G1568" s="179"/>
      <c r="H1568" s="98">
        <f>ROUND(H1567,2)</f>
        <v>96.15</v>
      </c>
      <c r="I1568" s="5"/>
    </row>
    <row r="1569" spans="1:15" ht="15.75" x14ac:dyDescent="0.25">
      <c r="B1569" s="34" t="s">
        <v>1701</v>
      </c>
      <c r="C1569" s="5"/>
      <c r="D1569" s="157" t="str">
        <f>$D$113</f>
        <v>ESPOL</v>
      </c>
      <c r="E1569" s="2"/>
      <c r="F1569" s="2"/>
      <c r="H1569" s="2" t="s">
        <v>108</v>
      </c>
      <c r="I1569" s="2"/>
      <c r="L1569" s="40">
        <f>A1573</f>
        <v>26</v>
      </c>
      <c r="M1569" s="1" t="str">
        <f>C1574</f>
        <v>Meson de h. armado en Recepcion de documentos (inc. Enlucido)</v>
      </c>
      <c r="N1569" s="2" t="str">
        <f>H1573</f>
        <v>ml</v>
      </c>
      <c r="O1569" s="2">
        <f>H1624</f>
        <v>108.3</v>
      </c>
    </row>
    <row r="1570" spans="1:15" s="4" customFormat="1" ht="15.75" x14ac:dyDescent="0.25">
      <c r="A1570" s="103"/>
      <c r="B1570" s="34" t="s">
        <v>1700</v>
      </c>
      <c r="C1570" s="3">
        <f>'1.1'!$C$2</f>
        <v>0</v>
      </c>
      <c r="D1570" s="5"/>
      <c r="E1570" s="5"/>
      <c r="F1570" s="5"/>
      <c r="G1570" s="158" t="s">
        <v>1699</v>
      </c>
      <c r="H1570" s="159"/>
      <c r="I1570" s="5" t="s">
        <v>1698</v>
      </c>
    </row>
    <row r="1571" spans="1:15" s="4" customFormat="1" ht="15.75" x14ac:dyDescent="0.25">
      <c r="A1571" s="103"/>
      <c r="B1571" s="34"/>
      <c r="C1571" s="3">
        <f>'1.1'!$C$3</f>
        <v>0</v>
      </c>
      <c r="D1571" s="5"/>
      <c r="E1571" s="5"/>
      <c r="F1571" s="5"/>
      <c r="G1571" s="5"/>
      <c r="H1571" s="5"/>
      <c r="I1571" s="5"/>
    </row>
    <row r="1572" spans="1:15" s="4" customFormat="1" ht="15.75" x14ac:dyDescent="0.25">
      <c r="A1572" s="103"/>
      <c r="B1572" s="34" t="s">
        <v>1697</v>
      </c>
      <c r="C1572" s="3"/>
      <c r="D1572" s="5"/>
      <c r="E1572" s="5"/>
      <c r="F1572" s="5"/>
      <c r="G1572" s="5"/>
      <c r="H1572" s="5"/>
      <c r="I1572" s="5"/>
    </row>
    <row r="1573" spans="1:15" x14ac:dyDescent="0.25">
      <c r="A1573" s="104">
        <v>26</v>
      </c>
      <c r="B1573" s="2" t="s">
        <v>1586</v>
      </c>
      <c r="C1573" s="36"/>
      <c r="D1573" s="5"/>
      <c r="E1573" s="4"/>
      <c r="F1573" s="4"/>
      <c r="G1573" s="5" t="s">
        <v>1696</v>
      </c>
      <c r="H1573" s="157" t="s">
        <v>961</v>
      </c>
      <c r="I1573" s="2"/>
    </row>
    <row r="1574" spans="1:15" s="4" customFormat="1" x14ac:dyDescent="0.25">
      <c r="A1574" s="103"/>
      <c r="B1574" s="1" t="s">
        <v>1585</v>
      </c>
      <c r="C1574" s="36" t="s">
        <v>593</v>
      </c>
      <c r="D1574" s="5"/>
      <c r="E1574" s="5"/>
      <c r="F1574" s="5"/>
      <c r="G1574" s="5"/>
      <c r="H1574" s="5"/>
      <c r="I1574" s="5"/>
    </row>
    <row r="1575" spans="1:15" ht="15.75" thickBot="1" x14ac:dyDescent="0.3">
      <c r="D1575" s="2"/>
      <c r="E1575" s="2"/>
      <c r="F1575" s="2"/>
      <c r="G1575" s="2"/>
      <c r="H1575" s="2"/>
      <c r="I1575" s="2"/>
    </row>
    <row r="1576" spans="1:15" ht="15.75" thickBot="1" x14ac:dyDescent="0.3">
      <c r="B1576" s="43" t="s">
        <v>1695</v>
      </c>
      <c r="C1576" s="44"/>
      <c r="D1576" s="44"/>
      <c r="E1576" s="44"/>
      <c r="F1576" s="44"/>
      <c r="G1576" s="44"/>
      <c r="H1576" s="45"/>
      <c r="I1576" s="2"/>
    </row>
    <row r="1577" spans="1:15" ht="25.5" x14ac:dyDescent="0.25">
      <c r="B1577" s="46" t="s">
        <v>1409</v>
      </c>
      <c r="C1577" s="47"/>
      <c r="D1577" s="48" t="s">
        <v>1690</v>
      </c>
      <c r="E1577" s="48" t="s">
        <v>1694</v>
      </c>
      <c r="F1577" s="48" t="s">
        <v>1693</v>
      </c>
      <c r="G1577" s="49" t="s">
        <v>1687</v>
      </c>
      <c r="H1577" s="50" t="s">
        <v>1686</v>
      </c>
      <c r="I1577" s="2"/>
    </row>
    <row r="1578" spans="1:15" s="4" customFormat="1" x14ac:dyDescent="0.25">
      <c r="A1578" s="103">
        <v>19015</v>
      </c>
      <c r="B1578" s="51" t="str">
        <f>IF($A1578=0,"",VLOOKUP($A1578,'BASE EQUIPO'!$A:$D,2))</f>
        <v>HERRAMIENTA MENOR</v>
      </c>
      <c r="C1578" s="52"/>
      <c r="D1578" s="53">
        <v>1</v>
      </c>
      <c r="E1578" s="53">
        <f>IF($A1578=0,"",VLOOKUP($A1578,'BASE EQUIPO'!$A:$D,4)*H1594)</f>
        <v>2.1242999999999999</v>
      </c>
      <c r="F1578" s="53">
        <f t="shared" ref="F1578:F1583" si="140">IF($A1578=0,"",ROUND(D1578*E1578,2))</f>
        <v>2.12</v>
      </c>
      <c r="G1578" s="105">
        <v>1</v>
      </c>
      <c r="H1578" s="54">
        <f t="shared" ref="H1578:H1583" si="141">IF($A1578=0,"",ROUND(G1578*F1578,2))</f>
        <v>2.12</v>
      </c>
      <c r="I1578" s="5"/>
    </row>
    <row r="1579" spans="1:15" s="4" customFormat="1" x14ac:dyDescent="0.25">
      <c r="A1579" s="103"/>
      <c r="B1579" s="38" t="str">
        <f>IF($A1579=0,"",VLOOKUP($A1579,'BASE EQUIPO'!$A:$D,2))</f>
        <v/>
      </c>
      <c r="C1579" s="2"/>
      <c r="D1579" s="55"/>
      <c r="E1579" s="55" t="str">
        <f>IF($A1579=0,"",VLOOKUP($A1579,'BASE EQUIPO'!$A:$D,4))</f>
        <v/>
      </c>
      <c r="F1579" s="55" t="str">
        <f t="shared" si="140"/>
        <v/>
      </c>
      <c r="G1579" s="106"/>
      <c r="H1579" s="56" t="str">
        <f t="shared" si="141"/>
        <v/>
      </c>
      <c r="I1579" s="5"/>
    </row>
    <row r="1580" spans="1:15" s="4" customFormat="1" x14ac:dyDescent="0.25">
      <c r="A1580" s="103"/>
      <c r="B1580" s="38" t="str">
        <f>IF($A1580=0,"",VLOOKUP($A1580,'BASE EQUIPO'!$A:$D,2))</f>
        <v/>
      </c>
      <c r="C1580" s="2"/>
      <c r="D1580" s="55"/>
      <c r="E1580" s="55" t="str">
        <f>IF($A1580=0,"",VLOOKUP($A1580,'BASE EQUIPO'!$A:$D,4))</f>
        <v/>
      </c>
      <c r="F1580" s="55" t="str">
        <f t="shared" si="140"/>
        <v/>
      </c>
      <c r="G1580" s="106"/>
      <c r="H1580" s="56" t="str">
        <f t="shared" si="141"/>
        <v/>
      </c>
      <c r="I1580" s="5"/>
    </row>
    <row r="1581" spans="1:15" s="4" customFormat="1" x14ac:dyDescent="0.25">
      <c r="A1581" s="103"/>
      <c r="B1581" s="38" t="str">
        <f>IF($A1581=0,"",VLOOKUP($A1581,'BASE EQUIPO'!$A:$D,2))</f>
        <v/>
      </c>
      <c r="C1581" s="2"/>
      <c r="D1581" s="55"/>
      <c r="E1581" s="55" t="str">
        <f>IF($A1581=0,"",VLOOKUP($A1581,'BASE EQUIPO'!$A:$D,4))</f>
        <v/>
      </c>
      <c r="F1581" s="55" t="str">
        <f t="shared" si="140"/>
        <v/>
      </c>
      <c r="G1581" s="106"/>
      <c r="H1581" s="56" t="str">
        <f t="shared" si="141"/>
        <v/>
      </c>
      <c r="I1581" s="5"/>
    </row>
    <row r="1582" spans="1:15" s="4" customFormat="1" x14ac:dyDescent="0.25">
      <c r="A1582" s="103"/>
      <c r="B1582" s="38" t="str">
        <f>IF($A1582=0,"",VLOOKUP($A1582,'BASE EQUIPO'!$A:$D,2))</f>
        <v/>
      </c>
      <c r="C1582" s="2"/>
      <c r="D1582" s="55"/>
      <c r="E1582" s="55" t="str">
        <f>IF($A1582=0,"",VLOOKUP($A1582,'BASE EQUIPO'!$A:$D,4))</f>
        <v/>
      </c>
      <c r="F1582" s="55" t="str">
        <f t="shared" si="140"/>
        <v/>
      </c>
      <c r="G1582" s="106"/>
      <c r="H1582" s="56" t="str">
        <f t="shared" si="141"/>
        <v/>
      </c>
      <c r="I1582" s="5"/>
    </row>
    <row r="1583" spans="1:15" s="4" customFormat="1" x14ac:dyDescent="0.25">
      <c r="A1583" s="103"/>
      <c r="B1583" s="57" t="str">
        <f>IF($A1583=0,"",VLOOKUP($A1583,'BASE EQUIPO'!$A:$D,2))</f>
        <v/>
      </c>
      <c r="C1583" s="58"/>
      <c r="D1583" s="59"/>
      <c r="E1583" s="59" t="str">
        <f>IF($A1583=0,"",VLOOKUP($A1583,'BASE EQUIPO'!$A:$D,4))</f>
        <v/>
      </c>
      <c r="F1583" s="59" t="str">
        <f t="shared" si="140"/>
        <v/>
      </c>
      <c r="G1583" s="107"/>
      <c r="H1583" s="60" t="str">
        <f t="shared" si="141"/>
        <v/>
      </c>
      <c r="I1583" s="5"/>
    </row>
    <row r="1584" spans="1:15" s="4" customFormat="1" x14ac:dyDescent="0.25">
      <c r="A1584" s="103"/>
      <c r="B1584" s="57" t="s">
        <v>1692</v>
      </c>
      <c r="C1584" s="58"/>
      <c r="D1584" s="61"/>
      <c r="E1584" s="61"/>
      <c r="F1584" s="61"/>
      <c r="G1584" s="62"/>
      <c r="H1584" s="60">
        <f>ROUND(SUM(H1577:H1583),2)</f>
        <v>2.12</v>
      </c>
      <c r="I1584" s="5"/>
    </row>
    <row r="1585" spans="1:16" s="4" customFormat="1" x14ac:dyDescent="0.25">
      <c r="A1585" s="103"/>
      <c r="B1585" s="38" t="s">
        <v>1503</v>
      </c>
      <c r="C1585" s="2"/>
      <c r="D1585" s="3"/>
      <c r="E1585" s="3"/>
      <c r="F1585" s="3"/>
      <c r="G1585" s="63"/>
      <c r="H1585" s="56"/>
      <c r="I1585" s="5"/>
    </row>
    <row r="1586" spans="1:16" ht="25.5" x14ac:dyDescent="0.25">
      <c r="B1586" s="64" t="s">
        <v>1691</v>
      </c>
      <c r="C1586" s="65"/>
      <c r="D1586" s="66" t="s">
        <v>1690</v>
      </c>
      <c r="E1586" s="66" t="s">
        <v>1689</v>
      </c>
      <c r="F1586" s="66" t="s">
        <v>1688</v>
      </c>
      <c r="G1586" s="67" t="s">
        <v>1687</v>
      </c>
      <c r="H1586" s="68" t="s">
        <v>1686</v>
      </c>
      <c r="I1586" s="2"/>
    </row>
    <row r="1587" spans="1:16" s="4" customFormat="1" x14ac:dyDescent="0.25">
      <c r="A1587" s="103">
        <v>20001</v>
      </c>
      <c r="B1587" s="69" t="str">
        <f>IF($A1587=0,"",VLOOKUP($A1587,'BASE M-OBRA'!$A:$D,2))</f>
        <v>MAESTRO</v>
      </c>
      <c r="C1587" s="2"/>
      <c r="D1587" s="108">
        <v>1</v>
      </c>
      <c r="E1587" s="70">
        <f>IF($A1587=0,"",VLOOKUP($A1587,'BASE M-OBRA'!$A:$D,4))</f>
        <v>3.02</v>
      </c>
      <c r="F1587" s="55">
        <f t="shared" ref="F1587:F1593" si="142">IF($A1587=0,"",ROUND(D1587*E1587,2))</f>
        <v>3.02</v>
      </c>
      <c r="G1587" s="106">
        <f>IF($A1587=0,"",ROUND(H1587/F1587,2))</f>
        <v>3.91</v>
      </c>
      <c r="H1587" s="56">
        <f>IF($A1587=0,"",ROUND(SUM(H1588:H1593)*'BASE M-OBRA'!$D$23,2))</f>
        <v>11.8</v>
      </c>
      <c r="I1587" s="5"/>
    </row>
    <row r="1588" spans="1:16" s="4" customFormat="1" x14ac:dyDescent="0.25">
      <c r="A1588" s="103">
        <v>20002</v>
      </c>
      <c r="B1588" s="69" t="str">
        <f>IF($A1588=0,"",VLOOKUP($A1588,'BASE M-OBRA'!$A:$D,2))</f>
        <v>PEON</v>
      </c>
      <c r="C1588" s="2"/>
      <c r="D1588" s="108">
        <v>1</v>
      </c>
      <c r="E1588" s="70">
        <f>IF($A1588=0,"",VLOOKUP($A1588,'BASE M-OBRA'!$A:$D,4))</f>
        <v>2.79</v>
      </c>
      <c r="F1588" s="55">
        <f t="shared" si="142"/>
        <v>2.79</v>
      </c>
      <c r="G1588" s="106">
        <v>7</v>
      </c>
      <c r="H1588" s="56">
        <f t="shared" ref="H1588:H1593" si="143">IF($A1588=0,"",ROUND(G1588*F1588,2))</f>
        <v>19.53</v>
      </c>
      <c r="I1588" s="5"/>
    </row>
    <row r="1589" spans="1:16" s="4" customFormat="1" x14ac:dyDescent="0.25">
      <c r="A1589" s="103">
        <v>20003</v>
      </c>
      <c r="B1589" s="69" t="str">
        <f>IF($A1589=0,"",VLOOKUP($A1589,'BASE M-OBRA'!$A:$D,2))</f>
        <v>ALBAÑIL</v>
      </c>
      <c r="C1589" s="2"/>
      <c r="D1589" s="108">
        <v>2</v>
      </c>
      <c r="E1589" s="70">
        <f>IF($A1589=0,"",VLOOKUP($A1589,'BASE M-OBRA'!$A:$D,4))</f>
        <v>2.82</v>
      </c>
      <c r="F1589" s="55">
        <f t="shared" si="142"/>
        <v>5.64</v>
      </c>
      <c r="G1589" s="106">
        <f>+G1588</f>
        <v>7</v>
      </c>
      <c r="H1589" s="56">
        <f t="shared" si="143"/>
        <v>39.479999999999997</v>
      </c>
      <c r="I1589" s="5"/>
    </row>
    <row r="1590" spans="1:16" s="4" customFormat="1" x14ac:dyDescent="0.25">
      <c r="A1590" s="103"/>
      <c r="B1590" s="71" t="str">
        <f>IF($A1590=0,"",VLOOKUP($A1590,'BASE M-OBRA'!$A:$D,2))</f>
        <v/>
      </c>
      <c r="C1590" s="2"/>
      <c r="D1590" s="108"/>
      <c r="E1590" s="70" t="str">
        <f>IF($A1590=0,"",VLOOKUP($A1590,'BASE M-OBRA'!$A:$D,4))</f>
        <v/>
      </c>
      <c r="F1590" s="55" t="str">
        <f t="shared" si="142"/>
        <v/>
      </c>
      <c r="G1590" s="106"/>
      <c r="H1590" s="56" t="str">
        <f t="shared" si="143"/>
        <v/>
      </c>
      <c r="I1590" s="5"/>
    </row>
    <row r="1591" spans="1:16" s="4" customFormat="1" x14ac:dyDescent="0.25">
      <c r="A1591" s="103"/>
      <c r="B1591" s="72" t="str">
        <f>IF($A1591=0,"",VLOOKUP($A1591,'BASE M-OBRA'!$A:$D,2))</f>
        <v/>
      </c>
      <c r="C1591" s="2"/>
      <c r="D1591" s="108"/>
      <c r="E1591" s="70" t="str">
        <f>IF($A1591=0,"",VLOOKUP($A1591,'BASE M-OBRA'!$A:$D,4))</f>
        <v/>
      </c>
      <c r="F1591" s="55" t="str">
        <f t="shared" si="142"/>
        <v/>
      </c>
      <c r="G1591" s="106"/>
      <c r="H1591" s="56" t="str">
        <f t="shared" si="143"/>
        <v/>
      </c>
      <c r="I1591" s="5"/>
    </row>
    <row r="1592" spans="1:16" s="4" customFormat="1" x14ac:dyDescent="0.25">
      <c r="A1592" s="103"/>
      <c r="B1592" s="38" t="str">
        <f>IF($A1592=0,"",VLOOKUP($A1592,'BASE M-OBRA'!$A:$D,2))</f>
        <v/>
      </c>
      <c r="C1592" s="2"/>
      <c r="D1592" s="55"/>
      <c r="E1592" s="55" t="str">
        <f>IF($A1592=0,"",VLOOKUP($A1592,'BASE M-OBRA'!$A:$D,4))</f>
        <v/>
      </c>
      <c r="F1592" s="55" t="str">
        <f t="shared" si="142"/>
        <v/>
      </c>
      <c r="G1592" s="106"/>
      <c r="H1592" s="56" t="str">
        <f t="shared" si="143"/>
        <v/>
      </c>
      <c r="I1592" s="5"/>
    </row>
    <row r="1593" spans="1:16" s="4" customFormat="1" x14ac:dyDescent="0.25">
      <c r="A1593" s="103"/>
      <c r="B1593" s="57" t="str">
        <f>IF($A1593=0,"",VLOOKUP($A1593,'BASE M-OBRA'!$A:$D,2))</f>
        <v/>
      </c>
      <c r="C1593" s="58"/>
      <c r="D1593" s="59"/>
      <c r="E1593" s="59" t="str">
        <f>IF($A1593=0,"",VLOOKUP($A1593,'BASE M-OBRA'!$A:$D,4))</f>
        <v/>
      </c>
      <c r="F1593" s="59" t="str">
        <f t="shared" si="142"/>
        <v/>
      </c>
      <c r="G1593" s="107"/>
      <c r="H1593" s="60" t="str">
        <f t="shared" si="143"/>
        <v/>
      </c>
      <c r="I1593" s="5"/>
    </row>
    <row r="1594" spans="1:16" s="4" customFormat="1" x14ac:dyDescent="0.25">
      <c r="A1594" s="103"/>
      <c r="B1594" s="73" t="s">
        <v>1685</v>
      </c>
      <c r="C1594" s="65"/>
      <c r="D1594" s="74"/>
      <c r="E1594" s="74"/>
      <c r="F1594" s="74"/>
      <c r="G1594" s="74"/>
      <c r="H1594" s="75">
        <f>ROUND(SUM(H1586:H1593),2)</f>
        <v>70.81</v>
      </c>
      <c r="I1594" s="5"/>
    </row>
    <row r="1595" spans="1:16" s="4" customFormat="1" x14ac:dyDescent="0.25">
      <c r="A1595" s="103"/>
      <c r="B1595" s="38" t="s">
        <v>1684</v>
      </c>
      <c r="C1595" s="2"/>
      <c r="D1595" s="3"/>
      <c r="E1595" s="3"/>
      <c r="F1595" s="3"/>
      <c r="G1595" s="3"/>
      <c r="H1595" s="56"/>
      <c r="I1595" s="5"/>
    </row>
    <row r="1596" spans="1:16" ht="25.5" x14ac:dyDescent="0.25">
      <c r="B1596" s="64" t="s">
        <v>1409</v>
      </c>
      <c r="C1596" s="65"/>
      <c r="D1596" s="76"/>
      <c r="E1596" s="66" t="s">
        <v>1408</v>
      </c>
      <c r="F1596" s="66" t="s">
        <v>1679</v>
      </c>
      <c r="G1596" s="66" t="s">
        <v>1683</v>
      </c>
      <c r="H1596" s="68" t="s">
        <v>1675</v>
      </c>
      <c r="I1596" s="2"/>
    </row>
    <row r="1597" spans="1:16" s="4" customFormat="1" x14ac:dyDescent="0.25">
      <c r="A1597" s="103">
        <v>11011</v>
      </c>
      <c r="B1597" s="37" t="str">
        <f>IF($A1597=0,"",VLOOKUP($A1597,'BASE MATERIAL'!$A:$D,2))</f>
        <v>PLYWOOD ENCOFRADO 15 MM</v>
      </c>
      <c r="C1597" s="2"/>
      <c r="D1597" s="77"/>
      <c r="E1597" s="78" t="str">
        <f>IF($A1597=0,"",VLOOKUP($A1597,'BASE MATERIAL'!$A:$D,3))</f>
        <v>U</v>
      </c>
      <c r="F1597" s="55">
        <f>ROUND(0.7/(1.2*2.4*4),2)</f>
        <v>0.06</v>
      </c>
      <c r="G1597" s="55">
        <f>IF($A1597=0,"",VLOOKUP($A1597,'BASE MATERIAL'!$A:$D,4))</f>
        <v>37.799999999999997</v>
      </c>
      <c r="H1597" s="56">
        <f t="shared" ref="H1597:H1611" si="144">IF($A1597=0,"",ROUND(F1597*G1597,2))</f>
        <v>2.27</v>
      </c>
      <c r="I1597" s="5"/>
      <c r="L1597" s="5"/>
      <c r="M1597" s="5"/>
      <c r="N1597" s="160"/>
      <c r="O1597" s="5"/>
      <c r="P1597" s="5"/>
    </row>
    <row r="1598" spans="1:16" s="4" customFormat="1" x14ac:dyDescent="0.25">
      <c r="A1598" s="103">
        <v>11009</v>
      </c>
      <c r="B1598" s="38" t="str">
        <f>IF($A1598=0,"",VLOOKUP($A1598,'BASE MATERIAL'!$A:$D,2))</f>
        <v>CUARTON</v>
      </c>
      <c r="C1598" s="2"/>
      <c r="D1598" s="77"/>
      <c r="E1598" s="78" t="str">
        <f>IF($A1598=0,"",VLOOKUP($A1598,'BASE MATERIAL'!$A:$D,3))</f>
        <v>U</v>
      </c>
      <c r="F1598" s="55">
        <v>2.5</v>
      </c>
      <c r="G1598" s="55">
        <f>IF($A1598=0,"",VLOOKUP($A1598,'BASE MATERIAL'!$A:$D,4))</f>
        <v>2.42</v>
      </c>
      <c r="H1598" s="56">
        <f t="shared" si="144"/>
        <v>6.05</v>
      </c>
      <c r="I1598" s="5"/>
      <c r="L1598" s="5"/>
      <c r="M1598" s="5"/>
      <c r="N1598" s="160"/>
      <c r="O1598" s="5"/>
      <c r="P1598" s="5"/>
    </row>
    <row r="1599" spans="1:16" s="4" customFormat="1" x14ac:dyDescent="0.25">
      <c r="A1599" s="103">
        <v>11007</v>
      </c>
      <c r="B1599" s="38" t="str">
        <f>IF($A1599=0,"",VLOOKUP($A1599,'BASE MATERIAL'!$A:$D,2))</f>
        <v>CLAVO 2 1/2"</v>
      </c>
      <c r="C1599" s="2"/>
      <c r="D1599" s="77"/>
      <c r="E1599" s="78" t="str">
        <f>IF($A1599=0,"",VLOOKUP($A1599,'BASE MATERIAL'!$A:$D,3))</f>
        <v>KG</v>
      </c>
      <c r="F1599" s="55">
        <f>ROUND(0.7*56/(178*1.5),2)</f>
        <v>0.15</v>
      </c>
      <c r="G1599" s="55">
        <f>IF($A1599=0,"",VLOOKUP($A1599,'BASE MATERIAL'!$A:$D,4))</f>
        <v>2.6520000000000001</v>
      </c>
      <c r="H1599" s="56">
        <f t="shared" si="144"/>
        <v>0.4</v>
      </c>
      <c r="I1599" s="5"/>
      <c r="L1599" s="5"/>
      <c r="M1599" s="5"/>
      <c r="N1599" s="160"/>
      <c r="O1599" s="5"/>
      <c r="P1599" s="5"/>
    </row>
    <row r="1600" spans="1:16" s="4" customFormat="1" x14ac:dyDescent="0.25">
      <c r="A1600" s="103">
        <v>1001</v>
      </c>
      <c r="B1600" s="38" t="str">
        <f>IF($A1600=0,"",VLOOKUP($A1600,'BASE MATERIAL'!$A:$D,2))</f>
        <v>HIERRO</v>
      </c>
      <c r="C1600" s="2"/>
      <c r="D1600" s="77"/>
      <c r="E1600" s="78" t="str">
        <f>IF($A1600=0,"",VLOOKUP($A1600,'BASE MATERIAL'!$A:$D,3))</f>
        <v>KG</v>
      </c>
      <c r="F1600" s="55">
        <v>8</v>
      </c>
      <c r="G1600" s="55">
        <f>IF($A1600=0,"",VLOOKUP($A1600,'BASE MATERIAL'!$A:$D,4))</f>
        <v>1.17</v>
      </c>
      <c r="H1600" s="56">
        <f t="shared" si="144"/>
        <v>9.36</v>
      </c>
      <c r="I1600" s="5"/>
      <c r="L1600" s="5"/>
      <c r="M1600" s="5"/>
      <c r="N1600" s="160"/>
      <c r="O1600" s="5"/>
      <c r="P1600" s="5"/>
    </row>
    <row r="1601" spans="1:16" s="4" customFormat="1" x14ac:dyDescent="0.25">
      <c r="A1601" s="103">
        <v>11002</v>
      </c>
      <c r="B1601" s="38" t="str">
        <f>IF($A1601=0,"",VLOOKUP($A1601,'BASE MATERIAL'!$A:$D,2))</f>
        <v>ALAMBRE #18 RECOCIDO</v>
      </c>
      <c r="C1601" s="2"/>
      <c r="D1601" s="77"/>
      <c r="E1601" s="78" t="str">
        <f>IF($A1601=0,"",VLOOKUP($A1601,'BASE MATERIAL'!$A:$D,3))</f>
        <v>KG</v>
      </c>
      <c r="F1601" s="55">
        <f>ROUND(F1600*0.02,2)</f>
        <v>0.16</v>
      </c>
      <c r="G1601" s="55">
        <f>IF($A1601=0,"",VLOOKUP($A1601,'BASE MATERIAL'!$A:$D,4))</f>
        <v>1.87</v>
      </c>
      <c r="H1601" s="56">
        <f t="shared" si="144"/>
        <v>0.3</v>
      </c>
      <c r="I1601" s="5"/>
      <c r="L1601" s="5"/>
      <c r="M1601" s="5"/>
      <c r="N1601" s="160"/>
      <c r="O1601" s="5"/>
      <c r="P1601" s="5"/>
    </row>
    <row r="1602" spans="1:16" s="4" customFormat="1" x14ac:dyDescent="0.25">
      <c r="A1602" s="103">
        <v>4001</v>
      </c>
      <c r="B1602" s="38" t="str">
        <f>IF($A1602=0,"",VLOOKUP($A1602,'BASE MATERIAL'!$A:$D,2))</f>
        <v>CEMENTO</v>
      </c>
      <c r="C1602" s="2"/>
      <c r="D1602" s="77"/>
      <c r="E1602" s="78" t="str">
        <f>IF($A1602=0,"",VLOOKUP($A1602,'BASE MATERIAL'!$A:$D,3))</f>
        <v>SACO</v>
      </c>
      <c r="F1602" s="55">
        <f>ROUND(8*0.07*0.6+1.3*0.2,2)</f>
        <v>0.6</v>
      </c>
      <c r="G1602" s="55">
        <f>IF($A1602=0,"",VLOOKUP($A1602,'BASE MATERIAL'!$A:$D,4))</f>
        <v>7.09</v>
      </c>
      <c r="H1602" s="56">
        <f t="shared" si="144"/>
        <v>4.25</v>
      </c>
      <c r="I1602" s="5"/>
      <c r="L1602" s="5"/>
      <c r="M1602" s="5"/>
      <c r="N1602" s="160"/>
      <c r="O1602" s="5"/>
      <c r="P1602" s="5"/>
    </row>
    <row r="1603" spans="1:16" s="4" customFormat="1" x14ac:dyDescent="0.25">
      <c r="A1603" s="103">
        <v>5004</v>
      </c>
      <c r="B1603" s="38" t="str">
        <f>IF($A1603=0,"",VLOOKUP($A1603,'BASE MATERIAL'!$A:$D,2))</f>
        <v>ARENA</v>
      </c>
      <c r="C1603" s="2"/>
      <c r="D1603" s="77"/>
      <c r="E1603" s="78" t="str">
        <f>IF($A1603=0,"",VLOOKUP($A1603,'BASE MATERIAL'!$A:$D,3))</f>
        <v>M3</v>
      </c>
      <c r="F1603" s="55">
        <f>ROUND(F1602*0.032*2,2)</f>
        <v>0.04</v>
      </c>
      <c r="G1603" s="55">
        <f>IF($A1603=0,"",VLOOKUP($A1603,'BASE MATERIAL'!$A:$D,4))</f>
        <v>12.276249999999999</v>
      </c>
      <c r="H1603" s="56">
        <f t="shared" si="144"/>
        <v>0.49</v>
      </c>
      <c r="I1603" s="5"/>
      <c r="L1603" s="5"/>
      <c r="M1603" s="5"/>
      <c r="N1603" s="160"/>
      <c r="O1603" s="5"/>
      <c r="P1603" s="5"/>
    </row>
    <row r="1604" spans="1:16" s="4" customFormat="1" x14ac:dyDescent="0.25">
      <c r="A1604" s="103">
        <v>5002</v>
      </c>
      <c r="B1604" s="38" t="str">
        <f>IF($A1604=0,"",VLOOKUP($A1604,'BASE MATERIAL'!$A:$D,2))</f>
        <v>PIEDRA 3-4</v>
      </c>
      <c r="C1604" s="2"/>
      <c r="D1604" s="77"/>
      <c r="E1604" s="78" t="str">
        <f>IF($A1604=0,"",VLOOKUP($A1604,'BASE MATERIAL'!$A:$D,3))</f>
        <v>M3</v>
      </c>
      <c r="F1604" s="55">
        <f>ROUND(F1602*0.032*3,2)</f>
        <v>0.06</v>
      </c>
      <c r="G1604" s="55">
        <f>IF($A1604=0,"",VLOOKUP($A1604,'BASE MATERIAL'!$A:$D,4))</f>
        <v>13.75</v>
      </c>
      <c r="H1604" s="56">
        <f t="shared" si="144"/>
        <v>0.83</v>
      </c>
      <c r="I1604" s="5"/>
      <c r="L1604" s="5"/>
      <c r="M1604" s="5"/>
      <c r="N1604" s="160"/>
      <c r="O1604" s="5"/>
      <c r="P1604" s="5"/>
    </row>
    <row r="1605" spans="1:16" s="4" customFormat="1" x14ac:dyDescent="0.25">
      <c r="A1605" s="103">
        <v>5005</v>
      </c>
      <c r="B1605" s="38" t="str">
        <f>IF($A1605=0,"",VLOOKUP($A1605,'BASE MATERIAL'!$A:$D,2))</f>
        <v>AGUA</v>
      </c>
      <c r="C1605" s="2"/>
      <c r="D1605" s="77"/>
      <c r="E1605" s="78" t="str">
        <f>IF($A1605=0,"",VLOOKUP($A1605,'BASE MATERIAL'!$A:$D,3))</f>
        <v>LT</v>
      </c>
      <c r="F1605" s="55">
        <f>ROUND(26*F1602,2)</f>
        <v>15.6</v>
      </c>
      <c r="G1605" s="80">
        <f>IF($A1605=0,"",VLOOKUP($A1605,'BASE MATERIAL'!$A:$D,4))</f>
        <v>2E-3</v>
      </c>
      <c r="H1605" s="56">
        <f t="shared" si="144"/>
        <v>0.03</v>
      </c>
      <c r="I1605" s="5"/>
    </row>
    <row r="1606" spans="1:16" s="4" customFormat="1" x14ac:dyDescent="0.25">
      <c r="A1606" s="103">
        <v>4001</v>
      </c>
      <c r="B1606" s="38" t="str">
        <f>IF($A1606=0,"",VLOOKUP($A1606,'BASE MATERIAL'!$A:$D,2))</f>
        <v>CEMENTO</v>
      </c>
      <c r="C1606" s="2"/>
      <c r="D1606" s="77"/>
      <c r="E1606" s="78" t="str">
        <f>IF($A1606=0,"",VLOOKUP($A1606,'BASE MATERIAL'!$A:$D,3))</f>
        <v>SACO</v>
      </c>
      <c r="F1606" s="55">
        <f>ROUND(8*0.09*0.025*10*1.1,3)*2*1.2</f>
        <v>0.47520000000000001</v>
      </c>
      <c r="G1606" s="55">
        <f>IF($A1606=0,"",VLOOKUP($A1606,'BASE MATERIAL'!$A:$D,4))</f>
        <v>7.09</v>
      </c>
      <c r="H1606" s="56">
        <f t="shared" si="144"/>
        <v>3.37</v>
      </c>
      <c r="I1606" s="5"/>
      <c r="L1606" s="5"/>
      <c r="M1606" s="5"/>
      <c r="N1606" s="160"/>
      <c r="O1606" s="5"/>
      <c r="P1606" s="5"/>
    </row>
    <row r="1607" spans="1:16" s="4" customFormat="1" x14ac:dyDescent="0.25">
      <c r="A1607" s="103">
        <v>5004</v>
      </c>
      <c r="B1607" s="38" t="str">
        <f>IF($A1607=0,"",VLOOKUP($A1607,'BASE MATERIAL'!$A:$D,2))</f>
        <v>ARENA</v>
      </c>
      <c r="C1607" s="2"/>
      <c r="D1607" s="77"/>
      <c r="E1607" s="78" t="str">
        <f>IF($A1607=0,"",VLOOKUP($A1607,'BASE MATERIAL'!$A:$D,3))</f>
        <v>M3</v>
      </c>
      <c r="F1607" s="55">
        <f>ROUND(F1606*0.032*3,2)</f>
        <v>0.05</v>
      </c>
      <c r="G1607" s="55">
        <f>IF($A1607=0,"",VLOOKUP($A1607,'BASE MATERIAL'!$A:$D,4))</f>
        <v>12.276249999999999</v>
      </c>
      <c r="H1607" s="56">
        <f t="shared" si="144"/>
        <v>0.61</v>
      </c>
      <c r="I1607" s="5"/>
      <c r="L1607" s="5"/>
      <c r="M1607" s="5"/>
      <c r="N1607" s="160"/>
      <c r="O1607" s="5"/>
      <c r="P1607" s="5"/>
    </row>
    <row r="1608" spans="1:16" s="4" customFormat="1" x14ac:dyDescent="0.25">
      <c r="A1608" s="103">
        <v>5005</v>
      </c>
      <c r="B1608" s="38" t="str">
        <f>IF($A1608=0,"",VLOOKUP($A1608,'BASE MATERIAL'!$A:$D,2))</f>
        <v>AGUA</v>
      </c>
      <c r="C1608" s="2"/>
      <c r="D1608" s="77"/>
      <c r="E1608" s="78" t="str">
        <f>IF($A1608=0,"",VLOOKUP($A1608,'BASE MATERIAL'!$A:$D,3))</f>
        <v>LT</v>
      </c>
      <c r="F1608" s="55">
        <f>ROUND(30*F1606,2)</f>
        <v>14.26</v>
      </c>
      <c r="G1608" s="80">
        <f>IF($A1608=0,"",VLOOKUP($A1608,'BASE MATERIAL'!$A:$D,4))</f>
        <v>2E-3</v>
      </c>
      <c r="H1608" s="56">
        <f t="shared" si="144"/>
        <v>0.03</v>
      </c>
      <c r="I1608" s="5"/>
      <c r="L1608" s="5"/>
      <c r="M1608" s="5"/>
      <c r="N1608" s="160"/>
      <c r="O1608" s="5"/>
      <c r="P1608" s="5"/>
    </row>
    <row r="1609" spans="1:16" s="4" customFormat="1" x14ac:dyDescent="0.25">
      <c r="A1609" s="103">
        <v>8004</v>
      </c>
      <c r="B1609" s="38" t="str">
        <f>IF($A1609=0,"",VLOOKUP($A1609,'BASE MATERIAL'!$A:$D,2))</f>
        <v>BLOQUE DE CONCRETO 9x19x39 PL9</v>
      </c>
      <c r="C1609" s="2"/>
      <c r="D1609" s="77"/>
      <c r="E1609" s="78" t="str">
        <f>IF($A1609=0,"",VLOOKUP($A1609,'BASE MATERIAL'!$A:$D,3))</f>
        <v>U</v>
      </c>
      <c r="F1609" s="55">
        <f>12.5*1.2</f>
        <v>15</v>
      </c>
      <c r="G1609" s="55">
        <f>IF($A1609=0,"",VLOOKUP($A1609,'BASE MATERIAL'!$A:$D,4))</f>
        <v>0.4</v>
      </c>
      <c r="H1609" s="56">
        <f t="shared" si="144"/>
        <v>6</v>
      </c>
      <c r="I1609" s="5"/>
      <c r="L1609" s="5"/>
      <c r="M1609" s="5"/>
      <c r="N1609" s="160"/>
      <c r="O1609" s="5"/>
      <c r="P1609" s="5"/>
    </row>
    <row r="1610" spans="1:16" s="4" customFormat="1" x14ac:dyDescent="0.25">
      <c r="A1610" s="103">
        <v>1001</v>
      </c>
      <c r="B1610" s="38" t="str">
        <f>IF($A1610=0,"",VLOOKUP($A1610,'BASE MATERIAL'!$A:$D,2))</f>
        <v>HIERRO</v>
      </c>
      <c r="C1610" s="2"/>
      <c r="D1610" s="77"/>
      <c r="E1610" s="78" t="str">
        <f>IF($A1610=0,"",VLOOKUP($A1610,'BASE MATERIAL'!$A:$D,3))</f>
        <v>KG</v>
      </c>
      <c r="F1610" s="55">
        <v>0.3</v>
      </c>
      <c r="G1610" s="55">
        <f>IF($A1610=0,"",VLOOKUP($A1610,'BASE MATERIAL'!$A:$D,4))</f>
        <v>1.17</v>
      </c>
      <c r="H1610" s="56">
        <f t="shared" si="144"/>
        <v>0.35</v>
      </c>
      <c r="I1610" s="5"/>
      <c r="L1610" s="5"/>
      <c r="M1610" s="5"/>
      <c r="N1610" s="160"/>
      <c r="O1610" s="5"/>
      <c r="P1610" s="5"/>
    </row>
    <row r="1611" spans="1:16" s="4" customFormat="1" x14ac:dyDescent="0.25">
      <c r="A1611" s="103"/>
      <c r="B1611" s="38" t="str">
        <f>IF($A1611=0,"",VLOOKUP($A1611,'BASE MATERIAL'!$A:$D,2))</f>
        <v/>
      </c>
      <c r="C1611" s="2"/>
      <c r="D1611" s="77"/>
      <c r="E1611" s="78" t="str">
        <f>IF($A1611=0,"",VLOOKUP($A1611,'BASE MATERIAL'!$A:$D,3))</f>
        <v/>
      </c>
      <c r="F1611" s="55"/>
      <c r="G1611" s="55" t="str">
        <f>IF($A1611=0,"",VLOOKUP($A1611,'BASE MATERIAL'!$A:$D,4))</f>
        <v/>
      </c>
      <c r="H1611" s="56" t="str">
        <f t="shared" si="144"/>
        <v/>
      </c>
      <c r="I1611" s="5"/>
      <c r="L1611" s="5"/>
      <c r="M1611" s="5"/>
      <c r="N1611" s="160"/>
      <c r="O1611" s="5"/>
      <c r="P1611" s="5"/>
    </row>
    <row r="1612" spans="1:16" s="4" customFormat="1" x14ac:dyDescent="0.25">
      <c r="A1612" s="103"/>
      <c r="B1612" s="38" t="str">
        <f>IF($A1612=0,"",VLOOKUP($A1612,'BASE MATERIAL'!$A:$D,2))</f>
        <v/>
      </c>
      <c r="C1612" s="2"/>
      <c r="D1612" s="81" t="s">
        <v>1682</v>
      </c>
      <c r="E1612" s="55" t="str">
        <f>IF($A1612=0,"",VLOOKUP($A1612,'BASE MATERIAL'!$A:$D,3))</f>
        <v/>
      </c>
      <c r="F1612" s="55" t="s">
        <v>1682</v>
      </c>
      <c r="G1612" s="55" t="str">
        <f>IF($A1612=0,"",VLOOKUP($A1612,'BASE MATERIAL'!$A:$D,4))</f>
        <v/>
      </c>
      <c r="H1612" s="56" t="str">
        <f>IF($A1612=0,"",ROUND(E1612*F1612,2))</f>
        <v/>
      </c>
      <c r="I1612" s="5"/>
    </row>
    <row r="1613" spans="1:16" s="4" customFormat="1" x14ac:dyDescent="0.25">
      <c r="A1613" s="103"/>
      <c r="B1613" s="73" t="s">
        <v>1681</v>
      </c>
      <c r="C1613" s="65"/>
      <c r="D1613" s="74"/>
      <c r="E1613" s="74"/>
      <c r="F1613" s="74"/>
      <c r="G1613" s="74"/>
      <c r="H1613" s="75">
        <f>ROUND(SUM(H1596:H1612),2)</f>
        <v>34.340000000000003</v>
      </c>
      <c r="I1613" s="5"/>
    </row>
    <row r="1614" spans="1:16" s="4" customFormat="1" x14ac:dyDescent="0.25">
      <c r="A1614" s="103"/>
      <c r="B1614" s="38" t="s">
        <v>1680</v>
      </c>
      <c r="C1614" s="2"/>
      <c r="D1614" s="3"/>
      <c r="E1614" s="3"/>
      <c r="F1614" s="3"/>
      <c r="G1614" s="3"/>
      <c r="H1614" s="56"/>
      <c r="I1614" s="5"/>
    </row>
    <row r="1615" spans="1:16" ht="25.5" x14ac:dyDescent="0.25">
      <c r="B1615" s="64" t="s">
        <v>1409</v>
      </c>
      <c r="C1615" s="65"/>
      <c r="D1615" s="76"/>
      <c r="E1615" s="66" t="s">
        <v>1408</v>
      </c>
      <c r="F1615" s="66" t="s">
        <v>1679</v>
      </c>
      <c r="G1615" s="66" t="s">
        <v>1676</v>
      </c>
      <c r="H1615" s="68" t="s">
        <v>1675</v>
      </c>
      <c r="I1615" s="2"/>
    </row>
    <row r="1616" spans="1:16" s="4" customFormat="1" x14ac:dyDescent="0.25">
      <c r="A1616" s="103">
        <v>19019</v>
      </c>
      <c r="B1616" s="51" t="str">
        <f>IF($A1616=0,"",VLOOKUP($A1616,'BASE EQUIPO'!$A:$D,2))</f>
        <v>TRANSPORTE DE MATERIAL</v>
      </c>
      <c r="C1616" s="52"/>
      <c r="D1616" s="82"/>
      <c r="E1616" s="78" t="str">
        <f>IF($A1616=0,"",VLOOKUP($A1616,'BASE EQUIPO'!$A:$D,3))</f>
        <v>GLOBAL</v>
      </c>
      <c r="F1616" s="55">
        <v>1</v>
      </c>
      <c r="G1616" s="83">
        <f>IF($A1616=0,"",VLOOKUP($A1616,'BASE EQUIPO'!$A:$D,4)*H1613)</f>
        <v>1.0302</v>
      </c>
      <c r="H1616" s="56">
        <f>IF($A1616=0,"",ROUND(F1616*G1616,2))</f>
        <v>1.03</v>
      </c>
      <c r="I1616" s="5"/>
    </row>
    <row r="1617" spans="1:15" s="4" customFormat="1" x14ac:dyDescent="0.25">
      <c r="A1617" s="103"/>
      <c r="B1617" s="38" t="str">
        <f>IF($A1617=0,"",VLOOKUP($A1617,'BASE EQUIPO'!$A:$D,2))</f>
        <v/>
      </c>
      <c r="C1617" s="2"/>
      <c r="D1617" s="84"/>
      <c r="E1617" s="78" t="str">
        <f>IF($A1617=0,"",VLOOKUP($A1617,'BASE EQUIPO'!$A:$D,3))</f>
        <v/>
      </c>
      <c r="F1617" s="55"/>
      <c r="G1617" s="55" t="str">
        <f>IF($A1617=0,"",VLOOKUP($A1617,'BASE EQUIPO'!$A:$D,4)*H1614)</f>
        <v/>
      </c>
      <c r="H1617" s="56" t="str">
        <f>IF($A1617=0,"",ROUND(F1617*G1617,2))</f>
        <v/>
      </c>
      <c r="I1617" s="5"/>
    </row>
    <row r="1618" spans="1:15" s="4" customFormat="1" x14ac:dyDescent="0.25">
      <c r="A1618" s="103"/>
      <c r="B1618" s="57" t="str">
        <f>IF($A1618=0,"",VLOOKUP($A1618,'BASE EQUIPO'!$A:$D,2))</f>
        <v/>
      </c>
      <c r="C1618" s="58"/>
      <c r="D1618" s="85"/>
      <c r="E1618" s="86" t="str">
        <f>IF($A1618=0,"",VLOOKUP($A1618,'BASE EQUIPO'!$A:$D,3))</f>
        <v/>
      </c>
      <c r="F1618" s="59"/>
      <c r="G1618" s="59" t="str">
        <f>IF($A1618=0,"",VLOOKUP($A1618,'BASE EQUIPO'!$A:$D,4)*H1615)</f>
        <v/>
      </c>
      <c r="H1618" s="60" t="str">
        <f>IF($A1618=0,"",ROUND(F1618*G1618,2))</f>
        <v/>
      </c>
      <c r="I1618" s="5"/>
    </row>
    <row r="1619" spans="1:15" s="4" customFormat="1" ht="15.75" thickBot="1" x14ac:dyDescent="0.3">
      <c r="A1619" s="103"/>
      <c r="B1619" s="87" t="s">
        <v>1674</v>
      </c>
      <c r="C1619" s="88"/>
      <c r="D1619" s="89"/>
      <c r="E1619" s="89"/>
      <c r="F1619" s="89"/>
      <c r="G1619" s="89"/>
      <c r="H1619" s="90">
        <f>ROUND(SUM(H1615:H1618),2)</f>
        <v>1.03</v>
      </c>
      <c r="I1619" s="5"/>
    </row>
    <row r="1620" spans="1:15" s="4" customFormat="1" ht="15.75" x14ac:dyDescent="0.25">
      <c r="A1620" s="103"/>
      <c r="B1620" s="2"/>
      <c r="C1620" s="2"/>
      <c r="D1620" s="91" t="s">
        <v>1673</v>
      </c>
      <c r="E1620" s="177"/>
      <c r="F1620" s="177"/>
      <c r="G1620" s="177"/>
      <c r="H1620" s="92">
        <f>ROUND(SUM(H1619,H1613,H1594,H1584),2)</f>
        <v>108.3</v>
      </c>
      <c r="I1620" s="5"/>
    </row>
    <row r="1621" spans="1:15" s="4" customFormat="1" ht="15.75" x14ac:dyDescent="0.25">
      <c r="A1621" s="103">
        <v>40002</v>
      </c>
      <c r="B1621" s="2"/>
      <c r="C1621" s="2"/>
      <c r="D1621" s="93" t="s">
        <v>1672</v>
      </c>
      <c r="E1621" s="166"/>
      <c r="F1621" s="166"/>
      <c r="G1621" s="178">
        <f>IF($A1621=0,"",VLOOKUP($A1621,'BASE MATERIAL'!$M:$P,4))</f>
        <v>0</v>
      </c>
      <c r="H1621" s="95">
        <f>IF($A1621=0,"",ROUND(G1621*H1620,2))</f>
        <v>0</v>
      </c>
      <c r="I1621" s="5"/>
    </row>
    <row r="1622" spans="1:15" s="4" customFormat="1" ht="15.75" x14ac:dyDescent="0.25">
      <c r="A1622" s="103">
        <v>40003</v>
      </c>
      <c r="B1622" s="2"/>
      <c r="C1622" s="2"/>
      <c r="D1622" s="93" t="s">
        <v>1671</v>
      </c>
      <c r="E1622" s="166"/>
      <c r="F1622" s="166"/>
      <c r="G1622" s="178">
        <f>IF($A1622=0,"",VLOOKUP($A1622,'BASE MATERIAL'!$M:$P,4))</f>
        <v>0</v>
      </c>
      <c r="H1622" s="95">
        <f>IF($A1622=0,"",ROUND(G1622*H1620,2))</f>
        <v>0</v>
      </c>
      <c r="I1622" s="5"/>
    </row>
    <row r="1623" spans="1:15" s="4" customFormat="1" ht="15.75" x14ac:dyDescent="0.25">
      <c r="A1623" s="103"/>
      <c r="B1623" s="2"/>
      <c r="C1623" s="2"/>
      <c r="D1623" s="93" t="s">
        <v>1670</v>
      </c>
      <c r="E1623" s="166"/>
      <c r="F1623" s="166"/>
      <c r="G1623" s="166"/>
      <c r="H1623" s="96">
        <f>ROUND(SUM(H1620:H1622),2)</f>
        <v>108.3</v>
      </c>
      <c r="I1623" s="5"/>
    </row>
    <row r="1624" spans="1:15" s="4" customFormat="1" ht="16.5" thickBot="1" x14ac:dyDescent="0.3">
      <c r="A1624" s="103"/>
      <c r="B1624" s="25"/>
      <c r="C1624" s="5"/>
      <c r="D1624" s="97" t="s">
        <v>1650</v>
      </c>
      <c r="E1624" s="179"/>
      <c r="F1624" s="179"/>
      <c r="G1624" s="179"/>
      <c r="H1624" s="98">
        <f>ROUND(H1623,2)</f>
        <v>108.3</v>
      </c>
      <c r="I1624" s="5"/>
    </row>
    <row r="1625" spans="1:15" ht="15.75" x14ac:dyDescent="0.25">
      <c r="B1625" s="34" t="s">
        <v>1701</v>
      </c>
      <c r="C1625" s="5"/>
      <c r="D1625" s="157" t="str">
        <f>$D$113</f>
        <v>ESPOL</v>
      </c>
      <c r="E1625" s="2"/>
      <c r="F1625" s="2"/>
      <c r="H1625" s="2" t="s">
        <v>108</v>
      </c>
      <c r="I1625" s="2"/>
      <c r="L1625" s="40">
        <f>A1629</f>
        <v>25</v>
      </c>
      <c r="M1625" s="1" t="str">
        <f>C1630</f>
        <v>Muro de tina de baño (inc. Enlucdo)</v>
      </c>
      <c r="N1625" s="2" t="str">
        <f>H1629</f>
        <v>ml</v>
      </c>
      <c r="O1625" s="2">
        <f>H1680</f>
        <v>10.51</v>
      </c>
    </row>
    <row r="1626" spans="1:15" s="4" customFormat="1" ht="15.75" x14ac:dyDescent="0.25">
      <c r="A1626" s="103"/>
      <c r="B1626" s="34" t="s">
        <v>1700</v>
      </c>
      <c r="C1626" s="3">
        <f>'1.1'!$C$2</f>
        <v>0</v>
      </c>
      <c r="D1626" s="5"/>
      <c r="E1626" s="5"/>
      <c r="F1626" s="5"/>
      <c r="G1626" s="158" t="s">
        <v>1699</v>
      </c>
      <c r="H1626" s="159"/>
      <c r="I1626" s="5" t="s">
        <v>1698</v>
      </c>
    </row>
    <row r="1627" spans="1:15" s="4" customFormat="1" ht="15.75" x14ac:dyDescent="0.25">
      <c r="A1627" s="103"/>
      <c r="B1627" s="34"/>
      <c r="C1627" s="3">
        <f>'1.1'!$C$3</f>
        <v>0</v>
      </c>
      <c r="D1627" s="5"/>
      <c r="E1627" s="5"/>
      <c r="F1627" s="5"/>
      <c r="G1627" s="5"/>
      <c r="H1627" s="5"/>
      <c r="I1627" s="5"/>
    </row>
    <row r="1628" spans="1:15" s="4" customFormat="1" ht="15.75" x14ac:dyDescent="0.25">
      <c r="A1628" s="103"/>
      <c r="B1628" s="34" t="s">
        <v>1697</v>
      </c>
      <c r="C1628" s="3"/>
      <c r="D1628" s="5"/>
      <c r="E1628" s="5"/>
      <c r="F1628" s="5"/>
      <c r="G1628" s="5"/>
      <c r="H1628" s="5"/>
      <c r="I1628" s="5"/>
    </row>
    <row r="1629" spans="1:15" x14ac:dyDescent="0.25">
      <c r="A1629" s="104">
        <v>25</v>
      </c>
      <c r="B1629" s="2" t="s">
        <v>1586</v>
      </c>
      <c r="C1629" s="36" t="s">
        <v>667</v>
      </c>
      <c r="D1629" s="5"/>
      <c r="E1629" s="4"/>
      <c r="F1629" s="4"/>
      <c r="G1629" s="5" t="s">
        <v>1696</v>
      </c>
      <c r="H1629" s="157" t="s">
        <v>961</v>
      </c>
      <c r="I1629" s="2"/>
    </row>
    <row r="1630" spans="1:15" s="4" customFormat="1" x14ac:dyDescent="0.25">
      <c r="A1630" s="103"/>
      <c r="B1630" s="1" t="s">
        <v>1585</v>
      </c>
      <c r="C1630" s="36" t="s">
        <v>681</v>
      </c>
      <c r="D1630" s="5"/>
      <c r="E1630" s="5"/>
      <c r="F1630" s="5"/>
      <c r="G1630" s="5"/>
      <c r="H1630" s="5"/>
      <c r="I1630" s="5"/>
    </row>
    <row r="1631" spans="1:15" ht="15.75" thickBot="1" x14ac:dyDescent="0.3">
      <c r="D1631" s="2"/>
      <c r="E1631" s="2"/>
      <c r="F1631" s="2"/>
      <c r="G1631" s="2"/>
      <c r="H1631" s="2"/>
      <c r="I1631" s="2"/>
    </row>
    <row r="1632" spans="1:15" ht="15.75" thickBot="1" x14ac:dyDescent="0.3">
      <c r="B1632" s="43" t="s">
        <v>1695</v>
      </c>
      <c r="C1632" s="44"/>
      <c r="D1632" s="44"/>
      <c r="E1632" s="44"/>
      <c r="F1632" s="44"/>
      <c r="G1632" s="44"/>
      <c r="H1632" s="45"/>
      <c r="I1632" s="2"/>
    </row>
    <row r="1633" spans="1:9" ht="25.5" x14ac:dyDescent="0.25">
      <c r="B1633" s="46" t="s">
        <v>1409</v>
      </c>
      <c r="C1633" s="47"/>
      <c r="D1633" s="48" t="s">
        <v>1690</v>
      </c>
      <c r="E1633" s="48" t="s">
        <v>1694</v>
      </c>
      <c r="F1633" s="48" t="s">
        <v>1693</v>
      </c>
      <c r="G1633" s="49" t="s">
        <v>1687</v>
      </c>
      <c r="H1633" s="50" t="s">
        <v>1686</v>
      </c>
      <c r="I1633" s="2"/>
    </row>
    <row r="1634" spans="1:9" s="4" customFormat="1" x14ac:dyDescent="0.25">
      <c r="A1634" s="103">
        <v>19015</v>
      </c>
      <c r="B1634" s="51" t="str">
        <f>IF($A1634=0,"",VLOOKUP($A1634,'BASE EQUIPO'!$A:$D,2))</f>
        <v>HERRAMIENTA MENOR</v>
      </c>
      <c r="C1634" s="52"/>
      <c r="D1634" s="53">
        <v>1</v>
      </c>
      <c r="E1634" s="53">
        <f>IF($A1634=0,"",VLOOKUP($A1634,'BASE EQUIPO'!$A:$D,4)*H1650)</f>
        <v>0.2427</v>
      </c>
      <c r="F1634" s="53">
        <f t="shared" ref="F1634:F1639" si="145">IF($A1634=0,"",ROUND(D1634*E1634,2))</f>
        <v>0.24</v>
      </c>
      <c r="G1634" s="105">
        <v>1</v>
      </c>
      <c r="H1634" s="54">
        <f t="shared" ref="H1634:H1639" si="146">IF($A1634=0,"",ROUND(G1634*F1634,2))</f>
        <v>0.24</v>
      </c>
      <c r="I1634" s="5"/>
    </row>
    <row r="1635" spans="1:9" s="4" customFormat="1" x14ac:dyDescent="0.25">
      <c r="A1635" s="103"/>
      <c r="B1635" s="38" t="str">
        <f>IF($A1635=0,"",VLOOKUP($A1635,'BASE EQUIPO'!$A:$D,2))</f>
        <v/>
      </c>
      <c r="C1635" s="2"/>
      <c r="D1635" s="55"/>
      <c r="E1635" s="55" t="str">
        <f>IF($A1635=0,"",VLOOKUP($A1635,'BASE EQUIPO'!$A:$D,4))</f>
        <v/>
      </c>
      <c r="F1635" s="55" t="str">
        <f t="shared" si="145"/>
        <v/>
      </c>
      <c r="G1635" s="106"/>
      <c r="H1635" s="56" t="str">
        <f t="shared" si="146"/>
        <v/>
      </c>
      <c r="I1635" s="5"/>
    </row>
    <row r="1636" spans="1:9" s="4" customFormat="1" x14ac:dyDescent="0.25">
      <c r="A1636" s="103"/>
      <c r="B1636" s="38" t="str">
        <f>IF($A1636=0,"",VLOOKUP($A1636,'BASE EQUIPO'!$A:$D,2))</f>
        <v/>
      </c>
      <c r="C1636" s="2"/>
      <c r="D1636" s="55"/>
      <c r="E1636" s="55" t="str">
        <f>IF($A1636=0,"",VLOOKUP($A1636,'BASE EQUIPO'!$A:$D,4))</f>
        <v/>
      </c>
      <c r="F1636" s="55" t="str">
        <f t="shared" si="145"/>
        <v/>
      </c>
      <c r="G1636" s="106"/>
      <c r="H1636" s="56" t="str">
        <f t="shared" si="146"/>
        <v/>
      </c>
      <c r="I1636" s="5"/>
    </row>
    <row r="1637" spans="1:9" s="4" customFormat="1" x14ac:dyDescent="0.25">
      <c r="A1637" s="103"/>
      <c r="B1637" s="38" t="str">
        <f>IF($A1637=0,"",VLOOKUP($A1637,'BASE EQUIPO'!$A:$D,2))</f>
        <v/>
      </c>
      <c r="C1637" s="2"/>
      <c r="D1637" s="55"/>
      <c r="E1637" s="55" t="str">
        <f>IF($A1637=0,"",VLOOKUP($A1637,'BASE EQUIPO'!$A:$D,4))</f>
        <v/>
      </c>
      <c r="F1637" s="55" t="str">
        <f t="shared" si="145"/>
        <v/>
      </c>
      <c r="G1637" s="106"/>
      <c r="H1637" s="56" t="str">
        <f t="shared" si="146"/>
        <v/>
      </c>
      <c r="I1637" s="5"/>
    </row>
    <row r="1638" spans="1:9" s="4" customFormat="1" x14ac:dyDescent="0.25">
      <c r="A1638" s="103"/>
      <c r="B1638" s="38" t="str">
        <f>IF($A1638=0,"",VLOOKUP($A1638,'BASE EQUIPO'!$A:$D,2))</f>
        <v/>
      </c>
      <c r="C1638" s="2"/>
      <c r="D1638" s="55"/>
      <c r="E1638" s="55" t="str">
        <f>IF($A1638=0,"",VLOOKUP($A1638,'BASE EQUIPO'!$A:$D,4))</f>
        <v/>
      </c>
      <c r="F1638" s="55" t="str">
        <f t="shared" si="145"/>
        <v/>
      </c>
      <c r="G1638" s="106"/>
      <c r="H1638" s="56" t="str">
        <f t="shared" si="146"/>
        <v/>
      </c>
      <c r="I1638" s="5"/>
    </row>
    <row r="1639" spans="1:9" s="4" customFormat="1" x14ac:dyDescent="0.25">
      <c r="A1639" s="103"/>
      <c r="B1639" s="57" t="str">
        <f>IF($A1639=0,"",VLOOKUP($A1639,'BASE EQUIPO'!$A:$D,2))</f>
        <v/>
      </c>
      <c r="C1639" s="58"/>
      <c r="D1639" s="59"/>
      <c r="E1639" s="59" t="str">
        <f>IF($A1639=0,"",VLOOKUP($A1639,'BASE EQUIPO'!$A:$D,4))</f>
        <v/>
      </c>
      <c r="F1639" s="59" t="str">
        <f t="shared" si="145"/>
        <v/>
      </c>
      <c r="G1639" s="107"/>
      <c r="H1639" s="60" t="str">
        <f t="shared" si="146"/>
        <v/>
      </c>
      <c r="I1639" s="5"/>
    </row>
    <row r="1640" spans="1:9" s="4" customFormat="1" x14ac:dyDescent="0.25">
      <c r="A1640" s="103"/>
      <c r="B1640" s="57" t="s">
        <v>1692</v>
      </c>
      <c r="C1640" s="58"/>
      <c r="D1640" s="61"/>
      <c r="E1640" s="61"/>
      <c r="F1640" s="61"/>
      <c r="G1640" s="62"/>
      <c r="H1640" s="60">
        <f>ROUND(SUM(H1633:H1639),2)</f>
        <v>0.24</v>
      </c>
      <c r="I1640" s="5"/>
    </row>
    <row r="1641" spans="1:9" s="4" customFormat="1" x14ac:dyDescent="0.25">
      <c r="A1641" s="103"/>
      <c r="B1641" s="38" t="s">
        <v>1503</v>
      </c>
      <c r="C1641" s="2"/>
      <c r="D1641" s="3"/>
      <c r="E1641" s="3"/>
      <c r="F1641" s="3"/>
      <c r="G1641" s="63"/>
      <c r="H1641" s="56"/>
      <c r="I1641" s="5"/>
    </row>
    <row r="1642" spans="1:9" ht="25.5" x14ac:dyDescent="0.25">
      <c r="B1642" s="64" t="s">
        <v>1691</v>
      </c>
      <c r="C1642" s="65"/>
      <c r="D1642" s="66" t="s">
        <v>1690</v>
      </c>
      <c r="E1642" s="66" t="s">
        <v>1689</v>
      </c>
      <c r="F1642" s="66" t="s">
        <v>1688</v>
      </c>
      <c r="G1642" s="67" t="s">
        <v>1687</v>
      </c>
      <c r="H1642" s="68" t="s">
        <v>1686</v>
      </c>
      <c r="I1642" s="2"/>
    </row>
    <row r="1643" spans="1:9" s="4" customFormat="1" x14ac:dyDescent="0.25">
      <c r="A1643" s="103">
        <v>20001</v>
      </c>
      <c r="B1643" s="69" t="str">
        <f>IF($A1643=0,"",VLOOKUP($A1643,'BASE M-OBRA'!$A:$D,2))</f>
        <v>MAESTRO</v>
      </c>
      <c r="C1643" s="2"/>
      <c r="D1643" s="108">
        <v>1</v>
      </c>
      <c r="E1643" s="70">
        <f>IF($A1643=0,"",VLOOKUP($A1643,'BASE M-OBRA'!$A:$D,4))</f>
        <v>3.02</v>
      </c>
      <c r="F1643" s="55">
        <f t="shared" ref="F1643:F1649" si="147">IF($A1643=0,"",ROUND(D1643*E1643,2))</f>
        <v>3.02</v>
      </c>
      <c r="G1643" s="106">
        <f>IF($A1643=0,"",ROUND(H1643/F1643,2))</f>
        <v>0.45</v>
      </c>
      <c r="H1643" s="56">
        <f>IF($A1643=0,"",ROUND(SUM(H1644:H1649)*'BASE M-OBRA'!$D$23,2))</f>
        <v>1.35</v>
      </c>
      <c r="I1643" s="5"/>
    </row>
    <row r="1644" spans="1:9" s="4" customFormat="1" x14ac:dyDescent="0.25">
      <c r="A1644" s="103">
        <v>20002</v>
      </c>
      <c r="B1644" s="69" t="str">
        <f>IF($A1644=0,"",VLOOKUP($A1644,'BASE M-OBRA'!$A:$D,2))</f>
        <v>PEON</v>
      </c>
      <c r="C1644" s="2"/>
      <c r="D1644" s="108">
        <v>2</v>
      </c>
      <c r="E1644" s="70">
        <f>IF($A1644=0,"",VLOOKUP($A1644,'BASE M-OBRA'!$A:$D,4))</f>
        <v>2.79</v>
      </c>
      <c r="F1644" s="55">
        <f t="shared" si="147"/>
        <v>5.58</v>
      </c>
      <c r="G1644" s="106">
        <v>0.4</v>
      </c>
      <c r="H1644" s="56">
        <f t="shared" ref="H1644:H1649" si="148">IF($A1644=0,"",ROUND(G1644*F1644,2))</f>
        <v>2.23</v>
      </c>
      <c r="I1644" s="5"/>
    </row>
    <row r="1645" spans="1:9" s="4" customFormat="1" x14ac:dyDescent="0.25">
      <c r="A1645" s="103">
        <v>20003</v>
      </c>
      <c r="B1645" s="69" t="str">
        <f>IF($A1645=0,"",VLOOKUP($A1645,'BASE M-OBRA'!$A:$D,2))</f>
        <v>ALBAÑIL</v>
      </c>
      <c r="C1645" s="2"/>
      <c r="D1645" s="108">
        <v>4</v>
      </c>
      <c r="E1645" s="70">
        <f>IF($A1645=0,"",VLOOKUP($A1645,'BASE M-OBRA'!$A:$D,4))</f>
        <v>2.82</v>
      </c>
      <c r="F1645" s="55">
        <f t="shared" si="147"/>
        <v>11.28</v>
      </c>
      <c r="G1645" s="106">
        <f>+G1644</f>
        <v>0.4</v>
      </c>
      <c r="H1645" s="56">
        <f t="shared" si="148"/>
        <v>4.51</v>
      </c>
      <c r="I1645" s="5"/>
    </row>
    <row r="1646" spans="1:9" s="4" customFormat="1" x14ac:dyDescent="0.25">
      <c r="A1646" s="103"/>
      <c r="B1646" s="71" t="str">
        <f>IF($A1646=0,"",VLOOKUP($A1646,'BASE M-OBRA'!$A:$D,2))</f>
        <v/>
      </c>
      <c r="C1646" s="2"/>
      <c r="D1646" s="108"/>
      <c r="E1646" s="70" t="str">
        <f>IF($A1646=0,"",VLOOKUP($A1646,'BASE M-OBRA'!$A:$D,4))</f>
        <v/>
      </c>
      <c r="F1646" s="55" t="str">
        <f t="shared" si="147"/>
        <v/>
      </c>
      <c r="G1646" s="106"/>
      <c r="H1646" s="56" t="str">
        <f t="shared" si="148"/>
        <v/>
      </c>
      <c r="I1646" s="5"/>
    </row>
    <row r="1647" spans="1:9" s="4" customFormat="1" x14ac:dyDescent="0.25">
      <c r="A1647" s="103"/>
      <c r="B1647" s="72" t="str">
        <f>IF($A1647=0,"",VLOOKUP($A1647,'BASE M-OBRA'!$A:$D,2))</f>
        <v/>
      </c>
      <c r="C1647" s="2"/>
      <c r="D1647" s="108"/>
      <c r="E1647" s="70" t="str">
        <f>IF($A1647=0,"",VLOOKUP($A1647,'BASE M-OBRA'!$A:$D,4))</f>
        <v/>
      </c>
      <c r="F1647" s="55" t="str">
        <f t="shared" si="147"/>
        <v/>
      </c>
      <c r="G1647" s="106"/>
      <c r="H1647" s="56" t="str">
        <f t="shared" si="148"/>
        <v/>
      </c>
      <c r="I1647" s="5"/>
    </row>
    <row r="1648" spans="1:9" s="4" customFormat="1" x14ac:dyDescent="0.25">
      <c r="A1648" s="103"/>
      <c r="B1648" s="38" t="str">
        <f>IF($A1648=0,"",VLOOKUP($A1648,'BASE M-OBRA'!$A:$D,2))</f>
        <v/>
      </c>
      <c r="C1648" s="2"/>
      <c r="D1648" s="55"/>
      <c r="E1648" s="55" t="str">
        <f>IF($A1648=0,"",VLOOKUP($A1648,'BASE M-OBRA'!$A:$D,4))</f>
        <v/>
      </c>
      <c r="F1648" s="55" t="str">
        <f t="shared" si="147"/>
        <v/>
      </c>
      <c r="G1648" s="106"/>
      <c r="H1648" s="56" t="str">
        <f t="shared" si="148"/>
        <v/>
      </c>
      <c r="I1648" s="5"/>
    </row>
    <row r="1649" spans="1:16" s="4" customFormat="1" x14ac:dyDescent="0.25">
      <c r="A1649" s="103"/>
      <c r="B1649" s="57" t="str">
        <f>IF($A1649=0,"",VLOOKUP($A1649,'BASE M-OBRA'!$A:$D,2))</f>
        <v/>
      </c>
      <c r="C1649" s="58"/>
      <c r="D1649" s="59"/>
      <c r="E1649" s="59" t="str">
        <f>IF($A1649=0,"",VLOOKUP($A1649,'BASE M-OBRA'!$A:$D,4))</f>
        <v/>
      </c>
      <c r="F1649" s="59" t="str">
        <f t="shared" si="147"/>
        <v/>
      </c>
      <c r="G1649" s="107"/>
      <c r="H1649" s="60" t="str">
        <f t="shared" si="148"/>
        <v/>
      </c>
      <c r="I1649" s="5"/>
    </row>
    <row r="1650" spans="1:16" s="4" customFormat="1" x14ac:dyDescent="0.25">
      <c r="A1650" s="103"/>
      <c r="B1650" s="73" t="s">
        <v>1685</v>
      </c>
      <c r="C1650" s="65"/>
      <c r="D1650" s="74"/>
      <c r="E1650" s="74"/>
      <c r="F1650" s="74"/>
      <c r="G1650" s="74"/>
      <c r="H1650" s="75">
        <f>ROUND(SUM(H1642:H1649),2)</f>
        <v>8.09</v>
      </c>
      <c r="I1650" s="5"/>
      <c r="K1650" s="4">
        <f>1.4+1.4+3</f>
        <v>5.8</v>
      </c>
    </row>
    <row r="1651" spans="1:16" s="4" customFormat="1" x14ac:dyDescent="0.25">
      <c r="A1651" s="103"/>
      <c r="B1651" s="38" t="s">
        <v>1684</v>
      </c>
      <c r="C1651" s="2"/>
      <c r="D1651" s="3"/>
      <c r="E1651" s="3"/>
      <c r="F1651" s="3"/>
      <c r="G1651" s="3"/>
      <c r="H1651" s="56"/>
      <c r="I1651" s="5"/>
    </row>
    <row r="1652" spans="1:16" ht="25.5" x14ac:dyDescent="0.25">
      <c r="B1652" s="64" t="s">
        <v>1409</v>
      </c>
      <c r="C1652" s="65"/>
      <c r="D1652" s="76"/>
      <c r="E1652" s="66" t="s">
        <v>1408</v>
      </c>
      <c r="F1652" s="66" t="s">
        <v>1679</v>
      </c>
      <c r="G1652" s="66" t="s">
        <v>1683</v>
      </c>
      <c r="H1652" s="68" t="s">
        <v>1675</v>
      </c>
      <c r="I1652" s="2"/>
    </row>
    <row r="1653" spans="1:16" s="4" customFormat="1" x14ac:dyDescent="0.25">
      <c r="A1653" s="103">
        <v>4001</v>
      </c>
      <c r="B1653" s="38" t="str">
        <f>IF($A1653=0,"",VLOOKUP($A1653,'BASE MATERIAL'!$A:$D,2))</f>
        <v>CEMENTO</v>
      </c>
      <c r="C1653" s="2"/>
      <c r="D1653" s="77"/>
      <c r="E1653" s="78" t="str">
        <f>IF($A1653=0,"",VLOOKUP($A1653,'BASE MATERIAL'!$A:$D,3))</f>
        <v>SACO</v>
      </c>
      <c r="F1653" s="55">
        <f>ROUND(2*0.09*0.02*10*1.1,3)</f>
        <v>0.04</v>
      </c>
      <c r="G1653" s="55">
        <f>IF($A1653=0,"",VLOOKUP($A1653,'BASE MATERIAL'!$A:$D,4))</f>
        <v>7.09</v>
      </c>
      <c r="H1653" s="56">
        <f t="shared" ref="H1653:H1667" si="149">IF($A1653=0,"",ROUND(F1653*G1653,2))</f>
        <v>0.28000000000000003</v>
      </c>
      <c r="I1653" s="5"/>
      <c r="L1653" s="5"/>
      <c r="M1653" s="5"/>
      <c r="N1653" s="160"/>
      <c r="O1653" s="5"/>
      <c r="P1653" s="5"/>
    </row>
    <row r="1654" spans="1:16" s="4" customFormat="1" x14ac:dyDescent="0.25">
      <c r="A1654" s="103">
        <v>5004</v>
      </c>
      <c r="B1654" s="38" t="str">
        <f>IF($A1654=0,"",VLOOKUP($A1654,'BASE MATERIAL'!$A:$D,2))</f>
        <v>ARENA</v>
      </c>
      <c r="C1654" s="2"/>
      <c r="D1654" s="77"/>
      <c r="E1654" s="78" t="str">
        <f>IF($A1654=0,"",VLOOKUP($A1654,'BASE MATERIAL'!$A:$D,3))</f>
        <v>M3</v>
      </c>
      <c r="F1654" s="55">
        <f>ROUND(F1653*0.032*3,2)</f>
        <v>0</v>
      </c>
      <c r="G1654" s="55">
        <f>IF($A1654=0,"",VLOOKUP($A1654,'BASE MATERIAL'!$A:$D,4))</f>
        <v>12.276249999999999</v>
      </c>
      <c r="H1654" s="56">
        <f t="shared" si="149"/>
        <v>0</v>
      </c>
      <c r="I1654" s="5"/>
      <c r="L1654" s="5"/>
      <c r="M1654" s="5"/>
      <c r="N1654" s="160"/>
      <c r="O1654" s="5"/>
      <c r="P1654" s="5"/>
    </row>
    <row r="1655" spans="1:16" s="4" customFormat="1" x14ac:dyDescent="0.25">
      <c r="A1655" s="103">
        <v>5005</v>
      </c>
      <c r="B1655" s="38" t="str">
        <f>IF($A1655=0,"",VLOOKUP($A1655,'BASE MATERIAL'!$A:$D,2))</f>
        <v>AGUA</v>
      </c>
      <c r="C1655" s="2"/>
      <c r="D1655" s="77"/>
      <c r="E1655" s="78" t="str">
        <f>IF($A1655=0,"",VLOOKUP($A1655,'BASE MATERIAL'!$A:$D,3))</f>
        <v>LT</v>
      </c>
      <c r="F1655" s="55">
        <f>ROUND(30*F1653,2)</f>
        <v>1.2</v>
      </c>
      <c r="G1655" s="80">
        <f>IF($A1655=0,"",VLOOKUP($A1655,'BASE MATERIAL'!$A:$D,4))</f>
        <v>2E-3</v>
      </c>
      <c r="H1655" s="56">
        <f t="shared" si="149"/>
        <v>0</v>
      </c>
      <c r="I1655" s="5"/>
      <c r="L1655" s="5"/>
      <c r="M1655" s="5"/>
      <c r="N1655" s="160"/>
      <c r="O1655" s="5"/>
      <c r="P1655" s="5"/>
    </row>
    <row r="1656" spans="1:16" s="4" customFormat="1" x14ac:dyDescent="0.25">
      <c r="A1656" s="103">
        <v>8004</v>
      </c>
      <c r="B1656" s="38" t="str">
        <f>IF($A1656=0,"",VLOOKUP($A1656,'BASE MATERIAL'!$A:$D,2))</f>
        <v>BLOQUE DE CONCRETO 9x19x39 PL9</v>
      </c>
      <c r="C1656" s="2"/>
      <c r="D1656" s="77"/>
      <c r="E1656" s="78" t="str">
        <f>IF($A1656=0,"",VLOOKUP($A1656,'BASE MATERIAL'!$A:$D,3))</f>
        <v>U</v>
      </c>
      <c r="F1656" s="55">
        <v>2.5</v>
      </c>
      <c r="G1656" s="55">
        <f>IF($A1656=0,"",VLOOKUP($A1656,'BASE MATERIAL'!$A:$D,4))</f>
        <v>0.4</v>
      </c>
      <c r="H1656" s="56">
        <f t="shared" si="149"/>
        <v>1</v>
      </c>
      <c r="I1656" s="5"/>
      <c r="L1656" s="5"/>
      <c r="M1656" s="5"/>
      <c r="N1656" s="160"/>
      <c r="O1656" s="5"/>
      <c r="P1656" s="5"/>
    </row>
    <row r="1657" spans="1:16" s="4" customFormat="1" x14ac:dyDescent="0.25">
      <c r="A1657" s="103">
        <v>1001</v>
      </c>
      <c r="B1657" s="38" t="str">
        <f>IF($A1657=0,"",VLOOKUP($A1657,'BASE MATERIAL'!$A:$D,2))</f>
        <v>HIERRO</v>
      </c>
      <c r="C1657" s="2"/>
      <c r="D1657" s="77"/>
      <c r="E1657" s="78" t="str">
        <f>IF($A1657=0,"",VLOOKUP($A1657,'BASE MATERIAL'!$A:$D,3))</f>
        <v>KG</v>
      </c>
      <c r="F1657" s="55">
        <v>0.11</v>
      </c>
      <c r="G1657" s="55">
        <f>IF($A1657=0,"",VLOOKUP($A1657,'BASE MATERIAL'!$A:$D,4))</f>
        <v>1.17</v>
      </c>
      <c r="H1657" s="56">
        <f t="shared" si="149"/>
        <v>0.13</v>
      </c>
      <c r="I1657" s="5"/>
      <c r="L1657" s="5"/>
      <c r="M1657" s="5"/>
      <c r="N1657" s="160"/>
      <c r="O1657" s="5"/>
      <c r="P1657" s="5"/>
    </row>
    <row r="1658" spans="1:16" s="4" customFormat="1" x14ac:dyDescent="0.25">
      <c r="A1658" s="103">
        <v>4001</v>
      </c>
      <c r="B1658" s="38" t="str">
        <f>IF($A1658=0,"",VLOOKUP($A1658,'BASE MATERIAL'!$A:$D,2))</f>
        <v>CEMENTO</v>
      </c>
      <c r="C1658" s="2"/>
      <c r="D1658" s="77"/>
      <c r="E1658" s="78" t="str">
        <f>IF($A1658=0,"",VLOOKUP($A1658,'BASE MATERIAL'!$A:$D,3))</f>
        <v>SACO</v>
      </c>
      <c r="F1658" s="55">
        <f>ROUND(0.5*0.015*10*1.1,3)</f>
        <v>8.3000000000000004E-2</v>
      </c>
      <c r="G1658" s="55">
        <f>IF($A1658=0,"",VLOOKUP($A1658,'BASE MATERIAL'!$A:$D,4))</f>
        <v>7.09</v>
      </c>
      <c r="H1658" s="56">
        <f t="shared" si="149"/>
        <v>0.59</v>
      </c>
      <c r="I1658" s="5"/>
      <c r="L1658" s="5"/>
      <c r="M1658" s="5"/>
      <c r="N1658" s="160"/>
      <c r="O1658" s="5"/>
      <c r="P1658" s="5"/>
    </row>
    <row r="1659" spans="1:16" s="4" customFormat="1" x14ac:dyDescent="0.25">
      <c r="A1659" s="103">
        <v>5004</v>
      </c>
      <c r="B1659" s="38" t="str">
        <f>IF($A1659=0,"",VLOOKUP($A1659,'BASE MATERIAL'!$A:$D,2))</f>
        <v>ARENA</v>
      </c>
      <c r="C1659" s="2"/>
      <c r="D1659" s="77"/>
      <c r="E1659" s="78" t="str">
        <f>IF($A1659=0,"",VLOOKUP($A1659,'BASE MATERIAL'!$A:$D,3))</f>
        <v>M3</v>
      </c>
      <c r="F1659" s="55">
        <f>ROUND(F1658*0.032*3,2)</f>
        <v>0.01</v>
      </c>
      <c r="G1659" s="55">
        <f>IF($A1659=0,"",VLOOKUP($A1659,'BASE MATERIAL'!$A:$D,4))</f>
        <v>12.276249999999999</v>
      </c>
      <c r="H1659" s="56">
        <f t="shared" si="149"/>
        <v>0.12</v>
      </c>
      <c r="I1659" s="5"/>
      <c r="L1659" s="5"/>
      <c r="M1659" s="5"/>
      <c r="N1659" s="160"/>
      <c r="O1659" s="5"/>
      <c r="P1659" s="5"/>
    </row>
    <row r="1660" spans="1:16" s="4" customFormat="1" x14ac:dyDescent="0.25">
      <c r="A1660" s="103">
        <v>5005</v>
      </c>
      <c r="B1660" s="38" t="str">
        <f>IF($A1660=0,"",VLOOKUP($A1660,'BASE MATERIAL'!$A:$D,2))</f>
        <v>AGUA</v>
      </c>
      <c r="C1660" s="2"/>
      <c r="D1660" s="77"/>
      <c r="E1660" s="78" t="str">
        <f>IF($A1660=0,"",VLOOKUP($A1660,'BASE MATERIAL'!$A:$D,3))</f>
        <v>LT</v>
      </c>
      <c r="F1660" s="55">
        <f>ROUND(30*F1658,2)</f>
        <v>2.4900000000000002</v>
      </c>
      <c r="G1660" s="55">
        <f>IF($A1660=0,"",VLOOKUP($A1660,'BASE MATERIAL'!$A:$D,4))</f>
        <v>2E-3</v>
      </c>
      <c r="H1660" s="56">
        <f t="shared" si="149"/>
        <v>0</v>
      </c>
      <c r="I1660" s="5"/>
      <c r="L1660" s="5"/>
      <c r="M1660" s="5"/>
      <c r="N1660" s="160"/>
      <c r="O1660" s="5"/>
      <c r="P1660" s="5"/>
    </row>
    <row r="1661" spans="1:16" s="4" customFormat="1" x14ac:dyDescent="0.25">
      <c r="A1661" s="103"/>
      <c r="B1661" s="38" t="str">
        <f>IF($A1661=0,"",VLOOKUP($A1661,'BASE MATERIAL'!$A:$D,2))</f>
        <v/>
      </c>
      <c r="C1661" s="2"/>
      <c r="D1661" s="77"/>
      <c r="E1661" s="78" t="str">
        <f>IF($A1661=0,"",VLOOKUP($A1661,'BASE MATERIAL'!$A:$D,3))</f>
        <v/>
      </c>
      <c r="F1661" s="55"/>
      <c r="G1661" s="55" t="str">
        <f>IF($A1661=0,"",VLOOKUP($A1661,'BASE MATERIAL'!$A:$D,4))</f>
        <v/>
      </c>
      <c r="H1661" s="56" t="str">
        <f t="shared" si="149"/>
        <v/>
      </c>
      <c r="I1661" s="5"/>
    </row>
    <row r="1662" spans="1:16" s="4" customFormat="1" x14ac:dyDescent="0.25">
      <c r="A1662" s="103"/>
      <c r="B1662" s="38" t="str">
        <f>IF($A1662=0,"",VLOOKUP($A1662,'BASE MATERIAL'!$A:$D,2))</f>
        <v/>
      </c>
      <c r="C1662" s="2"/>
      <c r="D1662" s="77"/>
      <c r="E1662" s="78" t="str">
        <f>IF($A1662=0,"",VLOOKUP($A1662,'BASE MATERIAL'!$A:$D,3))</f>
        <v/>
      </c>
      <c r="F1662" s="55"/>
      <c r="G1662" s="55" t="str">
        <f>IF($A1662=0,"",VLOOKUP($A1662,'BASE MATERIAL'!$A:$D,4))</f>
        <v/>
      </c>
      <c r="H1662" s="56" t="str">
        <f t="shared" si="149"/>
        <v/>
      </c>
      <c r="I1662" s="5"/>
      <c r="L1662" s="5"/>
      <c r="M1662" s="5"/>
      <c r="N1662" s="160"/>
      <c r="O1662" s="5"/>
      <c r="P1662" s="5"/>
    </row>
    <row r="1663" spans="1:16" s="4" customFormat="1" x14ac:dyDescent="0.25">
      <c r="A1663" s="103"/>
      <c r="B1663" s="38" t="str">
        <f>IF($A1663=0,"",VLOOKUP($A1663,'BASE MATERIAL'!$A:$D,2))</f>
        <v/>
      </c>
      <c r="C1663" s="2"/>
      <c r="D1663" s="77"/>
      <c r="E1663" s="78" t="str">
        <f>IF($A1663=0,"",VLOOKUP($A1663,'BASE MATERIAL'!$A:$D,3))</f>
        <v/>
      </c>
      <c r="F1663" s="55"/>
      <c r="G1663" s="55" t="str">
        <f>IF($A1663=0,"",VLOOKUP($A1663,'BASE MATERIAL'!$A:$D,4))</f>
        <v/>
      </c>
      <c r="H1663" s="56" t="str">
        <f t="shared" si="149"/>
        <v/>
      </c>
      <c r="I1663" s="5"/>
      <c r="L1663" s="5"/>
      <c r="M1663" s="5"/>
      <c r="N1663" s="160"/>
      <c r="O1663" s="5"/>
      <c r="P1663" s="5"/>
    </row>
    <row r="1664" spans="1:16" s="4" customFormat="1" x14ac:dyDescent="0.25">
      <c r="A1664" s="103"/>
      <c r="B1664" s="38" t="str">
        <f>IF($A1664=0,"",VLOOKUP($A1664,'BASE MATERIAL'!$A:$D,2))</f>
        <v/>
      </c>
      <c r="C1664" s="2"/>
      <c r="D1664" s="77"/>
      <c r="E1664" s="78" t="str">
        <f>IF($A1664=0,"",VLOOKUP($A1664,'BASE MATERIAL'!$A:$D,3))</f>
        <v/>
      </c>
      <c r="F1664" s="55"/>
      <c r="G1664" s="55" t="str">
        <f>IF($A1664=0,"",VLOOKUP($A1664,'BASE MATERIAL'!$A:$D,4))</f>
        <v/>
      </c>
      <c r="H1664" s="56" t="str">
        <f t="shared" si="149"/>
        <v/>
      </c>
      <c r="I1664" s="5"/>
    </row>
    <row r="1665" spans="1:9" s="4" customFormat="1" x14ac:dyDescent="0.25">
      <c r="A1665" s="103"/>
      <c r="B1665" s="38" t="str">
        <f>IF($A1665=0,"",VLOOKUP($A1665,'BASE MATERIAL'!$A:$D,2))</f>
        <v/>
      </c>
      <c r="C1665" s="2"/>
      <c r="D1665" s="77"/>
      <c r="E1665" s="78" t="str">
        <f>IF($A1665=0,"",VLOOKUP($A1665,'BASE MATERIAL'!$A:$D,3))</f>
        <v/>
      </c>
      <c r="F1665" s="55"/>
      <c r="G1665" s="55" t="str">
        <f>IF($A1665=0,"",VLOOKUP($A1665,'BASE MATERIAL'!$A:$D,4))</f>
        <v/>
      </c>
      <c r="H1665" s="56" t="str">
        <f t="shared" si="149"/>
        <v/>
      </c>
      <c r="I1665" s="5"/>
    </row>
    <row r="1666" spans="1:9" s="4" customFormat="1" x14ac:dyDescent="0.25">
      <c r="A1666" s="103"/>
      <c r="B1666" s="38" t="str">
        <f>IF($A1666=0,"",VLOOKUP($A1666,'BASE MATERIAL'!$A:$D,2))</f>
        <v/>
      </c>
      <c r="C1666" s="2"/>
      <c r="D1666" s="77"/>
      <c r="E1666" s="78" t="str">
        <f>IF($A1666=0,"",VLOOKUP($A1666,'BASE MATERIAL'!$A:$D,3))</f>
        <v/>
      </c>
      <c r="F1666" s="55"/>
      <c r="G1666" s="55" t="str">
        <f>IF($A1666=0,"",VLOOKUP($A1666,'BASE MATERIAL'!$A:$D,4))</f>
        <v/>
      </c>
      <c r="H1666" s="56" t="str">
        <f t="shared" si="149"/>
        <v/>
      </c>
      <c r="I1666" s="5"/>
    </row>
    <row r="1667" spans="1:9" s="4" customFormat="1" x14ac:dyDescent="0.25">
      <c r="A1667" s="103"/>
      <c r="B1667" s="38" t="str">
        <f>IF($A1667=0,"",VLOOKUP($A1667,'BASE MATERIAL'!$A:$D,2))</f>
        <v/>
      </c>
      <c r="C1667" s="2"/>
      <c r="D1667" s="77"/>
      <c r="E1667" s="78" t="str">
        <f>IF($A1667=0,"",VLOOKUP($A1667,'BASE MATERIAL'!$A:$D,3))</f>
        <v/>
      </c>
      <c r="F1667" s="55"/>
      <c r="G1667" s="55" t="str">
        <f>IF($A1667=0,"",VLOOKUP($A1667,'BASE MATERIAL'!$A:$D,4))</f>
        <v/>
      </c>
      <c r="H1667" s="56" t="str">
        <f t="shared" si="149"/>
        <v/>
      </c>
      <c r="I1667" s="5"/>
    </row>
    <row r="1668" spans="1:9" s="4" customFormat="1" x14ac:dyDescent="0.25">
      <c r="A1668" s="103"/>
      <c r="B1668" s="38" t="str">
        <f>IF($A1668=0,"",VLOOKUP($A1668,'BASE MATERIAL'!$A:$D,2))</f>
        <v/>
      </c>
      <c r="C1668" s="2"/>
      <c r="D1668" s="81" t="s">
        <v>1682</v>
      </c>
      <c r="E1668" s="55" t="str">
        <f>IF($A1668=0,"",VLOOKUP($A1668,'BASE MATERIAL'!$A:$D,3))</f>
        <v/>
      </c>
      <c r="F1668" s="55" t="s">
        <v>1682</v>
      </c>
      <c r="G1668" s="55" t="str">
        <f>IF($A1668=0,"",VLOOKUP($A1668,'BASE MATERIAL'!$A:$D,4))</f>
        <v/>
      </c>
      <c r="H1668" s="56" t="str">
        <f>IF($A1668=0,"",ROUND(E1668*F1668,2))</f>
        <v/>
      </c>
      <c r="I1668" s="5"/>
    </row>
    <row r="1669" spans="1:9" s="4" customFormat="1" x14ac:dyDescent="0.25">
      <c r="A1669" s="103"/>
      <c r="B1669" s="73" t="s">
        <v>1681</v>
      </c>
      <c r="C1669" s="65"/>
      <c r="D1669" s="74"/>
      <c r="E1669" s="74"/>
      <c r="F1669" s="74"/>
      <c r="G1669" s="74"/>
      <c r="H1669" s="75">
        <f>ROUND(SUM(H1652:H1668),2)</f>
        <v>2.12</v>
      </c>
      <c r="I1669" s="5"/>
    </row>
    <row r="1670" spans="1:9" s="4" customFormat="1" x14ac:dyDescent="0.25">
      <c r="A1670" s="103"/>
      <c r="B1670" s="38" t="s">
        <v>1680</v>
      </c>
      <c r="C1670" s="2"/>
      <c r="D1670" s="3"/>
      <c r="E1670" s="3"/>
      <c r="F1670" s="3"/>
      <c r="G1670" s="3"/>
      <c r="H1670" s="56"/>
      <c r="I1670" s="5"/>
    </row>
    <row r="1671" spans="1:9" ht="25.5" x14ac:dyDescent="0.25">
      <c r="B1671" s="64" t="s">
        <v>1409</v>
      </c>
      <c r="C1671" s="65"/>
      <c r="D1671" s="76"/>
      <c r="E1671" s="66" t="s">
        <v>1408</v>
      </c>
      <c r="F1671" s="66" t="s">
        <v>1679</v>
      </c>
      <c r="G1671" s="66" t="s">
        <v>1676</v>
      </c>
      <c r="H1671" s="68" t="s">
        <v>1675</v>
      </c>
      <c r="I1671" s="2"/>
    </row>
    <row r="1672" spans="1:9" s="4" customFormat="1" x14ac:dyDescent="0.25">
      <c r="A1672" s="103">
        <v>19019</v>
      </c>
      <c r="B1672" s="51" t="str">
        <f>IF($A1672=0,"",VLOOKUP($A1672,'BASE EQUIPO'!$A:$D,2))</f>
        <v>TRANSPORTE DE MATERIAL</v>
      </c>
      <c r="C1672" s="52"/>
      <c r="D1672" s="82"/>
      <c r="E1672" s="78" t="str">
        <f>IF($A1672=0,"",VLOOKUP($A1672,'BASE EQUIPO'!$A:$D,3))</f>
        <v>GLOBAL</v>
      </c>
      <c r="F1672" s="55">
        <v>1</v>
      </c>
      <c r="G1672" s="83">
        <f>IF($A1672=0,"",VLOOKUP($A1672,'BASE EQUIPO'!$A:$D,4)*H1669)</f>
        <v>6.3600000000000004E-2</v>
      </c>
      <c r="H1672" s="56">
        <f>IF($A1672=0,"",ROUND(F1672*G1672,2))</f>
        <v>0.06</v>
      </c>
      <c r="I1672" s="5"/>
    </row>
    <row r="1673" spans="1:9" s="4" customFormat="1" x14ac:dyDescent="0.25">
      <c r="A1673" s="103"/>
      <c r="B1673" s="38" t="str">
        <f>IF($A1673=0,"",VLOOKUP($A1673,'BASE EQUIPO'!$A:$D,2))</f>
        <v/>
      </c>
      <c r="C1673" s="2"/>
      <c r="D1673" s="84"/>
      <c r="E1673" s="78" t="str">
        <f>IF($A1673=0,"",VLOOKUP($A1673,'BASE EQUIPO'!$A:$D,3))</f>
        <v/>
      </c>
      <c r="F1673" s="55"/>
      <c r="G1673" s="55" t="str">
        <f>IF($A1673=0,"",VLOOKUP($A1673,'BASE EQUIPO'!$A:$D,4)*H1670)</f>
        <v/>
      </c>
      <c r="H1673" s="56" t="str">
        <f>IF($A1673=0,"",ROUND(F1673*G1673,2))</f>
        <v/>
      </c>
      <c r="I1673" s="5"/>
    </row>
    <row r="1674" spans="1:9" s="4" customFormat="1" x14ac:dyDescent="0.25">
      <c r="A1674" s="103"/>
      <c r="B1674" s="57" t="str">
        <f>IF($A1674=0,"",VLOOKUP($A1674,'BASE EQUIPO'!$A:$D,2))</f>
        <v/>
      </c>
      <c r="C1674" s="58"/>
      <c r="D1674" s="85"/>
      <c r="E1674" s="86" t="str">
        <f>IF($A1674=0,"",VLOOKUP($A1674,'BASE EQUIPO'!$A:$D,3))</f>
        <v/>
      </c>
      <c r="F1674" s="59"/>
      <c r="G1674" s="59" t="str">
        <f>IF($A1674=0,"",VLOOKUP($A1674,'BASE EQUIPO'!$A:$D,4)*H1671)</f>
        <v/>
      </c>
      <c r="H1674" s="60" t="str">
        <f>IF($A1674=0,"",ROUND(F1674*G1674,2))</f>
        <v/>
      </c>
      <c r="I1674" s="5"/>
    </row>
    <row r="1675" spans="1:9" s="4" customFormat="1" ht="15.75" thickBot="1" x14ac:dyDescent="0.3">
      <c r="A1675" s="103"/>
      <c r="B1675" s="87" t="s">
        <v>1674</v>
      </c>
      <c r="C1675" s="88"/>
      <c r="D1675" s="89"/>
      <c r="E1675" s="89"/>
      <c r="F1675" s="89"/>
      <c r="G1675" s="89"/>
      <c r="H1675" s="90">
        <f>ROUND(SUM(H1671:H1674),2)</f>
        <v>0.06</v>
      </c>
      <c r="I1675" s="5"/>
    </row>
    <row r="1676" spans="1:9" s="4" customFormat="1" ht="15.75" x14ac:dyDescent="0.25">
      <c r="A1676" s="103"/>
      <c r="B1676" s="2"/>
      <c r="C1676" s="2"/>
      <c r="D1676" s="91" t="s">
        <v>1673</v>
      </c>
      <c r="E1676" s="177"/>
      <c r="F1676" s="177"/>
      <c r="G1676" s="177"/>
      <c r="H1676" s="92">
        <f>ROUND(SUM(H1675,H1669,H1650,H1640),2)</f>
        <v>10.51</v>
      </c>
      <c r="I1676" s="5"/>
    </row>
    <row r="1677" spans="1:9" s="4" customFormat="1" ht="15.75" x14ac:dyDescent="0.25">
      <c r="A1677" s="103">
        <v>40002</v>
      </c>
      <c r="B1677" s="2"/>
      <c r="C1677" s="2"/>
      <c r="D1677" s="93" t="s">
        <v>1672</v>
      </c>
      <c r="E1677" s="166"/>
      <c r="F1677" s="166"/>
      <c r="G1677" s="178">
        <f>IF($A1677=0,"",VLOOKUP($A1677,'BASE MATERIAL'!$M:$P,4))</f>
        <v>0</v>
      </c>
      <c r="H1677" s="95">
        <f>IF($A1677=0,"",ROUND(G1677*H1676,2))</f>
        <v>0</v>
      </c>
      <c r="I1677" s="5"/>
    </row>
    <row r="1678" spans="1:9" s="4" customFormat="1" ht="15.75" x14ac:dyDescent="0.25">
      <c r="A1678" s="103">
        <v>40003</v>
      </c>
      <c r="B1678" s="2"/>
      <c r="C1678" s="2"/>
      <c r="D1678" s="93" t="s">
        <v>1671</v>
      </c>
      <c r="E1678" s="166"/>
      <c r="F1678" s="166"/>
      <c r="G1678" s="178">
        <f>IF($A1678=0,"",VLOOKUP($A1678,'BASE MATERIAL'!$M:$P,4))</f>
        <v>0</v>
      </c>
      <c r="H1678" s="95">
        <f>IF($A1678=0,"",ROUND(G1678*H1676,2))</f>
        <v>0</v>
      </c>
      <c r="I1678" s="5"/>
    </row>
    <row r="1679" spans="1:9" s="4" customFormat="1" ht="15.75" x14ac:dyDescent="0.25">
      <c r="A1679" s="103"/>
      <c r="B1679" s="2"/>
      <c r="C1679" s="2"/>
      <c r="D1679" s="93" t="s">
        <v>1670</v>
      </c>
      <c r="E1679" s="166"/>
      <c r="F1679" s="166"/>
      <c r="G1679" s="166"/>
      <c r="H1679" s="96">
        <f>ROUND(SUM(H1676:H1678),2)</f>
        <v>10.51</v>
      </c>
      <c r="I1679" s="5"/>
    </row>
    <row r="1680" spans="1:9" s="4" customFormat="1" ht="16.5" thickBot="1" x14ac:dyDescent="0.3">
      <c r="A1680" s="103"/>
      <c r="B1680" s="25"/>
      <c r="C1680" s="5"/>
      <c r="D1680" s="97" t="s">
        <v>1650</v>
      </c>
      <c r="E1680" s="179"/>
      <c r="F1680" s="179"/>
      <c r="G1680" s="179"/>
      <c r="H1680" s="98">
        <f>ROUND(H1679,2)</f>
        <v>10.51</v>
      </c>
      <c r="I1680" s="5"/>
    </row>
    <row r="1681" spans="1:15" ht="15.75" x14ac:dyDescent="0.25">
      <c r="B1681" s="34" t="s">
        <v>1701</v>
      </c>
      <c r="C1681" s="5"/>
      <c r="D1681" s="157" t="str">
        <f>$D$113</f>
        <v>ESPOL</v>
      </c>
      <c r="E1681" s="2"/>
      <c r="F1681" s="2"/>
      <c r="H1681" s="2" t="s">
        <v>108</v>
      </c>
      <c r="I1681" s="2"/>
      <c r="L1681" s="40">
        <f>A1685</f>
        <v>26</v>
      </c>
      <c r="M1681" s="1" t="str">
        <f>C1686</f>
        <v>Losa de closet  (inc. Enlucido)</v>
      </c>
      <c r="N1681" s="2" t="str">
        <f>H1685</f>
        <v>ml</v>
      </c>
      <c r="O1681" s="2">
        <f>H1736</f>
        <v>49.66</v>
      </c>
    </row>
    <row r="1682" spans="1:15" s="4" customFormat="1" ht="15.75" x14ac:dyDescent="0.25">
      <c r="A1682" s="103"/>
      <c r="B1682" s="34" t="s">
        <v>1700</v>
      </c>
      <c r="C1682" s="3">
        <f>'1.1'!$C$2</f>
        <v>0</v>
      </c>
      <c r="D1682" s="5"/>
      <c r="E1682" s="5"/>
      <c r="F1682" s="5"/>
      <c r="G1682" s="158" t="s">
        <v>1699</v>
      </c>
      <c r="H1682" s="159"/>
      <c r="I1682" s="5" t="s">
        <v>1698</v>
      </c>
    </row>
    <row r="1683" spans="1:15" s="4" customFormat="1" ht="15.75" x14ac:dyDescent="0.25">
      <c r="A1683" s="103"/>
      <c r="B1683" s="34"/>
      <c r="C1683" s="3">
        <f>'1.1'!$C$3</f>
        <v>0</v>
      </c>
      <c r="D1683" s="5"/>
      <c r="E1683" s="5"/>
      <c r="F1683" s="5"/>
      <c r="G1683" s="5"/>
      <c r="H1683" s="5"/>
      <c r="I1683" s="5"/>
    </row>
    <row r="1684" spans="1:15" s="4" customFormat="1" ht="15.75" x14ac:dyDescent="0.25">
      <c r="A1684" s="103"/>
      <c r="B1684" s="34" t="s">
        <v>1697</v>
      </c>
      <c r="C1684" s="3"/>
      <c r="D1684" s="5"/>
      <c r="E1684" s="5"/>
      <c r="F1684" s="5"/>
      <c r="G1684" s="5"/>
      <c r="H1684" s="5"/>
      <c r="I1684" s="5"/>
    </row>
    <row r="1685" spans="1:15" x14ac:dyDescent="0.25">
      <c r="A1685" s="104">
        <v>26</v>
      </c>
      <c r="B1685" s="2" t="s">
        <v>1586</v>
      </c>
      <c r="C1685" s="36" t="s">
        <v>1542</v>
      </c>
      <c r="D1685" s="5"/>
      <c r="E1685" s="4"/>
      <c r="F1685" s="4"/>
      <c r="G1685" s="5" t="s">
        <v>1696</v>
      </c>
      <c r="H1685" s="157" t="s">
        <v>961</v>
      </c>
      <c r="I1685" s="2"/>
    </row>
    <row r="1686" spans="1:15" s="4" customFormat="1" x14ac:dyDescent="0.25">
      <c r="A1686" s="103"/>
      <c r="B1686" s="1" t="s">
        <v>1585</v>
      </c>
      <c r="C1686" s="36" t="s">
        <v>1726</v>
      </c>
      <c r="D1686" s="5"/>
      <c r="E1686" s="5"/>
      <c r="F1686" s="5"/>
      <c r="G1686" s="5"/>
      <c r="H1686" s="5"/>
      <c r="I1686" s="5"/>
    </row>
    <row r="1687" spans="1:15" ht="15.75" thickBot="1" x14ac:dyDescent="0.3">
      <c r="D1687" s="2"/>
      <c r="E1687" s="2"/>
      <c r="F1687" s="2"/>
      <c r="G1687" s="2"/>
      <c r="H1687" s="2"/>
      <c r="I1687" s="2"/>
    </row>
    <row r="1688" spans="1:15" ht="15.75" thickBot="1" x14ac:dyDescent="0.3">
      <c r="B1688" s="43" t="s">
        <v>1695</v>
      </c>
      <c r="C1688" s="44"/>
      <c r="D1688" s="44"/>
      <c r="E1688" s="44"/>
      <c r="F1688" s="44"/>
      <c r="G1688" s="44"/>
      <c r="H1688" s="45"/>
      <c r="I1688" s="2"/>
    </row>
    <row r="1689" spans="1:15" ht="25.5" x14ac:dyDescent="0.25">
      <c r="B1689" s="46" t="s">
        <v>1409</v>
      </c>
      <c r="C1689" s="47"/>
      <c r="D1689" s="48" t="s">
        <v>1690</v>
      </c>
      <c r="E1689" s="48" t="s">
        <v>1694</v>
      </c>
      <c r="F1689" s="48" t="s">
        <v>1693</v>
      </c>
      <c r="G1689" s="49" t="s">
        <v>1687</v>
      </c>
      <c r="H1689" s="50" t="s">
        <v>1686</v>
      </c>
      <c r="I1689" s="2"/>
    </row>
    <row r="1690" spans="1:15" s="4" customFormat="1" x14ac:dyDescent="0.25">
      <c r="A1690" s="103">
        <v>19015</v>
      </c>
      <c r="B1690" s="51" t="str">
        <f>IF($A1690=0,"",VLOOKUP($A1690,'BASE EQUIPO'!$A:$D,2))</f>
        <v>HERRAMIENTA MENOR</v>
      </c>
      <c r="C1690" s="52"/>
      <c r="D1690" s="53">
        <v>1</v>
      </c>
      <c r="E1690" s="53">
        <f>IF($A1690=0,"",VLOOKUP($A1690,'BASE EQUIPO'!$A:$D,4)*H1706)</f>
        <v>0.6069</v>
      </c>
      <c r="F1690" s="53">
        <f t="shared" ref="F1690:F1695" si="150">IF($A1690=0,"",ROUND(D1690*E1690,2))</f>
        <v>0.61</v>
      </c>
      <c r="G1690" s="105">
        <v>1</v>
      </c>
      <c r="H1690" s="54">
        <f t="shared" ref="H1690:H1695" si="151">IF($A1690=0,"",ROUND(G1690*F1690,2))</f>
        <v>0.61</v>
      </c>
      <c r="I1690" s="5"/>
    </row>
    <row r="1691" spans="1:15" s="4" customFormat="1" x14ac:dyDescent="0.25">
      <c r="A1691" s="103"/>
      <c r="B1691" s="38" t="str">
        <f>IF($A1691=0,"",VLOOKUP($A1691,'BASE EQUIPO'!$A:$D,2))</f>
        <v/>
      </c>
      <c r="C1691" s="2"/>
      <c r="D1691" s="55"/>
      <c r="E1691" s="55" t="str">
        <f>IF($A1691=0,"",VLOOKUP($A1691,'BASE EQUIPO'!$A:$D,4))</f>
        <v/>
      </c>
      <c r="F1691" s="55" t="str">
        <f t="shared" si="150"/>
        <v/>
      </c>
      <c r="G1691" s="106"/>
      <c r="H1691" s="56" t="str">
        <f t="shared" si="151"/>
        <v/>
      </c>
      <c r="I1691" s="5"/>
    </row>
    <row r="1692" spans="1:15" s="4" customFormat="1" x14ac:dyDescent="0.25">
      <c r="A1692" s="103"/>
      <c r="B1692" s="38" t="str">
        <f>IF($A1692=0,"",VLOOKUP($A1692,'BASE EQUIPO'!$A:$D,2))</f>
        <v/>
      </c>
      <c r="C1692" s="2"/>
      <c r="D1692" s="55"/>
      <c r="E1692" s="55" t="str">
        <f>IF($A1692=0,"",VLOOKUP($A1692,'BASE EQUIPO'!$A:$D,4))</f>
        <v/>
      </c>
      <c r="F1692" s="55" t="str">
        <f t="shared" si="150"/>
        <v/>
      </c>
      <c r="G1692" s="106"/>
      <c r="H1692" s="56" t="str">
        <f t="shared" si="151"/>
        <v/>
      </c>
      <c r="I1692" s="5"/>
    </row>
    <row r="1693" spans="1:15" s="4" customFormat="1" x14ac:dyDescent="0.25">
      <c r="A1693" s="103"/>
      <c r="B1693" s="38" t="str">
        <f>IF($A1693=0,"",VLOOKUP($A1693,'BASE EQUIPO'!$A:$D,2))</f>
        <v/>
      </c>
      <c r="C1693" s="2"/>
      <c r="D1693" s="55"/>
      <c r="E1693" s="55" t="str">
        <f>IF($A1693=0,"",VLOOKUP($A1693,'BASE EQUIPO'!$A:$D,4))</f>
        <v/>
      </c>
      <c r="F1693" s="55" t="str">
        <f t="shared" si="150"/>
        <v/>
      </c>
      <c r="G1693" s="106"/>
      <c r="H1693" s="56" t="str">
        <f t="shared" si="151"/>
        <v/>
      </c>
      <c r="I1693" s="5"/>
    </row>
    <row r="1694" spans="1:15" s="4" customFormat="1" x14ac:dyDescent="0.25">
      <c r="A1694" s="103"/>
      <c r="B1694" s="38" t="str">
        <f>IF($A1694=0,"",VLOOKUP($A1694,'BASE EQUIPO'!$A:$D,2))</f>
        <v/>
      </c>
      <c r="C1694" s="2"/>
      <c r="D1694" s="55"/>
      <c r="E1694" s="55" t="str">
        <f>IF($A1694=0,"",VLOOKUP($A1694,'BASE EQUIPO'!$A:$D,4))</f>
        <v/>
      </c>
      <c r="F1694" s="55" t="str">
        <f t="shared" si="150"/>
        <v/>
      </c>
      <c r="G1694" s="106"/>
      <c r="H1694" s="56" t="str">
        <f t="shared" si="151"/>
        <v/>
      </c>
      <c r="I1694" s="5"/>
    </row>
    <row r="1695" spans="1:15" s="4" customFormat="1" x14ac:dyDescent="0.25">
      <c r="A1695" s="103"/>
      <c r="B1695" s="57" t="str">
        <f>IF($A1695=0,"",VLOOKUP($A1695,'BASE EQUIPO'!$A:$D,2))</f>
        <v/>
      </c>
      <c r="C1695" s="58"/>
      <c r="D1695" s="59"/>
      <c r="E1695" s="59" t="str">
        <f>IF($A1695=0,"",VLOOKUP($A1695,'BASE EQUIPO'!$A:$D,4))</f>
        <v/>
      </c>
      <c r="F1695" s="59" t="str">
        <f t="shared" si="150"/>
        <v/>
      </c>
      <c r="G1695" s="107"/>
      <c r="H1695" s="60" t="str">
        <f t="shared" si="151"/>
        <v/>
      </c>
      <c r="I1695" s="5"/>
    </row>
    <row r="1696" spans="1:15" s="4" customFormat="1" x14ac:dyDescent="0.25">
      <c r="A1696" s="103"/>
      <c r="B1696" s="57" t="s">
        <v>1692</v>
      </c>
      <c r="C1696" s="58"/>
      <c r="D1696" s="61"/>
      <c r="E1696" s="61"/>
      <c r="F1696" s="61"/>
      <c r="G1696" s="62"/>
      <c r="H1696" s="60">
        <f>ROUND(SUM(H1689:H1695),2)</f>
        <v>0.61</v>
      </c>
      <c r="I1696" s="5"/>
    </row>
    <row r="1697" spans="1:16" s="4" customFormat="1" x14ac:dyDescent="0.25">
      <c r="A1697" s="103"/>
      <c r="B1697" s="38" t="s">
        <v>1503</v>
      </c>
      <c r="C1697" s="2"/>
      <c r="D1697" s="3"/>
      <c r="E1697" s="3"/>
      <c r="F1697" s="3"/>
      <c r="G1697" s="63"/>
      <c r="H1697" s="56"/>
      <c r="I1697" s="5"/>
    </row>
    <row r="1698" spans="1:16" ht="25.5" x14ac:dyDescent="0.25">
      <c r="B1698" s="64" t="s">
        <v>1691</v>
      </c>
      <c r="C1698" s="65"/>
      <c r="D1698" s="66" t="s">
        <v>1690</v>
      </c>
      <c r="E1698" s="66" t="s">
        <v>1689</v>
      </c>
      <c r="F1698" s="66" t="s">
        <v>1688</v>
      </c>
      <c r="G1698" s="67" t="s">
        <v>1687</v>
      </c>
      <c r="H1698" s="68" t="s">
        <v>1686</v>
      </c>
      <c r="I1698" s="2"/>
    </row>
    <row r="1699" spans="1:16" s="4" customFormat="1" x14ac:dyDescent="0.25">
      <c r="A1699" s="103">
        <v>20001</v>
      </c>
      <c r="B1699" s="69" t="str">
        <f>IF($A1699=0,"",VLOOKUP($A1699,'BASE M-OBRA'!$A:$D,2))</f>
        <v>MAESTRO</v>
      </c>
      <c r="C1699" s="2"/>
      <c r="D1699" s="108">
        <v>1</v>
      </c>
      <c r="E1699" s="70">
        <f>IF($A1699=0,"",VLOOKUP($A1699,'BASE M-OBRA'!$A:$D,4))</f>
        <v>3.02</v>
      </c>
      <c r="F1699" s="55">
        <f t="shared" ref="F1699:F1705" si="152">IF($A1699=0,"",ROUND(D1699*E1699,2))</f>
        <v>3.02</v>
      </c>
      <c r="G1699" s="106">
        <f>IF($A1699=0,"",ROUND(H1699/F1699,2))</f>
        <v>1.1200000000000001</v>
      </c>
      <c r="H1699" s="56">
        <f>IF($A1699=0,"",ROUND(SUM(H1700:H1705)*'BASE M-OBRA'!$D$23,2))</f>
        <v>3.37</v>
      </c>
      <c r="I1699" s="5"/>
    </row>
    <row r="1700" spans="1:16" s="4" customFormat="1" x14ac:dyDescent="0.25">
      <c r="A1700" s="103">
        <v>20002</v>
      </c>
      <c r="B1700" s="69" t="str">
        <f>IF($A1700=0,"",VLOOKUP($A1700,'BASE M-OBRA'!$A:$D,2))</f>
        <v>PEON</v>
      </c>
      <c r="C1700" s="2"/>
      <c r="D1700" s="108">
        <v>1</v>
      </c>
      <c r="E1700" s="70">
        <f>IF($A1700=0,"",VLOOKUP($A1700,'BASE M-OBRA'!$A:$D,4))</f>
        <v>2.79</v>
      </c>
      <c r="F1700" s="55">
        <f t="shared" si="152"/>
        <v>2.79</v>
      </c>
      <c r="G1700" s="106">
        <v>2</v>
      </c>
      <c r="H1700" s="56">
        <f t="shared" ref="H1700:H1705" si="153">IF($A1700=0,"",ROUND(G1700*F1700,2))</f>
        <v>5.58</v>
      </c>
      <c r="I1700" s="5"/>
      <c r="K1700" s="4">
        <f>3+20*0.1+8*0.5+3.5*1.3</f>
        <v>13.55</v>
      </c>
    </row>
    <row r="1701" spans="1:16" s="4" customFormat="1" x14ac:dyDescent="0.25">
      <c r="A1701" s="103">
        <v>20003</v>
      </c>
      <c r="B1701" s="69" t="str">
        <f>IF($A1701=0,"",VLOOKUP($A1701,'BASE M-OBRA'!$A:$D,2))</f>
        <v>ALBAÑIL</v>
      </c>
      <c r="C1701" s="2"/>
      <c r="D1701" s="108">
        <v>2</v>
      </c>
      <c r="E1701" s="70">
        <f>IF($A1701=0,"",VLOOKUP($A1701,'BASE M-OBRA'!$A:$D,4))</f>
        <v>2.82</v>
      </c>
      <c r="F1701" s="55">
        <f t="shared" si="152"/>
        <v>5.64</v>
      </c>
      <c r="G1701" s="106">
        <f>+G1700</f>
        <v>2</v>
      </c>
      <c r="H1701" s="56">
        <f t="shared" si="153"/>
        <v>11.28</v>
      </c>
      <c r="I1701" s="5"/>
    </row>
    <row r="1702" spans="1:16" s="4" customFormat="1" x14ac:dyDescent="0.25">
      <c r="A1702" s="103"/>
      <c r="B1702" s="71" t="str">
        <f>IF($A1702=0,"",VLOOKUP($A1702,'BASE M-OBRA'!$A:$D,2))</f>
        <v/>
      </c>
      <c r="C1702" s="2"/>
      <c r="D1702" s="108"/>
      <c r="E1702" s="70" t="str">
        <f>IF($A1702=0,"",VLOOKUP($A1702,'BASE M-OBRA'!$A:$D,4))</f>
        <v/>
      </c>
      <c r="F1702" s="55" t="str">
        <f t="shared" si="152"/>
        <v/>
      </c>
      <c r="G1702" s="106"/>
      <c r="H1702" s="56" t="str">
        <f t="shared" si="153"/>
        <v/>
      </c>
      <c r="I1702" s="5"/>
    </row>
    <row r="1703" spans="1:16" s="4" customFormat="1" x14ac:dyDescent="0.25">
      <c r="A1703" s="103"/>
      <c r="B1703" s="72" t="str">
        <f>IF($A1703=0,"",VLOOKUP($A1703,'BASE M-OBRA'!$A:$D,2))</f>
        <v/>
      </c>
      <c r="C1703" s="2"/>
      <c r="D1703" s="108"/>
      <c r="E1703" s="70" t="str">
        <f>IF($A1703=0,"",VLOOKUP($A1703,'BASE M-OBRA'!$A:$D,4))</f>
        <v/>
      </c>
      <c r="F1703" s="55" t="str">
        <f t="shared" si="152"/>
        <v/>
      </c>
      <c r="G1703" s="106"/>
      <c r="H1703" s="56" t="str">
        <f t="shared" si="153"/>
        <v/>
      </c>
      <c r="I1703" s="5"/>
    </row>
    <row r="1704" spans="1:16" s="4" customFormat="1" x14ac:dyDescent="0.25">
      <c r="A1704" s="103"/>
      <c r="B1704" s="38" t="str">
        <f>IF($A1704=0,"",VLOOKUP($A1704,'BASE M-OBRA'!$A:$D,2))</f>
        <v/>
      </c>
      <c r="C1704" s="2"/>
      <c r="D1704" s="55"/>
      <c r="E1704" s="55" t="str">
        <f>IF($A1704=0,"",VLOOKUP($A1704,'BASE M-OBRA'!$A:$D,4))</f>
        <v/>
      </c>
      <c r="F1704" s="55" t="str">
        <f t="shared" si="152"/>
        <v/>
      </c>
      <c r="G1704" s="106"/>
      <c r="H1704" s="56" t="str">
        <f t="shared" si="153"/>
        <v/>
      </c>
      <c r="I1704" s="5"/>
    </row>
    <row r="1705" spans="1:16" s="4" customFormat="1" x14ac:dyDescent="0.25">
      <c r="A1705" s="103"/>
      <c r="B1705" s="57" t="str">
        <f>IF($A1705=0,"",VLOOKUP($A1705,'BASE M-OBRA'!$A:$D,2))</f>
        <v/>
      </c>
      <c r="C1705" s="58"/>
      <c r="D1705" s="59"/>
      <c r="E1705" s="59" t="str">
        <f>IF($A1705=0,"",VLOOKUP($A1705,'BASE M-OBRA'!$A:$D,4))</f>
        <v/>
      </c>
      <c r="F1705" s="59" t="str">
        <f t="shared" si="152"/>
        <v/>
      </c>
      <c r="G1705" s="107"/>
      <c r="H1705" s="60" t="str">
        <f t="shared" si="153"/>
        <v/>
      </c>
      <c r="I1705" s="5"/>
    </row>
    <row r="1706" spans="1:16" s="4" customFormat="1" x14ac:dyDescent="0.25">
      <c r="A1706" s="103"/>
      <c r="B1706" s="73" t="s">
        <v>1685</v>
      </c>
      <c r="C1706" s="65"/>
      <c r="D1706" s="74"/>
      <c r="E1706" s="74"/>
      <c r="F1706" s="74"/>
      <c r="G1706" s="74"/>
      <c r="H1706" s="75">
        <f>ROUND(SUM(H1698:H1705),2)</f>
        <v>20.23</v>
      </c>
      <c r="I1706" s="5"/>
    </row>
    <row r="1707" spans="1:16" s="4" customFormat="1" x14ac:dyDescent="0.25">
      <c r="A1707" s="103"/>
      <c r="B1707" s="38" t="s">
        <v>1684</v>
      </c>
      <c r="C1707" s="2"/>
      <c r="D1707" s="3"/>
      <c r="E1707" s="3"/>
      <c r="F1707" s="3"/>
      <c r="G1707" s="3"/>
      <c r="H1707" s="56"/>
      <c r="I1707" s="5"/>
    </row>
    <row r="1708" spans="1:16" ht="25.5" x14ac:dyDescent="0.25">
      <c r="B1708" s="64" t="s">
        <v>1409</v>
      </c>
      <c r="C1708" s="65"/>
      <c r="D1708" s="76"/>
      <c r="E1708" s="66" t="s">
        <v>1408</v>
      </c>
      <c r="F1708" s="66" t="s">
        <v>1679</v>
      </c>
      <c r="G1708" s="66" t="s">
        <v>1683</v>
      </c>
      <c r="H1708" s="68" t="s">
        <v>1675</v>
      </c>
      <c r="I1708" s="2"/>
    </row>
    <row r="1709" spans="1:16" s="4" customFormat="1" x14ac:dyDescent="0.25">
      <c r="A1709" s="103">
        <v>11011</v>
      </c>
      <c r="B1709" s="37" t="str">
        <f>IF($A1709=0,"",VLOOKUP($A1709,'BASE MATERIAL'!$A:$D,2))</f>
        <v>PLYWOOD ENCOFRADO 15 MM</v>
      </c>
      <c r="C1709" s="2"/>
      <c r="D1709" s="77"/>
      <c r="E1709" s="78" t="str">
        <f>IF($A1709=0,"",VLOOKUP($A1709,'BASE MATERIAL'!$A:$D,3))</f>
        <v>U</v>
      </c>
      <c r="F1709" s="55">
        <f>ROUND(0.7/(1.2*2.4*4),2)</f>
        <v>0.06</v>
      </c>
      <c r="G1709" s="55">
        <f>IF($A1709=0,"",VLOOKUP($A1709,'BASE MATERIAL'!$A:$D,4))</f>
        <v>37.799999999999997</v>
      </c>
      <c r="H1709" s="56">
        <f t="shared" ref="H1709:H1723" si="154">IF($A1709=0,"",ROUND(F1709*G1709,2))</f>
        <v>2.27</v>
      </c>
      <c r="I1709" s="5"/>
      <c r="L1709" s="5"/>
      <c r="M1709" s="5"/>
      <c r="N1709" s="160"/>
      <c r="O1709" s="5"/>
      <c r="P1709" s="5"/>
    </row>
    <row r="1710" spans="1:16" s="4" customFormat="1" x14ac:dyDescent="0.25">
      <c r="A1710" s="103">
        <v>11009</v>
      </c>
      <c r="B1710" s="38" t="str">
        <f>IF($A1710=0,"",VLOOKUP($A1710,'BASE MATERIAL'!$A:$D,2))</f>
        <v>CUARTON</v>
      </c>
      <c r="C1710" s="2"/>
      <c r="D1710" s="77"/>
      <c r="E1710" s="78" t="str">
        <f>IF($A1710=0,"",VLOOKUP($A1710,'BASE MATERIAL'!$A:$D,3))</f>
        <v>U</v>
      </c>
      <c r="F1710" s="55">
        <v>2.5</v>
      </c>
      <c r="G1710" s="55">
        <f>IF($A1710=0,"",VLOOKUP($A1710,'BASE MATERIAL'!$A:$D,4))</f>
        <v>2.42</v>
      </c>
      <c r="H1710" s="56">
        <f t="shared" si="154"/>
        <v>6.05</v>
      </c>
      <c r="I1710" s="5"/>
      <c r="L1710" s="5"/>
      <c r="M1710" s="5"/>
      <c r="N1710" s="160"/>
      <c r="O1710" s="5"/>
      <c r="P1710" s="5"/>
    </row>
    <row r="1711" spans="1:16" s="4" customFormat="1" x14ac:dyDescent="0.25">
      <c r="A1711" s="103">
        <v>11007</v>
      </c>
      <c r="B1711" s="38" t="str">
        <f>IF($A1711=0,"",VLOOKUP($A1711,'BASE MATERIAL'!$A:$D,2))</f>
        <v>CLAVO 2 1/2"</v>
      </c>
      <c r="C1711" s="2"/>
      <c r="D1711" s="77"/>
      <c r="E1711" s="78" t="str">
        <f>IF($A1711=0,"",VLOOKUP($A1711,'BASE MATERIAL'!$A:$D,3))</f>
        <v>KG</v>
      </c>
      <c r="F1711" s="55">
        <f>ROUND(0.7*56/(178*1.5),2)</f>
        <v>0.15</v>
      </c>
      <c r="G1711" s="55">
        <f>IF($A1711=0,"",VLOOKUP($A1711,'BASE MATERIAL'!$A:$D,4))</f>
        <v>2.6520000000000001</v>
      </c>
      <c r="H1711" s="56">
        <f t="shared" si="154"/>
        <v>0.4</v>
      </c>
      <c r="I1711" s="5"/>
      <c r="L1711" s="5"/>
      <c r="M1711" s="5"/>
      <c r="N1711" s="160"/>
      <c r="O1711" s="5"/>
      <c r="P1711" s="5"/>
    </row>
    <row r="1712" spans="1:16" s="4" customFormat="1" x14ac:dyDescent="0.25">
      <c r="A1712" s="103">
        <v>1001</v>
      </c>
      <c r="B1712" s="38" t="str">
        <f>IF($A1712=0,"",VLOOKUP($A1712,'BASE MATERIAL'!$A:$D,2))</f>
        <v>HIERRO</v>
      </c>
      <c r="C1712" s="2"/>
      <c r="D1712" s="77"/>
      <c r="E1712" s="78" t="str">
        <f>IF($A1712=0,"",VLOOKUP($A1712,'BASE MATERIAL'!$A:$D,3))</f>
        <v>KG</v>
      </c>
      <c r="F1712" s="55">
        <v>8</v>
      </c>
      <c r="G1712" s="55">
        <f>IF($A1712=0,"",VLOOKUP($A1712,'BASE MATERIAL'!$A:$D,4))</f>
        <v>1.17</v>
      </c>
      <c r="H1712" s="56">
        <f t="shared" si="154"/>
        <v>9.36</v>
      </c>
      <c r="I1712" s="5"/>
      <c r="L1712" s="5"/>
      <c r="M1712" s="5"/>
      <c r="N1712" s="160"/>
      <c r="O1712" s="5"/>
      <c r="P1712" s="5"/>
    </row>
    <row r="1713" spans="1:16" s="4" customFormat="1" x14ac:dyDescent="0.25">
      <c r="A1713" s="103">
        <v>11002</v>
      </c>
      <c r="B1713" s="38" t="str">
        <f>IF($A1713=0,"",VLOOKUP($A1713,'BASE MATERIAL'!$A:$D,2))</f>
        <v>ALAMBRE #18 RECOCIDO</v>
      </c>
      <c r="C1713" s="2"/>
      <c r="D1713" s="77"/>
      <c r="E1713" s="78" t="str">
        <f>IF($A1713=0,"",VLOOKUP($A1713,'BASE MATERIAL'!$A:$D,3))</f>
        <v>KG</v>
      </c>
      <c r="F1713" s="55">
        <f>ROUND(F1712*0.02,2)</f>
        <v>0.16</v>
      </c>
      <c r="G1713" s="55">
        <f>IF($A1713=0,"",VLOOKUP($A1713,'BASE MATERIAL'!$A:$D,4))</f>
        <v>1.87</v>
      </c>
      <c r="H1713" s="56">
        <f t="shared" si="154"/>
        <v>0.3</v>
      </c>
      <c r="I1713" s="5"/>
      <c r="L1713" s="5"/>
      <c r="M1713" s="5"/>
      <c r="N1713" s="160"/>
      <c r="O1713" s="5"/>
      <c r="P1713" s="5"/>
    </row>
    <row r="1714" spans="1:16" s="4" customFormat="1" x14ac:dyDescent="0.25">
      <c r="A1714" s="103">
        <v>4001</v>
      </c>
      <c r="B1714" s="38" t="str">
        <f>IF($A1714=0,"",VLOOKUP($A1714,'BASE MATERIAL'!$A:$D,2))</f>
        <v>CEMENTO</v>
      </c>
      <c r="C1714" s="2"/>
      <c r="D1714" s="77"/>
      <c r="E1714" s="78" t="str">
        <f>IF($A1714=0,"",VLOOKUP($A1714,'BASE MATERIAL'!$A:$D,3))</f>
        <v>SACO</v>
      </c>
      <c r="F1714" s="55">
        <f>ROUND(8*0.07*0.6+1.3*0.2,2)</f>
        <v>0.6</v>
      </c>
      <c r="G1714" s="55">
        <f>IF($A1714=0,"",VLOOKUP($A1714,'BASE MATERIAL'!$A:$D,4))</f>
        <v>7.09</v>
      </c>
      <c r="H1714" s="56">
        <f t="shared" si="154"/>
        <v>4.25</v>
      </c>
      <c r="I1714" s="5"/>
      <c r="L1714" s="5"/>
      <c r="M1714" s="5"/>
      <c r="N1714" s="160"/>
      <c r="O1714" s="5"/>
      <c r="P1714" s="5"/>
    </row>
    <row r="1715" spans="1:16" s="4" customFormat="1" x14ac:dyDescent="0.25">
      <c r="A1715" s="103">
        <v>5004</v>
      </c>
      <c r="B1715" s="38" t="str">
        <f>IF($A1715=0,"",VLOOKUP($A1715,'BASE MATERIAL'!$A:$D,2))</f>
        <v>ARENA</v>
      </c>
      <c r="C1715" s="2"/>
      <c r="D1715" s="77"/>
      <c r="E1715" s="78" t="str">
        <f>IF($A1715=0,"",VLOOKUP($A1715,'BASE MATERIAL'!$A:$D,3))</f>
        <v>M3</v>
      </c>
      <c r="F1715" s="55">
        <f>ROUND(F1714*0.032*2,2)</f>
        <v>0.04</v>
      </c>
      <c r="G1715" s="55">
        <f>IF($A1715=0,"",VLOOKUP($A1715,'BASE MATERIAL'!$A:$D,4))</f>
        <v>12.276249999999999</v>
      </c>
      <c r="H1715" s="56">
        <f t="shared" si="154"/>
        <v>0.49</v>
      </c>
      <c r="I1715" s="5"/>
      <c r="L1715" s="5"/>
      <c r="M1715" s="5"/>
      <c r="N1715" s="160"/>
      <c r="O1715" s="5"/>
      <c r="P1715" s="5"/>
    </row>
    <row r="1716" spans="1:16" s="4" customFormat="1" x14ac:dyDescent="0.25">
      <c r="A1716" s="103">
        <v>5002</v>
      </c>
      <c r="B1716" s="38" t="str">
        <f>IF($A1716=0,"",VLOOKUP($A1716,'BASE MATERIAL'!$A:$D,2))</f>
        <v>PIEDRA 3-4</v>
      </c>
      <c r="C1716" s="2"/>
      <c r="D1716" s="77"/>
      <c r="E1716" s="78" t="str">
        <f>IF($A1716=0,"",VLOOKUP($A1716,'BASE MATERIAL'!$A:$D,3))</f>
        <v>M3</v>
      </c>
      <c r="F1716" s="55">
        <f>ROUND(F1714*0.032*3,2)</f>
        <v>0.06</v>
      </c>
      <c r="G1716" s="55">
        <f>IF($A1716=0,"",VLOOKUP($A1716,'BASE MATERIAL'!$A:$D,4))</f>
        <v>13.75</v>
      </c>
      <c r="H1716" s="56">
        <f t="shared" si="154"/>
        <v>0.83</v>
      </c>
      <c r="I1716" s="5"/>
      <c r="L1716" s="5"/>
      <c r="M1716" s="5"/>
      <c r="N1716" s="160"/>
      <c r="O1716" s="5"/>
      <c r="P1716" s="5"/>
    </row>
    <row r="1717" spans="1:16" s="4" customFormat="1" x14ac:dyDescent="0.25">
      <c r="A1717" s="103">
        <v>5005</v>
      </c>
      <c r="B1717" s="38" t="str">
        <f>IF($A1717=0,"",VLOOKUP($A1717,'BASE MATERIAL'!$A:$D,2))</f>
        <v>AGUA</v>
      </c>
      <c r="C1717" s="2"/>
      <c r="D1717" s="77"/>
      <c r="E1717" s="78" t="str">
        <f>IF($A1717=0,"",VLOOKUP($A1717,'BASE MATERIAL'!$A:$D,3))</f>
        <v>LT</v>
      </c>
      <c r="F1717" s="55">
        <f>ROUND(26*F1714,2)</f>
        <v>15.6</v>
      </c>
      <c r="G1717" s="80">
        <f>IF($A1717=0,"",VLOOKUP($A1717,'BASE MATERIAL'!$A:$D,4))</f>
        <v>2E-3</v>
      </c>
      <c r="H1717" s="56">
        <f t="shared" si="154"/>
        <v>0.03</v>
      </c>
      <c r="I1717" s="5"/>
    </row>
    <row r="1718" spans="1:16" s="4" customFormat="1" x14ac:dyDescent="0.25">
      <c r="A1718" s="103">
        <v>11005</v>
      </c>
      <c r="B1718" s="38" t="str">
        <f>IF($A1718=0,"",VLOOKUP($A1718,'BASE MATERIAL'!$A:$D,2))</f>
        <v>CAÑA</v>
      </c>
      <c r="C1718" s="2"/>
      <c r="D1718" s="77"/>
      <c r="E1718" s="78" t="str">
        <f>IF($A1718=0,"",VLOOKUP($A1718,'BASE MATERIAL'!$A:$D,3))</f>
        <v>U</v>
      </c>
      <c r="F1718" s="55">
        <f>2*1</f>
        <v>2</v>
      </c>
      <c r="G1718" s="55">
        <f>IF($A1718=0,"",VLOOKUP($A1718,'BASE MATERIAL'!$A:$D,4))</f>
        <v>2</v>
      </c>
      <c r="H1718" s="56">
        <f t="shared" si="154"/>
        <v>4</v>
      </c>
      <c r="I1718" s="5"/>
      <c r="L1718" s="5"/>
      <c r="M1718" s="5"/>
      <c r="N1718" s="160"/>
      <c r="O1718" s="5"/>
      <c r="P1718" s="5"/>
    </row>
    <row r="1719" spans="1:16" s="4" customFormat="1" x14ac:dyDescent="0.25">
      <c r="A1719" s="103"/>
      <c r="B1719" s="38" t="str">
        <f>IF($A1719=0,"",VLOOKUP($A1719,'BASE MATERIAL'!$A:$D,2))</f>
        <v/>
      </c>
      <c r="C1719" s="2"/>
      <c r="D1719" s="77"/>
      <c r="E1719" s="78" t="str">
        <f>IF($A1719=0,"",VLOOKUP($A1719,'BASE MATERIAL'!$A:$D,3))</f>
        <v/>
      </c>
      <c r="F1719" s="55"/>
      <c r="G1719" s="55" t="str">
        <f>IF($A1719=0,"",VLOOKUP($A1719,'BASE MATERIAL'!$A:$D,4))</f>
        <v/>
      </c>
      <c r="H1719" s="56" t="str">
        <f t="shared" si="154"/>
        <v/>
      </c>
      <c r="I1719" s="5"/>
      <c r="L1719" s="5"/>
      <c r="M1719" s="5"/>
      <c r="N1719" s="160"/>
      <c r="O1719" s="5"/>
      <c r="P1719" s="5"/>
    </row>
    <row r="1720" spans="1:16" s="4" customFormat="1" x14ac:dyDescent="0.25">
      <c r="A1720" s="103"/>
      <c r="B1720" s="38" t="str">
        <f>IF($A1720=0,"",VLOOKUP($A1720,'BASE MATERIAL'!$A:$D,2))</f>
        <v/>
      </c>
      <c r="C1720" s="2"/>
      <c r="D1720" s="77"/>
      <c r="E1720" s="78" t="str">
        <f>IF($A1720=0,"",VLOOKUP($A1720,'BASE MATERIAL'!$A:$D,3))</f>
        <v/>
      </c>
      <c r="F1720" s="55"/>
      <c r="G1720" s="55" t="str">
        <f>IF($A1720=0,"",VLOOKUP($A1720,'BASE MATERIAL'!$A:$D,4))</f>
        <v/>
      </c>
      <c r="H1720" s="56" t="str">
        <f t="shared" si="154"/>
        <v/>
      </c>
      <c r="I1720" s="5"/>
    </row>
    <row r="1721" spans="1:16" s="4" customFormat="1" x14ac:dyDescent="0.25">
      <c r="A1721" s="103"/>
      <c r="B1721" s="38" t="str">
        <f>IF($A1721=0,"",VLOOKUP($A1721,'BASE MATERIAL'!$A:$D,2))</f>
        <v/>
      </c>
      <c r="C1721" s="2"/>
      <c r="D1721" s="77"/>
      <c r="E1721" s="78" t="str">
        <f>IF($A1721=0,"",VLOOKUP($A1721,'BASE MATERIAL'!$A:$D,3))</f>
        <v/>
      </c>
      <c r="F1721" s="55"/>
      <c r="G1721" s="55" t="str">
        <f>IF($A1721=0,"",VLOOKUP($A1721,'BASE MATERIAL'!$A:$D,4))</f>
        <v/>
      </c>
      <c r="H1721" s="56" t="str">
        <f t="shared" si="154"/>
        <v/>
      </c>
      <c r="I1721" s="5"/>
    </row>
    <row r="1722" spans="1:16" s="4" customFormat="1" x14ac:dyDescent="0.25">
      <c r="A1722" s="103"/>
      <c r="B1722" s="38" t="str">
        <f>IF($A1722=0,"",VLOOKUP($A1722,'BASE MATERIAL'!$A:$D,2))</f>
        <v/>
      </c>
      <c r="C1722" s="2"/>
      <c r="D1722" s="77"/>
      <c r="E1722" s="78" t="str">
        <f>IF($A1722=0,"",VLOOKUP($A1722,'BASE MATERIAL'!$A:$D,3))</f>
        <v/>
      </c>
      <c r="F1722" s="55"/>
      <c r="G1722" s="55" t="str">
        <f>IF($A1722=0,"",VLOOKUP($A1722,'BASE MATERIAL'!$A:$D,4))</f>
        <v/>
      </c>
      <c r="H1722" s="56" t="str">
        <f t="shared" si="154"/>
        <v/>
      </c>
      <c r="I1722" s="5"/>
    </row>
    <row r="1723" spans="1:16" s="4" customFormat="1" x14ac:dyDescent="0.25">
      <c r="A1723" s="103"/>
      <c r="B1723" s="38" t="str">
        <f>IF($A1723=0,"",VLOOKUP($A1723,'BASE MATERIAL'!$A:$D,2))</f>
        <v/>
      </c>
      <c r="C1723" s="2"/>
      <c r="D1723" s="77"/>
      <c r="E1723" s="78" t="str">
        <f>IF($A1723=0,"",VLOOKUP($A1723,'BASE MATERIAL'!$A:$D,3))</f>
        <v/>
      </c>
      <c r="F1723" s="55"/>
      <c r="G1723" s="55" t="str">
        <f>IF($A1723=0,"",VLOOKUP($A1723,'BASE MATERIAL'!$A:$D,4))</f>
        <v/>
      </c>
      <c r="H1723" s="56" t="str">
        <f t="shared" si="154"/>
        <v/>
      </c>
      <c r="I1723" s="5"/>
    </row>
    <row r="1724" spans="1:16" s="4" customFormat="1" x14ac:dyDescent="0.25">
      <c r="A1724" s="103"/>
      <c r="B1724" s="38" t="str">
        <f>IF($A1724=0,"",VLOOKUP($A1724,'BASE MATERIAL'!$A:$D,2))</f>
        <v/>
      </c>
      <c r="C1724" s="2"/>
      <c r="D1724" s="81" t="s">
        <v>1682</v>
      </c>
      <c r="E1724" s="55" t="str">
        <f>IF($A1724=0,"",VLOOKUP($A1724,'BASE MATERIAL'!$A:$D,3))</f>
        <v/>
      </c>
      <c r="F1724" s="55" t="s">
        <v>1682</v>
      </c>
      <c r="G1724" s="55" t="str">
        <f>IF($A1724=0,"",VLOOKUP($A1724,'BASE MATERIAL'!$A:$D,4))</f>
        <v/>
      </c>
      <c r="H1724" s="56" t="str">
        <f>IF($A1724=0,"",ROUND(E1724*F1724,2))</f>
        <v/>
      </c>
      <c r="I1724" s="5"/>
    </row>
    <row r="1725" spans="1:16" s="4" customFormat="1" x14ac:dyDescent="0.25">
      <c r="A1725" s="103"/>
      <c r="B1725" s="73" t="s">
        <v>1681</v>
      </c>
      <c r="C1725" s="65"/>
      <c r="D1725" s="74"/>
      <c r="E1725" s="74"/>
      <c r="F1725" s="74"/>
      <c r="G1725" s="74"/>
      <c r="H1725" s="75">
        <f>ROUND(SUM(H1708:H1724),2)</f>
        <v>27.98</v>
      </c>
      <c r="I1725" s="5"/>
    </row>
    <row r="1726" spans="1:16" s="4" customFormat="1" x14ac:dyDescent="0.25">
      <c r="A1726" s="103"/>
      <c r="B1726" s="38" t="s">
        <v>1680</v>
      </c>
      <c r="C1726" s="2"/>
      <c r="D1726" s="3"/>
      <c r="E1726" s="3"/>
      <c r="F1726" s="3"/>
      <c r="G1726" s="3"/>
      <c r="H1726" s="56"/>
      <c r="I1726" s="5"/>
    </row>
    <row r="1727" spans="1:16" ht="25.5" x14ac:dyDescent="0.25">
      <c r="B1727" s="64" t="s">
        <v>1409</v>
      </c>
      <c r="C1727" s="65"/>
      <c r="D1727" s="76"/>
      <c r="E1727" s="66" t="s">
        <v>1408</v>
      </c>
      <c r="F1727" s="66" t="s">
        <v>1679</v>
      </c>
      <c r="G1727" s="66" t="s">
        <v>1676</v>
      </c>
      <c r="H1727" s="68" t="s">
        <v>1675</v>
      </c>
      <c r="I1727" s="2"/>
    </row>
    <row r="1728" spans="1:16" s="4" customFormat="1" x14ac:dyDescent="0.25">
      <c r="A1728" s="103">
        <v>19019</v>
      </c>
      <c r="B1728" s="51" t="str">
        <f>IF($A1728=0,"",VLOOKUP($A1728,'BASE EQUIPO'!$A:$D,2))</f>
        <v>TRANSPORTE DE MATERIAL</v>
      </c>
      <c r="C1728" s="52"/>
      <c r="D1728" s="82"/>
      <c r="E1728" s="78" t="str">
        <f>IF($A1728=0,"",VLOOKUP($A1728,'BASE EQUIPO'!$A:$D,3))</f>
        <v>GLOBAL</v>
      </c>
      <c r="F1728" s="55">
        <v>1</v>
      </c>
      <c r="G1728" s="83">
        <f>IF($A1728=0,"",VLOOKUP($A1728,'BASE EQUIPO'!$A:$D,4)*H1725)</f>
        <v>0.83940000000000003</v>
      </c>
      <c r="H1728" s="56">
        <f>IF($A1728=0,"",ROUND(F1728*G1728,2))</f>
        <v>0.84</v>
      </c>
      <c r="I1728" s="5"/>
    </row>
    <row r="1729" spans="1:15" s="4" customFormat="1" x14ac:dyDescent="0.25">
      <c r="A1729" s="103"/>
      <c r="B1729" s="38" t="str">
        <f>IF($A1729=0,"",VLOOKUP($A1729,'BASE EQUIPO'!$A:$D,2))</f>
        <v/>
      </c>
      <c r="C1729" s="2"/>
      <c r="D1729" s="84"/>
      <c r="E1729" s="78" t="str">
        <f>IF($A1729=0,"",VLOOKUP($A1729,'BASE EQUIPO'!$A:$D,3))</f>
        <v/>
      </c>
      <c r="F1729" s="55"/>
      <c r="G1729" s="55" t="str">
        <f>IF($A1729=0,"",VLOOKUP($A1729,'BASE EQUIPO'!$A:$D,4)*H1726)</f>
        <v/>
      </c>
      <c r="H1729" s="56" t="str">
        <f>IF($A1729=0,"",ROUND(F1729*G1729,2))</f>
        <v/>
      </c>
      <c r="I1729" s="5"/>
    </row>
    <row r="1730" spans="1:15" s="4" customFormat="1" x14ac:dyDescent="0.25">
      <c r="A1730" s="103"/>
      <c r="B1730" s="57" t="str">
        <f>IF($A1730=0,"",VLOOKUP($A1730,'BASE EQUIPO'!$A:$D,2))</f>
        <v/>
      </c>
      <c r="C1730" s="58"/>
      <c r="D1730" s="85"/>
      <c r="E1730" s="86" t="str">
        <f>IF($A1730=0,"",VLOOKUP($A1730,'BASE EQUIPO'!$A:$D,3))</f>
        <v/>
      </c>
      <c r="F1730" s="59"/>
      <c r="G1730" s="59" t="str">
        <f>IF($A1730=0,"",VLOOKUP($A1730,'BASE EQUIPO'!$A:$D,4)*H1727)</f>
        <v/>
      </c>
      <c r="H1730" s="60" t="str">
        <f>IF($A1730=0,"",ROUND(F1730*G1730,2))</f>
        <v/>
      </c>
      <c r="I1730" s="5"/>
    </row>
    <row r="1731" spans="1:15" s="4" customFormat="1" ht="15.75" thickBot="1" x14ac:dyDescent="0.3">
      <c r="A1731" s="103"/>
      <c r="B1731" s="87" t="s">
        <v>1674</v>
      </c>
      <c r="C1731" s="88"/>
      <c r="D1731" s="89"/>
      <c r="E1731" s="89"/>
      <c r="F1731" s="89"/>
      <c r="G1731" s="89"/>
      <c r="H1731" s="90">
        <f>ROUND(SUM(H1727:H1730),2)</f>
        <v>0.84</v>
      </c>
      <c r="I1731" s="5"/>
    </row>
    <row r="1732" spans="1:15" s="4" customFormat="1" ht="15.75" x14ac:dyDescent="0.25">
      <c r="A1732" s="103"/>
      <c r="B1732" s="2"/>
      <c r="C1732" s="2"/>
      <c r="D1732" s="91" t="s">
        <v>1673</v>
      </c>
      <c r="E1732" s="177"/>
      <c r="F1732" s="177"/>
      <c r="G1732" s="177"/>
      <c r="H1732" s="92">
        <f>ROUND(SUM(H1731,H1725,H1706,H1696),2)</f>
        <v>49.66</v>
      </c>
      <c r="I1732" s="5"/>
    </row>
    <row r="1733" spans="1:15" s="4" customFormat="1" ht="15.75" x14ac:dyDescent="0.25">
      <c r="A1733" s="103">
        <v>40002</v>
      </c>
      <c r="B1733" s="2"/>
      <c r="C1733" s="2"/>
      <c r="D1733" s="93" t="s">
        <v>1672</v>
      </c>
      <c r="E1733" s="166"/>
      <c r="F1733" s="166"/>
      <c r="G1733" s="178">
        <f>IF($A1733=0,"",VLOOKUP($A1733,'BASE MATERIAL'!$M:$P,4))</f>
        <v>0</v>
      </c>
      <c r="H1733" s="95">
        <f>IF($A1733=0,"",ROUND(G1733*H1732,2))</f>
        <v>0</v>
      </c>
      <c r="I1733" s="5"/>
    </row>
    <row r="1734" spans="1:15" s="4" customFormat="1" ht="15.75" x14ac:dyDescent="0.25">
      <c r="A1734" s="103">
        <v>40003</v>
      </c>
      <c r="B1734" s="2"/>
      <c r="C1734" s="2"/>
      <c r="D1734" s="93" t="s">
        <v>1671</v>
      </c>
      <c r="E1734" s="166"/>
      <c r="F1734" s="166"/>
      <c r="G1734" s="178">
        <f>IF($A1734=0,"",VLOOKUP($A1734,'BASE MATERIAL'!$M:$P,4))</f>
        <v>0</v>
      </c>
      <c r="H1734" s="95">
        <f>IF($A1734=0,"",ROUND(G1734*H1732,2))</f>
        <v>0</v>
      </c>
      <c r="I1734" s="5"/>
    </row>
    <row r="1735" spans="1:15" s="4" customFormat="1" ht="15.75" x14ac:dyDescent="0.25">
      <c r="A1735" s="103"/>
      <c r="B1735" s="2"/>
      <c r="C1735" s="2"/>
      <c r="D1735" s="93" t="s">
        <v>1670</v>
      </c>
      <c r="E1735" s="166"/>
      <c r="F1735" s="166"/>
      <c r="G1735" s="166"/>
      <c r="H1735" s="96">
        <f>ROUND(SUM(H1732:H1734),2)</f>
        <v>49.66</v>
      </c>
      <c r="I1735" s="5"/>
    </row>
    <row r="1736" spans="1:15" s="4" customFormat="1" ht="16.5" thickBot="1" x14ac:dyDescent="0.3">
      <c r="A1736" s="103"/>
      <c r="B1736" s="25"/>
      <c r="C1736" s="5"/>
      <c r="D1736" s="97" t="s">
        <v>1650</v>
      </c>
      <c r="E1736" s="179"/>
      <c r="F1736" s="179"/>
      <c r="G1736" s="179"/>
      <c r="H1736" s="98">
        <f>ROUND(H1735,2)</f>
        <v>49.66</v>
      </c>
      <c r="I1736" s="5"/>
    </row>
    <row r="1737" spans="1:15" ht="15.75" x14ac:dyDescent="0.25">
      <c r="B1737" s="34" t="s">
        <v>1701</v>
      </c>
      <c r="C1737" s="5"/>
      <c r="D1737" s="157" t="str">
        <f>$D$113</f>
        <v>ESPOL</v>
      </c>
      <c r="E1737" s="2"/>
      <c r="F1737" s="2"/>
      <c r="H1737" s="2" t="s">
        <v>108</v>
      </c>
      <c r="I1737" s="2"/>
      <c r="L1737" s="40">
        <f>A1741</f>
        <v>28</v>
      </c>
      <c r="M1737" s="1" t="str">
        <f>C1742</f>
        <v>Cajas de registro (hormigon y malla elect.) AA.SS.- AA.LL. inc. Enlucido</v>
      </c>
      <c r="N1737" s="2" t="str">
        <f>H1741</f>
        <v>U</v>
      </c>
      <c r="O1737" s="2">
        <f>H1792</f>
        <v>199.7</v>
      </c>
    </row>
    <row r="1738" spans="1:15" s="4" customFormat="1" ht="15.75" x14ac:dyDescent="0.25">
      <c r="A1738" s="103"/>
      <c r="B1738" s="34" t="s">
        <v>1700</v>
      </c>
      <c r="C1738" s="3">
        <f>'1.1'!$C$2</f>
        <v>0</v>
      </c>
      <c r="D1738" s="5"/>
      <c r="E1738" s="5"/>
      <c r="F1738" s="5"/>
      <c r="G1738" s="158" t="s">
        <v>1699</v>
      </c>
      <c r="H1738" s="159"/>
      <c r="I1738" s="5" t="s">
        <v>1698</v>
      </c>
    </row>
    <row r="1739" spans="1:15" s="4" customFormat="1" ht="15.75" x14ac:dyDescent="0.25">
      <c r="A1739" s="103"/>
      <c r="B1739" s="34"/>
      <c r="C1739" s="3">
        <f>'1.1'!$C$3</f>
        <v>0</v>
      </c>
      <c r="D1739" s="5"/>
      <c r="E1739" s="5"/>
      <c r="F1739" s="5"/>
      <c r="G1739" s="5"/>
      <c r="H1739" s="5"/>
      <c r="I1739" s="5"/>
    </row>
    <row r="1740" spans="1:15" s="4" customFormat="1" ht="15.75" x14ac:dyDescent="0.25">
      <c r="A1740" s="103"/>
      <c r="B1740" s="34" t="s">
        <v>1697</v>
      </c>
      <c r="C1740" s="3"/>
      <c r="D1740" s="5"/>
      <c r="E1740" s="5"/>
      <c r="F1740" s="5"/>
      <c r="G1740" s="5"/>
      <c r="H1740" s="5"/>
      <c r="I1740" s="5"/>
    </row>
    <row r="1741" spans="1:15" x14ac:dyDescent="0.25">
      <c r="A1741" s="104">
        <v>28</v>
      </c>
      <c r="B1741" s="2" t="s">
        <v>1586</v>
      </c>
      <c r="C1741" s="36" t="s">
        <v>1539</v>
      </c>
      <c r="D1741" s="5"/>
      <c r="E1741" s="4"/>
      <c r="F1741" s="4"/>
      <c r="G1741" s="5" t="s">
        <v>1696</v>
      </c>
      <c r="H1741" s="157" t="s">
        <v>744</v>
      </c>
      <c r="I1741" s="2"/>
    </row>
    <row r="1742" spans="1:15" s="4" customFormat="1" x14ac:dyDescent="0.25">
      <c r="A1742" s="103"/>
      <c r="B1742" s="1" t="s">
        <v>1585</v>
      </c>
      <c r="C1742" s="36" t="s">
        <v>227</v>
      </c>
      <c r="D1742" s="5"/>
      <c r="E1742" s="5"/>
      <c r="F1742" s="5"/>
      <c r="G1742" s="5"/>
      <c r="H1742" s="5"/>
      <c r="I1742" s="5"/>
    </row>
    <row r="1743" spans="1:15" ht="15.75" thickBot="1" x14ac:dyDescent="0.3">
      <c r="C1743" s="1" t="s">
        <v>1881</v>
      </c>
      <c r="D1743" s="2"/>
      <c r="E1743" s="2"/>
      <c r="F1743" s="2"/>
      <c r="G1743" s="2"/>
      <c r="H1743" s="2"/>
      <c r="I1743" s="2"/>
    </row>
    <row r="1744" spans="1:15" ht="15.75" thickBot="1" x14ac:dyDescent="0.3">
      <c r="B1744" s="43" t="s">
        <v>1695</v>
      </c>
      <c r="C1744" s="44"/>
      <c r="D1744" s="44"/>
      <c r="E1744" s="44"/>
      <c r="F1744" s="44"/>
      <c r="G1744" s="44"/>
      <c r="H1744" s="45"/>
      <c r="I1744" s="2"/>
    </row>
    <row r="1745" spans="1:11" ht="25.5" x14ac:dyDescent="0.25">
      <c r="B1745" s="46" t="s">
        <v>1409</v>
      </c>
      <c r="C1745" s="47"/>
      <c r="D1745" s="48" t="s">
        <v>1690</v>
      </c>
      <c r="E1745" s="48" t="s">
        <v>1694</v>
      </c>
      <c r="F1745" s="48" t="s">
        <v>1693</v>
      </c>
      <c r="G1745" s="49" t="s">
        <v>1687</v>
      </c>
      <c r="H1745" s="50" t="s">
        <v>1686</v>
      </c>
      <c r="I1745" s="2"/>
    </row>
    <row r="1746" spans="1:11" s="4" customFormat="1" x14ac:dyDescent="0.25">
      <c r="A1746" s="103">
        <v>19015</v>
      </c>
      <c r="B1746" s="51" t="str">
        <f>IF($A1746=0,"",VLOOKUP($A1746,'BASE EQUIPO'!$A:$D,2))</f>
        <v>HERRAMIENTA MENOR</v>
      </c>
      <c r="C1746" s="52"/>
      <c r="D1746" s="53">
        <v>1</v>
      </c>
      <c r="E1746" s="53">
        <f>IF($A1746=0,"",VLOOKUP($A1746,'BASE EQUIPO'!$A:$D,4)*H1762)</f>
        <v>3.2934000000000001</v>
      </c>
      <c r="F1746" s="53">
        <f t="shared" ref="F1746:F1751" si="155">IF($A1746=0,"",ROUND(D1746*E1746,2))</f>
        <v>3.29</v>
      </c>
      <c r="G1746" s="105">
        <v>1</v>
      </c>
      <c r="H1746" s="54">
        <f t="shared" ref="H1746:H1751" si="156">IF($A1746=0,"",ROUND(G1746*F1746,2))</f>
        <v>3.29</v>
      </c>
      <c r="I1746" s="5"/>
    </row>
    <row r="1747" spans="1:11" s="4" customFormat="1" x14ac:dyDescent="0.25">
      <c r="A1747" s="103"/>
      <c r="B1747" s="38" t="str">
        <f>IF($A1747=0,"",VLOOKUP($A1747,'BASE EQUIPO'!$A:$D,2))</f>
        <v/>
      </c>
      <c r="C1747" s="2"/>
      <c r="D1747" s="55"/>
      <c r="E1747" s="55" t="str">
        <f>IF($A1747=0,"",VLOOKUP($A1747,'BASE EQUIPO'!$A:$D,4))</f>
        <v/>
      </c>
      <c r="F1747" s="55" t="str">
        <f t="shared" si="155"/>
        <v/>
      </c>
      <c r="G1747" s="106"/>
      <c r="H1747" s="56" t="str">
        <f t="shared" si="156"/>
        <v/>
      </c>
      <c r="I1747" s="5"/>
    </row>
    <row r="1748" spans="1:11" s="4" customFormat="1" x14ac:dyDescent="0.25">
      <c r="A1748" s="103"/>
      <c r="B1748" s="38" t="str">
        <f>IF($A1748=0,"",VLOOKUP($A1748,'BASE EQUIPO'!$A:$D,2))</f>
        <v/>
      </c>
      <c r="C1748" s="2"/>
      <c r="D1748" s="55"/>
      <c r="E1748" s="55" t="str">
        <f>IF($A1748=0,"",VLOOKUP($A1748,'BASE EQUIPO'!$A:$D,4))</f>
        <v/>
      </c>
      <c r="F1748" s="55" t="str">
        <f t="shared" si="155"/>
        <v/>
      </c>
      <c r="G1748" s="106"/>
      <c r="H1748" s="56" t="str">
        <f t="shared" si="156"/>
        <v/>
      </c>
      <c r="I1748" s="5"/>
    </row>
    <row r="1749" spans="1:11" s="4" customFormat="1" x14ac:dyDescent="0.25">
      <c r="A1749" s="103"/>
      <c r="B1749" s="38" t="str">
        <f>IF($A1749=0,"",VLOOKUP($A1749,'BASE EQUIPO'!$A:$D,2))</f>
        <v/>
      </c>
      <c r="C1749" s="2"/>
      <c r="D1749" s="55"/>
      <c r="E1749" s="55" t="str">
        <f>IF($A1749=0,"",VLOOKUP($A1749,'BASE EQUIPO'!$A:$D,4))</f>
        <v/>
      </c>
      <c r="F1749" s="55" t="str">
        <f t="shared" si="155"/>
        <v/>
      </c>
      <c r="G1749" s="106"/>
      <c r="H1749" s="56" t="str">
        <f t="shared" si="156"/>
        <v/>
      </c>
      <c r="I1749" s="5"/>
    </row>
    <row r="1750" spans="1:11" s="4" customFormat="1" x14ac:dyDescent="0.25">
      <c r="A1750" s="103"/>
      <c r="B1750" s="38" t="str">
        <f>IF($A1750=0,"",VLOOKUP($A1750,'BASE EQUIPO'!$A:$D,2))</f>
        <v/>
      </c>
      <c r="C1750" s="2"/>
      <c r="D1750" s="55"/>
      <c r="E1750" s="55" t="str">
        <f>IF($A1750=0,"",VLOOKUP($A1750,'BASE EQUIPO'!$A:$D,4))</f>
        <v/>
      </c>
      <c r="F1750" s="55" t="str">
        <f t="shared" si="155"/>
        <v/>
      </c>
      <c r="G1750" s="106"/>
      <c r="H1750" s="56" t="str">
        <f t="shared" si="156"/>
        <v/>
      </c>
      <c r="I1750" s="5"/>
    </row>
    <row r="1751" spans="1:11" s="4" customFormat="1" x14ac:dyDescent="0.25">
      <c r="A1751" s="103"/>
      <c r="B1751" s="57" t="str">
        <f>IF($A1751=0,"",VLOOKUP($A1751,'BASE EQUIPO'!$A:$D,2))</f>
        <v/>
      </c>
      <c r="C1751" s="58"/>
      <c r="D1751" s="59"/>
      <c r="E1751" s="59" t="str">
        <f>IF($A1751=0,"",VLOOKUP($A1751,'BASE EQUIPO'!$A:$D,4))</f>
        <v/>
      </c>
      <c r="F1751" s="59" t="str">
        <f t="shared" si="155"/>
        <v/>
      </c>
      <c r="G1751" s="107"/>
      <c r="H1751" s="60" t="str">
        <f t="shared" si="156"/>
        <v/>
      </c>
      <c r="I1751" s="5"/>
    </row>
    <row r="1752" spans="1:11" s="4" customFormat="1" x14ac:dyDescent="0.25">
      <c r="A1752" s="103"/>
      <c r="B1752" s="57" t="s">
        <v>1692</v>
      </c>
      <c r="C1752" s="58"/>
      <c r="D1752" s="61"/>
      <c r="E1752" s="61"/>
      <c r="F1752" s="61"/>
      <c r="G1752" s="62"/>
      <c r="H1752" s="60">
        <f>ROUND(SUM(H1745:H1751),2)</f>
        <v>3.29</v>
      </c>
      <c r="I1752" s="5"/>
    </row>
    <row r="1753" spans="1:11" s="4" customFormat="1" x14ac:dyDescent="0.25">
      <c r="A1753" s="103"/>
      <c r="B1753" s="38" t="s">
        <v>1503</v>
      </c>
      <c r="C1753" s="2"/>
      <c r="D1753" s="3"/>
      <c r="E1753" s="3"/>
      <c r="F1753" s="3"/>
      <c r="G1753" s="63"/>
      <c r="H1753" s="56"/>
      <c r="I1753" s="5"/>
    </row>
    <row r="1754" spans="1:11" ht="25.5" x14ac:dyDescent="0.25">
      <c r="B1754" s="64" t="s">
        <v>1691</v>
      </c>
      <c r="C1754" s="65"/>
      <c r="D1754" s="66" t="s">
        <v>1690</v>
      </c>
      <c r="E1754" s="66" t="s">
        <v>1689</v>
      </c>
      <c r="F1754" s="66" t="s">
        <v>1688</v>
      </c>
      <c r="G1754" s="67" t="s">
        <v>1687</v>
      </c>
      <c r="H1754" s="68" t="s">
        <v>1686</v>
      </c>
      <c r="I1754" s="2"/>
    </row>
    <row r="1755" spans="1:11" s="4" customFormat="1" x14ac:dyDescent="0.25">
      <c r="A1755" s="103">
        <v>20001</v>
      </c>
      <c r="B1755" s="69" t="str">
        <f>IF($A1755=0,"",VLOOKUP($A1755,'BASE M-OBRA'!$A:$D,2))</f>
        <v>MAESTRO</v>
      </c>
      <c r="C1755" s="2"/>
      <c r="D1755" s="108">
        <v>1</v>
      </c>
      <c r="E1755" s="70">
        <f>IF($A1755=0,"",VLOOKUP($A1755,'BASE M-OBRA'!$A:$D,4))</f>
        <v>3.02</v>
      </c>
      <c r="F1755" s="55">
        <f t="shared" ref="F1755:F1761" si="157">IF($A1755=0,"",ROUND(D1755*E1755,2))</f>
        <v>3.02</v>
      </c>
      <c r="G1755" s="106">
        <f>IF($A1755=0,"",ROUND(H1755/F1755,2))</f>
        <v>6.06</v>
      </c>
      <c r="H1755" s="56">
        <f>IF($A1755=0,"",ROUND(SUM(H1756:H1761)*'BASE M-OBRA'!$D$23,2))</f>
        <v>18.3</v>
      </c>
      <c r="I1755" s="5"/>
      <c r="K1755" s="4">
        <f>4.48*3</f>
        <v>13.440000000000001</v>
      </c>
    </row>
    <row r="1756" spans="1:11" s="4" customFormat="1" x14ac:dyDescent="0.25">
      <c r="A1756" s="103">
        <v>20002</v>
      </c>
      <c r="B1756" s="69" t="str">
        <f>IF($A1756=0,"",VLOOKUP($A1756,'BASE M-OBRA'!$A:$D,2))</f>
        <v>PEON</v>
      </c>
      <c r="C1756" s="2"/>
      <c r="D1756" s="108">
        <v>1</v>
      </c>
      <c r="E1756" s="70">
        <f>IF($A1756=0,"",VLOOKUP($A1756,'BASE M-OBRA'!$A:$D,4))</f>
        <v>2.79</v>
      </c>
      <c r="F1756" s="55">
        <f t="shared" si="157"/>
        <v>2.79</v>
      </c>
      <c r="G1756" s="106">
        <f>8+4</f>
        <v>12</v>
      </c>
      <c r="H1756" s="56">
        <f t="shared" ref="H1756:H1761" si="158">IF($A1756=0,"",ROUND(G1756*F1756,2))</f>
        <v>33.479999999999997</v>
      </c>
      <c r="I1756" s="5"/>
      <c r="K1756" s="4">
        <f>0.42*20</f>
        <v>8.4</v>
      </c>
    </row>
    <row r="1757" spans="1:11" s="4" customFormat="1" x14ac:dyDescent="0.25">
      <c r="A1757" s="103">
        <v>20003</v>
      </c>
      <c r="B1757" s="69" t="str">
        <f>IF($A1757=0,"",VLOOKUP($A1757,'BASE M-OBRA'!$A:$D,2))</f>
        <v>ALBAÑIL</v>
      </c>
      <c r="C1757" s="2"/>
      <c r="D1757" s="108">
        <v>1</v>
      </c>
      <c r="E1757" s="70">
        <f>IF($A1757=0,"",VLOOKUP($A1757,'BASE M-OBRA'!$A:$D,4))</f>
        <v>2.82</v>
      </c>
      <c r="F1757" s="55">
        <f t="shared" si="157"/>
        <v>2.82</v>
      </c>
      <c r="G1757" s="106">
        <f>+G1756</f>
        <v>12</v>
      </c>
      <c r="H1757" s="56">
        <f t="shared" si="158"/>
        <v>33.840000000000003</v>
      </c>
      <c r="I1757" s="5"/>
      <c r="K1757" s="4">
        <f>2.88*4</f>
        <v>11.52</v>
      </c>
    </row>
    <row r="1758" spans="1:11" s="4" customFormat="1" x14ac:dyDescent="0.25">
      <c r="A1758" s="103"/>
      <c r="B1758" s="71" t="str">
        <f>IF($A1758=0,"",VLOOKUP($A1758,'BASE M-OBRA'!$A:$D,2))</f>
        <v/>
      </c>
      <c r="C1758" s="2"/>
      <c r="D1758" s="108"/>
      <c r="E1758" s="70" t="str">
        <f>IF($A1758=0,"",VLOOKUP($A1758,'BASE M-OBRA'!$A:$D,4))</f>
        <v/>
      </c>
      <c r="F1758" s="55" t="str">
        <f t="shared" si="157"/>
        <v/>
      </c>
      <c r="G1758" s="106"/>
      <c r="H1758" s="56" t="str">
        <f t="shared" si="158"/>
        <v/>
      </c>
      <c r="I1758" s="5"/>
      <c r="K1758" s="4">
        <f>SUM(K1755:K1757)</f>
        <v>33.36</v>
      </c>
    </row>
    <row r="1759" spans="1:11" s="4" customFormat="1" x14ac:dyDescent="0.25">
      <c r="A1759" s="103">
        <v>20006</v>
      </c>
      <c r="B1759" s="72" t="str">
        <f>IF($A1759=0,"",VLOOKUP($A1759,'BASE M-OBRA'!$A:$D,2))</f>
        <v>MAESTRO  SOLDADOR</v>
      </c>
      <c r="C1759" s="2"/>
      <c r="D1759" s="108">
        <v>1</v>
      </c>
      <c r="E1759" s="70">
        <f>IF($A1759=0,"",VLOOKUP($A1759,'BASE M-OBRA'!$A:$D,4))</f>
        <v>3.02</v>
      </c>
      <c r="F1759" s="55">
        <f t="shared" si="157"/>
        <v>3.02</v>
      </c>
      <c r="G1759" s="106">
        <v>8</v>
      </c>
      <c r="H1759" s="56">
        <f t="shared" si="158"/>
        <v>24.16</v>
      </c>
      <c r="I1759" s="5"/>
    </row>
    <row r="1760" spans="1:11" s="4" customFormat="1" x14ac:dyDescent="0.25">
      <c r="A1760" s="103"/>
      <c r="B1760" s="38" t="str">
        <f>IF($A1760=0,"",VLOOKUP($A1760,'BASE M-OBRA'!$A:$D,2))</f>
        <v/>
      </c>
      <c r="C1760" s="2"/>
      <c r="D1760" s="55"/>
      <c r="E1760" s="55" t="str">
        <f>IF($A1760=0,"",VLOOKUP($A1760,'BASE M-OBRA'!$A:$D,4))</f>
        <v/>
      </c>
      <c r="F1760" s="55" t="str">
        <f t="shared" si="157"/>
        <v/>
      </c>
      <c r="G1760" s="106"/>
      <c r="H1760" s="56" t="str">
        <f t="shared" si="158"/>
        <v/>
      </c>
      <c r="I1760" s="5"/>
    </row>
    <row r="1761" spans="1:16" s="4" customFormat="1" x14ac:dyDescent="0.25">
      <c r="A1761" s="103"/>
      <c r="B1761" s="57" t="str">
        <f>IF($A1761=0,"",VLOOKUP($A1761,'BASE M-OBRA'!$A:$D,2))</f>
        <v/>
      </c>
      <c r="C1761" s="58"/>
      <c r="D1761" s="59"/>
      <c r="E1761" s="59" t="str">
        <f>IF($A1761=0,"",VLOOKUP($A1761,'BASE M-OBRA'!$A:$D,4))</f>
        <v/>
      </c>
      <c r="F1761" s="59" t="str">
        <f t="shared" si="157"/>
        <v/>
      </c>
      <c r="G1761" s="107"/>
      <c r="H1761" s="60" t="str">
        <f t="shared" si="158"/>
        <v/>
      </c>
      <c r="I1761" s="5"/>
    </row>
    <row r="1762" spans="1:16" s="4" customFormat="1" x14ac:dyDescent="0.25">
      <c r="A1762" s="103"/>
      <c r="B1762" s="73" t="s">
        <v>1685</v>
      </c>
      <c r="C1762" s="65"/>
      <c r="D1762" s="74"/>
      <c r="E1762" s="74"/>
      <c r="F1762" s="74"/>
      <c r="G1762" s="74"/>
      <c r="H1762" s="75">
        <f>ROUND(SUM(H1754:H1761),2)</f>
        <v>109.78</v>
      </c>
      <c r="I1762" s="5"/>
    </row>
    <row r="1763" spans="1:16" s="4" customFormat="1" x14ac:dyDescent="0.25">
      <c r="A1763" s="103"/>
      <c r="B1763" s="38" t="s">
        <v>1684</v>
      </c>
      <c r="C1763" s="2"/>
      <c r="D1763" s="3"/>
      <c r="E1763" s="3"/>
      <c r="F1763" s="3"/>
      <c r="G1763" s="3"/>
      <c r="H1763" s="56"/>
      <c r="I1763" s="5"/>
    </row>
    <row r="1764" spans="1:16" ht="25.5" x14ac:dyDescent="0.25">
      <c r="B1764" s="64" t="s">
        <v>1409</v>
      </c>
      <c r="C1764" s="65"/>
      <c r="D1764" s="76"/>
      <c r="E1764" s="66" t="s">
        <v>1408</v>
      </c>
      <c r="F1764" s="66" t="s">
        <v>1679</v>
      </c>
      <c r="G1764" s="66" t="s">
        <v>1683</v>
      </c>
      <c r="H1764" s="68" t="s">
        <v>1675</v>
      </c>
      <c r="I1764" s="2"/>
    </row>
    <row r="1765" spans="1:16" s="4" customFormat="1" x14ac:dyDescent="0.25">
      <c r="A1765" s="103">
        <v>11008</v>
      </c>
      <c r="B1765" s="37" t="str">
        <f>IF($A1765=0,"",VLOOKUP($A1765,'BASE MATERIAL'!$A:$D,2))</f>
        <v>TABLA</v>
      </c>
      <c r="C1765" s="2"/>
      <c r="D1765" s="77"/>
      <c r="E1765" s="78" t="str">
        <f>IF($A1765=0,"",VLOOKUP($A1765,'BASE MATERIAL'!$A:$D,3))</f>
        <v>U</v>
      </c>
      <c r="F1765" s="55">
        <f>ROUND(4.48*5/(4*2),2)</f>
        <v>2.8</v>
      </c>
      <c r="G1765" s="55">
        <f>IF($A1765=0,"",VLOOKUP($A1765,'BASE MATERIAL'!$A:$D,4))</f>
        <v>3.5</v>
      </c>
      <c r="H1765" s="56">
        <f t="shared" ref="H1765:H1779" si="159">IF($A1765=0,"",ROUND(F1765*G1765,2))</f>
        <v>9.8000000000000007</v>
      </c>
      <c r="I1765" s="5"/>
      <c r="K1765" s="5">
        <f>(0.8+0.8+0.6+0.6)*0.8*2</f>
        <v>4.4800000000000004</v>
      </c>
      <c r="L1765" s="5">
        <f>(0.8+0.8+0.6+0.6)*0.8*0.1</f>
        <v>0.22400000000000003</v>
      </c>
      <c r="M1765" s="5"/>
      <c r="N1765" s="160"/>
      <c r="O1765" s="5"/>
      <c r="P1765" s="5"/>
    </row>
    <row r="1766" spans="1:16" s="4" customFormat="1" x14ac:dyDescent="0.25">
      <c r="A1766" s="103">
        <v>11009</v>
      </c>
      <c r="B1766" s="38" t="str">
        <f>IF($A1766=0,"",VLOOKUP($A1766,'BASE MATERIAL'!$A:$D,2))</f>
        <v>CUARTON</v>
      </c>
      <c r="C1766" s="2"/>
      <c r="D1766" s="77"/>
      <c r="E1766" s="78" t="str">
        <f>IF($A1766=0,"",VLOOKUP($A1766,'BASE MATERIAL'!$A:$D,3))</f>
        <v>U</v>
      </c>
      <c r="F1766" s="55">
        <f>ROUND(4.48*8/(4*2),2)</f>
        <v>4.4800000000000004</v>
      </c>
      <c r="G1766" s="55">
        <f>IF($A1766=0,"",VLOOKUP($A1766,'BASE MATERIAL'!$A:$D,4))</f>
        <v>2.42</v>
      </c>
      <c r="H1766" s="56">
        <f t="shared" si="159"/>
        <v>10.84</v>
      </c>
      <c r="I1766" s="5"/>
      <c r="K1766" s="5">
        <f>(0.8+0.8+0.6+0.6)*0.8+0.8*0.8</f>
        <v>2.8800000000000003</v>
      </c>
      <c r="L1766" s="5">
        <f>0.8*0.8*0.2</f>
        <v>0.12800000000000003</v>
      </c>
      <c r="M1766" s="5"/>
      <c r="N1766" s="160"/>
      <c r="O1766" s="5"/>
      <c r="P1766" s="5"/>
    </row>
    <row r="1767" spans="1:16" s="4" customFormat="1" x14ac:dyDescent="0.25">
      <c r="A1767" s="103">
        <v>11007</v>
      </c>
      <c r="B1767" s="38" t="str">
        <f>IF($A1767=0,"",VLOOKUP($A1767,'BASE MATERIAL'!$A:$D,2))</f>
        <v>CLAVO 2 1/2"</v>
      </c>
      <c r="C1767" s="2"/>
      <c r="D1767" s="77"/>
      <c r="E1767" s="78" t="str">
        <f>IF($A1767=0,"",VLOOKUP($A1767,'BASE MATERIAL'!$A:$D,3))</f>
        <v>KG</v>
      </c>
      <c r="F1767" s="55">
        <f>ROUND(4.48*56/(178*1.5),2)</f>
        <v>0.94</v>
      </c>
      <c r="G1767" s="55">
        <f>IF($A1767=0,"",VLOOKUP($A1767,'BASE MATERIAL'!$A:$D,4))</f>
        <v>2.6520000000000001</v>
      </c>
      <c r="H1767" s="56">
        <f t="shared" si="159"/>
        <v>2.4900000000000002</v>
      </c>
      <c r="I1767" s="5"/>
      <c r="L1767" s="5">
        <f>0.8*0.8*0.1</f>
        <v>6.4000000000000015E-2</v>
      </c>
      <c r="M1767" s="5"/>
      <c r="N1767" s="160"/>
      <c r="O1767" s="5"/>
      <c r="P1767" s="5"/>
    </row>
    <row r="1768" spans="1:16" s="4" customFormat="1" x14ac:dyDescent="0.25">
      <c r="A1768" s="103">
        <v>14029</v>
      </c>
      <c r="B1768" s="38" t="str">
        <f>IF($A1768=0,"",VLOOKUP($A1768,'BASE MATERIAL'!$A:$D,2))</f>
        <v>MALLA ELEC 5,5mm c/15cm</v>
      </c>
      <c r="C1768" s="2"/>
      <c r="D1768" s="77"/>
      <c r="E1768" s="78" t="str">
        <f>IF($A1768=0,"",VLOOKUP($A1768,'BASE MATERIAL'!$A:$D,3))</f>
        <v>M2</v>
      </c>
      <c r="F1768" s="55">
        <v>2</v>
      </c>
      <c r="G1768" s="55">
        <f>IF($A1768=0,"",VLOOKUP($A1768,'BASE MATERIAL'!$A:$D,4))</f>
        <v>3.5481600000000006</v>
      </c>
      <c r="H1768" s="56">
        <f t="shared" si="159"/>
        <v>7.1</v>
      </c>
      <c r="I1768" s="5"/>
      <c r="K1768" s="4">
        <f>3.1/(4*0.2*2)</f>
        <v>1.9375</v>
      </c>
      <c r="L1768" s="5">
        <f>SUM(L1765:L1767)</f>
        <v>0.41600000000000009</v>
      </c>
      <c r="M1768" s="5"/>
      <c r="N1768" s="160"/>
      <c r="O1768" s="5"/>
      <c r="P1768" s="5"/>
    </row>
    <row r="1769" spans="1:16" s="4" customFormat="1" x14ac:dyDescent="0.25">
      <c r="A1769" s="103">
        <v>4001</v>
      </c>
      <c r="B1769" s="38" t="str">
        <f>IF($A1769=0,"",VLOOKUP($A1769,'BASE MATERIAL'!$A:$D,2))</f>
        <v>CEMENTO</v>
      </c>
      <c r="C1769" s="2"/>
      <c r="D1769" s="77"/>
      <c r="E1769" s="78" t="str">
        <f>IF($A1769=0,"",VLOOKUP($A1769,'BASE MATERIAL'!$A:$D,3))</f>
        <v>SACO</v>
      </c>
      <c r="F1769" s="55">
        <f>ROUND(7*0.42,2)</f>
        <v>2.94</v>
      </c>
      <c r="G1769" s="55">
        <f>IF($A1769=0,"",VLOOKUP($A1769,'BASE MATERIAL'!$A:$D,4))</f>
        <v>7.09</v>
      </c>
      <c r="H1769" s="56">
        <f t="shared" ref="H1769:H1775" si="160">IF($A1769=0,"",ROUND(F1769*G1769,2))</f>
        <v>20.84</v>
      </c>
      <c r="I1769" s="5"/>
      <c r="K1769" s="4">
        <f>+K1773*0.1</f>
        <v>0.39800000000000002</v>
      </c>
      <c r="L1769" s="5"/>
      <c r="M1769" s="5"/>
      <c r="N1769" s="160"/>
      <c r="O1769" s="5"/>
      <c r="P1769" s="5"/>
    </row>
    <row r="1770" spans="1:16" s="4" customFormat="1" x14ac:dyDescent="0.25">
      <c r="A1770" s="103">
        <v>5004</v>
      </c>
      <c r="B1770" s="38" t="str">
        <f>IF($A1770=0,"",VLOOKUP($A1770,'BASE MATERIAL'!$A:$D,2))</f>
        <v>ARENA</v>
      </c>
      <c r="C1770" s="2"/>
      <c r="D1770" s="77"/>
      <c r="E1770" s="78" t="str">
        <f>IF($A1770=0,"",VLOOKUP($A1770,'BASE MATERIAL'!$A:$D,3))</f>
        <v>M3</v>
      </c>
      <c r="F1770" s="55">
        <f>ROUND(F1769*0.032*2,2)</f>
        <v>0.19</v>
      </c>
      <c r="G1770" s="55">
        <f>IF($A1770=0,"",VLOOKUP($A1770,'BASE MATERIAL'!$A:$D,4))</f>
        <v>12.276249999999999</v>
      </c>
      <c r="H1770" s="56">
        <f t="shared" si="160"/>
        <v>2.33</v>
      </c>
      <c r="I1770" s="5"/>
      <c r="L1770" s="5"/>
      <c r="M1770" s="5"/>
      <c r="N1770" s="160"/>
      <c r="O1770" s="5"/>
      <c r="P1770" s="5"/>
    </row>
    <row r="1771" spans="1:16" s="4" customFormat="1" x14ac:dyDescent="0.25">
      <c r="A1771" s="103">
        <v>5002</v>
      </c>
      <c r="B1771" s="38" t="str">
        <f>IF($A1771=0,"",VLOOKUP($A1771,'BASE MATERIAL'!$A:$D,2))</f>
        <v>PIEDRA 3-4</v>
      </c>
      <c r="C1771" s="2"/>
      <c r="D1771" s="77"/>
      <c r="E1771" s="78" t="str">
        <f>IF($A1771=0,"",VLOOKUP($A1771,'BASE MATERIAL'!$A:$D,3))</f>
        <v>M3</v>
      </c>
      <c r="F1771" s="55">
        <f>ROUND(F1769*0.032*3,2)</f>
        <v>0.28000000000000003</v>
      </c>
      <c r="G1771" s="55">
        <f>IF($A1771=0,"",VLOOKUP($A1771,'BASE MATERIAL'!$A:$D,4))</f>
        <v>13.75</v>
      </c>
      <c r="H1771" s="56">
        <f t="shared" si="160"/>
        <v>3.85</v>
      </c>
      <c r="I1771" s="5"/>
      <c r="L1771" s="5"/>
      <c r="M1771" s="5"/>
      <c r="N1771" s="160"/>
      <c r="O1771" s="5"/>
      <c r="P1771" s="5"/>
    </row>
    <row r="1772" spans="1:16" s="4" customFormat="1" x14ac:dyDescent="0.25">
      <c r="A1772" s="103">
        <v>5005</v>
      </c>
      <c r="B1772" s="38" t="str">
        <f>IF($A1772=0,"",VLOOKUP($A1772,'BASE MATERIAL'!$A:$D,2))</f>
        <v>AGUA</v>
      </c>
      <c r="C1772" s="2"/>
      <c r="D1772" s="77"/>
      <c r="E1772" s="78" t="str">
        <f>IF($A1772=0,"",VLOOKUP($A1772,'BASE MATERIAL'!$A:$D,3))</f>
        <v>LT</v>
      </c>
      <c r="F1772" s="55">
        <f>ROUND(26*F1769,2)</f>
        <v>76.44</v>
      </c>
      <c r="G1772" s="112">
        <f>IF($A1772=0,"",VLOOKUP($A1772,'BASE MATERIAL'!$A:$D,4))</f>
        <v>2E-3</v>
      </c>
      <c r="H1772" s="56">
        <f t="shared" si="160"/>
        <v>0.15</v>
      </c>
      <c r="I1772" s="5"/>
    </row>
    <row r="1773" spans="1:16" s="4" customFormat="1" x14ac:dyDescent="0.25">
      <c r="A1773" s="103">
        <v>4001</v>
      </c>
      <c r="B1773" s="38" t="str">
        <f>IF($A1773=0,"",VLOOKUP($A1773,'BASE MATERIAL'!$A:$D,2))</f>
        <v>CEMENTO</v>
      </c>
      <c r="C1773" s="2"/>
      <c r="D1773" s="77"/>
      <c r="E1773" s="78" t="str">
        <f>IF($A1773=0,"",VLOOKUP($A1773,'BASE MATERIAL'!$A:$D,3))</f>
        <v>SACO</v>
      </c>
      <c r="F1773" s="55">
        <f>ROUND(0.2*2.88,2)</f>
        <v>0.57999999999999996</v>
      </c>
      <c r="G1773" s="55">
        <f>IF($A1773=0,"",VLOOKUP($A1773,'BASE MATERIAL'!$A:$D,4))</f>
        <v>7.09</v>
      </c>
      <c r="H1773" s="56">
        <f t="shared" si="160"/>
        <v>4.1100000000000003</v>
      </c>
      <c r="I1773" s="5"/>
      <c r="K1773" s="4">
        <f>(0.8*2+0.7*2)*1+0.7*0.7*2</f>
        <v>3.98</v>
      </c>
      <c r="L1773" s="5"/>
      <c r="M1773" s="5"/>
      <c r="N1773" s="160"/>
      <c r="O1773" s="5"/>
      <c r="P1773" s="5"/>
    </row>
    <row r="1774" spans="1:16" s="4" customFormat="1" x14ac:dyDescent="0.25">
      <c r="A1774" s="103">
        <v>5004</v>
      </c>
      <c r="B1774" s="38" t="str">
        <f>IF($A1774=0,"",VLOOKUP($A1774,'BASE MATERIAL'!$A:$D,2))</f>
        <v>ARENA</v>
      </c>
      <c r="C1774" s="2"/>
      <c r="D1774" s="77"/>
      <c r="E1774" s="78" t="str">
        <f>IF($A1774=0,"",VLOOKUP($A1774,'BASE MATERIAL'!$A:$D,3))</f>
        <v>M3</v>
      </c>
      <c r="F1774" s="55">
        <f>ROUND(F1773*0.032*3,2)</f>
        <v>0.06</v>
      </c>
      <c r="G1774" s="55">
        <f>IF($A1774=0,"",VLOOKUP($A1774,'BASE MATERIAL'!$A:$D,4))</f>
        <v>12.276249999999999</v>
      </c>
      <c r="H1774" s="56">
        <f t="shared" si="160"/>
        <v>0.74</v>
      </c>
      <c r="I1774" s="5"/>
      <c r="L1774" s="5"/>
      <c r="M1774" s="5"/>
      <c r="N1774" s="160"/>
      <c r="O1774" s="5"/>
      <c r="P1774" s="5"/>
    </row>
    <row r="1775" spans="1:16" s="4" customFormat="1" x14ac:dyDescent="0.25">
      <c r="A1775" s="103">
        <v>5005</v>
      </c>
      <c r="B1775" s="38" t="str">
        <f>IF($A1775=0,"",VLOOKUP($A1775,'BASE MATERIAL'!$A:$D,2))</f>
        <v>AGUA</v>
      </c>
      <c r="C1775" s="2"/>
      <c r="D1775" s="77"/>
      <c r="E1775" s="78" t="str">
        <f>IF($A1775=0,"",VLOOKUP($A1775,'BASE MATERIAL'!$A:$D,3))</f>
        <v>LT</v>
      </c>
      <c r="F1775" s="55">
        <f>ROUND(26*F1773,2)</f>
        <v>15.08</v>
      </c>
      <c r="G1775" s="112">
        <f>IF($A1775=0,"",VLOOKUP($A1775,'BASE MATERIAL'!$A:$D,4))</f>
        <v>2E-3</v>
      </c>
      <c r="H1775" s="56">
        <f t="shared" si="160"/>
        <v>0.03</v>
      </c>
      <c r="I1775" s="5"/>
    </row>
    <row r="1776" spans="1:16" s="4" customFormat="1" x14ac:dyDescent="0.25">
      <c r="A1776" s="103"/>
      <c r="B1776" s="38" t="str">
        <f>IF($A1776=0,"",VLOOKUP($A1776,'BASE MATERIAL'!$A:$D,2))</f>
        <v/>
      </c>
      <c r="C1776" s="2"/>
      <c r="D1776" s="77"/>
      <c r="E1776" s="78" t="str">
        <f>IF($A1776=0,"",VLOOKUP($A1776,'BASE MATERIAL'!$A:$D,3))</f>
        <v/>
      </c>
      <c r="F1776" s="55"/>
      <c r="G1776" s="55" t="str">
        <f>IF($A1776=0,"",VLOOKUP($A1776,'BASE MATERIAL'!$A:$D,4))</f>
        <v/>
      </c>
      <c r="H1776" s="56" t="str">
        <f t="shared" si="159"/>
        <v/>
      </c>
      <c r="I1776" s="5"/>
      <c r="L1776" s="5"/>
      <c r="M1776" s="5"/>
      <c r="N1776" s="160"/>
      <c r="O1776" s="5"/>
      <c r="P1776" s="5"/>
    </row>
    <row r="1777" spans="1:16" s="4" customFormat="1" x14ac:dyDescent="0.25">
      <c r="A1777" s="103">
        <v>1003</v>
      </c>
      <c r="B1777" s="38" t="str">
        <f>IF($A1777=0,"",VLOOKUP($A1777,'BASE MATERIAL'!$A:$D,2))</f>
        <v>ANGULO 50x50x3</v>
      </c>
      <c r="C1777" s="2"/>
      <c r="D1777" s="77"/>
      <c r="E1777" s="78" t="str">
        <f>IF($A1777=0,"",VLOOKUP($A1777,'BASE MATERIAL'!$A:$D,3))</f>
        <v>ML</v>
      </c>
      <c r="F1777" s="55">
        <f>0.8*4*2</f>
        <v>6.4</v>
      </c>
      <c r="G1777" s="55">
        <f>IF($A1777=0,"",VLOOKUP($A1777,'BASE MATERIAL'!$A:$D,4))</f>
        <v>3</v>
      </c>
      <c r="H1777" s="56">
        <f t="shared" si="159"/>
        <v>19.2</v>
      </c>
      <c r="I1777" s="5"/>
      <c r="L1777" s="5"/>
      <c r="M1777" s="5"/>
      <c r="N1777" s="160"/>
      <c r="O1777" s="5"/>
      <c r="P1777" s="5"/>
    </row>
    <row r="1778" spans="1:16" s="4" customFormat="1" x14ac:dyDescent="0.25">
      <c r="A1778" s="103">
        <v>14002</v>
      </c>
      <c r="B1778" s="38" t="str">
        <f>IF($A1778=0,"",VLOOKUP($A1778,'BASE MATERIAL'!$A:$D,2))</f>
        <v>SOLDADURA aga 60/11</v>
      </c>
      <c r="C1778" s="2"/>
      <c r="D1778" s="77"/>
      <c r="E1778" s="78" t="str">
        <f>IF($A1778=0,"",VLOOKUP($A1778,'BASE MATERIAL'!$A:$D,3))</f>
        <v>KG</v>
      </c>
      <c r="F1778" s="55">
        <v>0.5</v>
      </c>
      <c r="G1778" s="55">
        <f>IF($A1778=0,"",VLOOKUP($A1778,'BASE MATERIAL'!$A:$D,4))</f>
        <v>3.65</v>
      </c>
      <c r="H1778" s="56">
        <f t="shared" si="159"/>
        <v>1.83</v>
      </c>
      <c r="I1778" s="5"/>
    </row>
    <row r="1779" spans="1:16" s="4" customFormat="1" x14ac:dyDescent="0.25">
      <c r="A1779" s="103">
        <v>13016</v>
      </c>
      <c r="B1779" s="38" t="str">
        <f>IF($A1779=0,"",VLOOKUP($A1779,'BASE MATERIAL'!$A:$D,2))</f>
        <v>PINTURA ANTICORROSIVA</v>
      </c>
      <c r="C1779" s="2"/>
      <c r="D1779" s="77"/>
      <c r="E1779" s="78" t="str">
        <f>IF($A1779=0,"",VLOOKUP($A1779,'BASE MATERIAL'!$A:$D,3))</f>
        <v>GL</v>
      </c>
      <c r="F1779" s="55">
        <v>0.05</v>
      </c>
      <c r="G1779" s="55">
        <f>IF($A1779=0,"",VLOOKUP($A1779,'BASE MATERIAL'!$A:$D,4))</f>
        <v>16</v>
      </c>
      <c r="H1779" s="56">
        <f t="shared" si="159"/>
        <v>0.8</v>
      </c>
      <c r="I1779" s="5"/>
    </row>
    <row r="1780" spans="1:16" s="4" customFormat="1" x14ac:dyDescent="0.25">
      <c r="A1780" s="103"/>
      <c r="B1780" s="38" t="str">
        <f>IF($A1780=0,"",VLOOKUP($A1780,'BASE MATERIAL'!$A:$D,2))</f>
        <v/>
      </c>
      <c r="C1780" s="2"/>
      <c r="D1780" s="81" t="s">
        <v>1682</v>
      </c>
      <c r="E1780" s="55" t="str">
        <f>IF($A1780=0,"",VLOOKUP($A1780,'BASE MATERIAL'!$A:$D,3))</f>
        <v/>
      </c>
      <c r="F1780" s="55" t="s">
        <v>1682</v>
      </c>
      <c r="G1780" s="55" t="str">
        <f>IF($A1780=0,"",VLOOKUP($A1780,'BASE MATERIAL'!$A:$D,4))</f>
        <v/>
      </c>
      <c r="H1780" s="56" t="str">
        <f>IF($A1780=0,"",ROUND(E1780*F1780,2))</f>
        <v/>
      </c>
      <c r="I1780" s="5"/>
    </row>
    <row r="1781" spans="1:16" s="4" customFormat="1" x14ac:dyDescent="0.25">
      <c r="A1781" s="103"/>
      <c r="B1781" s="73" t="s">
        <v>1681</v>
      </c>
      <c r="C1781" s="65"/>
      <c r="D1781" s="74"/>
      <c r="E1781" s="74"/>
      <c r="F1781" s="74"/>
      <c r="G1781" s="74"/>
      <c r="H1781" s="75">
        <f>ROUND(SUM(H1764:H1780),2)</f>
        <v>84.11</v>
      </c>
      <c r="I1781" s="5"/>
    </row>
    <row r="1782" spans="1:16" s="4" customFormat="1" x14ac:dyDescent="0.25">
      <c r="A1782" s="103"/>
      <c r="B1782" s="38" t="s">
        <v>1680</v>
      </c>
      <c r="C1782" s="2"/>
      <c r="D1782" s="3"/>
      <c r="E1782" s="3"/>
      <c r="F1782" s="3"/>
      <c r="G1782" s="3"/>
      <c r="H1782" s="56"/>
      <c r="I1782" s="5"/>
    </row>
    <row r="1783" spans="1:16" ht="25.5" x14ac:dyDescent="0.25">
      <c r="B1783" s="64" t="s">
        <v>1409</v>
      </c>
      <c r="C1783" s="65"/>
      <c r="D1783" s="76"/>
      <c r="E1783" s="66" t="s">
        <v>1408</v>
      </c>
      <c r="F1783" s="66" t="s">
        <v>1679</v>
      </c>
      <c r="G1783" s="66" t="s">
        <v>1676</v>
      </c>
      <c r="H1783" s="68" t="s">
        <v>1675</v>
      </c>
      <c r="I1783" s="2"/>
    </row>
    <row r="1784" spans="1:16" s="4" customFormat="1" x14ac:dyDescent="0.25">
      <c r="A1784" s="103">
        <v>19019</v>
      </c>
      <c r="B1784" s="51" t="str">
        <f>IF($A1784=0,"",VLOOKUP($A1784,'BASE EQUIPO'!$A:$D,2))</f>
        <v>TRANSPORTE DE MATERIAL</v>
      </c>
      <c r="C1784" s="52"/>
      <c r="D1784" s="82"/>
      <c r="E1784" s="78" t="str">
        <f>IF($A1784=0,"",VLOOKUP($A1784,'BASE EQUIPO'!$A:$D,3))</f>
        <v>GLOBAL</v>
      </c>
      <c r="F1784" s="55">
        <v>1</v>
      </c>
      <c r="G1784" s="83">
        <f>IF($A1784=0,"",VLOOKUP($A1784,'BASE EQUIPO'!$A:$D,4)*H1781)</f>
        <v>2.5232999999999999</v>
      </c>
      <c r="H1784" s="56">
        <f>IF($A1784=0,"",ROUND(F1784*G1784,2))</f>
        <v>2.52</v>
      </c>
      <c r="I1784" s="5"/>
    </row>
    <row r="1785" spans="1:16" s="4" customFormat="1" x14ac:dyDescent="0.25">
      <c r="A1785" s="103"/>
      <c r="B1785" s="38" t="str">
        <f>IF($A1785=0,"",VLOOKUP($A1785,'BASE EQUIPO'!$A:$D,2))</f>
        <v/>
      </c>
      <c r="C1785" s="2"/>
      <c r="D1785" s="84"/>
      <c r="E1785" s="78" t="str">
        <f>IF($A1785=0,"",VLOOKUP($A1785,'BASE EQUIPO'!$A:$D,3))</f>
        <v/>
      </c>
      <c r="F1785" s="55"/>
      <c r="G1785" s="55" t="str">
        <f>IF($A1785=0,"",VLOOKUP($A1785,'BASE EQUIPO'!$A:$D,4)*H1782)</f>
        <v/>
      </c>
      <c r="H1785" s="56" t="str">
        <f>IF($A1785=0,"",ROUND(F1785*G1785,2))</f>
        <v/>
      </c>
      <c r="I1785" s="5"/>
    </row>
    <row r="1786" spans="1:16" s="4" customFormat="1" x14ac:dyDescent="0.25">
      <c r="A1786" s="103"/>
      <c r="B1786" s="57" t="str">
        <f>IF($A1786=0,"",VLOOKUP($A1786,'BASE EQUIPO'!$A:$D,2))</f>
        <v/>
      </c>
      <c r="C1786" s="58"/>
      <c r="D1786" s="85"/>
      <c r="E1786" s="86" t="str">
        <f>IF($A1786=0,"",VLOOKUP($A1786,'BASE EQUIPO'!$A:$D,3))</f>
        <v/>
      </c>
      <c r="F1786" s="59"/>
      <c r="G1786" s="59" t="str">
        <f>IF($A1786=0,"",VLOOKUP($A1786,'BASE EQUIPO'!$A:$D,4)*H1783)</f>
        <v/>
      </c>
      <c r="H1786" s="60" t="str">
        <f>IF($A1786=0,"",ROUND(F1786*G1786,2))</f>
        <v/>
      </c>
      <c r="I1786" s="5"/>
    </row>
    <row r="1787" spans="1:16" s="4" customFormat="1" ht="15.75" thickBot="1" x14ac:dyDescent="0.3">
      <c r="A1787" s="103"/>
      <c r="B1787" s="87" t="s">
        <v>1674</v>
      </c>
      <c r="C1787" s="88"/>
      <c r="D1787" s="89"/>
      <c r="E1787" s="89"/>
      <c r="F1787" s="89"/>
      <c r="G1787" s="89"/>
      <c r="H1787" s="90">
        <f>ROUND(SUM(H1783:H1786),2)</f>
        <v>2.52</v>
      </c>
      <c r="I1787" s="5"/>
    </row>
    <row r="1788" spans="1:16" s="4" customFormat="1" ht="15.75" x14ac:dyDescent="0.25">
      <c r="A1788" s="103"/>
      <c r="B1788" s="2"/>
      <c r="C1788" s="2"/>
      <c r="D1788" s="91" t="s">
        <v>1673</v>
      </c>
      <c r="E1788" s="177"/>
      <c r="F1788" s="177"/>
      <c r="G1788" s="177"/>
      <c r="H1788" s="92">
        <f>ROUND(SUM(H1787,H1781,H1762,H1752),2)</f>
        <v>199.7</v>
      </c>
      <c r="I1788" s="5"/>
    </row>
    <row r="1789" spans="1:16" s="4" customFormat="1" ht="15.75" x14ac:dyDescent="0.25">
      <c r="A1789" s="103">
        <v>40002</v>
      </c>
      <c r="B1789" s="2"/>
      <c r="C1789" s="2"/>
      <c r="D1789" s="93" t="s">
        <v>1672</v>
      </c>
      <c r="E1789" s="166"/>
      <c r="F1789" s="166"/>
      <c r="G1789" s="178">
        <f>IF($A1789=0,"",VLOOKUP($A1789,'BASE MATERIAL'!$M:$P,4))</f>
        <v>0</v>
      </c>
      <c r="H1789" s="95">
        <f>IF($A1789=0,"",ROUND(G1789*H1788,2))</f>
        <v>0</v>
      </c>
      <c r="I1789" s="5"/>
    </row>
    <row r="1790" spans="1:16" s="4" customFormat="1" ht="15.75" x14ac:dyDescent="0.25">
      <c r="A1790" s="103">
        <v>40003</v>
      </c>
      <c r="B1790" s="2"/>
      <c r="C1790" s="2"/>
      <c r="D1790" s="93" t="s">
        <v>1671</v>
      </c>
      <c r="E1790" s="166"/>
      <c r="F1790" s="166"/>
      <c r="G1790" s="178">
        <f>IF($A1790=0,"",VLOOKUP($A1790,'BASE MATERIAL'!$M:$P,4))</f>
        <v>0</v>
      </c>
      <c r="H1790" s="95">
        <f>IF($A1790=0,"",ROUND(G1790*H1788,2))</f>
        <v>0</v>
      </c>
      <c r="I1790" s="5"/>
    </row>
    <row r="1791" spans="1:16" s="4" customFormat="1" ht="15.75" x14ac:dyDescent="0.25">
      <c r="A1791" s="103"/>
      <c r="B1791" s="2"/>
      <c r="C1791" s="2"/>
      <c r="D1791" s="93" t="s">
        <v>1670</v>
      </c>
      <c r="E1791" s="166"/>
      <c r="F1791" s="166"/>
      <c r="G1791" s="166"/>
      <c r="H1791" s="96">
        <f>ROUND(SUM(H1788:H1790),2)</f>
        <v>199.7</v>
      </c>
      <c r="I1791" s="5"/>
    </row>
    <row r="1792" spans="1:16" s="4" customFormat="1" ht="16.5" thickBot="1" x14ac:dyDescent="0.3">
      <c r="A1792" s="103"/>
      <c r="B1792" s="25"/>
      <c r="C1792" s="5"/>
      <c r="D1792" s="97" t="s">
        <v>1650</v>
      </c>
      <c r="E1792" s="179"/>
      <c r="F1792" s="179"/>
      <c r="G1792" s="179"/>
      <c r="H1792" s="98">
        <f>ROUND(H1791,2)</f>
        <v>199.7</v>
      </c>
      <c r="I1792" s="5"/>
    </row>
    <row r="1793" spans="1:15" ht="15.75" x14ac:dyDescent="0.25">
      <c r="B1793" s="34" t="s">
        <v>1701</v>
      </c>
      <c r="C1793" s="5"/>
      <c r="D1793" s="157" t="str">
        <f>$D$113</f>
        <v>ESPOL</v>
      </c>
      <c r="E1793" s="2"/>
      <c r="F1793" s="2"/>
      <c r="H1793" s="2" t="s">
        <v>108</v>
      </c>
      <c r="I1793" s="2"/>
      <c r="L1793" s="40">
        <f>A1797</f>
        <v>28</v>
      </c>
      <c r="M1793" s="1" t="str">
        <f>C1798</f>
        <v>Cajas de registro (hormigon y malla elect.) AA.SS.- AA.LL. inc. Enlucido</v>
      </c>
      <c r="N1793" s="2" t="str">
        <f>H1797</f>
        <v>U</v>
      </c>
      <c r="O1793" s="2">
        <f>H1848</f>
        <v>138.63</v>
      </c>
    </row>
    <row r="1794" spans="1:15" s="4" customFormat="1" ht="15.75" x14ac:dyDescent="0.25">
      <c r="A1794" s="103"/>
      <c r="B1794" s="34" t="s">
        <v>1700</v>
      </c>
      <c r="C1794" s="3">
        <f>'1.1'!$C$2</f>
        <v>0</v>
      </c>
      <c r="D1794" s="5"/>
      <c r="E1794" s="5"/>
      <c r="F1794" s="5"/>
      <c r="G1794" s="158" t="s">
        <v>1699</v>
      </c>
      <c r="H1794" s="159"/>
      <c r="I1794" s="5" t="s">
        <v>1698</v>
      </c>
    </row>
    <row r="1795" spans="1:15" s="4" customFormat="1" ht="15.75" x14ac:dyDescent="0.25">
      <c r="A1795" s="103"/>
      <c r="B1795" s="34"/>
      <c r="C1795" s="3">
        <f>'1.1'!$C$3</f>
        <v>0</v>
      </c>
      <c r="D1795" s="5"/>
      <c r="E1795" s="5"/>
      <c r="F1795" s="5"/>
      <c r="G1795" s="5"/>
      <c r="H1795" s="5"/>
      <c r="I1795" s="5"/>
    </row>
    <row r="1796" spans="1:15" s="4" customFormat="1" ht="15.75" x14ac:dyDescent="0.25">
      <c r="A1796" s="103"/>
      <c r="B1796" s="34" t="s">
        <v>1697</v>
      </c>
      <c r="C1796" s="3"/>
      <c r="D1796" s="5"/>
      <c r="E1796" s="5"/>
      <c r="F1796" s="5"/>
      <c r="G1796" s="5"/>
      <c r="H1796" s="5"/>
      <c r="I1796" s="5"/>
    </row>
    <row r="1797" spans="1:15" x14ac:dyDescent="0.25">
      <c r="A1797" s="104">
        <v>28</v>
      </c>
      <c r="B1797" s="2" t="s">
        <v>1586</v>
      </c>
      <c r="C1797" s="36" t="s">
        <v>1539</v>
      </c>
      <c r="D1797" s="5"/>
      <c r="E1797" s="4"/>
      <c r="F1797" s="4"/>
      <c r="G1797" s="5" t="s">
        <v>1696</v>
      </c>
      <c r="H1797" s="157" t="s">
        <v>744</v>
      </c>
      <c r="I1797" s="2"/>
    </row>
    <row r="1798" spans="1:15" s="4" customFormat="1" x14ac:dyDescent="0.25">
      <c r="A1798" s="103"/>
      <c r="B1798" s="1" t="s">
        <v>1585</v>
      </c>
      <c r="C1798" s="36" t="s">
        <v>227</v>
      </c>
      <c r="D1798" s="5"/>
      <c r="E1798" s="5"/>
      <c r="F1798" s="5"/>
      <c r="G1798" s="5"/>
      <c r="H1798" s="5"/>
      <c r="I1798" s="5"/>
    </row>
    <row r="1799" spans="1:15" ht="15.75" thickBot="1" x14ac:dyDescent="0.3">
      <c r="C1799" s="1" t="s">
        <v>1882</v>
      </c>
      <c r="D1799" s="2"/>
      <c r="E1799" s="2"/>
      <c r="F1799" s="2"/>
      <c r="G1799" s="2"/>
      <c r="H1799" s="2"/>
      <c r="I1799" s="2"/>
    </row>
    <row r="1800" spans="1:15" ht="15.75" thickBot="1" x14ac:dyDescent="0.3">
      <c r="B1800" s="43" t="s">
        <v>1695</v>
      </c>
      <c r="C1800" s="44"/>
      <c r="D1800" s="44"/>
      <c r="E1800" s="44"/>
      <c r="F1800" s="44"/>
      <c r="G1800" s="44"/>
      <c r="H1800" s="45"/>
      <c r="I1800" s="2"/>
    </row>
    <row r="1801" spans="1:15" ht="25.5" x14ac:dyDescent="0.25">
      <c r="B1801" s="46" t="s">
        <v>1409</v>
      </c>
      <c r="C1801" s="47"/>
      <c r="D1801" s="48" t="s">
        <v>1690</v>
      </c>
      <c r="E1801" s="48" t="s">
        <v>1694</v>
      </c>
      <c r="F1801" s="48" t="s">
        <v>1693</v>
      </c>
      <c r="G1801" s="49" t="s">
        <v>1687</v>
      </c>
      <c r="H1801" s="50" t="s">
        <v>1686</v>
      </c>
      <c r="I1801" s="2"/>
    </row>
    <row r="1802" spans="1:15" s="4" customFormat="1" x14ac:dyDescent="0.25">
      <c r="A1802" s="103">
        <v>19015</v>
      </c>
      <c r="B1802" s="51" t="str">
        <f>IF($A1802=0,"",VLOOKUP($A1802,'BASE EQUIPO'!$A:$D,2))</f>
        <v>HERRAMIENTA MENOR</v>
      </c>
      <c r="C1802" s="52"/>
      <c r="D1802" s="53">
        <v>1</v>
      </c>
      <c r="E1802" s="53">
        <f>IF($A1802=0,"",VLOOKUP($A1802,'BASE EQUIPO'!$A:$D,4)*H1818)</f>
        <v>2.6718000000000002</v>
      </c>
      <c r="F1802" s="53">
        <f t="shared" ref="F1802:F1807" si="161">IF($A1802=0,"",ROUND(D1802*E1802,2))</f>
        <v>2.67</v>
      </c>
      <c r="G1802" s="105">
        <v>1</v>
      </c>
      <c r="H1802" s="54">
        <f t="shared" ref="H1802:H1807" si="162">IF($A1802=0,"",ROUND(G1802*F1802,2))</f>
        <v>2.67</v>
      </c>
      <c r="I1802" s="5"/>
    </row>
    <row r="1803" spans="1:15" s="4" customFormat="1" x14ac:dyDescent="0.25">
      <c r="A1803" s="103"/>
      <c r="B1803" s="38" t="str">
        <f>IF($A1803=0,"",VLOOKUP($A1803,'BASE EQUIPO'!$A:$D,2))</f>
        <v/>
      </c>
      <c r="C1803" s="2"/>
      <c r="D1803" s="55"/>
      <c r="E1803" s="55" t="str">
        <f>IF($A1803=0,"",VLOOKUP($A1803,'BASE EQUIPO'!$A:$D,4))</f>
        <v/>
      </c>
      <c r="F1803" s="55" t="str">
        <f t="shared" si="161"/>
        <v/>
      </c>
      <c r="G1803" s="106"/>
      <c r="H1803" s="56" t="str">
        <f t="shared" si="162"/>
        <v/>
      </c>
      <c r="I1803" s="5"/>
    </row>
    <row r="1804" spans="1:15" s="4" customFormat="1" x14ac:dyDescent="0.25">
      <c r="A1804" s="103"/>
      <c r="B1804" s="38" t="str">
        <f>IF($A1804=0,"",VLOOKUP($A1804,'BASE EQUIPO'!$A:$D,2))</f>
        <v/>
      </c>
      <c r="C1804" s="2"/>
      <c r="D1804" s="55"/>
      <c r="E1804" s="55" t="str">
        <f>IF($A1804=0,"",VLOOKUP($A1804,'BASE EQUIPO'!$A:$D,4))</f>
        <v/>
      </c>
      <c r="F1804" s="55" t="str">
        <f t="shared" si="161"/>
        <v/>
      </c>
      <c r="G1804" s="106"/>
      <c r="H1804" s="56" t="str">
        <f t="shared" si="162"/>
        <v/>
      </c>
      <c r="I1804" s="5"/>
    </row>
    <row r="1805" spans="1:15" s="4" customFormat="1" x14ac:dyDescent="0.25">
      <c r="A1805" s="103"/>
      <c r="B1805" s="38" t="str">
        <f>IF($A1805=0,"",VLOOKUP($A1805,'BASE EQUIPO'!$A:$D,2))</f>
        <v/>
      </c>
      <c r="C1805" s="2"/>
      <c r="D1805" s="55"/>
      <c r="E1805" s="55" t="str">
        <f>IF($A1805=0,"",VLOOKUP($A1805,'BASE EQUIPO'!$A:$D,4))</f>
        <v/>
      </c>
      <c r="F1805" s="55" t="str">
        <f t="shared" si="161"/>
        <v/>
      </c>
      <c r="G1805" s="106"/>
      <c r="H1805" s="56" t="str">
        <f t="shared" si="162"/>
        <v/>
      </c>
      <c r="I1805" s="5"/>
    </row>
    <row r="1806" spans="1:15" s="4" customFormat="1" x14ac:dyDescent="0.25">
      <c r="A1806" s="103"/>
      <c r="B1806" s="38" t="str">
        <f>IF($A1806=0,"",VLOOKUP($A1806,'BASE EQUIPO'!$A:$D,2))</f>
        <v/>
      </c>
      <c r="C1806" s="2"/>
      <c r="D1806" s="55"/>
      <c r="E1806" s="55" t="str">
        <f>IF($A1806=0,"",VLOOKUP($A1806,'BASE EQUIPO'!$A:$D,4))</f>
        <v/>
      </c>
      <c r="F1806" s="55" t="str">
        <f t="shared" si="161"/>
        <v/>
      </c>
      <c r="G1806" s="106"/>
      <c r="H1806" s="56" t="str">
        <f t="shared" si="162"/>
        <v/>
      </c>
      <c r="I1806" s="5"/>
    </row>
    <row r="1807" spans="1:15" s="4" customFormat="1" x14ac:dyDescent="0.25">
      <c r="A1807" s="103"/>
      <c r="B1807" s="57" t="str">
        <f>IF($A1807=0,"",VLOOKUP($A1807,'BASE EQUIPO'!$A:$D,2))</f>
        <v/>
      </c>
      <c r="C1807" s="58"/>
      <c r="D1807" s="59"/>
      <c r="E1807" s="59" t="str">
        <f>IF($A1807=0,"",VLOOKUP($A1807,'BASE EQUIPO'!$A:$D,4))</f>
        <v/>
      </c>
      <c r="F1807" s="59" t="str">
        <f t="shared" si="161"/>
        <v/>
      </c>
      <c r="G1807" s="107"/>
      <c r="H1807" s="60" t="str">
        <f t="shared" si="162"/>
        <v/>
      </c>
      <c r="I1807" s="5"/>
    </row>
    <row r="1808" spans="1:15" s="4" customFormat="1" x14ac:dyDescent="0.25">
      <c r="A1808" s="103"/>
      <c r="B1808" s="57" t="s">
        <v>1692</v>
      </c>
      <c r="C1808" s="58"/>
      <c r="D1808" s="61"/>
      <c r="E1808" s="61"/>
      <c r="F1808" s="61"/>
      <c r="G1808" s="62"/>
      <c r="H1808" s="60">
        <f>ROUND(SUM(H1801:H1807),2)</f>
        <v>2.67</v>
      </c>
      <c r="I1808" s="5"/>
    </row>
    <row r="1809" spans="1:16" s="4" customFormat="1" x14ac:dyDescent="0.25">
      <c r="A1809" s="103"/>
      <c r="B1809" s="38" t="s">
        <v>1503</v>
      </c>
      <c r="C1809" s="2"/>
      <c r="D1809" s="3"/>
      <c r="E1809" s="3"/>
      <c r="F1809" s="3"/>
      <c r="G1809" s="63"/>
      <c r="H1809" s="56"/>
      <c r="I1809" s="5"/>
    </row>
    <row r="1810" spans="1:16" ht="25.5" x14ac:dyDescent="0.25">
      <c r="B1810" s="64" t="s">
        <v>1691</v>
      </c>
      <c r="C1810" s="65"/>
      <c r="D1810" s="66" t="s">
        <v>1690</v>
      </c>
      <c r="E1810" s="66" t="s">
        <v>1689</v>
      </c>
      <c r="F1810" s="66" t="s">
        <v>1688</v>
      </c>
      <c r="G1810" s="67" t="s">
        <v>1687</v>
      </c>
      <c r="H1810" s="68" t="s">
        <v>1686</v>
      </c>
      <c r="I1810" s="2"/>
    </row>
    <row r="1811" spans="1:16" s="4" customFormat="1" x14ac:dyDescent="0.25">
      <c r="A1811" s="103">
        <v>20001</v>
      </c>
      <c r="B1811" s="69" t="str">
        <f>IF($A1811=0,"",VLOOKUP($A1811,'BASE M-OBRA'!$A:$D,2))</f>
        <v>MAESTRO</v>
      </c>
      <c r="C1811" s="2"/>
      <c r="D1811" s="108">
        <v>1</v>
      </c>
      <c r="E1811" s="70">
        <f>IF($A1811=0,"",VLOOKUP($A1811,'BASE M-OBRA'!$A:$D,4))</f>
        <v>3.02</v>
      </c>
      <c r="F1811" s="55">
        <f t="shared" ref="F1811:F1817" si="163">IF($A1811=0,"",ROUND(D1811*E1811,2))</f>
        <v>3.02</v>
      </c>
      <c r="G1811" s="106">
        <f>IF($A1811=0,"",ROUND(H1811/F1811,2))</f>
        <v>4.91</v>
      </c>
      <c r="H1811" s="56">
        <f>IF($A1811=0,"",ROUND(SUM(H1812:H1817)*'BASE M-OBRA'!$D$23,2))</f>
        <v>14.84</v>
      </c>
      <c r="I1811" s="5"/>
      <c r="K1811" s="4">
        <f>4.48*3</f>
        <v>13.440000000000001</v>
      </c>
    </row>
    <row r="1812" spans="1:16" s="4" customFormat="1" x14ac:dyDescent="0.25">
      <c r="A1812" s="103">
        <v>20002</v>
      </c>
      <c r="B1812" s="69" t="str">
        <f>IF($A1812=0,"",VLOOKUP($A1812,'BASE M-OBRA'!$A:$D,2))</f>
        <v>PEON</v>
      </c>
      <c r="C1812" s="2"/>
      <c r="D1812" s="108">
        <v>1</v>
      </c>
      <c r="E1812" s="70">
        <f>IF($A1812=0,"",VLOOKUP($A1812,'BASE M-OBRA'!$A:$D,4))</f>
        <v>2.79</v>
      </c>
      <c r="F1812" s="55">
        <f t="shared" si="163"/>
        <v>2.79</v>
      </c>
      <c r="G1812" s="106">
        <v>10</v>
      </c>
      <c r="H1812" s="56">
        <f t="shared" ref="H1812:H1817" si="164">IF($A1812=0,"",ROUND(G1812*F1812,2))</f>
        <v>27.9</v>
      </c>
      <c r="I1812" s="5"/>
      <c r="K1812" s="4">
        <f>0.42*20</f>
        <v>8.4</v>
      </c>
    </row>
    <row r="1813" spans="1:16" s="4" customFormat="1" x14ac:dyDescent="0.25">
      <c r="A1813" s="103">
        <v>20003</v>
      </c>
      <c r="B1813" s="69" t="str">
        <f>IF($A1813=0,"",VLOOKUP($A1813,'BASE M-OBRA'!$A:$D,2))</f>
        <v>ALBAÑIL</v>
      </c>
      <c r="C1813" s="2"/>
      <c r="D1813" s="108">
        <v>1</v>
      </c>
      <c r="E1813" s="70">
        <f>IF($A1813=0,"",VLOOKUP($A1813,'BASE M-OBRA'!$A:$D,4))</f>
        <v>2.82</v>
      </c>
      <c r="F1813" s="55">
        <f t="shared" si="163"/>
        <v>2.82</v>
      </c>
      <c r="G1813" s="106">
        <f>+G1812</f>
        <v>10</v>
      </c>
      <c r="H1813" s="56">
        <f t="shared" si="164"/>
        <v>28.2</v>
      </c>
      <c r="I1813" s="5"/>
      <c r="K1813" s="4">
        <f>2.88*4</f>
        <v>11.52</v>
      </c>
    </row>
    <row r="1814" spans="1:16" s="4" customFormat="1" x14ac:dyDescent="0.25">
      <c r="A1814" s="103"/>
      <c r="B1814" s="71" t="str">
        <f>IF($A1814=0,"",VLOOKUP($A1814,'BASE M-OBRA'!$A:$D,2))</f>
        <v/>
      </c>
      <c r="C1814" s="2"/>
      <c r="D1814" s="108"/>
      <c r="E1814" s="70" t="str">
        <f>IF($A1814=0,"",VLOOKUP($A1814,'BASE M-OBRA'!$A:$D,4))</f>
        <v/>
      </c>
      <c r="F1814" s="55" t="str">
        <f t="shared" si="163"/>
        <v/>
      </c>
      <c r="G1814" s="106"/>
      <c r="H1814" s="56" t="str">
        <f t="shared" si="164"/>
        <v/>
      </c>
      <c r="I1814" s="5"/>
      <c r="K1814" s="4">
        <f>SUM(K1811:K1813)</f>
        <v>33.36</v>
      </c>
    </row>
    <row r="1815" spans="1:16" s="4" customFormat="1" x14ac:dyDescent="0.25">
      <c r="A1815" s="103">
        <v>20006</v>
      </c>
      <c r="B1815" s="72" t="str">
        <f>IF($A1815=0,"",VLOOKUP($A1815,'BASE M-OBRA'!$A:$D,2))</f>
        <v>MAESTRO  SOLDADOR</v>
      </c>
      <c r="C1815" s="2"/>
      <c r="D1815" s="108">
        <v>1</v>
      </c>
      <c r="E1815" s="70">
        <f>IF($A1815=0,"",VLOOKUP($A1815,'BASE M-OBRA'!$A:$D,4))</f>
        <v>3.02</v>
      </c>
      <c r="F1815" s="55">
        <f t="shared" si="163"/>
        <v>3.02</v>
      </c>
      <c r="G1815" s="106">
        <v>6</v>
      </c>
      <c r="H1815" s="56">
        <f t="shared" si="164"/>
        <v>18.12</v>
      </c>
      <c r="I1815" s="5"/>
    </row>
    <row r="1816" spans="1:16" s="4" customFormat="1" x14ac:dyDescent="0.25">
      <c r="A1816" s="103"/>
      <c r="B1816" s="38" t="str">
        <f>IF($A1816=0,"",VLOOKUP($A1816,'BASE M-OBRA'!$A:$D,2))</f>
        <v/>
      </c>
      <c r="C1816" s="2"/>
      <c r="D1816" s="55"/>
      <c r="E1816" s="55" t="str">
        <f>IF($A1816=0,"",VLOOKUP($A1816,'BASE M-OBRA'!$A:$D,4))</f>
        <v/>
      </c>
      <c r="F1816" s="55" t="str">
        <f t="shared" si="163"/>
        <v/>
      </c>
      <c r="G1816" s="106"/>
      <c r="H1816" s="56" t="str">
        <f t="shared" si="164"/>
        <v/>
      </c>
      <c r="I1816" s="5"/>
    </row>
    <row r="1817" spans="1:16" s="4" customFormat="1" x14ac:dyDescent="0.25">
      <c r="A1817" s="103"/>
      <c r="B1817" s="57" t="str">
        <f>IF($A1817=0,"",VLOOKUP($A1817,'BASE M-OBRA'!$A:$D,2))</f>
        <v/>
      </c>
      <c r="C1817" s="58"/>
      <c r="D1817" s="59"/>
      <c r="E1817" s="59" t="str">
        <f>IF($A1817=0,"",VLOOKUP($A1817,'BASE M-OBRA'!$A:$D,4))</f>
        <v/>
      </c>
      <c r="F1817" s="59" t="str">
        <f t="shared" si="163"/>
        <v/>
      </c>
      <c r="G1817" s="107"/>
      <c r="H1817" s="60" t="str">
        <f t="shared" si="164"/>
        <v/>
      </c>
      <c r="I1817" s="5"/>
    </row>
    <row r="1818" spans="1:16" s="4" customFormat="1" x14ac:dyDescent="0.25">
      <c r="A1818" s="103"/>
      <c r="B1818" s="73" t="s">
        <v>1685</v>
      </c>
      <c r="C1818" s="65"/>
      <c r="D1818" s="74"/>
      <c r="E1818" s="74"/>
      <c r="F1818" s="74"/>
      <c r="G1818" s="74"/>
      <c r="H1818" s="75">
        <f>ROUND(SUM(H1810:H1817),2)</f>
        <v>89.06</v>
      </c>
      <c r="I1818" s="5"/>
    </row>
    <row r="1819" spans="1:16" s="4" customFormat="1" x14ac:dyDescent="0.25">
      <c r="A1819" s="103"/>
      <c r="B1819" s="38" t="s">
        <v>1684</v>
      </c>
      <c r="C1819" s="2"/>
      <c r="D1819" s="3"/>
      <c r="E1819" s="3"/>
      <c r="F1819" s="3"/>
      <c r="G1819" s="3"/>
      <c r="H1819" s="56"/>
      <c r="I1819" s="5"/>
    </row>
    <row r="1820" spans="1:16" ht="25.5" x14ac:dyDescent="0.25">
      <c r="B1820" s="64" t="s">
        <v>1409</v>
      </c>
      <c r="C1820" s="65"/>
      <c r="D1820" s="76"/>
      <c r="E1820" s="66" t="s">
        <v>1408</v>
      </c>
      <c r="F1820" s="66" t="s">
        <v>1679</v>
      </c>
      <c r="G1820" s="66" t="s">
        <v>1683</v>
      </c>
      <c r="H1820" s="68" t="s">
        <v>1675</v>
      </c>
      <c r="I1820" s="2"/>
    </row>
    <row r="1821" spans="1:16" s="4" customFormat="1" x14ac:dyDescent="0.25">
      <c r="A1821" s="103">
        <v>11008</v>
      </c>
      <c r="B1821" s="37" t="str">
        <f>IF($A1821=0,"",VLOOKUP($A1821,'BASE MATERIAL'!$A:$D,2))</f>
        <v>TABLA</v>
      </c>
      <c r="C1821" s="2"/>
      <c r="D1821" s="77"/>
      <c r="E1821" s="78" t="str">
        <f>IF($A1821=0,"",VLOOKUP($A1821,'BASE MATERIAL'!$A:$D,3))</f>
        <v>U</v>
      </c>
      <c r="F1821" s="55">
        <f>ROUND(1.6*5/(4*2),2)</f>
        <v>1</v>
      </c>
      <c r="G1821" s="55">
        <f>IF($A1821=0,"",VLOOKUP($A1821,'BASE MATERIAL'!$A:$D,4))</f>
        <v>3.5</v>
      </c>
      <c r="H1821" s="56">
        <f t="shared" ref="H1821:H1835" si="165">IF($A1821=0,"",ROUND(F1821*G1821,2))</f>
        <v>3.5</v>
      </c>
      <c r="I1821" s="5"/>
      <c r="K1821" s="5">
        <f>(0.4+0.4+0.6+0.6)*0.4*2</f>
        <v>1.6</v>
      </c>
      <c r="L1821" s="5">
        <f>(0.4+0.4+0.6+0.6)*0.4*0.1</f>
        <v>8.0000000000000016E-2</v>
      </c>
      <c r="M1821" s="5"/>
      <c r="N1821" s="160"/>
      <c r="O1821" s="5"/>
      <c r="P1821" s="5"/>
    </row>
    <row r="1822" spans="1:16" s="4" customFormat="1" x14ac:dyDescent="0.25">
      <c r="A1822" s="103">
        <v>11009</v>
      </c>
      <c r="B1822" s="38" t="str">
        <f>IF($A1822=0,"",VLOOKUP($A1822,'BASE MATERIAL'!$A:$D,2))</f>
        <v>CUARTON</v>
      </c>
      <c r="C1822" s="2"/>
      <c r="D1822" s="77"/>
      <c r="E1822" s="78" t="str">
        <f>IF($A1822=0,"",VLOOKUP($A1822,'BASE MATERIAL'!$A:$D,3))</f>
        <v>U</v>
      </c>
      <c r="F1822" s="55">
        <f>ROUND(1.6*8/(4*2),2)</f>
        <v>1.6</v>
      </c>
      <c r="G1822" s="55">
        <f>IF($A1822=0,"",VLOOKUP($A1822,'BASE MATERIAL'!$A:$D,4))</f>
        <v>2.42</v>
      </c>
      <c r="H1822" s="56">
        <f t="shared" si="165"/>
        <v>3.87</v>
      </c>
      <c r="I1822" s="5"/>
      <c r="K1822" s="5">
        <f>(0.4+0.4+0.6+0.6)*0.4+0.6*0.6</f>
        <v>1.1600000000000001</v>
      </c>
      <c r="L1822" s="5">
        <f>0.6*0.6*0.15</f>
        <v>5.3999999999999999E-2</v>
      </c>
      <c r="M1822" s="5"/>
      <c r="N1822" s="160"/>
      <c r="O1822" s="5"/>
      <c r="P1822" s="5"/>
    </row>
    <row r="1823" spans="1:16" s="4" customFormat="1" x14ac:dyDescent="0.25">
      <c r="A1823" s="103">
        <v>11007</v>
      </c>
      <c r="B1823" s="38" t="str">
        <f>IF($A1823=0,"",VLOOKUP($A1823,'BASE MATERIAL'!$A:$D,2))</f>
        <v>CLAVO 2 1/2"</v>
      </c>
      <c r="C1823" s="2"/>
      <c r="D1823" s="77"/>
      <c r="E1823" s="78" t="str">
        <f>IF($A1823=0,"",VLOOKUP($A1823,'BASE MATERIAL'!$A:$D,3))</f>
        <v>KG</v>
      </c>
      <c r="F1823" s="55">
        <f>ROUND(1.6*56/(178*1.5),2)</f>
        <v>0.34</v>
      </c>
      <c r="G1823" s="55">
        <f>IF($A1823=0,"",VLOOKUP($A1823,'BASE MATERIAL'!$A:$D,4))</f>
        <v>2.6520000000000001</v>
      </c>
      <c r="H1823" s="56">
        <f t="shared" si="165"/>
        <v>0.9</v>
      </c>
      <c r="I1823" s="5"/>
      <c r="L1823" s="5">
        <f>0.6*0.6*0.1</f>
        <v>3.5999999999999997E-2</v>
      </c>
      <c r="M1823" s="5"/>
      <c r="N1823" s="160"/>
      <c r="O1823" s="5"/>
      <c r="P1823" s="5"/>
    </row>
    <row r="1824" spans="1:16" s="4" customFormat="1" x14ac:dyDescent="0.25">
      <c r="A1824" s="103">
        <v>14029</v>
      </c>
      <c r="B1824" s="38" t="str">
        <f>IF($A1824=0,"",VLOOKUP($A1824,'BASE MATERIAL'!$A:$D,2))</f>
        <v>MALLA ELEC 5,5mm c/15cm</v>
      </c>
      <c r="C1824" s="2"/>
      <c r="D1824" s="77"/>
      <c r="E1824" s="78" t="str">
        <f>IF($A1824=0,"",VLOOKUP($A1824,'BASE MATERIAL'!$A:$D,3))</f>
        <v>M2</v>
      </c>
      <c r="F1824" s="55">
        <f>0.6*0.6*2</f>
        <v>0.72</v>
      </c>
      <c r="G1824" s="55">
        <f>IF($A1824=0,"",VLOOKUP($A1824,'BASE MATERIAL'!$A:$D,4))</f>
        <v>3.5481600000000006</v>
      </c>
      <c r="H1824" s="56">
        <f t="shared" si="165"/>
        <v>2.5499999999999998</v>
      </c>
      <c r="I1824" s="5"/>
      <c r="K1824" s="4">
        <f>3.1/(4*0.2*2)</f>
        <v>1.9375</v>
      </c>
      <c r="L1824" s="5">
        <f>SUM(L1821:L1823)</f>
        <v>0.17</v>
      </c>
      <c r="M1824" s="5"/>
      <c r="N1824" s="160"/>
      <c r="O1824" s="5"/>
      <c r="P1824" s="5"/>
    </row>
    <row r="1825" spans="1:16" s="4" customFormat="1" x14ac:dyDescent="0.25">
      <c r="A1825" s="103">
        <v>4001</v>
      </c>
      <c r="B1825" s="38" t="str">
        <f>IF($A1825=0,"",VLOOKUP($A1825,'BASE MATERIAL'!$A:$D,2))</f>
        <v>CEMENTO</v>
      </c>
      <c r="C1825" s="2"/>
      <c r="D1825" s="77"/>
      <c r="E1825" s="78" t="str">
        <f>IF($A1825=0,"",VLOOKUP($A1825,'BASE MATERIAL'!$A:$D,3))</f>
        <v>SACO</v>
      </c>
      <c r="F1825" s="55">
        <f>ROUND(7*0.17,2)</f>
        <v>1.19</v>
      </c>
      <c r="G1825" s="55">
        <f>IF($A1825=0,"",VLOOKUP($A1825,'BASE MATERIAL'!$A:$D,4))</f>
        <v>7.09</v>
      </c>
      <c r="H1825" s="56">
        <f t="shared" si="165"/>
        <v>8.44</v>
      </c>
      <c r="I1825" s="5"/>
      <c r="K1825" s="4">
        <f>+K1829*0.1</f>
        <v>0.39800000000000002</v>
      </c>
      <c r="L1825" s="5"/>
      <c r="M1825" s="5"/>
      <c r="N1825" s="160"/>
      <c r="O1825" s="5"/>
      <c r="P1825" s="5"/>
    </row>
    <row r="1826" spans="1:16" s="4" customFormat="1" x14ac:dyDescent="0.25">
      <c r="A1826" s="103">
        <v>5004</v>
      </c>
      <c r="B1826" s="38" t="str">
        <f>IF($A1826=0,"",VLOOKUP($A1826,'BASE MATERIAL'!$A:$D,2))</f>
        <v>ARENA</v>
      </c>
      <c r="C1826" s="2"/>
      <c r="D1826" s="77"/>
      <c r="E1826" s="78" t="str">
        <f>IF($A1826=0,"",VLOOKUP($A1826,'BASE MATERIAL'!$A:$D,3))</f>
        <v>M3</v>
      </c>
      <c r="F1826" s="55">
        <f>ROUND(F1825*0.032*2,2)</f>
        <v>0.08</v>
      </c>
      <c r="G1826" s="55">
        <f>IF($A1826=0,"",VLOOKUP($A1826,'BASE MATERIAL'!$A:$D,4))</f>
        <v>12.276249999999999</v>
      </c>
      <c r="H1826" s="56">
        <f t="shared" si="165"/>
        <v>0.98</v>
      </c>
      <c r="I1826" s="5"/>
      <c r="L1826" s="5"/>
      <c r="M1826" s="5"/>
      <c r="N1826" s="160"/>
      <c r="O1826" s="5"/>
      <c r="P1826" s="5"/>
    </row>
    <row r="1827" spans="1:16" s="4" customFormat="1" x14ac:dyDescent="0.25">
      <c r="A1827" s="103">
        <v>5002</v>
      </c>
      <c r="B1827" s="38" t="str">
        <f>IF($A1827=0,"",VLOOKUP($A1827,'BASE MATERIAL'!$A:$D,2))</f>
        <v>PIEDRA 3-4</v>
      </c>
      <c r="C1827" s="2"/>
      <c r="D1827" s="77"/>
      <c r="E1827" s="78" t="str">
        <f>IF($A1827=0,"",VLOOKUP($A1827,'BASE MATERIAL'!$A:$D,3))</f>
        <v>M3</v>
      </c>
      <c r="F1827" s="55">
        <f>ROUND(F1825*0.032*3,2)</f>
        <v>0.11</v>
      </c>
      <c r="G1827" s="55">
        <f>IF($A1827=0,"",VLOOKUP($A1827,'BASE MATERIAL'!$A:$D,4))</f>
        <v>13.75</v>
      </c>
      <c r="H1827" s="56">
        <f t="shared" si="165"/>
        <v>1.51</v>
      </c>
      <c r="I1827" s="5"/>
      <c r="L1827" s="5"/>
      <c r="M1827" s="5"/>
      <c r="N1827" s="160"/>
      <c r="O1827" s="5"/>
      <c r="P1827" s="5"/>
    </row>
    <row r="1828" spans="1:16" s="4" customFormat="1" x14ac:dyDescent="0.25">
      <c r="A1828" s="103">
        <v>5005</v>
      </c>
      <c r="B1828" s="38" t="str">
        <f>IF($A1828=0,"",VLOOKUP($A1828,'BASE MATERIAL'!$A:$D,2))</f>
        <v>AGUA</v>
      </c>
      <c r="C1828" s="2"/>
      <c r="D1828" s="77"/>
      <c r="E1828" s="78" t="str">
        <f>IF($A1828=0,"",VLOOKUP($A1828,'BASE MATERIAL'!$A:$D,3))</f>
        <v>LT</v>
      </c>
      <c r="F1828" s="55">
        <f>ROUND(26*F1825,2)</f>
        <v>30.94</v>
      </c>
      <c r="G1828" s="112">
        <f>IF($A1828=0,"",VLOOKUP($A1828,'BASE MATERIAL'!$A:$D,4))</f>
        <v>2E-3</v>
      </c>
      <c r="H1828" s="56">
        <f t="shared" si="165"/>
        <v>0.06</v>
      </c>
      <c r="I1828" s="5"/>
    </row>
    <row r="1829" spans="1:16" s="4" customFormat="1" x14ac:dyDescent="0.25">
      <c r="A1829" s="103">
        <v>4001</v>
      </c>
      <c r="B1829" s="38" t="str">
        <f>IF($A1829=0,"",VLOOKUP($A1829,'BASE MATERIAL'!$A:$D,2))</f>
        <v>CEMENTO</v>
      </c>
      <c r="C1829" s="2"/>
      <c r="D1829" s="77"/>
      <c r="E1829" s="78" t="str">
        <f>IF($A1829=0,"",VLOOKUP($A1829,'BASE MATERIAL'!$A:$D,3))</f>
        <v>SACO</v>
      </c>
      <c r="F1829" s="55">
        <f>ROUND(0.2*1.16,2)</f>
        <v>0.23</v>
      </c>
      <c r="G1829" s="55">
        <f>IF($A1829=0,"",VLOOKUP($A1829,'BASE MATERIAL'!$A:$D,4))</f>
        <v>7.09</v>
      </c>
      <c r="H1829" s="56">
        <f t="shared" si="165"/>
        <v>1.63</v>
      </c>
      <c r="I1829" s="5"/>
      <c r="K1829" s="4">
        <f>(0.8*2+0.7*2)*1+0.7*0.7*2</f>
        <v>3.98</v>
      </c>
      <c r="L1829" s="5"/>
      <c r="M1829" s="5"/>
      <c r="N1829" s="160"/>
      <c r="O1829" s="5"/>
      <c r="P1829" s="5"/>
    </row>
    <row r="1830" spans="1:16" s="4" customFormat="1" x14ac:dyDescent="0.25">
      <c r="A1830" s="103">
        <v>5004</v>
      </c>
      <c r="B1830" s="38" t="str">
        <f>IF($A1830=0,"",VLOOKUP($A1830,'BASE MATERIAL'!$A:$D,2))</f>
        <v>ARENA</v>
      </c>
      <c r="C1830" s="2"/>
      <c r="D1830" s="77"/>
      <c r="E1830" s="78" t="str">
        <f>IF($A1830=0,"",VLOOKUP($A1830,'BASE MATERIAL'!$A:$D,3))</f>
        <v>M3</v>
      </c>
      <c r="F1830" s="55">
        <f>ROUND(F1829*0.032*3,2)</f>
        <v>0.02</v>
      </c>
      <c r="G1830" s="55">
        <f>IF($A1830=0,"",VLOOKUP($A1830,'BASE MATERIAL'!$A:$D,4))</f>
        <v>12.276249999999999</v>
      </c>
      <c r="H1830" s="56">
        <f t="shared" si="165"/>
        <v>0.25</v>
      </c>
      <c r="I1830" s="5"/>
      <c r="L1830" s="5"/>
      <c r="M1830" s="5"/>
      <c r="N1830" s="160"/>
      <c r="O1830" s="5"/>
      <c r="P1830" s="5"/>
    </row>
    <row r="1831" spans="1:16" s="4" customFormat="1" x14ac:dyDescent="0.25">
      <c r="A1831" s="103">
        <v>5005</v>
      </c>
      <c r="B1831" s="38" t="str">
        <f>IF($A1831=0,"",VLOOKUP($A1831,'BASE MATERIAL'!$A:$D,2))</f>
        <v>AGUA</v>
      </c>
      <c r="C1831" s="2"/>
      <c r="D1831" s="77"/>
      <c r="E1831" s="78" t="str">
        <f>IF($A1831=0,"",VLOOKUP($A1831,'BASE MATERIAL'!$A:$D,3))</f>
        <v>LT</v>
      </c>
      <c r="F1831" s="55">
        <f>ROUND(26*F1829,2)</f>
        <v>5.98</v>
      </c>
      <c r="G1831" s="112">
        <f>IF($A1831=0,"",VLOOKUP($A1831,'BASE MATERIAL'!$A:$D,4))</f>
        <v>2E-3</v>
      </c>
      <c r="H1831" s="56">
        <f t="shared" si="165"/>
        <v>0.01</v>
      </c>
      <c r="I1831" s="5"/>
    </row>
    <row r="1832" spans="1:16" s="4" customFormat="1" x14ac:dyDescent="0.25">
      <c r="A1832" s="103"/>
      <c r="B1832" s="38" t="str">
        <f>IF($A1832=0,"",VLOOKUP($A1832,'BASE MATERIAL'!$A:$D,2))</f>
        <v/>
      </c>
      <c r="C1832" s="2"/>
      <c r="D1832" s="77"/>
      <c r="E1832" s="78" t="str">
        <f>IF($A1832=0,"",VLOOKUP($A1832,'BASE MATERIAL'!$A:$D,3))</f>
        <v/>
      </c>
      <c r="F1832" s="55"/>
      <c r="G1832" s="55" t="str">
        <f>IF($A1832=0,"",VLOOKUP($A1832,'BASE MATERIAL'!$A:$D,4))</f>
        <v/>
      </c>
      <c r="H1832" s="56" t="str">
        <f t="shared" si="165"/>
        <v/>
      </c>
      <c r="I1832" s="5"/>
      <c r="L1832" s="5"/>
      <c r="M1832" s="5"/>
      <c r="N1832" s="160"/>
      <c r="O1832" s="5"/>
      <c r="P1832" s="5"/>
    </row>
    <row r="1833" spans="1:16" s="4" customFormat="1" x14ac:dyDescent="0.25">
      <c r="A1833" s="103">
        <v>1003</v>
      </c>
      <c r="B1833" s="38" t="str">
        <f>IF($A1833=0,"",VLOOKUP($A1833,'BASE MATERIAL'!$A:$D,2))</f>
        <v>ANGULO 50x50x3</v>
      </c>
      <c r="C1833" s="2"/>
      <c r="D1833" s="77"/>
      <c r="E1833" s="78" t="str">
        <f>IF($A1833=0,"",VLOOKUP($A1833,'BASE MATERIAL'!$A:$D,3))</f>
        <v>ML</v>
      </c>
      <c r="F1833" s="55">
        <f>0.8*4*2</f>
        <v>6.4</v>
      </c>
      <c r="G1833" s="55">
        <f>IF($A1833=0,"",VLOOKUP($A1833,'BASE MATERIAL'!$A:$D,4))</f>
        <v>3</v>
      </c>
      <c r="H1833" s="56">
        <f t="shared" si="165"/>
        <v>19.2</v>
      </c>
      <c r="I1833" s="5"/>
      <c r="L1833" s="5"/>
      <c r="M1833" s="5"/>
      <c r="N1833" s="160"/>
      <c r="O1833" s="5"/>
      <c r="P1833" s="5"/>
    </row>
    <row r="1834" spans="1:16" s="4" customFormat="1" x14ac:dyDescent="0.25">
      <c r="A1834" s="103">
        <v>14002</v>
      </c>
      <c r="B1834" s="38" t="str">
        <f>IF($A1834=0,"",VLOOKUP($A1834,'BASE MATERIAL'!$A:$D,2))</f>
        <v>SOLDADURA aga 60/11</v>
      </c>
      <c r="C1834" s="2"/>
      <c r="D1834" s="77"/>
      <c r="E1834" s="78" t="str">
        <f>IF($A1834=0,"",VLOOKUP($A1834,'BASE MATERIAL'!$A:$D,3))</f>
        <v>KG</v>
      </c>
      <c r="F1834" s="55">
        <v>0.5</v>
      </c>
      <c r="G1834" s="55">
        <f>IF($A1834=0,"",VLOOKUP($A1834,'BASE MATERIAL'!$A:$D,4))</f>
        <v>3.65</v>
      </c>
      <c r="H1834" s="56">
        <f t="shared" si="165"/>
        <v>1.83</v>
      </c>
      <c r="I1834" s="5"/>
    </row>
    <row r="1835" spans="1:16" s="4" customFormat="1" x14ac:dyDescent="0.25">
      <c r="A1835" s="103">
        <v>13016</v>
      </c>
      <c r="B1835" s="38" t="str">
        <f>IF($A1835=0,"",VLOOKUP($A1835,'BASE MATERIAL'!$A:$D,2))</f>
        <v>PINTURA ANTICORROSIVA</v>
      </c>
      <c r="C1835" s="2"/>
      <c r="D1835" s="77"/>
      <c r="E1835" s="78" t="str">
        <f>IF($A1835=0,"",VLOOKUP($A1835,'BASE MATERIAL'!$A:$D,3))</f>
        <v>GL</v>
      </c>
      <c r="F1835" s="55">
        <v>0.05</v>
      </c>
      <c r="G1835" s="55">
        <f>IF($A1835=0,"",VLOOKUP($A1835,'BASE MATERIAL'!$A:$D,4))</f>
        <v>16</v>
      </c>
      <c r="H1835" s="56">
        <f t="shared" si="165"/>
        <v>0.8</v>
      </c>
      <c r="I1835" s="5"/>
    </row>
    <row r="1836" spans="1:16" s="4" customFormat="1" x14ac:dyDescent="0.25">
      <c r="A1836" s="103"/>
      <c r="B1836" s="38" t="str">
        <f>IF($A1836=0,"",VLOOKUP($A1836,'BASE MATERIAL'!$A:$D,2))</f>
        <v/>
      </c>
      <c r="C1836" s="2"/>
      <c r="D1836" s="81" t="s">
        <v>1682</v>
      </c>
      <c r="E1836" s="55" t="str">
        <f>IF($A1836=0,"",VLOOKUP($A1836,'BASE MATERIAL'!$A:$D,3))</f>
        <v/>
      </c>
      <c r="F1836" s="55" t="s">
        <v>1682</v>
      </c>
      <c r="G1836" s="55" t="str">
        <f>IF($A1836=0,"",VLOOKUP($A1836,'BASE MATERIAL'!$A:$D,4))</f>
        <v/>
      </c>
      <c r="H1836" s="56" t="str">
        <f>IF($A1836=0,"",ROUND(E1836*F1836,2))</f>
        <v/>
      </c>
      <c r="I1836" s="5"/>
    </row>
    <row r="1837" spans="1:16" s="4" customFormat="1" x14ac:dyDescent="0.25">
      <c r="A1837" s="103"/>
      <c r="B1837" s="73" t="s">
        <v>1681</v>
      </c>
      <c r="C1837" s="65"/>
      <c r="D1837" s="74"/>
      <c r="E1837" s="74"/>
      <c r="F1837" s="74"/>
      <c r="G1837" s="74"/>
      <c r="H1837" s="75">
        <f>ROUND(SUM(H1820:H1836),2)</f>
        <v>45.53</v>
      </c>
      <c r="I1837" s="5"/>
    </row>
    <row r="1838" spans="1:16" s="4" customFormat="1" x14ac:dyDescent="0.25">
      <c r="A1838" s="103"/>
      <c r="B1838" s="38" t="s">
        <v>1680</v>
      </c>
      <c r="C1838" s="2"/>
      <c r="D1838" s="3"/>
      <c r="E1838" s="3"/>
      <c r="F1838" s="3"/>
      <c r="G1838" s="3"/>
      <c r="H1838" s="56"/>
      <c r="I1838" s="5"/>
    </row>
    <row r="1839" spans="1:16" ht="25.5" x14ac:dyDescent="0.25">
      <c r="B1839" s="64" t="s">
        <v>1409</v>
      </c>
      <c r="C1839" s="65"/>
      <c r="D1839" s="76"/>
      <c r="E1839" s="66" t="s">
        <v>1408</v>
      </c>
      <c r="F1839" s="66" t="s">
        <v>1679</v>
      </c>
      <c r="G1839" s="66" t="s">
        <v>1676</v>
      </c>
      <c r="H1839" s="68" t="s">
        <v>1675</v>
      </c>
      <c r="I1839" s="2"/>
    </row>
    <row r="1840" spans="1:16" s="4" customFormat="1" x14ac:dyDescent="0.25">
      <c r="A1840" s="103">
        <v>19019</v>
      </c>
      <c r="B1840" s="51" t="str">
        <f>IF($A1840=0,"",VLOOKUP($A1840,'BASE EQUIPO'!$A:$D,2))</f>
        <v>TRANSPORTE DE MATERIAL</v>
      </c>
      <c r="C1840" s="52"/>
      <c r="D1840" s="82"/>
      <c r="E1840" s="78" t="str">
        <f>IF($A1840=0,"",VLOOKUP($A1840,'BASE EQUIPO'!$A:$D,3))</f>
        <v>GLOBAL</v>
      </c>
      <c r="F1840" s="55">
        <v>1</v>
      </c>
      <c r="G1840" s="83">
        <f>IF($A1840=0,"",VLOOKUP($A1840,'BASE EQUIPO'!$A:$D,4)*H1837)</f>
        <v>1.3658999999999999</v>
      </c>
      <c r="H1840" s="56">
        <f>IF($A1840=0,"",ROUND(F1840*G1840,2))</f>
        <v>1.37</v>
      </c>
      <c r="I1840" s="5"/>
    </row>
    <row r="1841" spans="1:15" s="4" customFormat="1" x14ac:dyDescent="0.25">
      <c r="A1841" s="103"/>
      <c r="B1841" s="38" t="str">
        <f>IF($A1841=0,"",VLOOKUP($A1841,'BASE EQUIPO'!$A:$D,2))</f>
        <v/>
      </c>
      <c r="C1841" s="2"/>
      <c r="D1841" s="84"/>
      <c r="E1841" s="78" t="str">
        <f>IF($A1841=0,"",VLOOKUP($A1841,'BASE EQUIPO'!$A:$D,3))</f>
        <v/>
      </c>
      <c r="F1841" s="55"/>
      <c r="G1841" s="55" t="str">
        <f>IF($A1841=0,"",VLOOKUP($A1841,'BASE EQUIPO'!$A:$D,4)*H1838)</f>
        <v/>
      </c>
      <c r="H1841" s="56" t="str">
        <f>IF($A1841=0,"",ROUND(F1841*G1841,2))</f>
        <v/>
      </c>
      <c r="I1841" s="5"/>
    </row>
    <row r="1842" spans="1:15" s="4" customFormat="1" x14ac:dyDescent="0.25">
      <c r="A1842" s="103"/>
      <c r="B1842" s="57" t="str">
        <f>IF($A1842=0,"",VLOOKUP($A1842,'BASE EQUIPO'!$A:$D,2))</f>
        <v/>
      </c>
      <c r="C1842" s="58"/>
      <c r="D1842" s="85"/>
      <c r="E1842" s="86" t="str">
        <f>IF($A1842=0,"",VLOOKUP($A1842,'BASE EQUIPO'!$A:$D,3))</f>
        <v/>
      </c>
      <c r="F1842" s="59"/>
      <c r="G1842" s="59" t="str">
        <f>IF($A1842=0,"",VLOOKUP($A1842,'BASE EQUIPO'!$A:$D,4)*H1839)</f>
        <v/>
      </c>
      <c r="H1842" s="60" t="str">
        <f>IF($A1842=0,"",ROUND(F1842*G1842,2))</f>
        <v/>
      </c>
      <c r="I1842" s="5"/>
    </row>
    <row r="1843" spans="1:15" s="4" customFormat="1" ht="15.75" thickBot="1" x14ac:dyDescent="0.3">
      <c r="A1843" s="103"/>
      <c r="B1843" s="87" t="s">
        <v>1674</v>
      </c>
      <c r="C1843" s="88"/>
      <c r="D1843" s="89"/>
      <c r="E1843" s="89"/>
      <c r="F1843" s="89"/>
      <c r="G1843" s="89"/>
      <c r="H1843" s="90">
        <f>ROUND(SUM(H1839:H1842),2)</f>
        <v>1.37</v>
      </c>
      <c r="I1843" s="5"/>
    </row>
    <row r="1844" spans="1:15" s="4" customFormat="1" ht="15.75" x14ac:dyDescent="0.25">
      <c r="A1844" s="103"/>
      <c r="B1844" s="2"/>
      <c r="C1844" s="2"/>
      <c r="D1844" s="91" t="s">
        <v>1673</v>
      </c>
      <c r="E1844" s="177"/>
      <c r="F1844" s="177"/>
      <c r="G1844" s="177"/>
      <c r="H1844" s="92">
        <f>ROUND(SUM(H1843,H1837,H1818,H1808),2)</f>
        <v>138.63</v>
      </c>
      <c r="I1844" s="5"/>
    </row>
    <row r="1845" spans="1:15" s="4" customFormat="1" ht="15.75" x14ac:dyDescent="0.25">
      <c r="A1845" s="103">
        <v>40002</v>
      </c>
      <c r="B1845" s="2"/>
      <c r="C1845" s="2"/>
      <c r="D1845" s="93" t="s">
        <v>1672</v>
      </c>
      <c r="E1845" s="166"/>
      <c r="F1845" s="166"/>
      <c r="G1845" s="178">
        <f>IF($A1845=0,"",VLOOKUP($A1845,'BASE MATERIAL'!$M:$P,4))</f>
        <v>0</v>
      </c>
      <c r="H1845" s="95">
        <f>IF($A1845=0,"",ROUND(G1845*H1844,2))</f>
        <v>0</v>
      </c>
      <c r="I1845" s="5"/>
    </row>
    <row r="1846" spans="1:15" s="4" customFormat="1" ht="15.75" x14ac:dyDescent="0.25">
      <c r="A1846" s="103">
        <v>40003</v>
      </c>
      <c r="B1846" s="2"/>
      <c r="C1846" s="2"/>
      <c r="D1846" s="93" t="s">
        <v>1671</v>
      </c>
      <c r="E1846" s="166"/>
      <c r="F1846" s="166"/>
      <c r="G1846" s="178">
        <f>IF($A1846=0,"",VLOOKUP($A1846,'BASE MATERIAL'!$M:$P,4))</f>
        <v>0</v>
      </c>
      <c r="H1846" s="95">
        <f>IF($A1846=0,"",ROUND(G1846*H1844,2))</f>
        <v>0</v>
      </c>
      <c r="I1846" s="5"/>
    </row>
    <row r="1847" spans="1:15" s="4" customFormat="1" ht="15.75" x14ac:dyDescent="0.25">
      <c r="A1847" s="103"/>
      <c r="B1847" s="2"/>
      <c r="C1847" s="2"/>
      <c r="D1847" s="93" t="s">
        <v>1670</v>
      </c>
      <c r="E1847" s="166"/>
      <c r="F1847" s="166"/>
      <c r="G1847" s="166"/>
      <c r="H1847" s="96">
        <f>ROUND(SUM(H1844:H1846),2)</f>
        <v>138.63</v>
      </c>
      <c r="I1847" s="5"/>
    </row>
    <row r="1848" spans="1:15" s="4" customFormat="1" ht="16.5" thickBot="1" x14ac:dyDescent="0.3">
      <c r="A1848" s="103"/>
      <c r="B1848" s="25"/>
      <c r="C1848" s="5"/>
      <c r="D1848" s="97" t="s">
        <v>1650</v>
      </c>
      <c r="E1848" s="179"/>
      <c r="F1848" s="179"/>
      <c r="G1848" s="179"/>
      <c r="H1848" s="98">
        <f>ROUND(H1847,2)</f>
        <v>138.63</v>
      </c>
      <c r="I1848" s="5"/>
    </row>
    <row r="1849" spans="1:15" ht="15.75" x14ac:dyDescent="0.25">
      <c r="B1849" s="34" t="s">
        <v>1701</v>
      </c>
      <c r="C1849" s="5"/>
      <c r="D1849" s="157" t="str">
        <f>$D$113</f>
        <v>ESPOL</v>
      </c>
      <c r="E1849" s="2"/>
      <c r="F1849" s="2"/>
      <c r="H1849" s="2" t="s">
        <v>108</v>
      </c>
      <c r="I1849" s="2"/>
      <c r="L1849" s="40">
        <f>A1853</f>
        <v>10</v>
      </c>
      <c r="M1849" s="1" t="str">
        <f>C1854</f>
        <v>Impermeabilizacion de losas</v>
      </c>
      <c r="N1849" s="2" t="str">
        <f>H1853</f>
        <v>m2</v>
      </c>
      <c r="O1849" s="2">
        <f>H1904</f>
        <v>12.17</v>
      </c>
    </row>
    <row r="1850" spans="1:15" s="4" customFormat="1" ht="15.75" x14ac:dyDescent="0.25">
      <c r="A1850" s="103"/>
      <c r="B1850" s="34" t="s">
        <v>1700</v>
      </c>
      <c r="C1850" s="3">
        <f>'1.1'!$C$2</f>
        <v>0</v>
      </c>
      <c r="D1850" s="5"/>
      <c r="E1850" s="5"/>
      <c r="F1850" s="5"/>
      <c r="G1850" s="158" t="s">
        <v>1699</v>
      </c>
      <c r="H1850" s="159"/>
      <c r="I1850" s="5" t="s">
        <v>1698</v>
      </c>
    </row>
    <row r="1851" spans="1:15" s="4" customFormat="1" ht="15.75" x14ac:dyDescent="0.25">
      <c r="A1851" s="103"/>
      <c r="B1851" s="34"/>
      <c r="C1851" s="3">
        <f>'1.1'!$C$3</f>
        <v>0</v>
      </c>
      <c r="D1851" s="5"/>
      <c r="E1851" s="5"/>
      <c r="F1851" s="5"/>
      <c r="G1851" s="5"/>
      <c r="H1851" s="5"/>
      <c r="I1851" s="5"/>
    </row>
    <row r="1852" spans="1:15" s="4" customFormat="1" ht="15.75" x14ac:dyDescent="0.25">
      <c r="A1852" s="103"/>
      <c r="B1852" s="34" t="s">
        <v>1697</v>
      </c>
      <c r="C1852" s="3"/>
      <c r="D1852" s="5"/>
      <c r="E1852" s="5"/>
      <c r="F1852" s="5"/>
      <c r="G1852" s="5"/>
      <c r="H1852" s="5"/>
      <c r="I1852" s="5"/>
    </row>
    <row r="1853" spans="1:15" x14ac:dyDescent="0.25">
      <c r="A1853" s="104">
        <v>10</v>
      </c>
      <c r="B1853" s="2" t="s">
        <v>1586</v>
      </c>
      <c r="C1853" s="111" t="s">
        <v>1538</v>
      </c>
      <c r="D1853" s="5"/>
      <c r="E1853" s="4"/>
      <c r="F1853" s="4"/>
      <c r="G1853" s="5" t="s">
        <v>1696</v>
      </c>
      <c r="H1853" s="157" t="s">
        <v>1520</v>
      </c>
      <c r="I1853" s="2"/>
    </row>
    <row r="1854" spans="1:15" s="4" customFormat="1" x14ac:dyDescent="0.25">
      <c r="A1854" s="103"/>
      <c r="B1854" s="1" t="s">
        <v>1585</v>
      </c>
      <c r="C1854" s="36" t="s">
        <v>1449</v>
      </c>
      <c r="D1854" s="5"/>
      <c r="E1854" s="5"/>
      <c r="F1854" s="5"/>
      <c r="G1854" s="5"/>
      <c r="H1854" s="5"/>
      <c r="I1854" s="5"/>
    </row>
    <row r="1855" spans="1:15" ht="15.75" thickBot="1" x14ac:dyDescent="0.3">
      <c r="D1855" s="2"/>
      <c r="E1855" s="2"/>
      <c r="F1855" s="2"/>
      <c r="G1855" s="2"/>
      <c r="H1855" s="2"/>
      <c r="I1855" s="2"/>
    </row>
    <row r="1856" spans="1:15" ht="15.75" thickBot="1" x14ac:dyDescent="0.3">
      <c r="B1856" s="43" t="s">
        <v>1695</v>
      </c>
      <c r="C1856" s="44"/>
      <c r="D1856" s="44"/>
      <c r="E1856" s="44"/>
      <c r="F1856" s="44"/>
      <c r="G1856" s="44"/>
      <c r="H1856" s="45"/>
      <c r="I1856" s="2"/>
    </row>
    <row r="1857" spans="1:9" ht="25.5" x14ac:dyDescent="0.25">
      <c r="B1857" s="46" t="s">
        <v>1409</v>
      </c>
      <c r="C1857" s="47"/>
      <c r="D1857" s="48" t="s">
        <v>1690</v>
      </c>
      <c r="E1857" s="48" t="s">
        <v>1694</v>
      </c>
      <c r="F1857" s="48" t="s">
        <v>1693</v>
      </c>
      <c r="G1857" s="49" t="s">
        <v>1687</v>
      </c>
      <c r="H1857" s="50" t="s">
        <v>1686</v>
      </c>
      <c r="I1857" s="2"/>
    </row>
    <row r="1858" spans="1:9" s="4" customFormat="1" x14ac:dyDescent="0.25">
      <c r="A1858" s="103">
        <v>19015</v>
      </c>
      <c r="B1858" s="51" t="str">
        <f>IF($A1858=0,"",VLOOKUP($A1858,'BASE EQUIPO'!$A:$D,2))</f>
        <v>HERRAMIENTA MENOR</v>
      </c>
      <c r="C1858" s="52"/>
      <c r="D1858" s="53">
        <v>1</v>
      </c>
      <c r="E1858" s="53">
        <f>IF($A1858=0,"",VLOOKUP($A1858,'BASE EQUIPO'!$A:$D,4)*H1874)</f>
        <v>9.1200000000000003E-2</v>
      </c>
      <c r="F1858" s="53">
        <f t="shared" ref="F1858:F1863" si="166">IF($A1858=0,"",ROUND(D1858*E1858,2))</f>
        <v>0.09</v>
      </c>
      <c r="G1858" s="105">
        <v>1</v>
      </c>
      <c r="H1858" s="54">
        <f t="shared" ref="H1858:H1863" si="167">IF($A1858=0,"",ROUND(G1858*F1858,2))</f>
        <v>0.09</v>
      </c>
      <c r="I1858" s="5"/>
    </row>
    <row r="1859" spans="1:9" s="4" customFormat="1" x14ac:dyDescent="0.25">
      <c r="A1859" s="103"/>
      <c r="B1859" s="38" t="str">
        <f>IF($A1859=0,"",VLOOKUP($A1859,'BASE EQUIPO'!$A:$D,2))</f>
        <v/>
      </c>
      <c r="C1859" s="2"/>
      <c r="D1859" s="55"/>
      <c r="E1859" s="55" t="str">
        <f>IF($A1859=0,"",VLOOKUP($A1859,'BASE EQUIPO'!$A:$D,4))</f>
        <v/>
      </c>
      <c r="F1859" s="55" t="str">
        <f t="shared" si="166"/>
        <v/>
      </c>
      <c r="G1859" s="106"/>
      <c r="H1859" s="56" t="str">
        <f t="shared" si="167"/>
        <v/>
      </c>
      <c r="I1859" s="5"/>
    </row>
    <row r="1860" spans="1:9" s="4" customFormat="1" x14ac:dyDescent="0.25">
      <c r="A1860" s="103"/>
      <c r="B1860" s="38" t="str">
        <f>IF($A1860=0,"",VLOOKUP($A1860,'BASE EQUIPO'!$A:$D,2))</f>
        <v/>
      </c>
      <c r="C1860" s="2"/>
      <c r="D1860" s="55"/>
      <c r="E1860" s="55" t="str">
        <f>IF($A1860=0,"",VLOOKUP($A1860,'BASE EQUIPO'!$A:$D,4))</f>
        <v/>
      </c>
      <c r="F1860" s="55" t="str">
        <f t="shared" si="166"/>
        <v/>
      </c>
      <c r="G1860" s="106"/>
      <c r="H1860" s="56" t="str">
        <f t="shared" si="167"/>
        <v/>
      </c>
      <c r="I1860" s="5"/>
    </row>
    <row r="1861" spans="1:9" s="4" customFormat="1" x14ac:dyDescent="0.25">
      <c r="A1861" s="103"/>
      <c r="B1861" s="38" t="str">
        <f>IF($A1861=0,"",VLOOKUP($A1861,'BASE EQUIPO'!$A:$D,2))</f>
        <v/>
      </c>
      <c r="C1861" s="2"/>
      <c r="D1861" s="55"/>
      <c r="E1861" s="55" t="str">
        <f>IF($A1861=0,"",VLOOKUP($A1861,'BASE EQUIPO'!$A:$D,4))</f>
        <v/>
      </c>
      <c r="F1861" s="55" t="str">
        <f t="shared" si="166"/>
        <v/>
      </c>
      <c r="G1861" s="106"/>
      <c r="H1861" s="56" t="str">
        <f t="shared" si="167"/>
        <v/>
      </c>
      <c r="I1861" s="5"/>
    </row>
    <row r="1862" spans="1:9" s="4" customFormat="1" x14ac:dyDescent="0.25">
      <c r="A1862" s="103"/>
      <c r="B1862" s="38" t="str">
        <f>IF($A1862=0,"",VLOOKUP($A1862,'BASE EQUIPO'!$A:$D,2))</f>
        <v/>
      </c>
      <c r="C1862" s="2"/>
      <c r="D1862" s="55"/>
      <c r="E1862" s="55" t="str">
        <f>IF($A1862=0,"",VLOOKUP($A1862,'BASE EQUIPO'!$A:$D,4))</f>
        <v/>
      </c>
      <c r="F1862" s="55" t="str">
        <f t="shared" si="166"/>
        <v/>
      </c>
      <c r="G1862" s="106"/>
      <c r="H1862" s="56" t="str">
        <f t="shared" si="167"/>
        <v/>
      </c>
      <c r="I1862" s="5"/>
    </row>
    <row r="1863" spans="1:9" s="4" customFormat="1" x14ac:dyDescent="0.25">
      <c r="A1863" s="103"/>
      <c r="B1863" s="57" t="str">
        <f>IF($A1863=0,"",VLOOKUP($A1863,'BASE EQUIPO'!$A:$D,2))</f>
        <v/>
      </c>
      <c r="C1863" s="58"/>
      <c r="D1863" s="59"/>
      <c r="E1863" s="59" t="str">
        <f>IF($A1863=0,"",VLOOKUP($A1863,'BASE EQUIPO'!$A:$D,4))</f>
        <v/>
      </c>
      <c r="F1863" s="59" t="str">
        <f t="shared" si="166"/>
        <v/>
      </c>
      <c r="G1863" s="107"/>
      <c r="H1863" s="60" t="str">
        <f t="shared" si="167"/>
        <v/>
      </c>
      <c r="I1863" s="5"/>
    </row>
    <row r="1864" spans="1:9" s="4" customFormat="1" x14ac:dyDescent="0.25">
      <c r="A1864" s="103"/>
      <c r="B1864" s="57" t="s">
        <v>1692</v>
      </c>
      <c r="C1864" s="58"/>
      <c r="D1864" s="61"/>
      <c r="E1864" s="61"/>
      <c r="F1864" s="61"/>
      <c r="G1864" s="62"/>
      <c r="H1864" s="60">
        <f>ROUND(SUM(H1857:H1863),2)</f>
        <v>0.09</v>
      </c>
      <c r="I1864" s="5"/>
    </row>
    <row r="1865" spans="1:9" s="4" customFormat="1" x14ac:dyDescent="0.25">
      <c r="A1865" s="103"/>
      <c r="B1865" s="38" t="s">
        <v>1503</v>
      </c>
      <c r="C1865" s="2"/>
      <c r="D1865" s="3"/>
      <c r="E1865" s="3"/>
      <c r="F1865" s="3"/>
      <c r="G1865" s="63"/>
      <c r="H1865" s="56"/>
      <c r="I1865" s="5"/>
    </row>
    <row r="1866" spans="1:9" ht="25.5" x14ac:dyDescent="0.25">
      <c r="B1866" s="64" t="s">
        <v>1691</v>
      </c>
      <c r="C1866" s="65"/>
      <c r="D1866" s="66" t="s">
        <v>1690</v>
      </c>
      <c r="E1866" s="66" t="s">
        <v>1689</v>
      </c>
      <c r="F1866" s="66" t="s">
        <v>1688</v>
      </c>
      <c r="G1866" s="67" t="s">
        <v>1687</v>
      </c>
      <c r="H1866" s="68" t="s">
        <v>1686</v>
      </c>
      <c r="I1866" s="2"/>
    </row>
    <row r="1867" spans="1:9" s="4" customFormat="1" x14ac:dyDescent="0.25">
      <c r="A1867" s="103">
        <v>20001</v>
      </c>
      <c r="B1867" s="69" t="str">
        <f>IF($A1867=0,"",VLOOKUP($A1867,'BASE M-OBRA'!$A:$D,2))</f>
        <v>MAESTRO</v>
      </c>
      <c r="C1867" s="2"/>
      <c r="D1867" s="108">
        <v>1</v>
      </c>
      <c r="E1867" s="70">
        <f>IF($A1867=0,"",VLOOKUP($A1867,'BASE M-OBRA'!$A:$D,4))</f>
        <v>3.02</v>
      </c>
      <c r="F1867" s="55">
        <f t="shared" ref="F1867:F1873" si="168">IF($A1867=0,"",ROUND(D1867*E1867,2))</f>
        <v>3.02</v>
      </c>
      <c r="G1867" s="106">
        <f>IF($A1867=0,"",ROUND(H1867/F1867,2))</f>
        <v>0.17</v>
      </c>
      <c r="H1867" s="56">
        <f>IF($A1867=0,"",ROUND(SUM(H1868:H1873)*'BASE M-OBRA'!$D$23,2))</f>
        <v>0.51</v>
      </c>
      <c r="I1867" s="5"/>
    </row>
    <row r="1868" spans="1:9" s="4" customFormat="1" x14ac:dyDescent="0.25">
      <c r="A1868" s="103">
        <v>20002</v>
      </c>
      <c r="B1868" s="69" t="str">
        <f>IF($A1868=0,"",VLOOKUP($A1868,'BASE M-OBRA'!$A:$D,2))</f>
        <v>PEON</v>
      </c>
      <c r="C1868" s="2"/>
      <c r="D1868" s="108">
        <v>1</v>
      </c>
      <c r="E1868" s="70">
        <f>IF($A1868=0,"",VLOOKUP($A1868,'BASE M-OBRA'!$A:$D,4))</f>
        <v>2.79</v>
      </c>
      <c r="F1868" s="55">
        <f t="shared" si="168"/>
        <v>2.79</v>
      </c>
      <c r="G1868" s="106">
        <v>0.3</v>
      </c>
      <c r="H1868" s="56">
        <f t="shared" ref="H1868:H1873" si="169">IF($A1868=0,"",ROUND(G1868*F1868,2))</f>
        <v>0.84</v>
      </c>
      <c r="I1868" s="5"/>
    </row>
    <row r="1869" spans="1:9" s="4" customFormat="1" x14ac:dyDescent="0.25">
      <c r="A1869" s="103">
        <v>20003</v>
      </c>
      <c r="B1869" s="69" t="str">
        <f>IF($A1869=0,"",VLOOKUP($A1869,'BASE M-OBRA'!$A:$D,2))</f>
        <v>ALBAÑIL</v>
      </c>
      <c r="C1869" s="2"/>
      <c r="D1869" s="108">
        <v>2</v>
      </c>
      <c r="E1869" s="70">
        <f>IF($A1869=0,"",VLOOKUP($A1869,'BASE M-OBRA'!$A:$D,4))</f>
        <v>2.82</v>
      </c>
      <c r="F1869" s="55">
        <f t="shared" si="168"/>
        <v>5.64</v>
      </c>
      <c r="G1869" s="106">
        <f>+G1868</f>
        <v>0.3</v>
      </c>
      <c r="H1869" s="56">
        <f t="shared" si="169"/>
        <v>1.69</v>
      </c>
      <c r="I1869" s="5"/>
    </row>
    <row r="1870" spans="1:9" s="4" customFormat="1" x14ac:dyDescent="0.25">
      <c r="A1870" s="103"/>
      <c r="B1870" s="71" t="str">
        <f>IF($A1870=0,"",VLOOKUP($A1870,'BASE M-OBRA'!$A:$D,2))</f>
        <v/>
      </c>
      <c r="C1870" s="2"/>
      <c r="D1870" s="108"/>
      <c r="E1870" s="70" t="str">
        <f>IF($A1870=0,"",VLOOKUP($A1870,'BASE M-OBRA'!$A:$D,4))</f>
        <v/>
      </c>
      <c r="F1870" s="55" t="str">
        <f t="shared" si="168"/>
        <v/>
      </c>
      <c r="G1870" s="106"/>
      <c r="H1870" s="56" t="str">
        <f t="shared" si="169"/>
        <v/>
      </c>
      <c r="I1870" s="5"/>
    </row>
    <row r="1871" spans="1:9" s="4" customFormat="1" x14ac:dyDescent="0.25">
      <c r="A1871" s="103"/>
      <c r="B1871" s="72" t="str">
        <f>IF($A1871=0,"",VLOOKUP($A1871,'BASE M-OBRA'!$A:$D,2))</f>
        <v/>
      </c>
      <c r="C1871" s="2"/>
      <c r="D1871" s="108"/>
      <c r="E1871" s="70" t="str">
        <f>IF($A1871=0,"",VLOOKUP($A1871,'BASE M-OBRA'!$A:$D,4))</f>
        <v/>
      </c>
      <c r="F1871" s="55" t="str">
        <f t="shared" si="168"/>
        <v/>
      </c>
      <c r="G1871" s="106"/>
      <c r="H1871" s="56" t="str">
        <f t="shared" si="169"/>
        <v/>
      </c>
      <c r="I1871" s="5"/>
    </row>
    <row r="1872" spans="1:9" s="4" customFormat="1" x14ac:dyDescent="0.25">
      <c r="A1872" s="103"/>
      <c r="B1872" s="38" t="str">
        <f>IF($A1872=0,"",VLOOKUP($A1872,'BASE M-OBRA'!$A:$D,2))</f>
        <v/>
      </c>
      <c r="C1872" s="2"/>
      <c r="D1872" s="55"/>
      <c r="E1872" s="55" t="str">
        <f>IF($A1872=0,"",VLOOKUP($A1872,'BASE M-OBRA'!$A:$D,4))</f>
        <v/>
      </c>
      <c r="F1872" s="55" t="str">
        <f t="shared" si="168"/>
        <v/>
      </c>
      <c r="G1872" s="106"/>
      <c r="H1872" s="56" t="str">
        <f t="shared" si="169"/>
        <v/>
      </c>
      <c r="I1872" s="5"/>
    </row>
    <row r="1873" spans="1:16" s="4" customFormat="1" x14ac:dyDescent="0.25">
      <c r="A1873" s="103"/>
      <c r="B1873" s="57" t="str">
        <f>IF($A1873=0,"",VLOOKUP($A1873,'BASE M-OBRA'!$A:$D,2))</f>
        <v/>
      </c>
      <c r="C1873" s="58"/>
      <c r="D1873" s="59"/>
      <c r="E1873" s="59" t="str">
        <f>IF($A1873=0,"",VLOOKUP($A1873,'BASE M-OBRA'!$A:$D,4))</f>
        <v/>
      </c>
      <c r="F1873" s="59" t="str">
        <f t="shared" si="168"/>
        <v/>
      </c>
      <c r="G1873" s="107"/>
      <c r="H1873" s="60" t="str">
        <f t="shared" si="169"/>
        <v/>
      </c>
      <c r="I1873" s="5"/>
    </row>
    <row r="1874" spans="1:16" s="4" customFormat="1" x14ac:dyDescent="0.25">
      <c r="A1874" s="103"/>
      <c r="B1874" s="73" t="s">
        <v>1685</v>
      </c>
      <c r="C1874" s="65"/>
      <c r="D1874" s="74"/>
      <c r="E1874" s="74"/>
      <c r="F1874" s="74"/>
      <c r="G1874" s="74"/>
      <c r="H1874" s="75">
        <f>ROUND(SUM(H1866:H1873),2)</f>
        <v>3.04</v>
      </c>
      <c r="I1874" s="5"/>
    </row>
    <row r="1875" spans="1:16" s="4" customFormat="1" x14ac:dyDescent="0.25">
      <c r="A1875" s="103"/>
      <c r="B1875" s="38" t="s">
        <v>1684</v>
      </c>
      <c r="C1875" s="2"/>
      <c r="D1875" s="3"/>
      <c r="E1875" s="3"/>
      <c r="F1875" s="3"/>
      <c r="G1875" s="3"/>
      <c r="H1875" s="56"/>
      <c r="I1875" s="5"/>
    </row>
    <row r="1876" spans="1:16" ht="25.5" x14ac:dyDescent="0.25">
      <c r="B1876" s="64" t="s">
        <v>1409</v>
      </c>
      <c r="C1876" s="65"/>
      <c r="D1876" s="76"/>
      <c r="E1876" s="66" t="s">
        <v>1408</v>
      </c>
      <c r="F1876" s="66" t="s">
        <v>1679</v>
      </c>
      <c r="G1876" s="66" t="s">
        <v>1683</v>
      </c>
      <c r="H1876" s="68" t="s">
        <v>1675</v>
      </c>
      <c r="I1876" s="2"/>
    </row>
    <row r="1877" spans="1:16" s="4" customFormat="1" x14ac:dyDescent="0.25">
      <c r="A1877" s="103">
        <v>14041</v>
      </c>
      <c r="B1877" s="38" t="str">
        <f>IF($A1877=0,"",VLOOKUP($A1877,'BASE MATERIAL'!$A:$D,2))</f>
        <v>Sikafill</v>
      </c>
      <c r="C1877" s="2"/>
      <c r="D1877" s="77"/>
      <c r="E1877" s="78" t="str">
        <f>IF($A1877=0,"",VLOOKUP($A1877,'BASE MATERIAL'!$A:$D,3))</f>
        <v>KG</v>
      </c>
      <c r="F1877" s="55">
        <v>1.5</v>
      </c>
      <c r="G1877" s="55">
        <f>IF($A1877=0,"",VLOOKUP($A1877,'BASE MATERIAL'!$A:$D,4))</f>
        <v>5.85</v>
      </c>
      <c r="H1877" s="56">
        <f t="shared" ref="H1877:H1891" si="170">IF($A1877=0,"",ROUND(F1877*G1877,2))</f>
        <v>8.7799999999999994</v>
      </c>
      <c r="I1877" s="5"/>
      <c r="L1877" s="5"/>
      <c r="M1877" s="5"/>
      <c r="N1877" s="160"/>
      <c r="O1877" s="5"/>
      <c r="P1877" s="5"/>
    </row>
    <row r="1878" spans="1:16" s="4" customFormat="1" x14ac:dyDescent="0.25">
      <c r="A1878" s="103"/>
      <c r="B1878" s="38" t="str">
        <f>IF($A1878=0,"",VLOOKUP($A1878,'BASE MATERIAL'!$A:$D,2))</f>
        <v/>
      </c>
      <c r="C1878" s="2"/>
      <c r="D1878" s="77"/>
      <c r="E1878" s="78" t="str">
        <f>IF($A1878=0,"",VLOOKUP($A1878,'BASE MATERIAL'!$A:$D,3))</f>
        <v/>
      </c>
      <c r="F1878" s="55"/>
      <c r="G1878" s="55" t="str">
        <f>IF($A1878=0,"",VLOOKUP($A1878,'BASE MATERIAL'!$A:$D,4))</f>
        <v/>
      </c>
      <c r="H1878" s="56" t="str">
        <f t="shared" si="170"/>
        <v/>
      </c>
      <c r="I1878" s="5"/>
      <c r="L1878" s="5"/>
      <c r="M1878" s="5"/>
      <c r="N1878" s="160"/>
      <c r="O1878" s="5"/>
      <c r="P1878" s="5"/>
    </row>
    <row r="1879" spans="1:16" s="4" customFormat="1" x14ac:dyDescent="0.25">
      <c r="A1879" s="103"/>
      <c r="B1879" s="38" t="str">
        <f>IF($A1879=0,"",VLOOKUP($A1879,'BASE MATERIAL'!$A:$D,2))</f>
        <v/>
      </c>
      <c r="C1879" s="2"/>
      <c r="D1879" s="77"/>
      <c r="E1879" s="78" t="str">
        <f>IF($A1879=0,"",VLOOKUP($A1879,'BASE MATERIAL'!$A:$D,3))</f>
        <v/>
      </c>
      <c r="F1879" s="55"/>
      <c r="G1879" s="80" t="str">
        <f>IF($A1879=0,"",VLOOKUP($A1879,'BASE MATERIAL'!$A:$D,4))</f>
        <v/>
      </c>
      <c r="H1879" s="56" t="str">
        <f t="shared" si="170"/>
        <v/>
      </c>
      <c r="I1879" s="5"/>
      <c r="L1879" s="5"/>
      <c r="M1879" s="5"/>
      <c r="N1879" s="160"/>
      <c r="O1879" s="5"/>
      <c r="P1879" s="5"/>
    </row>
    <row r="1880" spans="1:16" s="4" customFormat="1" x14ac:dyDescent="0.25">
      <c r="A1880" s="103"/>
      <c r="B1880" s="38" t="str">
        <f>IF($A1880=0,"",VLOOKUP($A1880,'BASE MATERIAL'!$A:$D,2))</f>
        <v/>
      </c>
      <c r="C1880" s="2"/>
      <c r="D1880" s="77"/>
      <c r="E1880" s="78" t="str">
        <f>IF($A1880=0,"",VLOOKUP($A1880,'BASE MATERIAL'!$A:$D,3))</f>
        <v/>
      </c>
      <c r="F1880" s="55"/>
      <c r="G1880" s="55" t="str">
        <f>IF($A1880=0,"",VLOOKUP($A1880,'BASE MATERIAL'!$A:$D,4))</f>
        <v/>
      </c>
      <c r="H1880" s="56" t="str">
        <f t="shared" si="170"/>
        <v/>
      </c>
      <c r="I1880" s="5"/>
      <c r="L1880" s="5"/>
      <c r="M1880" s="5"/>
      <c r="N1880" s="160"/>
      <c r="O1880" s="5"/>
      <c r="P1880" s="5"/>
    </row>
    <row r="1881" spans="1:16" s="4" customFormat="1" x14ac:dyDescent="0.25">
      <c r="A1881" s="103"/>
      <c r="B1881" s="38" t="str">
        <f>IF($A1881=0,"",VLOOKUP($A1881,'BASE MATERIAL'!$A:$D,2))</f>
        <v/>
      </c>
      <c r="C1881" s="2"/>
      <c r="D1881" s="77"/>
      <c r="E1881" s="78" t="str">
        <f>IF($A1881=0,"",VLOOKUP($A1881,'BASE MATERIAL'!$A:$D,3))</f>
        <v/>
      </c>
      <c r="F1881" s="55"/>
      <c r="G1881" s="55" t="str">
        <f>IF($A1881=0,"",VLOOKUP($A1881,'BASE MATERIAL'!$A:$D,4))</f>
        <v/>
      </c>
      <c r="H1881" s="56" t="str">
        <f t="shared" si="170"/>
        <v/>
      </c>
      <c r="I1881" s="5"/>
      <c r="L1881" s="5"/>
      <c r="M1881" s="5"/>
      <c r="N1881" s="160"/>
      <c r="O1881" s="5"/>
      <c r="P1881" s="5"/>
    </row>
    <row r="1882" spans="1:16" s="4" customFormat="1" x14ac:dyDescent="0.25">
      <c r="A1882" s="103"/>
      <c r="B1882" s="38" t="str">
        <f>IF($A1882=0,"",VLOOKUP($A1882,'BASE MATERIAL'!$A:$D,2))</f>
        <v/>
      </c>
      <c r="C1882" s="2"/>
      <c r="D1882" s="77"/>
      <c r="E1882" s="78" t="str">
        <f>IF($A1882=0,"",VLOOKUP($A1882,'BASE MATERIAL'!$A:$D,3))</f>
        <v/>
      </c>
      <c r="F1882" s="55"/>
      <c r="G1882" s="55" t="str">
        <f>IF($A1882=0,"",VLOOKUP($A1882,'BASE MATERIAL'!$A:$D,4))</f>
        <v/>
      </c>
      <c r="H1882" s="56" t="str">
        <f t="shared" si="170"/>
        <v/>
      </c>
      <c r="I1882" s="5"/>
      <c r="L1882" s="5"/>
      <c r="M1882" s="5"/>
      <c r="N1882" s="160"/>
      <c r="O1882" s="5"/>
      <c r="P1882" s="5"/>
    </row>
    <row r="1883" spans="1:16" s="4" customFormat="1" x14ac:dyDescent="0.25">
      <c r="A1883" s="103"/>
      <c r="B1883" s="38" t="str">
        <f>IF($A1883=0,"",VLOOKUP($A1883,'BASE MATERIAL'!$A:$D,2))</f>
        <v/>
      </c>
      <c r="C1883" s="2"/>
      <c r="D1883" s="77"/>
      <c r="E1883" s="78" t="str">
        <f>IF($A1883=0,"",VLOOKUP($A1883,'BASE MATERIAL'!$A:$D,3))</f>
        <v/>
      </c>
      <c r="F1883" s="55"/>
      <c r="G1883" s="55" t="str">
        <f>IF($A1883=0,"",VLOOKUP($A1883,'BASE MATERIAL'!$A:$D,4))</f>
        <v/>
      </c>
      <c r="H1883" s="56" t="str">
        <f t="shared" si="170"/>
        <v/>
      </c>
      <c r="I1883" s="5"/>
      <c r="L1883" s="5"/>
      <c r="M1883" s="5"/>
      <c r="N1883" s="160"/>
      <c r="O1883" s="5"/>
      <c r="P1883" s="5"/>
    </row>
    <row r="1884" spans="1:16" s="4" customFormat="1" x14ac:dyDescent="0.25">
      <c r="A1884" s="103"/>
      <c r="B1884" s="38" t="str">
        <f>IF($A1884=0,"",VLOOKUP($A1884,'BASE MATERIAL'!$A:$D,2))</f>
        <v/>
      </c>
      <c r="C1884" s="2"/>
      <c r="D1884" s="77"/>
      <c r="E1884" s="78" t="str">
        <f>IF($A1884=0,"",VLOOKUP($A1884,'BASE MATERIAL'!$A:$D,3))</f>
        <v/>
      </c>
      <c r="F1884" s="55"/>
      <c r="G1884" s="55" t="str">
        <f>IF($A1884=0,"",VLOOKUP($A1884,'BASE MATERIAL'!$A:$D,4))</f>
        <v/>
      </c>
      <c r="H1884" s="56" t="str">
        <f t="shared" si="170"/>
        <v/>
      </c>
      <c r="I1884" s="5"/>
      <c r="L1884" s="5"/>
      <c r="M1884" s="5"/>
      <c r="N1884" s="160"/>
      <c r="O1884" s="5"/>
      <c r="P1884" s="5"/>
    </row>
    <row r="1885" spans="1:16" s="4" customFormat="1" x14ac:dyDescent="0.25">
      <c r="A1885" s="103"/>
      <c r="B1885" s="38" t="str">
        <f>IF($A1885=0,"",VLOOKUP($A1885,'BASE MATERIAL'!$A:$D,2))</f>
        <v/>
      </c>
      <c r="C1885" s="2"/>
      <c r="D1885" s="77"/>
      <c r="E1885" s="78" t="str">
        <f>IF($A1885=0,"",VLOOKUP($A1885,'BASE MATERIAL'!$A:$D,3))</f>
        <v/>
      </c>
      <c r="F1885" s="55"/>
      <c r="G1885" s="55" t="str">
        <f>IF($A1885=0,"",VLOOKUP($A1885,'BASE MATERIAL'!$A:$D,4))</f>
        <v/>
      </c>
      <c r="H1885" s="56" t="str">
        <f t="shared" si="170"/>
        <v/>
      </c>
      <c r="I1885" s="5"/>
    </row>
    <row r="1886" spans="1:16" s="4" customFormat="1" x14ac:dyDescent="0.25">
      <c r="A1886" s="103"/>
      <c r="B1886" s="38" t="str">
        <f>IF($A1886=0,"",VLOOKUP($A1886,'BASE MATERIAL'!$A:$D,2))</f>
        <v/>
      </c>
      <c r="C1886" s="2"/>
      <c r="D1886" s="77"/>
      <c r="E1886" s="78" t="str">
        <f>IF($A1886=0,"",VLOOKUP($A1886,'BASE MATERIAL'!$A:$D,3))</f>
        <v/>
      </c>
      <c r="F1886" s="55"/>
      <c r="G1886" s="55" t="str">
        <f>IF($A1886=0,"",VLOOKUP($A1886,'BASE MATERIAL'!$A:$D,4))</f>
        <v/>
      </c>
      <c r="H1886" s="56" t="str">
        <f t="shared" si="170"/>
        <v/>
      </c>
      <c r="I1886" s="5"/>
      <c r="L1886" s="5"/>
      <c r="M1886" s="5"/>
      <c r="N1886" s="160"/>
      <c r="O1886" s="5"/>
      <c r="P1886" s="5"/>
    </row>
    <row r="1887" spans="1:16" s="4" customFormat="1" x14ac:dyDescent="0.25">
      <c r="A1887" s="103"/>
      <c r="B1887" s="38" t="str">
        <f>IF($A1887=0,"",VLOOKUP($A1887,'BASE MATERIAL'!$A:$D,2))</f>
        <v/>
      </c>
      <c r="C1887" s="2"/>
      <c r="D1887" s="77"/>
      <c r="E1887" s="78" t="str">
        <f>IF($A1887=0,"",VLOOKUP($A1887,'BASE MATERIAL'!$A:$D,3))</f>
        <v/>
      </c>
      <c r="F1887" s="55"/>
      <c r="G1887" s="55" t="str">
        <f>IF($A1887=0,"",VLOOKUP($A1887,'BASE MATERIAL'!$A:$D,4))</f>
        <v/>
      </c>
      <c r="H1887" s="56" t="str">
        <f t="shared" si="170"/>
        <v/>
      </c>
      <c r="I1887" s="5"/>
      <c r="L1887" s="5"/>
      <c r="M1887" s="5"/>
      <c r="N1887" s="160"/>
      <c r="O1887" s="5"/>
      <c r="P1887" s="5"/>
    </row>
    <row r="1888" spans="1:16" s="4" customFormat="1" x14ac:dyDescent="0.25">
      <c r="A1888" s="103"/>
      <c r="B1888" s="38" t="str">
        <f>IF($A1888=0,"",VLOOKUP($A1888,'BASE MATERIAL'!$A:$D,2))</f>
        <v/>
      </c>
      <c r="C1888" s="2"/>
      <c r="D1888" s="77"/>
      <c r="E1888" s="78" t="str">
        <f>IF($A1888=0,"",VLOOKUP($A1888,'BASE MATERIAL'!$A:$D,3))</f>
        <v/>
      </c>
      <c r="F1888" s="55"/>
      <c r="G1888" s="55" t="str">
        <f>IF($A1888=0,"",VLOOKUP($A1888,'BASE MATERIAL'!$A:$D,4))</f>
        <v/>
      </c>
      <c r="H1888" s="56" t="str">
        <f t="shared" si="170"/>
        <v/>
      </c>
      <c r="I1888" s="5"/>
    </row>
    <row r="1889" spans="1:9" s="4" customFormat="1" x14ac:dyDescent="0.25">
      <c r="A1889" s="103"/>
      <c r="B1889" s="38" t="str">
        <f>IF($A1889=0,"",VLOOKUP($A1889,'BASE MATERIAL'!$A:$D,2))</f>
        <v/>
      </c>
      <c r="C1889" s="2"/>
      <c r="D1889" s="77"/>
      <c r="E1889" s="78" t="str">
        <f>IF($A1889=0,"",VLOOKUP($A1889,'BASE MATERIAL'!$A:$D,3))</f>
        <v/>
      </c>
      <c r="F1889" s="55"/>
      <c r="G1889" s="55" t="str">
        <f>IF($A1889=0,"",VLOOKUP($A1889,'BASE MATERIAL'!$A:$D,4))</f>
        <v/>
      </c>
      <c r="H1889" s="56" t="str">
        <f t="shared" si="170"/>
        <v/>
      </c>
      <c r="I1889" s="5"/>
    </row>
    <row r="1890" spans="1:9" s="4" customFormat="1" x14ac:dyDescent="0.25">
      <c r="A1890" s="103"/>
      <c r="B1890" s="38" t="str">
        <f>IF($A1890=0,"",VLOOKUP($A1890,'BASE MATERIAL'!$A:$D,2))</f>
        <v/>
      </c>
      <c r="C1890" s="2"/>
      <c r="D1890" s="77"/>
      <c r="E1890" s="78" t="str">
        <f>IF($A1890=0,"",VLOOKUP($A1890,'BASE MATERIAL'!$A:$D,3))</f>
        <v/>
      </c>
      <c r="F1890" s="55"/>
      <c r="G1890" s="55" t="str">
        <f>IF($A1890=0,"",VLOOKUP($A1890,'BASE MATERIAL'!$A:$D,4))</f>
        <v/>
      </c>
      <c r="H1890" s="56" t="str">
        <f t="shared" si="170"/>
        <v/>
      </c>
      <c r="I1890" s="5"/>
    </row>
    <row r="1891" spans="1:9" s="4" customFormat="1" x14ac:dyDescent="0.25">
      <c r="A1891" s="103"/>
      <c r="B1891" s="38" t="str">
        <f>IF($A1891=0,"",VLOOKUP($A1891,'BASE MATERIAL'!$A:$D,2))</f>
        <v/>
      </c>
      <c r="C1891" s="2"/>
      <c r="D1891" s="77"/>
      <c r="E1891" s="78" t="str">
        <f>IF($A1891=0,"",VLOOKUP($A1891,'BASE MATERIAL'!$A:$D,3))</f>
        <v/>
      </c>
      <c r="F1891" s="55"/>
      <c r="G1891" s="55" t="str">
        <f>IF($A1891=0,"",VLOOKUP($A1891,'BASE MATERIAL'!$A:$D,4))</f>
        <v/>
      </c>
      <c r="H1891" s="56" t="str">
        <f t="shared" si="170"/>
        <v/>
      </c>
      <c r="I1891" s="5"/>
    </row>
    <row r="1892" spans="1:9" s="4" customFormat="1" x14ac:dyDescent="0.25">
      <c r="A1892" s="103"/>
      <c r="B1892" s="38" t="str">
        <f>IF($A1892=0,"",VLOOKUP($A1892,'BASE MATERIAL'!$A:$D,2))</f>
        <v/>
      </c>
      <c r="C1892" s="2"/>
      <c r="D1892" s="81" t="s">
        <v>1682</v>
      </c>
      <c r="E1892" s="55" t="str">
        <f>IF($A1892=0,"",VLOOKUP($A1892,'BASE MATERIAL'!$A:$D,3))</f>
        <v/>
      </c>
      <c r="F1892" s="55" t="s">
        <v>1682</v>
      </c>
      <c r="G1892" s="55" t="str">
        <f>IF($A1892=0,"",VLOOKUP($A1892,'BASE MATERIAL'!$A:$D,4))</f>
        <v/>
      </c>
      <c r="H1892" s="56" t="str">
        <f>IF($A1892=0,"",ROUND(E1892*F1892,2))</f>
        <v/>
      </c>
      <c r="I1892" s="5"/>
    </row>
    <row r="1893" spans="1:9" s="4" customFormat="1" x14ac:dyDescent="0.25">
      <c r="A1893" s="103"/>
      <c r="B1893" s="73" t="s">
        <v>1681</v>
      </c>
      <c r="C1893" s="65"/>
      <c r="D1893" s="74"/>
      <c r="E1893" s="74"/>
      <c r="F1893" s="74"/>
      <c r="G1893" s="74"/>
      <c r="H1893" s="75">
        <f>ROUND(SUM(H1876:H1892),2)</f>
        <v>8.7799999999999994</v>
      </c>
      <c r="I1893" s="5"/>
    </row>
    <row r="1894" spans="1:9" s="4" customFormat="1" x14ac:dyDescent="0.25">
      <c r="A1894" s="103"/>
      <c r="B1894" s="38" t="s">
        <v>1680</v>
      </c>
      <c r="C1894" s="2"/>
      <c r="D1894" s="3"/>
      <c r="E1894" s="3"/>
      <c r="F1894" s="3"/>
      <c r="G1894" s="3"/>
      <c r="H1894" s="56"/>
      <c r="I1894" s="5"/>
    </row>
    <row r="1895" spans="1:9" ht="25.5" x14ac:dyDescent="0.25">
      <c r="B1895" s="64" t="s">
        <v>1409</v>
      </c>
      <c r="C1895" s="65"/>
      <c r="D1895" s="76"/>
      <c r="E1895" s="66" t="s">
        <v>1408</v>
      </c>
      <c r="F1895" s="66" t="s">
        <v>1679</v>
      </c>
      <c r="G1895" s="66" t="s">
        <v>1676</v>
      </c>
      <c r="H1895" s="68" t="s">
        <v>1675</v>
      </c>
      <c r="I1895" s="2"/>
    </row>
    <row r="1896" spans="1:9" s="4" customFormat="1" x14ac:dyDescent="0.25">
      <c r="A1896" s="103">
        <v>19019</v>
      </c>
      <c r="B1896" s="51" t="str">
        <f>IF($A1896=0,"",VLOOKUP($A1896,'BASE EQUIPO'!$A:$D,2))</f>
        <v>TRANSPORTE DE MATERIAL</v>
      </c>
      <c r="C1896" s="52"/>
      <c r="D1896" s="82"/>
      <c r="E1896" s="78" t="str">
        <f>IF($A1896=0,"",VLOOKUP($A1896,'BASE EQUIPO'!$A:$D,3))</f>
        <v>GLOBAL</v>
      </c>
      <c r="F1896" s="55">
        <v>1</v>
      </c>
      <c r="G1896" s="83">
        <f>IF($A1896=0,"",VLOOKUP($A1896,'BASE EQUIPO'!$A:$D,4)*H1893)</f>
        <v>0.26339999999999997</v>
      </c>
      <c r="H1896" s="56">
        <f>IF($A1896=0,"",ROUND(F1896*G1896,2))</f>
        <v>0.26</v>
      </c>
      <c r="I1896" s="5"/>
    </row>
    <row r="1897" spans="1:9" s="4" customFormat="1" x14ac:dyDescent="0.25">
      <c r="A1897" s="103"/>
      <c r="B1897" s="38" t="str">
        <f>IF($A1897=0,"",VLOOKUP($A1897,'BASE EQUIPO'!$A:$D,2))</f>
        <v/>
      </c>
      <c r="C1897" s="2"/>
      <c r="D1897" s="84"/>
      <c r="E1897" s="78" t="str">
        <f>IF($A1897=0,"",VLOOKUP($A1897,'BASE EQUIPO'!$A:$D,3))</f>
        <v/>
      </c>
      <c r="F1897" s="55"/>
      <c r="G1897" s="55" t="str">
        <f>IF($A1897=0,"",VLOOKUP($A1897,'BASE EQUIPO'!$A:$D,4)*H1894)</f>
        <v/>
      </c>
      <c r="H1897" s="56" t="str">
        <f>IF($A1897=0,"",ROUND(F1897*G1897,2))</f>
        <v/>
      </c>
      <c r="I1897" s="5"/>
    </row>
    <row r="1898" spans="1:9" s="4" customFormat="1" x14ac:dyDescent="0.25">
      <c r="A1898" s="103"/>
      <c r="B1898" s="57" t="str">
        <f>IF($A1898=0,"",VLOOKUP($A1898,'BASE EQUIPO'!$A:$D,2))</f>
        <v/>
      </c>
      <c r="C1898" s="58"/>
      <c r="D1898" s="85"/>
      <c r="E1898" s="86" t="str">
        <f>IF($A1898=0,"",VLOOKUP($A1898,'BASE EQUIPO'!$A:$D,3))</f>
        <v/>
      </c>
      <c r="F1898" s="59"/>
      <c r="G1898" s="59" t="str">
        <f>IF($A1898=0,"",VLOOKUP($A1898,'BASE EQUIPO'!$A:$D,4)*H1895)</f>
        <v/>
      </c>
      <c r="H1898" s="60" t="str">
        <f>IF($A1898=0,"",ROUND(F1898*G1898,2))</f>
        <v/>
      </c>
      <c r="I1898" s="5"/>
    </row>
    <row r="1899" spans="1:9" s="4" customFormat="1" ht="15.75" thickBot="1" x14ac:dyDescent="0.3">
      <c r="A1899" s="103"/>
      <c r="B1899" s="87" t="s">
        <v>1674</v>
      </c>
      <c r="C1899" s="88"/>
      <c r="D1899" s="89"/>
      <c r="E1899" s="89"/>
      <c r="F1899" s="89"/>
      <c r="G1899" s="89"/>
      <c r="H1899" s="90">
        <f>ROUND(SUM(H1895:H1898),2)</f>
        <v>0.26</v>
      </c>
      <c r="I1899" s="5"/>
    </row>
    <row r="1900" spans="1:9" s="4" customFormat="1" ht="15.75" x14ac:dyDescent="0.25">
      <c r="A1900" s="103"/>
      <c r="B1900" s="2"/>
      <c r="C1900" s="2"/>
      <c r="D1900" s="91" t="s">
        <v>1673</v>
      </c>
      <c r="E1900" s="177"/>
      <c r="F1900" s="177"/>
      <c r="G1900" s="177"/>
      <c r="H1900" s="92">
        <f>ROUND(SUM(H1899,H1893,H1874,H1864),2)</f>
        <v>12.17</v>
      </c>
      <c r="I1900" s="5"/>
    </row>
    <row r="1901" spans="1:9" s="4" customFormat="1" ht="15.75" x14ac:dyDescent="0.25">
      <c r="A1901" s="103">
        <v>40002</v>
      </c>
      <c r="B1901" s="2"/>
      <c r="C1901" s="2"/>
      <c r="D1901" s="93" t="s">
        <v>1672</v>
      </c>
      <c r="E1901" s="166"/>
      <c r="F1901" s="166"/>
      <c r="G1901" s="178">
        <f>IF($A1901=0,"",VLOOKUP($A1901,'BASE MATERIAL'!$M:$P,4))</f>
        <v>0</v>
      </c>
      <c r="H1901" s="95">
        <f>IF($A1901=0,"",ROUND(G1901*H1900,2))</f>
        <v>0</v>
      </c>
      <c r="I1901" s="5"/>
    </row>
    <row r="1902" spans="1:9" s="4" customFormat="1" ht="15.75" x14ac:dyDescent="0.25">
      <c r="A1902" s="103">
        <v>40003</v>
      </c>
      <c r="B1902" s="2"/>
      <c r="C1902" s="2"/>
      <c r="D1902" s="93" t="s">
        <v>1671</v>
      </c>
      <c r="E1902" s="166"/>
      <c r="F1902" s="166"/>
      <c r="G1902" s="178">
        <f>IF($A1902=0,"",VLOOKUP($A1902,'BASE MATERIAL'!$M:$P,4))</f>
        <v>0</v>
      </c>
      <c r="H1902" s="95">
        <f>IF($A1902=0,"",ROUND(G1902*H1900,2))</f>
        <v>0</v>
      </c>
      <c r="I1902" s="5"/>
    </row>
    <row r="1903" spans="1:9" s="4" customFormat="1" ht="15.75" x14ac:dyDescent="0.25">
      <c r="A1903" s="103"/>
      <c r="B1903" s="2"/>
      <c r="C1903" s="2"/>
      <c r="D1903" s="93" t="s">
        <v>1670</v>
      </c>
      <c r="E1903" s="166"/>
      <c r="F1903" s="166"/>
      <c r="G1903" s="166"/>
      <c r="H1903" s="96">
        <f>ROUND(SUM(H1900:H1902),2)</f>
        <v>12.17</v>
      </c>
      <c r="I1903" s="5"/>
    </row>
    <row r="1904" spans="1:9" s="4" customFormat="1" ht="16.5" thickBot="1" x14ac:dyDescent="0.3">
      <c r="A1904" s="103"/>
      <c r="B1904" s="25"/>
      <c r="C1904" s="5"/>
      <c r="D1904" s="97" t="s">
        <v>1650</v>
      </c>
      <c r="E1904" s="179"/>
      <c r="F1904" s="179"/>
      <c r="G1904" s="179"/>
      <c r="H1904" s="98">
        <f>ROUND(H1903,2)</f>
        <v>12.17</v>
      </c>
      <c r="I1904" s="5"/>
    </row>
    <row r="1905" spans="1:15" ht="15.75" x14ac:dyDescent="0.25">
      <c r="B1905" s="34" t="s">
        <v>1701</v>
      </c>
      <c r="C1905" s="5"/>
      <c r="D1905" s="157" t="str">
        <f>$D$113</f>
        <v>ESPOL</v>
      </c>
      <c r="E1905" s="2"/>
      <c r="F1905" s="2"/>
      <c r="H1905" s="2" t="s">
        <v>108</v>
      </c>
      <c r="I1905" s="2"/>
      <c r="L1905" s="40">
        <f>A1909</f>
        <v>4</v>
      </c>
      <c r="M1905" s="1" t="str">
        <f>C1910</f>
        <v>ESCALONES</v>
      </c>
      <c r="N1905" s="2" t="str">
        <f>H1909</f>
        <v>ML</v>
      </c>
      <c r="O1905" s="2">
        <f>H1960</f>
        <v>15.52</v>
      </c>
    </row>
    <row r="1906" spans="1:15" s="4" customFormat="1" ht="15.75" x14ac:dyDescent="0.25">
      <c r="A1906" s="104"/>
      <c r="B1906" s="34" t="s">
        <v>1700</v>
      </c>
      <c r="C1906" s="3">
        <f>'1.1'!$C$2</f>
        <v>0</v>
      </c>
      <c r="D1906" s="5"/>
      <c r="E1906" s="5"/>
      <c r="F1906" s="5"/>
      <c r="G1906" s="158" t="s">
        <v>1699</v>
      </c>
      <c r="H1906" s="159"/>
      <c r="I1906" s="5" t="s">
        <v>1698</v>
      </c>
    </row>
    <row r="1907" spans="1:15" s="4" customFormat="1" ht="15.75" x14ac:dyDescent="0.25">
      <c r="A1907" s="103"/>
      <c r="B1907" s="34"/>
      <c r="C1907" s="3">
        <f>'1.1'!$C$3</f>
        <v>0</v>
      </c>
      <c r="D1907" s="5"/>
      <c r="E1907" s="5"/>
      <c r="F1907" s="5"/>
      <c r="G1907" s="5"/>
      <c r="H1907" s="5"/>
      <c r="I1907" s="5"/>
    </row>
    <row r="1908" spans="1:15" s="4" customFormat="1" ht="15.75" x14ac:dyDescent="0.25">
      <c r="A1908" s="103"/>
      <c r="B1908" s="34" t="s">
        <v>1697</v>
      </c>
      <c r="C1908" s="3"/>
      <c r="D1908" s="5"/>
      <c r="E1908" s="5"/>
      <c r="F1908" s="5"/>
      <c r="G1908" s="5"/>
      <c r="H1908" s="5"/>
      <c r="I1908" s="5"/>
    </row>
    <row r="1909" spans="1:15" x14ac:dyDescent="0.25">
      <c r="A1909" s="104">
        <v>4</v>
      </c>
      <c r="B1909" s="2" t="s">
        <v>1586</v>
      </c>
      <c r="C1909" s="111" t="s">
        <v>1537</v>
      </c>
      <c r="D1909" s="5"/>
      <c r="E1909" s="4"/>
      <c r="F1909" s="4"/>
      <c r="G1909" s="5" t="s">
        <v>1696</v>
      </c>
      <c r="H1909" s="3" t="s">
        <v>772</v>
      </c>
      <c r="I1909" s="2"/>
    </row>
    <row r="1910" spans="1:15" s="4" customFormat="1" x14ac:dyDescent="0.25">
      <c r="A1910" s="103"/>
      <c r="B1910" s="1" t="s">
        <v>1585</v>
      </c>
      <c r="C1910" s="36" t="s">
        <v>1440</v>
      </c>
      <c r="D1910" s="5"/>
      <c r="E1910" s="5"/>
      <c r="F1910" s="5"/>
      <c r="G1910" s="5"/>
      <c r="H1910" s="5"/>
      <c r="I1910" s="5"/>
    </row>
    <row r="1911" spans="1:15" ht="15.75" thickBot="1" x14ac:dyDescent="0.3">
      <c r="D1911" s="2"/>
      <c r="E1911" s="2"/>
      <c r="F1911" s="2"/>
      <c r="G1911" s="2"/>
      <c r="H1911" s="2"/>
      <c r="I1911" s="2"/>
    </row>
    <row r="1912" spans="1:15" ht="15.75" thickBot="1" x14ac:dyDescent="0.3">
      <c r="B1912" s="43" t="s">
        <v>1695</v>
      </c>
      <c r="C1912" s="44"/>
      <c r="D1912" s="44"/>
      <c r="E1912" s="44"/>
      <c r="F1912" s="44"/>
      <c r="G1912" s="44"/>
      <c r="H1912" s="45"/>
      <c r="I1912" s="2"/>
    </row>
    <row r="1913" spans="1:15" ht="25.5" x14ac:dyDescent="0.25">
      <c r="B1913" s="46" t="s">
        <v>1409</v>
      </c>
      <c r="C1913" s="47"/>
      <c r="D1913" s="48" t="s">
        <v>1690</v>
      </c>
      <c r="E1913" s="48" t="s">
        <v>1694</v>
      </c>
      <c r="F1913" s="48" t="s">
        <v>1693</v>
      </c>
      <c r="G1913" s="49" t="s">
        <v>1687</v>
      </c>
      <c r="H1913" s="50" t="s">
        <v>1686</v>
      </c>
      <c r="I1913" s="2"/>
    </row>
    <row r="1914" spans="1:15" s="4" customFormat="1" x14ac:dyDescent="0.25">
      <c r="A1914" s="103">
        <v>19015</v>
      </c>
      <c r="B1914" s="51" t="str">
        <f>IF($A1914=0,"",VLOOKUP($A1914,'BASE EQUIPO'!$A:$D,2))</f>
        <v>HERRAMIENTA MENOR</v>
      </c>
      <c r="C1914" s="52"/>
      <c r="D1914" s="53">
        <v>1</v>
      </c>
      <c r="E1914" s="53">
        <f>IF($A1914=0,"",VLOOKUP($A1914,'BASE EQUIPO'!$A:$D,4)*H1930)</f>
        <v>0.17129999999999998</v>
      </c>
      <c r="F1914" s="53">
        <f t="shared" ref="F1914:F1919" si="171">IF($A1914=0,"",ROUND(D1914*E1914,2))</f>
        <v>0.17</v>
      </c>
      <c r="G1914" s="105">
        <v>1</v>
      </c>
      <c r="H1914" s="54">
        <f t="shared" ref="H1914:H1919" si="172">IF($A1914=0,"",ROUND(G1914*F1914,2))</f>
        <v>0.17</v>
      </c>
      <c r="I1914" s="5"/>
    </row>
    <row r="1915" spans="1:15" s="4" customFormat="1" x14ac:dyDescent="0.25">
      <c r="A1915" s="103">
        <v>19003</v>
      </c>
      <c r="B1915" s="38" t="str">
        <f>IF($A1915=0,"",VLOOKUP($A1915,'BASE EQUIPO'!$A:$D,2))</f>
        <v>CONCRETERA</v>
      </c>
      <c r="C1915" s="2"/>
      <c r="D1915" s="55">
        <v>1</v>
      </c>
      <c r="E1915" s="55">
        <f>IF($A1915=0,"",VLOOKUP($A1915,'BASE EQUIPO'!$A:$D,4))</f>
        <v>3.5</v>
      </c>
      <c r="F1915" s="55">
        <f t="shared" si="171"/>
        <v>3.5</v>
      </c>
      <c r="G1915" s="106">
        <f>ROUND(G1924*0.5,2)</f>
        <v>0.05</v>
      </c>
      <c r="H1915" s="56">
        <f t="shared" si="172"/>
        <v>0.18</v>
      </c>
      <c r="I1915" s="5"/>
    </row>
    <row r="1916" spans="1:15" s="4" customFormat="1" x14ac:dyDescent="0.25">
      <c r="A1916" s="103">
        <v>19008</v>
      </c>
      <c r="B1916" s="38" t="str">
        <f>IF($A1916=0,"",VLOOKUP($A1916,'BASE EQUIPO'!$A:$D,2))</f>
        <v>VIBRADOR</v>
      </c>
      <c r="C1916" s="2"/>
      <c r="D1916" s="55">
        <v>1</v>
      </c>
      <c r="E1916" s="55">
        <f>IF($A1916=0,"",VLOOKUP($A1916,'BASE EQUIPO'!$A:$D,4))</f>
        <v>2.5</v>
      </c>
      <c r="F1916" s="55">
        <f t="shared" si="171"/>
        <v>2.5</v>
      </c>
      <c r="G1916" s="106">
        <f>ROUND(G1925*0.5,2)</f>
        <v>0.05</v>
      </c>
      <c r="H1916" s="56">
        <f t="shared" si="172"/>
        <v>0.13</v>
      </c>
      <c r="I1916" s="5"/>
    </row>
    <row r="1917" spans="1:15" s="4" customFormat="1" x14ac:dyDescent="0.25">
      <c r="A1917" s="103"/>
      <c r="B1917" s="38" t="str">
        <f>IF($A1917=0,"",VLOOKUP($A1917,'BASE EQUIPO'!$A:$D,2))</f>
        <v/>
      </c>
      <c r="C1917" s="2"/>
      <c r="D1917" s="55"/>
      <c r="E1917" s="55" t="str">
        <f>IF($A1917=0,"",VLOOKUP($A1917,'BASE EQUIPO'!$A:$D,4))</f>
        <v/>
      </c>
      <c r="F1917" s="55" t="str">
        <f t="shared" si="171"/>
        <v/>
      </c>
      <c r="G1917" s="106"/>
      <c r="H1917" s="56" t="str">
        <f t="shared" si="172"/>
        <v/>
      </c>
      <c r="I1917" s="5"/>
    </row>
    <row r="1918" spans="1:15" s="4" customFormat="1" x14ac:dyDescent="0.25">
      <c r="A1918" s="103"/>
      <c r="B1918" s="38" t="str">
        <f>IF($A1918=0,"",VLOOKUP($A1918,'BASE EQUIPO'!$A:$D,2))</f>
        <v/>
      </c>
      <c r="C1918" s="2"/>
      <c r="D1918" s="55"/>
      <c r="E1918" s="55" t="str">
        <f>IF($A1918=0,"",VLOOKUP($A1918,'BASE EQUIPO'!$A:$D,4))</f>
        <v/>
      </c>
      <c r="F1918" s="55" t="str">
        <f t="shared" si="171"/>
        <v/>
      </c>
      <c r="G1918" s="106"/>
      <c r="H1918" s="56" t="str">
        <f t="shared" si="172"/>
        <v/>
      </c>
      <c r="I1918" s="5"/>
    </row>
    <row r="1919" spans="1:15" s="4" customFormat="1" x14ac:dyDescent="0.25">
      <c r="A1919" s="103"/>
      <c r="B1919" s="57" t="str">
        <f>IF($A1919=0,"",VLOOKUP($A1919,'BASE EQUIPO'!$A:$D,2))</f>
        <v/>
      </c>
      <c r="C1919" s="58"/>
      <c r="D1919" s="59"/>
      <c r="E1919" s="59" t="str">
        <f>IF($A1919=0,"",VLOOKUP($A1919,'BASE EQUIPO'!$A:$D,4))</f>
        <v/>
      </c>
      <c r="F1919" s="59" t="str">
        <f t="shared" si="171"/>
        <v/>
      </c>
      <c r="G1919" s="107"/>
      <c r="H1919" s="60" t="str">
        <f t="shared" si="172"/>
        <v/>
      </c>
      <c r="I1919" s="5"/>
    </row>
    <row r="1920" spans="1:15" s="4" customFormat="1" x14ac:dyDescent="0.25">
      <c r="A1920" s="103"/>
      <c r="B1920" s="57" t="s">
        <v>1692</v>
      </c>
      <c r="C1920" s="58"/>
      <c r="D1920" s="61"/>
      <c r="E1920" s="61"/>
      <c r="F1920" s="61"/>
      <c r="G1920" s="62"/>
      <c r="H1920" s="60">
        <f>ROUND(SUM(H1913:H1919),2)</f>
        <v>0.48</v>
      </c>
      <c r="I1920" s="5"/>
    </row>
    <row r="1921" spans="1:16" s="4" customFormat="1" x14ac:dyDescent="0.25">
      <c r="A1921" s="103"/>
      <c r="B1921" s="38" t="s">
        <v>1503</v>
      </c>
      <c r="C1921" s="2"/>
      <c r="D1921" s="3"/>
      <c r="E1921" s="3"/>
      <c r="F1921" s="3"/>
      <c r="G1921" s="63"/>
      <c r="H1921" s="56"/>
      <c r="I1921" s="5"/>
    </row>
    <row r="1922" spans="1:16" ht="25.5" x14ac:dyDescent="0.25">
      <c r="B1922" s="64" t="s">
        <v>1691</v>
      </c>
      <c r="C1922" s="65"/>
      <c r="D1922" s="66" t="s">
        <v>1690</v>
      </c>
      <c r="E1922" s="66" t="s">
        <v>1689</v>
      </c>
      <c r="F1922" s="66" t="s">
        <v>1688</v>
      </c>
      <c r="G1922" s="67" t="s">
        <v>1687</v>
      </c>
      <c r="H1922" s="68" t="s">
        <v>1686</v>
      </c>
      <c r="I1922" s="2"/>
    </row>
    <row r="1923" spans="1:16" s="4" customFormat="1" x14ac:dyDescent="0.25">
      <c r="A1923" s="103">
        <v>20001</v>
      </c>
      <c r="B1923" s="69" t="str">
        <f>IF($A1923=0,"",VLOOKUP($A1923,'BASE M-OBRA'!$A:$D,2))</f>
        <v>MAESTRO</v>
      </c>
      <c r="C1923" s="2"/>
      <c r="D1923" s="108">
        <v>1</v>
      </c>
      <c r="E1923" s="70">
        <f>IF($A1923=0,"",VLOOKUP($A1923,'BASE M-OBRA'!$A:$D,4))</f>
        <v>3.02</v>
      </c>
      <c r="F1923" s="55">
        <f t="shared" ref="F1923:F1929" si="173">IF($A1923=0,"",ROUND(D1923*E1923,2))</f>
        <v>3.02</v>
      </c>
      <c r="G1923" s="106">
        <f>IF($A1923=0,"",ROUND(H1923/F1923,2))</f>
        <v>0.31</v>
      </c>
      <c r="H1923" s="56">
        <f>IF($A1923=0,"",ROUND(SUM(H1924:H1929)*'BASE M-OBRA'!$D$23,2))</f>
        <v>0.95</v>
      </c>
      <c r="I1923" s="5"/>
    </row>
    <row r="1924" spans="1:16" s="4" customFormat="1" x14ac:dyDescent="0.25">
      <c r="A1924" s="103">
        <v>20002</v>
      </c>
      <c r="B1924" s="69" t="str">
        <f>IF($A1924=0,"",VLOOKUP($A1924,'BASE M-OBRA'!$A:$D,2))</f>
        <v>PEON</v>
      </c>
      <c r="C1924" s="2"/>
      <c r="D1924" s="108">
        <v>8</v>
      </c>
      <c r="E1924" s="70">
        <f>IF($A1924=0,"",VLOOKUP($A1924,'BASE M-OBRA'!$A:$D,4))</f>
        <v>2.79</v>
      </c>
      <c r="F1924" s="55">
        <f t="shared" si="173"/>
        <v>22.32</v>
      </c>
      <c r="G1924" s="106">
        <v>0.1</v>
      </c>
      <c r="H1924" s="56">
        <f t="shared" ref="H1924:H1929" si="174">IF($A1924=0,"",ROUND(G1924*F1924,2))</f>
        <v>2.23</v>
      </c>
      <c r="I1924" s="5"/>
    </row>
    <row r="1925" spans="1:16" s="4" customFormat="1" x14ac:dyDescent="0.25">
      <c r="A1925" s="103">
        <v>20003</v>
      </c>
      <c r="B1925" s="69" t="str">
        <f>IF($A1925=0,"",VLOOKUP($A1925,'BASE M-OBRA'!$A:$D,2))</f>
        <v>ALBAÑIL</v>
      </c>
      <c r="C1925" s="2"/>
      <c r="D1925" s="108">
        <v>2</v>
      </c>
      <c r="E1925" s="70">
        <f>IF($A1925=0,"",VLOOKUP($A1925,'BASE M-OBRA'!$A:$D,4))</f>
        <v>2.82</v>
      </c>
      <c r="F1925" s="55">
        <f t="shared" si="173"/>
        <v>5.64</v>
      </c>
      <c r="G1925" s="106">
        <f>+G1924</f>
        <v>0.1</v>
      </c>
      <c r="H1925" s="56">
        <f t="shared" si="174"/>
        <v>0.56000000000000005</v>
      </c>
      <c r="I1925" s="5"/>
    </row>
    <row r="1926" spans="1:16" s="4" customFormat="1" x14ac:dyDescent="0.25">
      <c r="A1926" s="103">
        <v>20004</v>
      </c>
      <c r="B1926" s="71" t="str">
        <f>IF($A1926=0,"",VLOOKUP($A1926,'BASE M-OBRA'!$A:$D,2))</f>
        <v>CARPINTERO</v>
      </c>
      <c r="C1926" s="2"/>
      <c r="D1926" s="108">
        <v>2</v>
      </c>
      <c r="E1926" s="70">
        <f>IF($A1926=0,"",VLOOKUP($A1926,'BASE M-OBRA'!$A:$D,4))</f>
        <v>2.82</v>
      </c>
      <c r="F1926" s="55">
        <f t="shared" si="173"/>
        <v>5.64</v>
      </c>
      <c r="G1926" s="106">
        <v>0.35</v>
      </c>
      <c r="H1926" s="56">
        <f t="shared" si="174"/>
        <v>1.97</v>
      </c>
      <c r="I1926" s="5"/>
    </row>
    <row r="1927" spans="1:16" s="4" customFormat="1" x14ac:dyDescent="0.25">
      <c r="A1927" s="103"/>
      <c r="B1927" s="72" t="str">
        <f>IF($A1927=0,"",VLOOKUP($A1927,'BASE M-OBRA'!$A:$D,2))</f>
        <v/>
      </c>
      <c r="C1927" s="2"/>
      <c r="D1927" s="108"/>
      <c r="E1927" s="70" t="str">
        <f>IF($A1927=0,"",VLOOKUP($A1927,'BASE M-OBRA'!$A:$D,4))</f>
        <v/>
      </c>
      <c r="F1927" s="55" t="str">
        <f t="shared" si="173"/>
        <v/>
      </c>
      <c r="G1927" s="106"/>
      <c r="H1927" s="56" t="str">
        <f t="shared" si="174"/>
        <v/>
      </c>
      <c r="I1927" s="5"/>
    </row>
    <row r="1928" spans="1:16" s="4" customFormat="1" x14ac:dyDescent="0.25">
      <c r="A1928" s="103"/>
      <c r="B1928" s="38" t="str">
        <f>IF($A1928=0,"",VLOOKUP($A1928,'BASE M-OBRA'!$A:$D,2))</f>
        <v/>
      </c>
      <c r="C1928" s="2"/>
      <c r="D1928" s="55"/>
      <c r="E1928" s="55" t="str">
        <f>IF($A1928=0,"",VLOOKUP($A1928,'BASE M-OBRA'!$A:$D,4))</f>
        <v/>
      </c>
      <c r="F1928" s="55" t="str">
        <f t="shared" si="173"/>
        <v/>
      </c>
      <c r="G1928" s="106"/>
      <c r="H1928" s="56" t="str">
        <f t="shared" si="174"/>
        <v/>
      </c>
      <c r="I1928" s="5"/>
    </row>
    <row r="1929" spans="1:16" s="4" customFormat="1" x14ac:dyDescent="0.25">
      <c r="A1929" s="103"/>
      <c r="B1929" s="57" t="str">
        <f>IF($A1929=0,"",VLOOKUP($A1929,'BASE M-OBRA'!$A:$D,2))</f>
        <v/>
      </c>
      <c r="C1929" s="58"/>
      <c r="D1929" s="59"/>
      <c r="E1929" s="59" t="str">
        <f>IF($A1929=0,"",VLOOKUP($A1929,'BASE M-OBRA'!$A:$D,4))</f>
        <v/>
      </c>
      <c r="F1929" s="59" t="str">
        <f t="shared" si="173"/>
        <v/>
      </c>
      <c r="G1929" s="107"/>
      <c r="H1929" s="60" t="str">
        <f t="shared" si="174"/>
        <v/>
      </c>
      <c r="I1929" s="5"/>
    </row>
    <row r="1930" spans="1:16" s="4" customFormat="1" x14ac:dyDescent="0.25">
      <c r="A1930" s="103"/>
      <c r="B1930" s="73" t="s">
        <v>1685</v>
      </c>
      <c r="C1930" s="65"/>
      <c r="D1930" s="74"/>
      <c r="E1930" s="74"/>
      <c r="F1930" s="74"/>
      <c r="G1930" s="74"/>
      <c r="H1930" s="75">
        <f>ROUND(SUM(H1922:H1929),2)</f>
        <v>5.71</v>
      </c>
      <c r="I1930" s="5"/>
      <c r="K1930" s="4">
        <f>0.15*3.8</f>
        <v>0.56999999999999995</v>
      </c>
    </row>
    <row r="1931" spans="1:16" s="4" customFormat="1" x14ac:dyDescent="0.25">
      <c r="A1931" s="103"/>
      <c r="B1931" s="38" t="s">
        <v>1684</v>
      </c>
      <c r="C1931" s="2"/>
      <c r="D1931" s="3"/>
      <c r="E1931" s="3"/>
      <c r="F1931" s="3"/>
      <c r="G1931" s="3"/>
      <c r="H1931" s="56"/>
      <c r="I1931" s="5"/>
    </row>
    <row r="1932" spans="1:16" ht="25.5" x14ac:dyDescent="0.25">
      <c r="B1932" s="64" t="s">
        <v>1409</v>
      </c>
      <c r="C1932" s="65"/>
      <c r="D1932" s="76"/>
      <c r="E1932" s="66" t="s">
        <v>1408</v>
      </c>
      <c r="F1932" s="66" t="s">
        <v>1679</v>
      </c>
      <c r="G1932" s="66" t="s">
        <v>1683</v>
      </c>
      <c r="H1932" s="68" t="s">
        <v>1675</v>
      </c>
      <c r="I1932" s="2"/>
    </row>
    <row r="1933" spans="1:16" s="4" customFormat="1" x14ac:dyDescent="0.25">
      <c r="A1933" s="103">
        <v>11011</v>
      </c>
      <c r="B1933" s="37" t="str">
        <f>IF($A1933=0,"",VLOOKUP($A1933,'BASE MATERIAL'!$A:$D,2))</f>
        <v>PLYWOOD ENCOFRADO 15 MM</v>
      </c>
      <c r="C1933" s="2"/>
      <c r="D1933" s="77"/>
      <c r="E1933" s="78" t="str">
        <f>IF($A1933=0,"",VLOOKUP($A1933,'BASE MATERIAL'!$A:$D,3))</f>
        <v>U</v>
      </c>
      <c r="F1933" s="55">
        <f>ROUND(0.5/(1.2*2.4*5),2)</f>
        <v>0.03</v>
      </c>
      <c r="G1933" s="55">
        <f>IF($A1933=0,"",VLOOKUP($A1933,'BASE MATERIAL'!$A:$D,4))</f>
        <v>37.799999999999997</v>
      </c>
      <c r="H1933" s="56">
        <f t="shared" ref="H1933:H1947" si="175">IF($A1933=0,"",ROUND(F1933*G1933,2))</f>
        <v>1.1299999999999999</v>
      </c>
      <c r="I1933" s="5"/>
      <c r="L1933" s="5"/>
      <c r="M1933" s="5"/>
      <c r="N1933" s="160"/>
      <c r="O1933" s="5"/>
      <c r="P1933" s="5"/>
    </row>
    <row r="1934" spans="1:16" s="4" customFormat="1" x14ac:dyDescent="0.25">
      <c r="A1934" s="103">
        <v>11009</v>
      </c>
      <c r="B1934" s="38" t="str">
        <f>IF($A1934=0,"",VLOOKUP($A1934,'BASE MATERIAL'!$A:$D,2))</f>
        <v>CUARTON</v>
      </c>
      <c r="C1934" s="2"/>
      <c r="D1934" s="77"/>
      <c r="E1934" s="78" t="str">
        <f>IF($A1934=0,"",VLOOKUP($A1934,'BASE MATERIAL'!$A:$D,3))</f>
        <v>U</v>
      </c>
      <c r="F1934" s="55">
        <f>ROUND(0.5*8/(4*3),2)</f>
        <v>0.33</v>
      </c>
      <c r="G1934" s="55">
        <f>IF($A1934=0,"",VLOOKUP($A1934,'BASE MATERIAL'!$A:$D,4))</f>
        <v>2.42</v>
      </c>
      <c r="H1934" s="56">
        <f t="shared" si="175"/>
        <v>0.8</v>
      </c>
      <c r="I1934" s="5"/>
      <c r="L1934" s="5"/>
      <c r="M1934" s="5"/>
      <c r="N1934" s="160"/>
      <c r="O1934" s="5"/>
      <c r="P1934" s="5"/>
    </row>
    <row r="1935" spans="1:16" s="4" customFormat="1" x14ac:dyDescent="0.25">
      <c r="A1935" s="103">
        <v>11007</v>
      </c>
      <c r="B1935" s="38" t="str">
        <f>IF($A1935=0,"",VLOOKUP($A1935,'BASE MATERIAL'!$A:$D,2))</f>
        <v>CLAVO 2 1/2"</v>
      </c>
      <c r="C1935" s="2"/>
      <c r="D1935" s="77"/>
      <c r="E1935" s="78" t="str">
        <f>IF($A1935=0,"",VLOOKUP($A1935,'BASE MATERIAL'!$A:$D,3))</f>
        <v>KG</v>
      </c>
      <c r="F1935" s="55">
        <f>ROUND(0.5*56/(178*1.5),2)</f>
        <v>0.1</v>
      </c>
      <c r="G1935" s="55">
        <f>IF($A1935=0,"",VLOOKUP($A1935,'BASE MATERIAL'!$A:$D,4))</f>
        <v>2.6520000000000001</v>
      </c>
      <c r="H1935" s="56">
        <f t="shared" si="175"/>
        <v>0.27</v>
      </c>
      <c r="I1935" s="5"/>
      <c r="L1935" s="5"/>
      <c r="M1935" s="5"/>
      <c r="N1935" s="160"/>
      <c r="O1935" s="5"/>
      <c r="P1935" s="5"/>
    </row>
    <row r="1936" spans="1:16" s="4" customFormat="1" x14ac:dyDescent="0.25">
      <c r="A1936" s="103"/>
      <c r="B1936" s="38" t="str">
        <f>IF($A1936=0,"",VLOOKUP($A1936,'BASE MATERIAL'!$A:$D,2))</f>
        <v/>
      </c>
      <c r="C1936" s="2"/>
      <c r="D1936" s="77"/>
      <c r="E1936" s="78" t="str">
        <f>IF($A1936=0,"",VLOOKUP($A1936,'BASE MATERIAL'!$A:$D,3))</f>
        <v/>
      </c>
      <c r="F1936" s="55"/>
      <c r="G1936" s="55" t="str">
        <f>IF($A1936=0,"",VLOOKUP($A1936,'BASE MATERIAL'!$A:$D,4))</f>
        <v/>
      </c>
      <c r="H1936" s="56" t="str">
        <f t="shared" si="175"/>
        <v/>
      </c>
      <c r="I1936" s="5"/>
      <c r="L1936" s="5"/>
      <c r="M1936" s="5"/>
      <c r="N1936" s="160"/>
      <c r="O1936" s="5"/>
      <c r="P1936" s="5"/>
    </row>
    <row r="1937" spans="1:16" s="4" customFormat="1" x14ac:dyDescent="0.25">
      <c r="A1937" s="103"/>
      <c r="B1937" s="38" t="str">
        <f>IF($A1937=0,"",VLOOKUP($A1937,'BASE MATERIAL'!$A:$D,2))</f>
        <v/>
      </c>
      <c r="C1937" s="2"/>
      <c r="D1937" s="77"/>
      <c r="E1937" s="78" t="str">
        <f>IF($A1937=0,"",VLOOKUP($A1937,'BASE MATERIAL'!$A:$D,3))</f>
        <v/>
      </c>
      <c r="F1937" s="55"/>
      <c r="G1937" s="112" t="str">
        <f>IF($A1937=0,"",VLOOKUP($A1937,'BASE MATERIAL'!$A:$D,4))</f>
        <v/>
      </c>
      <c r="H1937" s="56" t="str">
        <f t="shared" si="175"/>
        <v/>
      </c>
      <c r="I1937" s="5"/>
      <c r="L1937" s="5"/>
      <c r="M1937" s="5"/>
      <c r="N1937" s="160"/>
      <c r="O1937" s="5"/>
      <c r="P1937" s="5"/>
    </row>
    <row r="1938" spans="1:16" s="4" customFormat="1" x14ac:dyDescent="0.25">
      <c r="A1938" s="103"/>
      <c r="B1938" s="38" t="str">
        <f>IF($A1938=0,"",VLOOKUP($A1938,'BASE MATERIAL'!$A:$D,2))</f>
        <v/>
      </c>
      <c r="C1938" s="2"/>
      <c r="D1938" s="77"/>
      <c r="E1938" s="78" t="str">
        <f>IF($A1938=0,"",VLOOKUP($A1938,'BASE MATERIAL'!$A:$D,3))</f>
        <v/>
      </c>
      <c r="F1938" s="55"/>
      <c r="G1938" s="55" t="str">
        <f>IF($A1938=0,"",VLOOKUP($A1938,'BASE MATERIAL'!$A:$D,4))</f>
        <v/>
      </c>
      <c r="H1938" s="56" t="str">
        <f t="shared" si="175"/>
        <v/>
      </c>
      <c r="I1938" s="5"/>
      <c r="L1938" s="5"/>
      <c r="M1938" s="5"/>
      <c r="N1938" s="160"/>
      <c r="O1938" s="5"/>
      <c r="P1938" s="5"/>
    </row>
    <row r="1939" spans="1:16" s="4" customFormat="1" x14ac:dyDescent="0.25">
      <c r="A1939" s="103"/>
      <c r="B1939" s="38" t="str">
        <f>IF($A1939=0,"",VLOOKUP($A1939,'BASE MATERIAL'!$A:$D,2))</f>
        <v/>
      </c>
      <c r="C1939" s="2"/>
      <c r="D1939" s="77"/>
      <c r="E1939" s="78" t="str">
        <f>IF($A1939=0,"",VLOOKUP($A1939,'BASE MATERIAL'!$A:$D,3))</f>
        <v/>
      </c>
      <c r="F1939" s="55"/>
      <c r="G1939" s="55" t="str">
        <f>IF($A1939=0,"",VLOOKUP($A1939,'BASE MATERIAL'!$A:$D,4))</f>
        <v/>
      </c>
      <c r="H1939" s="56" t="str">
        <f t="shared" si="175"/>
        <v/>
      </c>
      <c r="I1939" s="5"/>
      <c r="L1939" s="5"/>
      <c r="M1939" s="5"/>
      <c r="N1939" s="160"/>
      <c r="O1939" s="5"/>
      <c r="P1939" s="5"/>
    </row>
    <row r="1940" spans="1:16" s="4" customFormat="1" x14ac:dyDescent="0.25">
      <c r="A1940" s="103">
        <v>4001</v>
      </c>
      <c r="B1940" s="38" t="str">
        <f>IF($A1940=0,"",VLOOKUP($A1940,'BASE MATERIAL'!$A:$D,2))</f>
        <v>CEMENTO</v>
      </c>
      <c r="C1940" s="2"/>
      <c r="D1940" s="77"/>
      <c r="E1940" s="78" t="str">
        <f>IF($A1940=0,"",VLOOKUP($A1940,'BASE MATERIAL'!$A:$D,3))</f>
        <v>SACO</v>
      </c>
      <c r="F1940" s="55">
        <f>ROUND(7*0.1*1.05,2)</f>
        <v>0.74</v>
      </c>
      <c r="G1940" s="55">
        <f>IF($A1940=0,"",VLOOKUP($A1940,'BASE MATERIAL'!$A:$D,4))</f>
        <v>7.09</v>
      </c>
      <c r="H1940" s="56">
        <f t="shared" si="175"/>
        <v>5.25</v>
      </c>
      <c r="I1940" s="5"/>
      <c r="L1940" s="5"/>
      <c r="M1940" s="5"/>
      <c r="N1940" s="160"/>
      <c r="O1940" s="5"/>
      <c r="P1940" s="5"/>
    </row>
    <row r="1941" spans="1:16" s="4" customFormat="1" x14ac:dyDescent="0.25">
      <c r="A1941" s="103">
        <v>5004</v>
      </c>
      <c r="B1941" s="38" t="str">
        <f>IF($A1941=0,"",VLOOKUP($A1941,'BASE MATERIAL'!$A:$D,2))</f>
        <v>ARENA</v>
      </c>
      <c r="C1941" s="2"/>
      <c r="D1941" s="77"/>
      <c r="E1941" s="78" t="str">
        <f>IF($A1941=0,"",VLOOKUP($A1941,'BASE MATERIAL'!$A:$D,3))</f>
        <v>M3</v>
      </c>
      <c r="F1941" s="55">
        <f>ROUND(F1940*0.032*2,2)</f>
        <v>0.05</v>
      </c>
      <c r="G1941" s="80">
        <f>IF($A1941=0,"",VLOOKUP($A1941,'BASE MATERIAL'!$A:$D,4))</f>
        <v>12.276249999999999</v>
      </c>
      <c r="H1941" s="56">
        <f t="shared" si="175"/>
        <v>0.61</v>
      </c>
      <c r="I1941" s="5"/>
    </row>
    <row r="1942" spans="1:16" s="4" customFormat="1" x14ac:dyDescent="0.25">
      <c r="A1942" s="103">
        <v>5002</v>
      </c>
      <c r="B1942" s="38" t="str">
        <f>IF($A1942=0,"",VLOOKUP($A1942,'BASE MATERIAL'!$A:$D,2))</f>
        <v>PIEDRA 3-4</v>
      </c>
      <c r="C1942" s="2"/>
      <c r="D1942" s="77"/>
      <c r="E1942" s="78" t="str">
        <f>IF($A1942=0,"",VLOOKUP($A1942,'BASE MATERIAL'!$A:$D,3))</f>
        <v>M3</v>
      </c>
      <c r="F1942" s="55">
        <f>ROUND(F1940*0.032*3,2)</f>
        <v>7.0000000000000007E-2</v>
      </c>
      <c r="G1942" s="55">
        <f>IF($A1942=0,"",VLOOKUP($A1942,'BASE MATERIAL'!$A:$D,4))</f>
        <v>13.75</v>
      </c>
      <c r="H1942" s="56">
        <f t="shared" si="175"/>
        <v>0.96</v>
      </c>
      <c r="I1942" s="5"/>
      <c r="L1942" s="5"/>
      <c r="M1942" s="5"/>
      <c r="N1942" s="160"/>
      <c r="O1942" s="5"/>
      <c r="P1942" s="5"/>
    </row>
    <row r="1943" spans="1:16" s="4" customFormat="1" x14ac:dyDescent="0.25">
      <c r="A1943" s="103">
        <v>5005</v>
      </c>
      <c r="B1943" s="38" t="str">
        <f>IF($A1943=0,"",VLOOKUP($A1943,'BASE MATERIAL'!$A:$D,2))</f>
        <v>AGUA</v>
      </c>
      <c r="C1943" s="2"/>
      <c r="D1943" s="77"/>
      <c r="E1943" s="78" t="str">
        <f>IF($A1943=0,"",VLOOKUP($A1943,'BASE MATERIAL'!$A:$D,3))</f>
        <v>LT</v>
      </c>
      <c r="F1943" s="55">
        <f>26*F1940</f>
        <v>19.239999999999998</v>
      </c>
      <c r="G1943" s="55">
        <f>IF($A1943=0,"",VLOOKUP($A1943,'BASE MATERIAL'!$A:$D,4))</f>
        <v>2E-3</v>
      </c>
      <c r="H1943" s="56">
        <f t="shared" si="175"/>
        <v>0.04</v>
      </c>
      <c r="I1943" s="5"/>
      <c r="L1943" s="5"/>
      <c r="M1943" s="5"/>
      <c r="N1943" s="160"/>
      <c r="O1943" s="5"/>
      <c r="P1943" s="5"/>
    </row>
    <row r="1944" spans="1:16" s="4" customFormat="1" x14ac:dyDescent="0.25">
      <c r="A1944" s="103"/>
      <c r="B1944" s="38" t="str">
        <f>IF($A1944=0,"",VLOOKUP($A1944,'BASE MATERIAL'!$A:$D,2))</f>
        <v/>
      </c>
      <c r="C1944" s="2"/>
      <c r="D1944" s="77"/>
      <c r="E1944" s="78" t="str">
        <f>IF($A1944=0,"",VLOOKUP($A1944,'BASE MATERIAL'!$A:$D,3))</f>
        <v/>
      </c>
      <c r="F1944" s="55"/>
      <c r="G1944" s="55" t="str">
        <f>IF($A1944=0,"",VLOOKUP($A1944,'BASE MATERIAL'!$A:$D,4))</f>
        <v/>
      </c>
      <c r="H1944" s="56" t="str">
        <f t="shared" si="175"/>
        <v/>
      </c>
      <c r="I1944" s="5"/>
    </row>
    <row r="1945" spans="1:16" s="4" customFormat="1" x14ac:dyDescent="0.25">
      <c r="A1945" s="103"/>
      <c r="B1945" s="38" t="str">
        <f>IF($A1945=0,"",VLOOKUP($A1945,'BASE MATERIAL'!$A:$D,2))</f>
        <v/>
      </c>
      <c r="C1945" s="2"/>
      <c r="D1945" s="77"/>
      <c r="E1945" s="78" t="str">
        <f>IF($A1945=0,"",VLOOKUP($A1945,'BASE MATERIAL'!$A:$D,3))</f>
        <v/>
      </c>
      <c r="F1945" s="55"/>
      <c r="G1945" s="55" t="str">
        <f>IF($A1945=0,"",VLOOKUP($A1945,'BASE MATERIAL'!$A:$D,4))</f>
        <v/>
      </c>
      <c r="H1945" s="56" t="str">
        <f t="shared" si="175"/>
        <v/>
      </c>
      <c r="I1945" s="5"/>
    </row>
    <row r="1946" spans="1:16" s="4" customFormat="1" x14ac:dyDescent="0.25">
      <c r="A1946" s="103"/>
      <c r="B1946" s="38" t="str">
        <f>IF($A1946=0,"",VLOOKUP($A1946,'BASE MATERIAL'!$A:$D,2))</f>
        <v/>
      </c>
      <c r="C1946" s="2"/>
      <c r="D1946" s="77"/>
      <c r="E1946" s="78" t="str">
        <f>IF($A1946=0,"",VLOOKUP($A1946,'BASE MATERIAL'!$A:$D,3))</f>
        <v/>
      </c>
      <c r="F1946" s="55"/>
      <c r="G1946" s="55" t="str">
        <f>IF($A1946=0,"",VLOOKUP($A1946,'BASE MATERIAL'!$A:$D,4))</f>
        <v/>
      </c>
      <c r="H1946" s="56" t="str">
        <f t="shared" si="175"/>
        <v/>
      </c>
      <c r="I1946" s="5"/>
    </row>
    <row r="1947" spans="1:16" s="4" customFormat="1" x14ac:dyDescent="0.25">
      <c r="A1947" s="103"/>
      <c r="B1947" s="38" t="str">
        <f>IF($A1947=0,"",VLOOKUP($A1947,'BASE MATERIAL'!$A:$D,2))</f>
        <v/>
      </c>
      <c r="C1947" s="2"/>
      <c r="D1947" s="77"/>
      <c r="E1947" s="78" t="str">
        <f>IF($A1947=0,"",VLOOKUP($A1947,'BASE MATERIAL'!$A:$D,3))</f>
        <v/>
      </c>
      <c r="F1947" s="55"/>
      <c r="G1947" s="55" t="str">
        <f>IF($A1947=0,"",VLOOKUP($A1947,'BASE MATERIAL'!$A:$D,4))</f>
        <v/>
      </c>
      <c r="H1947" s="56" t="str">
        <f t="shared" si="175"/>
        <v/>
      </c>
      <c r="I1947" s="5"/>
    </row>
    <row r="1948" spans="1:16" s="4" customFormat="1" x14ac:dyDescent="0.25">
      <c r="A1948" s="103"/>
      <c r="B1948" s="38" t="str">
        <f>IF($A1948=0,"",VLOOKUP($A1948,'BASE MATERIAL'!$A:$D,2))</f>
        <v/>
      </c>
      <c r="C1948" s="2"/>
      <c r="D1948" s="81" t="s">
        <v>1682</v>
      </c>
      <c r="E1948" s="55" t="str">
        <f>IF($A1948=0,"",VLOOKUP($A1948,'BASE MATERIAL'!$A:$D,3))</f>
        <v/>
      </c>
      <c r="F1948" s="55" t="s">
        <v>1682</v>
      </c>
      <c r="G1948" s="55" t="str">
        <f>IF($A1948=0,"",VLOOKUP($A1948,'BASE MATERIAL'!$A:$D,4))</f>
        <v/>
      </c>
      <c r="H1948" s="56" t="str">
        <f>IF($A1948=0,"",ROUND(E1948*F1948,2))</f>
        <v/>
      </c>
      <c r="I1948" s="5"/>
    </row>
    <row r="1949" spans="1:16" s="4" customFormat="1" x14ac:dyDescent="0.25">
      <c r="A1949" s="103"/>
      <c r="B1949" s="73" t="s">
        <v>1681</v>
      </c>
      <c r="C1949" s="65"/>
      <c r="D1949" s="74"/>
      <c r="E1949" s="74"/>
      <c r="F1949" s="74"/>
      <c r="G1949" s="74"/>
      <c r="H1949" s="75">
        <f>ROUND(SUM(H1932:H1948),2)</f>
        <v>9.06</v>
      </c>
      <c r="I1949" s="5"/>
    </row>
    <row r="1950" spans="1:16" s="4" customFormat="1" x14ac:dyDescent="0.25">
      <c r="A1950" s="103"/>
      <c r="B1950" s="38" t="s">
        <v>1680</v>
      </c>
      <c r="C1950" s="2"/>
      <c r="D1950" s="3"/>
      <c r="E1950" s="3"/>
      <c r="F1950" s="3"/>
      <c r="G1950" s="3"/>
      <c r="H1950" s="56"/>
      <c r="I1950" s="5"/>
    </row>
    <row r="1951" spans="1:16" ht="25.5" x14ac:dyDescent="0.25">
      <c r="B1951" s="64" t="s">
        <v>1409</v>
      </c>
      <c r="C1951" s="65"/>
      <c r="D1951" s="76"/>
      <c r="E1951" s="66" t="s">
        <v>1408</v>
      </c>
      <c r="F1951" s="66" t="s">
        <v>1679</v>
      </c>
      <c r="G1951" s="66" t="s">
        <v>1676</v>
      </c>
      <c r="H1951" s="68" t="s">
        <v>1675</v>
      </c>
      <c r="I1951" s="2"/>
    </row>
    <row r="1952" spans="1:16" s="4" customFormat="1" x14ac:dyDescent="0.25">
      <c r="A1952" s="103">
        <v>19019</v>
      </c>
      <c r="B1952" s="51" t="str">
        <f>IF($A1952=0,"",VLOOKUP($A1952,'BASE EQUIPO'!$A:$D,2))</f>
        <v>TRANSPORTE DE MATERIAL</v>
      </c>
      <c r="C1952" s="52"/>
      <c r="D1952" s="82"/>
      <c r="E1952" s="78" t="str">
        <f>IF($A1952=0,"",VLOOKUP($A1952,'BASE EQUIPO'!$A:$D,3))</f>
        <v>GLOBAL</v>
      </c>
      <c r="F1952" s="55">
        <v>1</v>
      </c>
      <c r="G1952" s="83">
        <f>IF($A1952=0,"",VLOOKUP($A1952,'BASE EQUIPO'!$A:$D,4)*H1949)</f>
        <v>0.27179999999999999</v>
      </c>
      <c r="H1952" s="56">
        <f>IF($A1952=0,"",ROUND(F1952*G1952,2))</f>
        <v>0.27</v>
      </c>
      <c r="I1952" s="5"/>
    </row>
    <row r="1953" spans="1:15" s="4" customFormat="1" x14ac:dyDescent="0.25">
      <c r="A1953" s="103"/>
      <c r="B1953" s="38" t="str">
        <f>IF($A1953=0,"",VLOOKUP($A1953,'BASE EQUIPO'!$A:$D,2))</f>
        <v/>
      </c>
      <c r="C1953" s="2"/>
      <c r="D1953" s="84"/>
      <c r="E1953" s="78" t="str">
        <f>IF($A1953=0,"",VLOOKUP($A1953,'BASE EQUIPO'!$A:$D,3))</f>
        <v/>
      </c>
      <c r="F1953" s="55"/>
      <c r="G1953" s="55" t="str">
        <f>IF($A1953=0,"",VLOOKUP($A1953,'BASE EQUIPO'!$A:$D,4)*H1950)</f>
        <v/>
      </c>
      <c r="H1953" s="56" t="str">
        <f>IF($A1953=0,"",ROUND(F1953*G1953,2))</f>
        <v/>
      </c>
      <c r="I1953" s="5"/>
    </row>
    <row r="1954" spans="1:15" s="4" customFormat="1" x14ac:dyDescent="0.25">
      <c r="A1954" s="103"/>
      <c r="B1954" s="57" t="str">
        <f>IF($A1954=0,"",VLOOKUP($A1954,'BASE EQUIPO'!$A:$D,2))</f>
        <v/>
      </c>
      <c r="C1954" s="58"/>
      <c r="D1954" s="85"/>
      <c r="E1954" s="86" t="str">
        <f>IF($A1954=0,"",VLOOKUP($A1954,'BASE EQUIPO'!$A:$D,3))</f>
        <v/>
      </c>
      <c r="F1954" s="59"/>
      <c r="G1954" s="59" t="str">
        <f>IF($A1954=0,"",VLOOKUP($A1954,'BASE EQUIPO'!$A:$D,4)*H1951)</f>
        <v/>
      </c>
      <c r="H1954" s="60" t="str">
        <f>IF($A1954=0,"",ROUND(F1954*G1954,2))</f>
        <v/>
      </c>
      <c r="I1954" s="5"/>
    </row>
    <row r="1955" spans="1:15" s="4" customFormat="1" ht="15.75" thickBot="1" x14ac:dyDescent="0.3">
      <c r="A1955" s="103"/>
      <c r="B1955" s="87" t="s">
        <v>1674</v>
      </c>
      <c r="C1955" s="88"/>
      <c r="D1955" s="89"/>
      <c r="E1955" s="89"/>
      <c r="F1955" s="89"/>
      <c r="G1955" s="89"/>
      <c r="H1955" s="90">
        <f>ROUND(SUM(H1951:H1954),2)</f>
        <v>0.27</v>
      </c>
      <c r="I1955" s="5"/>
    </row>
    <row r="1956" spans="1:15" s="4" customFormat="1" ht="15.75" x14ac:dyDescent="0.25">
      <c r="A1956" s="103"/>
      <c r="B1956" s="2"/>
      <c r="C1956" s="2"/>
      <c r="D1956" s="91" t="s">
        <v>1673</v>
      </c>
      <c r="E1956" s="177"/>
      <c r="F1956" s="177"/>
      <c r="G1956" s="177"/>
      <c r="H1956" s="92">
        <f>ROUND(SUM(H1955,H1949,H1930,H1920),2)</f>
        <v>15.52</v>
      </c>
      <c r="I1956" s="5"/>
    </row>
    <row r="1957" spans="1:15" s="4" customFormat="1" ht="15.75" x14ac:dyDescent="0.25">
      <c r="A1957" s="103">
        <v>40002</v>
      </c>
      <c r="B1957" s="2"/>
      <c r="C1957" s="2"/>
      <c r="D1957" s="93" t="s">
        <v>1672</v>
      </c>
      <c r="E1957" s="166"/>
      <c r="F1957" s="166"/>
      <c r="G1957" s="178">
        <f>IF($A1957=0,"",VLOOKUP($A1957,'BASE MATERIAL'!$M:$P,4))</f>
        <v>0</v>
      </c>
      <c r="H1957" s="95">
        <f>IF($A1957=0,"",ROUND(G1957*H1956,2))</f>
        <v>0</v>
      </c>
      <c r="I1957" s="5"/>
    </row>
    <row r="1958" spans="1:15" s="4" customFormat="1" ht="15.75" x14ac:dyDescent="0.25">
      <c r="A1958" s="103">
        <v>40003</v>
      </c>
      <c r="B1958" s="2"/>
      <c r="C1958" s="2"/>
      <c r="D1958" s="93" t="s">
        <v>1671</v>
      </c>
      <c r="E1958" s="166"/>
      <c r="F1958" s="166"/>
      <c r="G1958" s="178">
        <f>IF($A1958=0,"",VLOOKUP($A1958,'BASE MATERIAL'!$M:$P,4))</f>
        <v>0</v>
      </c>
      <c r="H1958" s="95">
        <f>IF($A1958=0,"",ROUND(G1958*H1956,2))</f>
        <v>0</v>
      </c>
      <c r="I1958" s="5"/>
    </row>
    <row r="1959" spans="1:15" s="4" customFormat="1" ht="15.75" x14ac:dyDescent="0.25">
      <c r="A1959" s="103"/>
      <c r="B1959" s="2"/>
      <c r="C1959" s="2"/>
      <c r="D1959" s="93" t="s">
        <v>1670</v>
      </c>
      <c r="E1959" s="166"/>
      <c r="F1959" s="166"/>
      <c r="G1959" s="166"/>
      <c r="H1959" s="96">
        <f>ROUND(SUM(H1956:H1958),2)</f>
        <v>15.52</v>
      </c>
      <c r="I1959" s="5"/>
    </row>
    <row r="1960" spans="1:15" s="4" customFormat="1" ht="16.5" thickBot="1" x14ac:dyDescent="0.3">
      <c r="A1960" s="103"/>
      <c r="B1960" s="25"/>
      <c r="C1960" s="5"/>
      <c r="D1960" s="97" t="s">
        <v>1650</v>
      </c>
      <c r="E1960" s="179"/>
      <c r="F1960" s="179"/>
      <c r="G1960" s="179"/>
      <c r="H1960" s="98">
        <f>ROUND(H1959,2)</f>
        <v>15.52</v>
      </c>
      <c r="I1960" s="5"/>
    </row>
    <row r="1961" spans="1:15" ht="15.75" x14ac:dyDescent="0.25">
      <c r="B1961" s="34" t="s">
        <v>1701</v>
      </c>
      <c r="C1961" s="5"/>
      <c r="D1961" s="157" t="str">
        <f>'1.1'!$D$1</f>
        <v>ESPOL</v>
      </c>
      <c r="E1961" s="2"/>
      <c r="F1961" s="2"/>
      <c r="H1961" s="2" t="s">
        <v>108</v>
      </c>
      <c r="I1961" s="2"/>
      <c r="L1961" s="40">
        <f>A1965</f>
        <v>1</v>
      </c>
      <c r="M1961" s="1" t="str">
        <f>C1966</f>
        <v>Sellos de juntas constructivas de piso</v>
      </c>
      <c r="N1961" s="2" t="str">
        <f>H1965</f>
        <v>ml</v>
      </c>
      <c r="O1961" s="2">
        <f>H2016</f>
        <v>26.73</v>
      </c>
    </row>
    <row r="1962" spans="1:15" s="4" customFormat="1" ht="15.75" x14ac:dyDescent="0.25">
      <c r="A1962" s="103"/>
      <c r="B1962" s="34" t="s">
        <v>1700</v>
      </c>
      <c r="C1962" s="3">
        <f>'1.1'!$C$2</f>
        <v>0</v>
      </c>
      <c r="D1962" s="5"/>
      <c r="E1962" s="5"/>
      <c r="F1962" s="5"/>
      <c r="G1962" s="158" t="s">
        <v>1699</v>
      </c>
      <c r="H1962" s="159"/>
      <c r="I1962" s="5" t="s">
        <v>1698</v>
      </c>
    </row>
    <row r="1963" spans="1:15" s="4" customFormat="1" ht="15.75" x14ac:dyDescent="0.25">
      <c r="A1963" s="103"/>
      <c r="B1963" s="34"/>
      <c r="C1963" s="3">
        <f>'1.1'!$C$3</f>
        <v>0</v>
      </c>
      <c r="D1963" s="5"/>
      <c r="E1963" s="5"/>
      <c r="F1963" s="5"/>
      <c r="G1963" s="5"/>
      <c r="H1963" s="5"/>
      <c r="I1963" s="5"/>
    </row>
    <row r="1964" spans="1:15" s="4" customFormat="1" ht="15.75" x14ac:dyDescent="0.25">
      <c r="A1964" s="103"/>
      <c r="B1964" s="34" t="s">
        <v>1697</v>
      </c>
      <c r="C1964" s="3"/>
      <c r="D1964" s="5"/>
      <c r="E1964" s="5"/>
      <c r="F1964" s="5"/>
      <c r="G1964" s="5"/>
      <c r="H1964" s="5"/>
      <c r="I1964" s="5"/>
    </row>
    <row r="1965" spans="1:15" x14ac:dyDescent="0.25">
      <c r="A1965" s="104">
        <v>1</v>
      </c>
      <c r="B1965" s="2" t="s">
        <v>1586</v>
      </c>
      <c r="C1965" s="36" t="s">
        <v>663</v>
      </c>
      <c r="D1965" s="5"/>
      <c r="E1965" s="4"/>
      <c r="F1965" s="4"/>
      <c r="G1965" s="5" t="s">
        <v>1696</v>
      </c>
      <c r="H1965" s="157" t="s">
        <v>961</v>
      </c>
      <c r="I1965" s="2"/>
    </row>
    <row r="1966" spans="1:15" s="4" customFormat="1" x14ac:dyDescent="0.25">
      <c r="A1966" s="103"/>
      <c r="B1966" s="1" t="s">
        <v>1585</v>
      </c>
      <c r="C1966" s="36" t="s">
        <v>682</v>
      </c>
      <c r="D1966" s="5"/>
      <c r="E1966" s="5"/>
      <c r="F1966" s="5"/>
      <c r="G1966" s="5"/>
      <c r="H1966" s="5"/>
      <c r="I1966" s="5"/>
    </row>
    <row r="1967" spans="1:15" ht="15.75" thickBot="1" x14ac:dyDescent="0.3">
      <c r="D1967" s="2"/>
      <c r="E1967" s="2"/>
      <c r="F1967" s="2"/>
      <c r="G1967" s="2"/>
      <c r="H1967" s="2"/>
      <c r="I1967" s="2"/>
    </row>
    <row r="1968" spans="1:15" ht="15.75" thickBot="1" x14ac:dyDescent="0.3">
      <c r="B1968" s="43" t="s">
        <v>1695</v>
      </c>
      <c r="C1968" s="44"/>
      <c r="D1968" s="44"/>
      <c r="E1968" s="44"/>
      <c r="F1968" s="44"/>
      <c r="G1968" s="44"/>
      <c r="H1968" s="45"/>
      <c r="I1968" s="2"/>
    </row>
    <row r="1969" spans="1:9" ht="25.5" x14ac:dyDescent="0.25">
      <c r="B1969" s="46" t="s">
        <v>1409</v>
      </c>
      <c r="C1969" s="47"/>
      <c r="D1969" s="48" t="s">
        <v>1690</v>
      </c>
      <c r="E1969" s="48" t="s">
        <v>1694</v>
      </c>
      <c r="F1969" s="48" t="s">
        <v>1693</v>
      </c>
      <c r="G1969" s="49" t="s">
        <v>1687</v>
      </c>
      <c r="H1969" s="50" t="s">
        <v>1686</v>
      </c>
      <c r="I1969" s="2"/>
    </row>
    <row r="1970" spans="1:9" s="4" customFormat="1" x14ac:dyDescent="0.25">
      <c r="A1970" s="103">
        <v>19015</v>
      </c>
      <c r="B1970" s="51" t="str">
        <f>IF($A1970=0,"",VLOOKUP($A1970,'BASE EQUIPO'!$A:$D,2))</f>
        <v>HERRAMIENTA MENOR</v>
      </c>
      <c r="C1970" s="52"/>
      <c r="D1970" s="53">
        <v>1</v>
      </c>
      <c r="E1970" s="53">
        <f>IF($A1970=0,"",VLOOKUP($A1970,'BASE EQUIPO'!$A:$D,4)*H1986)</f>
        <v>0.28289999999999998</v>
      </c>
      <c r="F1970" s="53">
        <f t="shared" ref="F1970:F1975" si="176">IF($A1970=0,"",ROUND(D1970*E1970,2))</f>
        <v>0.28000000000000003</v>
      </c>
      <c r="G1970" s="105">
        <v>1</v>
      </c>
      <c r="H1970" s="54">
        <f t="shared" ref="H1970:H1975" si="177">IF($A1970=0,"",ROUND(G1970*F1970,2))</f>
        <v>0.28000000000000003</v>
      </c>
      <c r="I1970" s="5"/>
    </row>
    <row r="1971" spans="1:9" s="4" customFormat="1" x14ac:dyDescent="0.25">
      <c r="A1971" s="103"/>
      <c r="B1971" s="38"/>
      <c r="C1971" s="2"/>
      <c r="D1971" s="55"/>
      <c r="E1971" s="55"/>
      <c r="F1971" s="55" t="str">
        <f t="shared" si="176"/>
        <v/>
      </c>
      <c r="G1971" s="106"/>
      <c r="H1971" s="56" t="str">
        <f t="shared" si="177"/>
        <v/>
      </c>
      <c r="I1971" s="5"/>
    </row>
    <row r="1972" spans="1:9" s="4" customFormat="1" x14ac:dyDescent="0.25">
      <c r="A1972" s="103"/>
      <c r="B1972" s="38" t="str">
        <f>IF($A1972=0,"",VLOOKUP($A1972,'BASE EQUIPO'!$A:$D,2))</f>
        <v/>
      </c>
      <c r="C1972" s="2"/>
      <c r="D1972" s="55"/>
      <c r="E1972" s="55" t="str">
        <f>IF($A1972=0,"",VLOOKUP($A1972,'BASE EQUIPO'!$A:$D,4))</f>
        <v/>
      </c>
      <c r="F1972" s="55" t="str">
        <f t="shared" si="176"/>
        <v/>
      </c>
      <c r="G1972" s="106"/>
      <c r="H1972" s="56" t="str">
        <f t="shared" si="177"/>
        <v/>
      </c>
      <c r="I1972" s="5"/>
    </row>
    <row r="1973" spans="1:9" s="4" customFormat="1" x14ac:dyDescent="0.25">
      <c r="A1973" s="103"/>
      <c r="B1973" s="38" t="str">
        <f>IF($A1973=0,"",VLOOKUP($A1973,'BASE EQUIPO'!$A:$D,2))</f>
        <v/>
      </c>
      <c r="C1973" s="2"/>
      <c r="D1973" s="55"/>
      <c r="E1973" s="55" t="str">
        <f>IF($A1973=0,"",VLOOKUP($A1973,'BASE EQUIPO'!$A:$D,4))</f>
        <v/>
      </c>
      <c r="F1973" s="55" t="str">
        <f t="shared" si="176"/>
        <v/>
      </c>
      <c r="G1973" s="106"/>
      <c r="H1973" s="56" t="str">
        <f t="shared" si="177"/>
        <v/>
      </c>
      <c r="I1973" s="5"/>
    </row>
    <row r="1974" spans="1:9" s="4" customFormat="1" x14ac:dyDescent="0.25">
      <c r="A1974" s="103"/>
      <c r="B1974" s="38" t="str">
        <f>IF($A1974=0,"",VLOOKUP($A1974,'BASE EQUIPO'!$A:$D,2))</f>
        <v/>
      </c>
      <c r="C1974" s="2"/>
      <c r="D1974" s="55"/>
      <c r="E1974" s="55" t="str">
        <f>IF($A1974=0,"",VLOOKUP($A1974,'BASE EQUIPO'!$A:$D,4))</f>
        <v/>
      </c>
      <c r="F1974" s="55" t="str">
        <f t="shared" si="176"/>
        <v/>
      </c>
      <c r="G1974" s="106"/>
      <c r="H1974" s="56" t="str">
        <f t="shared" si="177"/>
        <v/>
      </c>
      <c r="I1974" s="5"/>
    </row>
    <row r="1975" spans="1:9" s="4" customFormat="1" x14ac:dyDescent="0.25">
      <c r="A1975" s="103"/>
      <c r="B1975" s="57" t="str">
        <f>IF($A1975=0,"",VLOOKUP($A1975,'BASE EQUIPO'!$A:$D,2))</f>
        <v/>
      </c>
      <c r="C1975" s="58"/>
      <c r="D1975" s="59"/>
      <c r="E1975" s="59" t="str">
        <f>IF($A1975=0,"",VLOOKUP($A1975,'BASE EQUIPO'!$A:$D,4))</f>
        <v/>
      </c>
      <c r="F1975" s="59" t="str">
        <f t="shared" si="176"/>
        <v/>
      </c>
      <c r="G1975" s="107"/>
      <c r="H1975" s="60" t="str">
        <f t="shared" si="177"/>
        <v/>
      </c>
      <c r="I1975" s="5"/>
    </row>
    <row r="1976" spans="1:9" s="4" customFormat="1" x14ac:dyDescent="0.25">
      <c r="A1976" s="103"/>
      <c r="B1976" s="57" t="s">
        <v>1692</v>
      </c>
      <c r="C1976" s="58"/>
      <c r="D1976" s="61"/>
      <c r="E1976" s="61"/>
      <c r="F1976" s="61"/>
      <c r="G1976" s="62"/>
      <c r="H1976" s="60">
        <f>ROUND(SUM(H1969:H1975),2)</f>
        <v>0.28000000000000003</v>
      </c>
      <c r="I1976" s="5"/>
    </row>
    <row r="1977" spans="1:9" s="4" customFormat="1" x14ac:dyDescent="0.25">
      <c r="A1977" s="103"/>
      <c r="B1977" s="38" t="s">
        <v>1503</v>
      </c>
      <c r="C1977" s="2"/>
      <c r="D1977" s="3"/>
      <c r="E1977" s="3"/>
      <c r="F1977" s="3"/>
      <c r="G1977" s="63"/>
      <c r="H1977" s="56"/>
      <c r="I1977" s="5"/>
    </row>
    <row r="1978" spans="1:9" ht="25.5" x14ac:dyDescent="0.25">
      <c r="B1978" s="64" t="s">
        <v>1691</v>
      </c>
      <c r="C1978" s="65"/>
      <c r="D1978" s="66" t="s">
        <v>1690</v>
      </c>
      <c r="E1978" s="66" t="s">
        <v>1689</v>
      </c>
      <c r="F1978" s="66" t="s">
        <v>1688</v>
      </c>
      <c r="G1978" s="67" t="s">
        <v>1687</v>
      </c>
      <c r="H1978" s="68" t="s">
        <v>1686</v>
      </c>
      <c r="I1978" s="2"/>
    </row>
    <row r="1979" spans="1:9" s="4" customFormat="1" x14ac:dyDescent="0.25">
      <c r="A1979" s="103">
        <v>20001</v>
      </c>
      <c r="B1979" s="69" t="str">
        <f>IF($A1979=0,"",VLOOKUP($A1979,'BASE M-OBRA'!$A:$D,2))</f>
        <v>MAESTRO</v>
      </c>
      <c r="C1979" s="2"/>
      <c r="D1979" s="108">
        <v>1</v>
      </c>
      <c r="E1979" s="70">
        <f>IF($A1979=0,"",VLOOKUP($A1979,'BASE M-OBRA'!$A:$D,4))</f>
        <v>3.02</v>
      </c>
      <c r="F1979" s="55">
        <f t="shared" ref="F1979:F1985" si="178">IF($A1979=0,"",ROUND(D1979*E1979,2))</f>
        <v>3.02</v>
      </c>
      <c r="G1979" s="106">
        <f>IF($A1979=0,"",ROUND(H1979/F1979,2))</f>
        <v>0.52</v>
      </c>
      <c r="H1979" s="56">
        <f>IF($A1979=0,"",ROUND(SUM(H1980:H1985)*'BASE M-OBRA'!$D$23,2))</f>
        <v>1.57</v>
      </c>
      <c r="I1979" s="5"/>
    </row>
    <row r="1980" spans="1:9" s="4" customFormat="1" x14ac:dyDescent="0.25">
      <c r="A1980" s="103">
        <v>20002</v>
      </c>
      <c r="B1980" s="69" t="str">
        <f>IF($A1980=0,"",VLOOKUP($A1980,'BASE M-OBRA'!$A:$D,2))</f>
        <v>PEON</v>
      </c>
      <c r="C1980" s="2"/>
      <c r="D1980" s="108">
        <v>2</v>
      </c>
      <c r="E1980" s="70">
        <f>IF($A1980=0,"",VLOOKUP($A1980,'BASE M-OBRA'!$A:$D,4))</f>
        <v>2.79</v>
      </c>
      <c r="F1980" s="55">
        <f t="shared" si="178"/>
        <v>5.58</v>
      </c>
      <c r="G1980" s="106">
        <v>0.7</v>
      </c>
      <c r="H1980" s="56">
        <f t="shared" ref="H1980:H1985" si="179">IF($A1980=0,"",ROUND(G1980*F1980,2))</f>
        <v>3.91</v>
      </c>
      <c r="I1980" s="5"/>
    </row>
    <row r="1981" spans="1:9" s="4" customFormat="1" x14ac:dyDescent="0.25">
      <c r="A1981" s="103">
        <v>20003</v>
      </c>
      <c r="B1981" s="69" t="str">
        <f>IF($A1981=0,"",VLOOKUP($A1981,'BASE M-OBRA'!$A:$D,2))</f>
        <v>ALBAÑIL</v>
      </c>
      <c r="C1981" s="2"/>
      <c r="D1981" s="108">
        <v>2</v>
      </c>
      <c r="E1981" s="70">
        <f>IF($A1981=0,"",VLOOKUP($A1981,'BASE M-OBRA'!$A:$D,4))</f>
        <v>2.82</v>
      </c>
      <c r="F1981" s="55">
        <f t="shared" si="178"/>
        <v>5.64</v>
      </c>
      <c r="G1981" s="106">
        <f>+G1980</f>
        <v>0.7</v>
      </c>
      <c r="H1981" s="56">
        <f t="shared" si="179"/>
        <v>3.95</v>
      </c>
      <c r="I1981" s="5"/>
    </row>
    <row r="1982" spans="1:9" s="4" customFormat="1" x14ac:dyDescent="0.25">
      <c r="A1982" s="103"/>
      <c r="B1982" s="71" t="str">
        <f>IF($A1982=0,"",VLOOKUP($A1982,'BASE M-OBRA'!$A:$D,2))</f>
        <v/>
      </c>
      <c r="C1982" s="2"/>
      <c r="D1982" s="108"/>
      <c r="E1982" s="70" t="str">
        <f>IF($A1982=0,"",VLOOKUP($A1982,'BASE M-OBRA'!$A:$D,4))</f>
        <v/>
      </c>
      <c r="F1982" s="55" t="str">
        <f t="shared" si="178"/>
        <v/>
      </c>
      <c r="G1982" s="106"/>
      <c r="H1982" s="56" t="str">
        <f t="shared" si="179"/>
        <v/>
      </c>
      <c r="I1982" s="5"/>
    </row>
    <row r="1983" spans="1:9" s="4" customFormat="1" x14ac:dyDescent="0.25">
      <c r="A1983" s="103"/>
      <c r="B1983" s="72" t="str">
        <f>IF($A1983=0,"",VLOOKUP($A1983,'BASE M-OBRA'!$A:$D,2))</f>
        <v/>
      </c>
      <c r="C1983" s="2"/>
      <c r="D1983" s="108"/>
      <c r="E1983" s="70" t="str">
        <f>IF($A1983=0,"",VLOOKUP($A1983,'BASE M-OBRA'!$A:$D,4))</f>
        <v/>
      </c>
      <c r="F1983" s="55" t="str">
        <f t="shared" si="178"/>
        <v/>
      </c>
      <c r="G1983" s="106"/>
      <c r="H1983" s="56" t="str">
        <f t="shared" si="179"/>
        <v/>
      </c>
      <c r="I1983" s="5"/>
    </row>
    <row r="1984" spans="1:9" s="4" customFormat="1" x14ac:dyDescent="0.25">
      <c r="A1984" s="103"/>
      <c r="B1984" s="38" t="str">
        <f>IF($A1984=0,"",VLOOKUP($A1984,'BASE M-OBRA'!$A:$D,2))</f>
        <v/>
      </c>
      <c r="C1984" s="2"/>
      <c r="D1984" s="55"/>
      <c r="E1984" s="55" t="str">
        <f>IF($A1984=0,"",VLOOKUP($A1984,'BASE M-OBRA'!$A:$D,4))</f>
        <v/>
      </c>
      <c r="F1984" s="55" t="str">
        <f t="shared" si="178"/>
        <v/>
      </c>
      <c r="G1984" s="106"/>
      <c r="H1984" s="56" t="str">
        <f t="shared" si="179"/>
        <v/>
      </c>
      <c r="I1984" s="5"/>
    </row>
    <row r="1985" spans="1:16" s="4" customFormat="1" x14ac:dyDescent="0.25">
      <c r="A1985" s="103"/>
      <c r="B1985" s="57" t="str">
        <f>IF($A1985=0,"",VLOOKUP($A1985,'BASE M-OBRA'!$A:$D,2))</f>
        <v/>
      </c>
      <c r="C1985" s="58"/>
      <c r="D1985" s="59"/>
      <c r="E1985" s="59" t="str">
        <f>IF($A1985=0,"",VLOOKUP($A1985,'BASE M-OBRA'!$A:$D,4))</f>
        <v/>
      </c>
      <c r="F1985" s="59" t="str">
        <f t="shared" si="178"/>
        <v/>
      </c>
      <c r="G1985" s="107"/>
      <c r="H1985" s="60" t="str">
        <f t="shared" si="179"/>
        <v/>
      </c>
      <c r="I1985" s="5"/>
    </row>
    <row r="1986" spans="1:16" s="4" customFormat="1" x14ac:dyDescent="0.25">
      <c r="A1986" s="103"/>
      <c r="B1986" s="73" t="s">
        <v>1685</v>
      </c>
      <c r="C1986" s="65"/>
      <c r="D1986" s="74"/>
      <c r="E1986" s="74"/>
      <c r="F1986" s="74"/>
      <c r="G1986" s="74"/>
      <c r="H1986" s="75">
        <f>ROUND(SUM(H1978:H1985),2)</f>
        <v>9.43</v>
      </c>
      <c r="I1986" s="5"/>
    </row>
    <row r="1987" spans="1:16" s="4" customFormat="1" x14ac:dyDescent="0.25">
      <c r="A1987" s="103"/>
      <c r="B1987" s="38" t="s">
        <v>1684</v>
      </c>
      <c r="C1987" s="2"/>
      <c r="D1987" s="3"/>
      <c r="E1987" s="3"/>
      <c r="F1987" s="3"/>
      <c r="G1987" s="3"/>
      <c r="H1987" s="56"/>
      <c r="I1987" s="5"/>
    </row>
    <row r="1988" spans="1:16" ht="25.5" x14ac:dyDescent="0.25">
      <c r="B1988" s="64" t="s">
        <v>1409</v>
      </c>
      <c r="C1988" s="65"/>
      <c r="D1988" s="76"/>
      <c r="E1988" s="66" t="s">
        <v>1408</v>
      </c>
      <c r="F1988" s="66" t="s">
        <v>1679</v>
      </c>
      <c r="G1988" s="66" t="s">
        <v>1683</v>
      </c>
      <c r="H1988" s="68" t="s">
        <v>1675</v>
      </c>
      <c r="I1988" s="2"/>
    </row>
    <row r="1989" spans="1:16" s="4" customFormat="1" x14ac:dyDescent="0.25">
      <c r="A1989" s="103">
        <v>14035</v>
      </c>
      <c r="B1989" s="37" t="str">
        <f>IF($A1989=0,"",VLOOKUP($A1989,'BASE MATERIAL'!$A:$D,2))</f>
        <v>Sellante elastomerico</v>
      </c>
      <c r="C1989" s="2"/>
      <c r="D1989" s="77"/>
      <c r="E1989" s="78" t="str">
        <f>IF($A1989=0,"",VLOOKUP($A1989,'BASE MATERIAL'!$A:$D,3))</f>
        <v>cartucho</v>
      </c>
      <c r="F1989" s="113">
        <f>0.6*2</f>
        <v>1.2</v>
      </c>
      <c r="G1989" s="55">
        <f>IF($A1989=0,"",VLOOKUP($A1989,'BASE MATERIAL'!$A:$D,4))</f>
        <v>8</v>
      </c>
      <c r="H1989" s="56">
        <f t="shared" ref="H1989:H2003" si="180">IF($A1989=0,"",ROUND(F1989*G1989,2))</f>
        <v>9.6</v>
      </c>
      <c r="I1989" s="5"/>
      <c r="J1989" s="4">
        <f>28.87*1.12/(1.22*2.44)</f>
        <v>10.862133834990596</v>
      </c>
      <c r="K1989" s="4">
        <v>2</v>
      </c>
      <c r="L1989" s="5"/>
      <c r="M1989" s="5"/>
      <c r="N1989" s="160"/>
      <c r="O1989" s="5"/>
      <c r="P1989" s="5"/>
    </row>
    <row r="1990" spans="1:16" s="4" customFormat="1" x14ac:dyDescent="0.25">
      <c r="A1990" s="103">
        <v>14036</v>
      </c>
      <c r="B1990" s="38" t="str">
        <f>IF($A1990=0,"",VLOOKUP($A1990,'BASE MATERIAL'!$A:$D,2))</f>
        <v>Rudón (Back rod) de 1-1/2"</v>
      </c>
      <c r="C1990" s="2"/>
      <c r="D1990" s="77"/>
      <c r="E1990" s="78" t="str">
        <f>IF($A1990=0,"",VLOOKUP($A1990,'BASE MATERIAL'!$A:$D,3))</f>
        <v>ML</v>
      </c>
      <c r="F1990" s="113">
        <f>1.1*2</f>
        <v>2.2000000000000002</v>
      </c>
      <c r="G1990" s="55">
        <f>IF($A1990=0,"",VLOOKUP($A1990,'BASE MATERIAL'!$A:$D,4))</f>
        <v>2</v>
      </c>
      <c r="H1990" s="56">
        <f t="shared" si="180"/>
        <v>4.4000000000000004</v>
      </c>
      <c r="I1990" s="5"/>
      <c r="J1990" s="4">
        <f>1*2/J1989</f>
        <v>0.18412588450690284</v>
      </c>
      <c r="L1990" s="5"/>
      <c r="M1990" s="5"/>
      <c r="N1990" s="160"/>
      <c r="O1990" s="5"/>
      <c r="P1990" s="5"/>
    </row>
    <row r="1991" spans="1:16" s="4" customFormat="1" x14ac:dyDescent="0.25">
      <c r="A1991" s="103">
        <v>14037</v>
      </c>
      <c r="B1991" s="38" t="str">
        <f>IF($A1991=0,"",VLOOKUP($A1991,'BASE MATERIAL'!$A:$D,2))</f>
        <v>Cinta para enmascarar (1")</v>
      </c>
      <c r="C1991" s="2"/>
      <c r="D1991" s="77"/>
      <c r="E1991" s="78" t="str">
        <f>IF($A1991=0,"",VLOOKUP($A1991,'BASE MATERIAL'!$A:$D,3))</f>
        <v>rollo</v>
      </c>
      <c r="F1991" s="113">
        <f>0.02*2</f>
        <v>0.04</v>
      </c>
      <c r="G1991" s="55">
        <f>IF($A1991=0,"",VLOOKUP($A1991,'BASE MATERIAL'!$A:$D,4))</f>
        <v>3</v>
      </c>
      <c r="H1991" s="56">
        <f t="shared" si="180"/>
        <v>0.12</v>
      </c>
      <c r="I1991" s="5"/>
      <c r="J1991" s="4" t="s">
        <v>1710</v>
      </c>
      <c r="K1991" s="4">
        <f>5.4*4</f>
        <v>21.6</v>
      </c>
      <c r="L1991" s="5"/>
      <c r="M1991" s="5"/>
      <c r="N1991" s="160"/>
      <c r="O1991" s="5"/>
      <c r="P1991" s="5"/>
    </row>
    <row r="1992" spans="1:16" s="4" customFormat="1" x14ac:dyDescent="0.25">
      <c r="A1992" s="103">
        <v>14038</v>
      </c>
      <c r="B1992" s="38" t="str">
        <f>IF($A1992=0,"",VLOOKUP($A1992,'BASE MATERIAL'!$A:$D,2))</f>
        <v>Tapajuntas de aluminio a= 0,095m</v>
      </c>
      <c r="C1992" s="2"/>
      <c r="D1992" s="77"/>
      <c r="E1992" s="78" t="str">
        <f>IF($A1992=0,"",VLOOKUP($A1992,'BASE MATERIAL'!$A:$D,3))</f>
        <v>ML</v>
      </c>
      <c r="F1992" s="113">
        <v>1</v>
      </c>
      <c r="G1992" s="55">
        <f>IF($A1992=0,"",VLOOKUP($A1992,'BASE MATERIAL'!$A:$D,4))</f>
        <v>2</v>
      </c>
      <c r="H1992" s="56">
        <f t="shared" si="180"/>
        <v>2</v>
      </c>
      <c r="I1992" s="5"/>
      <c r="J1992" s="4" t="s">
        <v>1709</v>
      </c>
      <c r="K1992" s="4">
        <f>14.9*4</f>
        <v>59.6</v>
      </c>
      <c r="L1992" s="5"/>
      <c r="M1992" s="5"/>
      <c r="N1992" s="160"/>
      <c r="O1992" s="5"/>
      <c r="P1992" s="5"/>
    </row>
    <row r="1993" spans="1:16" s="4" customFormat="1" x14ac:dyDescent="0.25">
      <c r="A1993" s="103">
        <v>14039</v>
      </c>
      <c r="B1993" s="38" t="str">
        <f>IF($A1993=0,"",VLOOKUP($A1993,'BASE MATERIAL'!$A:$D,2))</f>
        <v>Tornillos</v>
      </c>
      <c r="C1993" s="2"/>
      <c r="D1993" s="77"/>
      <c r="E1993" s="78" t="str">
        <f>IF($A1993=0,"",VLOOKUP($A1993,'BASE MATERIAL'!$A:$D,3))</f>
        <v>U</v>
      </c>
      <c r="F1993" s="113">
        <v>10</v>
      </c>
      <c r="G1993" s="55">
        <f>IF($A1993=0,"",VLOOKUP($A1993,'BASE MATERIAL'!$A:$D,4))</f>
        <v>0.04</v>
      </c>
      <c r="H1993" s="56">
        <f t="shared" si="180"/>
        <v>0.4</v>
      </c>
      <c r="I1993" s="5"/>
      <c r="K1993" s="4">
        <f>21.6*15.78</f>
        <v>340.84800000000001</v>
      </c>
      <c r="L1993" s="5"/>
      <c r="M1993" s="5"/>
      <c r="N1993" s="160"/>
      <c r="O1993" s="5"/>
      <c r="P1993" s="5"/>
    </row>
    <row r="1994" spans="1:16" s="4" customFormat="1" x14ac:dyDescent="0.25">
      <c r="A1994" s="103"/>
      <c r="B1994" s="38" t="str">
        <f>IF($A1994=0,"",VLOOKUP($A1994,'BASE MATERIAL'!$A:$D,2))</f>
        <v/>
      </c>
      <c r="C1994" s="2"/>
      <c r="D1994" s="77"/>
      <c r="E1994" s="78" t="str">
        <f>IF($A1994=0,"",VLOOKUP($A1994,'BASE MATERIAL'!$A:$D,3))</f>
        <v/>
      </c>
      <c r="F1994" s="113"/>
      <c r="G1994" s="55" t="str">
        <f>IF($A1994=0,"",VLOOKUP($A1994,'BASE MATERIAL'!$A:$D,4))</f>
        <v/>
      </c>
      <c r="H1994" s="56" t="str">
        <f t="shared" si="180"/>
        <v/>
      </c>
      <c r="I1994" s="5"/>
      <c r="J1994" s="279">
        <f>1*1/K1993</f>
        <v>2.9338590808806269E-3</v>
      </c>
      <c r="L1994" s="5"/>
      <c r="M1994" s="5"/>
      <c r="N1994" s="160"/>
      <c r="O1994" s="5"/>
      <c r="P1994" s="5"/>
    </row>
    <row r="1995" spans="1:16" s="4" customFormat="1" x14ac:dyDescent="0.25">
      <c r="A1995" s="103"/>
      <c r="B1995" s="38" t="str">
        <f>IF($A1995=0,"",VLOOKUP($A1995,'BASE MATERIAL'!$A:$D,2))</f>
        <v/>
      </c>
      <c r="C1995" s="2"/>
      <c r="D1995" s="77"/>
      <c r="E1995" s="78" t="str">
        <f>IF($A1995=0,"",VLOOKUP($A1995,'BASE MATERIAL'!$A:$D,3))</f>
        <v/>
      </c>
      <c r="F1995" s="55"/>
      <c r="G1995" s="55" t="str">
        <f>IF($A1995=0,"",VLOOKUP($A1995,'BASE MATERIAL'!$A:$D,4))</f>
        <v/>
      </c>
      <c r="H1995" s="56" t="str">
        <f t="shared" si="180"/>
        <v/>
      </c>
      <c r="I1995" s="5"/>
      <c r="K1995" s="4">
        <f>59.6*15.78</f>
        <v>940.48799999999994</v>
      </c>
      <c r="L1995" s="5"/>
      <c r="M1995" s="5"/>
      <c r="N1995" s="160"/>
      <c r="O1995" s="5"/>
      <c r="P1995" s="5"/>
    </row>
    <row r="1996" spans="1:16" s="4" customFormat="1" x14ac:dyDescent="0.25">
      <c r="A1996" s="103"/>
      <c r="B1996" s="38" t="str">
        <f>IF($A1996=0,"",VLOOKUP($A1996,'BASE MATERIAL'!$A:$D,2))</f>
        <v/>
      </c>
      <c r="C1996" s="2"/>
      <c r="D1996" s="77"/>
      <c r="E1996" s="78" t="str">
        <f>IF($A1996=0,"",VLOOKUP($A1996,'BASE MATERIAL'!$A:$D,3))</f>
        <v/>
      </c>
      <c r="F1996" s="55"/>
      <c r="G1996" s="55" t="str">
        <f>IF($A1996=0,"",VLOOKUP($A1996,'BASE MATERIAL'!$A:$D,4))</f>
        <v/>
      </c>
      <c r="H1996" s="56" t="str">
        <f t="shared" si="180"/>
        <v/>
      </c>
      <c r="I1996" s="5"/>
      <c r="J1996" s="279">
        <f>1*2.3/K1995</f>
        <v>2.4455389117139185E-3</v>
      </c>
      <c r="L1996" s="5"/>
      <c r="M1996" s="5"/>
      <c r="N1996" s="160"/>
      <c r="O1996" s="5"/>
      <c r="P1996" s="5"/>
    </row>
    <row r="1997" spans="1:16" s="4" customFormat="1" x14ac:dyDescent="0.25">
      <c r="A1997" s="103"/>
      <c r="B1997" s="38" t="str">
        <f>IF($A1997=0,"",VLOOKUP($A1997,'BASE MATERIAL'!$A:$D,2))</f>
        <v/>
      </c>
      <c r="C1997" s="2"/>
      <c r="D1997" s="77"/>
      <c r="E1997" s="78" t="str">
        <f>IF($A1997=0,"",VLOOKUP($A1997,'BASE MATERIAL'!$A:$D,3))</f>
        <v/>
      </c>
      <c r="F1997" s="55"/>
      <c r="G1997" s="55" t="str">
        <f>IF($A1997=0,"",VLOOKUP($A1997,'BASE MATERIAL'!$A:$D,4))</f>
        <v/>
      </c>
      <c r="H1997" s="56" t="str">
        <f t="shared" si="180"/>
        <v/>
      </c>
      <c r="I1997" s="5"/>
      <c r="J1997" s="4">
        <f>80/35</f>
        <v>2.2857142857142856</v>
      </c>
    </row>
    <row r="1998" spans="1:16" s="4" customFormat="1" x14ac:dyDescent="0.25">
      <c r="A1998" s="103"/>
      <c r="B1998" s="38" t="str">
        <f>IF($A1998=0,"",VLOOKUP($A1998,'BASE MATERIAL'!$A:$D,2))</f>
        <v/>
      </c>
      <c r="C1998" s="2"/>
      <c r="D1998" s="77"/>
      <c r="E1998" s="78" t="str">
        <f>IF($A1998=0,"",VLOOKUP($A1998,'BASE MATERIAL'!$A:$D,3))</f>
        <v/>
      </c>
      <c r="F1998" s="55"/>
      <c r="G1998" s="55" t="str">
        <f>IF($A1998=0,"",VLOOKUP($A1998,'BASE MATERIAL'!$A:$D,4))</f>
        <v/>
      </c>
      <c r="H1998" s="56" t="str">
        <f t="shared" si="180"/>
        <v/>
      </c>
      <c r="I1998" s="5"/>
      <c r="J1998" s="4">
        <f>30/7</f>
        <v>4.2857142857142856</v>
      </c>
      <c r="L1998" s="5"/>
      <c r="M1998" s="5"/>
      <c r="N1998" s="160"/>
      <c r="O1998" s="5"/>
      <c r="P1998" s="5"/>
    </row>
    <row r="1999" spans="1:16" s="4" customFormat="1" x14ac:dyDescent="0.25">
      <c r="A1999" s="103"/>
      <c r="B1999" s="38" t="str">
        <f>IF($A1999=0,"",VLOOKUP($A1999,'BASE MATERIAL'!$A:$D,2))</f>
        <v/>
      </c>
      <c r="C1999" s="2"/>
      <c r="D1999" s="77"/>
      <c r="E1999" s="78" t="str">
        <f>IF($A1999=0,"",VLOOKUP($A1999,'BASE MATERIAL'!$A:$D,3))</f>
        <v/>
      </c>
      <c r="F1999" s="55"/>
      <c r="G1999" s="55" t="str">
        <f>IF($A1999=0,"",VLOOKUP($A1999,'BASE MATERIAL'!$A:$D,4))</f>
        <v/>
      </c>
      <c r="H1999" s="56" t="str">
        <f t="shared" si="180"/>
        <v/>
      </c>
      <c r="I1999" s="5"/>
      <c r="J1999" s="4">
        <f>+J1998*5</f>
        <v>21.428571428571427</v>
      </c>
      <c r="L1999" s="5"/>
      <c r="M1999" s="5"/>
      <c r="N1999" s="160"/>
      <c r="O1999" s="5"/>
      <c r="P1999" s="5"/>
    </row>
    <row r="2000" spans="1:16" s="4" customFormat="1" x14ac:dyDescent="0.25">
      <c r="A2000" s="103"/>
      <c r="B2000" s="38" t="str">
        <f>IF($A2000=0,"",VLOOKUP($A2000,'BASE MATERIAL'!$A:$D,2))</f>
        <v/>
      </c>
      <c r="C2000" s="2"/>
      <c r="D2000" s="77"/>
      <c r="E2000" s="78" t="str">
        <f>IF($A2000=0,"",VLOOKUP($A2000,'BASE MATERIAL'!$A:$D,3))</f>
        <v/>
      </c>
      <c r="F2000" s="55"/>
      <c r="G2000" s="55" t="str">
        <f>IF($A2000=0,"",VLOOKUP($A2000,'BASE MATERIAL'!$A:$D,4))</f>
        <v/>
      </c>
      <c r="H2000" s="56" t="str">
        <f t="shared" si="180"/>
        <v/>
      </c>
      <c r="I2000" s="5"/>
    </row>
    <row r="2001" spans="1:9" s="4" customFormat="1" x14ac:dyDescent="0.25">
      <c r="A2001" s="103"/>
      <c r="B2001" s="38" t="str">
        <f>IF($A2001=0,"",VLOOKUP($A2001,'BASE MATERIAL'!$A:$D,2))</f>
        <v/>
      </c>
      <c r="C2001" s="2"/>
      <c r="D2001" s="77"/>
      <c r="E2001" s="78" t="str">
        <f>IF($A2001=0,"",VLOOKUP($A2001,'BASE MATERIAL'!$A:$D,3))</f>
        <v/>
      </c>
      <c r="F2001" s="55"/>
      <c r="G2001" s="55" t="str">
        <f>IF($A2001=0,"",VLOOKUP($A2001,'BASE MATERIAL'!$A:$D,4))</f>
        <v/>
      </c>
      <c r="H2001" s="56" t="str">
        <f t="shared" si="180"/>
        <v/>
      </c>
      <c r="I2001" s="5"/>
    </row>
    <row r="2002" spans="1:9" s="4" customFormat="1" x14ac:dyDescent="0.25">
      <c r="A2002" s="103"/>
      <c r="B2002" s="38" t="str">
        <f>IF($A2002=0,"",VLOOKUP($A2002,'BASE MATERIAL'!$A:$D,2))</f>
        <v/>
      </c>
      <c r="C2002" s="2"/>
      <c r="D2002" s="77"/>
      <c r="E2002" s="78" t="str">
        <f>IF($A2002=0,"",VLOOKUP($A2002,'BASE MATERIAL'!$A:$D,3))</f>
        <v/>
      </c>
      <c r="F2002" s="55"/>
      <c r="G2002" s="55" t="str">
        <f>IF($A2002=0,"",VLOOKUP($A2002,'BASE MATERIAL'!$A:$D,4))</f>
        <v/>
      </c>
      <c r="H2002" s="56" t="str">
        <f t="shared" si="180"/>
        <v/>
      </c>
      <c r="I2002" s="5"/>
    </row>
    <row r="2003" spans="1:9" s="4" customFormat="1" x14ac:dyDescent="0.25">
      <c r="A2003" s="103"/>
      <c r="B2003" s="38" t="str">
        <f>IF($A2003=0,"",VLOOKUP($A2003,'BASE MATERIAL'!$A:$D,2))</f>
        <v/>
      </c>
      <c r="C2003" s="2"/>
      <c r="D2003" s="77"/>
      <c r="E2003" s="78" t="str">
        <f>IF($A2003=0,"",VLOOKUP($A2003,'BASE MATERIAL'!$A:$D,3))</f>
        <v/>
      </c>
      <c r="F2003" s="55"/>
      <c r="G2003" s="55" t="str">
        <f>IF($A2003=0,"",VLOOKUP($A2003,'BASE MATERIAL'!$A:$D,4))</f>
        <v/>
      </c>
      <c r="H2003" s="56" t="str">
        <f t="shared" si="180"/>
        <v/>
      </c>
      <c r="I2003" s="5"/>
    </row>
    <row r="2004" spans="1:9" s="4" customFormat="1" x14ac:dyDescent="0.25">
      <c r="A2004" s="103"/>
      <c r="B2004" s="38" t="str">
        <f>IF($A2004=0,"",VLOOKUP($A2004,'BASE MATERIAL'!$A:$D,2))</f>
        <v/>
      </c>
      <c r="C2004" s="2"/>
      <c r="D2004" s="81" t="s">
        <v>1682</v>
      </c>
      <c r="E2004" s="55" t="str">
        <f>IF($A2004=0,"",VLOOKUP($A2004,'BASE MATERIAL'!$A:$D,3))</f>
        <v/>
      </c>
      <c r="F2004" s="55" t="s">
        <v>1682</v>
      </c>
      <c r="G2004" s="55" t="str">
        <f>IF($A2004=0,"",VLOOKUP($A2004,'BASE MATERIAL'!$A:$D,4))</f>
        <v/>
      </c>
      <c r="H2004" s="56" t="str">
        <f>IF($A2004=0,"",ROUND(E2004*F2004,2))</f>
        <v/>
      </c>
      <c r="I2004" s="5"/>
    </row>
    <row r="2005" spans="1:9" s="4" customFormat="1" x14ac:dyDescent="0.25">
      <c r="A2005" s="103"/>
      <c r="B2005" s="73" t="s">
        <v>1681</v>
      </c>
      <c r="C2005" s="65"/>
      <c r="D2005" s="74"/>
      <c r="E2005" s="74"/>
      <c r="F2005" s="74"/>
      <c r="G2005" s="74"/>
      <c r="H2005" s="75">
        <f>ROUND(SUM(H1988:H2004),2)</f>
        <v>16.52</v>
      </c>
      <c r="I2005" s="5"/>
    </row>
    <row r="2006" spans="1:9" s="4" customFormat="1" x14ac:dyDescent="0.25">
      <c r="A2006" s="103"/>
      <c r="B2006" s="38" t="s">
        <v>1680</v>
      </c>
      <c r="C2006" s="2"/>
      <c r="D2006" s="3"/>
      <c r="E2006" s="3"/>
      <c r="F2006" s="3"/>
      <c r="G2006" s="3"/>
      <c r="H2006" s="56"/>
      <c r="I2006" s="5"/>
    </row>
    <row r="2007" spans="1:9" ht="25.5" x14ac:dyDescent="0.25">
      <c r="B2007" s="64" t="s">
        <v>1409</v>
      </c>
      <c r="C2007" s="65"/>
      <c r="D2007" s="76"/>
      <c r="E2007" s="66" t="s">
        <v>1408</v>
      </c>
      <c r="F2007" s="66" t="s">
        <v>1679</v>
      </c>
      <c r="G2007" s="66" t="s">
        <v>1676</v>
      </c>
      <c r="H2007" s="68" t="s">
        <v>1675</v>
      </c>
      <c r="I2007" s="2"/>
    </row>
    <row r="2008" spans="1:9" s="4" customFormat="1" x14ac:dyDescent="0.25">
      <c r="A2008" s="103">
        <v>19019</v>
      </c>
      <c r="B2008" s="51" t="str">
        <f>IF($A2008=0,"",VLOOKUP($A2008,'BASE EQUIPO'!$A:$D,2))</f>
        <v>TRANSPORTE DE MATERIAL</v>
      </c>
      <c r="C2008" s="52"/>
      <c r="D2008" s="82"/>
      <c r="E2008" s="78" t="str">
        <f>IF($A2008=0,"",VLOOKUP($A2008,'BASE EQUIPO'!$A:$D,3))</f>
        <v>GLOBAL</v>
      </c>
      <c r="F2008" s="55">
        <v>1</v>
      </c>
      <c r="G2008" s="83">
        <f>IF($A2008=0,"",VLOOKUP($A2008,'BASE EQUIPO'!$A:$D,4)*H2005)</f>
        <v>0.49559999999999998</v>
      </c>
      <c r="H2008" s="56">
        <f>IF($A2008=0,"",ROUND(F2008*G2008,2))</f>
        <v>0.5</v>
      </c>
      <c r="I2008" s="5"/>
    </row>
    <row r="2009" spans="1:9" s="4" customFormat="1" x14ac:dyDescent="0.25">
      <c r="A2009" s="103"/>
      <c r="B2009" s="38" t="str">
        <f>IF($A2009=0,"",VLOOKUP($A2009,'BASE EQUIPO'!$A:$D,2))</f>
        <v/>
      </c>
      <c r="C2009" s="2"/>
      <c r="D2009" s="84"/>
      <c r="E2009" s="78" t="str">
        <f>IF($A2009=0,"",VLOOKUP($A2009,'BASE EQUIPO'!$A:$D,3))</f>
        <v/>
      </c>
      <c r="F2009" s="55"/>
      <c r="G2009" s="55" t="str">
        <f>IF($A2009=0,"",VLOOKUP($A2009,'BASE EQUIPO'!$A:$D,4)*H2006)</f>
        <v/>
      </c>
      <c r="H2009" s="56" t="str">
        <f>IF($A2009=0,"",ROUND(F2009*G2009,2))</f>
        <v/>
      </c>
      <c r="I2009" s="5"/>
    </row>
    <row r="2010" spans="1:9" s="4" customFormat="1" x14ac:dyDescent="0.25">
      <c r="A2010" s="103"/>
      <c r="B2010" s="57" t="str">
        <f>IF($A2010=0,"",VLOOKUP($A2010,'BASE EQUIPO'!$A:$D,2))</f>
        <v/>
      </c>
      <c r="C2010" s="58"/>
      <c r="D2010" s="85"/>
      <c r="E2010" s="86" t="str">
        <f>IF($A2010=0,"",VLOOKUP($A2010,'BASE EQUIPO'!$A:$D,3))</f>
        <v/>
      </c>
      <c r="F2010" s="59"/>
      <c r="G2010" s="59" t="str">
        <f>IF($A2010=0,"",VLOOKUP($A2010,'BASE EQUIPO'!$A:$D,4)*H2007)</f>
        <v/>
      </c>
      <c r="H2010" s="60" t="str">
        <f>IF($A2010=0,"",ROUND(F2010*G2010,2))</f>
        <v/>
      </c>
      <c r="I2010" s="5"/>
    </row>
    <row r="2011" spans="1:9" s="4" customFormat="1" ht="15.75" thickBot="1" x14ac:dyDescent="0.3">
      <c r="A2011" s="103"/>
      <c r="B2011" s="87" t="s">
        <v>1674</v>
      </c>
      <c r="C2011" s="88"/>
      <c r="D2011" s="89"/>
      <c r="E2011" s="89"/>
      <c r="F2011" s="89"/>
      <c r="G2011" s="89"/>
      <c r="H2011" s="90">
        <f>ROUND(SUM(H2007:H2010),2)</f>
        <v>0.5</v>
      </c>
      <c r="I2011" s="5"/>
    </row>
    <row r="2012" spans="1:9" s="4" customFormat="1" ht="15.75" x14ac:dyDescent="0.25">
      <c r="A2012" s="103"/>
      <c r="B2012" s="2"/>
      <c r="C2012" s="2"/>
      <c r="D2012" s="91" t="s">
        <v>1673</v>
      </c>
      <c r="E2012" s="177"/>
      <c r="F2012" s="177"/>
      <c r="G2012" s="177"/>
      <c r="H2012" s="92">
        <f>ROUND(SUM(H2011,H2005,H1986,H1976),2)</f>
        <v>26.73</v>
      </c>
      <c r="I2012" s="5"/>
    </row>
    <row r="2013" spans="1:9" s="4" customFormat="1" ht="15.75" x14ac:dyDescent="0.25">
      <c r="A2013" s="103">
        <v>40002</v>
      </c>
      <c r="B2013" s="2"/>
      <c r="C2013" s="2"/>
      <c r="D2013" s="93" t="s">
        <v>1672</v>
      </c>
      <c r="E2013" s="166"/>
      <c r="F2013" s="166"/>
      <c r="G2013" s="178">
        <f>IF($A2013=0,"",VLOOKUP($A2013,'BASE MATERIAL'!$M:$P,4))</f>
        <v>0</v>
      </c>
      <c r="H2013" s="95">
        <f>IF($A2013=0,"",ROUND(G2013*H2012,2))</f>
        <v>0</v>
      </c>
      <c r="I2013" s="5"/>
    </row>
    <row r="2014" spans="1:9" s="4" customFormat="1" ht="15.75" x14ac:dyDescent="0.25">
      <c r="A2014" s="103">
        <v>40003</v>
      </c>
      <c r="B2014" s="2"/>
      <c r="C2014" s="2"/>
      <c r="D2014" s="93" t="s">
        <v>1671</v>
      </c>
      <c r="E2014" s="166"/>
      <c r="F2014" s="166"/>
      <c r="G2014" s="178">
        <f>IF($A2014=0,"",VLOOKUP($A2014,'BASE MATERIAL'!$M:$P,4))</f>
        <v>0</v>
      </c>
      <c r="H2014" s="95">
        <f>IF($A2014=0,"",ROUND(G2014*H2012,2))</f>
        <v>0</v>
      </c>
      <c r="I2014" s="5"/>
    </row>
    <row r="2015" spans="1:9" s="4" customFormat="1" ht="15.75" x14ac:dyDescent="0.25">
      <c r="A2015" s="103"/>
      <c r="B2015" s="2"/>
      <c r="C2015" s="2"/>
      <c r="D2015" s="93" t="s">
        <v>1670</v>
      </c>
      <c r="E2015" s="166"/>
      <c r="F2015" s="166"/>
      <c r="G2015" s="166"/>
      <c r="H2015" s="96">
        <f>ROUND(SUM(H2012:H2014),2)</f>
        <v>26.73</v>
      </c>
      <c r="I2015" s="5"/>
    </row>
    <row r="2016" spans="1:9" s="4" customFormat="1" ht="16.5" thickBot="1" x14ac:dyDescent="0.3">
      <c r="A2016" s="103"/>
      <c r="B2016" s="25"/>
      <c r="C2016" s="5"/>
      <c r="D2016" s="97" t="s">
        <v>1650</v>
      </c>
      <c r="E2016" s="179"/>
      <c r="F2016" s="179"/>
      <c r="G2016" s="179"/>
      <c r="H2016" s="98">
        <f>ROUND(H2015,2)</f>
        <v>26.73</v>
      </c>
      <c r="I2016" s="5"/>
    </row>
    <row r="2017" spans="1:15" ht="15.75" x14ac:dyDescent="0.25">
      <c r="B2017" s="34" t="s">
        <v>1701</v>
      </c>
      <c r="C2017" s="5"/>
      <c r="D2017" s="157" t="str">
        <f>'1.1'!$D$1</f>
        <v>ESPOL</v>
      </c>
      <c r="E2017" s="2"/>
      <c r="F2017" s="2"/>
      <c r="H2017" s="2" t="s">
        <v>108</v>
      </c>
      <c r="I2017" s="2"/>
      <c r="L2017" s="40">
        <f>A2021</f>
        <v>1</v>
      </c>
      <c r="M2017" s="1" t="str">
        <f>C2022</f>
        <v>Tapas para Cajas de registro (de hierro fundido) AA.SS.- AA.LL.</v>
      </c>
      <c r="N2017" s="2" t="str">
        <f>H2021</f>
        <v>U</v>
      </c>
      <c r="O2017" s="2">
        <f>H2072</f>
        <v>264.83</v>
      </c>
    </row>
    <row r="2018" spans="1:15" s="4" customFormat="1" ht="15.75" x14ac:dyDescent="0.25">
      <c r="A2018" s="103"/>
      <c r="B2018" s="34" t="s">
        <v>1700</v>
      </c>
      <c r="C2018" s="3">
        <f>'1.1'!$C$2</f>
        <v>0</v>
      </c>
      <c r="D2018" s="5"/>
      <c r="E2018" s="5"/>
      <c r="F2018" s="5"/>
      <c r="G2018" s="158" t="s">
        <v>1699</v>
      </c>
      <c r="H2018" s="159"/>
      <c r="I2018" s="5" t="s">
        <v>1698</v>
      </c>
    </row>
    <row r="2019" spans="1:15" s="4" customFormat="1" ht="15.75" x14ac:dyDescent="0.25">
      <c r="A2019" s="103"/>
      <c r="B2019" s="34"/>
      <c r="C2019" s="3"/>
      <c r="D2019" s="5"/>
      <c r="E2019" s="5"/>
      <c r="F2019" s="5"/>
      <c r="G2019" s="5"/>
      <c r="H2019" s="5"/>
      <c r="I2019" s="5"/>
    </row>
    <row r="2020" spans="1:15" s="4" customFormat="1" ht="15.75" x14ac:dyDescent="0.25">
      <c r="A2020" s="103"/>
      <c r="B2020" s="34" t="s">
        <v>1697</v>
      </c>
      <c r="C2020" s="3"/>
      <c r="D2020" s="5"/>
      <c r="E2020" s="5"/>
      <c r="F2020" s="5"/>
      <c r="G2020" s="5"/>
      <c r="H2020" s="5"/>
      <c r="I2020" s="5"/>
    </row>
    <row r="2021" spans="1:15" x14ac:dyDescent="0.25">
      <c r="A2021" s="104">
        <v>1</v>
      </c>
      <c r="B2021" s="2" t="s">
        <v>1586</v>
      </c>
      <c r="C2021" s="36" t="s">
        <v>122</v>
      </c>
      <c r="D2021" s="5"/>
      <c r="E2021" s="4"/>
      <c r="F2021" s="4"/>
      <c r="G2021" s="5" t="s">
        <v>1696</v>
      </c>
      <c r="H2021" s="157" t="s">
        <v>744</v>
      </c>
      <c r="I2021" s="2"/>
    </row>
    <row r="2022" spans="1:15" s="4" customFormat="1" x14ac:dyDescent="0.25">
      <c r="A2022" s="103"/>
      <c r="B2022" s="1" t="s">
        <v>1585</v>
      </c>
      <c r="C2022" s="36" t="s">
        <v>123</v>
      </c>
      <c r="D2022" s="5"/>
      <c r="E2022" s="5"/>
      <c r="F2022" s="5"/>
      <c r="G2022" s="5"/>
      <c r="H2022" s="5"/>
      <c r="I2022" s="5"/>
    </row>
    <row r="2023" spans="1:15" ht="15.75" thickBot="1" x14ac:dyDescent="0.3">
      <c r="D2023" s="2"/>
      <c r="E2023" s="2"/>
      <c r="F2023" s="2"/>
      <c r="G2023" s="2"/>
      <c r="H2023" s="2"/>
      <c r="I2023" s="2"/>
    </row>
    <row r="2024" spans="1:15" ht="15.75" thickBot="1" x14ac:dyDescent="0.3">
      <c r="B2024" s="43" t="s">
        <v>1695</v>
      </c>
      <c r="C2024" s="44"/>
      <c r="D2024" s="44"/>
      <c r="E2024" s="44"/>
      <c r="F2024" s="44"/>
      <c r="G2024" s="44"/>
      <c r="H2024" s="45"/>
      <c r="I2024" s="2"/>
    </row>
    <row r="2025" spans="1:15" ht="25.5" x14ac:dyDescent="0.25">
      <c r="B2025" s="46" t="s">
        <v>1409</v>
      </c>
      <c r="C2025" s="47"/>
      <c r="D2025" s="48" t="s">
        <v>1690</v>
      </c>
      <c r="E2025" s="48" t="s">
        <v>1694</v>
      </c>
      <c r="F2025" s="48" t="s">
        <v>1693</v>
      </c>
      <c r="G2025" s="49" t="s">
        <v>1687</v>
      </c>
      <c r="H2025" s="50" t="s">
        <v>1686</v>
      </c>
      <c r="I2025" s="2"/>
    </row>
    <row r="2026" spans="1:15" s="4" customFormat="1" x14ac:dyDescent="0.25">
      <c r="A2026" s="103">
        <v>19015</v>
      </c>
      <c r="B2026" s="51" t="str">
        <f>IF($A2026=0,"",VLOOKUP($A2026,'BASE EQUIPO'!$A:$D,2))</f>
        <v>HERRAMIENTA MENOR</v>
      </c>
      <c r="C2026" s="52"/>
      <c r="D2026" s="53">
        <v>1</v>
      </c>
      <c r="E2026" s="53">
        <f>IF($A2026=0,"",VLOOKUP($A2026,'BASE EQUIPO'!$A:$D,4)*H2042)</f>
        <v>0.40379999999999999</v>
      </c>
      <c r="F2026" s="53">
        <f t="shared" ref="F2026:F2031" si="181">IF($A2026=0,"",ROUND(D2026*E2026,2))</f>
        <v>0.4</v>
      </c>
      <c r="G2026" s="105">
        <v>1</v>
      </c>
      <c r="H2026" s="54">
        <f t="shared" ref="H2026:H2031" si="182">IF($A2026=0,"",ROUND(G2026*F2026,2))</f>
        <v>0.4</v>
      </c>
      <c r="I2026" s="5"/>
    </row>
    <row r="2027" spans="1:15" s="4" customFormat="1" x14ac:dyDescent="0.25">
      <c r="A2027" s="103"/>
      <c r="B2027" s="38"/>
      <c r="C2027" s="2"/>
      <c r="D2027" s="55"/>
      <c r="E2027" s="55"/>
      <c r="F2027" s="55" t="str">
        <f t="shared" si="181"/>
        <v/>
      </c>
      <c r="G2027" s="106"/>
      <c r="H2027" s="56" t="str">
        <f t="shared" si="182"/>
        <v/>
      </c>
      <c r="I2027" s="5"/>
    </row>
    <row r="2028" spans="1:15" s="4" customFormat="1" x14ac:dyDescent="0.25">
      <c r="A2028" s="103"/>
      <c r="B2028" s="38" t="str">
        <f>IF($A2028=0,"",VLOOKUP($A2028,'BASE EQUIPO'!$A:$D,2))</f>
        <v/>
      </c>
      <c r="C2028" s="2"/>
      <c r="D2028" s="55"/>
      <c r="E2028" s="55" t="str">
        <f>IF($A2028=0,"",VLOOKUP($A2028,'BASE EQUIPO'!$A:$D,4))</f>
        <v/>
      </c>
      <c r="F2028" s="55" t="str">
        <f t="shared" si="181"/>
        <v/>
      </c>
      <c r="G2028" s="106"/>
      <c r="H2028" s="56" t="str">
        <f t="shared" si="182"/>
        <v/>
      </c>
      <c r="I2028" s="5"/>
    </row>
    <row r="2029" spans="1:15" s="4" customFormat="1" x14ac:dyDescent="0.25">
      <c r="A2029" s="103"/>
      <c r="B2029" s="38" t="str">
        <f>IF($A2029=0,"",VLOOKUP($A2029,'BASE EQUIPO'!$A:$D,2))</f>
        <v/>
      </c>
      <c r="C2029" s="2"/>
      <c r="D2029" s="55"/>
      <c r="E2029" s="55" t="str">
        <f>IF($A2029=0,"",VLOOKUP($A2029,'BASE EQUIPO'!$A:$D,4))</f>
        <v/>
      </c>
      <c r="F2029" s="55" t="str">
        <f t="shared" si="181"/>
        <v/>
      </c>
      <c r="G2029" s="106"/>
      <c r="H2029" s="56" t="str">
        <f t="shared" si="182"/>
        <v/>
      </c>
      <c r="I2029" s="5"/>
    </row>
    <row r="2030" spans="1:15" s="4" customFormat="1" x14ac:dyDescent="0.25">
      <c r="A2030" s="103"/>
      <c r="B2030" s="38" t="str">
        <f>IF($A2030=0,"",VLOOKUP($A2030,'BASE EQUIPO'!$A:$D,2))</f>
        <v/>
      </c>
      <c r="C2030" s="2"/>
      <c r="D2030" s="55"/>
      <c r="E2030" s="55" t="str">
        <f>IF($A2030=0,"",VLOOKUP($A2030,'BASE EQUIPO'!$A:$D,4))</f>
        <v/>
      </c>
      <c r="F2030" s="55" t="str">
        <f t="shared" si="181"/>
        <v/>
      </c>
      <c r="G2030" s="106"/>
      <c r="H2030" s="56" t="str">
        <f t="shared" si="182"/>
        <v/>
      </c>
      <c r="I2030" s="5"/>
    </row>
    <row r="2031" spans="1:15" s="4" customFormat="1" x14ac:dyDescent="0.25">
      <c r="A2031" s="103"/>
      <c r="B2031" s="57" t="str">
        <f>IF($A2031=0,"",VLOOKUP($A2031,'BASE EQUIPO'!$A:$D,2))</f>
        <v/>
      </c>
      <c r="C2031" s="58"/>
      <c r="D2031" s="59"/>
      <c r="E2031" s="59" t="str">
        <f>IF($A2031=0,"",VLOOKUP($A2031,'BASE EQUIPO'!$A:$D,4))</f>
        <v/>
      </c>
      <c r="F2031" s="59" t="str">
        <f t="shared" si="181"/>
        <v/>
      </c>
      <c r="G2031" s="107"/>
      <c r="H2031" s="60" t="str">
        <f t="shared" si="182"/>
        <v/>
      </c>
      <c r="I2031" s="5"/>
    </row>
    <row r="2032" spans="1:15" s="4" customFormat="1" x14ac:dyDescent="0.25">
      <c r="A2032" s="103"/>
      <c r="B2032" s="57" t="s">
        <v>1692</v>
      </c>
      <c r="C2032" s="58"/>
      <c r="D2032" s="61"/>
      <c r="E2032" s="61"/>
      <c r="F2032" s="61"/>
      <c r="G2032" s="62"/>
      <c r="H2032" s="60">
        <f>ROUND(SUM(H2025:H2031),2)</f>
        <v>0.4</v>
      </c>
      <c r="I2032" s="5"/>
    </row>
    <row r="2033" spans="1:16" s="4" customFormat="1" x14ac:dyDescent="0.25">
      <c r="A2033" s="103"/>
      <c r="B2033" s="38" t="s">
        <v>1503</v>
      </c>
      <c r="C2033" s="2"/>
      <c r="D2033" s="3"/>
      <c r="E2033" s="3"/>
      <c r="F2033" s="3"/>
      <c r="G2033" s="63"/>
      <c r="H2033" s="56"/>
      <c r="I2033" s="5"/>
    </row>
    <row r="2034" spans="1:16" ht="25.5" x14ac:dyDescent="0.25">
      <c r="B2034" s="64" t="s">
        <v>1691</v>
      </c>
      <c r="C2034" s="65"/>
      <c r="D2034" s="66" t="s">
        <v>1690</v>
      </c>
      <c r="E2034" s="66" t="s">
        <v>1689</v>
      </c>
      <c r="F2034" s="66" t="s">
        <v>1688</v>
      </c>
      <c r="G2034" s="67" t="s">
        <v>1687</v>
      </c>
      <c r="H2034" s="68" t="s">
        <v>1686</v>
      </c>
      <c r="I2034" s="2"/>
    </row>
    <row r="2035" spans="1:16" s="4" customFormat="1" x14ac:dyDescent="0.25">
      <c r="A2035" s="103">
        <v>20001</v>
      </c>
      <c r="B2035" s="69" t="str">
        <f>IF($A2035=0,"",VLOOKUP($A2035,'BASE M-OBRA'!$A:$D,2))</f>
        <v>MAESTRO</v>
      </c>
      <c r="C2035" s="2"/>
      <c r="D2035" s="108">
        <v>1</v>
      </c>
      <c r="E2035" s="70">
        <f>IF($A2035=0,"",VLOOKUP($A2035,'BASE M-OBRA'!$A:$D,4))</f>
        <v>3.02</v>
      </c>
      <c r="F2035" s="55">
        <f t="shared" ref="F2035:F2041" si="183">IF($A2035=0,"",ROUND(D2035*E2035,2))</f>
        <v>3.02</v>
      </c>
      <c r="G2035" s="106">
        <f>IF($A2035=0,"",ROUND(H2035/F2035,2))</f>
        <v>0.74</v>
      </c>
      <c r="H2035" s="56">
        <f>IF($A2035=0,"",ROUND(SUM(H2036:H2041)*'BASE M-OBRA'!$D$23,2))</f>
        <v>2.2400000000000002</v>
      </c>
      <c r="I2035" s="5"/>
    </row>
    <row r="2036" spans="1:16" s="4" customFormat="1" x14ac:dyDescent="0.25">
      <c r="A2036" s="103">
        <v>20002</v>
      </c>
      <c r="B2036" s="69" t="str">
        <f>IF($A2036=0,"",VLOOKUP($A2036,'BASE M-OBRA'!$A:$D,2))</f>
        <v>PEON</v>
      </c>
      <c r="C2036" s="2"/>
      <c r="D2036" s="108">
        <v>1</v>
      </c>
      <c r="E2036" s="70">
        <f>IF($A2036=0,"",VLOOKUP($A2036,'BASE M-OBRA'!$A:$D,4))</f>
        <v>2.79</v>
      </c>
      <c r="F2036" s="55">
        <f t="shared" si="183"/>
        <v>2.79</v>
      </c>
      <c r="G2036" s="106">
        <v>2</v>
      </c>
      <c r="H2036" s="56">
        <f t="shared" ref="H2036:H2041" si="184">IF($A2036=0,"",ROUND(G2036*F2036,2))</f>
        <v>5.58</v>
      </c>
      <c r="I2036" s="5"/>
    </row>
    <row r="2037" spans="1:16" s="4" customFormat="1" x14ac:dyDescent="0.25">
      <c r="A2037" s="103">
        <v>20003</v>
      </c>
      <c r="B2037" s="69" t="str">
        <f>IF($A2037=0,"",VLOOKUP($A2037,'BASE M-OBRA'!$A:$D,2))</f>
        <v>ALBAÑIL</v>
      </c>
      <c r="C2037" s="2"/>
      <c r="D2037" s="108">
        <v>1</v>
      </c>
      <c r="E2037" s="70">
        <f>IF($A2037=0,"",VLOOKUP($A2037,'BASE M-OBRA'!$A:$D,4))</f>
        <v>2.82</v>
      </c>
      <c r="F2037" s="55">
        <f t="shared" si="183"/>
        <v>2.82</v>
      </c>
      <c r="G2037" s="106">
        <f>+G2036</f>
        <v>2</v>
      </c>
      <c r="H2037" s="56">
        <f t="shared" si="184"/>
        <v>5.64</v>
      </c>
      <c r="I2037" s="5"/>
    </row>
    <row r="2038" spans="1:16" s="4" customFormat="1" x14ac:dyDescent="0.25">
      <c r="A2038" s="103"/>
      <c r="B2038" s="71" t="str">
        <f>IF($A2038=0,"",VLOOKUP($A2038,'BASE M-OBRA'!$A:$D,2))</f>
        <v/>
      </c>
      <c r="C2038" s="2"/>
      <c r="D2038" s="108"/>
      <c r="E2038" s="70" t="str">
        <f>IF($A2038=0,"",VLOOKUP($A2038,'BASE M-OBRA'!$A:$D,4))</f>
        <v/>
      </c>
      <c r="F2038" s="55" t="str">
        <f t="shared" si="183"/>
        <v/>
      </c>
      <c r="G2038" s="106"/>
      <c r="H2038" s="56" t="str">
        <f t="shared" si="184"/>
        <v/>
      </c>
      <c r="I2038" s="5"/>
    </row>
    <row r="2039" spans="1:16" s="4" customFormat="1" x14ac:dyDescent="0.25">
      <c r="A2039" s="103"/>
      <c r="B2039" s="72" t="str">
        <f>IF($A2039=0,"",VLOOKUP($A2039,'BASE M-OBRA'!$A:$D,2))</f>
        <v/>
      </c>
      <c r="C2039" s="2"/>
      <c r="D2039" s="108"/>
      <c r="E2039" s="70" t="str">
        <f>IF($A2039=0,"",VLOOKUP($A2039,'BASE M-OBRA'!$A:$D,4))</f>
        <v/>
      </c>
      <c r="F2039" s="55" t="str">
        <f t="shared" si="183"/>
        <v/>
      </c>
      <c r="G2039" s="106"/>
      <c r="H2039" s="56" t="str">
        <f t="shared" si="184"/>
        <v/>
      </c>
      <c r="I2039" s="5"/>
    </row>
    <row r="2040" spans="1:16" s="4" customFormat="1" x14ac:dyDescent="0.25">
      <c r="A2040" s="103"/>
      <c r="B2040" s="38" t="str">
        <f>IF($A2040=0,"",VLOOKUP($A2040,'BASE M-OBRA'!$A:$D,2))</f>
        <v/>
      </c>
      <c r="C2040" s="2"/>
      <c r="D2040" s="55"/>
      <c r="E2040" s="55" t="str">
        <f>IF($A2040=0,"",VLOOKUP($A2040,'BASE M-OBRA'!$A:$D,4))</f>
        <v/>
      </c>
      <c r="F2040" s="55" t="str">
        <f t="shared" si="183"/>
        <v/>
      </c>
      <c r="G2040" s="106"/>
      <c r="H2040" s="56" t="str">
        <f t="shared" si="184"/>
        <v/>
      </c>
      <c r="I2040" s="5"/>
    </row>
    <row r="2041" spans="1:16" s="4" customFormat="1" x14ac:dyDescent="0.25">
      <c r="A2041" s="103"/>
      <c r="B2041" s="57" t="str">
        <f>IF($A2041=0,"",VLOOKUP($A2041,'BASE M-OBRA'!$A:$D,2))</f>
        <v/>
      </c>
      <c r="C2041" s="58"/>
      <c r="D2041" s="59"/>
      <c r="E2041" s="59" t="str">
        <f>IF($A2041=0,"",VLOOKUP($A2041,'BASE M-OBRA'!$A:$D,4))</f>
        <v/>
      </c>
      <c r="F2041" s="59" t="str">
        <f t="shared" si="183"/>
        <v/>
      </c>
      <c r="G2041" s="107"/>
      <c r="H2041" s="60" t="str">
        <f t="shared" si="184"/>
        <v/>
      </c>
      <c r="I2041" s="5"/>
    </row>
    <row r="2042" spans="1:16" s="4" customFormat="1" x14ac:dyDescent="0.25">
      <c r="A2042" s="103"/>
      <c r="B2042" s="73" t="s">
        <v>1685</v>
      </c>
      <c r="C2042" s="65"/>
      <c r="D2042" s="74"/>
      <c r="E2042" s="74"/>
      <c r="F2042" s="74"/>
      <c r="G2042" s="74"/>
      <c r="H2042" s="75">
        <f>ROUND(SUM(H2034:H2041),2)</f>
        <v>13.46</v>
      </c>
      <c r="I2042" s="5"/>
    </row>
    <row r="2043" spans="1:16" s="4" customFormat="1" x14ac:dyDescent="0.25">
      <c r="A2043" s="103"/>
      <c r="B2043" s="38" t="s">
        <v>1684</v>
      </c>
      <c r="C2043" s="2"/>
      <c r="D2043" s="3"/>
      <c r="E2043" s="3"/>
      <c r="F2043" s="3"/>
      <c r="G2043" s="3"/>
      <c r="H2043" s="56"/>
      <c r="I2043" s="5"/>
    </row>
    <row r="2044" spans="1:16" ht="25.5" x14ac:dyDescent="0.25">
      <c r="B2044" s="64" t="s">
        <v>1409</v>
      </c>
      <c r="C2044" s="65"/>
      <c r="D2044" s="76"/>
      <c r="E2044" s="66" t="s">
        <v>1408</v>
      </c>
      <c r="F2044" s="66" t="s">
        <v>1679</v>
      </c>
      <c r="G2044" s="66" t="s">
        <v>1683</v>
      </c>
      <c r="H2044" s="68" t="s">
        <v>1675</v>
      </c>
      <c r="I2044" s="2"/>
    </row>
    <row r="2045" spans="1:16" s="4" customFormat="1" x14ac:dyDescent="0.25">
      <c r="A2045" s="103">
        <v>1</v>
      </c>
      <c r="B2045" s="37" t="s">
        <v>124</v>
      </c>
      <c r="C2045" s="2"/>
      <c r="D2045" s="77"/>
      <c r="E2045" s="78" t="s">
        <v>1506</v>
      </c>
      <c r="F2045" s="113">
        <v>1</v>
      </c>
      <c r="G2045" s="55">
        <v>243.66</v>
      </c>
      <c r="H2045" s="56">
        <f t="shared" ref="H2045:H2059" si="185">IF($A2045=0,"",ROUND(F2045*G2045,2))</f>
        <v>243.66</v>
      </c>
      <c r="I2045" s="5"/>
      <c r="L2045" s="5"/>
      <c r="M2045" s="5"/>
      <c r="N2045" s="160"/>
      <c r="O2045" s="5"/>
      <c r="P2045" s="5"/>
    </row>
    <row r="2046" spans="1:16" s="4" customFormat="1" x14ac:dyDescent="0.25">
      <c r="A2046" s="103"/>
      <c r="B2046" s="38" t="str">
        <f>IF($A2046=0,"",VLOOKUP($A2046,'BASE MATERIAL'!$A:$D,2))</f>
        <v/>
      </c>
      <c r="C2046" s="2"/>
      <c r="D2046" s="77"/>
      <c r="E2046" s="78" t="str">
        <f>IF($A2046=0,"",VLOOKUP($A2046,'BASE MATERIAL'!$A:$D,3))</f>
        <v/>
      </c>
      <c r="F2046" s="113"/>
      <c r="G2046" s="55" t="str">
        <f>IF($A2046=0,"",VLOOKUP($A2046,'BASE MATERIAL'!$A:$D,4))</f>
        <v/>
      </c>
      <c r="H2046" s="56" t="str">
        <f t="shared" si="185"/>
        <v/>
      </c>
      <c r="I2046" s="5"/>
      <c r="L2046" s="5"/>
      <c r="M2046" s="5"/>
      <c r="N2046" s="160"/>
      <c r="O2046" s="5"/>
      <c r="P2046" s="5"/>
    </row>
    <row r="2047" spans="1:16" s="4" customFormat="1" x14ac:dyDescent="0.25">
      <c r="A2047" s="103"/>
      <c r="B2047" s="38" t="str">
        <f>IF($A2047=0,"",VLOOKUP($A2047,'BASE MATERIAL'!$A:$D,2))</f>
        <v/>
      </c>
      <c r="C2047" s="2"/>
      <c r="D2047" s="77"/>
      <c r="E2047" s="78" t="str">
        <f>IF($A2047=0,"",VLOOKUP($A2047,'BASE MATERIAL'!$A:$D,3))</f>
        <v/>
      </c>
      <c r="F2047" s="113"/>
      <c r="G2047" s="55" t="str">
        <f>IF($A2047=0,"",VLOOKUP($A2047,'BASE MATERIAL'!$A:$D,4))</f>
        <v/>
      </c>
      <c r="H2047" s="56" t="str">
        <f t="shared" si="185"/>
        <v/>
      </c>
      <c r="I2047" s="5"/>
      <c r="L2047" s="5"/>
      <c r="M2047" s="5"/>
      <c r="N2047" s="160"/>
      <c r="O2047" s="5"/>
      <c r="P2047" s="5"/>
    </row>
    <row r="2048" spans="1:16" s="4" customFormat="1" x14ac:dyDescent="0.25">
      <c r="A2048" s="103"/>
      <c r="B2048" s="38" t="str">
        <f>IF($A2048=0,"",VLOOKUP($A2048,'BASE MATERIAL'!$A:$D,2))</f>
        <v/>
      </c>
      <c r="C2048" s="2"/>
      <c r="D2048" s="77"/>
      <c r="E2048" s="78" t="str">
        <f>IF($A2048=0,"",VLOOKUP($A2048,'BASE MATERIAL'!$A:$D,3))</f>
        <v/>
      </c>
      <c r="F2048" s="113"/>
      <c r="G2048" s="55" t="str">
        <f>IF($A2048=0,"",VLOOKUP($A2048,'BASE MATERIAL'!$A:$D,4))</f>
        <v/>
      </c>
      <c r="H2048" s="56" t="str">
        <f t="shared" si="185"/>
        <v/>
      </c>
      <c r="I2048" s="5"/>
      <c r="L2048" s="5"/>
      <c r="M2048" s="5"/>
      <c r="N2048" s="160"/>
      <c r="O2048" s="5"/>
      <c r="P2048" s="5"/>
    </row>
    <row r="2049" spans="1:16" s="4" customFormat="1" x14ac:dyDescent="0.25">
      <c r="A2049" s="103"/>
      <c r="B2049" s="38" t="str">
        <f>IF($A2049=0,"",VLOOKUP($A2049,'BASE MATERIAL'!$A:$D,2))</f>
        <v/>
      </c>
      <c r="C2049" s="2"/>
      <c r="D2049" s="77"/>
      <c r="E2049" s="78" t="str">
        <f>IF($A2049=0,"",VLOOKUP($A2049,'BASE MATERIAL'!$A:$D,3))</f>
        <v/>
      </c>
      <c r="F2049" s="113"/>
      <c r="G2049" s="55" t="str">
        <f>IF($A2049=0,"",VLOOKUP($A2049,'BASE MATERIAL'!$A:$D,4))</f>
        <v/>
      </c>
      <c r="H2049" s="56" t="str">
        <f t="shared" si="185"/>
        <v/>
      </c>
      <c r="I2049" s="5"/>
      <c r="L2049" s="5"/>
      <c r="M2049" s="5"/>
      <c r="N2049" s="160"/>
      <c r="O2049" s="5"/>
      <c r="P2049" s="5"/>
    </row>
    <row r="2050" spans="1:16" s="4" customFormat="1" x14ac:dyDescent="0.25">
      <c r="A2050" s="103"/>
      <c r="B2050" s="38" t="str">
        <f>IF($A2050=0,"",VLOOKUP($A2050,'BASE MATERIAL'!$A:$D,2))</f>
        <v/>
      </c>
      <c r="C2050" s="2"/>
      <c r="D2050" s="77"/>
      <c r="E2050" s="78" t="str">
        <f>IF($A2050=0,"",VLOOKUP($A2050,'BASE MATERIAL'!$A:$D,3))</f>
        <v/>
      </c>
      <c r="F2050" s="113"/>
      <c r="G2050" s="55" t="str">
        <f>IF($A2050=0,"",VLOOKUP($A2050,'BASE MATERIAL'!$A:$D,4))</f>
        <v/>
      </c>
      <c r="H2050" s="56" t="str">
        <f t="shared" si="185"/>
        <v/>
      </c>
      <c r="I2050" s="5"/>
      <c r="J2050" s="279"/>
      <c r="L2050" s="5"/>
      <c r="M2050" s="5"/>
      <c r="N2050" s="160"/>
      <c r="O2050" s="5"/>
      <c r="P2050" s="5"/>
    </row>
    <row r="2051" spans="1:16" s="4" customFormat="1" x14ac:dyDescent="0.25">
      <c r="A2051" s="103"/>
      <c r="B2051" s="38" t="str">
        <f>IF($A2051=0,"",VLOOKUP($A2051,'BASE MATERIAL'!$A:$D,2))</f>
        <v/>
      </c>
      <c r="C2051" s="2"/>
      <c r="D2051" s="77"/>
      <c r="E2051" s="78" t="str">
        <f>IF($A2051=0,"",VLOOKUP($A2051,'BASE MATERIAL'!$A:$D,3))</f>
        <v/>
      </c>
      <c r="F2051" s="55"/>
      <c r="G2051" s="55" t="str">
        <f>IF($A2051=0,"",VLOOKUP($A2051,'BASE MATERIAL'!$A:$D,4))</f>
        <v/>
      </c>
      <c r="H2051" s="56" t="str">
        <f t="shared" si="185"/>
        <v/>
      </c>
      <c r="I2051" s="5"/>
      <c r="L2051" s="5"/>
      <c r="M2051" s="5"/>
      <c r="N2051" s="160"/>
      <c r="O2051" s="5"/>
      <c r="P2051" s="5"/>
    </row>
    <row r="2052" spans="1:16" s="4" customFormat="1" x14ac:dyDescent="0.25">
      <c r="A2052" s="103"/>
      <c r="B2052" s="38" t="str">
        <f>IF($A2052=0,"",VLOOKUP($A2052,'BASE MATERIAL'!$A:$D,2))</f>
        <v/>
      </c>
      <c r="C2052" s="2"/>
      <c r="D2052" s="77"/>
      <c r="E2052" s="78" t="str">
        <f>IF($A2052=0,"",VLOOKUP($A2052,'BASE MATERIAL'!$A:$D,3))</f>
        <v/>
      </c>
      <c r="F2052" s="55"/>
      <c r="G2052" s="55" t="str">
        <f>IF($A2052=0,"",VLOOKUP($A2052,'BASE MATERIAL'!$A:$D,4))</f>
        <v/>
      </c>
      <c r="H2052" s="56" t="str">
        <f t="shared" si="185"/>
        <v/>
      </c>
      <c r="I2052" s="5"/>
      <c r="J2052" s="279"/>
      <c r="L2052" s="5"/>
      <c r="M2052" s="5"/>
      <c r="N2052" s="160"/>
      <c r="O2052" s="5"/>
      <c r="P2052" s="5"/>
    </row>
    <row r="2053" spans="1:16" s="4" customFormat="1" x14ac:dyDescent="0.25">
      <c r="A2053" s="103"/>
      <c r="B2053" s="38" t="str">
        <f>IF($A2053=0,"",VLOOKUP($A2053,'BASE MATERIAL'!$A:$D,2))</f>
        <v/>
      </c>
      <c r="C2053" s="2"/>
      <c r="D2053" s="77"/>
      <c r="E2053" s="78" t="str">
        <f>IF($A2053=0,"",VLOOKUP($A2053,'BASE MATERIAL'!$A:$D,3))</f>
        <v/>
      </c>
      <c r="F2053" s="55"/>
      <c r="G2053" s="55" t="str">
        <f>IF($A2053=0,"",VLOOKUP($A2053,'BASE MATERIAL'!$A:$D,4))</f>
        <v/>
      </c>
      <c r="H2053" s="56" t="str">
        <f t="shared" si="185"/>
        <v/>
      </c>
      <c r="I2053" s="5"/>
    </row>
    <row r="2054" spans="1:16" s="4" customFormat="1" x14ac:dyDescent="0.25">
      <c r="A2054" s="103"/>
      <c r="B2054" s="38" t="str">
        <f>IF($A2054=0,"",VLOOKUP($A2054,'BASE MATERIAL'!$A:$D,2))</f>
        <v/>
      </c>
      <c r="C2054" s="2"/>
      <c r="D2054" s="77"/>
      <c r="E2054" s="78" t="str">
        <f>IF($A2054=0,"",VLOOKUP($A2054,'BASE MATERIAL'!$A:$D,3))</f>
        <v/>
      </c>
      <c r="F2054" s="55"/>
      <c r="G2054" s="55" t="str">
        <f>IF($A2054=0,"",VLOOKUP($A2054,'BASE MATERIAL'!$A:$D,4))</f>
        <v/>
      </c>
      <c r="H2054" s="56" t="str">
        <f t="shared" si="185"/>
        <v/>
      </c>
      <c r="I2054" s="5"/>
      <c r="L2054" s="5"/>
      <c r="M2054" s="5"/>
      <c r="N2054" s="160"/>
      <c r="O2054" s="5"/>
      <c r="P2054" s="5"/>
    </row>
    <row r="2055" spans="1:16" s="4" customFormat="1" x14ac:dyDescent="0.25">
      <c r="A2055" s="103"/>
      <c r="B2055" s="38" t="str">
        <f>IF($A2055=0,"",VLOOKUP($A2055,'BASE MATERIAL'!$A:$D,2))</f>
        <v/>
      </c>
      <c r="C2055" s="2"/>
      <c r="D2055" s="77"/>
      <c r="E2055" s="78" t="str">
        <f>IF($A2055=0,"",VLOOKUP($A2055,'BASE MATERIAL'!$A:$D,3))</f>
        <v/>
      </c>
      <c r="F2055" s="55"/>
      <c r="G2055" s="55" t="str">
        <f>IF($A2055=0,"",VLOOKUP($A2055,'BASE MATERIAL'!$A:$D,4))</f>
        <v/>
      </c>
      <c r="H2055" s="56" t="str">
        <f t="shared" si="185"/>
        <v/>
      </c>
      <c r="I2055" s="5"/>
      <c r="L2055" s="5"/>
      <c r="M2055" s="5"/>
      <c r="N2055" s="160"/>
      <c r="O2055" s="5"/>
      <c r="P2055" s="5"/>
    </row>
    <row r="2056" spans="1:16" s="4" customFormat="1" x14ac:dyDescent="0.25">
      <c r="A2056" s="103"/>
      <c r="B2056" s="38" t="str">
        <f>IF($A2056=0,"",VLOOKUP($A2056,'BASE MATERIAL'!$A:$D,2))</f>
        <v/>
      </c>
      <c r="C2056" s="2"/>
      <c r="D2056" s="77"/>
      <c r="E2056" s="78" t="str">
        <f>IF($A2056=0,"",VLOOKUP($A2056,'BASE MATERIAL'!$A:$D,3))</f>
        <v/>
      </c>
      <c r="F2056" s="55"/>
      <c r="G2056" s="55" t="str">
        <f>IF($A2056=0,"",VLOOKUP($A2056,'BASE MATERIAL'!$A:$D,4))</f>
        <v/>
      </c>
      <c r="H2056" s="56" t="str">
        <f t="shared" si="185"/>
        <v/>
      </c>
      <c r="I2056" s="5"/>
    </row>
    <row r="2057" spans="1:16" s="4" customFormat="1" x14ac:dyDescent="0.25">
      <c r="A2057" s="103"/>
      <c r="B2057" s="38" t="str">
        <f>IF($A2057=0,"",VLOOKUP($A2057,'BASE MATERIAL'!$A:$D,2))</f>
        <v/>
      </c>
      <c r="C2057" s="2"/>
      <c r="D2057" s="77"/>
      <c r="E2057" s="78" t="str">
        <f>IF($A2057=0,"",VLOOKUP($A2057,'BASE MATERIAL'!$A:$D,3))</f>
        <v/>
      </c>
      <c r="F2057" s="55"/>
      <c r="G2057" s="55" t="str">
        <f>IF($A2057=0,"",VLOOKUP($A2057,'BASE MATERIAL'!$A:$D,4))</f>
        <v/>
      </c>
      <c r="H2057" s="56" t="str">
        <f t="shared" si="185"/>
        <v/>
      </c>
      <c r="I2057" s="5"/>
    </row>
    <row r="2058" spans="1:16" s="4" customFormat="1" x14ac:dyDescent="0.25">
      <c r="A2058" s="103"/>
      <c r="B2058" s="38" t="str">
        <f>IF($A2058=0,"",VLOOKUP($A2058,'BASE MATERIAL'!$A:$D,2))</f>
        <v/>
      </c>
      <c r="C2058" s="2"/>
      <c r="D2058" s="77"/>
      <c r="E2058" s="78" t="str">
        <f>IF($A2058=0,"",VLOOKUP($A2058,'BASE MATERIAL'!$A:$D,3))</f>
        <v/>
      </c>
      <c r="F2058" s="55"/>
      <c r="G2058" s="55" t="str">
        <f>IF($A2058=0,"",VLOOKUP($A2058,'BASE MATERIAL'!$A:$D,4))</f>
        <v/>
      </c>
      <c r="H2058" s="56" t="str">
        <f t="shared" si="185"/>
        <v/>
      </c>
      <c r="I2058" s="5"/>
    </row>
    <row r="2059" spans="1:16" s="4" customFormat="1" x14ac:dyDescent="0.25">
      <c r="A2059" s="103"/>
      <c r="B2059" s="38" t="str">
        <f>IF($A2059=0,"",VLOOKUP($A2059,'BASE MATERIAL'!$A:$D,2))</f>
        <v/>
      </c>
      <c r="C2059" s="2"/>
      <c r="D2059" s="77"/>
      <c r="E2059" s="78" t="str">
        <f>IF($A2059=0,"",VLOOKUP($A2059,'BASE MATERIAL'!$A:$D,3))</f>
        <v/>
      </c>
      <c r="F2059" s="55"/>
      <c r="G2059" s="55" t="str">
        <f>IF($A2059=0,"",VLOOKUP($A2059,'BASE MATERIAL'!$A:$D,4))</f>
        <v/>
      </c>
      <c r="H2059" s="56" t="str">
        <f t="shared" si="185"/>
        <v/>
      </c>
      <c r="I2059" s="5"/>
    </row>
    <row r="2060" spans="1:16" s="4" customFormat="1" x14ac:dyDescent="0.25">
      <c r="A2060" s="103"/>
      <c r="B2060" s="38" t="str">
        <f>IF($A2060=0,"",VLOOKUP($A2060,'BASE MATERIAL'!$A:$D,2))</f>
        <v/>
      </c>
      <c r="C2060" s="2"/>
      <c r="D2060" s="81" t="s">
        <v>1682</v>
      </c>
      <c r="E2060" s="55" t="str">
        <f>IF($A2060=0,"",VLOOKUP($A2060,'BASE MATERIAL'!$A:$D,3))</f>
        <v/>
      </c>
      <c r="F2060" s="55" t="s">
        <v>1682</v>
      </c>
      <c r="G2060" s="55" t="str">
        <f>IF($A2060=0,"",VLOOKUP($A2060,'BASE MATERIAL'!$A:$D,4))</f>
        <v/>
      </c>
      <c r="H2060" s="56" t="str">
        <f>IF($A2060=0,"",ROUND(E2060*F2060,2))</f>
        <v/>
      </c>
      <c r="I2060" s="5"/>
    </row>
    <row r="2061" spans="1:16" s="4" customFormat="1" x14ac:dyDescent="0.25">
      <c r="A2061" s="103"/>
      <c r="B2061" s="73" t="s">
        <v>1681</v>
      </c>
      <c r="C2061" s="65"/>
      <c r="D2061" s="74"/>
      <c r="E2061" s="74"/>
      <c r="F2061" s="74"/>
      <c r="G2061" s="74"/>
      <c r="H2061" s="75">
        <f>ROUND(SUM(H2044:H2060),2)</f>
        <v>243.66</v>
      </c>
      <c r="I2061" s="5"/>
    </row>
    <row r="2062" spans="1:16" s="4" customFormat="1" x14ac:dyDescent="0.25">
      <c r="A2062" s="103"/>
      <c r="B2062" s="38" t="s">
        <v>1680</v>
      </c>
      <c r="C2062" s="2"/>
      <c r="D2062" s="3"/>
      <c r="E2062" s="3"/>
      <c r="F2062" s="3"/>
      <c r="G2062" s="3"/>
      <c r="H2062" s="56"/>
      <c r="I2062" s="5"/>
    </row>
    <row r="2063" spans="1:16" ht="25.5" x14ac:dyDescent="0.25">
      <c r="B2063" s="64" t="s">
        <v>1409</v>
      </c>
      <c r="C2063" s="65"/>
      <c r="D2063" s="76"/>
      <c r="E2063" s="66" t="s">
        <v>1408</v>
      </c>
      <c r="F2063" s="66" t="s">
        <v>1679</v>
      </c>
      <c r="G2063" s="66" t="s">
        <v>1676</v>
      </c>
      <c r="H2063" s="68" t="s">
        <v>1675</v>
      </c>
      <c r="I2063" s="2"/>
    </row>
    <row r="2064" spans="1:16" s="4" customFormat="1" x14ac:dyDescent="0.25">
      <c r="A2064" s="103">
        <v>19019</v>
      </c>
      <c r="B2064" s="51" t="str">
        <f>IF($A2064=0,"",VLOOKUP($A2064,'BASE EQUIPO'!$A:$D,2))</f>
        <v>TRANSPORTE DE MATERIAL</v>
      </c>
      <c r="C2064" s="52"/>
      <c r="D2064" s="82"/>
      <c r="E2064" s="78" t="str">
        <f>IF($A2064=0,"",VLOOKUP($A2064,'BASE EQUIPO'!$A:$D,3))</f>
        <v>GLOBAL</v>
      </c>
      <c r="F2064" s="55">
        <v>1</v>
      </c>
      <c r="G2064" s="83">
        <f>IF($A2064=0,"",VLOOKUP($A2064,'BASE EQUIPO'!$A:$D,4)*H2061)</f>
        <v>7.3097999999999992</v>
      </c>
      <c r="H2064" s="56">
        <f>IF($A2064=0,"",ROUND(F2064*G2064,2))</f>
        <v>7.31</v>
      </c>
      <c r="I2064" s="5"/>
    </row>
    <row r="2065" spans="1:15" s="4" customFormat="1" x14ac:dyDescent="0.25">
      <c r="A2065" s="103"/>
      <c r="B2065" s="38" t="str">
        <f>IF($A2065=0,"",VLOOKUP($A2065,'BASE EQUIPO'!$A:$D,2))</f>
        <v/>
      </c>
      <c r="C2065" s="2"/>
      <c r="D2065" s="84"/>
      <c r="E2065" s="78" t="str">
        <f>IF($A2065=0,"",VLOOKUP($A2065,'BASE EQUIPO'!$A:$D,3))</f>
        <v/>
      </c>
      <c r="F2065" s="55"/>
      <c r="G2065" s="55" t="str">
        <f>IF($A2065=0,"",VLOOKUP($A2065,'BASE EQUIPO'!$A:$D,4)*H2062)</f>
        <v/>
      </c>
      <c r="H2065" s="56" t="str">
        <f>IF($A2065=0,"",ROUND(F2065*G2065,2))</f>
        <v/>
      </c>
      <c r="I2065" s="5"/>
    </row>
    <row r="2066" spans="1:15" s="4" customFormat="1" x14ac:dyDescent="0.25">
      <c r="A2066" s="103"/>
      <c r="B2066" s="57" t="str">
        <f>IF($A2066=0,"",VLOOKUP($A2066,'BASE EQUIPO'!$A:$D,2))</f>
        <v/>
      </c>
      <c r="C2066" s="58"/>
      <c r="D2066" s="85"/>
      <c r="E2066" s="86" t="str">
        <f>IF($A2066=0,"",VLOOKUP($A2066,'BASE EQUIPO'!$A:$D,3))</f>
        <v/>
      </c>
      <c r="F2066" s="59"/>
      <c r="G2066" s="59" t="str">
        <f>IF($A2066=0,"",VLOOKUP($A2066,'BASE EQUIPO'!$A:$D,4)*H2063)</f>
        <v/>
      </c>
      <c r="H2066" s="60" t="str">
        <f>IF($A2066=0,"",ROUND(F2066*G2066,2))</f>
        <v/>
      </c>
      <c r="I2066" s="5"/>
    </row>
    <row r="2067" spans="1:15" s="4" customFormat="1" ht="15.75" thickBot="1" x14ac:dyDescent="0.3">
      <c r="A2067" s="103"/>
      <c r="B2067" s="87" t="s">
        <v>1674</v>
      </c>
      <c r="C2067" s="88"/>
      <c r="D2067" s="89"/>
      <c r="E2067" s="89"/>
      <c r="F2067" s="89"/>
      <c r="G2067" s="89"/>
      <c r="H2067" s="90">
        <f>ROUND(SUM(H2063:H2066),2)</f>
        <v>7.31</v>
      </c>
      <c r="I2067" s="5"/>
    </row>
    <row r="2068" spans="1:15" s="4" customFormat="1" ht="15.75" x14ac:dyDescent="0.25">
      <c r="A2068" s="103"/>
      <c r="B2068" s="2"/>
      <c r="C2068" s="2"/>
      <c r="D2068" s="91" t="s">
        <v>1673</v>
      </c>
      <c r="E2068" s="177"/>
      <c r="F2068" s="177"/>
      <c r="G2068" s="177"/>
      <c r="H2068" s="92">
        <f>ROUND(SUM(H2067,H2061,H2042,H2032),2)</f>
        <v>264.83</v>
      </c>
      <c r="I2068" s="5"/>
    </row>
    <row r="2069" spans="1:15" s="4" customFormat="1" ht="15.75" x14ac:dyDescent="0.25">
      <c r="A2069" s="103">
        <v>40002</v>
      </c>
      <c r="B2069" s="2"/>
      <c r="C2069" s="2"/>
      <c r="D2069" s="93" t="s">
        <v>1672</v>
      </c>
      <c r="E2069" s="166"/>
      <c r="F2069" s="166"/>
      <c r="G2069" s="178">
        <f>IF($A2069=0,"",VLOOKUP($A2069,'BASE MATERIAL'!$M:$P,4))</f>
        <v>0</v>
      </c>
      <c r="H2069" s="95">
        <f>IF($A2069=0,"",ROUND(G2069*H2068,2))</f>
        <v>0</v>
      </c>
      <c r="I2069" s="5"/>
    </row>
    <row r="2070" spans="1:15" s="4" customFormat="1" ht="15.75" x14ac:dyDescent="0.25">
      <c r="A2070" s="103">
        <v>40003</v>
      </c>
      <c r="B2070" s="2"/>
      <c r="C2070" s="2"/>
      <c r="D2070" s="93" t="s">
        <v>1671</v>
      </c>
      <c r="E2070" s="166"/>
      <c r="F2070" s="166"/>
      <c r="G2070" s="178">
        <f>IF($A2070=0,"",VLOOKUP($A2070,'BASE MATERIAL'!$M:$P,4))</f>
        <v>0</v>
      </c>
      <c r="H2070" s="95">
        <f>IF($A2070=0,"",ROUND(G2070*H2068,2))</f>
        <v>0</v>
      </c>
      <c r="I2070" s="5"/>
    </row>
    <row r="2071" spans="1:15" s="4" customFormat="1" ht="15.75" x14ac:dyDescent="0.25">
      <c r="A2071" s="103"/>
      <c r="B2071" s="2"/>
      <c r="C2071" s="2"/>
      <c r="D2071" s="93" t="s">
        <v>1670</v>
      </c>
      <c r="E2071" s="166"/>
      <c r="F2071" s="166"/>
      <c r="G2071" s="166"/>
      <c r="H2071" s="96">
        <f>ROUND(SUM(H2068:H2070),2)</f>
        <v>264.83</v>
      </c>
      <c r="I2071" s="5"/>
    </row>
    <row r="2072" spans="1:15" s="4" customFormat="1" ht="16.5" thickBot="1" x14ac:dyDescent="0.3">
      <c r="A2072" s="103"/>
      <c r="B2072" s="25"/>
      <c r="C2072" s="5"/>
      <c r="D2072" s="97" t="s">
        <v>1650</v>
      </c>
      <c r="E2072" s="179"/>
      <c r="F2072" s="179"/>
      <c r="G2072" s="179"/>
      <c r="H2072" s="98">
        <f>ROUND(H2071,2)</f>
        <v>264.83</v>
      </c>
      <c r="I2072" s="5"/>
    </row>
    <row r="2073" spans="1:15" ht="15.75" x14ac:dyDescent="0.25">
      <c r="B2073" s="34" t="s">
        <v>1701</v>
      </c>
      <c r="C2073" s="5"/>
      <c r="D2073" s="157" t="str">
        <f>$D$113</f>
        <v>ESPOL</v>
      </c>
      <c r="E2073" s="2"/>
      <c r="F2073" s="2"/>
      <c r="H2073" s="2" t="s">
        <v>108</v>
      </c>
      <c r="I2073" s="2"/>
      <c r="L2073" s="40">
        <f>A2077</f>
        <v>28</v>
      </c>
      <c r="M2073" s="1" t="str">
        <f>C2078</f>
        <v>Cajas de registro (mamposteria.) (inc. Enlucido-tapa hormigon)</v>
      </c>
      <c r="N2073" s="2" t="str">
        <f>H2077</f>
        <v>U</v>
      </c>
      <c r="O2073" s="2">
        <f>H2128</f>
        <v>138.54</v>
      </c>
    </row>
    <row r="2074" spans="1:15" s="4" customFormat="1" ht="15.75" x14ac:dyDescent="0.25">
      <c r="A2074" s="103"/>
      <c r="B2074" s="34" t="s">
        <v>1700</v>
      </c>
      <c r="C2074" s="3">
        <f>'1.1'!$C$2</f>
        <v>0</v>
      </c>
      <c r="D2074" s="5"/>
      <c r="E2074" s="5"/>
      <c r="F2074" s="5"/>
      <c r="G2074" s="158" t="s">
        <v>1699</v>
      </c>
      <c r="H2074" s="159"/>
      <c r="I2074" s="5" t="s">
        <v>1698</v>
      </c>
    </row>
    <row r="2075" spans="1:15" s="4" customFormat="1" ht="15.75" x14ac:dyDescent="0.25">
      <c r="A2075" s="103"/>
      <c r="B2075" s="34"/>
      <c r="C2075" s="3">
        <f>'1.1'!$C$3</f>
        <v>0</v>
      </c>
      <c r="D2075" s="5"/>
      <c r="E2075" s="5"/>
      <c r="F2075" s="5"/>
      <c r="G2075" s="5"/>
      <c r="H2075" s="5"/>
      <c r="I2075" s="5"/>
    </row>
    <row r="2076" spans="1:15" s="4" customFormat="1" ht="15.75" x14ac:dyDescent="0.25">
      <c r="A2076" s="103"/>
      <c r="B2076" s="34" t="s">
        <v>1697</v>
      </c>
      <c r="C2076" s="3"/>
      <c r="D2076" s="5"/>
      <c r="E2076" s="5"/>
      <c r="F2076" s="5"/>
      <c r="G2076" s="5"/>
      <c r="H2076" s="5"/>
      <c r="I2076" s="5"/>
    </row>
    <row r="2077" spans="1:15" x14ac:dyDescent="0.25">
      <c r="A2077" s="104">
        <v>28</v>
      </c>
      <c r="B2077" s="2" t="s">
        <v>1586</v>
      </c>
      <c r="C2077" s="36" t="s">
        <v>1539</v>
      </c>
      <c r="D2077" s="5"/>
      <c r="E2077" s="4"/>
      <c r="F2077" s="4"/>
      <c r="G2077" s="5" t="s">
        <v>1696</v>
      </c>
      <c r="H2077" s="157" t="s">
        <v>744</v>
      </c>
      <c r="I2077" s="2"/>
    </row>
    <row r="2078" spans="1:15" s="4" customFormat="1" x14ac:dyDescent="0.25">
      <c r="A2078" s="103"/>
      <c r="B2078" s="1" t="s">
        <v>1585</v>
      </c>
      <c r="C2078" s="36" t="s">
        <v>1394</v>
      </c>
      <c r="D2078" s="5"/>
      <c r="E2078" s="5"/>
      <c r="F2078" s="5"/>
      <c r="G2078" s="5"/>
      <c r="H2078" s="5"/>
      <c r="I2078" s="5"/>
    </row>
    <row r="2079" spans="1:15" ht="15.75" thickBot="1" x14ac:dyDescent="0.3">
      <c r="D2079" s="2"/>
      <c r="E2079" s="2"/>
      <c r="F2079" s="2"/>
      <c r="G2079" s="2"/>
      <c r="H2079" s="2"/>
      <c r="I2079" s="2"/>
    </row>
    <row r="2080" spans="1:15" ht="15.75" thickBot="1" x14ac:dyDescent="0.3">
      <c r="B2080" s="43" t="s">
        <v>1695</v>
      </c>
      <c r="C2080" s="44"/>
      <c r="D2080" s="44"/>
      <c r="E2080" s="44"/>
      <c r="F2080" s="44"/>
      <c r="G2080" s="44"/>
      <c r="H2080" s="45"/>
      <c r="I2080" s="2"/>
    </row>
    <row r="2081" spans="1:9" ht="25.5" x14ac:dyDescent="0.25">
      <c r="B2081" s="46" t="s">
        <v>1409</v>
      </c>
      <c r="C2081" s="47"/>
      <c r="D2081" s="48" t="s">
        <v>1690</v>
      </c>
      <c r="E2081" s="48" t="s">
        <v>1694</v>
      </c>
      <c r="F2081" s="48" t="s">
        <v>1693</v>
      </c>
      <c r="G2081" s="49" t="s">
        <v>1687</v>
      </c>
      <c r="H2081" s="50" t="s">
        <v>1686</v>
      </c>
      <c r="I2081" s="2"/>
    </row>
    <row r="2082" spans="1:9" s="4" customFormat="1" x14ac:dyDescent="0.25">
      <c r="A2082" s="103">
        <v>19015</v>
      </c>
      <c r="B2082" s="51" t="str">
        <f>IF($A2082=0,"",VLOOKUP($A2082,'BASE EQUIPO'!$A:$D,2))</f>
        <v>HERRAMIENTA MENOR</v>
      </c>
      <c r="C2082" s="52"/>
      <c r="D2082" s="53">
        <v>1</v>
      </c>
      <c r="E2082" s="53">
        <f>IF($A2082=0,"",VLOOKUP($A2082,'BASE EQUIPO'!$A:$D,4)*H2098)</f>
        <v>2.0813999999999999</v>
      </c>
      <c r="F2082" s="53">
        <f t="shared" ref="F2082:F2087" si="186">IF($A2082=0,"",ROUND(D2082*E2082,2))</f>
        <v>2.08</v>
      </c>
      <c r="G2082" s="105">
        <v>1</v>
      </c>
      <c r="H2082" s="54">
        <f t="shared" ref="H2082:H2087" si="187">IF($A2082=0,"",ROUND(G2082*F2082,2))</f>
        <v>2.08</v>
      </c>
      <c r="I2082" s="5"/>
    </row>
    <row r="2083" spans="1:9" s="4" customFormat="1" x14ac:dyDescent="0.25">
      <c r="A2083" s="103">
        <v>19003</v>
      </c>
      <c r="B2083" s="38" t="str">
        <f>IF($A2083=0,"",VLOOKUP($A2083,'BASE EQUIPO'!$A:$D,2))</f>
        <v>CONCRETERA</v>
      </c>
      <c r="C2083" s="2"/>
      <c r="D2083" s="55">
        <v>1</v>
      </c>
      <c r="E2083" s="55">
        <f>IF($A2083=0,"",VLOOKUP($A2083,'BASE EQUIPO'!$A:$D,4))</f>
        <v>3.5</v>
      </c>
      <c r="F2083" s="55">
        <f t="shared" si="186"/>
        <v>3.5</v>
      </c>
      <c r="G2083" s="106">
        <f>+G2092*0.25</f>
        <v>1.5</v>
      </c>
      <c r="H2083" s="56">
        <f t="shared" si="187"/>
        <v>5.25</v>
      </c>
      <c r="I2083" s="5"/>
    </row>
    <row r="2084" spans="1:9" s="4" customFormat="1" x14ac:dyDescent="0.25">
      <c r="A2084" s="103"/>
      <c r="B2084" s="38" t="str">
        <f>IF($A2084=0,"",VLOOKUP($A2084,'BASE EQUIPO'!$A:$D,2))</f>
        <v/>
      </c>
      <c r="C2084" s="2"/>
      <c r="D2084" s="55"/>
      <c r="E2084" s="55" t="str">
        <f>IF($A2084=0,"",VLOOKUP($A2084,'BASE EQUIPO'!$A:$D,4))</f>
        <v/>
      </c>
      <c r="F2084" s="55" t="str">
        <f t="shared" si="186"/>
        <v/>
      </c>
      <c r="G2084" s="106"/>
      <c r="H2084" s="56" t="str">
        <f t="shared" si="187"/>
        <v/>
      </c>
      <c r="I2084" s="5"/>
    </row>
    <row r="2085" spans="1:9" s="4" customFormat="1" x14ac:dyDescent="0.25">
      <c r="A2085" s="103"/>
      <c r="B2085" s="38" t="str">
        <f>IF($A2085=0,"",VLOOKUP($A2085,'BASE EQUIPO'!$A:$D,2))</f>
        <v/>
      </c>
      <c r="C2085" s="2"/>
      <c r="D2085" s="55"/>
      <c r="E2085" s="55" t="str">
        <f>IF($A2085=0,"",VLOOKUP($A2085,'BASE EQUIPO'!$A:$D,4))</f>
        <v/>
      </c>
      <c r="F2085" s="55" t="str">
        <f t="shared" si="186"/>
        <v/>
      </c>
      <c r="G2085" s="106"/>
      <c r="H2085" s="56" t="str">
        <f t="shared" si="187"/>
        <v/>
      </c>
      <c r="I2085" s="5"/>
    </row>
    <row r="2086" spans="1:9" s="4" customFormat="1" x14ac:dyDescent="0.25">
      <c r="A2086" s="103"/>
      <c r="B2086" s="38" t="str">
        <f>IF($A2086=0,"",VLOOKUP($A2086,'BASE EQUIPO'!$A:$D,2))</f>
        <v/>
      </c>
      <c r="C2086" s="2"/>
      <c r="D2086" s="55"/>
      <c r="E2086" s="55" t="str">
        <f>IF($A2086=0,"",VLOOKUP($A2086,'BASE EQUIPO'!$A:$D,4))</f>
        <v/>
      </c>
      <c r="F2086" s="55" t="str">
        <f t="shared" si="186"/>
        <v/>
      </c>
      <c r="G2086" s="106"/>
      <c r="H2086" s="56" t="str">
        <f t="shared" si="187"/>
        <v/>
      </c>
      <c r="I2086" s="5"/>
    </row>
    <row r="2087" spans="1:9" s="4" customFormat="1" x14ac:dyDescent="0.25">
      <c r="A2087" s="103"/>
      <c r="B2087" s="57" t="str">
        <f>IF($A2087=0,"",VLOOKUP($A2087,'BASE EQUIPO'!$A:$D,2))</f>
        <v/>
      </c>
      <c r="C2087" s="58"/>
      <c r="D2087" s="59"/>
      <c r="E2087" s="59" t="str">
        <f>IF($A2087=0,"",VLOOKUP($A2087,'BASE EQUIPO'!$A:$D,4))</f>
        <v/>
      </c>
      <c r="F2087" s="59" t="str">
        <f t="shared" si="186"/>
        <v/>
      </c>
      <c r="G2087" s="107"/>
      <c r="H2087" s="60" t="str">
        <f t="shared" si="187"/>
        <v/>
      </c>
      <c r="I2087" s="5"/>
    </row>
    <row r="2088" spans="1:9" s="4" customFormat="1" x14ac:dyDescent="0.25">
      <c r="A2088" s="103"/>
      <c r="B2088" s="57" t="s">
        <v>1692</v>
      </c>
      <c r="C2088" s="58"/>
      <c r="D2088" s="61"/>
      <c r="E2088" s="61"/>
      <c r="F2088" s="61"/>
      <c r="G2088" s="62"/>
      <c r="H2088" s="60">
        <f>ROUND(SUM(H2081:H2087),2)</f>
        <v>7.33</v>
      </c>
      <c r="I2088" s="5"/>
    </row>
    <row r="2089" spans="1:9" s="4" customFormat="1" x14ac:dyDescent="0.25">
      <c r="A2089" s="103"/>
      <c r="B2089" s="38" t="s">
        <v>1503</v>
      </c>
      <c r="C2089" s="2"/>
      <c r="D2089" s="3"/>
      <c r="E2089" s="3"/>
      <c r="F2089" s="3"/>
      <c r="G2089" s="63"/>
      <c r="H2089" s="56"/>
      <c r="I2089" s="5"/>
    </row>
    <row r="2090" spans="1:9" ht="25.5" x14ac:dyDescent="0.25">
      <c r="B2090" s="64" t="s">
        <v>1691</v>
      </c>
      <c r="C2090" s="65"/>
      <c r="D2090" s="66" t="s">
        <v>1690</v>
      </c>
      <c r="E2090" s="66" t="s">
        <v>1689</v>
      </c>
      <c r="F2090" s="66" t="s">
        <v>1688</v>
      </c>
      <c r="G2090" s="67" t="s">
        <v>1687</v>
      </c>
      <c r="H2090" s="68" t="s">
        <v>1686</v>
      </c>
      <c r="I2090" s="2"/>
    </row>
    <row r="2091" spans="1:9" s="4" customFormat="1" x14ac:dyDescent="0.25">
      <c r="A2091" s="103">
        <v>20001</v>
      </c>
      <c r="B2091" s="69" t="str">
        <f>IF($A2091=0,"",VLOOKUP($A2091,'BASE M-OBRA'!$A:$D,2))</f>
        <v>MAESTRO</v>
      </c>
      <c r="C2091" s="2"/>
      <c r="D2091" s="108">
        <v>1</v>
      </c>
      <c r="E2091" s="70">
        <f>IF($A2091=0,"",VLOOKUP($A2091,'BASE M-OBRA'!$A:$D,4))</f>
        <v>3.02</v>
      </c>
      <c r="F2091" s="55">
        <f t="shared" ref="F2091:F2097" si="188">IF($A2091=0,"",ROUND(D2091*E2091,2))</f>
        <v>3.02</v>
      </c>
      <c r="G2091" s="106">
        <f>IF($A2091=0,"",ROUND(H2091/F2091,2))</f>
        <v>3.83</v>
      </c>
      <c r="H2091" s="56">
        <f>IF($A2091=0,"",ROUND(SUM(H2092:H2097)*'BASE M-OBRA'!$D$23,2))</f>
        <v>11.56</v>
      </c>
      <c r="I2091" s="5"/>
    </row>
    <row r="2092" spans="1:9" s="4" customFormat="1" x14ac:dyDescent="0.25">
      <c r="A2092" s="103">
        <v>20002</v>
      </c>
      <c r="B2092" s="69" t="str">
        <f>IF($A2092=0,"",VLOOKUP($A2092,'BASE M-OBRA'!$A:$D,2))</f>
        <v>PEON</v>
      </c>
      <c r="C2092" s="2"/>
      <c r="D2092" s="108">
        <v>1</v>
      </c>
      <c r="E2092" s="70">
        <f>IF($A2092=0,"",VLOOKUP($A2092,'BASE M-OBRA'!$A:$D,4))</f>
        <v>2.79</v>
      </c>
      <c r="F2092" s="55">
        <f t="shared" si="188"/>
        <v>2.79</v>
      </c>
      <c r="G2092" s="106">
        <v>6</v>
      </c>
      <c r="H2092" s="56">
        <f t="shared" ref="H2092:H2097" si="189">IF($A2092=0,"",ROUND(G2092*F2092,2))</f>
        <v>16.739999999999998</v>
      </c>
      <c r="I2092" s="5"/>
    </row>
    <row r="2093" spans="1:9" s="4" customFormat="1" x14ac:dyDescent="0.25">
      <c r="A2093" s="103">
        <v>20003</v>
      </c>
      <c r="B2093" s="69" t="str">
        <f>IF($A2093=0,"",VLOOKUP($A2093,'BASE M-OBRA'!$A:$D,2))</f>
        <v>ALBAÑIL</v>
      </c>
      <c r="C2093" s="2"/>
      <c r="D2093" s="108">
        <v>1</v>
      </c>
      <c r="E2093" s="70">
        <f>IF($A2093=0,"",VLOOKUP($A2093,'BASE M-OBRA'!$A:$D,4))</f>
        <v>2.82</v>
      </c>
      <c r="F2093" s="55">
        <f t="shared" si="188"/>
        <v>2.82</v>
      </c>
      <c r="G2093" s="106">
        <f>+G2092</f>
        <v>6</v>
      </c>
      <c r="H2093" s="56">
        <f t="shared" si="189"/>
        <v>16.920000000000002</v>
      </c>
      <c r="I2093" s="5"/>
    </row>
    <row r="2094" spans="1:9" s="4" customFormat="1" x14ac:dyDescent="0.25">
      <c r="A2094" s="103"/>
      <c r="B2094" s="72" t="str">
        <f>IF($A2094=0,"",VLOOKUP($A2094,'BASE M-OBRA'!$A:$D,2))</f>
        <v/>
      </c>
      <c r="C2094" s="2"/>
      <c r="D2094" s="108"/>
      <c r="E2094" s="70" t="str">
        <f>IF($A2094=0,"",VLOOKUP($A2094,'BASE M-OBRA'!$A:$D,4))</f>
        <v/>
      </c>
      <c r="F2094" s="55" t="str">
        <f t="shared" si="188"/>
        <v/>
      </c>
      <c r="G2094" s="106"/>
      <c r="H2094" s="56" t="str">
        <f t="shared" si="189"/>
        <v/>
      </c>
      <c r="I2094" s="5"/>
    </row>
    <row r="2095" spans="1:9" s="4" customFormat="1" x14ac:dyDescent="0.25">
      <c r="A2095" s="103">
        <v>20006</v>
      </c>
      <c r="B2095" s="71" t="str">
        <f>IF($A2095=0,"",VLOOKUP($A2095,'BASE M-OBRA'!$A:$D,2))</f>
        <v>MAESTRO  SOLDADOR</v>
      </c>
      <c r="C2095" s="2"/>
      <c r="D2095" s="108">
        <v>1</v>
      </c>
      <c r="E2095" s="70">
        <f>IF($A2095=0,"",VLOOKUP($A2095,'BASE M-OBRA'!$A:$D,4))</f>
        <v>3.02</v>
      </c>
      <c r="F2095" s="55">
        <f>IF($A2095=0,"",ROUND(D2095*E2095,2))</f>
        <v>3.02</v>
      </c>
      <c r="G2095" s="106">
        <v>8</v>
      </c>
      <c r="H2095" s="56">
        <f>IF($A2095=0,"",ROUND(G2095*F2095,2))</f>
        <v>24.16</v>
      </c>
      <c r="I2095" s="5"/>
    </row>
    <row r="2096" spans="1:9" s="4" customFormat="1" x14ac:dyDescent="0.25">
      <c r="A2096" s="103"/>
      <c r="B2096" s="38" t="str">
        <f>IF($A2096=0,"",VLOOKUP($A2096,'BASE M-OBRA'!$A:$D,2))</f>
        <v/>
      </c>
      <c r="C2096" s="2"/>
      <c r="D2096" s="55"/>
      <c r="E2096" s="55" t="str">
        <f>IF($A2096=0,"",VLOOKUP($A2096,'BASE M-OBRA'!$A:$D,4))</f>
        <v/>
      </c>
      <c r="F2096" s="55" t="str">
        <f t="shared" si="188"/>
        <v/>
      </c>
      <c r="G2096" s="106"/>
      <c r="H2096" s="56" t="str">
        <f t="shared" si="189"/>
        <v/>
      </c>
      <c r="I2096" s="5"/>
    </row>
    <row r="2097" spans="1:16" s="4" customFormat="1" x14ac:dyDescent="0.25">
      <c r="A2097" s="103"/>
      <c r="B2097" s="57" t="str">
        <f>IF($A2097=0,"",VLOOKUP($A2097,'BASE M-OBRA'!$A:$D,2))</f>
        <v/>
      </c>
      <c r="C2097" s="58"/>
      <c r="D2097" s="59"/>
      <c r="E2097" s="59" t="str">
        <f>IF($A2097=0,"",VLOOKUP($A2097,'BASE M-OBRA'!$A:$D,4))</f>
        <v/>
      </c>
      <c r="F2097" s="59" t="str">
        <f t="shared" si="188"/>
        <v/>
      </c>
      <c r="G2097" s="107"/>
      <c r="H2097" s="60" t="str">
        <f t="shared" si="189"/>
        <v/>
      </c>
      <c r="I2097" s="5"/>
    </row>
    <row r="2098" spans="1:16" s="4" customFormat="1" x14ac:dyDescent="0.25">
      <c r="A2098" s="103"/>
      <c r="B2098" s="73" t="s">
        <v>1685</v>
      </c>
      <c r="C2098" s="65"/>
      <c r="D2098" s="74"/>
      <c r="E2098" s="74"/>
      <c r="F2098" s="74"/>
      <c r="G2098" s="74"/>
      <c r="H2098" s="75">
        <f>ROUND(SUM(H2090:H2097),2)</f>
        <v>69.38</v>
      </c>
      <c r="I2098" s="5"/>
    </row>
    <row r="2099" spans="1:16" s="4" customFormat="1" x14ac:dyDescent="0.25">
      <c r="A2099" s="103"/>
      <c r="B2099" s="38" t="s">
        <v>1684</v>
      </c>
      <c r="C2099" s="2"/>
      <c r="D2099" s="3"/>
      <c r="E2099" s="3"/>
      <c r="F2099" s="3"/>
      <c r="G2099" s="3"/>
      <c r="H2099" s="56"/>
      <c r="I2099" s="5"/>
    </row>
    <row r="2100" spans="1:16" ht="25.5" x14ac:dyDescent="0.25">
      <c r="B2100" s="64" t="s">
        <v>1409</v>
      </c>
      <c r="C2100" s="65"/>
      <c r="D2100" s="76"/>
      <c r="E2100" s="66" t="s">
        <v>1408</v>
      </c>
      <c r="F2100" s="66" t="s">
        <v>1679</v>
      </c>
      <c r="G2100" s="66" t="s">
        <v>1683</v>
      </c>
      <c r="H2100" s="68" t="s">
        <v>1675</v>
      </c>
      <c r="I2100" s="2"/>
    </row>
    <row r="2101" spans="1:16" s="4" customFormat="1" x14ac:dyDescent="0.25">
      <c r="A2101" s="103"/>
      <c r="B2101" s="37" t="str">
        <f>IF($A2101=0,"",VLOOKUP($A2101,'BASE MATERIAL'!$A:$D,2))</f>
        <v/>
      </c>
      <c r="C2101" s="2"/>
      <c r="D2101" s="77"/>
      <c r="E2101" s="78" t="str">
        <f>IF($A2101=0,"",VLOOKUP($A2101,'BASE MATERIAL'!$A:$D,3))</f>
        <v/>
      </c>
      <c r="F2101" s="55"/>
      <c r="G2101" s="55" t="str">
        <f>IF($A2101=0,"",VLOOKUP($A2101,'BASE MATERIAL'!$A:$D,4))</f>
        <v/>
      </c>
      <c r="H2101" s="56" t="str">
        <f t="shared" ref="H2101:H2115" si="190">IF($A2101=0,"",ROUND(F2101*G2101,2))</f>
        <v/>
      </c>
      <c r="I2101" s="5"/>
      <c r="L2101" s="5"/>
      <c r="M2101" s="5"/>
      <c r="N2101" s="160"/>
      <c r="O2101" s="5"/>
      <c r="P2101" s="5"/>
    </row>
    <row r="2102" spans="1:16" s="4" customFormat="1" x14ac:dyDescent="0.25">
      <c r="A2102" s="103">
        <v>11009</v>
      </c>
      <c r="B2102" s="38" t="str">
        <f>IF($A2102=0,"",VLOOKUP($A2102,'BASE MATERIAL'!$A:$D,2))</f>
        <v>CUARTON</v>
      </c>
      <c r="C2102" s="2"/>
      <c r="D2102" s="77"/>
      <c r="E2102" s="78" t="str">
        <f>IF($A2102=0,"",VLOOKUP($A2102,'BASE MATERIAL'!$A:$D,3))</f>
        <v>U</v>
      </c>
      <c r="F2102" s="55">
        <v>0.2</v>
      </c>
      <c r="G2102" s="55">
        <f>IF($A2102=0,"",VLOOKUP($A2102,'BASE MATERIAL'!$A:$D,4))</f>
        <v>2.42</v>
      </c>
      <c r="H2102" s="56">
        <f t="shared" si="190"/>
        <v>0.48</v>
      </c>
      <c r="I2102" s="5"/>
      <c r="L2102" s="5"/>
      <c r="M2102" s="5"/>
      <c r="N2102" s="160"/>
      <c r="O2102" s="5"/>
      <c r="P2102" s="5"/>
    </row>
    <row r="2103" spans="1:16" s="4" customFormat="1" x14ac:dyDescent="0.25">
      <c r="A2103" s="103">
        <v>11007</v>
      </c>
      <c r="B2103" s="38" t="str">
        <f>IF($A2103=0,"",VLOOKUP($A2103,'BASE MATERIAL'!$A:$D,2))</f>
        <v>CLAVO 2 1/2"</v>
      </c>
      <c r="C2103" s="2"/>
      <c r="D2103" s="77"/>
      <c r="E2103" s="78" t="str">
        <f>IF($A2103=0,"",VLOOKUP($A2103,'BASE MATERIAL'!$A:$D,3))</f>
        <v>KG</v>
      </c>
      <c r="F2103" s="55">
        <v>0.1</v>
      </c>
      <c r="G2103" s="55">
        <f>IF($A2103=0,"",VLOOKUP($A2103,'BASE MATERIAL'!$A:$D,4))</f>
        <v>2.6520000000000001</v>
      </c>
      <c r="H2103" s="56">
        <f t="shared" si="190"/>
        <v>0.27</v>
      </c>
      <c r="I2103" s="5"/>
      <c r="L2103" s="5"/>
      <c r="M2103" s="5"/>
      <c r="N2103" s="160"/>
      <c r="O2103" s="5"/>
      <c r="P2103" s="5"/>
    </row>
    <row r="2104" spans="1:16" s="4" customFormat="1" x14ac:dyDescent="0.25">
      <c r="A2104" s="103">
        <v>14029</v>
      </c>
      <c r="B2104" s="38" t="str">
        <f>IF($A2104=0,"",VLOOKUP($A2104,'BASE MATERIAL'!$A:$D,2))</f>
        <v>MALLA ELEC 5,5mm c/15cm</v>
      </c>
      <c r="C2104" s="2"/>
      <c r="D2104" s="77"/>
      <c r="E2104" s="78" t="str">
        <f>IF($A2104=0,"",VLOOKUP($A2104,'BASE MATERIAL'!$A:$D,3))</f>
        <v>M2</v>
      </c>
      <c r="F2104" s="55">
        <f>1+1</f>
        <v>2</v>
      </c>
      <c r="G2104" s="55">
        <f>IF($A2104=0,"",VLOOKUP($A2104,'BASE MATERIAL'!$A:$D,4))</f>
        <v>3.5481600000000006</v>
      </c>
      <c r="H2104" s="56">
        <f t="shared" si="190"/>
        <v>7.1</v>
      </c>
      <c r="I2104" s="5"/>
      <c r="L2104" s="5"/>
      <c r="M2104" s="5"/>
      <c r="N2104" s="160"/>
      <c r="O2104" s="5"/>
      <c r="P2104" s="5"/>
    </row>
    <row r="2105" spans="1:16" s="4" customFormat="1" x14ac:dyDescent="0.25">
      <c r="A2105" s="103">
        <v>4001</v>
      </c>
      <c r="B2105" s="38" t="str">
        <f>IF($A2105=0,"",VLOOKUP($A2105,'BASE MATERIAL'!$A:$D,2))</f>
        <v>CEMENTO</v>
      </c>
      <c r="C2105" s="2"/>
      <c r="D2105" s="77"/>
      <c r="E2105" s="78" t="str">
        <f>IF($A2105=0,"",VLOOKUP($A2105,'BASE MATERIAL'!$A:$D,3))</f>
        <v>SACO</v>
      </c>
      <c r="F2105" s="55">
        <f>ROUND(7*0.9*0.9*0.07,2)</f>
        <v>0.4</v>
      </c>
      <c r="G2105" s="55">
        <f>IF($A2105=0,"",VLOOKUP($A2105,'BASE MATERIAL'!$A:$D,4))</f>
        <v>7.09</v>
      </c>
      <c r="H2105" s="56">
        <f t="shared" si="190"/>
        <v>2.84</v>
      </c>
      <c r="I2105" s="5"/>
    </row>
    <row r="2106" spans="1:16" s="4" customFormat="1" x14ac:dyDescent="0.25">
      <c r="A2106" s="103">
        <v>5004</v>
      </c>
      <c r="B2106" s="38" t="str">
        <f>IF($A2106=0,"",VLOOKUP($A2106,'BASE MATERIAL'!$A:$D,2))</f>
        <v>ARENA</v>
      </c>
      <c r="C2106" s="2"/>
      <c r="D2106" s="77"/>
      <c r="E2106" s="78" t="str">
        <f>IF($A2106=0,"",VLOOKUP($A2106,'BASE MATERIAL'!$A:$D,3))</f>
        <v>M3</v>
      </c>
      <c r="F2106" s="55">
        <f>ROUND(F2105*0.032*2,2)</f>
        <v>0.03</v>
      </c>
      <c r="G2106" s="55">
        <f>IF($A2106=0,"",VLOOKUP($A2106,'BASE MATERIAL'!$A:$D,4))</f>
        <v>12.276249999999999</v>
      </c>
      <c r="H2106" s="56">
        <f t="shared" si="190"/>
        <v>0.37</v>
      </c>
      <c r="I2106" s="5"/>
      <c r="L2106" s="5"/>
      <c r="M2106" s="5"/>
      <c r="N2106" s="160"/>
      <c r="O2106" s="5"/>
      <c r="P2106" s="5"/>
    </row>
    <row r="2107" spans="1:16" s="4" customFormat="1" x14ac:dyDescent="0.25">
      <c r="A2107" s="103">
        <v>5002</v>
      </c>
      <c r="B2107" s="38" t="str">
        <f>IF($A2107=0,"",VLOOKUP($A2107,'BASE MATERIAL'!$A:$D,2))</f>
        <v>PIEDRA 3-4</v>
      </c>
      <c r="C2107" s="2"/>
      <c r="D2107" s="77"/>
      <c r="E2107" s="78" t="str">
        <f>IF($A2107=0,"",VLOOKUP($A2107,'BASE MATERIAL'!$A:$D,3))</f>
        <v>M3</v>
      </c>
      <c r="F2107" s="55">
        <f>ROUND(F2105*0.032*3,2)</f>
        <v>0.04</v>
      </c>
      <c r="G2107" s="55">
        <f>IF($A2107=0,"",VLOOKUP($A2107,'BASE MATERIAL'!$A:$D,4))</f>
        <v>13.75</v>
      </c>
      <c r="H2107" s="56">
        <f t="shared" si="190"/>
        <v>0.55000000000000004</v>
      </c>
      <c r="I2107" s="5"/>
      <c r="L2107" s="5"/>
      <c r="M2107" s="5"/>
      <c r="N2107" s="160"/>
      <c r="O2107" s="5"/>
      <c r="P2107" s="5"/>
    </row>
    <row r="2108" spans="1:16" s="4" customFormat="1" x14ac:dyDescent="0.25">
      <c r="A2108" s="103">
        <v>5005</v>
      </c>
      <c r="B2108" s="38" t="str">
        <f>IF($A2108=0,"",VLOOKUP($A2108,'BASE MATERIAL'!$A:$D,2))</f>
        <v>AGUA</v>
      </c>
      <c r="C2108" s="2"/>
      <c r="D2108" s="77"/>
      <c r="E2108" s="78" t="str">
        <f>IF($A2108=0,"",VLOOKUP($A2108,'BASE MATERIAL'!$A:$D,3))</f>
        <v>LT</v>
      </c>
      <c r="F2108" s="55">
        <f>ROUND(26*F2105,2)</f>
        <v>10.4</v>
      </c>
      <c r="G2108" s="80">
        <f>IF($A2108=0,"",VLOOKUP($A2108,'BASE MATERIAL'!$A:$D,4))</f>
        <v>2E-3</v>
      </c>
      <c r="H2108" s="56">
        <f t="shared" si="190"/>
        <v>0.02</v>
      </c>
      <c r="I2108" s="5"/>
      <c r="L2108" s="5"/>
      <c r="M2108" s="5"/>
      <c r="N2108" s="160"/>
      <c r="O2108" s="5"/>
      <c r="P2108" s="5"/>
    </row>
    <row r="2109" spans="1:16" s="4" customFormat="1" x14ac:dyDescent="0.25">
      <c r="A2109" s="103">
        <v>4001</v>
      </c>
      <c r="B2109" s="38" t="str">
        <f>IF($A2109=0,"",VLOOKUP($A2109,'BASE MATERIAL'!$A:$D,2))</f>
        <v>CEMENTO</v>
      </c>
      <c r="C2109" s="2"/>
      <c r="D2109" s="77"/>
      <c r="E2109" s="78" t="str">
        <f>IF($A2109=0,"",VLOOKUP($A2109,'BASE MATERIAL'!$A:$D,3))</f>
        <v>SACO</v>
      </c>
      <c r="F2109" s="55">
        <f>ROUND(0.2*3.2,2)+ROUND(0.2*4.2,3)</f>
        <v>1.48</v>
      </c>
      <c r="G2109" s="55">
        <f>IF($A2109=0,"",VLOOKUP($A2109,'BASE MATERIAL'!$A:$D,4))</f>
        <v>7.09</v>
      </c>
      <c r="H2109" s="56">
        <f t="shared" si="190"/>
        <v>10.49</v>
      </c>
      <c r="I2109" s="5"/>
      <c r="L2109" s="5"/>
      <c r="M2109" s="5"/>
      <c r="N2109" s="160"/>
      <c r="O2109" s="5"/>
      <c r="P2109" s="5"/>
    </row>
    <row r="2110" spans="1:16" s="4" customFormat="1" x14ac:dyDescent="0.25">
      <c r="A2110" s="103">
        <v>8004</v>
      </c>
      <c r="B2110" s="38" t="str">
        <f>IF($A2110=0,"",VLOOKUP($A2110,'BASE MATERIAL'!$A:$D,2))</f>
        <v>BLOQUE DE CONCRETO 9x19x39 PL9</v>
      </c>
      <c r="C2110" s="2"/>
      <c r="D2110" s="77"/>
      <c r="E2110" s="78" t="str">
        <f>IF($A2110=0,"",VLOOKUP($A2110,'BASE MATERIAL'!$A:$D,3))</f>
        <v>U</v>
      </c>
      <c r="F2110" s="55">
        <f>(0.8*4)*1*12.5</f>
        <v>40</v>
      </c>
      <c r="G2110" s="55">
        <f>IF($A2110=0,"",VLOOKUP($A2110,'BASE MATERIAL'!$A:$D,4))</f>
        <v>0.4</v>
      </c>
      <c r="H2110" s="56">
        <f t="shared" si="190"/>
        <v>16</v>
      </c>
      <c r="I2110" s="5"/>
    </row>
    <row r="2111" spans="1:16" s="4" customFormat="1" x14ac:dyDescent="0.25">
      <c r="A2111" s="103">
        <v>5005</v>
      </c>
      <c r="B2111" s="38" t="str">
        <f>IF($A2111=0,"",VLOOKUP($A2111,'BASE MATERIAL'!$A:$D,2))</f>
        <v>AGUA</v>
      </c>
      <c r="C2111" s="2"/>
      <c r="D2111" s="77"/>
      <c r="E2111" s="78" t="str">
        <f>IF($A2111=0,"",VLOOKUP($A2111,'BASE MATERIAL'!$A:$D,3))</f>
        <v>LT</v>
      </c>
      <c r="F2111" s="55">
        <f>ROUND(26*F2109,2)</f>
        <v>38.479999999999997</v>
      </c>
      <c r="G2111" s="80">
        <f>IF($A2111=0,"",VLOOKUP($A2111,'BASE MATERIAL'!$A:$D,4))</f>
        <v>2E-3</v>
      </c>
      <c r="H2111" s="56">
        <f>IF($A2111=0,"",ROUND(F2111*G2111,2))</f>
        <v>0.08</v>
      </c>
      <c r="I2111" s="5"/>
      <c r="L2111" s="5"/>
      <c r="M2111" s="5"/>
      <c r="N2111" s="160"/>
      <c r="O2111" s="5"/>
      <c r="P2111" s="5"/>
    </row>
    <row r="2112" spans="1:16" s="4" customFormat="1" x14ac:dyDescent="0.25">
      <c r="A2112" s="103">
        <v>1003</v>
      </c>
      <c r="B2112" s="38" t="str">
        <f>IF($A2112=0,"",VLOOKUP($A2112,'BASE MATERIAL'!$A:$D,2))</f>
        <v>ANGULO 50x50x3</v>
      </c>
      <c r="C2112" s="2"/>
      <c r="D2112" s="77"/>
      <c r="E2112" s="78" t="str">
        <f>IF($A2112=0,"",VLOOKUP($A2112,'BASE MATERIAL'!$A:$D,3))</f>
        <v>ML</v>
      </c>
      <c r="F2112" s="55">
        <f>0.8*4*2</f>
        <v>6.4</v>
      </c>
      <c r="G2112" s="55">
        <f>IF($A2112=0,"",VLOOKUP($A2112,'BASE MATERIAL'!$A:$D,4))</f>
        <v>3</v>
      </c>
      <c r="H2112" s="56">
        <f t="shared" si="190"/>
        <v>19.2</v>
      </c>
      <c r="I2112" s="5"/>
      <c r="L2112" s="5"/>
      <c r="M2112" s="5"/>
      <c r="N2112" s="160"/>
      <c r="O2112" s="5"/>
      <c r="P2112" s="5"/>
    </row>
    <row r="2113" spans="1:9" s="4" customFormat="1" x14ac:dyDescent="0.25">
      <c r="A2113" s="103">
        <v>14002</v>
      </c>
      <c r="B2113" s="38" t="str">
        <f>IF($A2113=0,"",VLOOKUP($A2113,'BASE MATERIAL'!$A:$D,2))</f>
        <v>SOLDADURA aga 60/11</v>
      </c>
      <c r="C2113" s="2"/>
      <c r="D2113" s="77"/>
      <c r="E2113" s="78" t="str">
        <f>IF($A2113=0,"",VLOOKUP($A2113,'BASE MATERIAL'!$A:$D,3))</f>
        <v>KG</v>
      </c>
      <c r="F2113" s="55">
        <v>0.5</v>
      </c>
      <c r="G2113" s="55">
        <f>IF($A2113=0,"",VLOOKUP($A2113,'BASE MATERIAL'!$A:$D,4))</f>
        <v>3.65</v>
      </c>
      <c r="H2113" s="56">
        <f>IF($A2113=0,"",ROUND(F2113*G2113,2))</f>
        <v>1.83</v>
      </c>
      <c r="I2113" s="5"/>
    </row>
    <row r="2114" spans="1:9" s="4" customFormat="1" x14ac:dyDescent="0.25">
      <c r="A2114" s="103">
        <v>13016</v>
      </c>
      <c r="B2114" s="38" t="str">
        <f>IF($A2114=0,"",VLOOKUP($A2114,'BASE MATERIAL'!$A:$D,2))</f>
        <v>PINTURA ANTICORROSIVA</v>
      </c>
      <c r="C2114" s="2"/>
      <c r="D2114" s="77"/>
      <c r="E2114" s="78" t="str">
        <f>IF($A2114=0,"",VLOOKUP($A2114,'BASE MATERIAL'!$A:$D,3))</f>
        <v>GL</v>
      </c>
      <c r="F2114" s="55">
        <v>0.05</v>
      </c>
      <c r="G2114" s="55">
        <f>IF($A2114=0,"",VLOOKUP($A2114,'BASE MATERIAL'!$A:$D,4))</f>
        <v>16</v>
      </c>
      <c r="H2114" s="56">
        <f t="shared" si="190"/>
        <v>0.8</v>
      </c>
      <c r="I2114" s="5"/>
    </row>
    <row r="2115" spans="1:9" s="4" customFormat="1" x14ac:dyDescent="0.25">
      <c r="A2115" s="103"/>
      <c r="B2115" s="38" t="str">
        <f>IF($A2115=0,"",VLOOKUP($A2115,'BASE MATERIAL'!$A:$D,2))</f>
        <v/>
      </c>
      <c r="C2115" s="2"/>
      <c r="D2115" s="81" t="s">
        <v>1682</v>
      </c>
      <c r="E2115" s="55" t="str">
        <f>IF($A2115=0,"",VLOOKUP($A2115,'BASE MATERIAL'!$A:$D,3))</f>
        <v/>
      </c>
      <c r="F2115" s="55" t="s">
        <v>1682</v>
      </c>
      <c r="G2115" s="55" t="str">
        <f>IF($A2115=0,"",VLOOKUP($A2115,'BASE MATERIAL'!$A:$D,4))</f>
        <v/>
      </c>
      <c r="H2115" s="56" t="str">
        <f t="shared" si="190"/>
        <v/>
      </c>
      <c r="I2115" s="5"/>
    </row>
    <row r="2116" spans="1:9" s="4" customFormat="1" x14ac:dyDescent="0.25">
      <c r="A2116" s="103"/>
      <c r="B2116" s="38" t="str">
        <f>IF($A2116=0,"",VLOOKUP($A2116,'BASE MATERIAL'!$A:$D,2))</f>
        <v/>
      </c>
      <c r="C2116" s="2"/>
      <c r="D2116" s="81" t="s">
        <v>1682</v>
      </c>
      <c r="E2116" s="55" t="str">
        <f>IF($A2116=0,"",VLOOKUP($A2116,'BASE MATERIAL'!$A:$D,3))</f>
        <v/>
      </c>
      <c r="F2116" s="55" t="s">
        <v>1682</v>
      </c>
      <c r="G2116" s="55" t="str">
        <f>IF($A2116=0,"",VLOOKUP($A2116,'BASE MATERIAL'!$A:$D,4))</f>
        <v/>
      </c>
      <c r="H2116" s="56" t="str">
        <f>IF($A2116=0,"",ROUND(E2116*F2116,2))</f>
        <v/>
      </c>
      <c r="I2116" s="5"/>
    </row>
    <row r="2117" spans="1:9" s="4" customFormat="1" x14ac:dyDescent="0.25">
      <c r="A2117" s="103"/>
      <c r="B2117" s="73" t="s">
        <v>1681</v>
      </c>
      <c r="C2117" s="65"/>
      <c r="D2117" s="74"/>
      <c r="E2117" s="74"/>
      <c r="F2117" s="74"/>
      <c r="G2117" s="74"/>
      <c r="H2117" s="75">
        <f>ROUND(SUM(H2100:H2116),2)</f>
        <v>60.03</v>
      </c>
      <c r="I2117" s="5"/>
    </row>
    <row r="2118" spans="1:9" s="4" customFormat="1" x14ac:dyDescent="0.25">
      <c r="A2118" s="103"/>
      <c r="B2118" s="38" t="s">
        <v>1680</v>
      </c>
      <c r="C2118" s="2"/>
      <c r="D2118" s="3"/>
      <c r="E2118" s="3"/>
      <c r="F2118" s="3"/>
      <c r="G2118" s="3"/>
      <c r="H2118" s="56"/>
      <c r="I2118" s="5"/>
    </row>
    <row r="2119" spans="1:9" ht="25.5" x14ac:dyDescent="0.25">
      <c r="B2119" s="64" t="s">
        <v>1409</v>
      </c>
      <c r="C2119" s="65"/>
      <c r="D2119" s="76"/>
      <c r="E2119" s="66" t="s">
        <v>1408</v>
      </c>
      <c r="F2119" s="66" t="s">
        <v>1679</v>
      </c>
      <c r="G2119" s="66" t="s">
        <v>1676</v>
      </c>
      <c r="H2119" s="68" t="s">
        <v>1675</v>
      </c>
      <c r="I2119" s="2"/>
    </row>
    <row r="2120" spans="1:9" s="4" customFormat="1" x14ac:dyDescent="0.25">
      <c r="A2120" s="103">
        <v>19019</v>
      </c>
      <c r="B2120" s="51" t="str">
        <f>IF($A2120=0,"",VLOOKUP($A2120,'BASE EQUIPO'!$A:$D,2))</f>
        <v>TRANSPORTE DE MATERIAL</v>
      </c>
      <c r="C2120" s="52"/>
      <c r="D2120" s="82"/>
      <c r="E2120" s="78" t="str">
        <f>IF($A2120=0,"",VLOOKUP($A2120,'BASE EQUIPO'!$A:$D,3))</f>
        <v>GLOBAL</v>
      </c>
      <c r="F2120" s="55">
        <v>1</v>
      </c>
      <c r="G2120" s="83">
        <f>IF($A2120=0,"",VLOOKUP($A2120,'BASE EQUIPO'!$A:$D,4)*H2117)</f>
        <v>1.8008999999999999</v>
      </c>
      <c r="H2120" s="56">
        <f>IF($A2120=0,"",ROUND(F2120*G2120,2))</f>
        <v>1.8</v>
      </c>
      <c r="I2120" s="5"/>
    </row>
    <row r="2121" spans="1:9" s="4" customFormat="1" x14ac:dyDescent="0.25">
      <c r="A2121" s="103"/>
      <c r="B2121" s="38" t="str">
        <f>IF($A2121=0,"",VLOOKUP($A2121,'BASE EQUIPO'!$A:$D,2))</f>
        <v/>
      </c>
      <c r="C2121" s="2"/>
      <c r="D2121" s="84"/>
      <c r="E2121" s="78" t="str">
        <f>IF($A2121=0,"",VLOOKUP($A2121,'BASE EQUIPO'!$A:$D,3))</f>
        <v/>
      </c>
      <c r="F2121" s="55"/>
      <c r="G2121" s="55" t="str">
        <f>IF($A2121=0,"",VLOOKUP($A2121,'BASE EQUIPO'!$A:$D,4)*H2118)</f>
        <v/>
      </c>
      <c r="H2121" s="56" t="str">
        <f>IF($A2121=0,"",ROUND(F2121*G2121,2))</f>
        <v/>
      </c>
      <c r="I2121" s="5"/>
    </row>
    <row r="2122" spans="1:9" s="4" customFormat="1" x14ac:dyDescent="0.25">
      <c r="A2122" s="103"/>
      <c r="B2122" s="57" t="str">
        <f>IF($A2122=0,"",VLOOKUP($A2122,'BASE EQUIPO'!$A:$D,2))</f>
        <v/>
      </c>
      <c r="C2122" s="58"/>
      <c r="D2122" s="85"/>
      <c r="E2122" s="86" t="str">
        <f>IF($A2122=0,"",VLOOKUP($A2122,'BASE EQUIPO'!$A:$D,3))</f>
        <v/>
      </c>
      <c r="F2122" s="59"/>
      <c r="G2122" s="59" t="str">
        <f>IF($A2122=0,"",VLOOKUP($A2122,'BASE EQUIPO'!$A:$D,4)*H2119)</f>
        <v/>
      </c>
      <c r="H2122" s="60" t="str">
        <f>IF($A2122=0,"",ROUND(F2122*G2122,2))</f>
        <v/>
      </c>
      <c r="I2122" s="5"/>
    </row>
    <row r="2123" spans="1:9" s="4" customFormat="1" ht="15.75" thickBot="1" x14ac:dyDescent="0.3">
      <c r="A2123" s="103"/>
      <c r="B2123" s="87" t="s">
        <v>1674</v>
      </c>
      <c r="C2123" s="88"/>
      <c r="D2123" s="89"/>
      <c r="E2123" s="89"/>
      <c r="F2123" s="89"/>
      <c r="G2123" s="89"/>
      <c r="H2123" s="90">
        <f>ROUND(SUM(H2119:H2122),2)</f>
        <v>1.8</v>
      </c>
      <c r="I2123" s="5"/>
    </row>
    <row r="2124" spans="1:9" s="4" customFormat="1" ht="15.75" x14ac:dyDescent="0.25">
      <c r="A2124" s="103"/>
      <c r="B2124" s="2"/>
      <c r="C2124" s="2"/>
      <c r="D2124" s="91" t="s">
        <v>1673</v>
      </c>
      <c r="E2124" s="177"/>
      <c r="F2124" s="177"/>
      <c r="G2124" s="177"/>
      <c r="H2124" s="92">
        <f>ROUND(SUM(H2123,H2117,H2098,H2088),2)</f>
        <v>138.54</v>
      </c>
      <c r="I2124" s="5"/>
    </row>
    <row r="2125" spans="1:9" s="4" customFormat="1" ht="15.75" x14ac:dyDescent="0.25">
      <c r="A2125" s="103">
        <v>40002</v>
      </c>
      <c r="B2125" s="2"/>
      <c r="C2125" s="2"/>
      <c r="D2125" s="93" t="s">
        <v>1672</v>
      </c>
      <c r="E2125" s="166"/>
      <c r="F2125" s="166"/>
      <c r="G2125" s="178">
        <f>IF($A2125=0,"",VLOOKUP($A2125,'BASE MATERIAL'!$M:$P,4))</f>
        <v>0</v>
      </c>
      <c r="H2125" s="95">
        <f>IF($A2125=0,"",ROUND(G2125*H2124,2))</f>
        <v>0</v>
      </c>
      <c r="I2125" s="5"/>
    </row>
    <row r="2126" spans="1:9" s="4" customFormat="1" ht="15.75" x14ac:dyDescent="0.25">
      <c r="A2126" s="103">
        <v>40003</v>
      </c>
      <c r="B2126" s="2"/>
      <c r="C2126" s="2"/>
      <c r="D2126" s="93" t="s">
        <v>1671</v>
      </c>
      <c r="E2126" s="166"/>
      <c r="F2126" s="166"/>
      <c r="G2126" s="178">
        <f>IF($A2126=0,"",VLOOKUP($A2126,'BASE MATERIAL'!$M:$P,4))</f>
        <v>0</v>
      </c>
      <c r="H2126" s="95">
        <f>IF($A2126=0,"",ROUND(G2126*H2124,2))</f>
        <v>0</v>
      </c>
      <c r="I2126" s="5"/>
    </row>
    <row r="2127" spans="1:9" s="4" customFormat="1" ht="15.75" x14ac:dyDescent="0.25">
      <c r="A2127" s="103"/>
      <c r="B2127" s="2"/>
      <c r="C2127" s="2"/>
      <c r="D2127" s="93" t="s">
        <v>1670</v>
      </c>
      <c r="E2127" s="166"/>
      <c r="F2127" s="166"/>
      <c r="G2127" s="166"/>
      <c r="H2127" s="96">
        <f>ROUND(SUM(H2124:H2126),2)</f>
        <v>138.54</v>
      </c>
      <c r="I2127" s="5"/>
    </row>
    <row r="2128" spans="1:9" s="4" customFormat="1" ht="16.5" thickBot="1" x14ac:dyDescent="0.3">
      <c r="A2128" s="103"/>
      <c r="B2128" s="25"/>
      <c r="C2128" s="5"/>
      <c r="D2128" s="97" t="s">
        <v>1650</v>
      </c>
      <c r="E2128" s="179"/>
      <c r="F2128" s="179"/>
      <c r="G2128" s="179"/>
      <c r="H2128" s="98">
        <f>ROUND(H2127,2)</f>
        <v>138.54</v>
      </c>
      <c r="I2128" s="5"/>
    </row>
    <row r="2129" spans="1:15" ht="15.75" x14ac:dyDescent="0.25">
      <c r="B2129" s="34" t="s">
        <v>1701</v>
      </c>
      <c r="C2129" s="2"/>
      <c r="D2129" s="3" t="str">
        <f>'1.1'!$D$1</f>
        <v>ESPOL</v>
      </c>
      <c r="E2129" s="2"/>
      <c r="F2129" s="2"/>
      <c r="H2129" s="2" t="s">
        <v>108</v>
      </c>
      <c r="I2129" s="2"/>
      <c r="L2129" s="40"/>
      <c r="N2129" s="2"/>
      <c r="O2129" s="2"/>
    </row>
    <row r="2130" spans="1:15" ht="15.75" x14ac:dyDescent="0.25">
      <c r="B2130" s="34" t="s">
        <v>1700</v>
      </c>
      <c r="C2130" s="3">
        <f>'1.1'!$C$2</f>
        <v>0</v>
      </c>
      <c r="D2130" s="2"/>
      <c r="E2130" s="2"/>
      <c r="F2130" s="2"/>
      <c r="G2130" s="41" t="s">
        <v>1699</v>
      </c>
      <c r="H2130" s="42"/>
      <c r="I2130" s="2" t="s">
        <v>1698</v>
      </c>
    </row>
    <row r="2131" spans="1:15" ht="15.75" x14ac:dyDescent="0.25">
      <c r="B2131" s="34"/>
      <c r="C2131" s="3">
        <f>'1.1'!$C$3</f>
        <v>0</v>
      </c>
      <c r="D2131" s="2"/>
      <c r="E2131" s="2"/>
      <c r="F2131" s="2"/>
      <c r="G2131" s="2"/>
      <c r="H2131" s="2"/>
      <c r="I2131" s="2"/>
    </row>
    <row r="2132" spans="1:15" ht="15.75" x14ac:dyDescent="0.25">
      <c r="B2132" s="34" t="s">
        <v>1697</v>
      </c>
      <c r="C2132" s="3"/>
      <c r="D2132" s="2"/>
      <c r="E2132" s="2"/>
      <c r="F2132" s="2"/>
      <c r="G2132" s="2"/>
      <c r="H2132" s="2"/>
      <c r="I2132" s="2"/>
    </row>
    <row r="2133" spans="1:15" x14ac:dyDescent="0.25">
      <c r="A2133" s="104">
        <v>2</v>
      </c>
      <c r="B2133" s="2" t="s">
        <v>1586</v>
      </c>
      <c r="C2133" s="36"/>
      <c r="D2133" s="2"/>
      <c r="G2133" s="2" t="s">
        <v>1696</v>
      </c>
      <c r="H2133" s="3" t="s">
        <v>961</v>
      </c>
      <c r="I2133" s="2"/>
    </row>
    <row r="2134" spans="1:15" x14ac:dyDescent="0.25">
      <c r="B2134" s="1" t="s">
        <v>1585</v>
      </c>
      <c r="C2134" s="340" t="s">
        <v>1812</v>
      </c>
      <c r="D2134" s="2"/>
      <c r="E2134" s="2"/>
      <c r="F2134" s="2"/>
      <c r="G2134" s="2"/>
      <c r="H2134" s="2"/>
      <c r="I2134" s="2"/>
    </row>
    <row r="2135" spans="1:15" ht="15.75" thickBot="1" x14ac:dyDescent="0.3">
      <c r="B2135" s="340"/>
      <c r="C2135" s="341"/>
      <c r="D2135"/>
      <c r="E2135" s="339"/>
      <c r="F2135" s="342"/>
      <c r="G2135" s="342"/>
    </row>
    <row r="2136" spans="1:15" ht="15.75" thickBot="1" x14ac:dyDescent="0.3">
      <c r="B2136" s="43" t="s">
        <v>1695</v>
      </c>
      <c r="C2136" s="44"/>
      <c r="D2136" s="44"/>
      <c r="E2136" s="44"/>
      <c r="F2136" s="44"/>
      <c r="G2136" s="44"/>
      <c r="H2136" s="45"/>
      <c r="I2136" s="2"/>
    </row>
    <row r="2137" spans="1:15" ht="25.5" x14ac:dyDescent="0.25">
      <c r="B2137" s="46" t="s">
        <v>1409</v>
      </c>
      <c r="C2137" s="47"/>
      <c r="D2137" s="48" t="s">
        <v>1690</v>
      </c>
      <c r="E2137" s="48" t="s">
        <v>1694</v>
      </c>
      <c r="F2137" s="48" t="s">
        <v>1693</v>
      </c>
      <c r="G2137" s="49" t="s">
        <v>1687</v>
      </c>
      <c r="H2137" s="50" t="s">
        <v>1686</v>
      </c>
      <c r="I2137" s="342"/>
    </row>
    <row r="2138" spans="1:15" x14ac:dyDescent="0.25">
      <c r="A2138" s="103">
        <v>19015</v>
      </c>
      <c r="B2138" s="51" t="str">
        <f>IF($A2138=0,"",VLOOKUP($A2138,'BASE EQUIPO'!$A:$D,2))</f>
        <v>HERRAMIENTA MENOR</v>
      </c>
      <c r="C2138" s="350"/>
      <c r="D2138" s="53">
        <v>1</v>
      </c>
      <c r="E2138" s="53">
        <f>IF($A2138=0,"",VLOOKUP($A2138,'BASE EQUIPO'!$A:$D,4)*H2154)</f>
        <v>0.92069999999999996</v>
      </c>
      <c r="F2138" s="53">
        <f>IF($A2138=0,"",ROUND(D2138*E2138,2))</f>
        <v>0.92</v>
      </c>
      <c r="G2138" s="105">
        <v>1</v>
      </c>
      <c r="H2138" s="54">
        <f>IF($A2138=0,"",ROUND(G2138*F2138,2))</f>
        <v>0.92</v>
      </c>
      <c r="I2138" s="2"/>
      <c r="K2138" s="342" t="s">
        <v>1813</v>
      </c>
      <c r="L2138" s="343">
        <f>ROUND((L2162*5+L2163*1+L2164*20+L2165*20),2)</f>
        <v>1.25</v>
      </c>
    </row>
    <row r="2139" spans="1:15" x14ac:dyDescent="0.25">
      <c r="A2139" s="103">
        <v>19003</v>
      </c>
      <c r="B2139" s="38" t="str">
        <f>IF($A2139=0,"",VLOOKUP($A2139,'BASE EQUIPO'!$A:$D,2))</f>
        <v>CONCRETERA</v>
      </c>
      <c r="C2139" s="351"/>
      <c r="D2139" s="55">
        <v>1</v>
      </c>
      <c r="E2139" s="55">
        <f>IF($A2139=0,"",VLOOKUP($A2139,'BASE EQUIPO'!$A:$D,4))</f>
        <v>3.5</v>
      </c>
      <c r="F2139" s="55">
        <f>IF($A2139=0,"",ROUND(D2139*E2139,2))</f>
        <v>3.5</v>
      </c>
      <c r="G2139" s="106">
        <f>+G2148*0.5</f>
        <v>2.5000000000000001E-2</v>
      </c>
      <c r="H2139" s="56">
        <f>IF($A2139=0,"",ROUND(G2139*F2139,2))</f>
        <v>0.09</v>
      </c>
      <c r="I2139" s="2"/>
      <c r="K2139" s="343" t="s">
        <v>1814</v>
      </c>
      <c r="L2139" s="342">
        <v>2.6</v>
      </c>
    </row>
    <row r="2140" spans="1:15" x14ac:dyDescent="0.25">
      <c r="A2140" s="103">
        <v>19008</v>
      </c>
      <c r="B2140" s="38" t="str">
        <f>IF($A2140=0,"",VLOOKUP($A2140,'BASE EQUIPO'!$A:$D,2))</f>
        <v>VIBRADOR</v>
      </c>
      <c r="C2140" s="351"/>
      <c r="D2140" s="55">
        <v>1</v>
      </c>
      <c r="E2140" s="55">
        <f>IF($A2140=0,"",VLOOKUP($A2140,'BASE EQUIPO'!$A:$D,4))</f>
        <v>2.5</v>
      </c>
      <c r="F2140" s="55">
        <f>IF($A2140=0,"",ROUND(D2140*E2140,2))</f>
        <v>2.5</v>
      </c>
      <c r="G2140" s="106">
        <f>+G2148*0.5</f>
        <v>2.5000000000000001E-2</v>
      </c>
      <c r="H2140" s="56">
        <f>IF($A2140=0,"",ROUND(G2140*F2140,2))</f>
        <v>0.06</v>
      </c>
      <c r="I2140" s="2"/>
      <c r="K2140" s="343" t="s">
        <v>1815</v>
      </c>
      <c r="L2140" s="342">
        <v>3.2</v>
      </c>
    </row>
    <row r="2141" spans="1:15" x14ac:dyDescent="0.25">
      <c r="B2141" s="373"/>
      <c r="C2141" s="352"/>
      <c r="D2141" s="346"/>
      <c r="E2141" s="348"/>
      <c r="F2141" s="354"/>
      <c r="G2141" s="354"/>
      <c r="H2141" s="374"/>
      <c r="I2141" s="342"/>
    </row>
    <row r="2142" spans="1:15" x14ac:dyDescent="0.25">
      <c r="B2142" s="373"/>
      <c r="C2142" s="352"/>
      <c r="D2142" s="346"/>
      <c r="E2142" s="348"/>
      <c r="F2142" s="354"/>
      <c r="G2142" s="354"/>
      <c r="H2142" s="374"/>
      <c r="I2142" s="342"/>
    </row>
    <row r="2143" spans="1:15" x14ac:dyDescent="0.25">
      <c r="B2143" s="375"/>
      <c r="C2143" s="353"/>
      <c r="D2143" s="347"/>
      <c r="E2143" s="349"/>
      <c r="F2143" s="355"/>
      <c r="G2143" s="355"/>
      <c r="H2143" s="376"/>
      <c r="I2143" s="342"/>
    </row>
    <row r="2144" spans="1:15" x14ac:dyDescent="0.25">
      <c r="B2144" s="57" t="s">
        <v>1692</v>
      </c>
      <c r="C2144" s="58"/>
      <c r="D2144" s="61"/>
      <c r="E2144" s="61"/>
      <c r="F2144" s="61"/>
      <c r="G2144" s="62"/>
      <c r="H2144" s="60">
        <f>ROUND(SUM(H2137:H2143),2)</f>
        <v>1.07</v>
      </c>
      <c r="I2144" s="342"/>
    </row>
    <row r="2145" spans="1:12" x14ac:dyDescent="0.25">
      <c r="B2145" s="38" t="s">
        <v>1503</v>
      </c>
      <c r="C2145" s="2"/>
      <c r="D2145" s="3"/>
      <c r="E2145" s="3"/>
      <c r="F2145" s="3"/>
      <c r="G2145" s="63"/>
      <c r="H2145" s="56"/>
      <c r="K2145" s="342"/>
      <c r="L2145" s="342"/>
    </row>
    <row r="2146" spans="1:12" ht="25.5" x14ac:dyDescent="0.25">
      <c r="B2146" s="64" t="s">
        <v>1691</v>
      </c>
      <c r="C2146" s="65"/>
      <c r="D2146" s="66" t="s">
        <v>1690</v>
      </c>
      <c r="E2146" s="66" t="s">
        <v>1689</v>
      </c>
      <c r="F2146" s="66" t="s">
        <v>1688</v>
      </c>
      <c r="G2146" s="67" t="s">
        <v>1687</v>
      </c>
      <c r="H2146" s="68" t="s">
        <v>1686</v>
      </c>
      <c r="I2146" s="342"/>
    </row>
    <row r="2147" spans="1:12" x14ac:dyDescent="0.25">
      <c r="A2147" s="103">
        <v>20001</v>
      </c>
      <c r="B2147" s="377" t="str">
        <f>IF($A2147=0,"",VLOOKUP($A2147,'BASE M-OBRA'!$A:$D,2))</f>
        <v>MAESTRO</v>
      </c>
      <c r="C2147" s="350"/>
      <c r="D2147" s="356">
        <v>1</v>
      </c>
      <c r="E2147" s="345">
        <f>IF($A2147=0,"",VLOOKUP($A2147,'BASE M-OBRA'!$A:$D,4))*8</f>
        <v>24.16</v>
      </c>
      <c r="F2147" s="53">
        <f>IF($A2147=0,"",ROUND(D2147*E2147,2))</f>
        <v>24.16</v>
      </c>
      <c r="G2147" s="359">
        <v>0.21</v>
      </c>
      <c r="H2147" s="54">
        <f>IF($A2147=0,"",ROUND(G2147*F2147,2))</f>
        <v>5.07</v>
      </c>
      <c r="I2147" s="1">
        <v>5</v>
      </c>
      <c r="K2147" s="342">
        <f>5/23.6</f>
        <v>0.21186440677966101</v>
      </c>
      <c r="L2147" s="342"/>
    </row>
    <row r="2148" spans="1:12" x14ac:dyDescent="0.25">
      <c r="A2148" s="103">
        <v>20002</v>
      </c>
      <c r="B2148" s="69" t="str">
        <f>IF($A2148=0,"",VLOOKUP($A2148,'BASE M-OBRA'!$A:$D,2))</f>
        <v>PEON</v>
      </c>
      <c r="C2148" s="351"/>
      <c r="D2148" s="357">
        <v>8</v>
      </c>
      <c r="E2148" s="70">
        <f>IF($A2148=0,"",VLOOKUP($A2148,'BASE M-OBRA'!$A:$D,4))*8</f>
        <v>22.32</v>
      </c>
      <c r="F2148" s="55">
        <f>IF($A2148=0,"",ROUND(D2148*E2148,2))</f>
        <v>178.56</v>
      </c>
      <c r="G2148" s="182">
        <v>0.05</v>
      </c>
      <c r="H2148" s="56">
        <f>IF($A2148=0,"",ROUND(G2148*F2148,2))</f>
        <v>8.93</v>
      </c>
      <c r="I2148" s="1">
        <v>12.87</v>
      </c>
      <c r="K2148" s="342">
        <f>12.87/178.56</f>
        <v>7.2076612903225798E-2</v>
      </c>
      <c r="L2148" s="342"/>
    </row>
    <row r="2149" spans="1:12" x14ac:dyDescent="0.25">
      <c r="A2149" s="103">
        <v>20003</v>
      </c>
      <c r="B2149" s="69" t="str">
        <f>IF($A2149=0,"",VLOOKUP($A2149,'BASE M-OBRA'!$A:$D,2))</f>
        <v>ALBAÑIL</v>
      </c>
      <c r="C2149" s="351"/>
      <c r="D2149" s="357">
        <v>2</v>
      </c>
      <c r="E2149" s="70">
        <f>IF($A2149=0,"",VLOOKUP($A2149,'BASE M-OBRA'!$A:$D,4))*8</f>
        <v>22.56</v>
      </c>
      <c r="F2149" s="55">
        <f>IF($A2149=0,"",ROUND(D2149*E2149,2))</f>
        <v>45.12</v>
      </c>
      <c r="G2149" s="182">
        <v>0.2</v>
      </c>
      <c r="H2149" s="56">
        <f>IF($A2149=0,"",ROUND(G2149*F2149,2))</f>
        <v>9.02</v>
      </c>
      <c r="I2149" s="1">
        <v>8.94</v>
      </c>
      <c r="K2149" s="342">
        <f>8.94/44.96</f>
        <v>0.19884341637010675</v>
      </c>
      <c r="L2149" s="342"/>
    </row>
    <row r="2150" spans="1:12" x14ac:dyDescent="0.25">
      <c r="A2150" s="103">
        <v>20004</v>
      </c>
      <c r="B2150" s="71" t="str">
        <f>IF($A2150=0,"",VLOOKUP($A2150,'BASE M-OBRA'!$A:$D,2))</f>
        <v>CARPINTERO</v>
      </c>
      <c r="C2150" s="351"/>
      <c r="D2150" s="357">
        <v>2</v>
      </c>
      <c r="E2150" s="70">
        <f>IF($A2150=0,"",VLOOKUP($A2150,'BASE M-OBRA'!$A:$D,4))*8</f>
        <v>22.56</v>
      </c>
      <c r="F2150" s="55">
        <f>IF($A2150=0,"",ROUND(D2150*E2150,2))</f>
        <v>45.12</v>
      </c>
      <c r="G2150" s="182">
        <v>0.1</v>
      </c>
      <c r="H2150" s="56">
        <f>IF($A2150=0,"",ROUND(G2150*F2150,2))</f>
        <v>4.51</v>
      </c>
      <c r="I2150" s="1">
        <v>9.9700000000000006</v>
      </c>
      <c r="K2150" s="342">
        <f>9.97/44.96</f>
        <v>0.22175266903914592</v>
      </c>
      <c r="L2150" s="1">
        <f>0.8*0.8*0.15*68</f>
        <v>6.5280000000000014</v>
      </c>
    </row>
    <row r="2151" spans="1:12" x14ac:dyDescent="0.25">
      <c r="A2151" s="103">
        <v>20005</v>
      </c>
      <c r="B2151" s="72" t="str">
        <f>IF($A2151=0,"",VLOOKUP($A2151,'BASE M-OBRA'!$A:$D,2))</f>
        <v>FIERRERO</v>
      </c>
      <c r="C2151" s="351"/>
      <c r="D2151" s="357">
        <v>2</v>
      </c>
      <c r="E2151" s="70">
        <f>IF($A2151=0,"",VLOOKUP($A2151,'BASE M-OBRA'!$A:$D,4))*8</f>
        <v>22.56</v>
      </c>
      <c r="F2151" s="55">
        <f>IF($A2151=0,"",ROUND(D2151*E2151,2))</f>
        <v>45.12</v>
      </c>
      <c r="G2151" s="182">
        <v>7.0000000000000007E-2</v>
      </c>
      <c r="H2151" s="56">
        <f>IF($A2151=0,"",ROUND(G2151*F2151,2))</f>
        <v>3.16</v>
      </c>
      <c r="I2151" s="1">
        <v>3.02</v>
      </c>
      <c r="K2151" s="342">
        <f>3.02/44.96</f>
        <v>6.7170818505338084E-2</v>
      </c>
      <c r="L2151" s="1">
        <f>3.2*0.2*0.2*130</f>
        <v>16.640000000000004</v>
      </c>
    </row>
    <row r="2152" spans="1:12" x14ac:dyDescent="0.25">
      <c r="B2152" s="373"/>
      <c r="C2152" s="352"/>
      <c r="D2152" s="346"/>
      <c r="E2152" s="348"/>
      <c r="F2152" s="346"/>
      <c r="G2152" s="360"/>
      <c r="H2152" s="56" t="str">
        <f>IF($A2152=0,"",ROUND(G2152*F2154,2))</f>
        <v/>
      </c>
      <c r="I2152" s="342"/>
      <c r="L2152" s="1">
        <f>0.2*0.2*2.6*150</f>
        <v>15.600000000000003</v>
      </c>
    </row>
    <row r="2153" spans="1:12" x14ac:dyDescent="0.25">
      <c r="B2153" s="375"/>
      <c r="C2153" s="353"/>
      <c r="D2153" s="347"/>
      <c r="E2153" s="349"/>
      <c r="F2153" s="347"/>
      <c r="G2153" s="361"/>
      <c r="H2153" s="60" t="str">
        <f>IF($A2153=0,"",ROUND(G2153*#REF!,2))</f>
        <v/>
      </c>
      <c r="I2153" s="342"/>
      <c r="K2153" s="1">
        <f>20*0.12+2.6*4</f>
        <v>12.8</v>
      </c>
      <c r="L2153" s="1">
        <f>3.2*6</f>
        <v>19.200000000000003</v>
      </c>
    </row>
    <row r="2154" spans="1:12" x14ac:dyDescent="0.25">
      <c r="B2154" s="73" t="s">
        <v>1685</v>
      </c>
      <c r="C2154" s="65"/>
      <c r="D2154" s="74"/>
      <c r="E2154" s="74"/>
      <c r="F2154" s="74"/>
      <c r="G2154" s="74"/>
      <c r="H2154" s="75">
        <f>ROUND(SUM(H2146:H2153),2)</f>
        <v>30.69</v>
      </c>
      <c r="I2154" s="342"/>
      <c r="K2154" s="1">
        <f>0.03*68+0.04*130+0.03*150+6+2.6*4</f>
        <v>28.14</v>
      </c>
      <c r="L2154" s="1">
        <f>4*2.2*3.2</f>
        <v>28.160000000000004</v>
      </c>
    </row>
    <row r="2155" spans="1:12" x14ac:dyDescent="0.25">
      <c r="B2155" s="38" t="s">
        <v>1684</v>
      </c>
      <c r="C2155" s="2"/>
      <c r="D2155" s="3"/>
      <c r="E2155" s="3"/>
      <c r="F2155" s="3"/>
      <c r="G2155" s="3"/>
      <c r="H2155" s="56"/>
      <c r="I2155" s="342"/>
      <c r="L2155" s="1">
        <f>SUM(L2150:L2154)</f>
        <v>86.128000000000014</v>
      </c>
    </row>
    <row r="2156" spans="1:12" ht="25.5" x14ac:dyDescent="0.25">
      <c r="B2156" s="64" t="s">
        <v>1409</v>
      </c>
      <c r="C2156" s="65"/>
      <c r="D2156" s="76"/>
      <c r="E2156" s="66" t="s">
        <v>1408</v>
      </c>
      <c r="F2156" s="66" t="s">
        <v>1679</v>
      </c>
      <c r="G2156" s="66" t="s">
        <v>1683</v>
      </c>
      <c r="H2156" s="68" t="s">
        <v>1675</v>
      </c>
      <c r="K2156" s="342"/>
      <c r="L2156" s="342">
        <f>+L2155/(3.2)</f>
        <v>26.915000000000003</v>
      </c>
    </row>
    <row r="2157" spans="1:12" x14ac:dyDescent="0.25">
      <c r="A2157" s="103">
        <v>4001</v>
      </c>
      <c r="B2157" s="378" t="s">
        <v>1816</v>
      </c>
      <c r="C2157" s="362"/>
      <c r="D2157" s="363"/>
      <c r="E2157" s="366" t="s">
        <v>1350</v>
      </c>
      <c r="F2157" s="369">
        <f>(ROUND($F$5*(L2162+L2163+L2164+L2165)+(14.99/50),2)*1)</f>
        <v>0.3</v>
      </c>
      <c r="G2157" s="358">
        <f>IF($A2157=0,"",VLOOKUP($A2157,'BASE MATERIAL'!$A:$D,4))</f>
        <v>7.09</v>
      </c>
      <c r="H2157" s="379">
        <f>ROUND(F2157*G2157,2)</f>
        <v>2.13</v>
      </c>
      <c r="K2157" s="342"/>
      <c r="L2157" s="342"/>
    </row>
    <row r="2158" spans="1:12" x14ac:dyDescent="0.25">
      <c r="A2158" s="103">
        <v>5004</v>
      </c>
      <c r="B2158" s="380" t="s">
        <v>1817</v>
      </c>
      <c r="C2158"/>
      <c r="D2158" s="364"/>
      <c r="E2158" s="367" t="s">
        <v>945</v>
      </c>
      <c r="F2158" s="370">
        <f>(ROUND(0.87*(L2162+L2163+L2164+L2165)+0.03,2)*1)</f>
        <v>0.14000000000000001</v>
      </c>
      <c r="G2158" s="354">
        <f>IF($A2158=0,"",VLOOKUP($A2158,'BASE MATERIAL'!$A:$D,4))</f>
        <v>12.276249999999999</v>
      </c>
      <c r="H2158" s="374">
        <f t="shared" ref="H2158:H2170" si="191">ROUND(F2158*G2158,2)</f>
        <v>1.72</v>
      </c>
      <c r="K2158" s="342"/>
      <c r="L2158" s="342"/>
    </row>
    <row r="2159" spans="1:12" x14ac:dyDescent="0.25">
      <c r="A2159" s="103">
        <v>5002</v>
      </c>
      <c r="B2159" s="380" t="s">
        <v>1818</v>
      </c>
      <c r="C2159"/>
      <c r="D2159" s="364"/>
      <c r="E2159" s="367" t="s">
        <v>945</v>
      </c>
      <c r="F2159" s="370">
        <f>(ROUND(1.02*(L2162+L2163+L2164+L2165),2)*1)</f>
        <v>0.13</v>
      </c>
      <c r="G2159" s="354">
        <f>IF($A2159=0,"",VLOOKUP($A2159,'BASE MATERIAL'!$A:$D,4))</f>
        <v>13.75</v>
      </c>
      <c r="H2159" s="374">
        <f t="shared" si="191"/>
        <v>1.79</v>
      </c>
      <c r="K2159" s="342"/>
      <c r="L2159" s="342"/>
    </row>
    <row r="2160" spans="1:12" x14ac:dyDescent="0.25">
      <c r="A2160" s="103">
        <v>5005</v>
      </c>
      <c r="B2160" s="380" t="s">
        <v>1819</v>
      </c>
      <c r="C2160"/>
      <c r="D2160" s="364"/>
      <c r="E2160" s="367" t="s">
        <v>856</v>
      </c>
      <c r="F2160" s="370">
        <f>(ROUND(371.28*(L2162+L2163+L2164+L2165)+10.37,2)*1)</f>
        <v>56.04</v>
      </c>
      <c r="G2160" s="372">
        <f>IF($A2160=0,"",VLOOKUP($A2160,'BASE MATERIAL'!$A:$D,4))</f>
        <v>2E-3</v>
      </c>
      <c r="H2160" s="381">
        <f>ROUND(F2160*G2160,3)</f>
        <v>0.112</v>
      </c>
      <c r="K2160" s="342"/>
      <c r="L2160" s="342"/>
    </row>
    <row r="2161" spans="1:12" x14ac:dyDescent="0.25">
      <c r="A2161" s="103">
        <v>11008</v>
      </c>
      <c r="B2161" s="373" t="s">
        <v>1259</v>
      </c>
      <c r="C2161" s="341"/>
      <c r="D2161" s="364"/>
      <c r="E2161" s="367" t="s">
        <v>744</v>
      </c>
      <c r="F2161" s="354">
        <f>ROUND(L2162*6.25+L2163*7.5+L2164*15+L2165*22.5,2)</f>
        <v>1.43</v>
      </c>
      <c r="G2161" s="354">
        <f>IF($A2161=0,"",VLOOKUP($A2161,'BASE MATERIAL'!$A:$D,4))</f>
        <v>3.5</v>
      </c>
      <c r="H2161" s="374">
        <f t="shared" si="191"/>
        <v>5.01</v>
      </c>
      <c r="K2161" s="342"/>
      <c r="L2161" s="342"/>
    </row>
    <row r="2162" spans="1:12" x14ac:dyDescent="0.25">
      <c r="A2162" s="103">
        <v>11009</v>
      </c>
      <c r="B2162" s="373" t="s">
        <v>1258</v>
      </c>
      <c r="C2162" s="341"/>
      <c r="D2162" s="364"/>
      <c r="E2162" s="367" t="s">
        <v>744</v>
      </c>
      <c r="F2162" s="354">
        <f>ROUND(L2162*9.38+L2163*12.38+L2164*13.5+L2165*22.5,2)</f>
        <v>1.67</v>
      </c>
      <c r="G2162" s="354">
        <f>IF($A2162=0,"",VLOOKUP($A2162,'BASE MATERIAL'!$A:$D,4))</f>
        <v>2.42</v>
      </c>
      <c r="H2162" s="374">
        <f t="shared" si="191"/>
        <v>4.04</v>
      </c>
      <c r="K2162" s="342" t="s">
        <v>1820</v>
      </c>
      <c r="L2162" s="342">
        <f>ROUND(0.8*0.8*0.15/L2140,3)</f>
        <v>0.03</v>
      </c>
    </row>
    <row r="2163" spans="1:12" x14ac:dyDescent="0.25">
      <c r="A2163" s="103">
        <v>11007</v>
      </c>
      <c r="B2163" s="373" t="s">
        <v>1821</v>
      </c>
      <c r="C2163" s="341"/>
      <c r="D2163" s="364"/>
      <c r="E2163" s="367" t="s">
        <v>901</v>
      </c>
      <c r="F2163" s="354">
        <f>ROUND(L2162*0.9+L2163*2.11+L2164*4.94+L2165*5.03,2)</f>
        <v>0.38</v>
      </c>
      <c r="G2163" s="354">
        <f>IF($A2163=0,"",VLOOKUP($A2163,'BASE MATERIAL'!$A:$D,4))</f>
        <v>2.6520000000000001</v>
      </c>
      <c r="H2163" s="374">
        <f t="shared" si="191"/>
        <v>1.01</v>
      </c>
      <c r="K2163" s="342" t="s">
        <v>1822</v>
      </c>
      <c r="L2163" s="342">
        <f>ROUND(0.2*0.2,3)</f>
        <v>0.04</v>
      </c>
    </row>
    <row r="2164" spans="1:12" x14ac:dyDescent="0.25">
      <c r="A2164" s="103">
        <v>11002</v>
      </c>
      <c r="B2164" s="373" t="s">
        <v>1823</v>
      </c>
      <c r="C2164" s="341"/>
      <c r="D2164" s="364"/>
      <c r="E2164" s="367" t="s">
        <v>901</v>
      </c>
      <c r="F2164" s="354">
        <f>ROUND(F2165*$D$17,2)</f>
        <v>0</v>
      </c>
      <c r="G2164" s="354">
        <f>IF($A2164=0,"",VLOOKUP($A2164,'BASE MATERIAL'!$A:$D,4))</f>
        <v>1.87</v>
      </c>
      <c r="H2164" s="374">
        <f t="shared" si="191"/>
        <v>0</v>
      </c>
      <c r="K2164" s="342" t="s">
        <v>1824</v>
      </c>
      <c r="L2164" s="342">
        <f>ROUND(0.2*0.2*L2139/L2140,3)</f>
        <v>3.3000000000000002E-2</v>
      </c>
    </row>
    <row r="2165" spans="1:12" x14ac:dyDescent="0.25">
      <c r="A2165" s="103">
        <v>1001</v>
      </c>
      <c r="B2165" s="373" t="s">
        <v>1423</v>
      </c>
      <c r="C2165" s="341"/>
      <c r="D2165" s="364"/>
      <c r="E2165" s="367" t="s">
        <v>901</v>
      </c>
      <c r="F2165" s="354">
        <f>ROUND(L2162*69+L2163*114+L2164*131+L2165*96,2)</f>
        <v>12.87</v>
      </c>
      <c r="G2165" s="354">
        <f>IF($A2165=0,"",VLOOKUP($A2165,'BASE MATERIAL'!$A:$D,4))</f>
        <v>1.17</v>
      </c>
      <c r="H2165" s="374">
        <f t="shared" si="191"/>
        <v>15.06</v>
      </c>
      <c r="K2165" s="342" t="s">
        <v>1825</v>
      </c>
      <c r="L2165" s="342">
        <f>ROUND(0.1*0.2,3)</f>
        <v>0.02</v>
      </c>
    </row>
    <row r="2166" spans="1:12" x14ac:dyDescent="0.25">
      <c r="A2166" s="103">
        <v>5007</v>
      </c>
      <c r="B2166" s="380" t="s">
        <v>1376</v>
      </c>
      <c r="C2166"/>
      <c r="D2166" s="364"/>
      <c r="E2166" s="367" t="s">
        <v>744</v>
      </c>
      <c r="F2166" s="370">
        <v>10</v>
      </c>
      <c r="G2166" s="354">
        <f>IF($A2166=0,"",VLOOKUP($A2166,'BASE MATERIAL'!$A:$D,4))</f>
        <v>0.14000000000000001</v>
      </c>
      <c r="H2166" s="374">
        <f t="shared" si="191"/>
        <v>1.4</v>
      </c>
      <c r="K2166" s="342" t="s">
        <v>1583</v>
      </c>
      <c r="L2166" s="342">
        <f>SUM(L2162:L2165)</f>
        <v>0.12300000000000001</v>
      </c>
    </row>
    <row r="2167" spans="1:12" x14ac:dyDescent="0.25">
      <c r="A2167" s="103">
        <v>4001</v>
      </c>
      <c r="B2167" s="380" t="s">
        <v>1826</v>
      </c>
      <c r="C2167"/>
      <c r="D2167" s="364"/>
      <c r="E2167" s="367" t="s">
        <v>1350</v>
      </c>
      <c r="F2167" s="370">
        <f>ROUND(10.71*0.02*(0.09*2.2*8),2)</f>
        <v>0.34</v>
      </c>
      <c r="G2167" s="354">
        <f>IF($A2167=0,"",VLOOKUP($A2167,'BASE MATERIAL'!$A:$D,4))</f>
        <v>7.09</v>
      </c>
      <c r="H2167" s="374">
        <f t="shared" si="191"/>
        <v>2.41</v>
      </c>
      <c r="I2167" s="342"/>
    </row>
    <row r="2168" spans="1:12" x14ac:dyDescent="0.25">
      <c r="A2168" s="103">
        <v>5004</v>
      </c>
      <c r="B2168" s="380" t="s">
        <v>1827</v>
      </c>
      <c r="C2168"/>
      <c r="D2168" s="364"/>
      <c r="E2168" s="367" t="s">
        <v>945</v>
      </c>
      <c r="F2168" s="370">
        <f>ROUND(1.13*0.02*(0.09*2.2*8),2)</f>
        <v>0.04</v>
      </c>
      <c r="G2168" s="354">
        <f>IF($A2168=0,"",VLOOKUP($A2168,'BASE MATERIAL'!$A:$D,4))</f>
        <v>12.276249999999999</v>
      </c>
      <c r="H2168" s="374">
        <f t="shared" si="191"/>
        <v>0.49</v>
      </c>
      <c r="I2168" s="339"/>
    </row>
    <row r="2169" spans="1:12" x14ac:dyDescent="0.25">
      <c r="A2169" s="103">
        <v>5005</v>
      </c>
      <c r="B2169" s="380" t="s">
        <v>1828</v>
      </c>
      <c r="C2169"/>
      <c r="D2169" s="364"/>
      <c r="E2169" s="367" t="s">
        <v>856</v>
      </c>
      <c r="F2169" s="370">
        <f>ROUND(370.35*0.02*(0.09*2.2*8),2)</f>
        <v>11.73</v>
      </c>
      <c r="G2169" s="372">
        <f>IF($A2169=0,"",VLOOKUP($A2169,'BASE MATERIAL'!$A:$D,4))</f>
        <v>2E-3</v>
      </c>
      <c r="H2169" s="381">
        <f>ROUND(F2169*G2169,3)</f>
        <v>2.3E-2</v>
      </c>
      <c r="I2169" s="342"/>
    </row>
    <row r="2170" spans="1:12" x14ac:dyDescent="0.25">
      <c r="A2170" s="103">
        <v>8004</v>
      </c>
      <c r="B2170" s="373" t="s">
        <v>1829</v>
      </c>
      <c r="C2170" s="341"/>
      <c r="D2170" s="364"/>
      <c r="E2170" s="367" t="s">
        <v>744</v>
      </c>
      <c r="F2170" s="370">
        <f>12.5*(2.6-0.2-0.2)</f>
        <v>27.499999999999996</v>
      </c>
      <c r="G2170" s="354">
        <f>IF($A2170=0,"",VLOOKUP($A2170,'BASE MATERIAL'!$A:$D,4))</f>
        <v>0.4</v>
      </c>
      <c r="H2170" s="374">
        <f t="shared" si="191"/>
        <v>11</v>
      </c>
      <c r="I2170" s="342"/>
    </row>
    <row r="2171" spans="1:12" x14ac:dyDescent="0.25">
      <c r="B2171" s="373"/>
      <c r="C2171" s="341"/>
      <c r="D2171" s="364"/>
      <c r="E2171" s="367"/>
      <c r="F2171" s="370"/>
      <c r="G2171" s="354"/>
      <c r="H2171" s="374"/>
      <c r="I2171" s="342"/>
    </row>
    <row r="2172" spans="1:12" x14ac:dyDescent="0.25">
      <c r="B2172" s="375"/>
      <c r="C2172" s="344"/>
      <c r="D2172" s="365"/>
      <c r="E2172" s="368"/>
      <c r="F2172" s="371"/>
      <c r="G2172" s="355"/>
      <c r="H2172" s="376"/>
      <c r="I2172" s="342"/>
    </row>
    <row r="2173" spans="1:12" x14ac:dyDescent="0.25">
      <c r="B2173" s="73" t="s">
        <v>1681</v>
      </c>
      <c r="C2173" s="65"/>
      <c r="D2173" s="74"/>
      <c r="E2173" s="74"/>
      <c r="F2173" s="74"/>
      <c r="G2173" s="74"/>
      <c r="H2173" s="75">
        <f>ROUND(SUM(H2156:H2172),2)</f>
        <v>46.2</v>
      </c>
      <c r="I2173" s="342"/>
    </row>
    <row r="2174" spans="1:12" x14ac:dyDescent="0.25">
      <c r="B2174" s="38" t="s">
        <v>1680</v>
      </c>
      <c r="C2174" s="2"/>
      <c r="D2174" s="3"/>
      <c r="E2174" s="3"/>
      <c r="F2174" s="3"/>
      <c r="G2174" s="3"/>
      <c r="H2174" s="56"/>
      <c r="I2174" s="342"/>
    </row>
    <row r="2175" spans="1:12" ht="25.5" x14ac:dyDescent="0.25">
      <c r="B2175" s="64" t="s">
        <v>1409</v>
      </c>
      <c r="C2175" s="65"/>
      <c r="D2175" s="76"/>
      <c r="E2175" s="66" t="s">
        <v>1408</v>
      </c>
      <c r="F2175" s="66" t="s">
        <v>1679</v>
      </c>
      <c r="G2175" s="66" t="s">
        <v>1676</v>
      </c>
      <c r="H2175" s="68" t="s">
        <v>1675</v>
      </c>
      <c r="I2175" s="339"/>
    </row>
    <row r="2176" spans="1:12" x14ac:dyDescent="0.25">
      <c r="A2176" s="103">
        <v>19019</v>
      </c>
      <c r="B2176" s="51" t="str">
        <f>IF($A2176=0,"",VLOOKUP($A2176,'BASE EQUIPO'!$A:$D,2))</f>
        <v>TRANSPORTE DE MATERIAL</v>
      </c>
      <c r="C2176" s="52"/>
      <c r="D2176" s="82"/>
      <c r="E2176" s="78" t="str">
        <f>IF($A2176=0,"",VLOOKUP($A2176,'BASE EQUIPO'!$A:$D,3))</f>
        <v>GLOBAL</v>
      </c>
      <c r="F2176" s="55">
        <v>1</v>
      </c>
      <c r="G2176" s="83">
        <f>IF($A2176=0,"",VLOOKUP($A2176,'BASE EQUIPO'!$A:$D,4)*H2173)+0.23</f>
        <v>1.6160000000000001</v>
      </c>
      <c r="H2176" s="56">
        <f>IF($A2176=0,"",ROUND(F2176*G2176,2))</f>
        <v>1.62</v>
      </c>
      <c r="I2176" s="2"/>
    </row>
    <row r="2177" spans="1:9" x14ac:dyDescent="0.25">
      <c r="B2177" s="38" t="str">
        <f>IF($A2177=0,"",VLOOKUP($A2177,'BASE EQUIPO'!$A:$D,2))</f>
        <v/>
      </c>
      <c r="C2177" s="2"/>
      <c r="D2177" s="84"/>
      <c r="E2177" s="78" t="str">
        <f>IF($A2177=0,"",VLOOKUP($A2177,'BASE EQUIPO'!$A:$D,3))</f>
        <v/>
      </c>
      <c r="F2177" s="55"/>
      <c r="G2177" s="55" t="str">
        <f>IF($A2177=0,"",VLOOKUP($A2177,'BASE EQUIPO'!$A:$D,4)*H2174)</f>
        <v/>
      </c>
      <c r="H2177" s="56" t="str">
        <f>IF($A2177=0,"",ROUND(F2177*G2177,2))</f>
        <v/>
      </c>
      <c r="I2177" s="2"/>
    </row>
    <row r="2178" spans="1:9" x14ac:dyDescent="0.25">
      <c r="B2178" s="57" t="str">
        <f>IF($A2178=0,"",VLOOKUP($A2178,'BASE EQUIPO'!$A:$D,2))</f>
        <v/>
      </c>
      <c r="C2178" s="58"/>
      <c r="D2178" s="85"/>
      <c r="E2178" s="86" t="str">
        <f>IF($A2178=0,"",VLOOKUP($A2178,'BASE EQUIPO'!$A:$D,3))</f>
        <v/>
      </c>
      <c r="F2178" s="59"/>
      <c r="G2178" s="59" t="str">
        <f>IF($A2178=0,"",VLOOKUP($A2178,'BASE EQUIPO'!$A:$D,4)*H2175)</f>
        <v/>
      </c>
      <c r="H2178" s="60" t="str">
        <f>IF($A2178=0,"",ROUND(F2178*G2178,2))</f>
        <v/>
      </c>
      <c r="I2178" s="2"/>
    </row>
    <row r="2179" spans="1:9" ht="15.75" thickBot="1" x14ac:dyDescent="0.3">
      <c r="B2179" s="87" t="s">
        <v>1674</v>
      </c>
      <c r="C2179" s="88"/>
      <c r="D2179" s="89"/>
      <c r="E2179" s="89"/>
      <c r="F2179" s="89"/>
      <c r="G2179" s="89"/>
      <c r="H2179" s="90">
        <f>ROUND(SUM(H2175:H2178),2)</f>
        <v>1.62</v>
      </c>
      <c r="I2179" s="2"/>
    </row>
    <row r="2180" spans="1:9" ht="15.75" x14ac:dyDescent="0.25">
      <c r="B2180" s="2"/>
      <c r="C2180" s="2"/>
      <c r="D2180" s="91" t="s">
        <v>1673</v>
      </c>
      <c r="E2180" s="47"/>
      <c r="F2180" s="47"/>
      <c r="G2180" s="47"/>
      <c r="H2180" s="92">
        <f>ROUND(SUM(H2179,H2173,H2154,H2144),2)</f>
        <v>79.58</v>
      </c>
      <c r="I2180" s="2"/>
    </row>
    <row r="2181" spans="1:9" ht="15.75" x14ac:dyDescent="0.25">
      <c r="A2181" s="103">
        <v>40002</v>
      </c>
      <c r="B2181" s="2"/>
      <c r="C2181" s="2"/>
      <c r="D2181" s="93" t="s">
        <v>1672</v>
      </c>
      <c r="E2181" s="65"/>
      <c r="F2181" s="65"/>
      <c r="G2181" s="94">
        <f>IF($A2181=0,"",VLOOKUP($A2181,'BASE MATERIAL'!$M:$P,4))</f>
        <v>0</v>
      </c>
      <c r="H2181" s="95">
        <f>IF($A2181=0,"",ROUND(G2181*H2180,2))</f>
        <v>0</v>
      </c>
      <c r="I2181" s="2"/>
    </row>
    <row r="2182" spans="1:9" ht="15.75" x14ac:dyDescent="0.25">
      <c r="A2182" s="103">
        <v>40003</v>
      </c>
      <c r="B2182" s="2"/>
      <c r="C2182" s="2"/>
      <c r="D2182" s="93" t="s">
        <v>1671</v>
      </c>
      <c r="E2182" s="65"/>
      <c r="F2182" s="65"/>
      <c r="G2182" s="94">
        <f>IF($A2182=0,"",VLOOKUP($A2182,'BASE MATERIAL'!$M:$P,4))</f>
        <v>0</v>
      </c>
      <c r="H2182" s="95">
        <f>IF($A2182=0,"",ROUND(G2182*H2180,2))</f>
        <v>0</v>
      </c>
      <c r="I2182" s="2"/>
    </row>
    <row r="2183" spans="1:9" ht="15.75" x14ac:dyDescent="0.25">
      <c r="B2183" s="2"/>
      <c r="C2183" s="2"/>
      <c r="D2183" s="93" t="s">
        <v>1670</v>
      </c>
      <c r="E2183" s="65"/>
      <c r="F2183" s="65"/>
      <c r="G2183" s="65"/>
      <c r="H2183" s="96">
        <f>ROUND(SUM(H2180:H2182),2)</f>
        <v>79.58</v>
      </c>
      <c r="I2183" s="2"/>
    </row>
    <row r="2184" spans="1:9" ht="16.5" thickBot="1" x14ac:dyDescent="0.3">
      <c r="B2184" s="25"/>
      <c r="C2184" s="2"/>
      <c r="D2184" s="97" t="s">
        <v>1650</v>
      </c>
      <c r="E2184" s="88"/>
      <c r="F2184" s="88"/>
      <c r="G2184" s="88"/>
      <c r="H2184" s="98">
        <f>ROUND(H2183,2)</f>
        <v>79.58</v>
      </c>
      <c r="I2184" s="2"/>
    </row>
  </sheetData>
  <phoneticPr fontId="2" type="noConversion"/>
  <pageMargins left="0.78740157480314965" right="0.78740157480314965" top="0.78740157480314965" bottom="0.78740157480314965" header="0" footer="0"/>
  <pageSetup paperSize="9" scale="85" orientation="portrait" r:id="rId1"/>
  <headerFooter alignWithMargins="0"/>
  <rowBreaks count="12" manualBreakCount="12">
    <brk id="448" max="16383" man="1"/>
    <brk id="728" max="16383" man="1"/>
    <brk id="784" max="16383" man="1"/>
    <brk id="1008" max="16383" man="1"/>
    <brk id="1232" max="16383" man="1"/>
    <brk id="1400" max="16383" man="1"/>
    <brk id="1456" max="16383" man="1"/>
    <brk id="1624" max="16383" man="1"/>
    <brk id="1736" max="16383" man="1"/>
    <brk id="1904" min="1" max="7" man="1"/>
    <brk id="2016" max="16383" man="1"/>
    <brk id="2759" min="1" max="7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40A4A-8BB8-47EC-B4E4-11707B85861A}">
  <sheetPr codeName="Hoja14"/>
  <dimension ref="A1:P728"/>
  <sheetViews>
    <sheetView topLeftCell="A94" workbookViewId="0">
      <selection activeCell="F86" sqref="F86"/>
    </sheetView>
  </sheetViews>
  <sheetFormatPr baseColWidth="10" defaultColWidth="11.42578125" defaultRowHeight="15" x14ac:dyDescent="0.25"/>
  <cols>
    <col min="1" max="1" width="8.28515625" style="103" bestFit="1" customWidth="1"/>
    <col min="2" max="2" width="12.140625" style="1" customWidth="1"/>
    <col min="3" max="3" width="26.28515625" style="1" customWidth="1"/>
    <col min="4" max="4" width="10.7109375" style="1" customWidth="1"/>
    <col min="5" max="5" width="12.140625" style="1" customWidth="1"/>
    <col min="6" max="6" width="13.28515625" style="1" customWidth="1"/>
    <col min="7" max="7" width="13.85546875" style="1" customWidth="1"/>
    <col min="8" max="8" width="12.42578125" style="1" customWidth="1"/>
    <col min="9" max="9" width="3.140625" style="1" bestFit="1" customWidth="1"/>
    <col min="10" max="10" width="3.5703125" style="1" customWidth="1"/>
    <col min="11" max="11" width="8.42578125" style="1" customWidth="1"/>
    <col min="12" max="12" width="6.28515625" style="1" bestFit="1" customWidth="1"/>
    <col min="13" max="13" width="33.85546875" style="1" bestFit="1" customWidth="1"/>
    <col min="14" max="14" width="6" style="1" bestFit="1" customWidth="1"/>
    <col min="15" max="28" width="8.42578125" style="1" customWidth="1"/>
    <col min="29" max="16384" width="11.42578125" style="1"/>
  </cols>
  <sheetData>
    <row r="1" spans="1:15" ht="15.75" x14ac:dyDescent="0.25">
      <c r="B1" s="34" t="s">
        <v>1701</v>
      </c>
      <c r="C1" s="2"/>
      <c r="D1" s="3" t="str">
        <f>'1.1'!$D$1</f>
        <v>ESPOL</v>
      </c>
      <c r="E1" s="2"/>
      <c r="F1" s="2"/>
      <c r="H1" s="2" t="s">
        <v>108</v>
      </c>
      <c r="I1" s="2"/>
      <c r="L1" s="40">
        <f>A61</f>
        <v>1</v>
      </c>
      <c r="M1" s="1" t="str">
        <f>C62</f>
        <v xml:space="preserve">Pintura exterior elastomérica </v>
      </c>
      <c r="N1" s="2" t="str">
        <f>H61</f>
        <v>m2</v>
      </c>
      <c r="O1" s="2">
        <f>H112</f>
        <v>5.73</v>
      </c>
    </row>
    <row r="2" spans="1:15" ht="15.75" x14ac:dyDescent="0.25">
      <c r="B2" s="34" t="s">
        <v>1700</v>
      </c>
      <c r="C2" s="3">
        <f>'1.1'!$C$2</f>
        <v>0</v>
      </c>
      <c r="D2" s="2"/>
      <c r="E2" s="2"/>
      <c r="F2" s="2"/>
      <c r="G2" s="41" t="s">
        <v>1699</v>
      </c>
      <c r="H2" s="42"/>
      <c r="I2" s="2" t="s">
        <v>1698</v>
      </c>
    </row>
    <row r="3" spans="1:15" ht="15.75" x14ac:dyDescent="0.25">
      <c r="B3" s="34"/>
      <c r="C3" s="3">
        <f>'1.1'!$C$3</f>
        <v>0</v>
      </c>
      <c r="D3" s="2"/>
      <c r="E3" s="2"/>
      <c r="F3" s="2"/>
      <c r="G3" s="2"/>
      <c r="H3" s="2"/>
      <c r="I3" s="2"/>
    </row>
    <row r="4" spans="1:15" ht="15.75" x14ac:dyDescent="0.25">
      <c r="B4" s="34" t="s">
        <v>1697</v>
      </c>
      <c r="C4" s="3"/>
      <c r="D4" s="2"/>
      <c r="E4" s="2"/>
      <c r="F4" s="2"/>
      <c r="G4" s="2"/>
      <c r="H4" s="2"/>
      <c r="I4" s="2"/>
    </row>
    <row r="5" spans="1:15" x14ac:dyDescent="0.25">
      <c r="A5" s="104">
        <v>1</v>
      </c>
      <c r="B5" s="2" t="s">
        <v>1586</v>
      </c>
      <c r="C5" s="36" t="s">
        <v>1529</v>
      </c>
      <c r="D5" s="2"/>
      <c r="G5" s="2" t="s">
        <v>1696</v>
      </c>
      <c r="H5" s="3" t="s">
        <v>1520</v>
      </c>
      <c r="I5" s="2"/>
    </row>
    <row r="6" spans="1:15" x14ac:dyDescent="0.25">
      <c r="B6" s="1" t="s">
        <v>1585</v>
      </c>
      <c r="C6" s="36" t="s">
        <v>1712</v>
      </c>
      <c r="D6" s="2"/>
      <c r="E6" s="2"/>
      <c r="F6" s="2"/>
      <c r="G6" s="2"/>
      <c r="H6" s="2"/>
      <c r="I6" s="2"/>
    </row>
    <row r="7" spans="1:15" ht="15.75" thickBot="1" x14ac:dyDescent="0.3">
      <c r="D7" s="2"/>
      <c r="E7" s="2"/>
      <c r="F7" s="2"/>
      <c r="G7" s="2"/>
      <c r="H7" s="2"/>
      <c r="I7" s="2"/>
    </row>
    <row r="8" spans="1:15" ht="15.75" thickBot="1" x14ac:dyDescent="0.3">
      <c r="B8" s="43" t="s">
        <v>1695</v>
      </c>
      <c r="C8" s="44"/>
      <c r="D8" s="44"/>
      <c r="E8" s="44"/>
      <c r="F8" s="44"/>
      <c r="G8" s="44"/>
      <c r="H8" s="45"/>
      <c r="I8" s="2"/>
    </row>
    <row r="9" spans="1:15" ht="25.5" x14ac:dyDescent="0.25">
      <c r="B9" s="46" t="s">
        <v>1409</v>
      </c>
      <c r="C9" s="47"/>
      <c r="D9" s="48" t="s">
        <v>1690</v>
      </c>
      <c r="E9" s="48" t="s">
        <v>1694</v>
      </c>
      <c r="F9" s="48" t="s">
        <v>1693</v>
      </c>
      <c r="G9" s="49" t="s">
        <v>1687</v>
      </c>
      <c r="H9" s="50" t="s">
        <v>1686</v>
      </c>
      <c r="I9" s="2"/>
    </row>
    <row r="10" spans="1:15" x14ac:dyDescent="0.25">
      <c r="A10" s="103">
        <v>19015</v>
      </c>
      <c r="B10" s="51" t="str">
        <f>IF($A10=0,"",VLOOKUP($A10,'BASE EQUIPO'!$A:$D,2))</f>
        <v>HERRAMIENTA MENOR</v>
      </c>
      <c r="C10" s="52"/>
      <c r="D10" s="53">
        <v>1</v>
      </c>
      <c r="E10" s="53">
        <f>IF($A10=0,"",VLOOKUP($A10,'BASE EQUIPO'!$A:$D,4)*H26)</f>
        <v>5.91E-2</v>
      </c>
      <c r="F10" s="53">
        <f t="shared" ref="F10:F15" si="0">IF($A10=0,"",ROUND(D10*E10,2))</f>
        <v>0.06</v>
      </c>
      <c r="G10" s="105">
        <v>1</v>
      </c>
      <c r="H10" s="54">
        <f t="shared" ref="H10:H15" si="1">IF($A10=0,"",ROUND(G10*F10,2))</f>
        <v>0.06</v>
      </c>
      <c r="I10" s="2"/>
    </row>
    <row r="11" spans="1:15" s="4" customFormat="1" x14ac:dyDescent="0.25">
      <c r="A11" s="103">
        <v>19025</v>
      </c>
      <c r="B11" s="38" t="str">
        <f>IF($A11=0,"",VLOOKUP($A11,'BASE EQUIPO'!$A:$D,2))</f>
        <v xml:space="preserve">ANDAMIOS </v>
      </c>
      <c r="C11" s="2"/>
      <c r="D11" s="55">
        <v>1</v>
      </c>
      <c r="E11" s="55">
        <f>IF($A11=0,"",VLOOKUP($A11,'BASE EQUIPO'!$A:$D,4))</f>
        <v>5.54</v>
      </c>
      <c r="F11" s="55">
        <f t="shared" si="0"/>
        <v>5.54</v>
      </c>
      <c r="G11" s="106">
        <v>0.1</v>
      </c>
      <c r="H11" s="56">
        <f t="shared" si="1"/>
        <v>0.55000000000000004</v>
      </c>
      <c r="I11" s="5"/>
    </row>
    <row r="12" spans="1:15" x14ac:dyDescent="0.25">
      <c r="B12" s="38" t="str">
        <f>IF($A12=0,"",VLOOKUP($A12,'BASE EQUIPO'!$A:$D,2))</f>
        <v/>
      </c>
      <c r="C12" s="2"/>
      <c r="D12" s="55"/>
      <c r="E12" s="55" t="str">
        <f>IF($A12=0,"",VLOOKUP($A12,'BASE EQUIPO'!$A:$D,4))</f>
        <v/>
      </c>
      <c r="F12" s="55" t="str">
        <f t="shared" si="0"/>
        <v/>
      </c>
      <c r="G12" s="106"/>
      <c r="H12" s="56" t="str">
        <f t="shared" si="1"/>
        <v/>
      </c>
      <c r="I12" s="2"/>
    </row>
    <row r="13" spans="1:15" x14ac:dyDescent="0.25">
      <c r="B13" s="38" t="str">
        <f>IF($A13=0,"",VLOOKUP($A13,'BASE EQUIPO'!$A:$D,2))</f>
        <v/>
      </c>
      <c r="C13" s="2"/>
      <c r="D13" s="55"/>
      <c r="E13" s="55" t="str">
        <f>IF($A13=0,"",VLOOKUP($A13,'BASE EQUIPO'!$A:$D,4))</f>
        <v/>
      </c>
      <c r="F13" s="55" t="str">
        <f t="shared" si="0"/>
        <v/>
      </c>
      <c r="G13" s="106"/>
      <c r="H13" s="56" t="str">
        <f t="shared" si="1"/>
        <v/>
      </c>
      <c r="I13" s="2"/>
    </row>
    <row r="14" spans="1:15" x14ac:dyDescent="0.25">
      <c r="B14" s="38" t="str">
        <f>IF($A14=0,"",VLOOKUP($A14,'BASE EQUIPO'!$A:$D,2))</f>
        <v/>
      </c>
      <c r="C14" s="2"/>
      <c r="D14" s="55"/>
      <c r="E14" s="55" t="str">
        <f>IF($A14=0,"",VLOOKUP($A14,'BASE EQUIPO'!$A:$D,4))</f>
        <v/>
      </c>
      <c r="F14" s="55" t="str">
        <f t="shared" si="0"/>
        <v/>
      </c>
      <c r="G14" s="106"/>
      <c r="H14" s="56" t="str">
        <f t="shared" si="1"/>
        <v/>
      </c>
      <c r="I14" s="2"/>
    </row>
    <row r="15" spans="1:15" x14ac:dyDescent="0.25">
      <c r="B15" s="57" t="str">
        <f>IF($A15=0,"",VLOOKUP($A15,'BASE EQUIPO'!$A:$D,2))</f>
        <v/>
      </c>
      <c r="C15" s="58"/>
      <c r="D15" s="59"/>
      <c r="E15" s="59" t="str">
        <f>IF($A15=0,"",VLOOKUP($A15,'BASE EQUIPO'!$A:$D,4))</f>
        <v/>
      </c>
      <c r="F15" s="59" t="str">
        <f t="shared" si="0"/>
        <v/>
      </c>
      <c r="G15" s="107"/>
      <c r="H15" s="60" t="str">
        <f t="shared" si="1"/>
        <v/>
      </c>
      <c r="I15" s="2"/>
    </row>
    <row r="16" spans="1:15" x14ac:dyDescent="0.25">
      <c r="B16" s="57" t="s">
        <v>1692</v>
      </c>
      <c r="C16" s="58"/>
      <c r="D16" s="61"/>
      <c r="E16" s="61"/>
      <c r="F16" s="61"/>
      <c r="G16" s="62"/>
      <c r="H16" s="60">
        <f>ROUND(SUM(H9:H15),2)</f>
        <v>0.61</v>
      </c>
      <c r="I16" s="2"/>
    </row>
    <row r="17" spans="1:16" x14ac:dyDescent="0.25">
      <c r="B17" s="38" t="s">
        <v>1503</v>
      </c>
      <c r="C17" s="2"/>
      <c r="D17" s="3"/>
      <c r="E17" s="3"/>
      <c r="F17" s="3"/>
      <c r="G17" s="63"/>
      <c r="H17" s="56"/>
      <c r="I17" s="2"/>
    </row>
    <row r="18" spans="1:16" ht="25.5" x14ac:dyDescent="0.25">
      <c r="B18" s="64" t="s">
        <v>1691</v>
      </c>
      <c r="C18" s="65"/>
      <c r="D18" s="66" t="s">
        <v>1690</v>
      </c>
      <c r="E18" s="66" t="s">
        <v>1689</v>
      </c>
      <c r="F18" s="66" t="s">
        <v>1688</v>
      </c>
      <c r="G18" s="67" t="s">
        <v>1687</v>
      </c>
      <c r="H18" s="68" t="s">
        <v>1686</v>
      </c>
      <c r="I18" s="2"/>
    </row>
    <row r="19" spans="1:16" x14ac:dyDescent="0.25">
      <c r="B19" s="69" t="str">
        <f>IF($A19=0,"",VLOOKUP($A19,'BASE M-OBRA'!$A:$D,2))</f>
        <v/>
      </c>
      <c r="C19" s="2"/>
      <c r="D19" s="108"/>
      <c r="E19" s="70" t="str">
        <f>IF($A19=0,"",VLOOKUP($A19,'BASE M-OBRA'!$A:$D,4))</f>
        <v/>
      </c>
      <c r="F19" s="55" t="str">
        <f t="shared" ref="F19:F25" si="2">IF($A19=0,"",ROUND(D19*E19,2))</f>
        <v/>
      </c>
      <c r="G19" s="106" t="str">
        <f>IF($A19=0,"",ROUND(H19/F19,2))</f>
        <v/>
      </c>
      <c r="H19" s="56" t="str">
        <f>IF($A19=0,"",ROUND(SUM(H20:H25)*'BASE M-OBRA'!$D$23,2))</f>
        <v/>
      </c>
      <c r="I19" s="2"/>
    </row>
    <row r="20" spans="1:16" x14ac:dyDescent="0.25">
      <c r="A20" s="103">
        <v>20011</v>
      </c>
      <c r="B20" s="69" t="str">
        <f>IF($A20=0,"",VLOOKUP($A20,'BASE M-OBRA'!$A:$D,2))</f>
        <v>AYUDANTE ESPECIALISTA</v>
      </c>
      <c r="C20" s="2"/>
      <c r="D20" s="108">
        <v>1</v>
      </c>
      <c r="E20" s="70">
        <f>IF($A20=0,"",VLOOKUP($A20,'BASE M-OBRA'!$A:$D,4))</f>
        <v>2.79</v>
      </c>
      <c r="F20" s="55">
        <f t="shared" si="2"/>
        <v>2.79</v>
      </c>
      <c r="G20" s="106">
        <v>0.35</v>
      </c>
      <c r="H20" s="56">
        <f t="shared" ref="H20:H25" si="3">IF($A20=0,"",ROUND(G20*F20,2))</f>
        <v>0.98</v>
      </c>
      <c r="I20" s="2"/>
    </row>
    <row r="21" spans="1:16" x14ac:dyDescent="0.25">
      <c r="A21" s="103">
        <v>20018</v>
      </c>
      <c r="B21" s="69" t="str">
        <f>IF($A21=0,"",VLOOKUP($A21,'BASE M-OBRA'!$A:$D,2))</f>
        <v>PINTOR</v>
      </c>
      <c r="C21" s="2"/>
      <c r="D21" s="108">
        <v>1</v>
      </c>
      <c r="E21" s="70">
        <f>IF($A21=0,"",VLOOKUP($A21,'BASE M-OBRA'!$A:$D,4))</f>
        <v>2.82</v>
      </c>
      <c r="F21" s="55">
        <f t="shared" si="2"/>
        <v>2.82</v>
      </c>
      <c r="G21" s="106">
        <f>+G20</f>
        <v>0.35</v>
      </c>
      <c r="H21" s="56">
        <f t="shared" si="3"/>
        <v>0.99</v>
      </c>
      <c r="I21" s="2"/>
    </row>
    <row r="22" spans="1:16" x14ac:dyDescent="0.25">
      <c r="B22" s="71" t="str">
        <f>IF($A22=0,"",VLOOKUP($A22,'BASE M-OBRA'!$A:$D,2))</f>
        <v/>
      </c>
      <c r="C22" s="2"/>
      <c r="D22" s="108"/>
      <c r="E22" s="70" t="str">
        <f>IF($A22=0,"",VLOOKUP($A22,'BASE M-OBRA'!$A:$D,4))</f>
        <v/>
      </c>
      <c r="F22" s="55" t="str">
        <f t="shared" si="2"/>
        <v/>
      </c>
      <c r="G22" s="106"/>
      <c r="H22" s="56" t="str">
        <f t="shared" si="3"/>
        <v/>
      </c>
      <c r="I22" s="2"/>
    </row>
    <row r="23" spans="1:16" x14ac:dyDescent="0.25">
      <c r="B23" s="72" t="str">
        <f>IF($A23=0,"",VLOOKUP($A23,'BASE M-OBRA'!$A:$D,2))</f>
        <v/>
      </c>
      <c r="C23" s="2"/>
      <c r="D23" s="108"/>
      <c r="E23" s="70" t="str">
        <f>IF($A23=0,"",VLOOKUP($A23,'BASE M-OBRA'!$A:$D,4))</f>
        <v/>
      </c>
      <c r="F23" s="55" t="str">
        <f t="shared" si="2"/>
        <v/>
      </c>
      <c r="G23" s="106"/>
      <c r="H23" s="56" t="str">
        <f t="shared" si="3"/>
        <v/>
      </c>
      <c r="I23" s="2"/>
    </row>
    <row r="24" spans="1:16" x14ac:dyDescent="0.25">
      <c r="B24" s="38" t="str">
        <f>IF($A24=0,"",VLOOKUP($A24,'BASE M-OBRA'!$A:$D,2))</f>
        <v/>
      </c>
      <c r="C24" s="2"/>
      <c r="D24" s="55"/>
      <c r="E24" s="55" t="str">
        <f>IF($A24=0,"",VLOOKUP($A24,'BASE M-OBRA'!$A:$D,4))</f>
        <v/>
      </c>
      <c r="F24" s="55" t="str">
        <f t="shared" si="2"/>
        <v/>
      </c>
      <c r="G24" s="106"/>
      <c r="H24" s="56" t="str">
        <f t="shared" si="3"/>
        <v/>
      </c>
      <c r="I24" s="2"/>
    </row>
    <row r="25" spans="1:16" x14ac:dyDescent="0.25">
      <c r="B25" s="57" t="str">
        <f>IF($A25=0,"",VLOOKUP($A25,'BASE M-OBRA'!$A:$D,2))</f>
        <v/>
      </c>
      <c r="C25" s="58"/>
      <c r="D25" s="59"/>
      <c r="E25" s="59" t="str">
        <f>IF($A25=0,"",VLOOKUP($A25,'BASE M-OBRA'!$A:$D,4))</f>
        <v/>
      </c>
      <c r="F25" s="59" t="str">
        <f t="shared" si="2"/>
        <v/>
      </c>
      <c r="G25" s="107"/>
      <c r="H25" s="60" t="str">
        <f t="shared" si="3"/>
        <v/>
      </c>
      <c r="I25" s="2"/>
    </row>
    <row r="26" spans="1:16" x14ac:dyDescent="0.25">
      <c r="B26" s="73" t="s">
        <v>1685</v>
      </c>
      <c r="C26" s="65"/>
      <c r="D26" s="74"/>
      <c r="E26" s="74"/>
      <c r="F26" s="74"/>
      <c r="G26" s="74"/>
      <c r="H26" s="75">
        <f>ROUND(SUM(H18:H25),2)</f>
        <v>1.97</v>
      </c>
      <c r="I26" s="2"/>
    </row>
    <row r="27" spans="1:16" x14ac:dyDescent="0.25">
      <c r="B27" s="38" t="s">
        <v>1684</v>
      </c>
      <c r="C27" s="2"/>
      <c r="D27" s="3"/>
      <c r="E27" s="3"/>
      <c r="F27" s="3"/>
      <c r="G27" s="3"/>
      <c r="H27" s="56"/>
      <c r="I27" s="2"/>
    </row>
    <row r="28" spans="1:16" ht="25.5" x14ac:dyDescent="0.25">
      <c r="B28" s="64" t="s">
        <v>1409</v>
      </c>
      <c r="C28" s="65"/>
      <c r="D28" s="76"/>
      <c r="E28" s="66" t="s">
        <v>1408</v>
      </c>
      <c r="F28" s="66" t="s">
        <v>1679</v>
      </c>
      <c r="G28" s="66" t="s">
        <v>1683</v>
      </c>
      <c r="H28" s="68" t="s">
        <v>1675</v>
      </c>
      <c r="I28" s="2"/>
    </row>
    <row r="29" spans="1:16" x14ac:dyDescent="0.25">
      <c r="A29" s="103">
        <v>13005</v>
      </c>
      <c r="B29" s="37" t="str">
        <f>IF($A29=0,"",VLOOKUP($A29,'BASE MATERIAL'!$A:$D,2))</f>
        <v>PINTURA DE CAUCHO</v>
      </c>
      <c r="C29" s="2"/>
      <c r="D29" s="77"/>
      <c r="E29" s="78" t="str">
        <f>IF($A29=0,"",VLOOKUP($A29,'BASE MATERIAL'!$A:$D,3))</f>
        <v>GL</v>
      </c>
      <c r="F29" s="55">
        <v>0.04</v>
      </c>
      <c r="G29" s="55">
        <f>IF($A29=0,"",VLOOKUP($A29,'BASE MATERIAL'!$A:$D,4))</f>
        <v>14</v>
      </c>
      <c r="H29" s="56">
        <f t="shared" ref="H29:H43" si="4">IF($A29=0,"",ROUND(F29*G29,2))</f>
        <v>0.56000000000000005</v>
      </c>
      <c r="I29" s="2"/>
      <c r="L29" s="2"/>
      <c r="M29" s="2"/>
      <c r="N29" s="39"/>
      <c r="O29" s="2"/>
      <c r="P29" s="2"/>
    </row>
    <row r="30" spans="1:16" x14ac:dyDescent="0.25">
      <c r="A30" s="103">
        <v>14005</v>
      </c>
      <c r="B30" s="38" t="str">
        <f>IF($A30=0,"",VLOOKUP($A30,'BASE MATERIAL'!$A:$D,2))</f>
        <v>SELLADOR DE FISURAS</v>
      </c>
      <c r="C30" s="2"/>
      <c r="D30" s="77"/>
      <c r="E30" s="78" t="str">
        <f>IF($A30=0,"",VLOOKUP($A30,'BASE MATERIAL'!$A:$D,3))</f>
        <v>GL</v>
      </c>
      <c r="F30" s="112">
        <v>0.02</v>
      </c>
      <c r="G30" s="55">
        <f>IF($A30=0,"",VLOOKUP($A30,'BASE MATERIAL'!$A:$D,4))</f>
        <v>14.6</v>
      </c>
      <c r="H30" s="56">
        <f t="shared" si="4"/>
        <v>0.28999999999999998</v>
      </c>
      <c r="I30" s="2"/>
      <c r="L30" s="2"/>
      <c r="M30" s="2"/>
      <c r="N30" s="39"/>
      <c r="O30" s="2"/>
      <c r="P30" s="2"/>
    </row>
    <row r="31" spans="1:16" x14ac:dyDescent="0.25">
      <c r="A31" s="103">
        <v>14006</v>
      </c>
      <c r="B31" s="38" t="str">
        <f>IF($A31=0,"",VLOOKUP($A31,'BASE MATERIAL'!$A:$D,2))</f>
        <v>SELLADOR DE SUPERFICIES</v>
      </c>
      <c r="C31" s="2"/>
      <c r="D31" s="77"/>
      <c r="E31" s="78" t="str">
        <f>IF($A31=0,"",VLOOKUP($A31,'BASE MATERIAL'!$A:$D,3))</f>
        <v>GL</v>
      </c>
      <c r="F31" s="112">
        <v>0.1</v>
      </c>
      <c r="G31" s="55">
        <f>IF($A31=0,"",VLOOKUP($A31,'BASE MATERIAL'!$A:$D,4))</f>
        <v>11.69</v>
      </c>
      <c r="H31" s="56">
        <f t="shared" si="4"/>
        <v>1.17</v>
      </c>
      <c r="I31" s="2"/>
      <c r="L31" s="2"/>
      <c r="M31" s="2"/>
      <c r="N31" s="39"/>
      <c r="O31" s="2"/>
      <c r="P31" s="2"/>
    </row>
    <row r="32" spans="1:16" x14ac:dyDescent="0.25">
      <c r="A32" s="103">
        <v>14007</v>
      </c>
      <c r="B32" s="38" t="str">
        <f>IF($A32=0,"",VLOOKUP($A32,'BASE MATERIAL'!$A:$D,2))</f>
        <v>EMPASTE INTERIOR</v>
      </c>
      <c r="C32" s="2"/>
      <c r="D32" s="77"/>
      <c r="E32" s="78" t="str">
        <f>IF($A32=0,"",VLOOKUP($A32,'BASE MATERIAL'!$A:$D,3))</f>
        <v>kg</v>
      </c>
      <c r="F32" s="55">
        <v>1</v>
      </c>
      <c r="G32" s="55">
        <f>IF($A32=0,"",VLOOKUP($A32,'BASE MATERIAL'!$A:$D,4))</f>
        <v>1.0095000000000001</v>
      </c>
      <c r="H32" s="56">
        <f t="shared" si="4"/>
        <v>1.01</v>
      </c>
      <c r="I32" s="2"/>
      <c r="L32" s="2"/>
      <c r="M32" s="2"/>
      <c r="N32" s="39"/>
      <c r="O32" s="2"/>
      <c r="P32" s="2"/>
    </row>
    <row r="33" spans="1:16" x14ac:dyDescent="0.25">
      <c r="B33" s="38" t="str">
        <f>IF($A33=0,"",VLOOKUP($A33,'BASE MATERIAL'!$A:$D,2))</f>
        <v/>
      </c>
      <c r="C33" s="2"/>
      <c r="D33" s="77"/>
      <c r="E33" s="78" t="str">
        <f>IF($A33=0,"",VLOOKUP($A33,'BASE MATERIAL'!$A:$D,3))</f>
        <v/>
      </c>
      <c r="F33" s="55"/>
      <c r="G33" s="55" t="str">
        <f>IF($A33=0,"",VLOOKUP($A33,'BASE MATERIAL'!$A:$D,4))</f>
        <v/>
      </c>
      <c r="H33" s="56" t="str">
        <f t="shared" si="4"/>
        <v/>
      </c>
      <c r="I33" s="2"/>
      <c r="L33" s="2"/>
      <c r="M33" s="2"/>
      <c r="N33" s="39"/>
      <c r="O33" s="2"/>
      <c r="P33" s="2"/>
    </row>
    <row r="34" spans="1:16" x14ac:dyDescent="0.25">
      <c r="B34" s="38" t="str">
        <f>IF($A34=0,"",VLOOKUP($A34,'BASE MATERIAL'!$A:$D,2))</f>
        <v/>
      </c>
      <c r="C34" s="2"/>
      <c r="D34" s="77"/>
      <c r="E34" s="78" t="str">
        <f>IF($A34=0,"",VLOOKUP($A34,'BASE MATERIAL'!$A:$D,3))</f>
        <v/>
      </c>
      <c r="F34" s="55"/>
      <c r="G34" s="80" t="str">
        <f>IF($A34=0,"",VLOOKUP($A34,'BASE MATERIAL'!$A:$D,4))</f>
        <v/>
      </c>
      <c r="H34" s="56" t="str">
        <f t="shared" si="4"/>
        <v/>
      </c>
      <c r="I34" s="2"/>
      <c r="L34" s="2"/>
      <c r="M34" s="2"/>
      <c r="N34" s="39"/>
      <c r="O34" s="2"/>
      <c r="P34" s="2"/>
    </row>
    <row r="35" spans="1:16" x14ac:dyDescent="0.25">
      <c r="B35" s="38" t="str">
        <f>IF($A35=0,"",VLOOKUP($A35,'BASE MATERIAL'!$A:$D,2))</f>
        <v/>
      </c>
      <c r="C35" s="2"/>
      <c r="D35" s="77"/>
      <c r="E35" s="78" t="str">
        <f>IF($A35=0,"",VLOOKUP($A35,'BASE MATERIAL'!$A:$D,3))</f>
        <v/>
      </c>
      <c r="F35" s="55"/>
      <c r="G35" s="55" t="str">
        <f>IF($A35=0,"",VLOOKUP($A35,'BASE MATERIAL'!$A:$D,4))</f>
        <v/>
      </c>
      <c r="H35" s="56" t="str">
        <f t="shared" si="4"/>
        <v/>
      </c>
      <c r="I35" s="2"/>
      <c r="L35" s="2"/>
      <c r="M35" s="2"/>
      <c r="N35" s="39"/>
      <c r="O35" s="2"/>
      <c r="P35" s="2"/>
    </row>
    <row r="36" spans="1:16" x14ac:dyDescent="0.25">
      <c r="B36" s="38" t="str">
        <f>IF($A36=0,"",VLOOKUP($A36,'BASE MATERIAL'!$A:$D,2))</f>
        <v/>
      </c>
      <c r="C36" s="2"/>
      <c r="D36" s="77"/>
      <c r="E36" s="78" t="str">
        <f>IF($A36=0,"",VLOOKUP($A36,'BASE MATERIAL'!$A:$D,3))</f>
        <v/>
      </c>
      <c r="F36" s="55"/>
      <c r="G36" s="55" t="str">
        <f>IF($A36=0,"",VLOOKUP($A36,'BASE MATERIAL'!$A:$D,4))</f>
        <v/>
      </c>
      <c r="H36" s="56" t="str">
        <f t="shared" si="4"/>
        <v/>
      </c>
      <c r="I36" s="2"/>
      <c r="L36" s="2"/>
      <c r="M36" s="2"/>
      <c r="N36" s="39"/>
      <c r="O36" s="2"/>
      <c r="P36" s="2"/>
    </row>
    <row r="37" spans="1:16" x14ac:dyDescent="0.25">
      <c r="B37" s="38" t="str">
        <f>IF($A37=0,"",VLOOKUP($A37,'BASE MATERIAL'!$A:$D,2))</f>
        <v/>
      </c>
      <c r="C37" s="2"/>
      <c r="D37" s="77"/>
      <c r="E37" s="78" t="str">
        <f>IF($A37=0,"",VLOOKUP($A37,'BASE MATERIAL'!$A:$D,3))</f>
        <v/>
      </c>
      <c r="F37" s="55"/>
      <c r="G37" s="55" t="str">
        <f>IF($A37=0,"",VLOOKUP($A37,'BASE MATERIAL'!$A:$D,4))</f>
        <v/>
      </c>
      <c r="H37" s="56" t="str">
        <f t="shared" si="4"/>
        <v/>
      </c>
      <c r="I37" s="2"/>
    </row>
    <row r="38" spans="1:16" x14ac:dyDescent="0.25">
      <c r="B38" s="38" t="str">
        <f>IF($A38=0,"",VLOOKUP($A38,'BASE MATERIAL'!$A:$D,2))</f>
        <v/>
      </c>
      <c r="C38" s="2"/>
      <c r="D38" s="77"/>
      <c r="E38" s="78" t="str">
        <f>IF($A38=0,"",VLOOKUP($A38,'BASE MATERIAL'!$A:$D,3))</f>
        <v/>
      </c>
      <c r="F38" s="55"/>
      <c r="G38" s="55" t="str">
        <f>IF($A38=0,"",VLOOKUP($A38,'BASE MATERIAL'!$A:$D,4))</f>
        <v/>
      </c>
      <c r="H38" s="56" t="str">
        <f t="shared" si="4"/>
        <v/>
      </c>
      <c r="I38" s="2"/>
      <c r="L38" s="2"/>
      <c r="M38" s="2"/>
      <c r="N38" s="39"/>
      <c r="O38" s="2"/>
      <c r="P38" s="2"/>
    </row>
    <row r="39" spans="1:16" x14ac:dyDescent="0.25">
      <c r="B39" s="38" t="str">
        <f>IF($A39=0,"",VLOOKUP($A39,'BASE MATERIAL'!$A:$D,2))</f>
        <v/>
      </c>
      <c r="C39" s="2"/>
      <c r="D39" s="77"/>
      <c r="E39" s="78" t="str">
        <f>IF($A39=0,"",VLOOKUP($A39,'BASE MATERIAL'!$A:$D,3))</f>
        <v/>
      </c>
      <c r="F39" s="55"/>
      <c r="G39" s="55" t="str">
        <f>IF($A39=0,"",VLOOKUP($A39,'BASE MATERIAL'!$A:$D,4))</f>
        <v/>
      </c>
      <c r="H39" s="56" t="str">
        <f t="shared" si="4"/>
        <v/>
      </c>
      <c r="I39" s="2"/>
      <c r="L39" s="2"/>
      <c r="M39" s="2"/>
      <c r="N39" s="39"/>
      <c r="O39" s="2"/>
      <c r="P39" s="2"/>
    </row>
    <row r="40" spans="1:16" x14ac:dyDescent="0.25">
      <c r="B40" s="38" t="str">
        <f>IF($A40=0,"",VLOOKUP($A40,'BASE MATERIAL'!$A:$D,2))</f>
        <v/>
      </c>
      <c r="C40" s="2"/>
      <c r="D40" s="77"/>
      <c r="E40" s="78" t="str">
        <f>IF($A40=0,"",VLOOKUP($A40,'BASE MATERIAL'!$A:$D,3))</f>
        <v/>
      </c>
      <c r="F40" s="55"/>
      <c r="G40" s="55" t="str">
        <f>IF($A40=0,"",VLOOKUP($A40,'BASE MATERIAL'!$A:$D,4))</f>
        <v/>
      </c>
      <c r="H40" s="56" t="str">
        <f t="shared" si="4"/>
        <v/>
      </c>
      <c r="I40" s="2"/>
    </row>
    <row r="41" spans="1:16" x14ac:dyDescent="0.25">
      <c r="B41" s="38" t="str">
        <f>IF($A41=0,"",VLOOKUP($A41,'BASE MATERIAL'!$A:$D,2))</f>
        <v/>
      </c>
      <c r="C41" s="2"/>
      <c r="D41" s="77"/>
      <c r="E41" s="78" t="str">
        <f>IF($A41=0,"",VLOOKUP($A41,'BASE MATERIAL'!$A:$D,3))</f>
        <v/>
      </c>
      <c r="F41" s="55"/>
      <c r="G41" s="55" t="str">
        <f>IF($A41=0,"",VLOOKUP($A41,'BASE MATERIAL'!$A:$D,4))</f>
        <v/>
      </c>
      <c r="H41" s="56" t="str">
        <f t="shared" si="4"/>
        <v/>
      </c>
      <c r="I41" s="2"/>
    </row>
    <row r="42" spans="1:16" x14ac:dyDescent="0.25">
      <c r="B42" s="38" t="str">
        <f>IF($A42=0,"",VLOOKUP($A42,'BASE MATERIAL'!$A:$D,2))</f>
        <v/>
      </c>
      <c r="C42" s="2"/>
      <c r="D42" s="77"/>
      <c r="E42" s="78" t="str">
        <f>IF($A42=0,"",VLOOKUP($A42,'BASE MATERIAL'!$A:$D,3))</f>
        <v/>
      </c>
      <c r="F42" s="55"/>
      <c r="G42" s="55" t="str">
        <f>IF($A42=0,"",VLOOKUP($A42,'BASE MATERIAL'!$A:$D,4))</f>
        <v/>
      </c>
      <c r="H42" s="56" t="str">
        <f t="shared" si="4"/>
        <v/>
      </c>
      <c r="I42" s="2"/>
    </row>
    <row r="43" spans="1:16" x14ac:dyDescent="0.25">
      <c r="B43" s="38" t="str">
        <f>IF($A43=0,"",VLOOKUP($A43,'BASE MATERIAL'!$A:$D,2))</f>
        <v/>
      </c>
      <c r="C43" s="2"/>
      <c r="D43" s="77"/>
      <c r="E43" s="78" t="str">
        <f>IF($A43=0,"",VLOOKUP($A43,'BASE MATERIAL'!$A:$D,3))</f>
        <v/>
      </c>
      <c r="F43" s="55"/>
      <c r="G43" s="55" t="str">
        <f>IF($A43=0,"",VLOOKUP($A43,'BASE MATERIAL'!$A:$D,4))</f>
        <v/>
      </c>
      <c r="H43" s="56" t="str">
        <f t="shared" si="4"/>
        <v/>
      </c>
      <c r="I43" s="2"/>
    </row>
    <row r="44" spans="1:16" x14ac:dyDescent="0.25">
      <c r="B44" s="38" t="str">
        <f>IF($A44=0,"",VLOOKUP($A44,'BASE MATERIAL'!$A:$D,2))</f>
        <v/>
      </c>
      <c r="C44" s="2"/>
      <c r="D44" s="81" t="s">
        <v>1682</v>
      </c>
      <c r="E44" s="55" t="str">
        <f>IF($A44=0,"",VLOOKUP($A44,'BASE MATERIAL'!$A:$D,3))</f>
        <v/>
      </c>
      <c r="F44" s="55" t="s">
        <v>1682</v>
      </c>
      <c r="G44" s="55" t="str">
        <f>IF($A44=0,"",VLOOKUP($A44,'BASE MATERIAL'!$A:$D,4))</f>
        <v/>
      </c>
      <c r="H44" s="56" t="str">
        <f>IF($A44=0,"",ROUND(E44*F44,2))</f>
        <v/>
      </c>
      <c r="I44" s="2"/>
    </row>
    <row r="45" spans="1:16" x14ac:dyDescent="0.25">
      <c r="B45" s="73" t="s">
        <v>1681</v>
      </c>
      <c r="C45" s="65"/>
      <c r="D45" s="74"/>
      <c r="E45" s="74"/>
      <c r="F45" s="74"/>
      <c r="G45" s="74"/>
      <c r="H45" s="75">
        <f>ROUND(SUM(H28:H44),2)</f>
        <v>3.03</v>
      </c>
      <c r="I45" s="2"/>
    </row>
    <row r="46" spans="1:16" x14ac:dyDescent="0.25">
      <c r="B46" s="38" t="s">
        <v>1680</v>
      </c>
      <c r="C46" s="2"/>
      <c r="D46" s="3"/>
      <c r="E46" s="3"/>
      <c r="F46" s="3"/>
      <c r="G46" s="3"/>
      <c r="H46" s="56"/>
      <c r="I46" s="2"/>
    </row>
    <row r="47" spans="1:16" ht="25.5" x14ac:dyDescent="0.25">
      <c r="B47" s="64" t="s">
        <v>1409</v>
      </c>
      <c r="C47" s="65"/>
      <c r="D47" s="76"/>
      <c r="E47" s="66" t="s">
        <v>1408</v>
      </c>
      <c r="F47" s="66" t="s">
        <v>1679</v>
      </c>
      <c r="G47" s="66" t="s">
        <v>1676</v>
      </c>
      <c r="H47" s="68" t="s">
        <v>1675</v>
      </c>
      <c r="I47" s="2"/>
    </row>
    <row r="48" spans="1:16" x14ac:dyDescent="0.25">
      <c r="A48" s="103">
        <v>19019</v>
      </c>
      <c r="B48" s="51" t="str">
        <f>IF($A48=0,"",VLOOKUP($A48,'BASE EQUIPO'!$A:$D,2))</f>
        <v>TRANSPORTE DE MATERIAL</v>
      </c>
      <c r="C48" s="52"/>
      <c r="D48" s="82"/>
      <c r="E48" s="78" t="str">
        <f>IF($A48=0,"",VLOOKUP($A48,'BASE EQUIPO'!$A:$D,3))</f>
        <v>GLOBAL</v>
      </c>
      <c r="F48" s="55">
        <v>1</v>
      </c>
      <c r="G48" s="83">
        <f>IF($A48=0,"",VLOOKUP($A48,'BASE EQUIPO'!$A:$D,4)*H45)</f>
        <v>9.0899999999999995E-2</v>
      </c>
      <c r="H48" s="56">
        <f>IF($A48=0,"",ROUND(F48*G48,2))</f>
        <v>0.09</v>
      </c>
      <c r="I48" s="2"/>
    </row>
    <row r="49" spans="1:15" x14ac:dyDescent="0.25">
      <c r="B49" s="38" t="str">
        <f>IF($A49=0,"",VLOOKUP($A49,'BASE EQUIPO'!$A:$D,2))</f>
        <v/>
      </c>
      <c r="C49" s="2"/>
      <c r="D49" s="84"/>
      <c r="E49" s="78" t="str">
        <f>IF($A49=0,"",VLOOKUP($A49,'BASE EQUIPO'!$A:$D,3))</f>
        <v/>
      </c>
      <c r="F49" s="55"/>
      <c r="G49" s="55" t="str">
        <f>IF($A49=0,"",VLOOKUP($A49,'BASE EQUIPO'!$A:$D,4)*H46)</f>
        <v/>
      </c>
      <c r="H49" s="56" t="str">
        <f>IF($A49=0,"",ROUND(F49*G49,2))</f>
        <v/>
      </c>
      <c r="I49" s="2"/>
    </row>
    <row r="50" spans="1:15" x14ac:dyDescent="0.25">
      <c r="B50" s="57" t="str">
        <f>IF($A50=0,"",VLOOKUP($A50,'BASE EQUIPO'!$A:$D,2))</f>
        <v/>
      </c>
      <c r="C50" s="58"/>
      <c r="D50" s="85"/>
      <c r="E50" s="86" t="str">
        <f>IF($A50=0,"",VLOOKUP($A50,'BASE EQUIPO'!$A:$D,3))</f>
        <v/>
      </c>
      <c r="F50" s="59"/>
      <c r="G50" s="59" t="str">
        <f>IF($A50=0,"",VLOOKUP($A50,'BASE EQUIPO'!$A:$D,4)*H47)</f>
        <v/>
      </c>
      <c r="H50" s="60" t="str">
        <f>IF($A50=0,"",ROUND(F50*G50,2))</f>
        <v/>
      </c>
      <c r="I50" s="2"/>
    </row>
    <row r="51" spans="1:15" ht="15.75" thickBot="1" x14ac:dyDescent="0.3">
      <c r="B51" s="87" t="s">
        <v>1674</v>
      </c>
      <c r="C51" s="88"/>
      <c r="D51" s="89"/>
      <c r="E51" s="89"/>
      <c r="F51" s="89"/>
      <c r="G51" s="89"/>
      <c r="H51" s="90">
        <f>ROUND(SUM(H47:H50),2)</f>
        <v>0.09</v>
      </c>
      <c r="I51" s="2"/>
    </row>
    <row r="52" spans="1:15" ht="15.75" x14ac:dyDescent="0.25">
      <c r="B52" s="2"/>
      <c r="C52" s="2"/>
      <c r="D52" s="91" t="s">
        <v>1673</v>
      </c>
      <c r="E52" s="47"/>
      <c r="F52" s="47"/>
      <c r="G52" s="47"/>
      <c r="H52" s="92">
        <f>ROUND(SUM(H51,H45,H26,H16),2)</f>
        <v>5.7</v>
      </c>
      <c r="I52" s="2"/>
    </row>
    <row r="53" spans="1:15" ht="15.75" x14ac:dyDescent="0.25">
      <c r="A53" s="103">
        <v>40002</v>
      </c>
      <c r="B53" s="2"/>
      <c r="C53" s="2"/>
      <c r="D53" s="93" t="s">
        <v>1672</v>
      </c>
      <c r="E53" s="65"/>
      <c r="F53" s="65"/>
      <c r="G53" s="94">
        <f>IF($A53=0,"",VLOOKUP($A53,'BASE MATERIAL'!$M:$P,4))</f>
        <v>0</v>
      </c>
      <c r="H53" s="95">
        <f>IF($A53=0,"",ROUND(G53*H52,2))</f>
        <v>0</v>
      </c>
      <c r="I53" s="2"/>
    </row>
    <row r="54" spans="1:15" ht="15.75" x14ac:dyDescent="0.25">
      <c r="A54" s="103">
        <v>40003</v>
      </c>
      <c r="B54" s="2"/>
      <c r="C54" s="2"/>
      <c r="D54" s="93" t="s">
        <v>1671</v>
      </c>
      <c r="E54" s="65"/>
      <c r="F54" s="65"/>
      <c r="G54" s="94">
        <f>IF($A54=0,"",VLOOKUP($A54,'BASE MATERIAL'!$M:$P,4))</f>
        <v>0</v>
      </c>
      <c r="H54" s="95">
        <f>IF($A54=0,"",ROUND(G54*H52,2))</f>
        <v>0</v>
      </c>
      <c r="I54" s="2"/>
    </row>
    <row r="55" spans="1:15" ht="15.75" x14ac:dyDescent="0.25">
      <c r="B55" s="2"/>
      <c r="C55" s="2"/>
      <c r="D55" s="93" t="s">
        <v>1670</v>
      </c>
      <c r="E55" s="65"/>
      <c r="F55" s="65"/>
      <c r="G55" s="65"/>
      <c r="H55" s="96">
        <f>ROUND(SUM(H52:H54),2)</f>
        <v>5.7</v>
      </c>
      <c r="I55" s="2"/>
    </row>
    <row r="56" spans="1:15" ht="16.5" thickBot="1" x14ac:dyDescent="0.3">
      <c r="B56" s="25"/>
      <c r="C56" s="2"/>
      <c r="D56" s="97" t="s">
        <v>1650</v>
      </c>
      <c r="E56" s="88"/>
      <c r="F56" s="88"/>
      <c r="G56" s="88"/>
      <c r="H56" s="98">
        <f>ROUND(H55,2)</f>
        <v>5.7</v>
      </c>
      <c r="I56" s="2"/>
    </row>
    <row r="57" spans="1:15" ht="15.75" x14ac:dyDescent="0.25">
      <c r="B57" s="34" t="s">
        <v>1701</v>
      </c>
      <c r="C57" s="2"/>
      <c r="D57" s="3" t="str">
        <f>'1.1'!$D$1</f>
        <v>ESPOL</v>
      </c>
      <c r="E57" s="2"/>
      <c r="F57" s="2"/>
      <c r="H57" s="2" t="s">
        <v>108</v>
      </c>
      <c r="I57" s="2"/>
      <c r="L57" s="40">
        <f>A117</f>
        <v>6</v>
      </c>
      <c r="M57" s="1" t="str">
        <f>C118</f>
        <v>Cerámica en paredes</v>
      </c>
      <c r="N57" s="2" t="str">
        <f>H117</f>
        <v>m2</v>
      </c>
      <c r="O57" s="2">
        <f>H168</f>
        <v>19.989999999999998</v>
      </c>
    </row>
    <row r="58" spans="1:15" ht="15.75" x14ac:dyDescent="0.25">
      <c r="B58" s="34" t="s">
        <v>1700</v>
      </c>
      <c r="C58" s="3">
        <f>'1.1'!$C$2</f>
        <v>0</v>
      </c>
      <c r="D58" s="2"/>
      <c r="E58" s="2"/>
      <c r="F58" s="2"/>
      <c r="G58" s="41" t="s">
        <v>1699</v>
      </c>
      <c r="H58" s="42"/>
      <c r="I58" s="2" t="s">
        <v>1698</v>
      </c>
    </row>
    <row r="59" spans="1:15" ht="15.75" x14ac:dyDescent="0.25">
      <c r="B59" s="34"/>
      <c r="C59" s="3">
        <f>'1.1'!$C$3</f>
        <v>0</v>
      </c>
      <c r="D59" s="2"/>
      <c r="E59" s="2"/>
      <c r="F59" s="2"/>
      <c r="G59" s="2"/>
      <c r="H59" s="2"/>
      <c r="I59" s="2"/>
    </row>
    <row r="60" spans="1:15" ht="15.75" x14ac:dyDescent="0.25">
      <c r="B60" s="34" t="s">
        <v>1697</v>
      </c>
      <c r="C60" s="3"/>
      <c r="D60" s="2"/>
      <c r="E60" s="2"/>
      <c r="F60" s="2"/>
      <c r="G60" s="2"/>
      <c r="H60" s="2"/>
      <c r="I60" s="2"/>
    </row>
    <row r="61" spans="1:15" x14ac:dyDescent="0.25">
      <c r="A61" s="104">
        <v>1</v>
      </c>
      <c r="B61" s="2" t="s">
        <v>1586</v>
      </c>
      <c r="C61" s="36" t="s">
        <v>1528</v>
      </c>
      <c r="D61" s="2"/>
      <c r="G61" s="2" t="s">
        <v>1696</v>
      </c>
      <c r="H61" s="3" t="s">
        <v>1520</v>
      </c>
      <c r="I61" s="2"/>
    </row>
    <row r="62" spans="1:15" x14ac:dyDescent="0.25">
      <c r="B62" s="1" t="s">
        <v>1585</v>
      </c>
      <c r="C62" s="36" t="s">
        <v>618</v>
      </c>
      <c r="D62" s="2"/>
      <c r="E62" s="2"/>
      <c r="F62" s="2"/>
      <c r="G62" s="2"/>
      <c r="H62" s="2"/>
      <c r="I62" s="2"/>
    </row>
    <row r="63" spans="1:15" ht="15.75" thickBot="1" x14ac:dyDescent="0.3">
      <c r="C63" s="77"/>
      <c r="D63" s="2"/>
      <c r="E63" s="2"/>
      <c r="F63" s="2"/>
      <c r="G63" s="2"/>
      <c r="H63" s="2"/>
      <c r="I63" s="2"/>
    </row>
    <row r="64" spans="1:15" ht="15.75" thickBot="1" x14ac:dyDescent="0.3">
      <c r="B64" s="43" t="s">
        <v>1695</v>
      </c>
      <c r="C64" s="44"/>
      <c r="D64" s="44"/>
      <c r="E64" s="44"/>
      <c r="F64" s="44"/>
      <c r="G64" s="44"/>
      <c r="H64" s="45"/>
      <c r="I64" s="2"/>
    </row>
    <row r="65" spans="1:9" ht="25.5" x14ac:dyDescent="0.25">
      <c r="B65" s="46" t="s">
        <v>1409</v>
      </c>
      <c r="C65" s="47"/>
      <c r="D65" s="48" t="s">
        <v>1690</v>
      </c>
      <c r="E65" s="48" t="s">
        <v>1694</v>
      </c>
      <c r="F65" s="48" t="s">
        <v>1693</v>
      </c>
      <c r="G65" s="49" t="s">
        <v>1687</v>
      </c>
      <c r="H65" s="50" t="s">
        <v>1686</v>
      </c>
      <c r="I65" s="2"/>
    </row>
    <row r="66" spans="1:9" x14ac:dyDescent="0.25">
      <c r="A66" s="103">
        <v>19015</v>
      </c>
      <c r="B66" s="51" t="str">
        <f>IF($A66=0,"",VLOOKUP($A66,'BASE EQUIPO'!$A:$D,2))</f>
        <v>HERRAMIENTA MENOR</v>
      </c>
      <c r="C66" s="52"/>
      <c r="D66" s="53">
        <v>1</v>
      </c>
      <c r="E66" s="53">
        <f>IF($A66=0,"",VLOOKUP($A66,'BASE EQUIPO'!$A:$D,4)*H82)</f>
        <v>6.7500000000000004E-2</v>
      </c>
      <c r="F66" s="53">
        <f t="shared" ref="F66:F71" si="5">IF($A66=0,"",ROUND(D66*E66,2))</f>
        <v>7.0000000000000007E-2</v>
      </c>
      <c r="G66" s="105">
        <v>1</v>
      </c>
      <c r="H66" s="54">
        <f t="shared" ref="H66:H71" si="6">IF($A66=0,"",ROUND(G66*F66,2))</f>
        <v>7.0000000000000007E-2</v>
      </c>
      <c r="I66" s="2"/>
    </row>
    <row r="67" spans="1:9" x14ac:dyDescent="0.25">
      <c r="A67" s="103">
        <v>19025</v>
      </c>
      <c r="B67" s="38" t="str">
        <f>IF($A67=0,"",VLOOKUP($A67,'BASE EQUIPO'!$A:$D,2))</f>
        <v xml:space="preserve">ANDAMIOS </v>
      </c>
      <c r="C67" s="2"/>
      <c r="D67" s="55">
        <v>1</v>
      </c>
      <c r="E67" s="55">
        <f>IF($A67=0,"",VLOOKUP($A67,'BASE EQUIPO'!$A:$D,4))</f>
        <v>5.54</v>
      </c>
      <c r="F67" s="55">
        <f t="shared" si="5"/>
        <v>5.54</v>
      </c>
      <c r="G67" s="106">
        <v>0.1</v>
      </c>
      <c r="H67" s="56">
        <f t="shared" si="6"/>
        <v>0.55000000000000004</v>
      </c>
      <c r="I67" s="2"/>
    </row>
    <row r="68" spans="1:9" x14ac:dyDescent="0.25">
      <c r="B68" s="38" t="str">
        <f>IF($A68=0,"",VLOOKUP($A68,'BASE EQUIPO'!$A:$D,2))</f>
        <v/>
      </c>
      <c r="C68" s="2"/>
      <c r="D68" s="55"/>
      <c r="E68" s="55" t="str">
        <f>IF($A68=0,"",VLOOKUP($A68,'BASE EQUIPO'!$A:$D,4))</f>
        <v/>
      </c>
      <c r="F68" s="55" t="str">
        <f t="shared" si="5"/>
        <v/>
      </c>
      <c r="G68" s="106"/>
      <c r="H68" s="56" t="str">
        <f t="shared" si="6"/>
        <v/>
      </c>
      <c r="I68" s="2"/>
    </row>
    <row r="69" spans="1:9" x14ac:dyDescent="0.25">
      <c r="B69" s="38" t="str">
        <f>IF($A69=0,"",VLOOKUP($A69,'BASE EQUIPO'!$A:$D,2))</f>
        <v/>
      </c>
      <c r="C69" s="2"/>
      <c r="D69" s="55"/>
      <c r="E69" s="55" t="str">
        <f>IF($A69=0,"",VLOOKUP($A69,'BASE EQUIPO'!$A:$D,4))</f>
        <v/>
      </c>
      <c r="F69" s="55" t="str">
        <f t="shared" si="5"/>
        <v/>
      </c>
      <c r="G69" s="106"/>
      <c r="H69" s="56" t="str">
        <f t="shared" si="6"/>
        <v/>
      </c>
      <c r="I69" s="2"/>
    </row>
    <row r="70" spans="1:9" x14ac:dyDescent="0.25">
      <c r="B70" s="38" t="str">
        <f>IF($A70=0,"",VLOOKUP($A70,'BASE EQUIPO'!$A:$D,2))</f>
        <v/>
      </c>
      <c r="C70" s="2"/>
      <c r="D70" s="55"/>
      <c r="E70" s="55" t="str">
        <f>IF($A70=0,"",VLOOKUP($A70,'BASE EQUIPO'!$A:$D,4))</f>
        <v/>
      </c>
      <c r="F70" s="55" t="str">
        <f t="shared" si="5"/>
        <v/>
      </c>
      <c r="G70" s="106"/>
      <c r="H70" s="56" t="str">
        <f t="shared" si="6"/>
        <v/>
      </c>
      <c r="I70" s="2"/>
    </row>
    <row r="71" spans="1:9" x14ac:dyDescent="0.25">
      <c r="B71" s="57" t="str">
        <f>IF($A71=0,"",VLOOKUP($A71,'BASE EQUIPO'!$A:$D,2))</f>
        <v/>
      </c>
      <c r="C71" s="58"/>
      <c r="D71" s="59"/>
      <c r="E71" s="59" t="str">
        <f>IF($A71=0,"",VLOOKUP($A71,'BASE EQUIPO'!$A:$D,4))</f>
        <v/>
      </c>
      <c r="F71" s="59" t="str">
        <f t="shared" si="5"/>
        <v/>
      </c>
      <c r="G71" s="107"/>
      <c r="H71" s="60" t="str">
        <f t="shared" si="6"/>
        <v/>
      </c>
      <c r="I71" s="2"/>
    </row>
    <row r="72" spans="1:9" x14ac:dyDescent="0.25">
      <c r="B72" s="57" t="s">
        <v>1692</v>
      </c>
      <c r="C72" s="58"/>
      <c r="D72" s="61"/>
      <c r="E72" s="61"/>
      <c r="F72" s="61"/>
      <c r="G72" s="62"/>
      <c r="H72" s="60">
        <f>ROUND(SUM(H65:H71),2)</f>
        <v>0.62</v>
      </c>
      <c r="I72" s="2"/>
    </row>
    <row r="73" spans="1:9" x14ac:dyDescent="0.25">
      <c r="B73" s="38" t="s">
        <v>1503</v>
      </c>
      <c r="C73" s="2"/>
      <c r="D73" s="3"/>
      <c r="E73" s="3"/>
      <c r="F73" s="3"/>
      <c r="G73" s="63"/>
      <c r="H73" s="56"/>
      <c r="I73" s="2"/>
    </row>
    <row r="74" spans="1:9" ht="25.5" x14ac:dyDescent="0.25">
      <c r="B74" s="64" t="s">
        <v>1691</v>
      </c>
      <c r="C74" s="65"/>
      <c r="D74" s="66" t="s">
        <v>1690</v>
      </c>
      <c r="E74" s="66" t="s">
        <v>1689</v>
      </c>
      <c r="F74" s="66" t="s">
        <v>1688</v>
      </c>
      <c r="G74" s="67" t="s">
        <v>1687</v>
      </c>
      <c r="H74" s="68" t="s">
        <v>1686</v>
      </c>
      <c r="I74" s="2"/>
    </row>
    <row r="75" spans="1:9" x14ac:dyDescent="0.25">
      <c r="B75" s="69" t="str">
        <f>IF($A75=0,"",VLOOKUP($A75,'BASE M-OBRA'!$A:$D,2))</f>
        <v/>
      </c>
      <c r="C75" s="2"/>
      <c r="D75" s="108"/>
      <c r="E75" s="70" t="str">
        <f>IF($A75=0,"",VLOOKUP($A75,'BASE M-OBRA'!$A:$D,4))</f>
        <v/>
      </c>
      <c r="F75" s="55" t="str">
        <f t="shared" ref="F75:F81" si="7">IF($A75=0,"",ROUND(D75*E75,2))</f>
        <v/>
      </c>
      <c r="G75" s="106" t="str">
        <f>IF($A75=0,"",ROUND(H75/F75,2))</f>
        <v/>
      </c>
      <c r="H75" s="56" t="str">
        <f>IF($A75=0,"",ROUND(SUM(H76:H81)*'BASE M-OBRA'!$D$23,2))</f>
        <v/>
      </c>
      <c r="I75" s="2"/>
    </row>
    <row r="76" spans="1:9" x14ac:dyDescent="0.25">
      <c r="A76" s="103">
        <v>20011</v>
      </c>
      <c r="B76" s="69" t="str">
        <f>IF($A76=0,"",VLOOKUP($A76,'BASE M-OBRA'!$A:$D,2))</f>
        <v>AYUDANTE ESPECIALISTA</v>
      </c>
      <c r="C76" s="2"/>
      <c r="D76" s="108">
        <v>1</v>
      </c>
      <c r="E76" s="70">
        <f>IF($A76=0,"",VLOOKUP($A76,'BASE M-OBRA'!$A:$D,4))</f>
        <v>2.79</v>
      </c>
      <c r="F76" s="55">
        <f t="shared" si="7"/>
        <v>2.79</v>
      </c>
      <c r="G76" s="106">
        <v>0.4</v>
      </c>
      <c r="H76" s="56">
        <f t="shared" ref="H76:H81" si="8">IF($A76=0,"",ROUND(G76*F76,2))</f>
        <v>1.1200000000000001</v>
      </c>
      <c r="I76" s="2"/>
    </row>
    <row r="77" spans="1:9" x14ac:dyDescent="0.25">
      <c r="A77" s="103">
        <v>20018</v>
      </c>
      <c r="B77" s="69" t="str">
        <f>IF($A77=0,"",VLOOKUP($A77,'BASE M-OBRA'!$A:$D,2))</f>
        <v>PINTOR</v>
      </c>
      <c r="C77" s="2"/>
      <c r="D77" s="108">
        <v>1</v>
      </c>
      <c r="E77" s="70">
        <f>IF($A77=0,"",VLOOKUP($A77,'BASE M-OBRA'!$A:$D,4))</f>
        <v>2.82</v>
      </c>
      <c r="F77" s="55">
        <f t="shared" si="7"/>
        <v>2.82</v>
      </c>
      <c r="G77" s="106">
        <f>+G76</f>
        <v>0.4</v>
      </c>
      <c r="H77" s="56">
        <f t="shared" si="8"/>
        <v>1.1299999999999999</v>
      </c>
      <c r="I77" s="2"/>
    </row>
    <row r="78" spans="1:9" x14ac:dyDescent="0.25">
      <c r="B78" s="71" t="str">
        <f>IF($A78=0,"",VLOOKUP($A78,'BASE M-OBRA'!$A:$D,2))</f>
        <v/>
      </c>
      <c r="C78" s="2"/>
      <c r="D78" s="108"/>
      <c r="E78" s="70" t="str">
        <f>IF($A78=0,"",VLOOKUP($A78,'BASE M-OBRA'!$A:$D,4))</f>
        <v/>
      </c>
      <c r="F78" s="55" t="str">
        <f t="shared" si="7"/>
        <v/>
      </c>
      <c r="G78" s="106"/>
      <c r="H78" s="56" t="str">
        <f t="shared" si="8"/>
        <v/>
      </c>
      <c r="I78" s="2"/>
    </row>
    <row r="79" spans="1:9" x14ac:dyDescent="0.25">
      <c r="B79" s="72" t="str">
        <f>IF($A79=0,"",VLOOKUP($A79,'BASE M-OBRA'!$A:$D,2))</f>
        <v/>
      </c>
      <c r="C79" s="2"/>
      <c r="D79" s="108"/>
      <c r="E79" s="70" t="str">
        <f>IF($A79=0,"",VLOOKUP($A79,'BASE M-OBRA'!$A:$D,4))</f>
        <v/>
      </c>
      <c r="F79" s="55" t="str">
        <f t="shared" si="7"/>
        <v/>
      </c>
      <c r="G79" s="106"/>
      <c r="H79" s="56" t="str">
        <f t="shared" si="8"/>
        <v/>
      </c>
      <c r="I79" s="2"/>
    </row>
    <row r="80" spans="1:9" x14ac:dyDescent="0.25">
      <c r="B80" s="38" t="str">
        <f>IF($A80=0,"",VLOOKUP($A80,'BASE M-OBRA'!$A:$D,2))</f>
        <v/>
      </c>
      <c r="C80" s="2"/>
      <c r="D80" s="55"/>
      <c r="E80" s="55" t="str">
        <f>IF($A80=0,"",VLOOKUP($A80,'BASE M-OBRA'!$A:$D,4))</f>
        <v/>
      </c>
      <c r="F80" s="55" t="str">
        <f t="shared" si="7"/>
        <v/>
      </c>
      <c r="G80" s="106"/>
      <c r="H80" s="56" t="str">
        <f t="shared" si="8"/>
        <v/>
      </c>
      <c r="I80" s="2"/>
    </row>
    <row r="81" spans="1:16" x14ac:dyDescent="0.25">
      <c r="B81" s="57" t="str">
        <f>IF($A81=0,"",VLOOKUP($A81,'BASE M-OBRA'!$A:$D,2))</f>
        <v/>
      </c>
      <c r="C81" s="58"/>
      <c r="D81" s="59"/>
      <c r="E81" s="59" t="str">
        <f>IF($A81=0,"",VLOOKUP($A81,'BASE M-OBRA'!$A:$D,4))</f>
        <v/>
      </c>
      <c r="F81" s="59" t="str">
        <f t="shared" si="7"/>
        <v/>
      </c>
      <c r="G81" s="107"/>
      <c r="H81" s="60" t="str">
        <f t="shared" si="8"/>
        <v/>
      </c>
      <c r="I81" s="2"/>
    </row>
    <row r="82" spans="1:16" x14ac:dyDescent="0.25">
      <c r="B82" s="73" t="s">
        <v>1685</v>
      </c>
      <c r="C82" s="65"/>
      <c r="D82" s="74"/>
      <c r="E82" s="74"/>
      <c r="F82" s="74"/>
      <c r="G82" s="74"/>
      <c r="H82" s="75">
        <f>ROUND(SUM(H74:H81),2)</f>
        <v>2.25</v>
      </c>
      <c r="I82" s="2"/>
    </row>
    <row r="83" spans="1:16" x14ac:dyDescent="0.25">
      <c r="B83" s="38" t="s">
        <v>1684</v>
      </c>
      <c r="C83" s="2"/>
      <c r="D83" s="3"/>
      <c r="E83" s="3"/>
      <c r="F83" s="3"/>
      <c r="G83" s="3"/>
      <c r="H83" s="56"/>
      <c r="I83" s="2"/>
    </row>
    <row r="84" spans="1:16" ht="25.5" x14ac:dyDescent="0.25">
      <c r="B84" s="64" t="s">
        <v>1409</v>
      </c>
      <c r="C84" s="65"/>
      <c r="D84" s="76"/>
      <c r="E84" s="66" t="s">
        <v>1408</v>
      </c>
      <c r="F84" s="66" t="s">
        <v>1679</v>
      </c>
      <c r="G84" s="66" t="s">
        <v>1683</v>
      </c>
      <c r="H84" s="68" t="s">
        <v>1675</v>
      </c>
      <c r="I84" s="2"/>
    </row>
    <row r="85" spans="1:16" x14ac:dyDescent="0.25">
      <c r="A85" s="103">
        <v>13003</v>
      </c>
      <c r="B85" s="37" t="str">
        <f>IF($A85=0,"",VLOOKUP($A85,'BASE MATERIAL'!$A:$D,2))</f>
        <v>PINTURA ELASTOMERICA</v>
      </c>
      <c r="C85" s="2"/>
      <c r="D85" s="77"/>
      <c r="E85" s="78" t="str">
        <f>IF($A85=0,"",VLOOKUP($A85,'BASE MATERIAL'!$A:$D,3))</f>
        <v>GL</v>
      </c>
      <c r="F85" s="55">
        <v>0.06</v>
      </c>
      <c r="G85" s="55">
        <f>IF($A85=0,"",VLOOKUP($A85,'BASE MATERIAL'!$A:$D,4))</f>
        <v>20</v>
      </c>
      <c r="H85" s="56">
        <f t="shared" ref="H85:H99" si="9">IF($A85=0,"",ROUND(F85*G85,2))</f>
        <v>1.2</v>
      </c>
      <c r="I85" s="2"/>
      <c r="L85" s="2"/>
      <c r="M85" s="2"/>
      <c r="N85" s="39"/>
      <c r="O85" s="2"/>
      <c r="P85" s="2"/>
    </row>
    <row r="86" spans="1:16" x14ac:dyDescent="0.25">
      <c r="A86" s="103">
        <v>14005</v>
      </c>
      <c r="B86" s="38" t="str">
        <f>IF($A86=0,"",VLOOKUP($A86,'BASE MATERIAL'!$A:$D,2))</f>
        <v>SELLADOR DE FISURAS</v>
      </c>
      <c r="C86" s="2"/>
      <c r="D86" s="77"/>
      <c r="E86" s="78" t="str">
        <f>IF($A86=0,"",VLOOKUP($A86,'BASE MATERIAL'!$A:$D,3))</f>
        <v>GL</v>
      </c>
      <c r="F86" s="112">
        <v>0.02</v>
      </c>
      <c r="G86" s="55">
        <f>IF($A86=0,"",VLOOKUP($A86,'BASE MATERIAL'!$A:$D,4))</f>
        <v>14.6</v>
      </c>
      <c r="H86" s="56">
        <f t="shared" si="9"/>
        <v>0.28999999999999998</v>
      </c>
      <c r="I86" s="2"/>
      <c r="L86" s="2"/>
      <c r="M86" s="2"/>
      <c r="N86" s="39"/>
      <c r="O86" s="2"/>
      <c r="P86" s="2"/>
    </row>
    <row r="87" spans="1:16" x14ac:dyDescent="0.25">
      <c r="A87" s="103">
        <v>14006</v>
      </c>
      <c r="B87" s="38" t="str">
        <f>IF($A87=0,"",VLOOKUP($A87,'BASE MATERIAL'!$A:$D,2))</f>
        <v>SELLADOR DE SUPERFICIES</v>
      </c>
      <c r="C87" s="2"/>
      <c r="D87" s="77"/>
      <c r="E87" s="78" t="str">
        <f>IF($A87=0,"",VLOOKUP($A87,'BASE MATERIAL'!$A:$D,3))</f>
        <v>GL</v>
      </c>
      <c r="F87" s="112">
        <v>0.11</v>
      </c>
      <c r="G87" s="55">
        <f>IF($A87=0,"",VLOOKUP($A87,'BASE MATERIAL'!$A:$D,4))</f>
        <v>11.69</v>
      </c>
      <c r="H87" s="56">
        <f t="shared" si="9"/>
        <v>1.29</v>
      </c>
      <c r="I87" s="2"/>
      <c r="L87" s="2"/>
      <c r="M87" s="2"/>
      <c r="N87" s="39"/>
      <c r="O87" s="2"/>
      <c r="P87" s="2"/>
    </row>
    <row r="88" spans="1:16" x14ac:dyDescent="0.25">
      <c r="B88" s="38" t="str">
        <f>IF($A88=0,"",VLOOKUP($A88,'BASE MATERIAL'!$A:$D,2))</f>
        <v/>
      </c>
      <c r="C88" s="2"/>
      <c r="D88" s="77"/>
      <c r="E88" s="78" t="str">
        <f>IF($A88=0,"",VLOOKUP($A88,'BASE MATERIAL'!$A:$D,3))</f>
        <v/>
      </c>
      <c r="F88" s="55"/>
      <c r="G88" s="55" t="str">
        <f>IF($A88=0,"",VLOOKUP($A88,'BASE MATERIAL'!$A:$D,4))</f>
        <v/>
      </c>
      <c r="H88" s="56" t="str">
        <f t="shared" si="9"/>
        <v/>
      </c>
      <c r="I88" s="2"/>
      <c r="L88" s="2"/>
      <c r="M88" s="2"/>
      <c r="N88" s="39"/>
      <c r="O88" s="2"/>
      <c r="P88" s="2"/>
    </row>
    <row r="89" spans="1:16" x14ac:dyDescent="0.25">
      <c r="B89" s="38" t="str">
        <f>IF($A89=0,"",VLOOKUP($A89,'BASE MATERIAL'!$A:$D,2))</f>
        <v/>
      </c>
      <c r="C89" s="2"/>
      <c r="D89" s="77"/>
      <c r="E89" s="78" t="str">
        <f>IF($A89=0,"",VLOOKUP($A89,'BASE MATERIAL'!$A:$D,3))</f>
        <v/>
      </c>
      <c r="F89" s="55"/>
      <c r="G89" s="55" t="str">
        <f>IF($A89=0,"",VLOOKUP($A89,'BASE MATERIAL'!$A:$D,4))</f>
        <v/>
      </c>
      <c r="H89" s="56" t="str">
        <f t="shared" si="9"/>
        <v/>
      </c>
      <c r="I89" s="2"/>
      <c r="L89" s="2"/>
      <c r="M89" s="2"/>
      <c r="N89" s="39"/>
      <c r="O89" s="2"/>
      <c r="P89" s="2"/>
    </row>
    <row r="90" spans="1:16" x14ac:dyDescent="0.25">
      <c r="B90" s="38" t="str">
        <f>IF($A90=0,"",VLOOKUP($A90,'BASE MATERIAL'!$A:$D,2))</f>
        <v/>
      </c>
      <c r="C90" s="2"/>
      <c r="D90" s="77"/>
      <c r="E90" s="78" t="str">
        <f>IF($A90=0,"",VLOOKUP($A90,'BASE MATERIAL'!$A:$D,3))</f>
        <v/>
      </c>
      <c r="F90" s="55"/>
      <c r="G90" s="80" t="str">
        <f>IF($A90=0,"",VLOOKUP($A90,'BASE MATERIAL'!$A:$D,4))</f>
        <v/>
      </c>
      <c r="H90" s="56" t="str">
        <f t="shared" si="9"/>
        <v/>
      </c>
      <c r="I90" s="2"/>
      <c r="L90" s="2"/>
      <c r="M90" s="2"/>
      <c r="N90" s="39"/>
      <c r="O90" s="2"/>
      <c r="P90" s="2"/>
    </row>
    <row r="91" spans="1:16" x14ac:dyDescent="0.25">
      <c r="B91" s="38" t="str">
        <f>IF($A91=0,"",VLOOKUP($A91,'BASE MATERIAL'!$A:$D,2))</f>
        <v/>
      </c>
      <c r="C91" s="2"/>
      <c r="D91" s="77"/>
      <c r="E91" s="78" t="str">
        <f>IF($A91=0,"",VLOOKUP($A91,'BASE MATERIAL'!$A:$D,3))</f>
        <v/>
      </c>
      <c r="F91" s="55"/>
      <c r="G91" s="55" t="str">
        <f>IF($A91=0,"",VLOOKUP($A91,'BASE MATERIAL'!$A:$D,4))</f>
        <v/>
      </c>
      <c r="H91" s="56" t="str">
        <f t="shared" si="9"/>
        <v/>
      </c>
      <c r="I91" s="2"/>
      <c r="L91" s="2"/>
      <c r="M91" s="2"/>
      <c r="N91" s="39"/>
      <c r="O91" s="2"/>
      <c r="P91" s="2"/>
    </row>
    <row r="92" spans="1:16" x14ac:dyDescent="0.25">
      <c r="B92" s="38" t="str">
        <f>IF($A92=0,"",VLOOKUP($A92,'BASE MATERIAL'!$A:$D,2))</f>
        <v/>
      </c>
      <c r="C92" s="2"/>
      <c r="D92" s="77"/>
      <c r="E92" s="78" t="str">
        <f>IF($A92=0,"",VLOOKUP($A92,'BASE MATERIAL'!$A:$D,3))</f>
        <v/>
      </c>
      <c r="F92" s="55"/>
      <c r="G92" s="55" t="str">
        <f>IF($A92=0,"",VLOOKUP($A92,'BASE MATERIAL'!$A:$D,4))</f>
        <v/>
      </c>
      <c r="H92" s="56" t="str">
        <f t="shared" si="9"/>
        <v/>
      </c>
      <c r="I92" s="2"/>
      <c r="L92" s="2"/>
      <c r="M92" s="2"/>
      <c r="N92" s="39"/>
      <c r="O92" s="2"/>
      <c r="P92" s="2"/>
    </row>
    <row r="93" spans="1:16" x14ac:dyDescent="0.25">
      <c r="B93" s="38" t="str">
        <f>IF($A93=0,"",VLOOKUP($A93,'BASE MATERIAL'!$A:$D,2))</f>
        <v/>
      </c>
      <c r="C93" s="2"/>
      <c r="D93" s="77"/>
      <c r="E93" s="78" t="str">
        <f>IF($A93=0,"",VLOOKUP($A93,'BASE MATERIAL'!$A:$D,3))</f>
        <v/>
      </c>
      <c r="F93" s="55"/>
      <c r="G93" s="55" t="str">
        <f>IF($A93=0,"",VLOOKUP($A93,'BASE MATERIAL'!$A:$D,4))</f>
        <v/>
      </c>
      <c r="H93" s="56" t="str">
        <f t="shared" si="9"/>
        <v/>
      </c>
      <c r="I93" s="2"/>
    </row>
    <row r="94" spans="1:16" x14ac:dyDescent="0.25">
      <c r="B94" s="38" t="str">
        <f>IF($A94=0,"",VLOOKUP($A94,'BASE MATERIAL'!$A:$D,2))</f>
        <v/>
      </c>
      <c r="C94" s="2"/>
      <c r="D94" s="77"/>
      <c r="E94" s="78" t="str">
        <f>IF($A94=0,"",VLOOKUP($A94,'BASE MATERIAL'!$A:$D,3))</f>
        <v/>
      </c>
      <c r="F94" s="55"/>
      <c r="G94" s="55" t="str">
        <f>IF($A94=0,"",VLOOKUP($A94,'BASE MATERIAL'!$A:$D,4))</f>
        <v/>
      </c>
      <c r="H94" s="56" t="str">
        <f t="shared" si="9"/>
        <v/>
      </c>
      <c r="I94" s="2"/>
      <c r="L94" s="2"/>
      <c r="M94" s="2"/>
      <c r="N94" s="39"/>
      <c r="O94" s="2"/>
      <c r="P94" s="2"/>
    </row>
    <row r="95" spans="1:16" x14ac:dyDescent="0.25">
      <c r="B95" s="38" t="str">
        <f>IF($A95=0,"",VLOOKUP($A95,'BASE MATERIAL'!$A:$D,2))</f>
        <v/>
      </c>
      <c r="C95" s="2"/>
      <c r="D95" s="77"/>
      <c r="E95" s="78" t="str">
        <f>IF($A95=0,"",VLOOKUP($A95,'BASE MATERIAL'!$A:$D,3))</f>
        <v/>
      </c>
      <c r="F95" s="55"/>
      <c r="G95" s="55" t="str">
        <f>IF($A95=0,"",VLOOKUP($A95,'BASE MATERIAL'!$A:$D,4))</f>
        <v/>
      </c>
      <c r="H95" s="56" t="str">
        <f t="shared" si="9"/>
        <v/>
      </c>
      <c r="I95" s="2"/>
      <c r="L95" s="2"/>
      <c r="M95" s="2"/>
      <c r="N95" s="39"/>
      <c r="O95" s="2"/>
      <c r="P95" s="2"/>
    </row>
    <row r="96" spans="1:16" x14ac:dyDescent="0.25">
      <c r="B96" s="38" t="str">
        <f>IF($A96=0,"",VLOOKUP($A96,'BASE MATERIAL'!$A:$D,2))</f>
        <v/>
      </c>
      <c r="C96" s="2"/>
      <c r="D96" s="77"/>
      <c r="E96" s="78" t="str">
        <f>IF($A96=0,"",VLOOKUP($A96,'BASE MATERIAL'!$A:$D,3))</f>
        <v/>
      </c>
      <c r="F96" s="55"/>
      <c r="G96" s="55" t="str">
        <f>IF($A96=0,"",VLOOKUP($A96,'BASE MATERIAL'!$A:$D,4))</f>
        <v/>
      </c>
      <c r="H96" s="56" t="str">
        <f t="shared" si="9"/>
        <v/>
      </c>
      <c r="I96" s="2"/>
    </row>
    <row r="97" spans="1:9" x14ac:dyDescent="0.25">
      <c r="B97" s="38" t="str">
        <f>IF($A97=0,"",VLOOKUP($A97,'BASE MATERIAL'!$A:$D,2))</f>
        <v/>
      </c>
      <c r="C97" s="2"/>
      <c r="D97" s="77"/>
      <c r="E97" s="78" t="str">
        <f>IF($A97=0,"",VLOOKUP($A97,'BASE MATERIAL'!$A:$D,3))</f>
        <v/>
      </c>
      <c r="F97" s="55"/>
      <c r="G97" s="55" t="str">
        <f>IF($A97=0,"",VLOOKUP($A97,'BASE MATERIAL'!$A:$D,4))</f>
        <v/>
      </c>
      <c r="H97" s="56" t="str">
        <f t="shared" si="9"/>
        <v/>
      </c>
      <c r="I97" s="2"/>
    </row>
    <row r="98" spans="1:9" x14ac:dyDescent="0.25">
      <c r="B98" s="38" t="str">
        <f>IF($A98=0,"",VLOOKUP($A98,'BASE MATERIAL'!$A:$D,2))</f>
        <v/>
      </c>
      <c r="C98" s="2"/>
      <c r="D98" s="77"/>
      <c r="E98" s="78" t="str">
        <f>IF($A98=0,"",VLOOKUP($A98,'BASE MATERIAL'!$A:$D,3))</f>
        <v/>
      </c>
      <c r="F98" s="55"/>
      <c r="G98" s="55" t="str">
        <f>IF($A98=0,"",VLOOKUP($A98,'BASE MATERIAL'!$A:$D,4))</f>
        <v/>
      </c>
      <c r="H98" s="56" t="str">
        <f t="shared" si="9"/>
        <v/>
      </c>
      <c r="I98" s="2"/>
    </row>
    <row r="99" spans="1:9" x14ac:dyDescent="0.25">
      <c r="B99" s="38" t="str">
        <f>IF($A99=0,"",VLOOKUP($A99,'BASE MATERIAL'!$A:$D,2))</f>
        <v/>
      </c>
      <c r="C99" s="2"/>
      <c r="D99" s="77"/>
      <c r="E99" s="78" t="str">
        <f>IF($A99=0,"",VLOOKUP($A99,'BASE MATERIAL'!$A:$D,3))</f>
        <v/>
      </c>
      <c r="F99" s="55"/>
      <c r="G99" s="55" t="str">
        <f>IF($A99=0,"",VLOOKUP($A99,'BASE MATERIAL'!$A:$D,4))</f>
        <v/>
      </c>
      <c r="H99" s="56" t="str">
        <f t="shared" si="9"/>
        <v/>
      </c>
      <c r="I99" s="2"/>
    </row>
    <row r="100" spans="1:9" x14ac:dyDescent="0.25">
      <c r="B100" s="38" t="str">
        <f>IF($A100=0,"",VLOOKUP($A100,'BASE MATERIAL'!$A:$D,2))</f>
        <v/>
      </c>
      <c r="C100" s="2"/>
      <c r="D100" s="81" t="s">
        <v>1682</v>
      </c>
      <c r="E100" s="55" t="str">
        <f>IF($A100=0,"",VLOOKUP($A100,'BASE MATERIAL'!$A:$D,3))</f>
        <v/>
      </c>
      <c r="F100" s="55" t="s">
        <v>1682</v>
      </c>
      <c r="G100" s="55" t="str">
        <f>IF($A100=0,"",VLOOKUP($A100,'BASE MATERIAL'!$A:$D,4))</f>
        <v/>
      </c>
      <c r="H100" s="56" t="str">
        <f>IF($A100=0,"",ROUND(E100*F100,2))</f>
        <v/>
      </c>
      <c r="I100" s="2"/>
    </row>
    <row r="101" spans="1:9" x14ac:dyDescent="0.25">
      <c r="B101" s="73" t="s">
        <v>1681</v>
      </c>
      <c r="C101" s="65"/>
      <c r="D101" s="74"/>
      <c r="E101" s="74"/>
      <c r="F101" s="74"/>
      <c r="G101" s="74"/>
      <c r="H101" s="75">
        <f>ROUND(SUM(H84:H100),2)</f>
        <v>2.78</v>
      </c>
      <c r="I101" s="2"/>
    </row>
    <row r="102" spans="1:9" x14ac:dyDescent="0.25">
      <c r="B102" s="38" t="s">
        <v>1680</v>
      </c>
      <c r="C102" s="2"/>
      <c r="D102" s="3"/>
      <c r="E102" s="3"/>
      <c r="F102" s="3"/>
      <c r="G102" s="3"/>
      <c r="H102" s="56"/>
      <c r="I102" s="2"/>
    </row>
    <row r="103" spans="1:9" ht="25.5" x14ac:dyDescent="0.25">
      <c r="B103" s="64" t="s">
        <v>1409</v>
      </c>
      <c r="C103" s="65"/>
      <c r="D103" s="76"/>
      <c r="E103" s="66" t="s">
        <v>1408</v>
      </c>
      <c r="F103" s="66" t="s">
        <v>1679</v>
      </c>
      <c r="G103" s="66" t="s">
        <v>1676</v>
      </c>
      <c r="H103" s="68" t="s">
        <v>1675</v>
      </c>
      <c r="I103" s="2"/>
    </row>
    <row r="104" spans="1:9" x14ac:dyDescent="0.25">
      <c r="A104" s="103">
        <v>19019</v>
      </c>
      <c r="B104" s="51" t="str">
        <f>IF($A104=0,"",VLOOKUP($A104,'BASE EQUIPO'!$A:$D,2))</f>
        <v>TRANSPORTE DE MATERIAL</v>
      </c>
      <c r="C104" s="52"/>
      <c r="D104" s="82"/>
      <c r="E104" s="78" t="str">
        <f>IF($A104=0,"",VLOOKUP($A104,'BASE EQUIPO'!$A:$D,3))</f>
        <v>GLOBAL</v>
      </c>
      <c r="F104" s="55">
        <v>1</v>
      </c>
      <c r="G104" s="83">
        <f>IF($A104=0,"",VLOOKUP($A104,'BASE EQUIPO'!$A:$D,4)*H101)</f>
        <v>8.3399999999999988E-2</v>
      </c>
      <c r="H104" s="56">
        <f>IF($A104=0,"",ROUND(F104*G104,2))</f>
        <v>0.08</v>
      </c>
      <c r="I104" s="2"/>
    </row>
    <row r="105" spans="1:9" x14ac:dyDescent="0.25">
      <c r="B105" s="38" t="str">
        <f>IF($A105=0,"",VLOOKUP($A105,'BASE EQUIPO'!$A:$D,2))</f>
        <v/>
      </c>
      <c r="C105" s="2"/>
      <c r="D105" s="84"/>
      <c r="E105" s="78" t="str">
        <f>IF($A105=0,"",VLOOKUP($A105,'BASE EQUIPO'!$A:$D,3))</f>
        <v/>
      </c>
      <c r="F105" s="55"/>
      <c r="G105" s="55" t="str">
        <f>IF($A105=0,"",VLOOKUP($A105,'BASE EQUIPO'!$A:$D,4)*H102)</f>
        <v/>
      </c>
      <c r="H105" s="56" t="str">
        <f>IF($A105=0,"",ROUND(F105*G105,2))</f>
        <v/>
      </c>
      <c r="I105" s="2"/>
    </row>
    <row r="106" spans="1:9" x14ac:dyDescent="0.25">
      <c r="B106" s="57" t="str">
        <f>IF($A106=0,"",VLOOKUP($A106,'BASE EQUIPO'!$A:$D,2))</f>
        <v/>
      </c>
      <c r="C106" s="58"/>
      <c r="D106" s="85"/>
      <c r="E106" s="86" t="str">
        <f>IF($A106=0,"",VLOOKUP($A106,'BASE EQUIPO'!$A:$D,3))</f>
        <v/>
      </c>
      <c r="F106" s="59"/>
      <c r="G106" s="59" t="str">
        <f>IF($A106=0,"",VLOOKUP($A106,'BASE EQUIPO'!$A:$D,4)*H103)</f>
        <v/>
      </c>
      <c r="H106" s="60" t="str">
        <f>IF($A106=0,"",ROUND(F106*G106,2))</f>
        <v/>
      </c>
      <c r="I106" s="2"/>
    </row>
    <row r="107" spans="1:9" ht="15.75" thickBot="1" x14ac:dyDescent="0.3">
      <c r="B107" s="87" t="s">
        <v>1674</v>
      </c>
      <c r="C107" s="88"/>
      <c r="D107" s="89"/>
      <c r="E107" s="89"/>
      <c r="F107" s="89"/>
      <c r="G107" s="89"/>
      <c r="H107" s="90">
        <f>ROUND(SUM(H103:H106),2)</f>
        <v>0.08</v>
      </c>
      <c r="I107" s="2"/>
    </row>
    <row r="108" spans="1:9" ht="15.75" x14ac:dyDescent="0.25">
      <c r="B108" s="2"/>
      <c r="C108" s="2"/>
      <c r="D108" s="91" t="s">
        <v>1673</v>
      </c>
      <c r="E108" s="47"/>
      <c r="F108" s="47"/>
      <c r="G108" s="47"/>
      <c r="H108" s="92">
        <f>ROUND(SUM(H107,H101,H82,H72),2)</f>
        <v>5.73</v>
      </c>
      <c r="I108" s="2"/>
    </row>
    <row r="109" spans="1:9" ht="15.75" x14ac:dyDescent="0.25">
      <c r="A109" s="103">
        <v>40002</v>
      </c>
      <c r="B109" s="2"/>
      <c r="C109" s="2"/>
      <c r="D109" s="93" t="s">
        <v>1672</v>
      </c>
      <c r="E109" s="65"/>
      <c r="F109" s="65"/>
      <c r="G109" s="94">
        <f>IF($A109=0,"",VLOOKUP($A109,'BASE MATERIAL'!$M:$P,4))</f>
        <v>0</v>
      </c>
      <c r="H109" s="95">
        <f>IF($A109=0,"",ROUND(G109*H108,2))</f>
        <v>0</v>
      </c>
      <c r="I109" s="2"/>
    </row>
    <row r="110" spans="1:9" ht="15.75" x14ac:dyDescent="0.25">
      <c r="A110" s="103">
        <v>40003</v>
      </c>
      <c r="B110" s="2"/>
      <c r="C110" s="2"/>
      <c r="D110" s="93" t="s">
        <v>1671</v>
      </c>
      <c r="E110" s="65"/>
      <c r="F110" s="65"/>
      <c r="G110" s="94">
        <f>IF($A110=0,"",VLOOKUP($A110,'BASE MATERIAL'!$M:$P,4))</f>
        <v>0</v>
      </c>
      <c r="H110" s="95">
        <f>IF($A110=0,"",ROUND(G110*H108,2))</f>
        <v>0</v>
      </c>
      <c r="I110" s="2"/>
    </row>
    <row r="111" spans="1:9" ht="15.75" x14ac:dyDescent="0.25">
      <c r="B111" s="2"/>
      <c r="C111" s="2"/>
      <c r="D111" s="93" t="s">
        <v>1670</v>
      </c>
      <c r="E111" s="65"/>
      <c r="F111" s="65"/>
      <c r="G111" s="65"/>
      <c r="H111" s="96">
        <f>ROUND(SUM(H108:H110),2)</f>
        <v>5.73</v>
      </c>
      <c r="I111" s="2"/>
    </row>
    <row r="112" spans="1:9" ht="16.5" thickBot="1" x14ac:dyDescent="0.3">
      <c r="B112" s="25"/>
      <c r="C112" s="2"/>
      <c r="D112" s="97" t="s">
        <v>1650</v>
      </c>
      <c r="E112" s="88"/>
      <c r="F112" s="88"/>
      <c r="G112" s="88"/>
      <c r="H112" s="98">
        <f>ROUND(H111,2)</f>
        <v>5.73</v>
      </c>
      <c r="I112" s="2"/>
    </row>
    <row r="113" spans="1:15" ht="15.75" x14ac:dyDescent="0.25">
      <c r="B113" s="34" t="s">
        <v>1701</v>
      </c>
      <c r="C113" s="2"/>
      <c r="D113" s="3" t="str">
        <f>$D$1</f>
        <v>ESPOL</v>
      </c>
      <c r="E113" s="2"/>
      <c r="F113" s="2"/>
      <c r="H113" s="2" t="s">
        <v>108</v>
      </c>
      <c r="I113" s="2"/>
      <c r="L113" s="40">
        <f>A117</f>
        <v>6</v>
      </c>
      <c r="M113" s="1" t="str">
        <f>C118</f>
        <v>Cerámica en paredes</v>
      </c>
      <c r="N113" s="2" t="str">
        <f>H117</f>
        <v>m2</v>
      </c>
      <c r="O113" s="2">
        <f>H168</f>
        <v>19.989999999999998</v>
      </c>
    </row>
    <row r="114" spans="1:15" ht="15.75" x14ac:dyDescent="0.25">
      <c r="B114" s="34" t="s">
        <v>1700</v>
      </c>
      <c r="C114" s="3">
        <f>'1.1'!$C$2</f>
        <v>0</v>
      </c>
      <c r="D114" s="2"/>
      <c r="E114" s="2"/>
      <c r="F114" s="2"/>
      <c r="G114" s="41" t="s">
        <v>1699</v>
      </c>
      <c r="H114" s="42"/>
      <c r="I114" s="2" t="s">
        <v>1698</v>
      </c>
    </row>
    <row r="115" spans="1:15" ht="15.75" x14ac:dyDescent="0.25">
      <c r="B115" s="34"/>
      <c r="C115" s="3">
        <f>'1.1'!$C$3</f>
        <v>0</v>
      </c>
      <c r="D115" s="2"/>
      <c r="E115" s="2"/>
      <c r="F115" s="2"/>
      <c r="G115" s="2"/>
      <c r="H115" s="2"/>
      <c r="I115" s="2"/>
    </row>
    <row r="116" spans="1:15" ht="15.75" x14ac:dyDescent="0.25">
      <c r="B116" s="34" t="s">
        <v>1697</v>
      </c>
      <c r="C116" s="3"/>
      <c r="D116" s="2"/>
      <c r="E116" s="2"/>
      <c r="F116" s="2"/>
      <c r="G116" s="2"/>
      <c r="H116" s="2"/>
      <c r="I116" s="2"/>
    </row>
    <row r="117" spans="1:15" x14ac:dyDescent="0.25">
      <c r="A117" s="104">
        <v>6</v>
      </c>
      <c r="B117" s="2" t="s">
        <v>1586</v>
      </c>
      <c r="C117" s="36" t="s">
        <v>1527</v>
      </c>
      <c r="D117" s="2"/>
      <c r="G117" s="2" t="s">
        <v>1696</v>
      </c>
      <c r="H117" s="3" t="s">
        <v>1520</v>
      </c>
      <c r="I117" s="2"/>
    </row>
    <row r="118" spans="1:15" x14ac:dyDescent="0.25">
      <c r="B118" s="1" t="s">
        <v>1585</v>
      </c>
      <c r="C118" s="36" t="s">
        <v>1533</v>
      </c>
      <c r="D118" s="2"/>
      <c r="E118" s="2"/>
      <c r="F118" s="2"/>
      <c r="G118" s="2"/>
      <c r="H118" s="2"/>
      <c r="I118" s="2"/>
    </row>
    <row r="119" spans="1:15" ht="15.75" thickBot="1" x14ac:dyDescent="0.3">
      <c r="D119" s="2"/>
      <c r="E119" s="2"/>
      <c r="F119" s="2"/>
      <c r="G119" s="2"/>
      <c r="H119" s="2"/>
      <c r="I119" s="2"/>
    </row>
    <row r="120" spans="1:15" ht="15.75" thickBot="1" x14ac:dyDescent="0.3">
      <c r="B120" s="43" t="s">
        <v>1695</v>
      </c>
      <c r="C120" s="44"/>
      <c r="D120" s="44"/>
      <c r="E120" s="44"/>
      <c r="F120" s="44"/>
      <c r="G120" s="44"/>
      <c r="H120" s="45"/>
      <c r="I120" s="2"/>
    </row>
    <row r="121" spans="1:15" ht="25.5" x14ac:dyDescent="0.25">
      <c r="B121" s="46" t="s">
        <v>1409</v>
      </c>
      <c r="C121" s="47"/>
      <c r="D121" s="48" t="s">
        <v>1690</v>
      </c>
      <c r="E121" s="48" t="s">
        <v>1694</v>
      </c>
      <c r="F121" s="48" t="s">
        <v>1693</v>
      </c>
      <c r="G121" s="49" t="s">
        <v>1687</v>
      </c>
      <c r="H121" s="50" t="s">
        <v>1686</v>
      </c>
      <c r="I121" s="2"/>
    </row>
    <row r="122" spans="1:15" x14ac:dyDescent="0.25">
      <c r="A122" s="103">
        <v>19015</v>
      </c>
      <c r="B122" s="51" t="str">
        <f>IF($A122=0,"",VLOOKUP($A122,'BASE EQUIPO'!$A:$D,2))</f>
        <v>HERRAMIENTA MENOR</v>
      </c>
      <c r="C122" s="52"/>
      <c r="D122" s="53">
        <v>1</v>
      </c>
      <c r="E122" s="53">
        <f>IF($A122=0,"",VLOOKUP($A122,'BASE EQUIPO'!$A:$D,4)*H138)</f>
        <v>0.15179999999999999</v>
      </c>
      <c r="F122" s="53">
        <f t="shared" ref="F122:F127" si="10">IF($A122=0,"",ROUND(D122*E122,2))</f>
        <v>0.15</v>
      </c>
      <c r="G122" s="105">
        <v>1</v>
      </c>
      <c r="H122" s="54">
        <f t="shared" ref="H122:H127" si="11">IF($A122=0,"",ROUND(G122*F122,2))</f>
        <v>0.15</v>
      </c>
      <c r="I122" s="2"/>
    </row>
    <row r="123" spans="1:15" x14ac:dyDescent="0.25">
      <c r="A123" s="103">
        <v>19026</v>
      </c>
      <c r="B123" s="38" t="str">
        <f>IF($A123=0,"",VLOOKUP($A123,'BASE EQUIPO'!$A:$D,2))</f>
        <v>CORTADORA ELECTRICA</v>
      </c>
      <c r="C123" s="2"/>
      <c r="D123" s="55">
        <v>1</v>
      </c>
      <c r="E123" s="55">
        <f>IF($A123=0,"",VLOOKUP($A123,'BASE EQUIPO'!$A:$D,4))</f>
        <v>1.875</v>
      </c>
      <c r="F123" s="55">
        <f t="shared" si="10"/>
        <v>1.88</v>
      </c>
      <c r="G123" s="106">
        <v>0.3</v>
      </c>
      <c r="H123" s="56">
        <f t="shared" si="11"/>
        <v>0.56000000000000005</v>
      </c>
      <c r="I123" s="2"/>
    </row>
    <row r="124" spans="1:15" x14ac:dyDescent="0.25">
      <c r="B124" s="38" t="str">
        <f>IF($A124=0,"",VLOOKUP($A124,'BASE EQUIPO'!$A:$D,2))</f>
        <v/>
      </c>
      <c r="C124" s="2"/>
      <c r="D124" s="55"/>
      <c r="E124" s="55" t="str">
        <f>IF($A124=0,"",VLOOKUP($A124,'BASE EQUIPO'!$A:$D,4))</f>
        <v/>
      </c>
      <c r="F124" s="55" t="str">
        <f t="shared" si="10"/>
        <v/>
      </c>
      <c r="G124" s="106"/>
      <c r="H124" s="56" t="str">
        <f t="shared" si="11"/>
        <v/>
      </c>
      <c r="I124" s="2"/>
    </row>
    <row r="125" spans="1:15" x14ac:dyDescent="0.25">
      <c r="B125" s="38" t="str">
        <f>IF($A125=0,"",VLOOKUP($A125,'BASE EQUIPO'!$A:$D,2))</f>
        <v/>
      </c>
      <c r="C125" s="2"/>
      <c r="D125" s="55"/>
      <c r="E125" s="55" t="str">
        <f>IF($A125=0,"",VLOOKUP($A125,'BASE EQUIPO'!$A:$D,4))</f>
        <v/>
      </c>
      <c r="F125" s="55" t="str">
        <f t="shared" si="10"/>
        <v/>
      </c>
      <c r="G125" s="106"/>
      <c r="H125" s="56" t="str">
        <f t="shared" si="11"/>
        <v/>
      </c>
      <c r="I125" s="2"/>
    </row>
    <row r="126" spans="1:15" x14ac:dyDescent="0.25">
      <c r="B126" s="38" t="str">
        <f>IF($A126=0,"",VLOOKUP($A126,'BASE EQUIPO'!$A:$D,2))</f>
        <v/>
      </c>
      <c r="C126" s="2"/>
      <c r="D126" s="55"/>
      <c r="E126" s="55" t="str">
        <f>IF($A126=0,"",VLOOKUP($A126,'BASE EQUIPO'!$A:$D,4))</f>
        <v/>
      </c>
      <c r="F126" s="55" t="str">
        <f t="shared" si="10"/>
        <v/>
      </c>
      <c r="G126" s="106"/>
      <c r="H126" s="56" t="str">
        <f t="shared" si="11"/>
        <v/>
      </c>
      <c r="I126" s="2"/>
    </row>
    <row r="127" spans="1:15" x14ac:dyDescent="0.25">
      <c r="B127" s="57" t="str">
        <f>IF($A127=0,"",VLOOKUP($A127,'BASE EQUIPO'!$A:$D,2))</f>
        <v/>
      </c>
      <c r="C127" s="58"/>
      <c r="D127" s="59"/>
      <c r="E127" s="59" t="str">
        <f>IF($A127=0,"",VLOOKUP($A127,'BASE EQUIPO'!$A:$D,4))</f>
        <v/>
      </c>
      <c r="F127" s="59" t="str">
        <f t="shared" si="10"/>
        <v/>
      </c>
      <c r="G127" s="107"/>
      <c r="H127" s="60" t="str">
        <f t="shared" si="11"/>
        <v/>
      </c>
      <c r="I127" s="2"/>
    </row>
    <row r="128" spans="1:15" x14ac:dyDescent="0.25">
      <c r="B128" s="57" t="s">
        <v>1692</v>
      </c>
      <c r="C128" s="58"/>
      <c r="D128" s="61"/>
      <c r="E128" s="61"/>
      <c r="F128" s="61"/>
      <c r="G128" s="62"/>
      <c r="H128" s="60">
        <f>ROUND(SUM(H121:H127),2)</f>
        <v>0.71</v>
      </c>
      <c r="I128" s="2"/>
    </row>
    <row r="129" spans="1:16" x14ac:dyDescent="0.25">
      <c r="B129" s="38" t="s">
        <v>1503</v>
      </c>
      <c r="C129" s="2"/>
      <c r="D129" s="3"/>
      <c r="E129" s="3"/>
      <c r="F129" s="3"/>
      <c r="G129" s="63"/>
      <c r="H129" s="56"/>
      <c r="I129" s="2"/>
    </row>
    <row r="130" spans="1:16" ht="25.5" x14ac:dyDescent="0.25">
      <c r="B130" s="64" t="s">
        <v>1691</v>
      </c>
      <c r="C130" s="65"/>
      <c r="D130" s="66" t="s">
        <v>1690</v>
      </c>
      <c r="E130" s="66" t="s">
        <v>1689</v>
      </c>
      <c r="F130" s="66" t="s">
        <v>1688</v>
      </c>
      <c r="G130" s="67" t="s">
        <v>1687</v>
      </c>
      <c r="H130" s="68" t="s">
        <v>1686</v>
      </c>
      <c r="I130" s="2"/>
    </row>
    <row r="131" spans="1:16" x14ac:dyDescent="0.25">
      <c r="A131" s="103">
        <v>20001</v>
      </c>
      <c r="B131" s="69" t="str">
        <f>IF($A131=0,"",VLOOKUP($A131,'BASE M-OBRA'!$A:$D,2))</f>
        <v>MAESTRO</v>
      </c>
      <c r="C131" s="2"/>
      <c r="D131" s="108">
        <v>1</v>
      </c>
      <c r="E131" s="70">
        <f>IF($A131=0,"",VLOOKUP($A131,'BASE M-OBRA'!$A:$D,4))</f>
        <v>3.02</v>
      </c>
      <c r="F131" s="55">
        <f t="shared" ref="F131:F137" si="12">IF($A131=0,"",ROUND(D131*E131,2))</f>
        <v>3.02</v>
      </c>
      <c r="G131" s="106">
        <f>IF($A131=0,"",ROUND(H131/F131,2))</f>
        <v>0.28000000000000003</v>
      </c>
      <c r="H131" s="56">
        <f>IF($A131=0,"",ROUND(SUM(H132:H137)*'BASE M-OBRA'!$D$23,2))</f>
        <v>0.84</v>
      </c>
      <c r="I131" s="2"/>
    </row>
    <row r="132" spans="1:16" x14ac:dyDescent="0.25">
      <c r="A132" s="103">
        <v>20002</v>
      </c>
      <c r="B132" s="69" t="str">
        <f>IF($A132=0,"",VLOOKUP($A132,'BASE M-OBRA'!$A:$D,2))</f>
        <v>PEON</v>
      </c>
      <c r="C132" s="2"/>
      <c r="D132" s="108">
        <v>1</v>
      </c>
      <c r="E132" s="70">
        <f>IF($A132=0,"",VLOOKUP($A132,'BASE M-OBRA'!$A:$D,4))</f>
        <v>2.79</v>
      </c>
      <c r="F132" s="55">
        <f t="shared" si="12"/>
        <v>2.79</v>
      </c>
      <c r="G132" s="106">
        <v>0.5</v>
      </c>
      <c r="H132" s="56">
        <f t="shared" ref="H132:H137" si="13">IF($A132=0,"",ROUND(G132*F132,2))</f>
        <v>1.4</v>
      </c>
      <c r="I132" s="2"/>
    </row>
    <row r="133" spans="1:16" x14ac:dyDescent="0.25">
      <c r="A133" s="103">
        <v>20003</v>
      </c>
      <c r="B133" s="69" t="str">
        <f>IF($A133=0,"",VLOOKUP($A133,'BASE M-OBRA'!$A:$D,2))</f>
        <v>ALBAÑIL</v>
      </c>
      <c r="C133" s="2"/>
      <c r="D133" s="108">
        <v>2</v>
      </c>
      <c r="E133" s="70">
        <f>IF($A133=0,"",VLOOKUP($A133,'BASE M-OBRA'!$A:$D,4))</f>
        <v>2.82</v>
      </c>
      <c r="F133" s="55">
        <f t="shared" si="12"/>
        <v>5.64</v>
      </c>
      <c r="G133" s="106">
        <f>+G132</f>
        <v>0.5</v>
      </c>
      <c r="H133" s="56">
        <f t="shared" si="13"/>
        <v>2.82</v>
      </c>
      <c r="I133" s="2"/>
    </row>
    <row r="134" spans="1:16" x14ac:dyDescent="0.25">
      <c r="B134" s="71" t="str">
        <f>IF($A134=0,"",VLOOKUP($A134,'BASE M-OBRA'!$A:$D,2))</f>
        <v/>
      </c>
      <c r="C134" s="2"/>
      <c r="D134" s="108"/>
      <c r="E134" s="70" t="str">
        <f>IF($A134=0,"",VLOOKUP($A134,'BASE M-OBRA'!$A:$D,4))</f>
        <v/>
      </c>
      <c r="F134" s="55" t="str">
        <f t="shared" si="12"/>
        <v/>
      </c>
      <c r="G134" s="106"/>
      <c r="H134" s="56" t="str">
        <f t="shared" si="13"/>
        <v/>
      </c>
      <c r="I134" s="2"/>
    </row>
    <row r="135" spans="1:16" x14ac:dyDescent="0.25">
      <c r="B135" s="72" t="str">
        <f>IF($A135=0,"",VLOOKUP($A135,'BASE M-OBRA'!$A:$D,2))</f>
        <v/>
      </c>
      <c r="C135" s="2"/>
      <c r="D135" s="108"/>
      <c r="E135" s="70" t="str">
        <f>IF($A135=0,"",VLOOKUP($A135,'BASE M-OBRA'!$A:$D,4))</f>
        <v/>
      </c>
      <c r="F135" s="55" t="str">
        <f t="shared" si="12"/>
        <v/>
      </c>
      <c r="G135" s="106"/>
      <c r="H135" s="56" t="str">
        <f t="shared" si="13"/>
        <v/>
      </c>
      <c r="I135" s="2"/>
    </row>
    <row r="136" spans="1:16" x14ac:dyDescent="0.25">
      <c r="B136" s="38" t="str">
        <f>IF($A136=0,"",VLOOKUP($A136,'BASE M-OBRA'!$A:$D,2))</f>
        <v/>
      </c>
      <c r="C136" s="2"/>
      <c r="D136" s="55"/>
      <c r="E136" s="55" t="str">
        <f>IF($A136=0,"",VLOOKUP($A136,'BASE M-OBRA'!$A:$D,4))</f>
        <v/>
      </c>
      <c r="F136" s="55" t="str">
        <f t="shared" si="12"/>
        <v/>
      </c>
      <c r="G136" s="106"/>
      <c r="H136" s="56" t="str">
        <f t="shared" si="13"/>
        <v/>
      </c>
      <c r="I136" s="2"/>
    </row>
    <row r="137" spans="1:16" x14ac:dyDescent="0.25">
      <c r="B137" s="57" t="str">
        <f>IF($A137=0,"",VLOOKUP($A137,'BASE M-OBRA'!$A:$D,2))</f>
        <v/>
      </c>
      <c r="C137" s="58"/>
      <c r="D137" s="59"/>
      <c r="E137" s="59" t="str">
        <f>IF($A137=0,"",VLOOKUP($A137,'BASE M-OBRA'!$A:$D,4))</f>
        <v/>
      </c>
      <c r="F137" s="59" t="str">
        <f t="shared" si="12"/>
        <v/>
      </c>
      <c r="G137" s="107"/>
      <c r="H137" s="60" t="str">
        <f t="shared" si="13"/>
        <v/>
      </c>
      <c r="I137" s="2"/>
    </row>
    <row r="138" spans="1:16" x14ac:dyDescent="0.25">
      <c r="B138" s="73" t="s">
        <v>1685</v>
      </c>
      <c r="C138" s="65"/>
      <c r="D138" s="74"/>
      <c r="E138" s="74"/>
      <c r="F138" s="74"/>
      <c r="G138" s="74"/>
      <c r="H138" s="75">
        <f>ROUND(SUM(H130:H137),2)</f>
        <v>5.0599999999999996</v>
      </c>
      <c r="I138" s="2"/>
    </row>
    <row r="139" spans="1:16" x14ac:dyDescent="0.25">
      <c r="B139" s="38" t="s">
        <v>1684</v>
      </c>
      <c r="C139" s="2"/>
      <c r="D139" s="3"/>
      <c r="E139" s="3"/>
      <c r="F139" s="3"/>
      <c r="G139" s="3"/>
      <c r="H139" s="56"/>
      <c r="I139" s="2"/>
    </row>
    <row r="140" spans="1:16" ht="25.5" x14ac:dyDescent="0.25">
      <c r="B140" s="64" t="s">
        <v>1409</v>
      </c>
      <c r="C140" s="65"/>
      <c r="D140" s="76"/>
      <c r="E140" s="66" t="s">
        <v>1408</v>
      </c>
      <c r="F140" s="66" t="s">
        <v>1679</v>
      </c>
      <c r="G140" s="66" t="s">
        <v>1683</v>
      </c>
      <c r="H140" s="68" t="s">
        <v>1675</v>
      </c>
      <c r="I140" s="2"/>
    </row>
    <row r="141" spans="1:16" x14ac:dyDescent="0.25">
      <c r="A141" s="103">
        <v>6003</v>
      </c>
      <c r="B141" s="38" t="str">
        <f>IF($A141=0,"",VLOOKUP($A141,'BASE MATERIAL'!$A:$D,2))</f>
        <v>CERAMICOS PARED</v>
      </c>
      <c r="C141" s="2"/>
      <c r="D141" s="77"/>
      <c r="E141" s="78" t="str">
        <f>IF($A141=0,"",VLOOKUP($A141,'BASE MATERIAL'!$A:$D,3))</f>
        <v>M2</v>
      </c>
      <c r="F141" s="55">
        <v>1.05</v>
      </c>
      <c r="G141" s="55">
        <f>IF($A141=0,"",VLOOKUP($A141,'BASE MATERIAL'!$A:$D,4))</f>
        <v>10.85</v>
      </c>
      <c r="H141" s="56">
        <f t="shared" ref="H141:H155" si="14">IF($A141=0,"",ROUND(F141*G141,2))</f>
        <v>11.39</v>
      </c>
      <c r="I141" s="2"/>
      <c r="L141" s="2"/>
      <c r="M141" s="2"/>
      <c r="N141" s="39"/>
      <c r="O141" s="2"/>
      <c r="P141" s="2"/>
    </row>
    <row r="142" spans="1:16" x14ac:dyDescent="0.25">
      <c r="A142" s="103">
        <v>14030</v>
      </c>
      <c r="B142" s="38" t="str">
        <f>IF($A142=0,"",VLOOKUP($A142,'BASE MATERIAL'!$A:$D,2))</f>
        <v>BONDEX PLUS</v>
      </c>
      <c r="C142" s="2"/>
      <c r="D142" s="77"/>
      <c r="E142" s="78" t="str">
        <f>IF($A142=0,"",VLOOKUP($A142,'BASE MATERIAL'!$A:$D,3))</f>
        <v>KG</v>
      </c>
      <c r="F142" s="55">
        <v>6</v>
      </c>
      <c r="G142" s="55">
        <f>IF($A142=0,"",VLOOKUP($A142,'BASE MATERIAL'!$A:$D,4))</f>
        <v>0.36691200000000002</v>
      </c>
      <c r="H142" s="56">
        <f>IF($A142=0,"",ROUND(F142*G142,2))</f>
        <v>2.2000000000000002</v>
      </c>
      <c r="I142" s="2"/>
      <c r="L142" s="2"/>
      <c r="M142" s="2"/>
      <c r="N142" s="39"/>
      <c r="O142" s="2"/>
      <c r="P142" s="2"/>
    </row>
    <row r="143" spans="1:16" x14ac:dyDescent="0.25">
      <c r="A143" s="103">
        <v>7019</v>
      </c>
      <c r="B143" s="38" t="str">
        <f>IF($A143=0,"",VLOOKUP($A143,'BASE MATERIAL'!$A:$D,2))</f>
        <v>PORCELANA</v>
      </c>
      <c r="C143" s="2"/>
      <c r="D143" s="77"/>
      <c r="E143" s="78" t="str">
        <f>IF($A143=0,"",VLOOKUP($A143,'BASE MATERIAL'!$A:$D,3))</f>
        <v>KG</v>
      </c>
      <c r="F143" s="55">
        <v>0.3</v>
      </c>
      <c r="G143" s="55">
        <f>IF($A143=0,"",VLOOKUP($A143,'BASE MATERIAL'!$A:$D,4))</f>
        <v>0.73499999999999999</v>
      </c>
      <c r="H143" s="56">
        <f t="shared" si="14"/>
        <v>0.22</v>
      </c>
      <c r="I143" s="2"/>
      <c r="L143" s="2"/>
      <c r="M143" s="2"/>
      <c r="N143" s="39"/>
      <c r="O143" s="2"/>
      <c r="P143" s="2"/>
    </row>
    <row r="144" spans="1:16" x14ac:dyDescent="0.25">
      <c r="B144" s="38" t="str">
        <f>IF($A144=0,"",VLOOKUP($A144,'BASE MATERIAL'!$A:$D,2))</f>
        <v/>
      </c>
      <c r="C144" s="2"/>
      <c r="D144" s="77"/>
      <c r="E144" s="78" t="str">
        <f>IF($A144=0,"",VLOOKUP($A144,'BASE MATERIAL'!$A:$D,3))</f>
        <v/>
      </c>
      <c r="F144" s="55"/>
      <c r="G144" s="55" t="str">
        <f>IF($A144=0,"",VLOOKUP($A144,'BASE MATERIAL'!$A:$D,4))</f>
        <v/>
      </c>
      <c r="H144" s="56" t="str">
        <f>IF($A144=0,"",ROUND(F144*G144,2))</f>
        <v/>
      </c>
      <c r="I144" s="2"/>
      <c r="L144" s="2"/>
      <c r="M144" s="2"/>
      <c r="N144" s="39"/>
      <c r="O144" s="2"/>
      <c r="P144" s="2"/>
    </row>
    <row r="145" spans="1:16" x14ac:dyDescent="0.25">
      <c r="B145" s="38" t="str">
        <f>IF($A145=0,"",VLOOKUP($A145,'BASE MATERIAL'!$A:$D,2))</f>
        <v/>
      </c>
      <c r="C145" s="2"/>
      <c r="D145" s="77"/>
      <c r="E145" s="78" t="str">
        <f>IF($A145=0,"",VLOOKUP($A145,'BASE MATERIAL'!$A:$D,3))</f>
        <v/>
      </c>
      <c r="F145" s="55"/>
      <c r="G145" s="55" t="str">
        <f>IF($A145=0,"",VLOOKUP($A145,'BASE MATERIAL'!$A:$D,4))</f>
        <v/>
      </c>
      <c r="H145" s="56" t="str">
        <f t="shared" si="14"/>
        <v/>
      </c>
      <c r="I145" s="2"/>
      <c r="L145" s="2"/>
      <c r="M145" s="2"/>
      <c r="N145" s="39"/>
      <c r="O145" s="2"/>
      <c r="P145" s="2"/>
    </row>
    <row r="146" spans="1:16" x14ac:dyDescent="0.25">
      <c r="B146" s="38" t="str">
        <f>IF($A146=0,"",VLOOKUP($A146,'BASE MATERIAL'!$A:$D,2))</f>
        <v/>
      </c>
      <c r="C146" s="2"/>
      <c r="D146" s="77"/>
      <c r="E146" s="78" t="str">
        <f>IF($A146=0,"",VLOOKUP($A146,'BASE MATERIAL'!$A:$D,3))</f>
        <v/>
      </c>
      <c r="F146" s="55"/>
      <c r="G146" s="80" t="str">
        <f>IF($A146=0,"",VLOOKUP($A146,'BASE MATERIAL'!$A:$D,4))</f>
        <v/>
      </c>
      <c r="H146" s="56" t="str">
        <f t="shared" si="14"/>
        <v/>
      </c>
      <c r="I146" s="2"/>
      <c r="L146" s="2"/>
      <c r="M146" s="2"/>
      <c r="N146" s="39"/>
      <c r="O146" s="2"/>
      <c r="P146" s="2"/>
    </row>
    <row r="147" spans="1:16" x14ac:dyDescent="0.25">
      <c r="B147" s="38" t="str">
        <f>IF($A147=0,"",VLOOKUP($A147,'BASE MATERIAL'!$A:$D,2))</f>
        <v/>
      </c>
      <c r="C147" s="2"/>
      <c r="D147" s="77"/>
      <c r="E147" s="78" t="str">
        <f>IF($A147=0,"",VLOOKUP($A147,'BASE MATERIAL'!$A:$D,3))</f>
        <v/>
      </c>
      <c r="F147" s="55"/>
      <c r="G147" s="55" t="str">
        <f>IF($A147=0,"",VLOOKUP($A147,'BASE MATERIAL'!$A:$D,4))</f>
        <v/>
      </c>
      <c r="H147" s="56" t="str">
        <f t="shared" si="14"/>
        <v/>
      </c>
      <c r="I147" s="2"/>
      <c r="L147" s="2"/>
      <c r="M147" s="2"/>
      <c r="N147" s="39"/>
      <c r="O147" s="2"/>
      <c r="P147" s="2"/>
    </row>
    <row r="148" spans="1:16" x14ac:dyDescent="0.25">
      <c r="B148" s="38" t="str">
        <f>IF($A148=0,"",VLOOKUP($A148,'BASE MATERIAL'!$A:$D,2))</f>
        <v/>
      </c>
      <c r="C148" s="2"/>
      <c r="D148" s="77"/>
      <c r="E148" s="78" t="str">
        <f>IF($A148=0,"",VLOOKUP($A148,'BASE MATERIAL'!$A:$D,3))</f>
        <v/>
      </c>
      <c r="F148" s="55"/>
      <c r="G148" s="55" t="str">
        <f>IF($A148=0,"",VLOOKUP($A148,'BASE MATERIAL'!$A:$D,4))</f>
        <v/>
      </c>
      <c r="H148" s="56" t="str">
        <f t="shared" si="14"/>
        <v/>
      </c>
      <c r="I148" s="2"/>
      <c r="L148" s="2"/>
      <c r="M148" s="2"/>
      <c r="N148" s="39"/>
      <c r="O148" s="2"/>
      <c r="P148" s="2"/>
    </row>
    <row r="149" spans="1:16" x14ac:dyDescent="0.25">
      <c r="B149" s="38" t="str">
        <f>IF($A149=0,"",VLOOKUP($A149,'BASE MATERIAL'!$A:$D,2))</f>
        <v/>
      </c>
      <c r="C149" s="2"/>
      <c r="D149" s="77"/>
      <c r="E149" s="78" t="str">
        <f>IF($A149=0,"",VLOOKUP($A149,'BASE MATERIAL'!$A:$D,3))</f>
        <v/>
      </c>
      <c r="F149" s="55"/>
      <c r="G149" s="55" t="str">
        <f>IF($A149=0,"",VLOOKUP($A149,'BASE MATERIAL'!$A:$D,4))</f>
        <v/>
      </c>
      <c r="H149" s="56" t="str">
        <f t="shared" si="14"/>
        <v/>
      </c>
      <c r="I149" s="2"/>
    </row>
    <row r="150" spans="1:16" x14ac:dyDescent="0.25">
      <c r="B150" s="38" t="str">
        <f>IF($A150=0,"",VLOOKUP($A150,'BASE MATERIAL'!$A:$D,2))</f>
        <v/>
      </c>
      <c r="C150" s="2"/>
      <c r="D150" s="77"/>
      <c r="E150" s="78" t="str">
        <f>IF($A150=0,"",VLOOKUP($A150,'BASE MATERIAL'!$A:$D,3))</f>
        <v/>
      </c>
      <c r="F150" s="55"/>
      <c r="G150" s="55" t="str">
        <f>IF($A150=0,"",VLOOKUP($A150,'BASE MATERIAL'!$A:$D,4))</f>
        <v/>
      </c>
      <c r="H150" s="56" t="str">
        <f t="shared" si="14"/>
        <v/>
      </c>
      <c r="I150" s="2"/>
      <c r="L150" s="2"/>
      <c r="M150" s="2"/>
      <c r="N150" s="39"/>
      <c r="O150" s="2"/>
      <c r="P150" s="2"/>
    </row>
    <row r="151" spans="1:16" x14ac:dyDescent="0.25">
      <c r="B151" s="38" t="str">
        <f>IF($A151=0,"",VLOOKUP($A151,'BASE MATERIAL'!$A:$D,2))</f>
        <v/>
      </c>
      <c r="C151" s="2"/>
      <c r="D151" s="77"/>
      <c r="E151" s="78" t="str">
        <f>IF($A151=0,"",VLOOKUP($A151,'BASE MATERIAL'!$A:$D,3))</f>
        <v/>
      </c>
      <c r="F151" s="55"/>
      <c r="G151" s="55" t="str">
        <f>IF($A151=0,"",VLOOKUP($A151,'BASE MATERIAL'!$A:$D,4))</f>
        <v/>
      </c>
      <c r="H151" s="56" t="str">
        <f t="shared" si="14"/>
        <v/>
      </c>
      <c r="I151" s="2"/>
      <c r="L151" s="2"/>
      <c r="M151" s="2"/>
      <c r="N151" s="39"/>
      <c r="O151" s="2"/>
      <c r="P151" s="2"/>
    </row>
    <row r="152" spans="1:16" x14ac:dyDescent="0.25">
      <c r="B152" s="38" t="str">
        <f>IF($A152=0,"",VLOOKUP($A152,'BASE MATERIAL'!$A:$D,2))</f>
        <v/>
      </c>
      <c r="C152" s="2"/>
      <c r="D152" s="77"/>
      <c r="E152" s="78" t="str">
        <f>IF($A152=0,"",VLOOKUP($A152,'BASE MATERIAL'!$A:$D,3))</f>
        <v/>
      </c>
      <c r="F152" s="55"/>
      <c r="G152" s="55" t="str">
        <f>IF($A152=0,"",VLOOKUP($A152,'BASE MATERIAL'!$A:$D,4))</f>
        <v/>
      </c>
      <c r="H152" s="56" t="str">
        <f t="shared" si="14"/>
        <v/>
      </c>
      <c r="I152" s="2"/>
    </row>
    <row r="153" spans="1:16" x14ac:dyDescent="0.25">
      <c r="B153" s="38" t="str">
        <f>IF($A153=0,"",VLOOKUP($A153,'BASE MATERIAL'!$A:$D,2))</f>
        <v/>
      </c>
      <c r="C153" s="2"/>
      <c r="D153" s="77"/>
      <c r="E153" s="78" t="str">
        <f>IF($A153=0,"",VLOOKUP($A153,'BASE MATERIAL'!$A:$D,3))</f>
        <v/>
      </c>
      <c r="F153" s="55"/>
      <c r="G153" s="55" t="str">
        <f>IF($A153=0,"",VLOOKUP($A153,'BASE MATERIAL'!$A:$D,4))</f>
        <v/>
      </c>
      <c r="H153" s="56" t="str">
        <f t="shared" si="14"/>
        <v/>
      </c>
      <c r="I153" s="2"/>
    </row>
    <row r="154" spans="1:16" x14ac:dyDescent="0.25">
      <c r="B154" s="38" t="str">
        <f>IF($A154=0,"",VLOOKUP($A154,'BASE MATERIAL'!$A:$D,2))</f>
        <v/>
      </c>
      <c r="C154" s="2"/>
      <c r="D154" s="77"/>
      <c r="E154" s="78" t="str">
        <f>IF($A154=0,"",VLOOKUP($A154,'BASE MATERIAL'!$A:$D,3))</f>
        <v/>
      </c>
      <c r="F154" s="55"/>
      <c r="G154" s="55" t="str">
        <f>IF($A154=0,"",VLOOKUP($A154,'BASE MATERIAL'!$A:$D,4))</f>
        <v/>
      </c>
      <c r="H154" s="56" t="str">
        <f t="shared" si="14"/>
        <v/>
      </c>
      <c r="I154" s="2"/>
    </row>
    <row r="155" spans="1:16" x14ac:dyDescent="0.25">
      <c r="B155" s="38" t="str">
        <f>IF($A155=0,"",VLOOKUP($A155,'BASE MATERIAL'!$A:$D,2))</f>
        <v/>
      </c>
      <c r="C155" s="2"/>
      <c r="D155" s="77"/>
      <c r="E155" s="78" t="str">
        <f>IF($A155=0,"",VLOOKUP($A155,'BASE MATERIAL'!$A:$D,3))</f>
        <v/>
      </c>
      <c r="F155" s="55"/>
      <c r="G155" s="55" t="str">
        <f>IF($A155=0,"",VLOOKUP($A155,'BASE MATERIAL'!$A:$D,4))</f>
        <v/>
      </c>
      <c r="H155" s="56" t="str">
        <f t="shared" si="14"/>
        <v/>
      </c>
      <c r="I155" s="2"/>
    </row>
    <row r="156" spans="1:16" x14ac:dyDescent="0.25">
      <c r="B156" s="38" t="str">
        <f>IF($A156=0,"",VLOOKUP($A156,'BASE MATERIAL'!$A:$D,2))</f>
        <v/>
      </c>
      <c r="C156" s="2"/>
      <c r="D156" s="81" t="s">
        <v>1682</v>
      </c>
      <c r="E156" s="55" t="str">
        <f>IF($A156=0,"",VLOOKUP($A156,'BASE MATERIAL'!$A:$D,3))</f>
        <v/>
      </c>
      <c r="F156" s="55" t="s">
        <v>1682</v>
      </c>
      <c r="G156" s="55" t="str">
        <f>IF($A156=0,"",VLOOKUP($A156,'BASE MATERIAL'!$A:$D,4))</f>
        <v/>
      </c>
      <c r="H156" s="56" t="str">
        <f>IF($A156=0,"",ROUND(E156*F156,2))</f>
        <v/>
      </c>
      <c r="I156" s="2"/>
    </row>
    <row r="157" spans="1:16" x14ac:dyDescent="0.25">
      <c r="B157" s="73" t="s">
        <v>1681</v>
      </c>
      <c r="C157" s="65"/>
      <c r="D157" s="74"/>
      <c r="E157" s="74"/>
      <c r="F157" s="74"/>
      <c r="G157" s="74"/>
      <c r="H157" s="75">
        <f>ROUND(SUM(H140:H156),2)</f>
        <v>13.81</v>
      </c>
      <c r="I157" s="2"/>
    </row>
    <row r="158" spans="1:16" x14ac:dyDescent="0.25">
      <c r="B158" s="38" t="s">
        <v>1680</v>
      </c>
      <c r="C158" s="2"/>
      <c r="D158" s="3"/>
      <c r="E158" s="3"/>
      <c r="F158" s="3"/>
      <c r="G158" s="3"/>
      <c r="H158" s="56"/>
      <c r="I158" s="2"/>
    </row>
    <row r="159" spans="1:16" ht="25.5" x14ac:dyDescent="0.25">
      <c r="B159" s="64" t="s">
        <v>1409</v>
      </c>
      <c r="C159" s="65"/>
      <c r="D159" s="76"/>
      <c r="E159" s="66" t="s">
        <v>1408</v>
      </c>
      <c r="F159" s="66" t="s">
        <v>1679</v>
      </c>
      <c r="G159" s="66" t="s">
        <v>1676</v>
      </c>
      <c r="H159" s="68" t="s">
        <v>1675</v>
      </c>
      <c r="I159" s="2"/>
    </row>
    <row r="160" spans="1:16" x14ac:dyDescent="0.25">
      <c r="A160" s="103">
        <v>19019</v>
      </c>
      <c r="B160" s="51" t="str">
        <f>IF($A160=0,"",VLOOKUP($A160,'BASE EQUIPO'!$A:$D,2))</f>
        <v>TRANSPORTE DE MATERIAL</v>
      </c>
      <c r="C160" s="52"/>
      <c r="D160" s="82"/>
      <c r="E160" s="78" t="str">
        <f>IF($A160=0,"",VLOOKUP($A160,'BASE EQUIPO'!$A:$D,3))</f>
        <v>GLOBAL</v>
      </c>
      <c r="F160" s="55">
        <v>1</v>
      </c>
      <c r="G160" s="83">
        <f>IF($A160=0,"",VLOOKUP($A160,'BASE EQUIPO'!$A:$D,4)*H157)</f>
        <v>0.4143</v>
      </c>
      <c r="H160" s="56">
        <f>IF($A160=0,"",ROUND(F160*G160,2))</f>
        <v>0.41</v>
      </c>
      <c r="I160" s="2"/>
    </row>
    <row r="161" spans="1:15" x14ac:dyDescent="0.25">
      <c r="B161" s="38" t="str">
        <f>IF($A161=0,"",VLOOKUP($A161,'BASE EQUIPO'!$A:$D,2))</f>
        <v/>
      </c>
      <c r="C161" s="2"/>
      <c r="D161" s="84"/>
      <c r="E161" s="78" t="str">
        <f>IF($A161=0,"",VLOOKUP($A161,'BASE EQUIPO'!$A:$D,3))</f>
        <v/>
      </c>
      <c r="F161" s="55"/>
      <c r="G161" s="55" t="str">
        <f>IF($A161=0,"",VLOOKUP($A161,'BASE EQUIPO'!$A:$D,4)*H158)</f>
        <v/>
      </c>
      <c r="H161" s="56" t="str">
        <f>IF($A161=0,"",ROUND(F161*G161,2))</f>
        <v/>
      </c>
      <c r="I161" s="2"/>
    </row>
    <row r="162" spans="1:15" x14ac:dyDescent="0.25">
      <c r="B162" s="57" t="str">
        <f>IF($A162=0,"",VLOOKUP($A162,'BASE EQUIPO'!$A:$D,2))</f>
        <v/>
      </c>
      <c r="C162" s="58"/>
      <c r="D162" s="85"/>
      <c r="E162" s="86" t="str">
        <f>IF($A162=0,"",VLOOKUP($A162,'BASE EQUIPO'!$A:$D,3))</f>
        <v/>
      </c>
      <c r="F162" s="59"/>
      <c r="G162" s="59" t="str">
        <f>IF($A162=0,"",VLOOKUP($A162,'BASE EQUIPO'!$A:$D,4)*H159)</f>
        <v/>
      </c>
      <c r="H162" s="60" t="str">
        <f>IF($A162=0,"",ROUND(F162*G162,2))</f>
        <v/>
      </c>
      <c r="I162" s="2"/>
    </row>
    <row r="163" spans="1:15" ht="15.75" thickBot="1" x14ac:dyDescent="0.3">
      <c r="B163" s="87" t="s">
        <v>1674</v>
      </c>
      <c r="C163" s="88"/>
      <c r="D163" s="89"/>
      <c r="E163" s="89"/>
      <c r="F163" s="89"/>
      <c r="G163" s="89"/>
      <c r="H163" s="90">
        <f>ROUND(SUM(H159:H162),2)</f>
        <v>0.41</v>
      </c>
      <c r="I163" s="2"/>
    </row>
    <row r="164" spans="1:15" ht="15.75" x14ac:dyDescent="0.25">
      <c r="B164" s="2"/>
      <c r="C164" s="2"/>
      <c r="D164" s="91" t="s">
        <v>1673</v>
      </c>
      <c r="E164" s="47"/>
      <c r="F164" s="47"/>
      <c r="G164" s="47"/>
      <c r="H164" s="92">
        <f>ROUND(SUM(H163,H157,H138,H128),2)</f>
        <v>19.989999999999998</v>
      </c>
      <c r="I164" s="2"/>
    </row>
    <row r="165" spans="1:15" ht="15.75" x14ac:dyDescent="0.25">
      <c r="A165" s="103">
        <v>40002</v>
      </c>
      <c r="B165" s="2"/>
      <c r="C165" s="2"/>
      <c r="D165" s="93" t="s">
        <v>1672</v>
      </c>
      <c r="E165" s="65"/>
      <c r="F165" s="65"/>
      <c r="G165" s="94">
        <f>IF($A165=0,"",VLOOKUP($A165,'BASE MATERIAL'!$M:$P,4))</f>
        <v>0</v>
      </c>
      <c r="H165" s="95">
        <f>IF($A165=0,"",ROUND(G165*H164,2))</f>
        <v>0</v>
      </c>
      <c r="I165" s="2"/>
    </row>
    <row r="166" spans="1:15" ht="15.75" x14ac:dyDescent="0.25">
      <c r="A166" s="103">
        <v>40003</v>
      </c>
      <c r="B166" s="2"/>
      <c r="C166" s="2"/>
      <c r="D166" s="93" t="s">
        <v>1671</v>
      </c>
      <c r="E166" s="65"/>
      <c r="F166" s="65"/>
      <c r="G166" s="94">
        <f>IF($A166=0,"",VLOOKUP($A166,'BASE MATERIAL'!$M:$P,4))</f>
        <v>0</v>
      </c>
      <c r="H166" s="95">
        <f>IF($A166=0,"",ROUND(G166*H164,2))</f>
        <v>0</v>
      </c>
      <c r="I166" s="2"/>
    </row>
    <row r="167" spans="1:15" ht="15.75" x14ac:dyDescent="0.25">
      <c r="B167" s="2"/>
      <c r="C167" s="2"/>
      <c r="D167" s="93" t="s">
        <v>1670</v>
      </c>
      <c r="E167" s="65"/>
      <c r="F167" s="65"/>
      <c r="G167" s="65"/>
      <c r="H167" s="96">
        <f>ROUND(SUM(H164:H166),2)</f>
        <v>19.989999999999998</v>
      </c>
      <c r="I167" s="2"/>
    </row>
    <row r="168" spans="1:15" ht="16.5" thickBot="1" x14ac:dyDescent="0.3">
      <c r="B168" s="25"/>
      <c r="C168" s="2"/>
      <c r="D168" s="97" t="s">
        <v>1650</v>
      </c>
      <c r="E168" s="88"/>
      <c r="F168" s="88"/>
      <c r="G168" s="88"/>
      <c r="H168" s="98">
        <f>ROUND(H167,2)</f>
        <v>19.989999999999998</v>
      </c>
      <c r="I168" s="2"/>
    </row>
    <row r="169" spans="1:15" ht="15.75" x14ac:dyDescent="0.25">
      <c r="B169" s="34" t="s">
        <v>1701</v>
      </c>
      <c r="C169" s="2"/>
      <c r="D169" s="3" t="s">
        <v>1702</v>
      </c>
      <c r="E169" s="2"/>
      <c r="F169" s="2"/>
      <c r="H169" s="2" t="s">
        <v>108</v>
      </c>
      <c r="I169" s="2"/>
      <c r="L169" s="40">
        <f>A173</f>
        <v>7</v>
      </c>
      <c r="M169" s="1" t="str">
        <f>C174</f>
        <v xml:space="preserve">Revestimiento de meson en Recepcion </v>
      </c>
      <c r="N169" s="2" t="str">
        <f>H173</f>
        <v>ml</v>
      </c>
      <c r="O169" s="2">
        <f>H224</f>
        <v>104.64</v>
      </c>
    </row>
    <row r="170" spans="1:15" ht="15.75" x14ac:dyDescent="0.25">
      <c r="B170" s="34" t="s">
        <v>1700</v>
      </c>
      <c r="C170" s="3">
        <f>'1.1'!$C$2</f>
        <v>0</v>
      </c>
      <c r="D170" s="2"/>
      <c r="E170" s="2"/>
      <c r="F170" s="2"/>
      <c r="G170" s="41" t="s">
        <v>1699</v>
      </c>
      <c r="H170" s="42"/>
      <c r="I170" s="2" t="s">
        <v>1698</v>
      </c>
    </row>
    <row r="171" spans="1:15" ht="15.75" x14ac:dyDescent="0.25">
      <c r="B171" s="34"/>
      <c r="C171" s="3">
        <f>'1.1'!$C$3</f>
        <v>0</v>
      </c>
      <c r="D171" s="2"/>
      <c r="E171" s="2"/>
      <c r="F171" s="2"/>
      <c r="G171" s="2"/>
      <c r="H171" s="2"/>
      <c r="I171" s="2"/>
    </row>
    <row r="172" spans="1:15" ht="15.75" x14ac:dyDescent="0.25">
      <c r="B172" s="34" t="s">
        <v>1697</v>
      </c>
      <c r="C172" s="3"/>
      <c r="D172" s="2"/>
      <c r="E172" s="2"/>
      <c r="F172" s="2"/>
      <c r="G172" s="2"/>
      <c r="H172" s="2"/>
      <c r="I172" s="2"/>
    </row>
    <row r="173" spans="1:15" x14ac:dyDescent="0.25">
      <c r="A173" s="104">
        <f>+A117+1</f>
        <v>7</v>
      </c>
      <c r="B173" s="2" t="s">
        <v>1586</v>
      </c>
      <c r="C173" s="36" t="s">
        <v>1526</v>
      </c>
      <c r="D173" s="2"/>
      <c r="G173" s="2" t="s">
        <v>1696</v>
      </c>
      <c r="H173" s="3" t="s">
        <v>961</v>
      </c>
      <c r="I173" s="2"/>
    </row>
    <row r="174" spans="1:15" x14ac:dyDescent="0.25">
      <c r="B174" s="1" t="s">
        <v>1585</v>
      </c>
      <c r="C174" s="36" t="s">
        <v>1112</v>
      </c>
      <c r="D174" s="2"/>
      <c r="E174" s="2"/>
      <c r="F174" s="2"/>
      <c r="G174" s="2"/>
      <c r="H174" s="2"/>
      <c r="I174" s="2"/>
    </row>
    <row r="175" spans="1:15" ht="15.75" thickBot="1" x14ac:dyDescent="0.3">
      <c r="D175" s="2"/>
      <c r="E175" s="2"/>
      <c r="F175" s="2"/>
      <c r="G175" s="2"/>
      <c r="H175" s="2"/>
      <c r="I175" s="2"/>
    </row>
    <row r="176" spans="1:15" ht="15.75" thickBot="1" x14ac:dyDescent="0.3">
      <c r="B176" s="43" t="s">
        <v>1695</v>
      </c>
      <c r="C176" s="44"/>
      <c r="D176" s="44"/>
      <c r="E176" s="44"/>
      <c r="F176" s="44"/>
      <c r="G176" s="44"/>
      <c r="H176" s="45"/>
      <c r="I176" s="2"/>
    </row>
    <row r="177" spans="1:9" ht="25.5" x14ac:dyDescent="0.25">
      <c r="B177" s="46" t="s">
        <v>1409</v>
      </c>
      <c r="C177" s="47"/>
      <c r="D177" s="48" t="s">
        <v>1690</v>
      </c>
      <c r="E177" s="48" t="s">
        <v>1694</v>
      </c>
      <c r="F177" s="48" t="s">
        <v>1693</v>
      </c>
      <c r="G177" s="49" t="s">
        <v>1687</v>
      </c>
      <c r="H177" s="50" t="s">
        <v>1686</v>
      </c>
      <c r="I177" s="2"/>
    </row>
    <row r="178" spans="1:9" x14ac:dyDescent="0.25">
      <c r="A178" s="103">
        <v>19015</v>
      </c>
      <c r="B178" s="51" t="str">
        <f>IF($A178=0,"",VLOOKUP($A178,'BASE EQUIPO'!$A:$D,2))</f>
        <v>HERRAMIENTA MENOR</v>
      </c>
      <c r="C178" s="52"/>
      <c r="D178" s="53">
        <v>1</v>
      </c>
      <c r="E178" s="53">
        <f>IF($A178=0,"",VLOOKUP($A178,'BASE EQUIPO'!$A:$D,4)*H194)</f>
        <v>1.2117</v>
      </c>
      <c r="F178" s="53">
        <f t="shared" ref="F178:F183" si="15">IF($A178=0,"",ROUND(D178*E178,2))</f>
        <v>1.21</v>
      </c>
      <c r="G178" s="105">
        <v>1</v>
      </c>
      <c r="H178" s="54">
        <f t="shared" ref="H178:H183" si="16">IF($A178=0,"",ROUND(G178*F178,2))</f>
        <v>1.21</v>
      </c>
      <c r="I178" s="2"/>
    </row>
    <row r="179" spans="1:9" x14ac:dyDescent="0.25">
      <c r="B179" s="38" t="str">
        <f>IF($A179=0,"",VLOOKUP($A179,'BASE EQUIPO'!$A:$D,2))</f>
        <v/>
      </c>
      <c r="C179" s="2"/>
      <c r="D179" s="55"/>
      <c r="E179" s="55" t="str">
        <f>IF($A179=0,"",VLOOKUP($A179,'BASE EQUIPO'!$A:$D,4))</f>
        <v/>
      </c>
      <c r="F179" s="55" t="str">
        <f t="shared" si="15"/>
        <v/>
      </c>
      <c r="G179" s="106"/>
      <c r="H179" s="56" t="str">
        <f t="shared" si="16"/>
        <v/>
      </c>
      <c r="I179" s="2"/>
    </row>
    <row r="180" spans="1:9" x14ac:dyDescent="0.25">
      <c r="B180" s="38" t="str">
        <f>IF($A180=0,"",VLOOKUP($A180,'BASE EQUIPO'!$A:$D,2))</f>
        <v/>
      </c>
      <c r="C180" s="2"/>
      <c r="D180" s="55"/>
      <c r="E180" s="55" t="str">
        <f>IF($A180=0,"",VLOOKUP($A180,'BASE EQUIPO'!$A:$D,4))</f>
        <v/>
      </c>
      <c r="F180" s="55" t="str">
        <f t="shared" si="15"/>
        <v/>
      </c>
      <c r="G180" s="106"/>
      <c r="H180" s="56" t="str">
        <f t="shared" si="16"/>
        <v/>
      </c>
      <c r="I180" s="2"/>
    </row>
    <row r="181" spans="1:9" x14ac:dyDescent="0.25">
      <c r="B181" s="38" t="str">
        <f>IF($A181=0,"",VLOOKUP($A181,'BASE EQUIPO'!$A:$D,2))</f>
        <v/>
      </c>
      <c r="C181" s="2"/>
      <c r="D181" s="55"/>
      <c r="E181" s="55" t="str">
        <f>IF($A181=0,"",VLOOKUP($A181,'BASE EQUIPO'!$A:$D,4))</f>
        <v/>
      </c>
      <c r="F181" s="55" t="str">
        <f t="shared" si="15"/>
        <v/>
      </c>
      <c r="G181" s="106"/>
      <c r="H181" s="56" t="str">
        <f t="shared" si="16"/>
        <v/>
      </c>
      <c r="I181" s="2"/>
    </row>
    <row r="182" spans="1:9" x14ac:dyDescent="0.25">
      <c r="B182" s="38" t="str">
        <f>IF($A182=0,"",VLOOKUP($A182,'BASE EQUIPO'!$A:$D,2))</f>
        <v/>
      </c>
      <c r="C182" s="2"/>
      <c r="D182" s="55"/>
      <c r="E182" s="55" t="str">
        <f>IF($A182=0,"",VLOOKUP($A182,'BASE EQUIPO'!$A:$D,4))</f>
        <v/>
      </c>
      <c r="F182" s="55" t="str">
        <f t="shared" si="15"/>
        <v/>
      </c>
      <c r="G182" s="106"/>
      <c r="H182" s="56" t="str">
        <f t="shared" si="16"/>
        <v/>
      </c>
      <c r="I182" s="2"/>
    </row>
    <row r="183" spans="1:9" x14ac:dyDescent="0.25">
      <c r="B183" s="57" t="str">
        <f>IF($A183=0,"",VLOOKUP($A183,'BASE EQUIPO'!$A:$D,2))</f>
        <v/>
      </c>
      <c r="C183" s="58"/>
      <c r="D183" s="59"/>
      <c r="E183" s="59" t="str">
        <f>IF($A183=0,"",VLOOKUP($A183,'BASE EQUIPO'!$A:$D,4))</f>
        <v/>
      </c>
      <c r="F183" s="59" t="str">
        <f t="shared" si="15"/>
        <v/>
      </c>
      <c r="G183" s="107"/>
      <c r="H183" s="60" t="str">
        <f t="shared" si="16"/>
        <v/>
      </c>
      <c r="I183" s="2"/>
    </row>
    <row r="184" spans="1:9" x14ac:dyDescent="0.25">
      <c r="B184" s="57" t="s">
        <v>1692</v>
      </c>
      <c r="C184" s="58"/>
      <c r="D184" s="61"/>
      <c r="E184" s="61"/>
      <c r="F184" s="61"/>
      <c r="G184" s="62"/>
      <c r="H184" s="60">
        <f>ROUND(SUM(H177:H183),2)</f>
        <v>1.21</v>
      </c>
      <c r="I184" s="2"/>
    </row>
    <row r="185" spans="1:9" x14ac:dyDescent="0.25">
      <c r="B185" s="38" t="s">
        <v>1503</v>
      </c>
      <c r="C185" s="2"/>
      <c r="D185" s="3"/>
      <c r="E185" s="3"/>
      <c r="F185" s="3"/>
      <c r="G185" s="63"/>
      <c r="H185" s="56"/>
      <c r="I185" s="2"/>
    </row>
    <row r="186" spans="1:9" ht="25.5" x14ac:dyDescent="0.25">
      <c r="B186" s="64" t="s">
        <v>1691</v>
      </c>
      <c r="C186" s="65"/>
      <c r="D186" s="66" t="s">
        <v>1690</v>
      </c>
      <c r="E186" s="66" t="s">
        <v>1689</v>
      </c>
      <c r="F186" s="66" t="s">
        <v>1688</v>
      </c>
      <c r="G186" s="67" t="s">
        <v>1687</v>
      </c>
      <c r="H186" s="68" t="s">
        <v>1686</v>
      </c>
      <c r="I186" s="2"/>
    </row>
    <row r="187" spans="1:9" x14ac:dyDescent="0.25">
      <c r="A187" s="103">
        <v>20001</v>
      </c>
      <c r="B187" s="69" t="str">
        <f>IF($A187=0,"",VLOOKUP($A187,'BASE M-OBRA'!$A:$D,2))</f>
        <v>MAESTRO</v>
      </c>
      <c r="C187" s="2"/>
      <c r="D187" s="108">
        <v>1</v>
      </c>
      <c r="E187" s="70">
        <f>IF($A187=0,"",VLOOKUP($A187,'BASE M-OBRA'!$A:$D,4))</f>
        <v>3.02</v>
      </c>
      <c r="F187" s="55">
        <f t="shared" ref="F187:F193" si="17">IF($A187=0,"",ROUND(D187*E187,2))</f>
        <v>3.02</v>
      </c>
      <c r="G187" s="106">
        <f>IF($A187=0,"",ROUND(H187/F187,2))</f>
        <v>2.23</v>
      </c>
      <c r="H187" s="56">
        <f>IF($A187=0,"",ROUND(SUM(H188:H193)*'BASE M-OBRA'!$D$23,2))</f>
        <v>6.73</v>
      </c>
      <c r="I187" s="2"/>
    </row>
    <row r="188" spans="1:9" x14ac:dyDescent="0.25">
      <c r="A188" s="103">
        <v>20002</v>
      </c>
      <c r="B188" s="69" t="str">
        <f>IF($A188=0,"",VLOOKUP($A188,'BASE M-OBRA'!$A:$D,2))</f>
        <v>PEON</v>
      </c>
      <c r="C188" s="2"/>
      <c r="D188" s="108">
        <v>1</v>
      </c>
      <c r="E188" s="70">
        <f>IF($A188=0,"",VLOOKUP($A188,'BASE M-OBRA'!$A:$D,4))</f>
        <v>2.79</v>
      </c>
      <c r="F188" s="55">
        <f t="shared" si="17"/>
        <v>2.79</v>
      </c>
      <c r="G188" s="106">
        <v>6</v>
      </c>
      <c r="H188" s="56">
        <f t="shared" ref="H188:H193" si="18">IF($A188=0,"",ROUND(G188*F188,2))</f>
        <v>16.739999999999998</v>
      </c>
      <c r="I188" s="2"/>
    </row>
    <row r="189" spans="1:9" x14ac:dyDescent="0.25">
      <c r="A189" s="103">
        <v>20003</v>
      </c>
      <c r="B189" s="69" t="str">
        <f>IF($A189=0,"",VLOOKUP($A189,'BASE M-OBRA'!$A:$D,2))</f>
        <v>ALBAÑIL</v>
      </c>
      <c r="C189" s="2"/>
      <c r="D189" s="108">
        <v>1</v>
      </c>
      <c r="E189" s="70">
        <f>IF($A189=0,"",VLOOKUP($A189,'BASE M-OBRA'!$A:$D,4))</f>
        <v>2.82</v>
      </c>
      <c r="F189" s="55">
        <f t="shared" si="17"/>
        <v>2.82</v>
      </c>
      <c r="G189" s="106">
        <f>+G188</f>
        <v>6</v>
      </c>
      <c r="H189" s="56">
        <f t="shared" si="18"/>
        <v>16.920000000000002</v>
      </c>
      <c r="I189" s="2"/>
    </row>
    <row r="190" spans="1:9" x14ac:dyDescent="0.25">
      <c r="B190" s="71" t="str">
        <f>IF($A190=0,"",VLOOKUP($A190,'BASE M-OBRA'!$A:$D,2))</f>
        <v/>
      </c>
      <c r="C190" s="2"/>
      <c r="D190" s="108"/>
      <c r="E190" s="70" t="str">
        <f>IF($A190=0,"",VLOOKUP($A190,'BASE M-OBRA'!$A:$D,4))</f>
        <v/>
      </c>
      <c r="F190" s="55" t="str">
        <f t="shared" si="17"/>
        <v/>
      </c>
      <c r="G190" s="106"/>
      <c r="H190" s="56" t="str">
        <f t="shared" si="18"/>
        <v/>
      </c>
      <c r="I190" s="2"/>
    </row>
    <row r="191" spans="1:9" x14ac:dyDescent="0.25">
      <c r="B191" s="72" t="str">
        <f>IF($A191=0,"",VLOOKUP($A191,'BASE M-OBRA'!$A:$D,2))</f>
        <v/>
      </c>
      <c r="C191" s="2"/>
      <c r="D191" s="108"/>
      <c r="E191" s="70" t="str">
        <f>IF($A191=0,"",VLOOKUP($A191,'BASE M-OBRA'!$A:$D,4))</f>
        <v/>
      </c>
      <c r="F191" s="55" t="str">
        <f t="shared" si="17"/>
        <v/>
      </c>
      <c r="G191" s="106"/>
      <c r="H191" s="56" t="str">
        <f t="shared" si="18"/>
        <v/>
      </c>
      <c r="I191" s="2"/>
    </row>
    <row r="192" spans="1:9" x14ac:dyDescent="0.25">
      <c r="B192" s="38" t="str">
        <f>IF($A192=0,"",VLOOKUP($A192,'BASE M-OBRA'!$A:$D,2))</f>
        <v/>
      </c>
      <c r="C192" s="2"/>
      <c r="D192" s="55"/>
      <c r="E192" s="55" t="str">
        <f>IF($A192=0,"",VLOOKUP($A192,'BASE M-OBRA'!$A:$D,4))</f>
        <v/>
      </c>
      <c r="F192" s="55" t="str">
        <f t="shared" si="17"/>
        <v/>
      </c>
      <c r="G192" s="106"/>
      <c r="H192" s="56" t="str">
        <f t="shared" si="18"/>
        <v/>
      </c>
      <c r="I192" s="2"/>
    </row>
    <row r="193" spans="1:16" x14ac:dyDescent="0.25">
      <c r="B193" s="57" t="str">
        <f>IF($A193=0,"",VLOOKUP($A193,'BASE M-OBRA'!$A:$D,2))</f>
        <v/>
      </c>
      <c r="C193" s="58"/>
      <c r="D193" s="59"/>
      <c r="E193" s="59" t="str">
        <f>IF($A193=0,"",VLOOKUP($A193,'BASE M-OBRA'!$A:$D,4))</f>
        <v/>
      </c>
      <c r="F193" s="59" t="str">
        <f t="shared" si="17"/>
        <v/>
      </c>
      <c r="G193" s="107"/>
      <c r="H193" s="60" t="str">
        <f t="shared" si="18"/>
        <v/>
      </c>
      <c r="I193" s="2"/>
    </row>
    <row r="194" spans="1:16" x14ac:dyDescent="0.25">
      <c r="B194" s="73" t="s">
        <v>1685</v>
      </c>
      <c r="C194" s="65"/>
      <c r="D194" s="74"/>
      <c r="E194" s="74"/>
      <c r="F194" s="74"/>
      <c r="G194" s="74"/>
      <c r="H194" s="75">
        <f>ROUND(SUM(H186:H193),2)</f>
        <v>40.39</v>
      </c>
      <c r="I194" s="2"/>
    </row>
    <row r="195" spans="1:16" x14ac:dyDescent="0.25">
      <c r="B195" s="38" t="s">
        <v>1684</v>
      </c>
      <c r="C195" s="2"/>
      <c r="D195" s="3"/>
      <c r="E195" s="3"/>
      <c r="F195" s="3"/>
      <c r="G195" s="3"/>
      <c r="H195" s="56"/>
      <c r="I195" s="2"/>
    </row>
    <row r="196" spans="1:16" ht="25.5" x14ac:dyDescent="0.25">
      <c r="B196" s="64" t="s">
        <v>1409</v>
      </c>
      <c r="C196" s="65"/>
      <c r="D196" s="76"/>
      <c r="E196" s="66" t="s">
        <v>1408</v>
      </c>
      <c r="F196" s="66" t="s">
        <v>1679</v>
      </c>
      <c r="G196" s="66" t="s">
        <v>1683</v>
      </c>
      <c r="H196" s="68" t="s">
        <v>1675</v>
      </c>
      <c r="I196" s="2"/>
    </row>
    <row r="197" spans="1:16" x14ac:dyDescent="0.25">
      <c r="A197" s="103">
        <v>7018</v>
      </c>
      <c r="B197" s="37" t="s">
        <v>864</v>
      </c>
      <c r="C197" s="2"/>
      <c r="D197" s="77"/>
      <c r="E197" s="78" t="s">
        <v>961</v>
      </c>
      <c r="F197" s="55">
        <v>1</v>
      </c>
      <c r="G197" s="55">
        <v>58</v>
      </c>
      <c r="H197" s="56">
        <f t="shared" ref="H197:H211" si="19">IF($A197=0,"",ROUND(F197*G197,2))</f>
        <v>58</v>
      </c>
      <c r="I197" s="2"/>
      <c r="L197" s="2"/>
      <c r="M197" s="2"/>
      <c r="N197" s="39"/>
      <c r="O197" s="2"/>
      <c r="P197" s="2"/>
    </row>
    <row r="198" spans="1:16" x14ac:dyDescent="0.25">
      <c r="A198" s="103">
        <v>14013</v>
      </c>
      <c r="B198" s="38" t="s">
        <v>1669</v>
      </c>
      <c r="C198" s="2"/>
      <c r="D198" s="77"/>
      <c r="E198" s="78" t="s">
        <v>961</v>
      </c>
      <c r="F198" s="55">
        <v>1</v>
      </c>
      <c r="G198" s="55">
        <f>4.5*1.12</f>
        <v>5.0400000000000009</v>
      </c>
      <c r="H198" s="56">
        <f t="shared" si="19"/>
        <v>5.04</v>
      </c>
      <c r="I198" s="2"/>
      <c r="L198" s="2"/>
      <c r="M198" s="2"/>
      <c r="N198" s="39"/>
      <c r="O198" s="2"/>
      <c r="P198" s="2"/>
    </row>
    <row r="199" spans="1:16" x14ac:dyDescent="0.25">
      <c r="B199" s="38" t="str">
        <f>IF($A199=0,"",VLOOKUP($A199,'BASE MATERIAL'!$A:$D,2))</f>
        <v/>
      </c>
      <c r="C199" s="2"/>
      <c r="D199" s="77"/>
      <c r="E199" s="78" t="str">
        <f>IF($A199=0,"",VLOOKUP($A199,'BASE MATERIAL'!$A:$D,3))</f>
        <v/>
      </c>
      <c r="F199" s="55"/>
      <c r="G199" s="55" t="str">
        <f>IF($A199=0,"",VLOOKUP($A199,'BASE MATERIAL'!$A:$D,4))</f>
        <v/>
      </c>
      <c r="H199" s="56" t="str">
        <f t="shared" si="19"/>
        <v/>
      </c>
      <c r="I199" s="2"/>
      <c r="L199" s="2"/>
      <c r="M199" s="2"/>
      <c r="N199" s="39"/>
      <c r="O199" s="2"/>
      <c r="P199" s="2"/>
    </row>
    <row r="200" spans="1:16" x14ac:dyDescent="0.25">
      <c r="B200" s="38" t="str">
        <f>IF($A200=0,"",VLOOKUP($A200,'BASE MATERIAL'!$A:$D,2))</f>
        <v/>
      </c>
      <c r="C200" s="2"/>
      <c r="D200" s="77"/>
      <c r="E200" s="78" t="str">
        <f>IF($A200=0,"",VLOOKUP($A200,'BASE MATERIAL'!$A:$D,3))</f>
        <v/>
      </c>
      <c r="F200" s="55"/>
      <c r="G200" s="55" t="str">
        <f>IF($A200=0,"",VLOOKUP($A200,'BASE MATERIAL'!$A:$D,4))</f>
        <v/>
      </c>
      <c r="H200" s="56" t="str">
        <f t="shared" si="19"/>
        <v/>
      </c>
      <c r="I200" s="2"/>
      <c r="L200" s="2"/>
      <c r="M200" s="2"/>
      <c r="N200" s="39"/>
      <c r="O200" s="2"/>
      <c r="P200" s="2"/>
    </row>
    <row r="201" spans="1:16" x14ac:dyDescent="0.25">
      <c r="B201" s="38" t="str">
        <f>IF($A201=0,"",VLOOKUP($A201,'BASE MATERIAL'!$A:$D,2))</f>
        <v/>
      </c>
      <c r="C201" s="2"/>
      <c r="D201" s="77"/>
      <c r="E201" s="78" t="str">
        <f>IF($A201=0,"",VLOOKUP($A201,'BASE MATERIAL'!$A:$D,3))</f>
        <v/>
      </c>
      <c r="F201" s="55"/>
      <c r="G201" s="55" t="str">
        <f>IF($A201=0,"",VLOOKUP($A201,'BASE MATERIAL'!$A:$D,4))</f>
        <v/>
      </c>
      <c r="H201" s="56" t="str">
        <f t="shared" si="19"/>
        <v/>
      </c>
      <c r="I201" s="2"/>
      <c r="L201" s="2"/>
      <c r="M201" s="2"/>
      <c r="N201" s="39"/>
      <c r="O201" s="2"/>
      <c r="P201" s="2"/>
    </row>
    <row r="202" spans="1:16" x14ac:dyDescent="0.25">
      <c r="B202" s="38" t="str">
        <f>IF($A202=0,"",VLOOKUP($A202,'BASE MATERIAL'!$A:$D,2))</f>
        <v/>
      </c>
      <c r="C202" s="2"/>
      <c r="D202" s="77"/>
      <c r="E202" s="78" t="str">
        <f>IF($A202=0,"",VLOOKUP($A202,'BASE MATERIAL'!$A:$D,3))</f>
        <v/>
      </c>
      <c r="F202" s="55"/>
      <c r="G202" s="80" t="str">
        <f>IF($A202=0,"",VLOOKUP($A202,'BASE MATERIAL'!$A:$D,4))</f>
        <v/>
      </c>
      <c r="H202" s="56" t="str">
        <f t="shared" si="19"/>
        <v/>
      </c>
      <c r="I202" s="2"/>
      <c r="L202" s="2"/>
      <c r="M202" s="2"/>
      <c r="N202" s="39"/>
      <c r="O202" s="2"/>
      <c r="P202" s="2"/>
    </row>
    <row r="203" spans="1:16" x14ac:dyDescent="0.25">
      <c r="B203" s="38" t="str">
        <f>IF($A203=0,"",VLOOKUP($A203,'BASE MATERIAL'!$A:$D,2))</f>
        <v/>
      </c>
      <c r="C203" s="2"/>
      <c r="D203" s="77"/>
      <c r="E203" s="78" t="str">
        <f>IF($A203=0,"",VLOOKUP($A203,'BASE MATERIAL'!$A:$D,3))</f>
        <v/>
      </c>
      <c r="F203" s="55"/>
      <c r="G203" s="55" t="str">
        <f>IF($A203=0,"",VLOOKUP($A203,'BASE MATERIAL'!$A:$D,4))</f>
        <v/>
      </c>
      <c r="H203" s="56" t="str">
        <f t="shared" si="19"/>
        <v/>
      </c>
      <c r="I203" s="2"/>
      <c r="L203" s="2"/>
      <c r="M203" s="2"/>
      <c r="N203" s="39"/>
      <c r="O203" s="2"/>
      <c r="P203" s="2"/>
    </row>
    <row r="204" spans="1:16" x14ac:dyDescent="0.25">
      <c r="B204" s="38" t="str">
        <f>IF($A204=0,"",VLOOKUP($A204,'BASE MATERIAL'!$A:$D,2))</f>
        <v/>
      </c>
      <c r="C204" s="2"/>
      <c r="D204" s="77"/>
      <c r="E204" s="78" t="str">
        <f>IF($A204=0,"",VLOOKUP($A204,'BASE MATERIAL'!$A:$D,3))</f>
        <v/>
      </c>
      <c r="F204" s="55"/>
      <c r="G204" s="55" t="str">
        <f>IF($A204=0,"",VLOOKUP($A204,'BASE MATERIAL'!$A:$D,4))</f>
        <v/>
      </c>
      <c r="H204" s="56" t="str">
        <f t="shared" si="19"/>
        <v/>
      </c>
      <c r="I204" s="2"/>
      <c r="L204" s="2"/>
      <c r="M204" s="2"/>
      <c r="N204" s="39"/>
      <c r="O204" s="2"/>
      <c r="P204" s="2"/>
    </row>
    <row r="205" spans="1:16" x14ac:dyDescent="0.25">
      <c r="B205" s="38" t="str">
        <f>IF($A205=0,"",VLOOKUP($A205,'BASE MATERIAL'!$A:$D,2))</f>
        <v/>
      </c>
      <c r="C205" s="2"/>
      <c r="D205" s="77"/>
      <c r="E205" s="78" t="str">
        <f>IF($A205=0,"",VLOOKUP($A205,'BASE MATERIAL'!$A:$D,3))</f>
        <v/>
      </c>
      <c r="F205" s="55"/>
      <c r="G205" s="55" t="str">
        <f>IF($A205=0,"",VLOOKUP($A205,'BASE MATERIAL'!$A:$D,4))</f>
        <v/>
      </c>
      <c r="H205" s="56" t="str">
        <f t="shared" si="19"/>
        <v/>
      </c>
      <c r="I205" s="2"/>
    </row>
    <row r="206" spans="1:16" x14ac:dyDescent="0.25">
      <c r="B206" s="38" t="str">
        <f>IF($A206=0,"",VLOOKUP($A206,'BASE MATERIAL'!$A:$D,2))</f>
        <v/>
      </c>
      <c r="C206" s="2"/>
      <c r="D206" s="77"/>
      <c r="E206" s="78" t="str">
        <f>IF($A206=0,"",VLOOKUP($A206,'BASE MATERIAL'!$A:$D,3))</f>
        <v/>
      </c>
      <c r="F206" s="55"/>
      <c r="G206" s="55" t="str">
        <f>IF($A206=0,"",VLOOKUP($A206,'BASE MATERIAL'!$A:$D,4))</f>
        <v/>
      </c>
      <c r="H206" s="56" t="str">
        <f t="shared" si="19"/>
        <v/>
      </c>
      <c r="I206" s="2"/>
      <c r="L206" s="2"/>
      <c r="M206" s="2"/>
      <c r="N206" s="39"/>
      <c r="O206" s="2"/>
      <c r="P206" s="2"/>
    </row>
    <row r="207" spans="1:16" x14ac:dyDescent="0.25">
      <c r="B207" s="38" t="str">
        <f>IF($A207=0,"",VLOOKUP($A207,'BASE MATERIAL'!$A:$D,2))</f>
        <v/>
      </c>
      <c r="C207" s="2"/>
      <c r="D207" s="77"/>
      <c r="E207" s="78" t="str">
        <f>IF($A207=0,"",VLOOKUP($A207,'BASE MATERIAL'!$A:$D,3))</f>
        <v/>
      </c>
      <c r="F207" s="55"/>
      <c r="G207" s="55" t="str">
        <f>IF($A207=0,"",VLOOKUP($A207,'BASE MATERIAL'!$A:$D,4))</f>
        <v/>
      </c>
      <c r="H207" s="56" t="str">
        <f t="shared" si="19"/>
        <v/>
      </c>
      <c r="I207" s="2"/>
      <c r="L207" s="2"/>
      <c r="M207" s="2"/>
      <c r="N207" s="39"/>
      <c r="O207" s="2"/>
      <c r="P207" s="2"/>
    </row>
    <row r="208" spans="1:16" x14ac:dyDescent="0.25">
      <c r="B208" s="38" t="str">
        <f>IF($A208=0,"",VLOOKUP($A208,'BASE MATERIAL'!$A:$D,2))</f>
        <v/>
      </c>
      <c r="C208" s="2"/>
      <c r="D208" s="77"/>
      <c r="E208" s="78" t="str">
        <f>IF($A208=0,"",VLOOKUP($A208,'BASE MATERIAL'!$A:$D,3))</f>
        <v/>
      </c>
      <c r="F208" s="55"/>
      <c r="G208" s="55" t="str">
        <f>IF($A208=0,"",VLOOKUP($A208,'BASE MATERIAL'!$A:$D,4))</f>
        <v/>
      </c>
      <c r="H208" s="56" t="str">
        <f t="shared" si="19"/>
        <v/>
      </c>
      <c r="I208" s="2"/>
    </row>
    <row r="209" spans="2:9" x14ac:dyDescent="0.25">
      <c r="B209" s="38" t="str">
        <f>IF($A209=0,"",VLOOKUP($A209,'BASE MATERIAL'!$A:$D,2))</f>
        <v/>
      </c>
      <c r="C209" s="2"/>
      <c r="D209" s="77"/>
      <c r="E209" s="78" t="str">
        <f>IF($A209=0,"",VLOOKUP($A209,'BASE MATERIAL'!$A:$D,3))</f>
        <v/>
      </c>
      <c r="F209" s="55"/>
      <c r="G209" s="55" t="str">
        <f>IF($A209=0,"",VLOOKUP($A209,'BASE MATERIAL'!$A:$D,4))</f>
        <v/>
      </c>
      <c r="H209" s="56" t="str">
        <f t="shared" si="19"/>
        <v/>
      </c>
      <c r="I209" s="2"/>
    </row>
    <row r="210" spans="2:9" x14ac:dyDescent="0.25">
      <c r="B210" s="38" t="str">
        <f>IF($A210=0,"",VLOOKUP($A210,'BASE MATERIAL'!$A:$D,2))</f>
        <v/>
      </c>
      <c r="C210" s="2"/>
      <c r="D210" s="77"/>
      <c r="E210" s="78" t="str">
        <f>IF($A210=0,"",VLOOKUP($A210,'BASE MATERIAL'!$A:$D,3))</f>
        <v/>
      </c>
      <c r="F210" s="55"/>
      <c r="G210" s="55" t="str">
        <f>IF($A210=0,"",VLOOKUP($A210,'BASE MATERIAL'!$A:$D,4))</f>
        <v/>
      </c>
      <c r="H210" s="56" t="str">
        <f t="shared" si="19"/>
        <v/>
      </c>
      <c r="I210" s="2"/>
    </row>
    <row r="211" spans="2:9" x14ac:dyDescent="0.25">
      <c r="B211" s="38" t="str">
        <f>IF($A211=0,"",VLOOKUP($A211,'BASE MATERIAL'!$A:$D,2))</f>
        <v/>
      </c>
      <c r="C211" s="2"/>
      <c r="D211" s="77"/>
      <c r="E211" s="78" t="str">
        <f>IF($A211=0,"",VLOOKUP($A211,'BASE MATERIAL'!$A:$D,3))</f>
        <v/>
      </c>
      <c r="F211" s="55"/>
      <c r="G211" s="55" t="str">
        <f>IF($A211=0,"",VLOOKUP($A211,'BASE MATERIAL'!$A:$D,4))</f>
        <v/>
      </c>
      <c r="H211" s="56" t="str">
        <f t="shared" si="19"/>
        <v/>
      </c>
      <c r="I211" s="2"/>
    </row>
    <row r="212" spans="2:9" x14ac:dyDescent="0.25">
      <c r="B212" s="38" t="str">
        <f>IF($A212=0,"",VLOOKUP($A212,'BASE MATERIAL'!$A:$D,2))</f>
        <v/>
      </c>
      <c r="C212" s="2"/>
      <c r="D212" s="81" t="s">
        <v>1682</v>
      </c>
      <c r="E212" s="55" t="str">
        <f>IF($A212=0,"",VLOOKUP($A212,'BASE MATERIAL'!$A:$D,3))</f>
        <v/>
      </c>
      <c r="F212" s="55" t="s">
        <v>1682</v>
      </c>
      <c r="G212" s="55" t="str">
        <f>IF($A212=0,"",VLOOKUP($A212,'BASE MATERIAL'!$A:$D,4))</f>
        <v/>
      </c>
      <c r="H212" s="56" t="str">
        <f>IF($A212=0,"",ROUND(E212*F212,2))</f>
        <v/>
      </c>
      <c r="I212" s="2"/>
    </row>
    <row r="213" spans="2:9" x14ac:dyDescent="0.25">
      <c r="B213" s="73" t="s">
        <v>1681</v>
      </c>
      <c r="C213" s="65"/>
      <c r="D213" s="74"/>
      <c r="E213" s="74"/>
      <c r="F213" s="74"/>
      <c r="G213" s="74"/>
      <c r="H213" s="75">
        <f>ROUND(SUM(H196:H212),2)</f>
        <v>63.04</v>
      </c>
      <c r="I213" s="2"/>
    </row>
    <row r="214" spans="2:9" x14ac:dyDescent="0.25">
      <c r="B214" s="38" t="s">
        <v>1680</v>
      </c>
      <c r="C214" s="2"/>
      <c r="D214" s="3"/>
      <c r="E214" s="3"/>
      <c r="F214" s="3"/>
      <c r="G214" s="3"/>
      <c r="H214" s="56"/>
      <c r="I214" s="2"/>
    </row>
    <row r="215" spans="2:9" ht="25.5" x14ac:dyDescent="0.25">
      <c r="B215" s="64" t="s">
        <v>1409</v>
      </c>
      <c r="C215" s="65"/>
      <c r="D215" s="76"/>
      <c r="E215" s="66" t="s">
        <v>1408</v>
      </c>
      <c r="F215" s="66" t="s">
        <v>1679</v>
      </c>
      <c r="G215" s="66" t="s">
        <v>1676</v>
      </c>
      <c r="H215" s="68" t="s">
        <v>1675</v>
      </c>
      <c r="I215" s="2"/>
    </row>
    <row r="216" spans="2:9" x14ac:dyDescent="0.25">
      <c r="B216" s="51" t="str">
        <f>IF($A216=0,"",VLOOKUP($A216,'BASE EQUIPO'!$A:$D,2))</f>
        <v/>
      </c>
      <c r="C216" s="52"/>
      <c r="D216" s="82"/>
      <c r="E216" s="78" t="str">
        <f>IF($A216=0,"",VLOOKUP($A216,'BASE EQUIPO'!$A:$D,3))</f>
        <v/>
      </c>
      <c r="F216" s="55"/>
      <c r="G216" s="83" t="str">
        <f>IF($A216=0,"",VLOOKUP($A216,'BASE EQUIPO'!$A:$D,4)*H213)</f>
        <v/>
      </c>
      <c r="H216" s="56" t="str">
        <f>IF($A216=0,"",ROUND(F216*G216,2))</f>
        <v/>
      </c>
      <c r="I216" s="2"/>
    </row>
    <row r="217" spans="2:9" x14ac:dyDescent="0.25">
      <c r="B217" s="38" t="str">
        <f>IF($A217=0,"",VLOOKUP($A217,'BASE EQUIPO'!$A:$D,2))</f>
        <v/>
      </c>
      <c r="C217" s="2"/>
      <c r="D217" s="84"/>
      <c r="E217" s="78" t="str">
        <f>IF($A217=0,"",VLOOKUP($A217,'BASE EQUIPO'!$A:$D,3))</f>
        <v/>
      </c>
      <c r="F217" s="55"/>
      <c r="G217" s="55" t="str">
        <f>IF($A217=0,"",VLOOKUP($A217,'BASE EQUIPO'!$A:$D,4)*H214)</f>
        <v/>
      </c>
      <c r="H217" s="56" t="str">
        <f>IF($A217=0,"",ROUND(F217*G217,2))</f>
        <v/>
      </c>
      <c r="I217" s="2"/>
    </row>
    <row r="218" spans="2:9" x14ac:dyDescent="0.25">
      <c r="B218" s="57" t="str">
        <f>IF($A218=0,"",VLOOKUP($A218,'BASE EQUIPO'!$A:$D,2))</f>
        <v/>
      </c>
      <c r="C218" s="58"/>
      <c r="D218" s="85"/>
      <c r="E218" s="86" t="str">
        <f>IF($A218=0,"",VLOOKUP($A218,'BASE EQUIPO'!$A:$D,3))</f>
        <v/>
      </c>
      <c r="F218" s="59"/>
      <c r="G218" s="59" t="str">
        <f>IF($A218=0,"",VLOOKUP($A218,'BASE EQUIPO'!$A:$D,4)*H215)</f>
        <v/>
      </c>
      <c r="H218" s="60" t="str">
        <f>IF($A218=0,"",ROUND(F218*G218,2))</f>
        <v/>
      </c>
      <c r="I218" s="2"/>
    </row>
    <row r="219" spans="2:9" ht="15.75" thickBot="1" x14ac:dyDescent="0.3">
      <c r="B219" s="87" t="s">
        <v>1674</v>
      </c>
      <c r="C219" s="88"/>
      <c r="D219" s="89"/>
      <c r="E219" s="89"/>
      <c r="F219" s="89"/>
      <c r="G219" s="89"/>
      <c r="H219" s="90">
        <f>ROUND(SUM(H215:H218),2)</f>
        <v>0</v>
      </c>
      <c r="I219" s="2"/>
    </row>
    <row r="220" spans="2:9" ht="15.75" x14ac:dyDescent="0.25">
      <c r="B220" s="2"/>
      <c r="C220" s="2"/>
      <c r="D220" s="91" t="s">
        <v>1673</v>
      </c>
      <c r="E220" s="47"/>
      <c r="F220" s="47"/>
      <c r="G220" s="47"/>
      <c r="H220" s="92">
        <f>ROUND(SUM(H219,H213,H194,H184),2)</f>
        <v>104.64</v>
      </c>
      <c r="I220" s="2"/>
    </row>
    <row r="221" spans="2:9" ht="15.75" x14ac:dyDescent="0.25">
      <c r="B221" s="2"/>
      <c r="C221" s="2"/>
      <c r="D221" s="93" t="s">
        <v>1672</v>
      </c>
      <c r="E221" s="65"/>
      <c r="F221" s="65"/>
      <c r="G221" s="94" t="str">
        <f>IF($A221=0,"",VLOOKUP($A221,'BASE MATERIAL'!$M:$P,4))</f>
        <v/>
      </c>
      <c r="H221" s="95" t="str">
        <f>IF($A221=0,"",ROUND(G221*H220,2))</f>
        <v/>
      </c>
      <c r="I221" s="2"/>
    </row>
    <row r="222" spans="2:9" ht="15.75" x14ac:dyDescent="0.25">
      <c r="B222" s="2"/>
      <c r="C222" s="2"/>
      <c r="D222" s="93" t="s">
        <v>1671</v>
      </c>
      <c r="E222" s="65"/>
      <c r="F222" s="65"/>
      <c r="G222" s="94" t="str">
        <f>IF($A222=0,"",VLOOKUP($A222,'BASE MATERIAL'!$M:$P,4))</f>
        <v/>
      </c>
      <c r="H222" s="95" t="str">
        <f>IF($A222=0,"",ROUND(G222*H220,2))</f>
        <v/>
      </c>
      <c r="I222" s="2"/>
    </row>
    <row r="223" spans="2:9" ht="15.75" x14ac:dyDescent="0.25">
      <c r="B223" s="2"/>
      <c r="C223" s="2"/>
      <c r="D223" s="93" t="s">
        <v>1670</v>
      </c>
      <c r="E223" s="65"/>
      <c r="F223" s="65"/>
      <c r="G223" s="65"/>
      <c r="H223" s="96">
        <f>ROUND(SUM(H220:H222),2)</f>
        <v>104.64</v>
      </c>
      <c r="I223" s="2"/>
    </row>
    <row r="224" spans="2:9" ht="16.5" thickBot="1" x14ac:dyDescent="0.3">
      <c r="B224" s="25"/>
      <c r="C224" s="2"/>
      <c r="D224" s="97" t="s">
        <v>1650</v>
      </c>
      <c r="E224" s="88"/>
      <c r="F224" s="88"/>
      <c r="G224" s="88"/>
      <c r="H224" s="98">
        <f>ROUND(H223,2)</f>
        <v>104.64</v>
      </c>
      <c r="I224" s="2"/>
    </row>
    <row r="225" spans="1:15" ht="15.75" x14ac:dyDescent="0.25">
      <c r="B225" s="34" t="s">
        <v>1701</v>
      </c>
      <c r="C225" s="2"/>
      <c r="D225" s="3" t="s">
        <v>1702</v>
      </c>
      <c r="E225" s="2"/>
      <c r="F225" s="2"/>
      <c r="H225" s="2" t="s">
        <v>108</v>
      </c>
      <c r="I225" s="2"/>
      <c r="L225" s="40">
        <f>A229</f>
        <v>8</v>
      </c>
      <c r="M225" s="1" t="str">
        <f>C230</f>
        <v xml:space="preserve">Revestimiento de meson en cafeteria </v>
      </c>
      <c r="N225" s="2" t="str">
        <f>H229</f>
        <v>ml</v>
      </c>
      <c r="O225" s="2">
        <f>H280</f>
        <v>104.64</v>
      </c>
    </row>
    <row r="226" spans="1:15" ht="15.75" x14ac:dyDescent="0.25">
      <c r="B226" s="34" t="s">
        <v>1700</v>
      </c>
      <c r="C226" s="3">
        <f>'1.1'!$C$2</f>
        <v>0</v>
      </c>
      <c r="D226" s="2"/>
      <c r="E226" s="2"/>
      <c r="F226" s="2"/>
      <c r="G226" s="41" t="s">
        <v>1699</v>
      </c>
      <c r="H226" s="42"/>
      <c r="I226" s="2" t="s">
        <v>1698</v>
      </c>
    </row>
    <row r="227" spans="1:15" ht="15.75" x14ac:dyDescent="0.25">
      <c r="B227" s="34"/>
      <c r="C227" s="3">
        <f>'1.1'!$C$3</f>
        <v>0</v>
      </c>
      <c r="D227" s="2"/>
      <c r="E227" s="2"/>
      <c r="F227" s="2"/>
      <c r="G227" s="2"/>
      <c r="H227" s="2"/>
      <c r="I227" s="2"/>
    </row>
    <row r="228" spans="1:15" ht="15.75" x14ac:dyDescent="0.25">
      <c r="B228" s="34" t="s">
        <v>1697</v>
      </c>
      <c r="C228" s="3"/>
      <c r="D228" s="2"/>
      <c r="E228" s="2"/>
      <c r="F228" s="2"/>
      <c r="G228" s="2"/>
      <c r="H228" s="2"/>
      <c r="I228" s="2"/>
    </row>
    <row r="229" spans="1:15" x14ac:dyDescent="0.25">
      <c r="A229" s="104">
        <f>+A285+1</f>
        <v>8</v>
      </c>
      <c r="B229" s="2" t="s">
        <v>1586</v>
      </c>
      <c r="C229" s="36" t="s">
        <v>672</v>
      </c>
      <c r="D229" s="2"/>
      <c r="G229" s="2" t="s">
        <v>1696</v>
      </c>
      <c r="H229" s="3" t="s">
        <v>961</v>
      </c>
      <c r="I229" s="2"/>
    </row>
    <row r="230" spans="1:15" x14ac:dyDescent="0.25">
      <c r="B230" s="1" t="s">
        <v>1585</v>
      </c>
      <c r="C230" s="36" t="s">
        <v>1431</v>
      </c>
      <c r="D230" s="2"/>
      <c r="E230" s="2"/>
      <c r="F230" s="2"/>
      <c r="G230" s="2"/>
      <c r="H230" s="2"/>
      <c r="I230" s="2"/>
    </row>
    <row r="231" spans="1:15" ht="15.75" thickBot="1" x14ac:dyDescent="0.3">
      <c r="D231" s="2"/>
      <c r="E231" s="2"/>
      <c r="F231" s="2"/>
      <c r="G231" s="2"/>
      <c r="H231" s="2"/>
      <c r="I231" s="2"/>
    </row>
    <row r="232" spans="1:15" ht="15.75" thickBot="1" x14ac:dyDescent="0.3">
      <c r="B232" s="43" t="s">
        <v>1695</v>
      </c>
      <c r="C232" s="44"/>
      <c r="D232" s="44"/>
      <c r="E232" s="44"/>
      <c r="F232" s="44"/>
      <c r="G232" s="44"/>
      <c r="H232" s="45"/>
      <c r="I232" s="2"/>
    </row>
    <row r="233" spans="1:15" ht="25.5" x14ac:dyDescent="0.25">
      <c r="B233" s="46" t="s">
        <v>1409</v>
      </c>
      <c r="C233" s="47"/>
      <c r="D233" s="48" t="s">
        <v>1690</v>
      </c>
      <c r="E233" s="48" t="s">
        <v>1694</v>
      </c>
      <c r="F233" s="48" t="s">
        <v>1693</v>
      </c>
      <c r="G233" s="49" t="s">
        <v>1687</v>
      </c>
      <c r="H233" s="50" t="s">
        <v>1686</v>
      </c>
      <c r="I233" s="2"/>
    </row>
    <row r="234" spans="1:15" x14ac:dyDescent="0.25">
      <c r="A234" s="103">
        <v>19015</v>
      </c>
      <c r="B234" s="51" t="str">
        <f>IF($A234=0,"",VLOOKUP($A234,'BASE EQUIPO'!$A:$D,2))</f>
        <v>HERRAMIENTA MENOR</v>
      </c>
      <c r="C234" s="52"/>
      <c r="D234" s="53">
        <v>1</v>
      </c>
      <c r="E234" s="53">
        <f>IF($A234=0,"",VLOOKUP($A234,'BASE EQUIPO'!$A:$D,4)*H250)</f>
        <v>1.2117</v>
      </c>
      <c r="F234" s="53">
        <f t="shared" ref="F234:F239" si="20">IF($A234=0,"",ROUND(D234*E234,2))</f>
        <v>1.21</v>
      </c>
      <c r="G234" s="105">
        <v>1</v>
      </c>
      <c r="H234" s="54">
        <f t="shared" ref="H234:H239" si="21">IF($A234=0,"",ROUND(G234*F234,2))</f>
        <v>1.21</v>
      </c>
      <c r="I234" s="2"/>
    </row>
    <row r="235" spans="1:15" x14ac:dyDescent="0.25">
      <c r="B235" s="38" t="str">
        <f>IF($A235=0,"",VLOOKUP($A235,'BASE EQUIPO'!$A:$D,2))</f>
        <v/>
      </c>
      <c r="C235" s="2"/>
      <c r="D235" s="55"/>
      <c r="E235" s="55" t="str">
        <f>IF($A235=0,"",VLOOKUP($A235,'BASE EQUIPO'!$A:$D,4))</f>
        <v/>
      </c>
      <c r="F235" s="55" t="str">
        <f t="shared" si="20"/>
        <v/>
      </c>
      <c r="G235" s="106"/>
      <c r="H235" s="56" t="str">
        <f t="shared" si="21"/>
        <v/>
      </c>
      <c r="I235" s="2"/>
    </row>
    <row r="236" spans="1:15" x14ac:dyDescent="0.25">
      <c r="B236" s="38" t="str">
        <f>IF($A236=0,"",VLOOKUP($A236,'BASE EQUIPO'!$A:$D,2))</f>
        <v/>
      </c>
      <c r="C236" s="2"/>
      <c r="D236" s="55"/>
      <c r="E236" s="55" t="str">
        <f>IF($A236=0,"",VLOOKUP($A236,'BASE EQUIPO'!$A:$D,4))</f>
        <v/>
      </c>
      <c r="F236" s="55" t="str">
        <f t="shared" si="20"/>
        <v/>
      </c>
      <c r="G236" s="106"/>
      <c r="H236" s="56" t="str">
        <f t="shared" si="21"/>
        <v/>
      </c>
      <c r="I236" s="2"/>
    </row>
    <row r="237" spans="1:15" x14ac:dyDescent="0.25">
      <c r="B237" s="38" t="str">
        <f>IF($A237=0,"",VLOOKUP($A237,'BASE EQUIPO'!$A:$D,2))</f>
        <v/>
      </c>
      <c r="C237" s="2"/>
      <c r="D237" s="55"/>
      <c r="E237" s="55" t="str">
        <f>IF($A237=0,"",VLOOKUP($A237,'BASE EQUIPO'!$A:$D,4))</f>
        <v/>
      </c>
      <c r="F237" s="55" t="str">
        <f t="shared" si="20"/>
        <v/>
      </c>
      <c r="G237" s="106"/>
      <c r="H237" s="56" t="str">
        <f t="shared" si="21"/>
        <v/>
      </c>
      <c r="I237" s="2"/>
    </row>
    <row r="238" spans="1:15" x14ac:dyDescent="0.25">
      <c r="B238" s="38" t="str">
        <f>IF($A238=0,"",VLOOKUP($A238,'BASE EQUIPO'!$A:$D,2))</f>
        <v/>
      </c>
      <c r="C238" s="2"/>
      <c r="D238" s="55"/>
      <c r="E238" s="55" t="str">
        <f>IF($A238=0,"",VLOOKUP($A238,'BASE EQUIPO'!$A:$D,4))</f>
        <v/>
      </c>
      <c r="F238" s="55" t="str">
        <f t="shared" si="20"/>
        <v/>
      </c>
      <c r="G238" s="106"/>
      <c r="H238" s="56" t="str">
        <f t="shared" si="21"/>
        <v/>
      </c>
      <c r="I238" s="2"/>
    </row>
    <row r="239" spans="1:15" x14ac:dyDescent="0.25">
      <c r="B239" s="57" t="str">
        <f>IF($A239=0,"",VLOOKUP($A239,'BASE EQUIPO'!$A:$D,2))</f>
        <v/>
      </c>
      <c r="C239" s="58"/>
      <c r="D239" s="59"/>
      <c r="E239" s="59" t="str">
        <f>IF($A239=0,"",VLOOKUP($A239,'BASE EQUIPO'!$A:$D,4))</f>
        <v/>
      </c>
      <c r="F239" s="59" t="str">
        <f t="shared" si="20"/>
        <v/>
      </c>
      <c r="G239" s="107"/>
      <c r="H239" s="60" t="str">
        <f t="shared" si="21"/>
        <v/>
      </c>
      <c r="I239" s="2"/>
    </row>
    <row r="240" spans="1:15" x14ac:dyDescent="0.25">
      <c r="B240" s="57" t="s">
        <v>1692</v>
      </c>
      <c r="C240" s="58"/>
      <c r="D240" s="61"/>
      <c r="E240" s="61"/>
      <c r="F240" s="61"/>
      <c r="G240" s="62"/>
      <c r="H240" s="60">
        <f>ROUND(SUM(H233:H239),2)</f>
        <v>1.21</v>
      </c>
      <c r="I240" s="2"/>
    </row>
    <row r="241" spans="1:16" x14ac:dyDescent="0.25">
      <c r="B241" s="38" t="s">
        <v>1503</v>
      </c>
      <c r="C241" s="2"/>
      <c r="D241" s="3"/>
      <c r="E241" s="3"/>
      <c r="F241" s="3"/>
      <c r="G241" s="63"/>
      <c r="H241" s="56"/>
      <c r="I241" s="2"/>
    </row>
    <row r="242" spans="1:16" ht="25.5" x14ac:dyDescent="0.25">
      <c r="B242" s="64" t="s">
        <v>1691</v>
      </c>
      <c r="C242" s="65"/>
      <c r="D242" s="66" t="s">
        <v>1690</v>
      </c>
      <c r="E242" s="66" t="s">
        <v>1689</v>
      </c>
      <c r="F242" s="66" t="s">
        <v>1688</v>
      </c>
      <c r="G242" s="67" t="s">
        <v>1687</v>
      </c>
      <c r="H242" s="68" t="s">
        <v>1686</v>
      </c>
      <c r="I242" s="2"/>
    </row>
    <row r="243" spans="1:16" x14ac:dyDescent="0.25">
      <c r="A243" s="103">
        <v>20001</v>
      </c>
      <c r="B243" s="69" t="str">
        <f>IF($A243=0,"",VLOOKUP($A243,'BASE M-OBRA'!$A:$D,2))</f>
        <v>MAESTRO</v>
      </c>
      <c r="C243" s="2"/>
      <c r="D243" s="108">
        <v>1</v>
      </c>
      <c r="E243" s="70">
        <f>IF($A243=0,"",VLOOKUP($A243,'BASE M-OBRA'!$A:$D,4))</f>
        <v>3.02</v>
      </c>
      <c r="F243" s="55">
        <f t="shared" ref="F243:F249" si="22">IF($A243=0,"",ROUND(D243*E243,2))</f>
        <v>3.02</v>
      </c>
      <c r="G243" s="106">
        <f>IF($A243=0,"",ROUND(H243/F243,2))</f>
        <v>2.23</v>
      </c>
      <c r="H243" s="56">
        <f>IF($A243=0,"",ROUND(SUM(H244:H249)*'BASE M-OBRA'!$D$23,2))</f>
        <v>6.73</v>
      </c>
      <c r="I243" s="2"/>
    </row>
    <row r="244" spans="1:16" x14ac:dyDescent="0.25">
      <c r="A244" s="103">
        <v>20002</v>
      </c>
      <c r="B244" s="69" t="str">
        <f>IF($A244=0,"",VLOOKUP($A244,'BASE M-OBRA'!$A:$D,2))</f>
        <v>PEON</v>
      </c>
      <c r="C244" s="2"/>
      <c r="D244" s="108">
        <v>1</v>
      </c>
      <c r="E244" s="70">
        <f>IF($A244=0,"",VLOOKUP($A244,'BASE M-OBRA'!$A:$D,4))</f>
        <v>2.79</v>
      </c>
      <c r="F244" s="55">
        <f t="shared" si="22"/>
        <v>2.79</v>
      </c>
      <c r="G244" s="106">
        <v>6</v>
      </c>
      <c r="H244" s="56">
        <f t="shared" ref="H244:H249" si="23">IF($A244=0,"",ROUND(G244*F244,2))</f>
        <v>16.739999999999998</v>
      </c>
      <c r="I244" s="2"/>
    </row>
    <row r="245" spans="1:16" x14ac:dyDescent="0.25">
      <c r="A245" s="103">
        <v>20003</v>
      </c>
      <c r="B245" s="69" t="str">
        <f>IF($A245=0,"",VLOOKUP($A245,'BASE M-OBRA'!$A:$D,2))</f>
        <v>ALBAÑIL</v>
      </c>
      <c r="C245" s="2"/>
      <c r="D245" s="108">
        <v>1</v>
      </c>
      <c r="E245" s="70">
        <f>IF($A245=0,"",VLOOKUP($A245,'BASE M-OBRA'!$A:$D,4))</f>
        <v>2.82</v>
      </c>
      <c r="F245" s="55">
        <f t="shared" si="22"/>
        <v>2.82</v>
      </c>
      <c r="G245" s="106">
        <f>+G244</f>
        <v>6</v>
      </c>
      <c r="H245" s="56">
        <f t="shared" si="23"/>
        <v>16.920000000000002</v>
      </c>
      <c r="I245" s="2"/>
    </row>
    <row r="246" spans="1:16" x14ac:dyDescent="0.25">
      <c r="B246" s="71" t="str">
        <f>IF($A246=0,"",VLOOKUP($A246,'BASE M-OBRA'!$A:$D,2))</f>
        <v/>
      </c>
      <c r="C246" s="2"/>
      <c r="D246" s="108"/>
      <c r="E246" s="70" t="str">
        <f>IF($A246=0,"",VLOOKUP($A246,'BASE M-OBRA'!$A:$D,4))</f>
        <v/>
      </c>
      <c r="F246" s="55" t="str">
        <f t="shared" si="22"/>
        <v/>
      </c>
      <c r="G246" s="106"/>
      <c r="H246" s="56" t="str">
        <f t="shared" si="23"/>
        <v/>
      </c>
      <c r="I246" s="2"/>
    </row>
    <row r="247" spans="1:16" x14ac:dyDescent="0.25">
      <c r="B247" s="72" t="str">
        <f>IF($A247=0,"",VLOOKUP($A247,'BASE M-OBRA'!$A:$D,2))</f>
        <v/>
      </c>
      <c r="C247" s="2"/>
      <c r="D247" s="108"/>
      <c r="E247" s="70" t="str">
        <f>IF($A247=0,"",VLOOKUP($A247,'BASE M-OBRA'!$A:$D,4))</f>
        <v/>
      </c>
      <c r="F247" s="55" t="str">
        <f t="shared" si="22"/>
        <v/>
      </c>
      <c r="G247" s="106"/>
      <c r="H247" s="56" t="str">
        <f t="shared" si="23"/>
        <v/>
      </c>
      <c r="I247" s="2"/>
    </row>
    <row r="248" spans="1:16" x14ac:dyDescent="0.25">
      <c r="B248" s="38" t="str">
        <f>IF($A248=0,"",VLOOKUP($A248,'BASE M-OBRA'!$A:$D,2))</f>
        <v/>
      </c>
      <c r="C248" s="2"/>
      <c r="D248" s="55"/>
      <c r="E248" s="55" t="str">
        <f>IF($A248=0,"",VLOOKUP($A248,'BASE M-OBRA'!$A:$D,4))</f>
        <v/>
      </c>
      <c r="F248" s="55" t="str">
        <f t="shared" si="22"/>
        <v/>
      </c>
      <c r="G248" s="106"/>
      <c r="H248" s="56" t="str">
        <f t="shared" si="23"/>
        <v/>
      </c>
      <c r="I248" s="2"/>
    </row>
    <row r="249" spans="1:16" x14ac:dyDescent="0.25">
      <c r="B249" s="57" t="str">
        <f>IF($A249=0,"",VLOOKUP($A249,'BASE M-OBRA'!$A:$D,2))</f>
        <v/>
      </c>
      <c r="C249" s="58"/>
      <c r="D249" s="59"/>
      <c r="E249" s="59" t="str">
        <f>IF($A249=0,"",VLOOKUP($A249,'BASE M-OBRA'!$A:$D,4))</f>
        <v/>
      </c>
      <c r="F249" s="59" t="str">
        <f t="shared" si="22"/>
        <v/>
      </c>
      <c r="G249" s="107"/>
      <c r="H249" s="60" t="str">
        <f t="shared" si="23"/>
        <v/>
      </c>
      <c r="I249" s="2"/>
    </row>
    <row r="250" spans="1:16" x14ac:dyDescent="0.25">
      <c r="B250" s="73" t="s">
        <v>1685</v>
      </c>
      <c r="C250" s="65"/>
      <c r="D250" s="74"/>
      <c r="E250" s="74"/>
      <c r="F250" s="74"/>
      <c r="G250" s="74"/>
      <c r="H250" s="75">
        <f>ROUND(SUM(H242:H249),2)</f>
        <v>40.39</v>
      </c>
      <c r="I250" s="2"/>
    </row>
    <row r="251" spans="1:16" x14ac:dyDescent="0.25">
      <c r="B251" s="38" t="s">
        <v>1684</v>
      </c>
      <c r="C251" s="2"/>
      <c r="D251" s="3"/>
      <c r="E251" s="3"/>
      <c r="F251" s="3"/>
      <c r="G251" s="3"/>
      <c r="H251" s="56"/>
      <c r="I251" s="2"/>
    </row>
    <row r="252" spans="1:16" ht="25.5" x14ac:dyDescent="0.25">
      <c r="B252" s="64" t="s">
        <v>1409</v>
      </c>
      <c r="C252" s="65"/>
      <c r="D252" s="76"/>
      <c r="E252" s="66" t="s">
        <v>1408</v>
      </c>
      <c r="F252" s="66" t="s">
        <v>1679</v>
      </c>
      <c r="G252" s="66" t="s">
        <v>1683</v>
      </c>
      <c r="H252" s="68" t="s">
        <v>1675</v>
      </c>
      <c r="I252" s="2"/>
    </row>
    <row r="253" spans="1:16" x14ac:dyDescent="0.25">
      <c r="A253" s="103">
        <v>7018</v>
      </c>
      <c r="B253" s="37" t="s">
        <v>864</v>
      </c>
      <c r="C253" s="2"/>
      <c r="D253" s="77"/>
      <c r="E253" s="78" t="s">
        <v>961</v>
      </c>
      <c r="F253" s="55">
        <v>1</v>
      </c>
      <c r="G253" s="55">
        <v>58</v>
      </c>
      <c r="H253" s="56">
        <f t="shared" ref="H253:H267" si="24">IF($A253=0,"",ROUND(F253*G253,2))</f>
        <v>58</v>
      </c>
      <c r="I253" s="2"/>
      <c r="L253" s="2"/>
      <c r="M253" s="2"/>
      <c r="N253" s="39"/>
      <c r="O253" s="2"/>
      <c r="P253" s="2"/>
    </row>
    <row r="254" spans="1:16" x14ac:dyDescent="0.25">
      <c r="A254" s="103">
        <v>14013</v>
      </c>
      <c r="B254" s="38" t="s">
        <v>1669</v>
      </c>
      <c r="C254" s="2"/>
      <c r="D254" s="77"/>
      <c r="E254" s="78" t="s">
        <v>961</v>
      </c>
      <c r="F254" s="55">
        <v>1</v>
      </c>
      <c r="G254" s="55">
        <f>4.5*1.12</f>
        <v>5.0400000000000009</v>
      </c>
      <c r="H254" s="56">
        <f t="shared" si="24"/>
        <v>5.04</v>
      </c>
      <c r="I254" s="2"/>
      <c r="L254" s="2"/>
      <c r="M254" s="2"/>
      <c r="N254" s="39"/>
      <c r="O254" s="2"/>
      <c r="P254" s="2"/>
    </row>
    <row r="255" spans="1:16" x14ac:dyDescent="0.25">
      <c r="B255" s="38" t="str">
        <f>IF($A255=0,"",VLOOKUP($A255,'BASE MATERIAL'!$A:$D,2))</f>
        <v/>
      </c>
      <c r="C255" s="2"/>
      <c r="D255" s="77"/>
      <c r="E255" s="78" t="str">
        <f>IF($A255=0,"",VLOOKUP($A255,'BASE MATERIAL'!$A:$D,3))</f>
        <v/>
      </c>
      <c r="F255" s="55"/>
      <c r="G255" s="55" t="str">
        <f>IF($A255=0,"",VLOOKUP($A255,'BASE MATERIAL'!$A:$D,4))</f>
        <v/>
      </c>
      <c r="H255" s="56" t="str">
        <f t="shared" si="24"/>
        <v/>
      </c>
      <c r="I255" s="2"/>
      <c r="L255" s="2"/>
      <c r="M255" s="2"/>
      <c r="N255" s="39"/>
      <c r="O255" s="2"/>
      <c r="P255" s="2"/>
    </row>
    <row r="256" spans="1:16" x14ac:dyDescent="0.25">
      <c r="B256" s="38" t="str">
        <f>IF($A256=0,"",VLOOKUP($A256,'BASE MATERIAL'!$A:$D,2))</f>
        <v/>
      </c>
      <c r="C256" s="2"/>
      <c r="D256" s="77"/>
      <c r="E256" s="78" t="str">
        <f>IF($A256=0,"",VLOOKUP($A256,'BASE MATERIAL'!$A:$D,3))</f>
        <v/>
      </c>
      <c r="F256" s="55"/>
      <c r="G256" s="55" t="str">
        <f>IF($A256=0,"",VLOOKUP($A256,'BASE MATERIAL'!$A:$D,4))</f>
        <v/>
      </c>
      <c r="H256" s="56" t="str">
        <f t="shared" si="24"/>
        <v/>
      </c>
      <c r="I256" s="2"/>
      <c r="L256" s="2"/>
      <c r="M256" s="2"/>
      <c r="N256" s="39"/>
      <c r="O256" s="2"/>
      <c r="P256" s="2"/>
    </row>
    <row r="257" spans="2:16" x14ac:dyDescent="0.25">
      <c r="B257" s="38" t="str">
        <f>IF($A257=0,"",VLOOKUP($A257,'BASE MATERIAL'!$A:$D,2))</f>
        <v/>
      </c>
      <c r="C257" s="2"/>
      <c r="D257" s="77"/>
      <c r="E257" s="78" t="str">
        <f>IF($A257=0,"",VLOOKUP($A257,'BASE MATERIAL'!$A:$D,3))</f>
        <v/>
      </c>
      <c r="F257" s="55"/>
      <c r="G257" s="55" t="str">
        <f>IF($A257=0,"",VLOOKUP($A257,'BASE MATERIAL'!$A:$D,4))</f>
        <v/>
      </c>
      <c r="H257" s="56" t="str">
        <f t="shared" si="24"/>
        <v/>
      </c>
      <c r="I257" s="2"/>
      <c r="L257" s="2"/>
      <c r="M257" s="2"/>
      <c r="N257" s="39"/>
      <c r="O257" s="2"/>
      <c r="P257" s="2"/>
    </row>
    <row r="258" spans="2:16" x14ac:dyDescent="0.25">
      <c r="B258" s="38" t="str">
        <f>IF($A258=0,"",VLOOKUP($A258,'BASE MATERIAL'!$A:$D,2))</f>
        <v/>
      </c>
      <c r="C258" s="2"/>
      <c r="D258" s="77"/>
      <c r="E258" s="78" t="str">
        <f>IF($A258=0,"",VLOOKUP($A258,'BASE MATERIAL'!$A:$D,3))</f>
        <v/>
      </c>
      <c r="F258" s="55"/>
      <c r="G258" s="80" t="str">
        <f>IF($A258=0,"",VLOOKUP($A258,'BASE MATERIAL'!$A:$D,4))</f>
        <v/>
      </c>
      <c r="H258" s="56" t="str">
        <f t="shared" si="24"/>
        <v/>
      </c>
      <c r="I258" s="2"/>
      <c r="L258" s="2"/>
      <c r="M258" s="2"/>
      <c r="N258" s="39"/>
      <c r="O258" s="2"/>
      <c r="P258" s="2"/>
    </row>
    <row r="259" spans="2:16" x14ac:dyDescent="0.25">
      <c r="B259" s="38" t="str">
        <f>IF($A259=0,"",VLOOKUP($A259,'BASE MATERIAL'!$A:$D,2))</f>
        <v/>
      </c>
      <c r="C259" s="2"/>
      <c r="D259" s="77"/>
      <c r="E259" s="78" t="str">
        <f>IF($A259=0,"",VLOOKUP($A259,'BASE MATERIAL'!$A:$D,3))</f>
        <v/>
      </c>
      <c r="F259" s="55"/>
      <c r="G259" s="55" t="str">
        <f>IF($A259=0,"",VLOOKUP($A259,'BASE MATERIAL'!$A:$D,4))</f>
        <v/>
      </c>
      <c r="H259" s="56" t="str">
        <f t="shared" si="24"/>
        <v/>
      </c>
      <c r="I259" s="2"/>
      <c r="L259" s="2"/>
      <c r="M259" s="2"/>
      <c r="N259" s="39"/>
      <c r="O259" s="2"/>
      <c r="P259" s="2"/>
    </row>
    <row r="260" spans="2:16" x14ac:dyDescent="0.25">
      <c r="B260" s="38" t="str">
        <f>IF($A260=0,"",VLOOKUP($A260,'BASE MATERIAL'!$A:$D,2))</f>
        <v/>
      </c>
      <c r="C260" s="2"/>
      <c r="D260" s="77"/>
      <c r="E260" s="78" t="str">
        <f>IF($A260=0,"",VLOOKUP($A260,'BASE MATERIAL'!$A:$D,3))</f>
        <v/>
      </c>
      <c r="F260" s="55"/>
      <c r="G260" s="55" t="str">
        <f>IF($A260=0,"",VLOOKUP($A260,'BASE MATERIAL'!$A:$D,4))</f>
        <v/>
      </c>
      <c r="H260" s="56" t="str">
        <f t="shared" si="24"/>
        <v/>
      </c>
      <c r="I260" s="2"/>
      <c r="L260" s="2"/>
      <c r="M260" s="2"/>
      <c r="N260" s="39"/>
      <c r="O260" s="2"/>
      <c r="P260" s="2"/>
    </row>
    <row r="261" spans="2:16" x14ac:dyDescent="0.25">
      <c r="B261" s="38" t="str">
        <f>IF($A261=0,"",VLOOKUP($A261,'BASE MATERIAL'!$A:$D,2))</f>
        <v/>
      </c>
      <c r="C261" s="2"/>
      <c r="D261" s="77"/>
      <c r="E261" s="78" t="str">
        <f>IF($A261=0,"",VLOOKUP($A261,'BASE MATERIAL'!$A:$D,3))</f>
        <v/>
      </c>
      <c r="F261" s="55"/>
      <c r="G261" s="55" t="str">
        <f>IF($A261=0,"",VLOOKUP($A261,'BASE MATERIAL'!$A:$D,4))</f>
        <v/>
      </c>
      <c r="H261" s="56" t="str">
        <f t="shared" si="24"/>
        <v/>
      </c>
      <c r="I261" s="2"/>
    </row>
    <row r="262" spans="2:16" x14ac:dyDescent="0.25">
      <c r="B262" s="38" t="str">
        <f>IF($A262=0,"",VLOOKUP($A262,'BASE MATERIAL'!$A:$D,2))</f>
        <v/>
      </c>
      <c r="C262" s="2"/>
      <c r="D262" s="77"/>
      <c r="E262" s="78" t="str">
        <f>IF($A262=0,"",VLOOKUP($A262,'BASE MATERIAL'!$A:$D,3))</f>
        <v/>
      </c>
      <c r="F262" s="55"/>
      <c r="G262" s="55" t="str">
        <f>IF($A262=0,"",VLOOKUP($A262,'BASE MATERIAL'!$A:$D,4))</f>
        <v/>
      </c>
      <c r="H262" s="56" t="str">
        <f t="shared" si="24"/>
        <v/>
      </c>
      <c r="I262" s="2"/>
      <c r="L262" s="2"/>
      <c r="M262" s="2"/>
      <c r="N262" s="39"/>
      <c r="O262" s="2"/>
      <c r="P262" s="2"/>
    </row>
    <row r="263" spans="2:16" x14ac:dyDescent="0.25">
      <c r="B263" s="38" t="str">
        <f>IF($A263=0,"",VLOOKUP($A263,'BASE MATERIAL'!$A:$D,2))</f>
        <v/>
      </c>
      <c r="C263" s="2"/>
      <c r="D263" s="77"/>
      <c r="E263" s="78" t="str">
        <f>IF($A263=0,"",VLOOKUP($A263,'BASE MATERIAL'!$A:$D,3))</f>
        <v/>
      </c>
      <c r="F263" s="55"/>
      <c r="G263" s="55" t="str">
        <f>IF($A263=0,"",VLOOKUP($A263,'BASE MATERIAL'!$A:$D,4))</f>
        <v/>
      </c>
      <c r="H263" s="56" t="str">
        <f t="shared" si="24"/>
        <v/>
      </c>
      <c r="I263" s="2"/>
      <c r="L263" s="2"/>
      <c r="M263" s="2"/>
      <c r="N263" s="39"/>
      <c r="O263" s="2"/>
      <c r="P263" s="2"/>
    </row>
    <row r="264" spans="2:16" x14ac:dyDescent="0.25">
      <c r="B264" s="38" t="str">
        <f>IF($A264=0,"",VLOOKUP($A264,'BASE MATERIAL'!$A:$D,2))</f>
        <v/>
      </c>
      <c r="C264" s="2"/>
      <c r="D264" s="77"/>
      <c r="E264" s="78" t="str">
        <f>IF($A264=0,"",VLOOKUP($A264,'BASE MATERIAL'!$A:$D,3))</f>
        <v/>
      </c>
      <c r="F264" s="55"/>
      <c r="G264" s="55" t="str">
        <f>IF($A264=0,"",VLOOKUP($A264,'BASE MATERIAL'!$A:$D,4))</f>
        <v/>
      </c>
      <c r="H264" s="56" t="str">
        <f t="shared" si="24"/>
        <v/>
      </c>
      <c r="I264" s="2"/>
    </row>
    <row r="265" spans="2:16" x14ac:dyDescent="0.25">
      <c r="B265" s="38" t="str">
        <f>IF($A265=0,"",VLOOKUP($A265,'BASE MATERIAL'!$A:$D,2))</f>
        <v/>
      </c>
      <c r="C265" s="2"/>
      <c r="D265" s="77"/>
      <c r="E265" s="78" t="str">
        <f>IF($A265=0,"",VLOOKUP($A265,'BASE MATERIAL'!$A:$D,3))</f>
        <v/>
      </c>
      <c r="F265" s="55"/>
      <c r="G265" s="55" t="str">
        <f>IF($A265=0,"",VLOOKUP($A265,'BASE MATERIAL'!$A:$D,4))</f>
        <v/>
      </c>
      <c r="H265" s="56" t="str">
        <f t="shared" si="24"/>
        <v/>
      </c>
      <c r="I265" s="2"/>
    </row>
    <row r="266" spans="2:16" x14ac:dyDescent="0.25">
      <c r="B266" s="38" t="str">
        <f>IF($A266=0,"",VLOOKUP($A266,'BASE MATERIAL'!$A:$D,2))</f>
        <v/>
      </c>
      <c r="C266" s="2"/>
      <c r="D266" s="77"/>
      <c r="E266" s="78" t="str">
        <f>IF($A266=0,"",VLOOKUP($A266,'BASE MATERIAL'!$A:$D,3))</f>
        <v/>
      </c>
      <c r="F266" s="55"/>
      <c r="G266" s="55" t="str">
        <f>IF($A266=0,"",VLOOKUP($A266,'BASE MATERIAL'!$A:$D,4))</f>
        <v/>
      </c>
      <c r="H266" s="56" t="str">
        <f t="shared" si="24"/>
        <v/>
      </c>
      <c r="I266" s="2"/>
    </row>
    <row r="267" spans="2:16" x14ac:dyDescent="0.25">
      <c r="B267" s="38" t="str">
        <f>IF($A267=0,"",VLOOKUP($A267,'BASE MATERIAL'!$A:$D,2))</f>
        <v/>
      </c>
      <c r="C267" s="2"/>
      <c r="D267" s="77"/>
      <c r="E267" s="78" t="str">
        <f>IF($A267=0,"",VLOOKUP($A267,'BASE MATERIAL'!$A:$D,3))</f>
        <v/>
      </c>
      <c r="F267" s="55"/>
      <c r="G267" s="55" t="str">
        <f>IF($A267=0,"",VLOOKUP($A267,'BASE MATERIAL'!$A:$D,4))</f>
        <v/>
      </c>
      <c r="H267" s="56" t="str">
        <f t="shared" si="24"/>
        <v/>
      </c>
      <c r="I267" s="2"/>
    </row>
    <row r="268" spans="2:16" x14ac:dyDescent="0.25">
      <c r="B268" s="38" t="str">
        <f>IF($A268=0,"",VLOOKUP($A268,'BASE MATERIAL'!$A:$D,2))</f>
        <v/>
      </c>
      <c r="C268" s="2"/>
      <c r="D268" s="81" t="s">
        <v>1682</v>
      </c>
      <c r="E268" s="55" t="str">
        <f>IF($A268=0,"",VLOOKUP($A268,'BASE MATERIAL'!$A:$D,3))</f>
        <v/>
      </c>
      <c r="F268" s="55" t="s">
        <v>1682</v>
      </c>
      <c r="G268" s="55" t="str">
        <f>IF($A268=0,"",VLOOKUP($A268,'BASE MATERIAL'!$A:$D,4))</f>
        <v/>
      </c>
      <c r="H268" s="56" t="str">
        <f>IF($A268=0,"",ROUND(E268*F268,2))</f>
        <v/>
      </c>
      <c r="I268" s="2"/>
    </row>
    <row r="269" spans="2:16" x14ac:dyDescent="0.25">
      <c r="B269" s="73" t="s">
        <v>1681</v>
      </c>
      <c r="C269" s="65"/>
      <c r="D269" s="74"/>
      <c r="E269" s="74"/>
      <c r="F269" s="74"/>
      <c r="G269" s="74"/>
      <c r="H269" s="75">
        <f>ROUND(SUM(H252:H268),2)</f>
        <v>63.04</v>
      </c>
      <c r="I269" s="2"/>
    </row>
    <row r="270" spans="2:16" x14ac:dyDescent="0.25">
      <c r="B270" s="38" t="s">
        <v>1680</v>
      </c>
      <c r="C270" s="2"/>
      <c r="D270" s="3"/>
      <c r="E270" s="3"/>
      <c r="F270" s="3"/>
      <c r="G270" s="3"/>
      <c r="H270" s="56"/>
      <c r="I270" s="2"/>
    </row>
    <row r="271" spans="2:16" ht="25.5" x14ac:dyDescent="0.25">
      <c r="B271" s="64" t="s">
        <v>1409</v>
      </c>
      <c r="C271" s="65"/>
      <c r="D271" s="76"/>
      <c r="E271" s="66" t="s">
        <v>1408</v>
      </c>
      <c r="F271" s="66" t="s">
        <v>1679</v>
      </c>
      <c r="G271" s="66" t="s">
        <v>1676</v>
      </c>
      <c r="H271" s="68" t="s">
        <v>1675</v>
      </c>
      <c r="I271" s="2"/>
    </row>
    <row r="272" spans="2:16" x14ac:dyDescent="0.25">
      <c r="B272" s="51" t="str">
        <f>IF($A272=0,"",VLOOKUP($A272,'BASE EQUIPO'!$A:$D,2))</f>
        <v/>
      </c>
      <c r="C272" s="52"/>
      <c r="D272" s="82"/>
      <c r="E272" s="78" t="str">
        <f>IF($A272=0,"",VLOOKUP($A272,'BASE EQUIPO'!$A:$D,3))</f>
        <v/>
      </c>
      <c r="F272" s="55"/>
      <c r="G272" s="83" t="str">
        <f>IF($A272=0,"",VLOOKUP($A272,'BASE EQUIPO'!$A:$D,4)*H269)</f>
        <v/>
      </c>
      <c r="H272" s="56" t="str">
        <f>IF($A272=0,"",ROUND(F272*G272,2))</f>
        <v/>
      </c>
      <c r="I272" s="2"/>
    </row>
    <row r="273" spans="1:15" x14ac:dyDescent="0.25">
      <c r="B273" s="38" t="str">
        <f>IF($A273=0,"",VLOOKUP($A273,'BASE EQUIPO'!$A:$D,2))</f>
        <v/>
      </c>
      <c r="C273" s="2"/>
      <c r="D273" s="84"/>
      <c r="E273" s="78" t="str">
        <f>IF($A273=0,"",VLOOKUP($A273,'BASE EQUIPO'!$A:$D,3))</f>
        <v/>
      </c>
      <c r="F273" s="55"/>
      <c r="G273" s="55" t="str">
        <f>IF($A273=0,"",VLOOKUP($A273,'BASE EQUIPO'!$A:$D,4)*H270)</f>
        <v/>
      </c>
      <c r="H273" s="56" t="str">
        <f>IF($A273=0,"",ROUND(F273*G273,2))</f>
        <v/>
      </c>
      <c r="I273" s="2"/>
    </row>
    <row r="274" spans="1:15" x14ac:dyDescent="0.25">
      <c r="B274" s="57" t="str">
        <f>IF($A274=0,"",VLOOKUP($A274,'BASE EQUIPO'!$A:$D,2))</f>
        <v/>
      </c>
      <c r="C274" s="58"/>
      <c r="D274" s="85"/>
      <c r="E274" s="86" t="str">
        <f>IF($A274=0,"",VLOOKUP($A274,'BASE EQUIPO'!$A:$D,3))</f>
        <v/>
      </c>
      <c r="F274" s="59"/>
      <c r="G274" s="59" t="str">
        <f>IF($A274=0,"",VLOOKUP($A274,'BASE EQUIPO'!$A:$D,4)*H271)</f>
        <v/>
      </c>
      <c r="H274" s="60" t="str">
        <f>IF($A274=0,"",ROUND(F274*G274,2))</f>
        <v/>
      </c>
      <c r="I274" s="2"/>
    </row>
    <row r="275" spans="1:15" ht="15.75" thickBot="1" x14ac:dyDescent="0.3">
      <c r="B275" s="87" t="s">
        <v>1674</v>
      </c>
      <c r="C275" s="88"/>
      <c r="D275" s="89"/>
      <c r="E275" s="89"/>
      <c r="F275" s="89"/>
      <c r="G275" s="89"/>
      <c r="H275" s="90">
        <f>ROUND(SUM(H271:H274),2)</f>
        <v>0</v>
      </c>
      <c r="I275" s="2"/>
    </row>
    <row r="276" spans="1:15" ht="15.75" x14ac:dyDescent="0.25">
      <c r="B276" s="2"/>
      <c r="C276" s="2"/>
      <c r="D276" s="91" t="s">
        <v>1673</v>
      </c>
      <c r="E276" s="47"/>
      <c r="F276" s="47"/>
      <c r="G276" s="47"/>
      <c r="H276" s="92">
        <f>ROUND(SUM(H275,H269,H250,H240),2)</f>
        <v>104.64</v>
      </c>
      <c r="I276" s="2"/>
    </row>
    <row r="277" spans="1:15" ht="15.75" x14ac:dyDescent="0.25">
      <c r="B277" s="2"/>
      <c r="C277" s="2"/>
      <c r="D277" s="93" t="s">
        <v>1672</v>
      </c>
      <c r="E277" s="65"/>
      <c r="F277" s="65"/>
      <c r="G277" s="94" t="str">
        <f>IF($A277=0,"",VLOOKUP($A277,'BASE MATERIAL'!$M:$P,4))</f>
        <v/>
      </c>
      <c r="H277" s="95" t="str">
        <f>IF($A277=0,"",ROUND(G277*H276,2))</f>
        <v/>
      </c>
      <c r="I277" s="2"/>
    </row>
    <row r="278" spans="1:15" ht="15.75" x14ac:dyDescent="0.25">
      <c r="B278" s="2"/>
      <c r="C278" s="2"/>
      <c r="D278" s="93" t="s">
        <v>1671</v>
      </c>
      <c r="E278" s="65"/>
      <c r="F278" s="65"/>
      <c r="G278" s="94" t="str">
        <f>IF($A278=0,"",VLOOKUP($A278,'BASE MATERIAL'!$M:$P,4))</f>
        <v/>
      </c>
      <c r="H278" s="95" t="str">
        <f>IF($A278=0,"",ROUND(G278*H276,2))</f>
        <v/>
      </c>
      <c r="I278" s="2"/>
    </row>
    <row r="279" spans="1:15" ht="15.75" x14ac:dyDescent="0.25">
      <c r="B279" s="2"/>
      <c r="C279" s="2"/>
      <c r="D279" s="93" t="s">
        <v>1670</v>
      </c>
      <c r="E279" s="65"/>
      <c r="F279" s="65"/>
      <c r="G279" s="65"/>
      <c r="H279" s="96">
        <f>ROUND(SUM(H276:H278),2)</f>
        <v>104.64</v>
      </c>
      <c r="I279" s="2"/>
    </row>
    <row r="280" spans="1:15" ht="16.5" thickBot="1" x14ac:dyDescent="0.3">
      <c r="B280" s="25"/>
      <c r="C280" s="2"/>
      <c r="D280" s="97" t="s">
        <v>1650</v>
      </c>
      <c r="E280" s="88"/>
      <c r="F280" s="88"/>
      <c r="G280" s="88"/>
      <c r="H280" s="98">
        <f>ROUND(H279,2)</f>
        <v>104.64</v>
      </c>
      <c r="I280" s="2"/>
    </row>
    <row r="281" spans="1:15" ht="15.75" x14ac:dyDescent="0.25">
      <c r="B281" s="34" t="s">
        <v>1701</v>
      </c>
      <c r="C281" s="2"/>
      <c r="D281" s="3" t="s">
        <v>1702</v>
      </c>
      <c r="E281" s="2"/>
      <c r="F281" s="2"/>
      <c r="H281" s="2" t="s">
        <v>108</v>
      </c>
      <c r="I281" s="2"/>
      <c r="L281" s="40">
        <f>A285</f>
        <v>7</v>
      </c>
      <c r="M281" s="1" t="str">
        <f>C286</f>
        <v xml:space="preserve">Revestimiento de meson en baños </v>
      </c>
      <c r="N281" s="2" t="str">
        <f>H285</f>
        <v>ml</v>
      </c>
      <c r="O281" s="2">
        <f>H336</f>
        <v>87.71</v>
      </c>
    </row>
    <row r="282" spans="1:15" ht="15.75" x14ac:dyDescent="0.25">
      <c r="B282" s="34" t="s">
        <v>1700</v>
      </c>
      <c r="C282" s="3">
        <f>'1.1'!$C$2</f>
        <v>0</v>
      </c>
      <c r="D282" s="2"/>
      <c r="E282" s="2"/>
      <c r="F282" s="2"/>
      <c r="G282" s="41" t="s">
        <v>1699</v>
      </c>
      <c r="H282" s="42"/>
      <c r="I282" s="2" t="s">
        <v>1698</v>
      </c>
    </row>
    <row r="283" spans="1:15" ht="15.75" x14ac:dyDescent="0.25">
      <c r="B283" s="34"/>
      <c r="C283" s="3">
        <f>'1.1'!$C$3</f>
        <v>0</v>
      </c>
      <c r="D283" s="2"/>
      <c r="E283" s="2"/>
      <c r="F283" s="2"/>
      <c r="G283" s="2"/>
      <c r="H283" s="2"/>
      <c r="I283" s="2"/>
    </row>
    <row r="284" spans="1:15" ht="15.75" x14ac:dyDescent="0.25">
      <c r="B284" s="34" t="s">
        <v>1697</v>
      </c>
      <c r="C284" s="3"/>
      <c r="D284" s="2"/>
      <c r="E284" s="2"/>
      <c r="F284" s="2"/>
      <c r="G284" s="2"/>
      <c r="H284" s="2"/>
      <c r="I284" s="2"/>
    </row>
    <row r="285" spans="1:15" x14ac:dyDescent="0.25">
      <c r="A285" s="104">
        <f>+A117+1</f>
        <v>7</v>
      </c>
      <c r="B285" s="2" t="s">
        <v>1586</v>
      </c>
      <c r="C285" s="36" t="s">
        <v>678</v>
      </c>
      <c r="D285" s="2"/>
      <c r="G285" s="2" t="s">
        <v>1696</v>
      </c>
      <c r="H285" s="3" t="s">
        <v>961</v>
      </c>
      <c r="I285" s="2"/>
    </row>
    <row r="286" spans="1:15" x14ac:dyDescent="0.25">
      <c r="B286" s="1" t="s">
        <v>1585</v>
      </c>
      <c r="C286" s="36" t="s">
        <v>75</v>
      </c>
      <c r="D286" s="2"/>
      <c r="E286" s="2"/>
      <c r="F286" s="2"/>
      <c r="G286" s="2"/>
      <c r="H286" s="2"/>
      <c r="I286" s="2"/>
    </row>
    <row r="287" spans="1:15" ht="15.75" thickBot="1" x14ac:dyDescent="0.3">
      <c r="D287" s="2"/>
      <c r="E287" s="2"/>
      <c r="F287" s="2"/>
      <c r="G287" s="2"/>
      <c r="H287" s="2"/>
      <c r="I287" s="2"/>
    </row>
    <row r="288" spans="1:15" ht="15.75" thickBot="1" x14ac:dyDescent="0.3">
      <c r="B288" s="43" t="s">
        <v>1695</v>
      </c>
      <c r="C288" s="44"/>
      <c r="D288" s="44"/>
      <c r="E288" s="44"/>
      <c r="F288" s="44"/>
      <c r="G288" s="44"/>
      <c r="H288" s="45"/>
      <c r="I288" s="2"/>
    </row>
    <row r="289" spans="1:9" ht="25.5" x14ac:dyDescent="0.25">
      <c r="B289" s="46" t="s">
        <v>1409</v>
      </c>
      <c r="C289" s="47"/>
      <c r="D289" s="48" t="s">
        <v>1690</v>
      </c>
      <c r="E289" s="48" t="s">
        <v>1694</v>
      </c>
      <c r="F289" s="48" t="s">
        <v>1693</v>
      </c>
      <c r="G289" s="49" t="s">
        <v>1687</v>
      </c>
      <c r="H289" s="50" t="s">
        <v>1686</v>
      </c>
      <c r="I289" s="2"/>
    </row>
    <row r="290" spans="1:9" x14ac:dyDescent="0.25">
      <c r="A290" s="103">
        <v>19015</v>
      </c>
      <c r="B290" s="51" t="str">
        <f>IF($A290=0,"",VLOOKUP($A290,'BASE EQUIPO'!$A:$D,2))</f>
        <v>HERRAMIENTA MENOR</v>
      </c>
      <c r="C290" s="52"/>
      <c r="D290" s="53">
        <v>1</v>
      </c>
      <c r="E290" s="53">
        <f>IF($A290=0,"",VLOOKUP($A290,'BASE EQUIPO'!$A:$D,4)*H306)</f>
        <v>1.0097999999999998</v>
      </c>
      <c r="F290" s="53">
        <f t="shared" ref="F290:F295" si="25">IF($A290=0,"",ROUND(D290*E290,2))</f>
        <v>1.01</v>
      </c>
      <c r="G290" s="105">
        <v>1</v>
      </c>
      <c r="H290" s="54">
        <f t="shared" ref="H290:H295" si="26">IF($A290=0,"",ROUND(G290*F290,2))</f>
        <v>1.01</v>
      </c>
      <c r="I290" s="2"/>
    </row>
    <row r="291" spans="1:9" x14ac:dyDescent="0.25">
      <c r="B291" s="38" t="str">
        <f>IF($A291=0,"",VLOOKUP($A291,'BASE EQUIPO'!$A:$D,2))</f>
        <v/>
      </c>
      <c r="C291" s="2"/>
      <c r="D291" s="55"/>
      <c r="E291" s="55" t="str">
        <f>IF($A291=0,"",VLOOKUP($A291,'BASE EQUIPO'!$A:$D,4))</f>
        <v/>
      </c>
      <c r="F291" s="55" t="str">
        <f t="shared" si="25"/>
        <v/>
      </c>
      <c r="G291" s="106"/>
      <c r="H291" s="56" t="str">
        <f t="shared" si="26"/>
        <v/>
      </c>
      <c r="I291" s="2"/>
    </row>
    <row r="292" spans="1:9" x14ac:dyDescent="0.25">
      <c r="B292" s="38" t="str">
        <f>IF($A292=0,"",VLOOKUP($A292,'BASE EQUIPO'!$A:$D,2))</f>
        <v/>
      </c>
      <c r="C292" s="2"/>
      <c r="D292" s="55"/>
      <c r="E292" s="55" t="str">
        <f>IF($A292=0,"",VLOOKUP($A292,'BASE EQUIPO'!$A:$D,4))</f>
        <v/>
      </c>
      <c r="F292" s="55" t="str">
        <f t="shared" si="25"/>
        <v/>
      </c>
      <c r="G292" s="106"/>
      <c r="H292" s="56" t="str">
        <f t="shared" si="26"/>
        <v/>
      </c>
      <c r="I292" s="2"/>
    </row>
    <row r="293" spans="1:9" x14ac:dyDescent="0.25">
      <c r="B293" s="38" t="str">
        <f>IF($A293=0,"",VLOOKUP($A293,'BASE EQUIPO'!$A:$D,2))</f>
        <v/>
      </c>
      <c r="C293" s="2"/>
      <c r="D293" s="55"/>
      <c r="E293" s="55" t="str">
        <f>IF($A293=0,"",VLOOKUP($A293,'BASE EQUIPO'!$A:$D,4))</f>
        <v/>
      </c>
      <c r="F293" s="55" t="str">
        <f t="shared" si="25"/>
        <v/>
      </c>
      <c r="G293" s="106"/>
      <c r="H293" s="56" t="str">
        <f t="shared" si="26"/>
        <v/>
      </c>
      <c r="I293" s="2"/>
    </row>
    <row r="294" spans="1:9" x14ac:dyDescent="0.25">
      <c r="B294" s="38" t="str">
        <f>IF($A294=0,"",VLOOKUP($A294,'BASE EQUIPO'!$A:$D,2))</f>
        <v/>
      </c>
      <c r="C294" s="2"/>
      <c r="D294" s="55"/>
      <c r="E294" s="55" t="str">
        <f>IF($A294=0,"",VLOOKUP($A294,'BASE EQUIPO'!$A:$D,4))</f>
        <v/>
      </c>
      <c r="F294" s="55" t="str">
        <f t="shared" si="25"/>
        <v/>
      </c>
      <c r="G294" s="106"/>
      <c r="H294" s="56" t="str">
        <f t="shared" si="26"/>
        <v/>
      </c>
      <c r="I294" s="2"/>
    </row>
    <row r="295" spans="1:9" x14ac:dyDescent="0.25">
      <c r="B295" s="57" t="str">
        <f>IF($A295=0,"",VLOOKUP($A295,'BASE EQUIPO'!$A:$D,2))</f>
        <v/>
      </c>
      <c r="C295" s="58"/>
      <c r="D295" s="59"/>
      <c r="E295" s="59" t="str">
        <f>IF($A295=0,"",VLOOKUP($A295,'BASE EQUIPO'!$A:$D,4))</f>
        <v/>
      </c>
      <c r="F295" s="59" t="str">
        <f t="shared" si="25"/>
        <v/>
      </c>
      <c r="G295" s="107"/>
      <c r="H295" s="60" t="str">
        <f t="shared" si="26"/>
        <v/>
      </c>
      <c r="I295" s="2"/>
    </row>
    <row r="296" spans="1:9" x14ac:dyDescent="0.25">
      <c r="B296" s="57" t="s">
        <v>1692</v>
      </c>
      <c r="C296" s="58"/>
      <c r="D296" s="61"/>
      <c r="E296" s="61"/>
      <c r="F296" s="61"/>
      <c r="G296" s="62"/>
      <c r="H296" s="60">
        <f>ROUND(SUM(H289:H295),2)</f>
        <v>1.01</v>
      </c>
      <c r="I296" s="2"/>
    </row>
    <row r="297" spans="1:9" x14ac:dyDescent="0.25">
      <c r="B297" s="38" t="s">
        <v>1503</v>
      </c>
      <c r="C297" s="2"/>
      <c r="D297" s="3"/>
      <c r="E297" s="3"/>
      <c r="F297" s="3"/>
      <c r="G297" s="63"/>
      <c r="H297" s="56"/>
      <c r="I297" s="2"/>
    </row>
    <row r="298" spans="1:9" ht="25.5" x14ac:dyDescent="0.25">
      <c r="B298" s="64" t="s">
        <v>1691</v>
      </c>
      <c r="C298" s="65"/>
      <c r="D298" s="66" t="s">
        <v>1690</v>
      </c>
      <c r="E298" s="66" t="s">
        <v>1689</v>
      </c>
      <c r="F298" s="66" t="s">
        <v>1688</v>
      </c>
      <c r="G298" s="67" t="s">
        <v>1687</v>
      </c>
      <c r="H298" s="68" t="s">
        <v>1686</v>
      </c>
      <c r="I298" s="2"/>
    </row>
    <row r="299" spans="1:9" x14ac:dyDescent="0.25">
      <c r="A299" s="103">
        <v>20001</v>
      </c>
      <c r="B299" s="69" t="str">
        <f>IF($A299=0,"",VLOOKUP($A299,'BASE M-OBRA'!$A:$D,2))</f>
        <v>MAESTRO</v>
      </c>
      <c r="C299" s="2"/>
      <c r="D299" s="108">
        <v>1</v>
      </c>
      <c r="E299" s="70">
        <f>IF($A299=0,"",VLOOKUP($A299,'BASE M-OBRA'!$A:$D,4))</f>
        <v>3.02</v>
      </c>
      <c r="F299" s="55">
        <f t="shared" ref="F299:F305" si="27">IF($A299=0,"",ROUND(D299*E299,2))</f>
        <v>3.02</v>
      </c>
      <c r="G299" s="106">
        <f>IF($A299=0,"",ROUND(H299/F299,2))</f>
        <v>1.86</v>
      </c>
      <c r="H299" s="56">
        <f>IF($A299=0,"",ROUND(SUM(H300:H305)*'BASE M-OBRA'!$D$23,2))</f>
        <v>5.61</v>
      </c>
      <c r="I299" s="2"/>
    </row>
    <row r="300" spans="1:9" x14ac:dyDescent="0.25">
      <c r="A300" s="103">
        <v>20002</v>
      </c>
      <c r="B300" s="69" t="str">
        <f>IF($A300=0,"",VLOOKUP($A300,'BASE M-OBRA'!$A:$D,2))</f>
        <v>PEON</v>
      </c>
      <c r="C300" s="2"/>
      <c r="D300" s="108">
        <v>1</v>
      </c>
      <c r="E300" s="70">
        <f>IF($A300=0,"",VLOOKUP($A300,'BASE M-OBRA'!$A:$D,4))</f>
        <v>2.79</v>
      </c>
      <c r="F300" s="55">
        <f t="shared" si="27"/>
        <v>2.79</v>
      </c>
      <c r="G300" s="106">
        <v>5</v>
      </c>
      <c r="H300" s="56">
        <f t="shared" ref="H300:H305" si="28">IF($A300=0,"",ROUND(G300*F300,2))</f>
        <v>13.95</v>
      </c>
      <c r="I300" s="2"/>
    </row>
    <row r="301" spans="1:9" x14ac:dyDescent="0.25">
      <c r="A301" s="103">
        <v>20003</v>
      </c>
      <c r="B301" s="69" t="str">
        <f>IF($A301=0,"",VLOOKUP($A301,'BASE M-OBRA'!$A:$D,2))</f>
        <v>ALBAÑIL</v>
      </c>
      <c r="C301" s="2"/>
      <c r="D301" s="108">
        <v>1</v>
      </c>
      <c r="E301" s="70">
        <f>IF($A301=0,"",VLOOKUP($A301,'BASE M-OBRA'!$A:$D,4))</f>
        <v>2.82</v>
      </c>
      <c r="F301" s="55">
        <f t="shared" si="27"/>
        <v>2.82</v>
      </c>
      <c r="G301" s="106">
        <f>+G300</f>
        <v>5</v>
      </c>
      <c r="H301" s="56">
        <f t="shared" si="28"/>
        <v>14.1</v>
      </c>
      <c r="I301" s="2"/>
    </row>
    <row r="302" spans="1:9" x14ac:dyDescent="0.25">
      <c r="B302" s="71" t="str">
        <f>IF($A302=0,"",VLOOKUP($A302,'BASE M-OBRA'!$A:$D,2))</f>
        <v/>
      </c>
      <c r="C302" s="2"/>
      <c r="D302" s="108"/>
      <c r="E302" s="70" t="str">
        <f>IF($A302=0,"",VLOOKUP($A302,'BASE M-OBRA'!$A:$D,4))</f>
        <v/>
      </c>
      <c r="F302" s="55" t="str">
        <f t="shared" si="27"/>
        <v/>
      </c>
      <c r="G302" s="106"/>
      <c r="H302" s="56" t="str">
        <f t="shared" si="28"/>
        <v/>
      </c>
      <c r="I302" s="2"/>
    </row>
    <row r="303" spans="1:9" x14ac:dyDescent="0.25">
      <c r="B303" s="72" t="str">
        <f>IF($A303=0,"",VLOOKUP($A303,'BASE M-OBRA'!$A:$D,2))</f>
        <v/>
      </c>
      <c r="C303" s="2"/>
      <c r="D303" s="108"/>
      <c r="E303" s="70" t="str">
        <f>IF($A303=0,"",VLOOKUP($A303,'BASE M-OBRA'!$A:$D,4))</f>
        <v/>
      </c>
      <c r="F303" s="55" t="str">
        <f t="shared" si="27"/>
        <v/>
      </c>
      <c r="G303" s="106"/>
      <c r="H303" s="56" t="str">
        <f t="shared" si="28"/>
        <v/>
      </c>
      <c r="I303" s="2"/>
    </row>
    <row r="304" spans="1:9" x14ac:dyDescent="0.25">
      <c r="B304" s="38" t="str">
        <f>IF($A304=0,"",VLOOKUP($A304,'BASE M-OBRA'!$A:$D,2))</f>
        <v/>
      </c>
      <c r="C304" s="2"/>
      <c r="D304" s="55"/>
      <c r="E304" s="55" t="str">
        <f>IF($A304=0,"",VLOOKUP($A304,'BASE M-OBRA'!$A:$D,4))</f>
        <v/>
      </c>
      <c r="F304" s="55" t="str">
        <f t="shared" si="27"/>
        <v/>
      </c>
      <c r="G304" s="106"/>
      <c r="H304" s="56" t="str">
        <f t="shared" si="28"/>
        <v/>
      </c>
      <c r="I304" s="2"/>
    </row>
    <row r="305" spans="1:16" x14ac:dyDescent="0.25">
      <c r="B305" s="57" t="str">
        <f>IF($A305=0,"",VLOOKUP($A305,'BASE M-OBRA'!$A:$D,2))</f>
        <v/>
      </c>
      <c r="C305" s="58"/>
      <c r="D305" s="59"/>
      <c r="E305" s="59" t="str">
        <f>IF($A305=0,"",VLOOKUP($A305,'BASE M-OBRA'!$A:$D,4))</f>
        <v/>
      </c>
      <c r="F305" s="59" t="str">
        <f t="shared" si="27"/>
        <v/>
      </c>
      <c r="G305" s="107"/>
      <c r="H305" s="60" t="str">
        <f t="shared" si="28"/>
        <v/>
      </c>
      <c r="I305" s="2"/>
    </row>
    <row r="306" spans="1:16" x14ac:dyDescent="0.25">
      <c r="B306" s="73" t="s">
        <v>1685</v>
      </c>
      <c r="C306" s="65"/>
      <c r="D306" s="74"/>
      <c r="E306" s="74"/>
      <c r="F306" s="74"/>
      <c r="G306" s="74"/>
      <c r="H306" s="75">
        <f>ROUND(SUM(H298:H305),2)</f>
        <v>33.659999999999997</v>
      </c>
      <c r="I306" s="2"/>
    </row>
    <row r="307" spans="1:16" x14ac:dyDescent="0.25">
      <c r="B307" s="38" t="s">
        <v>1684</v>
      </c>
      <c r="C307" s="2"/>
      <c r="D307" s="3"/>
      <c r="E307" s="3"/>
      <c r="F307" s="3"/>
      <c r="G307" s="3"/>
      <c r="H307" s="56"/>
      <c r="I307" s="2"/>
    </row>
    <row r="308" spans="1:16" ht="25.5" x14ac:dyDescent="0.25">
      <c r="B308" s="64" t="s">
        <v>1409</v>
      </c>
      <c r="C308" s="65"/>
      <c r="D308" s="76"/>
      <c r="E308" s="66" t="s">
        <v>1408</v>
      </c>
      <c r="F308" s="66" t="s">
        <v>1679</v>
      </c>
      <c r="G308" s="66" t="s">
        <v>1683</v>
      </c>
      <c r="H308" s="68" t="s">
        <v>1675</v>
      </c>
      <c r="I308" s="2"/>
    </row>
    <row r="309" spans="1:16" x14ac:dyDescent="0.25">
      <c r="A309" s="103">
        <v>7018</v>
      </c>
      <c r="B309" s="37" t="s">
        <v>864</v>
      </c>
      <c r="C309" s="2"/>
      <c r="D309" s="77"/>
      <c r="E309" s="78" t="s">
        <v>961</v>
      </c>
      <c r="F309" s="55">
        <v>1</v>
      </c>
      <c r="G309" s="55">
        <v>48</v>
      </c>
      <c r="H309" s="56">
        <f t="shared" ref="H309:H323" si="29">IF($A309=0,"",ROUND(F309*G309,2))</f>
        <v>48</v>
      </c>
      <c r="I309" s="2"/>
      <c r="L309" s="2"/>
      <c r="M309" s="2"/>
      <c r="N309" s="39"/>
      <c r="O309" s="2"/>
      <c r="P309" s="2"/>
    </row>
    <row r="310" spans="1:16" x14ac:dyDescent="0.25">
      <c r="A310" s="103">
        <v>14013</v>
      </c>
      <c r="B310" s="38" t="s">
        <v>1669</v>
      </c>
      <c r="C310" s="2"/>
      <c r="D310" s="77"/>
      <c r="E310" s="78" t="s">
        <v>961</v>
      </c>
      <c r="F310" s="55">
        <v>1</v>
      </c>
      <c r="G310" s="55">
        <f>4.5*1.12</f>
        <v>5.0400000000000009</v>
      </c>
      <c r="H310" s="56">
        <f t="shared" si="29"/>
        <v>5.04</v>
      </c>
      <c r="I310" s="2"/>
      <c r="L310" s="2"/>
      <c r="M310" s="2"/>
      <c r="N310" s="39"/>
      <c r="O310" s="2"/>
      <c r="P310" s="2"/>
    </row>
    <row r="311" spans="1:16" x14ac:dyDescent="0.25">
      <c r="B311" s="38" t="str">
        <f>IF($A311=0,"",VLOOKUP($A311,'BASE MATERIAL'!$A:$D,2))</f>
        <v/>
      </c>
      <c r="C311" s="2"/>
      <c r="D311" s="77"/>
      <c r="E311" s="78" t="str">
        <f>IF($A311=0,"",VLOOKUP($A311,'BASE MATERIAL'!$A:$D,3))</f>
        <v/>
      </c>
      <c r="F311" s="55"/>
      <c r="G311" s="55" t="str">
        <f>IF($A311=0,"",VLOOKUP($A311,'BASE MATERIAL'!$A:$D,4))</f>
        <v/>
      </c>
      <c r="H311" s="56" t="str">
        <f t="shared" si="29"/>
        <v/>
      </c>
      <c r="I311" s="2"/>
      <c r="L311" s="2"/>
      <c r="M311" s="2"/>
      <c r="N311" s="39"/>
      <c r="O311" s="2"/>
      <c r="P311" s="2"/>
    </row>
    <row r="312" spans="1:16" x14ac:dyDescent="0.25">
      <c r="B312" s="38" t="str">
        <f>IF($A312=0,"",VLOOKUP($A312,'BASE MATERIAL'!$A:$D,2))</f>
        <v/>
      </c>
      <c r="C312" s="2"/>
      <c r="D312" s="77"/>
      <c r="E312" s="78" t="str">
        <f>IF($A312=0,"",VLOOKUP($A312,'BASE MATERIAL'!$A:$D,3))</f>
        <v/>
      </c>
      <c r="F312" s="55"/>
      <c r="G312" s="55" t="str">
        <f>IF($A312=0,"",VLOOKUP($A312,'BASE MATERIAL'!$A:$D,4))</f>
        <v/>
      </c>
      <c r="H312" s="56" t="str">
        <f t="shared" si="29"/>
        <v/>
      </c>
      <c r="I312" s="2"/>
      <c r="L312" s="2"/>
      <c r="M312" s="2"/>
      <c r="N312" s="39"/>
      <c r="O312" s="2"/>
      <c r="P312" s="2"/>
    </row>
    <row r="313" spans="1:16" x14ac:dyDescent="0.25">
      <c r="B313" s="38" t="str">
        <f>IF($A313=0,"",VLOOKUP($A313,'BASE MATERIAL'!$A:$D,2))</f>
        <v/>
      </c>
      <c r="C313" s="2"/>
      <c r="D313" s="77"/>
      <c r="E313" s="78" t="str">
        <f>IF($A313=0,"",VLOOKUP($A313,'BASE MATERIAL'!$A:$D,3))</f>
        <v/>
      </c>
      <c r="F313" s="55"/>
      <c r="G313" s="55" t="str">
        <f>IF($A313=0,"",VLOOKUP($A313,'BASE MATERIAL'!$A:$D,4))</f>
        <v/>
      </c>
      <c r="H313" s="56" t="str">
        <f t="shared" si="29"/>
        <v/>
      </c>
      <c r="I313" s="2"/>
      <c r="L313" s="2"/>
      <c r="M313" s="2"/>
      <c r="N313" s="39"/>
      <c r="O313" s="2"/>
      <c r="P313" s="2"/>
    </row>
    <row r="314" spans="1:16" x14ac:dyDescent="0.25">
      <c r="B314" s="38" t="str">
        <f>IF($A314=0,"",VLOOKUP($A314,'BASE MATERIAL'!$A:$D,2))</f>
        <v/>
      </c>
      <c r="C314" s="2"/>
      <c r="D314" s="77"/>
      <c r="E314" s="78" t="str">
        <f>IF($A314=0,"",VLOOKUP($A314,'BASE MATERIAL'!$A:$D,3))</f>
        <v/>
      </c>
      <c r="F314" s="55"/>
      <c r="G314" s="80" t="str">
        <f>IF($A314=0,"",VLOOKUP($A314,'BASE MATERIAL'!$A:$D,4))</f>
        <v/>
      </c>
      <c r="H314" s="56" t="str">
        <f t="shared" si="29"/>
        <v/>
      </c>
      <c r="I314" s="2"/>
      <c r="L314" s="2"/>
      <c r="M314" s="2"/>
      <c r="N314" s="39"/>
      <c r="O314" s="2"/>
      <c r="P314" s="2"/>
    </row>
    <row r="315" spans="1:16" x14ac:dyDescent="0.25">
      <c r="B315" s="38" t="str">
        <f>IF($A315=0,"",VLOOKUP($A315,'BASE MATERIAL'!$A:$D,2))</f>
        <v/>
      </c>
      <c r="C315" s="2"/>
      <c r="D315" s="77"/>
      <c r="E315" s="78" t="str">
        <f>IF($A315=0,"",VLOOKUP($A315,'BASE MATERIAL'!$A:$D,3))</f>
        <v/>
      </c>
      <c r="F315" s="55"/>
      <c r="G315" s="55" t="str">
        <f>IF($A315=0,"",VLOOKUP($A315,'BASE MATERIAL'!$A:$D,4))</f>
        <v/>
      </c>
      <c r="H315" s="56" t="str">
        <f t="shared" si="29"/>
        <v/>
      </c>
      <c r="I315" s="2"/>
      <c r="L315" s="2"/>
      <c r="M315" s="2"/>
      <c r="N315" s="39"/>
      <c r="O315" s="2"/>
      <c r="P315" s="2"/>
    </row>
    <row r="316" spans="1:16" x14ac:dyDescent="0.25">
      <c r="B316" s="38" t="str">
        <f>IF($A316=0,"",VLOOKUP($A316,'BASE MATERIAL'!$A:$D,2))</f>
        <v/>
      </c>
      <c r="C316" s="2"/>
      <c r="D316" s="77"/>
      <c r="E316" s="78" t="str">
        <f>IF($A316=0,"",VLOOKUP($A316,'BASE MATERIAL'!$A:$D,3))</f>
        <v/>
      </c>
      <c r="F316" s="55"/>
      <c r="G316" s="55" t="str">
        <f>IF($A316=0,"",VLOOKUP($A316,'BASE MATERIAL'!$A:$D,4))</f>
        <v/>
      </c>
      <c r="H316" s="56" t="str">
        <f t="shared" si="29"/>
        <v/>
      </c>
      <c r="I316" s="2"/>
      <c r="L316" s="2"/>
      <c r="M316" s="2"/>
      <c r="N316" s="39"/>
      <c r="O316" s="2"/>
      <c r="P316" s="2"/>
    </row>
    <row r="317" spans="1:16" x14ac:dyDescent="0.25">
      <c r="B317" s="38" t="str">
        <f>IF($A317=0,"",VLOOKUP($A317,'BASE MATERIAL'!$A:$D,2))</f>
        <v/>
      </c>
      <c r="C317" s="2"/>
      <c r="D317" s="77"/>
      <c r="E317" s="78" t="str">
        <f>IF($A317=0,"",VLOOKUP($A317,'BASE MATERIAL'!$A:$D,3))</f>
        <v/>
      </c>
      <c r="F317" s="55"/>
      <c r="G317" s="55" t="str">
        <f>IF($A317=0,"",VLOOKUP($A317,'BASE MATERIAL'!$A:$D,4))</f>
        <v/>
      </c>
      <c r="H317" s="56" t="str">
        <f t="shared" si="29"/>
        <v/>
      </c>
      <c r="I317" s="2"/>
    </row>
    <row r="318" spans="1:16" x14ac:dyDescent="0.25">
      <c r="B318" s="38" t="str">
        <f>IF($A318=0,"",VLOOKUP($A318,'BASE MATERIAL'!$A:$D,2))</f>
        <v/>
      </c>
      <c r="C318" s="2"/>
      <c r="D318" s="77"/>
      <c r="E318" s="78" t="str">
        <f>IF($A318=0,"",VLOOKUP($A318,'BASE MATERIAL'!$A:$D,3))</f>
        <v/>
      </c>
      <c r="F318" s="55"/>
      <c r="G318" s="55" t="str">
        <f>IF($A318=0,"",VLOOKUP($A318,'BASE MATERIAL'!$A:$D,4))</f>
        <v/>
      </c>
      <c r="H318" s="56" t="str">
        <f t="shared" si="29"/>
        <v/>
      </c>
      <c r="I318" s="2"/>
      <c r="L318" s="2"/>
      <c r="M318" s="2"/>
      <c r="N318" s="39"/>
      <c r="O318" s="2"/>
      <c r="P318" s="2"/>
    </row>
    <row r="319" spans="1:16" x14ac:dyDescent="0.25">
      <c r="B319" s="38" t="str">
        <f>IF($A319=0,"",VLOOKUP($A319,'BASE MATERIAL'!$A:$D,2))</f>
        <v/>
      </c>
      <c r="C319" s="2"/>
      <c r="D319" s="77"/>
      <c r="E319" s="78" t="str">
        <f>IF($A319=0,"",VLOOKUP($A319,'BASE MATERIAL'!$A:$D,3))</f>
        <v/>
      </c>
      <c r="F319" s="55"/>
      <c r="G319" s="55" t="str">
        <f>IF($A319=0,"",VLOOKUP($A319,'BASE MATERIAL'!$A:$D,4))</f>
        <v/>
      </c>
      <c r="H319" s="56" t="str">
        <f t="shared" si="29"/>
        <v/>
      </c>
      <c r="I319" s="2"/>
      <c r="L319" s="2"/>
      <c r="M319" s="2"/>
      <c r="N319" s="39"/>
      <c r="O319" s="2"/>
      <c r="P319" s="2"/>
    </row>
    <row r="320" spans="1:16" x14ac:dyDescent="0.25">
      <c r="B320" s="38" t="str">
        <f>IF($A320=0,"",VLOOKUP($A320,'BASE MATERIAL'!$A:$D,2))</f>
        <v/>
      </c>
      <c r="C320" s="2"/>
      <c r="D320" s="77"/>
      <c r="E320" s="78" t="str">
        <f>IF($A320=0,"",VLOOKUP($A320,'BASE MATERIAL'!$A:$D,3))</f>
        <v/>
      </c>
      <c r="F320" s="55"/>
      <c r="G320" s="55" t="str">
        <f>IF($A320=0,"",VLOOKUP($A320,'BASE MATERIAL'!$A:$D,4))</f>
        <v/>
      </c>
      <c r="H320" s="56" t="str">
        <f t="shared" si="29"/>
        <v/>
      </c>
      <c r="I320" s="2"/>
    </row>
    <row r="321" spans="2:9" x14ac:dyDescent="0.25">
      <c r="B321" s="38" t="str">
        <f>IF($A321=0,"",VLOOKUP($A321,'BASE MATERIAL'!$A:$D,2))</f>
        <v/>
      </c>
      <c r="C321" s="2"/>
      <c r="D321" s="77"/>
      <c r="E321" s="78" t="str">
        <f>IF($A321=0,"",VLOOKUP($A321,'BASE MATERIAL'!$A:$D,3))</f>
        <v/>
      </c>
      <c r="F321" s="55"/>
      <c r="G321" s="55" t="str">
        <f>IF($A321=0,"",VLOOKUP($A321,'BASE MATERIAL'!$A:$D,4))</f>
        <v/>
      </c>
      <c r="H321" s="56" t="str">
        <f t="shared" si="29"/>
        <v/>
      </c>
      <c r="I321" s="2"/>
    </row>
    <row r="322" spans="2:9" x14ac:dyDescent="0.25">
      <c r="B322" s="38" t="str">
        <f>IF($A322=0,"",VLOOKUP($A322,'BASE MATERIAL'!$A:$D,2))</f>
        <v/>
      </c>
      <c r="C322" s="2"/>
      <c r="D322" s="77"/>
      <c r="E322" s="78" t="str">
        <f>IF($A322=0,"",VLOOKUP($A322,'BASE MATERIAL'!$A:$D,3))</f>
        <v/>
      </c>
      <c r="F322" s="55"/>
      <c r="G322" s="55" t="str">
        <f>IF($A322=0,"",VLOOKUP($A322,'BASE MATERIAL'!$A:$D,4))</f>
        <v/>
      </c>
      <c r="H322" s="56" t="str">
        <f t="shared" si="29"/>
        <v/>
      </c>
      <c r="I322" s="2"/>
    </row>
    <row r="323" spans="2:9" x14ac:dyDescent="0.25">
      <c r="B323" s="38" t="str">
        <f>IF($A323=0,"",VLOOKUP($A323,'BASE MATERIAL'!$A:$D,2))</f>
        <v/>
      </c>
      <c r="C323" s="2"/>
      <c r="D323" s="77"/>
      <c r="E323" s="78" t="str">
        <f>IF($A323=0,"",VLOOKUP($A323,'BASE MATERIAL'!$A:$D,3))</f>
        <v/>
      </c>
      <c r="F323" s="55"/>
      <c r="G323" s="55" t="str">
        <f>IF($A323=0,"",VLOOKUP($A323,'BASE MATERIAL'!$A:$D,4))</f>
        <v/>
      </c>
      <c r="H323" s="56" t="str">
        <f t="shared" si="29"/>
        <v/>
      </c>
      <c r="I323" s="2"/>
    </row>
    <row r="324" spans="2:9" x14ac:dyDescent="0.25">
      <c r="B324" s="38" t="str">
        <f>IF($A324=0,"",VLOOKUP($A324,'BASE MATERIAL'!$A:$D,2))</f>
        <v/>
      </c>
      <c r="C324" s="2"/>
      <c r="D324" s="81" t="s">
        <v>1682</v>
      </c>
      <c r="E324" s="55" t="str">
        <f>IF($A324=0,"",VLOOKUP($A324,'BASE MATERIAL'!$A:$D,3))</f>
        <v/>
      </c>
      <c r="F324" s="55" t="s">
        <v>1682</v>
      </c>
      <c r="G324" s="55" t="str">
        <f>IF($A324=0,"",VLOOKUP($A324,'BASE MATERIAL'!$A:$D,4))</f>
        <v/>
      </c>
      <c r="H324" s="56" t="str">
        <f>IF($A324=0,"",ROUND(E324*F324,2))</f>
        <v/>
      </c>
      <c r="I324" s="2"/>
    </row>
    <row r="325" spans="2:9" x14ac:dyDescent="0.25">
      <c r="B325" s="73" t="s">
        <v>1681</v>
      </c>
      <c r="C325" s="65"/>
      <c r="D325" s="74"/>
      <c r="E325" s="74"/>
      <c r="F325" s="74"/>
      <c r="G325" s="74"/>
      <c r="H325" s="75">
        <f>ROUND(SUM(H308:H324),2)</f>
        <v>53.04</v>
      </c>
      <c r="I325" s="2"/>
    </row>
    <row r="326" spans="2:9" x14ac:dyDescent="0.25">
      <c r="B326" s="38" t="s">
        <v>1680</v>
      </c>
      <c r="C326" s="2"/>
      <c r="D326" s="3"/>
      <c r="E326" s="3"/>
      <c r="F326" s="3"/>
      <c r="G326" s="3"/>
      <c r="H326" s="56"/>
      <c r="I326" s="2"/>
    </row>
    <row r="327" spans="2:9" ht="25.5" x14ac:dyDescent="0.25">
      <c r="B327" s="64" t="s">
        <v>1409</v>
      </c>
      <c r="C327" s="65"/>
      <c r="D327" s="76"/>
      <c r="E327" s="66" t="s">
        <v>1408</v>
      </c>
      <c r="F327" s="66" t="s">
        <v>1679</v>
      </c>
      <c r="G327" s="66" t="s">
        <v>1676</v>
      </c>
      <c r="H327" s="68" t="s">
        <v>1675</v>
      </c>
      <c r="I327" s="2"/>
    </row>
    <row r="328" spans="2:9" x14ac:dyDescent="0.25">
      <c r="B328" s="51" t="str">
        <f>IF($A328=0,"",VLOOKUP($A328,'BASE EQUIPO'!$A:$D,2))</f>
        <v/>
      </c>
      <c r="C328" s="52"/>
      <c r="D328" s="82"/>
      <c r="E328" s="78" t="str">
        <f>IF($A328=0,"",VLOOKUP($A328,'BASE EQUIPO'!$A:$D,3))</f>
        <v/>
      </c>
      <c r="F328" s="55"/>
      <c r="G328" s="83" t="str">
        <f>IF($A328=0,"",VLOOKUP($A328,'BASE EQUIPO'!$A:$D,4)*H325)</f>
        <v/>
      </c>
      <c r="H328" s="56" t="str">
        <f>IF($A328=0,"",ROUND(F328*G328,2))</f>
        <v/>
      </c>
      <c r="I328" s="2"/>
    </row>
    <row r="329" spans="2:9" x14ac:dyDescent="0.25">
      <c r="B329" s="38" t="str">
        <f>IF($A329=0,"",VLOOKUP($A329,'BASE EQUIPO'!$A:$D,2))</f>
        <v/>
      </c>
      <c r="C329" s="2"/>
      <c r="D329" s="84"/>
      <c r="E329" s="78" t="str">
        <f>IF($A329=0,"",VLOOKUP($A329,'BASE EQUIPO'!$A:$D,3))</f>
        <v/>
      </c>
      <c r="F329" s="55"/>
      <c r="G329" s="55" t="str">
        <f>IF($A329=0,"",VLOOKUP($A329,'BASE EQUIPO'!$A:$D,4)*H326)</f>
        <v/>
      </c>
      <c r="H329" s="56" t="str">
        <f>IF($A329=0,"",ROUND(F329*G329,2))</f>
        <v/>
      </c>
      <c r="I329" s="2"/>
    </row>
    <row r="330" spans="2:9" x14ac:dyDescent="0.25">
      <c r="B330" s="57" t="str">
        <f>IF($A330=0,"",VLOOKUP($A330,'BASE EQUIPO'!$A:$D,2))</f>
        <v/>
      </c>
      <c r="C330" s="58"/>
      <c r="D330" s="85"/>
      <c r="E330" s="86" t="str">
        <f>IF($A330=0,"",VLOOKUP($A330,'BASE EQUIPO'!$A:$D,3))</f>
        <v/>
      </c>
      <c r="F330" s="59"/>
      <c r="G330" s="59" t="str">
        <f>IF($A330=0,"",VLOOKUP($A330,'BASE EQUIPO'!$A:$D,4)*H327)</f>
        <v/>
      </c>
      <c r="H330" s="60" t="str">
        <f>IF($A330=0,"",ROUND(F330*G330,2))</f>
        <v/>
      </c>
      <c r="I330" s="2"/>
    </row>
    <row r="331" spans="2:9" ht="15.75" thickBot="1" x14ac:dyDescent="0.3">
      <c r="B331" s="87" t="s">
        <v>1674</v>
      </c>
      <c r="C331" s="88"/>
      <c r="D331" s="89"/>
      <c r="E331" s="89"/>
      <c r="F331" s="89"/>
      <c r="G331" s="89"/>
      <c r="H331" s="90">
        <f>ROUND(SUM(H327:H330),2)</f>
        <v>0</v>
      </c>
      <c r="I331" s="2"/>
    </row>
    <row r="332" spans="2:9" ht="15.75" x14ac:dyDescent="0.25">
      <c r="B332" s="2"/>
      <c r="C332" s="2"/>
      <c r="D332" s="91" t="s">
        <v>1673</v>
      </c>
      <c r="E332" s="47"/>
      <c r="F332" s="47"/>
      <c r="G332" s="47"/>
      <c r="H332" s="92">
        <f>ROUND(SUM(H331,H325,H306,H296),2)</f>
        <v>87.71</v>
      </c>
      <c r="I332" s="2"/>
    </row>
    <row r="333" spans="2:9" ht="15.75" x14ac:dyDescent="0.25">
      <c r="B333" s="2"/>
      <c r="C333" s="2"/>
      <c r="D333" s="93" t="s">
        <v>1672</v>
      </c>
      <c r="E333" s="65"/>
      <c r="F333" s="65"/>
      <c r="G333" s="94" t="str">
        <f>IF($A333=0,"",VLOOKUP($A333,'BASE MATERIAL'!$M:$P,4))</f>
        <v/>
      </c>
      <c r="H333" s="95" t="str">
        <f>IF($A333=0,"",ROUND(G333*H332,2))</f>
        <v/>
      </c>
      <c r="I333" s="2"/>
    </row>
    <row r="334" spans="2:9" ht="15.75" x14ac:dyDescent="0.25">
      <c r="B334" s="2"/>
      <c r="C334" s="2"/>
      <c r="D334" s="93" t="s">
        <v>1671</v>
      </c>
      <c r="E334" s="65"/>
      <c r="F334" s="65"/>
      <c r="G334" s="94" t="str">
        <f>IF($A334=0,"",VLOOKUP($A334,'BASE MATERIAL'!$M:$P,4))</f>
        <v/>
      </c>
      <c r="H334" s="95" t="str">
        <f>IF($A334=0,"",ROUND(G334*H332,2))</f>
        <v/>
      </c>
      <c r="I334" s="2"/>
    </row>
    <row r="335" spans="2:9" ht="15.75" x14ac:dyDescent="0.25">
      <c r="B335" s="2"/>
      <c r="C335" s="2"/>
      <c r="D335" s="93" t="s">
        <v>1670</v>
      </c>
      <c r="E335" s="65"/>
      <c r="F335" s="65"/>
      <c r="G335" s="65"/>
      <c r="H335" s="96">
        <f>ROUND(SUM(H332:H334),2)</f>
        <v>87.71</v>
      </c>
      <c r="I335" s="2"/>
    </row>
    <row r="336" spans="2:9" ht="16.5" thickBot="1" x14ac:dyDescent="0.3">
      <c r="B336" s="25"/>
      <c r="C336" s="2"/>
      <c r="D336" s="97" t="s">
        <v>1650</v>
      </c>
      <c r="E336" s="88"/>
      <c r="F336" s="88"/>
      <c r="G336" s="88"/>
      <c r="H336" s="98">
        <f>ROUND(H335,2)</f>
        <v>87.71</v>
      </c>
      <c r="I336" s="2"/>
    </row>
    <row r="337" spans="1:15" ht="15.75" x14ac:dyDescent="0.25">
      <c r="B337" s="34" t="s">
        <v>1701</v>
      </c>
      <c r="C337" s="2"/>
      <c r="D337" s="3" t="s">
        <v>1702</v>
      </c>
      <c r="E337" s="2"/>
      <c r="F337" s="2"/>
      <c r="H337" s="2" t="s">
        <v>108</v>
      </c>
      <c r="I337" s="2"/>
      <c r="L337" s="40">
        <f>A341</f>
        <v>0</v>
      </c>
      <c r="M337" s="1" t="str">
        <f>C342</f>
        <v>Porcelanato en pisos</v>
      </c>
      <c r="N337" s="2" t="str">
        <f>H341</f>
        <v>m2</v>
      </c>
      <c r="O337" s="2">
        <f>H392</f>
        <v>28.54</v>
      </c>
    </row>
    <row r="338" spans="1:15" ht="15.75" x14ac:dyDescent="0.25">
      <c r="B338" s="34" t="s">
        <v>1700</v>
      </c>
      <c r="C338" s="3">
        <f>'1.1'!$C$2</f>
        <v>0</v>
      </c>
      <c r="D338" s="2"/>
      <c r="E338" s="2"/>
      <c r="F338" s="2"/>
      <c r="G338" s="41" t="s">
        <v>1699</v>
      </c>
      <c r="H338" s="42"/>
      <c r="I338" s="2" t="s">
        <v>1698</v>
      </c>
    </row>
    <row r="339" spans="1:15" ht="15.75" x14ac:dyDescent="0.25">
      <c r="B339" s="34"/>
      <c r="C339" s="3">
        <f>'1.1'!$C$3</f>
        <v>0</v>
      </c>
      <c r="D339" s="2"/>
      <c r="E339" s="2"/>
      <c r="F339" s="2"/>
      <c r="G339" s="2"/>
      <c r="H339" s="2"/>
      <c r="I339" s="2"/>
    </row>
    <row r="340" spans="1:15" ht="15.75" x14ac:dyDescent="0.25">
      <c r="B340" s="34" t="s">
        <v>1697</v>
      </c>
      <c r="C340" s="3"/>
      <c r="D340" s="2"/>
      <c r="E340" s="2"/>
      <c r="F340" s="2"/>
      <c r="G340" s="2"/>
      <c r="H340" s="2"/>
      <c r="I340" s="2"/>
    </row>
    <row r="341" spans="1:15" x14ac:dyDescent="0.25">
      <c r="A341" s="104">
        <f>+A120</f>
        <v>0</v>
      </c>
      <c r="B341" s="2" t="s">
        <v>1586</v>
      </c>
      <c r="C341" s="36" t="s">
        <v>679</v>
      </c>
      <c r="D341" s="2"/>
      <c r="G341" s="2" t="s">
        <v>1696</v>
      </c>
      <c r="H341" s="3" t="s">
        <v>1520</v>
      </c>
      <c r="I341" s="2"/>
    </row>
    <row r="342" spans="1:15" x14ac:dyDescent="0.25">
      <c r="B342" s="1" t="s">
        <v>1585</v>
      </c>
      <c r="C342" s="36" t="s">
        <v>1457</v>
      </c>
      <c r="D342" s="2"/>
      <c r="E342" s="2"/>
      <c r="F342" s="2"/>
      <c r="G342" s="2"/>
      <c r="H342" s="2"/>
      <c r="I342" s="2"/>
    </row>
    <row r="343" spans="1:15" ht="15.75" thickBot="1" x14ac:dyDescent="0.3">
      <c r="D343" s="2"/>
      <c r="E343" s="2"/>
      <c r="F343" s="2"/>
      <c r="G343" s="2"/>
      <c r="H343" s="2"/>
      <c r="I343" s="2"/>
    </row>
    <row r="344" spans="1:15" ht="15.75" thickBot="1" x14ac:dyDescent="0.3">
      <c r="B344" s="43" t="s">
        <v>1695</v>
      </c>
      <c r="C344" s="44"/>
      <c r="D344" s="44"/>
      <c r="E344" s="44"/>
      <c r="F344" s="44"/>
      <c r="G344" s="44"/>
      <c r="H344" s="45"/>
      <c r="I344" s="2"/>
    </row>
    <row r="345" spans="1:15" ht="25.5" x14ac:dyDescent="0.25">
      <c r="B345" s="46" t="s">
        <v>1409</v>
      </c>
      <c r="C345" s="47"/>
      <c r="D345" s="48" t="s">
        <v>1690</v>
      </c>
      <c r="E345" s="48" t="s">
        <v>1694</v>
      </c>
      <c r="F345" s="48" t="s">
        <v>1693</v>
      </c>
      <c r="G345" s="49" t="s">
        <v>1687</v>
      </c>
      <c r="H345" s="50" t="s">
        <v>1686</v>
      </c>
      <c r="I345" s="2"/>
    </row>
    <row r="346" spans="1:15" x14ac:dyDescent="0.25">
      <c r="A346" s="103">
        <v>19015</v>
      </c>
      <c r="B346" s="51" t="str">
        <f>IF($A346=0,"",VLOOKUP($A346,'BASE EQUIPO'!$A:$D,2))</f>
        <v>HERRAMIENTA MENOR</v>
      </c>
      <c r="C346" s="52"/>
      <c r="D346" s="53">
        <v>1</v>
      </c>
      <c r="E346" s="53">
        <f>IF($A346=0,"",VLOOKUP($A346,'BASE EQUIPO'!$A:$D,4)*H362)</f>
        <v>0.16679999999999998</v>
      </c>
      <c r="F346" s="53">
        <f t="shared" ref="F346:F351" si="30">IF($A346=0,"",ROUND(D346*E346,2))</f>
        <v>0.17</v>
      </c>
      <c r="G346" s="105">
        <v>1</v>
      </c>
      <c r="H346" s="54">
        <f t="shared" ref="H346:H351" si="31">IF($A346=0,"",ROUND(G346*F346,2))</f>
        <v>0.17</v>
      </c>
      <c r="I346" s="2"/>
    </row>
    <row r="347" spans="1:15" x14ac:dyDescent="0.25">
      <c r="A347" s="103">
        <v>19026</v>
      </c>
      <c r="B347" s="38" t="str">
        <f>IF($A347=0,"",VLOOKUP($A347,'BASE EQUIPO'!$A:$D,2))</f>
        <v>CORTADORA ELECTRICA</v>
      </c>
      <c r="C347" s="2"/>
      <c r="D347" s="55">
        <v>1</v>
      </c>
      <c r="E347" s="55">
        <f>IF($A347=0,"",VLOOKUP($A347,'BASE EQUIPO'!$A:$D,4))</f>
        <v>1.875</v>
      </c>
      <c r="F347" s="55">
        <f t="shared" si="30"/>
        <v>1.88</v>
      </c>
      <c r="G347" s="106">
        <v>0.3</v>
      </c>
      <c r="H347" s="56">
        <f t="shared" si="31"/>
        <v>0.56000000000000005</v>
      </c>
      <c r="I347" s="2"/>
    </row>
    <row r="348" spans="1:15" x14ac:dyDescent="0.25">
      <c r="B348" s="38" t="str">
        <f>IF($A348=0,"",VLOOKUP($A348,'BASE EQUIPO'!$A:$D,2))</f>
        <v/>
      </c>
      <c r="C348" s="2"/>
      <c r="D348" s="55"/>
      <c r="E348" s="55" t="str">
        <f>IF($A348=0,"",VLOOKUP($A348,'BASE EQUIPO'!$A:$D,4))</f>
        <v/>
      </c>
      <c r="F348" s="55" t="str">
        <f t="shared" si="30"/>
        <v/>
      </c>
      <c r="G348" s="106"/>
      <c r="H348" s="56" t="str">
        <f t="shared" si="31"/>
        <v/>
      </c>
      <c r="I348" s="2"/>
    </row>
    <row r="349" spans="1:15" x14ac:dyDescent="0.25">
      <c r="B349" s="38" t="str">
        <f>IF($A349=0,"",VLOOKUP($A349,'BASE EQUIPO'!$A:$D,2))</f>
        <v/>
      </c>
      <c r="C349" s="2"/>
      <c r="D349" s="55"/>
      <c r="E349" s="55" t="str">
        <f>IF($A349=0,"",VLOOKUP($A349,'BASE EQUIPO'!$A:$D,4))</f>
        <v/>
      </c>
      <c r="F349" s="55" t="str">
        <f t="shared" si="30"/>
        <v/>
      </c>
      <c r="G349" s="106"/>
      <c r="H349" s="56" t="str">
        <f t="shared" si="31"/>
        <v/>
      </c>
      <c r="I349" s="2"/>
    </row>
    <row r="350" spans="1:15" x14ac:dyDescent="0.25">
      <c r="B350" s="38" t="str">
        <f>IF($A350=0,"",VLOOKUP($A350,'BASE EQUIPO'!$A:$D,2))</f>
        <v/>
      </c>
      <c r="C350" s="2"/>
      <c r="D350" s="55"/>
      <c r="E350" s="55" t="str">
        <f>IF($A350=0,"",VLOOKUP($A350,'BASE EQUIPO'!$A:$D,4))</f>
        <v/>
      </c>
      <c r="F350" s="55" t="str">
        <f t="shared" si="30"/>
        <v/>
      </c>
      <c r="G350" s="106"/>
      <c r="H350" s="56" t="str">
        <f t="shared" si="31"/>
        <v/>
      </c>
      <c r="I350" s="2"/>
    </row>
    <row r="351" spans="1:15" x14ac:dyDescent="0.25">
      <c r="B351" s="57" t="str">
        <f>IF($A351=0,"",VLOOKUP($A351,'BASE EQUIPO'!$A:$D,2))</f>
        <v/>
      </c>
      <c r="C351" s="58"/>
      <c r="D351" s="59"/>
      <c r="E351" s="59" t="str">
        <f>IF($A351=0,"",VLOOKUP($A351,'BASE EQUIPO'!$A:$D,4))</f>
        <v/>
      </c>
      <c r="F351" s="59" t="str">
        <f t="shared" si="30"/>
        <v/>
      </c>
      <c r="G351" s="107"/>
      <c r="H351" s="60" t="str">
        <f t="shared" si="31"/>
        <v/>
      </c>
      <c r="I351" s="2"/>
    </row>
    <row r="352" spans="1:15" x14ac:dyDescent="0.25">
      <c r="B352" s="57" t="s">
        <v>1692</v>
      </c>
      <c r="C352" s="58"/>
      <c r="D352" s="61"/>
      <c r="E352" s="61"/>
      <c r="F352" s="61"/>
      <c r="G352" s="62"/>
      <c r="H352" s="60">
        <f>ROUND(SUM(H345:H351),2)</f>
        <v>0.73</v>
      </c>
      <c r="I352" s="2"/>
    </row>
    <row r="353" spans="1:16" x14ac:dyDescent="0.25">
      <c r="B353" s="38" t="s">
        <v>1503</v>
      </c>
      <c r="C353" s="2"/>
      <c r="D353" s="3"/>
      <c r="E353" s="3"/>
      <c r="F353" s="3"/>
      <c r="G353" s="63"/>
      <c r="H353" s="56"/>
      <c r="I353" s="2"/>
    </row>
    <row r="354" spans="1:16" ht="25.5" x14ac:dyDescent="0.25">
      <c r="B354" s="64" t="s">
        <v>1691</v>
      </c>
      <c r="C354" s="65"/>
      <c r="D354" s="66" t="s">
        <v>1690</v>
      </c>
      <c r="E354" s="66" t="s">
        <v>1689</v>
      </c>
      <c r="F354" s="66" t="s">
        <v>1688</v>
      </c>
      <c r="G354" s="67" t="s">
        <v>1687</v>
      </c>
      <c r="H354" s="68" t="s">
        <v>1686</v>
      </c>
      <c r="I354" s="2"/>
    </row>
    <row r="355" spans="1:16" x14ac:dyDescent="0.25">
      <c r="A355" s="103">
        <v>20001</v>
      </c>
      <c r="B355" s="69" t="str">
        <f>IF($A355=0,"",VLOOKUP($A355,'BASE M-OBRA'!$A:$D,2))</f>
        <v>MAESTRO</v>
      </c>
      <c r="C355" s="2"/>
      <c r="D355" s="108">
        <v>1</v>
      </c>
      <c r="E355" s="70">
        <f>IF($A355=0,"",VLOOKUP($A355,'BASE M-OBRA'!$A:$D,4))</f>
        <v>3.02</v>
      </c>
      <c r="F355" s="55">
        <f t="shared" ref="F355:F361" si="32">IF($A355=0,"",ROUND(D355*E355,2))</f>
        <v>3.02</v>
      </c>
      <c r="G355" s="106">
        <f>IF($A355=0,"",ROUND(H355/F355,2))</f>
        <v>0.31</v>
      </c>
      <c r="H355" s="56">
        <f>IF($A355=0,"",ROUND(SUM(H356:H361)*'BASE M-OBRA'!$D$23,2))</f>
        <v>0.93</v>
      </c>
      <c r="I355" s="2"/>
    </row>
    <row r="356" spans="1:16" x14ac:dyDescent="0.25">
      <c r="A356" s="103">
        <v>20002</v>
      </c>
      <c r="B356" s="69" t="str">
        <f>IF($A356=0,"",VLOOKUP($A356,'BASE M-OBRA'!$A:$D,2))</f>
        <v>PEON</v>
      </c>
      <c r="C356" s="2"/>
      <c r="D356" s="108">
        <v>1</v>
      </c>
      <c r="E356" s="70">
        <f>IF($A356=0,"",VLOOKUP($A356,'BASE M-OBRA'!$A:$D,4))</f>
        <v>2.79</v>
      </c>
      <c r="F356" s="55">
        <f t="shared" si="32"/>
        <v>2.79</v>
      </c>
      <c r="G356" s="106">
        <v>0.55000000000000004</v>
      </c>
      <c r="H356" s="56">
        <f t="shared" ref="H356:H361" si="33">IF($A356=0,"",ROUND(G356*F356,2))</f>
        <v>1.53</v>
      </c>
      <c r="I356" s="2"/>
    </row>
    <row r="357" spans="1:16" x14ac:dyDescent="0.25">
      <c r="A357" s="103">
        <v>20003</v>
      </c>
      <c r="B357" s="69" t="str">
        <f>IF($A357=0,"",VLOOKUP($A357,'BASE M-OBRA'!$A:$D,2))</f>
        <v>ALBAÑIL</v>
      </c>
      <c r="C357" s="2"/>
      <c r="D357" s="108">
        <v>2</v>
      </c>
      <c r="E357" s="70">
        <f>IF($A357=0,"",VLOOKUP($A357,'BASE M-OBRA'!$A:$D,4))</f>
        <v>2.82</v>
      </c>
      <c r="F357" s="55">
        <f t="shared" si="32"/>
        <v>5.64</v>
      </c>
      <c r="G357" s="106">
        <f>+G356</f>
        <v>0.55000000000000004</v>
      </c>
      <c r="H357" s="56">
        <f t="shared" si="33"/>
        <v>3.1</v>
      </c>
      <c r="I357" s="2"/>
    </row>
    <row r="358" spans="1:16" x14ac:dyDescent="0.25">
      <c r="B358" s="71" t="str">
        <f>IF($A358=0,"",VLOOKUP($A358,'BASE M-OBRA'!$A:$D,2))</f>
        <v/>
      </c>
      <c r="C358" s="2"/>
      <c r="D358" s="108"/>
      <c r="E358" s="70" t="str">
        <f>IF($A358=0,"",VLOOKUP($A358,'BASE M-OBRA'!$A:$D,4))</f>
        <v/>
      </c>
      <c r="F358" s="55" t="str">
        <f t="shared" si="32"/>
        <v/>
      </c>
      <c r="G358" s="106"/>
      <c r="H358" s="56" t="str">
        <f t="shared" si="33"/>
        <v/>
      </c>
      <c r="I358" s="2"/>
    </row>
    <row r="359" spans="1:16" x14ac:dyDescent="0.25">
      <c r="B359" s="72" t="str">
        <f>IF($A359=0,"",VLOOKUP($A359,'BASE M-OBRA'!$A:$D,2))</f>
        <v/>
      </c>
      <c r="C359" s="2"/>
      <c r="D359" s="108"/>
      <c r="E359" s="70" t="str">
        <f>IF($A359=0,"",VLOOKUP($A359,'BASE M-OBRA'!$A:$D,4))</f>
        <v/>
      </c>
      <c r="F359" s="55" t="str">
        <f t="shared" si="32"/>
        <v/>
      </c>
      <c r="G359" s="106"/>
      <c r="H359" s="56" t="str">
        <f t="shared" si="33"/>
        <v/>
      </c>
      <c r="I359" s="2"/>
    </row>
    <row r="360" spans="1:16" x14ac:dyDescent="0.25">
      <c r="B360" s="38" t="str">
        <f>IF($A360=0,"",VLOOKUP($A360,'BASE M-OBRA'!$A:$D,2))</f>
        <v/>
      </c>
      <c r="C360" s="2"/>
      <c r="D360" s="55"/>
      <c r="E360" s="55" t="str">
        <f>IF($A360=0,"",VLOOKUP($A360,'BASE M-OBRA'!$A:$D,4))</f>
        <v/>
      </c>
      <c r="F360" s="55" t="str">
        <f t="shared" si="32"/>
        <v/>
      </c>
      <c r="G360" s="106"/>
      <c r="H360" s="56" t="str">
        <f t="shared" si="33"/>
        <v/>
      </c>
      <c r="I360" s="2"/>
    </row>
    <row r="361" spans="1:16" x14ac:dyDescent="0.25">
      <c r="B361" s="57" t="str">
        <f>IF($A361=0,"",VLOOKUP($A361,'BASE M-OBRA'!$A:$D,2))</f>
        <v/>
      </c>
      <c r="C361" s="58"/>
      <c r="D361" s="59"/>
      <c r="E361" s="59" t="str">
        <f>IF($A361=0,"",VLOOKUP($A361,'BASE M-OBRA'!$A:$D,4))</f>
        <v/>
      </c>
      <c r="F361" s="59" t="str">
        <f t="shared" si="32"/>
        <v/>
      </c>
      <c r="G361" s="107"/>
      <c r="H361" s="60" t="str">
        <f t="shared" si="33"/>
        <v/>
      </c>
      <c r="I361" s="2"/>
    </row>
    <row r="362" spans="1:16" x14ac:dyDescent="0.25">
      <c r="B362" s="73" t="s">
        <v>1685</v>
      </c>
      <c r="C362" s="65"/>
      <c r="D362" s="74"/>
      <c r="E362" s="74"/>
      <c r="F362" s="74"/>
      <c r="G362" s="74"/>
      <c r="H362" s="75">
        <f>ROUND(SUM(H354:H361),2)</f>
        <v>5.56</v>
      </c>
      <c r="I362" s="2"/>
    </row>
    <row r="363" spans="1:16" x14ac:dyDescent="0.25">
      <c r="B363" s="38" t="s">
        <v>1684</v>
      </c>
      <c r="C363" s="2"/>
      <c r="D363" s="3"/>
      <c r="E363" s="3"/>
      <c r="F363" s="3"/>
      <c r="G363" s="3"/>
      <c r="H363" s="56"/>
      <c r="I363" s="2"/>
    </row>
    <row r="364" spans="1:16" ht="25.5" x14ac:dyDescent="0.25">
      <c r="B364" s="64" t="s">
        <v>1409</v>
      </c>
      <c r="C364" s="65"/>
      <c r="D364" s="76"/>
      <c r="E364" s="66" t="s">
        <v>1408</v>
      </c>
      <c r="F364" s="66" t="s">
        <v>1679</v>
      </c>
      <c r="G364" s="66" t="s">
        <v>1683</v>
      </c>
      <c r="H364" s="68" t="s">
        <v>1675</v>
      </c>
      <c r="I364" s="2"/>
    </row>
    <row r="365" spans="1:16" x14ac:dyDescent="0.25">
      <c r="A365" s="103">
        <v>7017</v>
      </c>
      <c r="B365" s="38" t="str">
        <f>IF($A365=0,"",VLOOKUP($A365,'BASE MATERIAL'!$A:$D,2))</f>
        <v>PORCELANATO 50 x 50</v>
      </c>
      <c r="C365" s="2"/>
      <c r="D365" s="77"/>
      <c r="E365" s="78" t="str">
        <f>IF($A365=0,"",VLOOKUP($A365,'BASE MATERIAL'!$A:$D,3))</f>
        <v>M2</v>
      </c>
      <c r="F365" s="55">
        <v>1</v>
      </c>
      <c r="G365" s="55">
        <v>18</v>
      </c>
      <c r="H365" s="56">
        <f>IF($A365=0,"",ROUND(F365*G365,2))</f>
        <v>18</v>
      </c>
      <c r="I365" s="2"/>
      <c r="L365" s="2"/>
      <c r="M365" s="2"/>
      <c r="N365" s="39"/>
      <c r="O365" s="2"/>
      <c r="P365" s="2"/>
    </row>
    <row r="366" spans="1:16" x14ac:dyDescent="0.25">
      <c r="A366" s="103">
        <v>14027</v>
      </c>
      <c r="B366" s="38" t="str">
        <f>IF($A366=0,"",VLOOKUP($A366,'BASE MATERIAL'!$A:$D,2))</f>
        <v>BONDEX PREMIUM</v>
      </c>
      <c r="C366" s="2"/>
      <c r="D366" s="77"/>
      <c r="E366" s="78" t="str">
        <f>IF($A366=0,"",VLOOKUP($A366,'BASE MATERIAL'!$A:$D,3))</f>
        <v>KG</v>
      </c>
      <c r="F366" s="55">
        <v>7</v>
      </c>
      <c r="G366" s="55">
        <f>IF($A366=0,"",VLOOKUP($A366,'BASE MATERIAL'!$A:$D,4))</f>
        <v>0.57568000000000008</v>
      </c>
      <c r="H366" s="56">
        <f>IF($A366=0,"",ROUND(F366*G366,2))</f>
        <v>4.03</v>
      </c>
      <c r="I366" s="2"/>
      <c r="L366" s="2"/>
      <c r="M366" s="2"/>
      <c r="N366" s="39"/>
      <c r="O366" s="2"/>
      <c r="P366" s="2"/>
    </row>
    <row r="367" spans="1:16" x14ac:dyDescent="0.25">
      <c r="A367" s="103">
        <v>7019</v>
      </c>
      <c r="B367" s="38" t="str">
        <f>IF($A367=0,"",VLOOKUP($A367,'BASE MATERIAL'!$A:$D,2))</f>
        <v>PORCELANA</v>
      </c>
      <c r="C367" s="2"/>
      <c r="D367" s="77"/>
      <c r="E367" s="78" t="str">
        <f>IF($A367=0,"",VLOOKUP($A367,'BASE MATERIAL'!$A:$D,3))</f>
        <v>KG</v>
      </c>
      <c r="F367" s="55">
        <v>0.3</v>
      </c>
      <c r="G367" s="55">
        <f>IF($A367=0,"",VLOOKUP($A367,'BASE MATERIAL'!$A:$D,4))</f>
        <v>0.73499999999999999</v>
      </c>
      <c r="H367" s="56">
        <f t="shared" ref="H367:H379" si="34">IF($A367=0,"",ROUND(F367*G367,2))</f>
        <v>0.22</v>
      </c>
      <c r="I367" s="2"/>
      <c r="L367" s="2"/>
      <c r="M367" s="2"/>
      <c r="N367" s="39"/>
      <c r="O367" s="2"/>
      <c r="P367" s="2"/>
    </row>
    <row r="368" spans="1:16" x14ac:dyDescent="0.25">
      <c r="B368" s="38" t="str">
        <f>IF($A368=0,"",VLOOKUP($A368,'BASE MATERIAL'!$A:$D,2))</f>
        <v/>
      </c>
      <c r="C368" s="2"/>
      <c r="D368" s="77"/>
      <c r="E368" s="78" t="str">
        <f>IF($A368=0,"",VLOOKUP($A368,'BASE MATERIAL'!$A:$D,3))</f>
        <v/>
      </c>
      <c r="F368" s="55"/>
      <c r="G368" s="55" t="str">
        <f>IF($A368=0,"",VLOOKUP($A368,'BASE MATERIAL'!$A:$D,4))</f>
        <v/>
      </c>
      <c r="H368" s="56" t="str">
        <f t="shared" si="34"/>
        <v/>
      </c>
      <c r="I368" s="2"/>
      <c r="L368" s="2"/>
      <c r="M368" s="2"/>
      <c r="N368" s="39"/>
      <c r="O368" s="2"/>
      <c r="P368" s="2"/>
    </row>
    <row r="369" spans="2:16" x14ac:dyDescent="0.25">
      <c r="B369" s="38" t="str">
        <f>IF($A369=0,"",VLOOKUP($A369,'BASE MATERIAL'!$A:$D,2))</f>
        <v/>
      </c>
      <c r="C369" s="2"/>
      <c r="D369" s="77"/>
      <c r="E369" s="78" t="str">
        <f>IF($A369=0,"",VLOOKUP($A369,'BASE MATERIAL'!$A:$D,3))</f>
        <v/>
      </c>
      <c r="F369" s="55"/>
      <c r="G369" s="55" t="str">
        <f>IF($A369=0,"",VLOOKUP($A369,'BASE MATERIAL'!$A:$D,4))</f>
        <v/>
      </c>
      <c r="H369" s="56" t="str">
        <f t="shared" si="34"/>
        <v/>
      </c>
      <c r="I369" s="2"/>
      <c r="L369" s="2"/>
      <c r="M369" s="2"/>
      <c r="N369" s="39"/>
      <c r="O369" s="2"/>
      <c r="P369" s="2"/>
    </row>
    <row r="370" spans="2:16" x14ac:dyDescent="0.25">
      <c r="B370" s="38" t="str">
        <f>IF($A370=0,"",VLOOKUP($A370,'BASE MATERIAL'!$A:$D,2))</f>
        <v/>
      </c>
      <c r="C370" s="2"/>
      <c r="D370" s="77"/>
      <c r="E370" s="78" t="str">
        <f>IF($A370=0,"",VLOOKUP($A370,'BASE MATERIAL'!$A:$D,3))</f>
        <v/>
      </c>
      <c r="F370" s="55"/>
      <c r="G370" s="55" t="str">
        <f>IF($A370=0,"",VLOOKUP($A370,'BASE MATERIAL'!$A:$D,4))</f>
        <v/>
      </c>
      <c r="H370" s="56" t="str">
        <f t="shared" si="34"/>
        <v/>
      </c>
      <c r="I370" s="2"/>
      <c r="L370" s="2"/>
      <c r="M370" s="2"/>
      <c r="N370" s="39"/>
      <c r="O370" s="2"/>
      <c r="P370" s="2"/>
    </row>
    <row r="371" spans="2:16" x14ac:dyDescent="0.25">
      <c r="B371" s="38" t="str">
        <f>IF($A371=0,"",VLOOKUP($A371,'BASE MATERIAL'!$A:$D,2))</f>
        <v/>
      </c>
      <c r="C371" s="2"/>
      <c r="D371" s="77"/>
      <c r="E371" s="78" t="str">
        <f>IF($A371=0,"",VLOOKUP($A371,'BASE MATERIAL'!$A:$D,3))</f>
        <v/>
      </c>
      <c r="F371" s="55"/>
      <c r="G371" s="55" t="str">
        <f>IF($A371=0,"",VLOOKUP($A371,'BASE MATERIAL'!$A:$D,4))</f>
        <v/>
      </c>
      <c r="H371" s="56" t="str">
        <f t="shared" si="34"/>
        <v/>
      </c>
      <c r="I371" s="2"/>
      <c r="L371" s="2"/>
      <c r="M371" s="2"/>
      <c r="N371" s="39"/>
      <c r="O371" s="2"/>
      <c r="P371" s="2"/>
    </row>
    <row r="372" spans="2:16" x14ac:dyDescent="0.25">
      <c r="B372" s="38" t="str">
        <f>IF($A372=0,"",VLOOKUP($A372,'BASE MATERIAL'!$A:$D,2))</f>
        <v/>
      </c>
      <c r="C372" s="2"/>
      <c r="D372" s="77"/>
      <c r="E372" s="78" t="str">
        <f>IF($A372=0,"",VLOOKUP($A372,'BASE MATERIAL'!$A:$D,3))</f>
        <v/>
      </c>
      <c r="F372" s="55"/>
      <c r="G372" s="55" t="str">
        <f>IF($A372=0,"",VLOOKUP($A372,'BASE MATERIAL'!$A:$D,4))</f>
        <v/>
      </c>
      <c r="H372" s="56" t="str">
        <f t="shared" si="34"/>
        <v/>
      </c>
      <c r="I372" s="2"/>
      <c r="L372" s="2"/>
      <c r="M372" s="2"/>
      <c r="N372" s="39"/>
      <c r="O372" s="2"/>
      <c r="P372" s="2"/>
    </row>
    <row r="373" spans="2:16" x14ac:dyDescent="0.25">
      <c r="B373" s="38" t="str">
        <f>IF($A373=0,"",VLOOKUP($A373,'BASE MATERIAL'!$A:$D,2))</f>
        <v/>
      </c>
      <c r="C373" s="2"/>
      <c r="D373" s="77"/>
      <c r="E373" s="78" t="str">
        <f>IF($A373=0,"",VLOOKUP($A373,'BASE MATERIAL'!$A:$D,3))</f>
        <v/>
      </c>
      <c r="F373" s="55"/>
      <c r="G373" s="55" t="str">
        <f>IF($A373=0,"",VLOOKUP($A373,'BASE MATERIAL'!$A:$D,4))</f>
        <v/>
      </c>
      <c r="H373" s="56" t="str">
        <f t="shared" si="34"/>
        <v/>
      </c>
      <c r="I373" s="2"/>
    </row>
    <row r="374" spans="2:16" x14ac:dyDescent="0.25">
      <c r="B374" s="38" t="str">
        <f>IF($A374=0,"",VLOOKUP($A374,'BASE MATERIAL'!$A:$D,2))</f>
        <v/>
      </c>
      <c r="C374" s="2"/>
      <c r="D374" s="77"/>
      <c r="E374" s="78" t="str">
        <f>IF($A374=0,"",VLOOKUP($A374,'BASE MATERIAL'!$A:$D,3))</f>
        <v/>
      </c>
      <c r="F374" s="55"/>
      <c r="G374" s="55" t="str">
        <f>IF($A374=0,"",VLOOKUP($A374,'BASE MATERIAL'!$A:$D,4))</f>
        <v/>
      </c>
      <c r="H374" s="56" t="str">
        <f t="shared" si="34"/>
        <v/>
      </c>
      <c r="I374" s="2"/>
      <c r="L374" s="2"/>
      <c r="M374" s="2"/>
      <c r="N374" s="39"/>
      <c r="O374" s="2"/>
      <c r="P374" s="2"/>
    </row>
    <row r="375" spans="2:16" x14ac:dyDescent="0.25">
      <c r="B375" s="38" t="str">
        <f>IF($A375=0,"",VLOOKUP($A375,'BASE MATERIAL'!$A:$D,2))</f>
        <v/>
      </c>
      <c r="C375" s="2"/>
      <c r="D375" s="77"/>
      <c r="E375" s="78" t="str">
        <f>IF($A375=0,"",VLOOKUP($A375,'BASE MATERIAL'!$A:$D,3))</f>
        <v/>
      </c>
      <c r="F375" s="55"/>
      <c r="G375" s="55" t="str">
        <f>IF($A375=0,"",VLOOKUP($A375,'BASE MATERIAL'!$A:$D,4))</f>
        <v/>
      </c>
      <c r="H375" s="56" t="str">
        <f t="shared" si="34"/>
        <v/>
      </c>
      <c r="I375" s="2"/>
      <c r="L375" s="2"/>
      <c r="M375" s="2"/>
      <c r="N375" s="39"/>
      <c r="O375" s="2"/>
      <c r="P375" s="2"/>
    </row>
    <row r="376" spans="2:16" x14ac:dyDescent="0.25">
      <c r="B376" s="38" t="str">
        <f>IF($A376=0,"",VLOOKUP($A376,'BASE MATERIAL'!$A:$D,2))</f>
        <v/>
      </c>
      <c r="C376" s="2"/>
      <c r="D376" s="77"/>
      <c r="E376" s="78" t="str">
        <f>IF($A376=0,"",VLOOKUP($A376,'BASE MATERIAL'!$A:$D,3))</f>
        <v/>
      </c>
      <c r="F376" s="55"/>
      <c r="G376" s="55" t="str">
        <f>IF($A376=0,"",VLOOKUP($A376,'BASE MATERIAL'!$A:$D,4))</f>
        <v/>
      </c>
      <c r="H376" s="56" t="str">
        <f t="shared" si="34"/>
        <v/>
      </c>
      <c r="I376" s="2"/>
    </row>
    <row r="377" spans="2:16" x14ac:dyDescent="0.25">
      <c r="B377" s="38" t="str">
        <f>IF($A377=0,"",VLOOKUP($A377,'BASE MATERIAL'!$A:$D,2))</f>
        <v/>
      </c>
      <c r="C377" s="2"/>
      <c r="D377" s="77"/>
      <c r="E377" s="78" t="str">
        <f>IF($A377=0,"",VLOOKUP($A377,'BASE MATERIAL'!$A:$D,3))</f>
        <v/>
      </c>
      <c r="F377" s="55"/>
      <c r="G377" s="55" t="str">
        <f>IF($A377=0,"",VLOOKUP($A377,'BASE MATERIAL'!$A:$D,4))</f>
        <v/>
      </c>
      <c r="H377" s="56" t="str">
        <f t="shared" si="34"/>
        <v/>
      </c>
      <c r="I377" s="2"/>
    </row>
    <row r="378" spans="2:16" x14ac:dyDescent="0.25">
      <c r="B378" s="38" t="str">
        <f>IF($A378=0,"",VLOOKUP($A378,'BASE MATERIAL'!$A:$D,2))</f>
        <v/>
      </c>
      <c r="C378" s="2"/>
      <c r="D378" s="77"/>
      <c r="E378" s="78" t="str">
        <f>IF($A378=0,"",VLOOKUP($A378,'BASE MATERIAL'!$A:$D,3))</f>
        <v/>
      </c>
      <c r="F378" s="55"/>
      <c r="G378" s="55" t="str">
        <f>IF($A378=0,"",VLOOKUP($A378,'BASE MATERIAL'!$A:$D,4))</f>
        <v/>
      </c>
      <c r="H378" s="56" t="str">
        <f t="shared" si="34"/>
        <v/>
      </c>
      <c r="I378" s="2"/>
    </row>
    <row r="379" spans="2:16" x14ac:dyDescent="0.25">
      <c r="B379" s="38" t="str">
        <f>IF($A379=0,"",VLOOKUP($A379,'BASE MATERIAL'!$A:$D,2))</f>
        <v/>
      </c>
      <c r="C379" s="2"/>
      <c r="D379" s="77"/>
      <c r="E379" s="78" t="str">
        <f>IF($A379=0,"",VLOOKUP($A379,'BASE MATERIAL'!$A:$D,3))</f>
        <v/>
      </c>
      <c r="F379" s="55"/>
      <c r="G379" s="55" t="str">
        <f>IF($A379=0,"",VLOOKUP($A379,'BASE MATERIAL'!$A:$D,4))</f>
        <v/>
      </c>
      <c r="H379" s="56" t="str">
        <f t="shared" si="34"/>
        <v/>
      </c>
      <c r="I379" s="2"/>
    </row>
    <row r="380" spans="2:16" x14ac:dyDescent="0.25">
      <c r="B380" s="38" t="str">
        <f>IF($A380=0,"",VLOOKUP($A380,'BASE MATERIAL'!$A:$D,2))</f>
        <v/>
      </c>
      <c r="C380" s="2"/>
      <c r="D380" s="81" t="s">
        <v>1682</v>
      </c>
      <c r="E380" s="55" t="str">
        <f>IF($A380=0,"",VLOOKUP($A380,'BASE MATERIAL'!$A:$D,3))</f>
        <v/>
      </c>
      <c r="F380" s="55" t="s">
        <v>1682</v>
      </c>
      <c r="G380" s="55" t="str">
        <f>IF($A380=0,"",VLOOKUP($A380,'BASE MATERIAL'!$A:$D,4))</f>
        <v/>
      </c>
      <c r="H380" s="56" t="str">
        <f>IF($A380=0,"",ROUND(E380*F380,2))</f>
        <v/>
      </c>
      <c r="I380" s="2"/>
    </row>
    <row r="381" spans="2:16" x14ac:dyDescent="0.25">
      <c r="B381" s="73" t="s">
        <v>1681</v>
      </c>
      <c r="C381" s="65"/>
      <c r="D381" s="74"/>
      <c r="E381" s="74"/>
      <c r="F381" s="74"/>
      <c r="G381" s="74"/>
      <c r="H381" s="75">
        <f>ROUND(SUM(H364:H380),2)</f>
        <v>22.25</v>
      </c>
      <c r="I381" s="2"/>
    </row>
    <row r="382" spans="2:16" x14ac:dyDescent="0.25">
      <c r="B382" s="38" t="s">
        <v>1680</v>
      </c>
      <c r="C382" s="2"/>
      <c r="D382" s="3"/>
      <c r="E382" s="3"/>
      <c r="F382" s="3"/>
      <c r="G382" s="3"/>
      <c r="H382" s="56"/>
      <c r="I382" s="2"/>
    </row>
    <row r="383" spans="2:16" ht="25.5" x14ac:dyDescent="0.25">
      <c r="B383" s="64" t="s">
        <v>1409</v>
      </c>
      <c r="C383" s="65"/>
      <c r="D383" s="76"/>
      <c r="E383" s="66" t="s">
        <v>1408</v>
      </c>
      <c r="F383" s="66" t="s">
        <v>1679</v>
      </c>
      <c r="G383" s="66" t="s">
        <v>1676</v>
      </c>
      <c r="H383" s="68" t="s">
        <v>1675</v>
      </c>
      <c r="I383" s="2"/>
    </row>
    <row r="384" spans="2:16" x14ac:dyDescent="0.25">
      <c r="B384" s="51" t="str">
        <f>IF($A384=0,"",VLOOKUP($A384,'BASE EQUIPO'!$A:$D,2))</f>
        <v/>
      </c>
      <c r="C384" s="52"/>
      <c r="D384" s="82"/>
      <c r="E384" s="78" t="str">
        <f>IF($A384=0,"",VLOOKUP($A384,'BASE EQUIPO'!$A:$D,3))</f>
        <v/>
      </c>
      <c r="F384" s="55">
        <v>1</v>
      </c>
      <c r="G384" s="83" t="str">
        <f>IF($A384=0,"",VLOOKUP($A384,'BASE EQUIPO'!$A:$D,4)*H381)</f>
        <v/>
      </c>
      <c r="H384" s="56" t="str">
        <f>IF($A384=0,"",ROUND(F384*G384,2))</f>
        <v/>
      </c>
      <c r="I384" s="2"/>
    </row>
    <row r="385" spans="1:15" x14ac:dyDescent="0.25">
      <c r="B385" s="38" t="str">
        <f>IF($A385=0,"",VLOOKUP($A385,'BASE EQUIPO'!$A:$D,2))</f>
        <v/>
      </c>
      <c r="C385" s="2"/>
      <c r="D385" s="84"/>
      <c r="E385" s="78" t="str">
        <f>IF($A385=0,"",VLOOKUP($A385,'BASE EQUIPO'!$A:$D,3))</f>
        <v/>
      </c>
      <c r="F385" s="55"/>
      <c r="G385" s="55" t="str">
        <f>IF($A385=0,"",VLOOKUP($A385,'BASE EQUIPO'!$A:$D,4)*H382)</f>
        <v/>
      </c>
      <c r="H385" s="56" t="str">
        <f>IF($A385=0,"",ROUND(F385*G385,2))</f>
        <v/>
      </c>
      <c r="I385" s="2"/>
    </row>
    <row r="386" spans="1:15" x14ac:dyDescent="0.25">
      <c r="B386" s="57" t="str">
        <f>IF($A386=0,"",VLOOKUP($A386,'BASE EQUIPO'!$A:$D,2))</f>
        <v/>
      </c>
      <c r="C386" s="58"/>
      <c r="D386" s="85"/>
      <c r="E386" s="86" t="str">
        <f>IF($A386=0,"",VLOOKUP($A386,'BASE EQUIPO'!$A:$D,3))</f>
        <v/>
      </c>
      <c r="F386" s="59"/>
      <c r="G386" s="59" t="str">
        <f>IF($A386=0,"",VLOOKUP($A386,'BASE EQUIPO'!$A:$D,4)*H383)</f>
        <v/>
      </c>
      <c r="H386" s="60" t="str">
        <f>IF($A386=0,"",ROUND(F386*G386,2))</f>
        <v/>
      </c>
      <c r="I386" s="2"/>
    </row>
    <row r="387" spans="1:15" ht="15.75" thickBot="1" x14ac:dyDescent="0.3">
      <c r="B387" s="87" t="s">
        <v>1674</v>
      </c>
      <c r="C387" s="88"/>
      <c r="D387" s="89"/>
      <c r="E387" s="89"/>
      <c r="F387" s="89"/>
      <c r="G387" s="89"/>
      <c r="H387" s="90">
        <f>ROUND(SUM(H383:H386),2)</f>
        <v>0</v>
      </c>
      <c r="I387" s="2"/>
    </row>
    <row r="388" spans="1:15" ht="15.75" x14ac:dyDescent="0.25">
      <c r="B388" s="2"/>
      <c r="C388" s="2"/>
      <c r="D388" s="91" t="s">
        <v>1673</v>
      </c>
      <c r="E388" s="47"/>
      <c r="F388" s="47"/>
      <c r="G388" s="47"/>
      <c r="H388" s="92">
        <f>ROUND(SUM(H387,H381,H362,H352),2)</f>
        <v>28.54</v>
      </c>
      <c r="I388" s="2"/>
    </row>
    <row r="389" spans="1:15" ht="15.75" x14ac:dyDescent="0.25">
      <c r="B389" s="2"/>
      <c r="C389" s="2"/>
      <c r="D389" s="93" t="s">
        <v>1672</v>
      </c>
      <c r="E389" s="65"/>
      <c r="F389" s="65"/>
      <c r="G389" s="94" t="str">
        <f>IF($A389=0,"",VLOOKUP($A389,'BASE MATERIAL'!$M:$P,4))</f>
        <v/>
      </c>
      <c r="H389" s="95" t="str">
        <f>IF($A389=0,"",ROUND(G389*H388,2))</f>
        <v/>
      </c>
      <c r="I389" s="2"/>
    </row>
    <row r="390" spans="1:15" ht="15.75" x14ac:dyDescent="0.25">
      <c r="B390" s="2"/>
      <c r="C390" s="2"/>
      <c r="D390" s="93" t="s">
        <v>1671</v>
      </c>
      <c r="E390" s="65"/>
      <c r="F390" s="65"/>
      <c r="G390" s="94" t="str">
        <f>IF($A390=0,"",VLOOKUP($A390,'BASE MATERIAL'!$M:$P,4))</f>
        <v/>
      </c>
      <c r="H390" s="95" t="str">
        <f>IF($A390=0,"",ROUND(G390*H388,2))</f>
        <v/>
      </c>
      <c r="I390" s="2"/>
    </row>
    <row r="391" spans="1:15" ht="15.75" x14ac:dyDescent="0.25">
      <c r="B391" s="2"/>
      <c r="C391" s="2"/>
      <c r="D391" s="93" t="s">
        <v>1670</v>
      </c>
      <c r="E391" s="65"/>
      <c r="F391" s="65"/>
      <c r="G391" s="65"/>
      <c r="H391" s="96">
        <f>ROUND(SUM(H388:H390),2)</f>
        <v>28.54</v>
      </c>
      <c r="I391" s="2"/>
    </row>
    <row r="392" spans="1:15" ht="16.5" thickBot="1" x14ac:dyDescent="0.3">
      <c r="B392" s="25"/>
      <c r="C392" s="2"/>
      <c r="D392" s="97" t="s">
        <v>1650</v>
      </c>
      <c r="E392" s="88"/>
      <c r="F392" s="88"/>
      <c r="G392" s="88"/>
      <c r="H392" s="98">
        <f>ROUND(H391,2)</f>
        <v>28.54</v>
      </c>
      <c r="I392" s="2"/>
    </row>
    <row r="393" spans="1:15" ht="15.75" x14ac:dyDescent="0.25">
      <c r="B393" s="34" t="s">
        <v>1701</v>
      </c>
      <c r="C393" s="2"/>
      <c r="D393" s="3" t="str">
        <f>$D$1</f>
        <v>ESPOL</v>
      </c>
      <c r="E393" s="2"/>
      <c r="F393" s="2"/>
      <c r="H393" s="2" t="s">
        <v>108</v>
      </c>
      <c r="I393" s="2"/>
      <c r="L393" s="40">
        <f>A397</f>
        <v>6</v>
      </c>
      <c r="M393" s="1" t="str">
        <f>C398</f>
        <v>Cerámica en pisos</v>
      </c>
      <c r="N393" s="2" t="str">
        <f>H397</f>
        <v>m2</v>
      </c>
      <c r="O393" s="2">
        <f>H448</f>
        <v>21.08</v>
      </c>
    </row>
    <row r="394" spans="1:15" ht="15.75" x14ac:dyDescent="0.25">
      <c r="B394" s="34" t="s">
        <v>1700</v>
      </c>
      <c r="C394" s="3">
        <f>'1.1'!$C$2</f>
        <v>0</v>
      </c>
      <c r="D394" s="2"/>
      <c r="E394" s="2"/>
      <c r="F394" s="2"/>
      <c r="G394" s="41" t="s">
        <v>1699</v>
      </c>
      <c r="H394" s="42"/>
      <c r="I394" s="2" t="s">
        <v>1698</v>
      </c>
    </row>
    <row r="395" spans="1:15" ht="15.75" x14ac:dyDescent="0.25">
      <c r="B395" s="34"/>
      <c r="C395" s="3">
        <f>'1.1'!$C$3</f>
        <v>0</v>
      </c>
      <c r="D395" s="2"/>
      <c r="E395" s="2"/>
      <c r="F395" s="2"/>
      <c r="G395" s="2"/>
      <c r="H395" s="2"/>
      <c r="I395" s="2"/>
    </row>
    <row r="396" spans="1:15" ht="15.75" x14ac:dyDescent="0.25">
      <c r="B396" s="34" t="s">
        <v>1697</v>
      </c>
      <c r="C396" s="3"/>
      <c r="D396" s="2"/>
      <c r="E396" s="2"/>
      <c r="F396" s="2"/>
      <c r="G396" s="2"/>
      <c r="H396" s="2"/>
      <c r="I396" s="2"/>
    </row>
    <row r="397" spans="1:15" x14ac:dyDescent="0.25">
      <c r="A397" s="104">
        <v>6</v>
      </c>
      <c r="B397" s="2" t="s">
        <v>1586</v>
      </c>
      <c r="C397" s="36" t="s">
        <v>1527</v>
      </c>
      <c r="D397" s="2"/>
      <c r="G397" s="2" t="s">
        <v>1696</v>
      </c>
      <c r="H397" s="3" t="s">
        <v>1520</v>
      </c>
      <c r="I397" s="2"/>
    </row>
    <row r="398" spans="1:15" x14ac:dyDescent="0.25">
      <c r="B398" s="1" t="s">
        <v>1585</v>
      </c>
      <c r="C398" s="36" t="s">
        <v>1426</v>
      </c>
      <c r="D398" s="2"/>
      <c r="E398" s="2"/>
      <c r="F398" s="2"/>
      <c r="G398" s="2"/>
      <c r="H398" s="2"/>
      <c r="I398" s="2"/>
    </row>
    <row r="399" spans="1:15" ht="15.75" thickBot="1" x14ac:dyDescent="0.3">
      <c r="D399" s="2"/>
      <c r="E399" s="2"/>
      <c r="F399" s="2"/>
      <c r="G399" s="2"/>
      <c r="H399" s="2"/>
      <c r="I399" s="2"/>
    </row>
    <row r="400" spans="1:15" ht="15.75" thickBot="1" x14ac:dyDescent="0.3">
      <c r="B400" s="43" t="s">
        <v>1695</v>
      </c>
      <c r="C400" s="44"/>
      <c r="D400" s="44"/>
      <c r="E400" s="44"/>
      <c r="F400" s="44"/>
      <c r="G400" s="44"/>
      <c r="H400" s="45"/>
      <c r="I400" s="2"/>
    </row>
    <row r="401" spans="1:9" ht="25.5" x14ac:dyDescent="0.25">
      <c r="B401" s="46" t="s">
        <v>1409</v>
      </c>
      <c r="C401" s="47"/>
      <c r="D401" s="48" t="s">
        <v>1690</v>
      </c>
      <c r="E401" s="48" t="s">
        <v>1694</v>
      </c>
      <c r="F401" s="48" t="s">
        <v>1693</v>
      </c>
      <c r="G401" s="49" t="s">
        <v>1687</v>
      </c>
      <c r="H401" s="50" t="s">
        <v>1686</v>
      </c>
      <c r="I401" s="2"/>
    </row>
    <row r="402" spans="1:9" x14ac:dyDescent="0.25">
      <c r="A402" s="103">
        <v>19015</v>
      </c>
      <c r="B402" s="51" t="str">
        <f>IF($A402=0,"",VLOOKUP($A402,'BASE EQUIPO'!$A:$D,2))</f>
        <v>HERRAMIENTA MENOR</v>
      </c>
      <c r="C402" s="52"/>
      <c r="D402" s="53">
        <v>1</v>
      </c>
      <c r="E402" s="53">
        <f>IF($A402=0,"",VLOOKUP($A402,'BASE EQUIPO'!$A:$D,4)*H418)</f>
        <v>0.15179999999999999</v>
      </c>
      <c r="F402" s="53">
        <f t="shared" ref="F402:F407" si="35">IF($A402=0,"",ROUND(D402*E402,2))</f>
        <v>0.15</v>
      </c>
      <c r="G402" s="105">
        <v>1</v>
      </c>
      <c r="H402" s="54">
        <f t="shared" ref="H402:H407" si="36">IF($A402=0,"",ROUND(G402*F402,2))</f>
        <v>0.15</v>
      </c>
      <c r="I402" s="2"/>
    </row>
    <row r="403" spans="1:9" x14ac:dyDescent="0.25">
      <c r="A403" s="103">
        <v>19026</v>
      </c>
      <c r="B403" s="38" t="str">
        <f>IF($A403=0,"",VLOOKUP($A403,'BASE EQUIPO'!$A:$D,2))</f>
        <v>CORTADORA ELECTRICA</v>
      </c>
      <c r="C403" s="2"/>
      <c r="D403" s="55">
        <v>1</v>
      </c>
      <c r="E403" s="55">
        <f>IF($A403=0,"",VLOOKUP($A403,'BASE EQUIPO'!$A:$D,4))</f>
        <v>1.875</v>
      </c>
      <c r="F403" s="55">
        <f t="shared" si="35"/>
        <v>1.88</v>
      </c>
      <c r="G403" s="106">
        <v>0.3</v>
      </c>
      <c r="H403" s="56">
        <f t="shared" si="36"/>
        <v>0.56000000000000005</v>
      </c>
      <c r="I403" s="2"/>
    </row>
    <row r="404" spans="1:9" x14ac:dyDescent="0.25">
      <c r="B404" s="38" t="str">
        <f>IF($A404=0,"",VLOOKUP($A404,'BASE EQUIPO'!$A:$D,2))</f>
        <v/>
      </c>
      <c r="C404" s="2"/>
      <c r="D404" s="55"/>
      <c r="E404" s="55" t="str">
        <f>IF($A404=0,"",VLOOKUP($A404,'BASE EQUIPO'!$A:$D,4))</f>
        <v/>
      </c>
      <c r="F404" s="55" t="str">
        <f t="shared" si="35"/>
        <v/>
      </c>
      <c r="G404" s="106"/>
      <c r="H404" s="56" t="str">
        <f t="shared" si="36"/>
        <v/>
      </c>
      <c r="I404" s="2"/>
    </row>
    <row r="405" spans="1:9" x14ac:dyDescent="0.25">
      <c r="B405" s="38" t="str">
        <f>IF($A405=0,"",VLOOKUP($A405,'BASE EQUIPO'!$A:$D,2))</f>
        <v/>
      </c>
      <c r="C405" s="2"/>
      <c r="D405" s="55"/>
      <c r="E405" s="55" t="str">
        <f>IF($A405=0,"",VLOOKUP($A405,'BASE EQUIPO'!$A:$D,4))</f>
        <v/>
      </c>
      <c r="F405" s="55" t="str">
        <f t="shared" si="35"/>
        <v/>
      </c>
      <c r="G405" s="106"/>
      <c r="H405" s="56" t="str">
        <f t="shared" si="36"/>
        <v/>
      </c>
      <c r="I405" s="2"/>
    </row>
    <row r="406" spans="1:9" x14ac:dyDescent="0.25">
      <c r="B406" s="38" t="str">
        <f>IF($A406=0,"",VLOOKUP($A406,'BASE EQUIPO'!$A:$D,2))</f>
        <v/>
      </c>
      <c r="C406" s="2"/>
      <c r="D406" s="55"/>
      <c r="E406" s="55" t="str">
        <f>IF($A406=0,"",VLOOKUP($A406,'BASE EQUIPO'!$A:$D,4))</f>
        <v/>
      </c>
      <c r="F406" s="55" t="str">
        <f t="shared" si="35"/>
        <v/>
      </c>
      <c r="G406" s="106"/>
      <c r="H406" s="56" t="str">
        <f t="shared" si="36"/>
        <v/>
      </c>
      <c r="I406" s="2"/>
    </row>
    <row r="407" spans="1:9" x14ac:dyDescent="0.25">
      <c r="B407" s="57" t="str">
        <f>IF($A407=0,"",VLOOKUP($A407,'BASE EQUIPO'!$A:$D,2))</f>
        <v/>
      </c>
      <c r="C407" s="58"/>
      <c r="D407" s="59"/>
      <c r="E407" s="59" t="str">
        <f>IF($A407=0,"",VLOOKUP($A407,'BASE EQUIPO'!$A:$D,4))</f>
        <v/>
      </c>
      <c r="F407" s="59" t="str">
        <f t="shared" si="35"/>
        <v/>
      </c>
      <c r="G407" s="107"/>
      <c r="H407" s="60" t="str">
        <f t="shared" si="36"/>
        <v/>
      </c>
      <c r="I407" s="2"/>
    </row>
    <row r="408" spans="1:9" x14ac:dyDescent="0.25">
      <c r="B408" s="57" t="s">
        <v>1692</v>
      </c>
      <c r="C408" s="58"/>
      <c r="D408" s="61"/>
      <c r="E408" s="61"/>
      <c r="F408" s="61"/>
      <c r="G408" s="62"/>
      <c r="H408" s="60">
        <f>ROUND(SUM(H401:H407),2)</f>
        <v>0.71</v>
      </c>
      <c r="I408" s="2"/>
    </row>
    <row r="409" spans="1:9" x14ac:dyDescent="0.25">
      <c r="B409" s="38" t="s">
        <v>1503</v>
      </c>
      <c r="C409" s="2"/>
      <c r="D409" s="3"/>
      <c r="E409" s="3"/>
      <c r="F409" s="3"/>
      <c r="G409" s="63"/>
      <c r="H409" s="56"/>
      <c r="I409" s="2"/>
    </row>
    <row r="410" spans="1:9" ht="25.5" x14ac:dyDescent="0.25">
      <c r="B410" s="64" t="s">
        <v>1691</v>
      </c>
      <c r="C410" s="65"/>
      <c r="D410" s="66" t="s">
        <v>1690</v>
      </c>
      <c r="E410" s="66" t="s">
        <v>1689</v>
      </c>
      <c r="F410" s="66" t="s">
        <v>1688</v>
      </c>
      <c r="G410" s="67" t="s">
        <v>1687</v>
      </c>
      <c r="H410" s="68" t="s">
        <v>1686</v>
      </c>
      <c r="I410" s="2"/>
    </row>
    <row r="411" spans="1:9" x14ac:dyDescent="0.25">
      <c r="A411" s="103">
        <v>20001</v>
      </c>
      <c r="B411" s="69" t="str">
        <f>IF($A411=0,"",VLOOKUP($A411,'BASE M-OBRA'!$A:$D,2))</f>
        <v>MAESTRO</v>
      </c>
      <c r="C411" s="2"/>
      <c r="D411" s="108">
        <v>1</v>
      </c>
      <c r="E411" s="70">
        <f>IF($A411=0,"",VLOOKUP($A411,'BASE M-OBRA'!$A:$D,4))</f>
        <v>3.02</v>
      </c>
      <c r="F411" s="55">
        <f t="shared" ref="F411:F417" si="37">IF($A411=0,"",ROUND(D411*E411,2))</f>
        <v>3.02</v>
      </c>
      <c r="G411" s="106">
        <f>IF($A411=0,"",ROUND(H411/F411,2))</f>
        <v>0.28000000000000003</v>
      </c>
      <c r="H411" s="56">
        <f>IF($A411=0,"",ROUND(SUM(H412:H417)*'BASE M-OBRA'!$D$23,2))</f>
        <v>0.84</v>
      </c>
      <c r="I411" s="2"/>
    </row>
    <row r="412" spans="1:9" x14ac:dyDescent="0.25">
      <c r="A412" s="103">
        <v>20002</v>
      </c>
      <c r="B412" s="69" t="str">
        <f>IF($A412=0,"",VLOOKUP($A412,'BASE M-OBRA'!$A:$D,2))</f>
        <v>PEON</v>
      </c>
      <c r="C412" s="2"/>
      <c r="D412" s="108">
        <v>1</v>
      </c>
      <c r="E412" s="70">
        <f>IF($A412=0,"",VLOOKUP($A412,'BASE M-OBRA'!$A:$D,4))</f>
        <v>2.79</v>
      </c>
      <c r="F412" s="55">
        <f t="shared" si="37"/>
        <v>2.79</v>
      </c>
      <c r="G412" s="106">
        <v>0.5</v>
      </c>
      <c r="H412" s="56">
        <f t="shared" ref="H412:H417" si="38">IF($A412=0,"",ROUND(G412*F412,2))</f>
        <v>1.4</v>
      </c>
      <c r="I412" s="2"/>
    </row>
    <row r="413" spans="1:9" x14ac:dyDescent="0.25">
      <c r="A413" s="103">
        <v>20003</v>
      </c>
      <c r="B413" s="69" t="str">
        <f>IF($A413=0,"",VLOOKUP($A413,'BASE M-OBRA'!$A:$D,2))</f>
        <v>ALBAÑIL</v>
      </c>
      <c r="C413" s="2"/>
      <c r="D413" s="108">
        <v>2</v>
      </c>
      <c r="E413" s="70">
        <f>IF($A413=0,"",VLOOKUP($A413,'BASE M-OBRA'!$A:$D,4))</f>
        <v>2.82</v>
      </c>
      <c r="F413" s="55">
        <f t="shared" si="37"/>
        <v>5.64</v>
      </c>
      <c r="G413" s="106">
        <f>+G412</f>
        <v>0.5</v>
      </c>
      <c r="H413" s="56">
        <f t="shared" si="38"/>
        <v>2.82</v>
      </c>
      <c r="I413" s="2"/>
    </row>
    <row r="414" spans="1:9" x14ac:dyDescent="0.25">
      <c r="B414" s="71" t="str">
        <f>IF($A414=0,"",VLOOKUP($A414,'BASE M-OBRA'!$A:$D,2))</f>
        <v/>
      </c>
      <c r="C414" s="2"/>
      <c r="D414" s="108"/>
      <c r="E414" s="70" t="str">
        <f>IF($A414=0,"",VLOOKUP($A414,'BASE M-OBRA'!$A:$D,4))</f>
        <v/>
      </c>
      <c r="F414" s="55" t="str">
        <f t="shared" si="37"/>
        <v/>
      </c>
      <c r="G414" s="106"/>
      <c r="H414" s="56" t="str">
        <f t="shared" si="38"/>
        <v/>
      </c>
      <c r="I414" s="2"/>
    </row>
    <row r="415" spans="1:9" x14ac:dyDescent="0.25">
      <c r="B415" s="72" t="str">
        <f>IF($A415=0,"",VLOOKUP($A415,'BASE M-OBRA'!$A:$D,2))</f>
        <v/>
      </c>
      <c r="C415" s="2"/>
      <c r="D415" s="108"/>
      <c r="E415" s="70" t="str">
        <f>IF($A415=0,"",VLOOKUP($A415,'BASE M-OBRA'!$A:$D,4))</f>
        <v/>
      </c>
      <c r="F415" s="55" t="str">
        <f t="shared" si="37"/>
        <v/>
      </c>
      <c r="G415" s="106"/>
      <c r="H415" s="56" t="str">
        <f t="shared" si="38"/>
        <v/>
      </c>
      <c r="I415" s="2"/>
    </row>
    <row r="416" spans="1:9" x14ac:dyDescent="0.25">
      <c r="B416" s="38" t="str">
        <f>IF($A416=0,"",VLOOKUP($A416,'BASE M-OBRA'!$A:$D,2))</f>
        <v/>
      </c>
      <c r="C416" s="2"/>
      <c r="D416" s="55"/>
      <c r="E416" s="55" t="str">
        <f>IF($A416=0,"",VLOOKUP($A416,'BASE M-OBRA'!$A:$D,4))</f>
        <v/>
      </c>
      <c r="F416" s="55" t="str">
        <f t="shared" si="37"/>
        <v/>
      </c>
      <c r="G416" s="106"/>
      <c r="H416" s="56" t="str">
        <f t="shared" si="38"/>
        <v/>
      </c>
      <c r="I416" s="2"/>
    </row>
    <row r="417" spans="1:16" x14ac:dyDescent="0.25">
      <c r="B417" s="57" t="str">
        <f>IF($A417=0,"",VLOOKUP($A417,'BASE M-OBRA'!$A:$D,2))</f>
        <v/>
      </c>
      <c r="C417" s="58"/>
      <c r="D417" s="59"/>
      <c r="E417" s="59" t="str">
        <f>IF($A417=0,"",VLOOKUP($A417,'BASE M-OBRA'!$A:$D,4))</f>
        <v/>
      </c>
      <c r="F417" s="59" t="str">
        <f t="shared" si="37"/>
        <v/>
      </c>
      <c r="G417" s="107"/>
      <c r="H417" s="60" t="str">
        <f t="shared" si="38"/>
        <v/>
      </c>
      <c r="I417" s="2"/>
    </row>
    <row r="418" spans="1:16" x14ac:dyDescent="0.25">
      <c r="B418" s="73" t="s">
        <v>1685</v>
      </c>
      <c r="C418" s="65"/>
      <c r="D418" s="74"/>
      <c r="E418" s="74"/>
      <c r="F418" s="74"/>
      <c r="G418" s="74"/>
      <c r="H418" s="75">
        <f>ROUND(SUM(H410:H417),2)</f>
        <v>5.0599999999999996</v>
      </c>
      <c r="I418" s="2"/>
    </row>
    <row r="419" spans="1:16" x14ac:dyDescent="0.25">
      <c r="B419" s="38" t="s">
        <v>1684</v>
      </c>
      <c r="C419" s="2"/>
      <c r="D419" s="3"/>
      <c r="E419" s="3"/>
      <c r="F419" s="3"/>
      <c r="G419" s="3"/>
      <c r="H419" s="56"/>
      <c r="I419" s="2"/>
    </row>
    <row r="420" spans="1:16" ht="25.5" x14ac:dyDescent="0.25">
      <c r="B420" s="64" t="s">
        <v>1409</v>
      </c>
      <c r="C420" s="65"/>
      <c r="D420" s="76"/>
      <c r="E420" s="66" t="s">
        <v>1408</v>
      </c>
      <c r="F420" s="66" t="s">
        <v>1679</v>
      </c>
      <c r="G420" s="66" t="s">
        <v>1683</v>
      </c>
      <c r="H420" s="68" t="s">
        <v>1675</v>
      </c>
      <c r="I420" s="2"/>
    </row>
    <row r="421" spans="1:16" x14ac:dyDescent="0.25">
      <c r="A421" s="103">
        <v>7013</v>
      </c>
      <c r="B421" s="38" t="str">
        <f>IF($A421=0,"",VLOOKUP($A421,'BASE MATERIAL'!$A:$D,2))</f>
        <v>CERAMICA PISO</v>
      </c>
      <c r="C421" s="2"/>
      <c r="D421" s="77"/>
      <c r="E421" s="78" t="str">
        <f>IF($A421=0,"",VLOOKUP($A421,'BASE MATERIAL'!$A:$D,3))</f>
        <v>M2</v>
      </c>
      <c r="F421" s="55">
        <v>1.05</v>
      </c>
      <c r="G421" s="55">
        <f>IF($A421=0,"",VLOOKUP($A421,'BASE MATERIAL'!$A:$D,4))</f>
        <v>11.85</v>
      </c>
      <c r="H421" s="56">
        <f>IF($A421=0,"",ROUND(F421*G421,2))</f>
        <v>12.44</v>
      </c>
      <c r="I421" s="2"/>
      <c r="L421" s="2"/>
      <c r="M421" s="2"/>
      <c r="N421" s="39"/>
      <c r="O421" s="2"/>
      <c r="P421" s="2"/>
    </row>
    <row r="422" spans="1:16" x14ac:dyDescent="0.25">
      <c r="A422" s="103">
        <v>14030</v>
      </c>
      <c r="B422" s="38" t="str">
        <f>IF($A422=0,"",VLOOKUP($A422,'BASE MATERIAL'!$A:$D,2))</f>
        <v>BONDEX PLUS</v>
      </c>
      <c r="C422" s="2"/>
      <c r="D422" s="77"/>
      <c r="E422" s="78" t="str">
        <f>IF($A422=0,"",VLOOKUP($A422,'BASE MATERIAL'!$A:$D,3))</f>
        <v>KG</v>
      </c>
      <c r="F422" s="55">
        <v>6</v>
      </c>
      <c r="G422" s="55">
        <f>IF($A422=0,"",VLOOKUP($A422,'BASE MATERIAL'!$A:$D,4))</f>
        <v>0.36691200000000002</v>
      </c>
      <c r="H422" s="56">
        <f>IF($A422=0,"",ROUND(F422*G422,2))</f>
        <v>2.2000000000000002</v>
      </c>
      <c r="I422" s="2"/>
      <c r="L422" s="2"/>
      <c r="M422" s="2"/>
      <c r="N422" s="39"/>
      <c r="O422" s="2"/>
      <c r="P422" s="2"/>
    </row>
    <row r="423" spans="1:16" x14ac:dyDescent="0.25">
      <c r="A423" s="103">
        <v>7019</v>
      </c>
      <c r="B423" s="38" t="str">
        <f>IF($A423=0,"",VLOOKUP($A423,'BASE MATERIAL'!$A:$D,2))</f>
        <v>PORCELANA</v>
      </c>
      <c r="C423" s="2"/>
      <c r="D423" s="77"/>
      <c r="E423" s="78" t="str">
        <f>IF($A423=0,"",VLOOKUP($A423,'BASE MATERIAL'!$A:$D,3))</f>
        <v>KG</v>
      </c>
      <c r="F423" s="55">
        <v>0.3</v>
      </c>
      <c r="G423" s="55">
        <f>IF($A423=0,"",VLOOKUP($A423,'BASE MATERIAL'!$A:$D,4))</f>
        <v>0.73499999999999999</v>
      </c>
      <c r="H423" s="56">
        <f t="shared" ref="H423:H435" si="39">IF($A423=0,"",ROUND(F423*G423,2))</f>
        <v>0.22</v>
      </c>
      <c r="I423" s="2"/>
      <c r="L423" s="2"/>
      <c r="M423" s="2"/>
      <c r="N423" s="39"/>
      <c r="O423" s="2"/>
      <c r="P423" s="2"/>
    </row>
    <row r="424" spans="1:16" x14ac:dyDescent="0.25">
      <c r="B424" s="38" t="str">
        <f>IF($A424=0,"",VLOOKUP($A424,'BASE MATERIAL'!$A:$D,2))</f>
        <v/>
      </c>
      <c r="C424" s="2"/>
      <c r="D424" s="77"/>
      <c r="E424" s="78" t="str">
        <f>IF($A424=0,"",VLOOKUP($A424,'BASE MATERIAL'!$A:$D,3))</f>
        <v/>
      </c>
      <c r="F424" s="55"/>
      <c r="G424" s="55" t="str">
        <f>IF($A424=0,"",VLOOKUP($A424,'BASE MATERIAL'!$A:$D,4))</f>
        <v/>
      </c>
      <c r="H424" s="56" t="str">
        <f t="shared" si="39"/>
        <v/>
      </c>
      <c r="I424" s="2"/>
      <c r="L424" s="2"/>
      <c r="M424" s="2"/>
      <c r="N424" s="39"/>
      <c r="O424" s="2"/>
      <c r="P424" s="2"/>
    </row>
    <row r="425" spans="1:16" x14ac:dyDescent="0.25">
      <c r="B425" s="38" t="str">
        <f>IF($A425=0,"",VLOOKUP($A425,'BASE MATERIAL'!$A:$D,2))</f>
        <v/>
      </c>
      <c r="C425" s="2"/>
      <c r="D425" s="77"/>
      <c r="E425" s="78" t="str">
        <f>IF($A425=0,"",VLOOKUP($A425,'BASE MATERIAL'!$A:$D,3))</f>
        <v/>
      </c>
      <c r="F425" s="55"/>
      <c r="G425" s="55" t="str">
        <f>IF($A425=0,"",VLOOKUP($A425,'BASE MATERIAL'!$A:$D,4))</f>
        <v/>
      </c>
      <c r="H425" s="56" t="str">
        <f t="shared" si="39"/>
        <v/>
      </c>
      <c r="I425" s="2"/>
      <c r="L425" s="2"/>
      <c r="M425" s="2"/>
      <c r="N425" s="39"/>
      <c r="O425" s="2"/>
      <c r="P425" s="2"/>
    </row>
    <row r="426" spans="1:16" x14ac:dyDescent="0.25">
      <c r="B426" s="38" t="str">
        <f>IF($A426=0,"",VLOOKUP($A426,'BASE MATERIAL'!$A:$D,2))</f>
        <v/>
      </c>
      <c r="C426" s="2"/>
      <c r="D426" s="77"/>
      <c r="E426" s="78" t="str">
        <f>IF($A426=0,"",VLOOKUP($A426,'BASE MATERIAL'!$A:$D,3))</f>
        <v/>
      </c>
      <c r="F426" s="55"/>
      <c r="G426" s="80" t="str">
        <f>IF($A426=0,"",VLOOKUP($A426,'BASE MATERIAL'!$A:$D,4))</f>
        <v/>
      </c>
      <c r="H426" s="56" t="str">
        <f t="shared" si="39"/>
        <v/>
      </c>
      <c r="I426" s="2"/>
      <c r="L426" s="2"/>
      <c r="M426" s="2"/>
      <c r="N426" s="39"/>
      <c r="O426" s="2"/>
      <c r="P426" s="2"/>
    </row>
    <row r="427" spans="1:16" x14ac:dyDescent="0.25">
      <c r="B427" s="38" t="str">
        <f>IF($A427=0,"",VLOOKUP($A427,'BASE MATERIAL'!$A:$D,2))</f>
        <v/>
      </c>
      <c r="C427" s="2"/>
      <c r="D427" s="77"/>
      <c r="E427" s="78" t="str">
        <f>IF($A427=0,"",VLOOKUP($A427,'BASE MATERIAL'!$A:$D,3))</f>
        <v/>
      </c>
      <c r="F427" s="55"/>
      <c r="G427" s="55" t="str">
        <f>IF($A427=0,"",VLOOKUP($A427,'BASE MATERIAL'!$A:$D,4))</f>
        <v/>
      </c>
      <c r="H427" s="56" t="str">
        <f t="shared" si="39"/>
        <v/>
      </c>
      <c r="I427" s="2"/>
      <c r="L427" s="2"/>
      <c r="M427" s="2"/>
      <c r="N427" s="39"/>
      <c r="O427" s="2"/>
      <c r="P427" s="2"/>
    </row>
    <row r="428" spans="1:16" x14ac:dyDescent="0.25">
      <c r="B428" s="38" t="str">
        <f>IF($A428=0,"",VLOOKUP($A428,'BASE MATERIAL'!$A:$D,2))</f>
        <v/>
      </c>
      <c r="C428" s="2"/>
      <c r="D428" s="77"/>
      <c r="E428" s="78" t="str">
        <f>IF($A428=0,"",VLOOKUP($A428,'BASE MATERIAL'!$A:$D,3))</f>
        <v/>
      </c>
      <c r="F428" s="55"/>
      <c r="G428" s="55" t="str">
        <f>IF($A428=0,"",VLOOKUP($A428,'BASE MATERIAL'!$A:$D,4))</f>
        <v/>
      </c>
      <c r="H428" s="56" t="str">
        <f t="shared" si="39"/>
        <v/>
      </c>
      <c r="I428" s="2"/>
      <c r="L428" s="2"/>
      <c r="M428" s="2"/>
      <c r="N428" s="39"/>
      <c r="O428" s="2"/>
      <c r="P428" s="2"/>
    </row>
    <row r="429" spans="1:16" x14ac:dyDescent="0.25">
      <c r="B429" s="38" t="str">
        <f>IF($A429=0,"",VLOOKUP($A429,'BASE MATERIAL'!$A:$D,2))</f>
        <v/>
      </c>
      <c r="C429" s="2"/>
      <c r="D429" s="77"/>
      <c r="E429" s="78" t="str">
        <f>IF($A429=0,"",VLOOKUP($A429,'BASE MATERIAL'!$A:$D,3))</f>
        <v/>
      </c>
      <c r="F429" s="55"/>
      <c r="G429" s="55" t="str">
        <f>IF($A429=0,"",VLOOKUP($A429,'BASE MATERIAL'!$A:$D,4))</f>
        <v/>
      </c>
      <c r="H429" s="56" t="str">
        <f t="shared" si="39"/>
        <v/>
      </c>
      <c r="I429" s="2"/>
    </row>
    <row r="430" spans="1:16" x14ac:dyDescent="0.25">
      <c r="B430" s="38" t="str">
        <f>IF($A430=0,"",VLOOKUP($A430,'BASE MATERIAL'!$A:$D,2))</f>
        <v/>
      </c>
      <c r="C430" s="2"/>
      <c r="D430" s="77"/>
      <c r="E430" s="78" t="str">
        <f>IF($A430=0,"",VLOOKUP($A430,'BASE MATERIAL'!$A:$D,3))</f>
        <v/>
      </c>
      <c r="F430" s="55"/>
      <c r="G430" s="55" t="str">
        <f>IF($A430=0,"",VLOOKUP($A430,'BASE MATERIAL'!$A:$D,4))</f>
        <v/>
      </c>
      <c r="H430" s="56" t="str">
        <f t="shared" si="39"/>
        <v/>
      </c>
      <c r="I430" s="2"/>
      <c r="L430" s="2"/>
      <c r="M430" s="2"/>
      <c r="N430" s="39"/>
      <c r="O430" s="2"/>
      <c r="P430" s="2"/>
    </row>
    <row r="431" spans="1:16" x14ac:dyDescent="0.25">
      <c r="B431" s="38" t="str">
        <f>IF($A431=0,"",VLOOKUP($A431,'BASE MATERIAL'!$A:$D,2))</f>
        <v/>
      </c>
      <c r="C431" s="2"/>
      <c r="D431" s="77"/>
      <c r="E431" s="78" t="str">
        <f>IF($A431=0,"",VLOOKUP($A431,'BASE MATERIAL'!$A:$D,3))</f>
        <v/>
      </c>
      <c r="F431" s="55"/>
      <c r="G431" s="55" t="str">
        <f>IF($A431=0,"",VLOOKUP($A431,'BASE MATERIAL'!$A:$D,4))</f>
        <v/>
      </c>
      <c r="H431" s="56" t="str">
        <f t="shared" si="39"/>
        <v/>
      </c>
      <c r="I431" s="2"/>
      <c r="L431" s="2"/>
      <c r="M431" s="2"/>
      <c r="N431" s="39"/>
      <c r="O431" s="2"/>
      <c r="P431" s="2"/>
    </row>
    <row r="432" spans="1:16" x14ac:dyDescent="0.25">
      <c r="B432" s="38" t="str">
        <f>IF($A432=0,"",VLOOKUP($A432,'BASE MATERIAL'!$A:$D,2))</f>
        <v/>
      </c>
      <c r="C432" s="2"/>
      <c r="D432" s="77"/>
      <c r="E432" s="78" t="str">
        <f>IF($A432=0,"",VLOOKUP($A432,'BASE MATERIAL'!$A:$D,3))</f>
        <v/>
      </c>
      <c r="F432" s="55"/>
      <c r="G432" s="55" t="str">
        <f>IF($A432=0,"",VLOOKUP($A432,'BASE MATERIAL'!$A:$D,4))</f>
        <v/>
      </c>
      <c r="H432" s="56" t="str">
        <f t="shared" si="39"/>
        <v/>
      </c>
      <c r="I432" s="2"/>
    </row>
    <row r="433" spans="1:9" x14ac:dyDescent="0.25">
      <c r="B433" s="38" t="str">
        <f>IF($A433=0,"",VLOOKUP($A433,'BASE MATERIAL'!$A:$D,2))</f>
        <v/>
      </c>
      <c r="C433" s="2"/>
      <c r="D433" s="77"/>
      <c r="E433" s="78" t="str">
        <f>IF($A433=0,"",VLOOKUP($A433,'BASE MATERIAL'!$A:$D,3))</f>
        <v/>
      </c>
      <c r="F433" s="55"/>
      <c r="G433" s="55" t="str">
        <f>IF($A433=0,"",VLOOKUP($A433,'BASE MATERIAL'!$A:$D,4))</f>
        <v/>
      </c>
      <c r="H433" s="56" t="str">
        <f t="shared" si="39"/>
        <v/>
      </c>
      <c r="I433" s="2"/>
    </row>
    <row r="434" spans="1:9" x14ac:dyDescent="0.25">
      <c r="B434" s="38" t="str">
        <f>IF($A434=0,"",VLOOKUP($A434,'BASE MATERIAL'!$A:$D,2))</f>
        <v/>
      </c>
      <c r="C434" s="2"/>
      <c r="D434" s="77"/>
      <c r="E434" s="78" t="str">
        <f>IF($A434=0,"",VLOOKUP($A434,'BASE MATERIAL'!$A:$D,3))</f>
        <v/>
      </c>
      <c r="F434" s="55"/>
      <c r="G434" s="55" t="str">
        <f>IF($A434=0,"",VLOOKUP($A434,'BASE MATERIAL'!$A:$D,4))</f>
        <v/>
      </c>
      <c r="H434" s="56" t="str">
        <f t="shared" si="39"/>
        <v/>
      </c>
      <c r="I434" s="2"/>
    </row>
    <row r="435" spans="1:9" x14ac:dyDescent="0.25">
      <c r="B435" s="38" t="str">
        <f>IF($A435=0,"",VLOOKUP($A435,'BASE MATERIAL'!$A:$D,2))</f>
        <v/>
      </c>
      <c r="C435" s="2"/>
      <c r="D435" s="77"/>
      <c r="E435" s="78" t="str">
        <f>IF($A435=0,"",VLOOKUP($A435,'BASE MATERIAL'!$A:$D,3))</f>
        <v/>
      </c>
      <c r="F435" s="55"/>
      <c r="G435" s="55" t="str">
        <f>IF($A435=0,"",VLOOKUP($A435,'BASE MATERIAL'!$A:$D,4))</f>
        <v/>
      </c>
      <c r="H435" s="56" t="str">
        <f t="shared" si="39"/>
        <v/>
      </c>
      <c r="I435" s="2"/>
    </row>
    <row r="436" spans="1:9" x14ac:dyDescent="0.25">
      <c r="B436" s="38" t="str">
        <f>IF($A436=0,"",VLOOKUP($A436,'BASE MATERIAL'!$A:$D,2))</f>
        <v/>
      </c>
      <c r="C436" s="2"/>
      <c r="D436" s="81" t="s">
        <v>1682</v>
      </c>
      <c r="E436" s="55" t="str">
        <f>IF($A436=0,"",VLOOKUP($A436,'BASE MATERIAL'!$A:$D,3))</f>
        <v/>
      </c>
      <c r="F436" s="55" t="s">
        <v>1682</v>
      </c>
      <c r="G436" s="55" t="str">
        <f>IF($A436=0,"",VLOOKUP($A436,'BASE MATERIAL'!$A:$D,4))</f>
        <v/>
      </c>
      <c r="H436" s="56" t="str">
        <f>IF($A436=0,"",ROUND(E436*F436,2))</f>
        <v/>
      </c>
      <c r="I436" s="2"/>
    </row>
    <row r="437" spans="1:9" x14ac:dyDescent="0.25">
      <c r="B437" s="73" t="s">
        <v>1681</v>
      </c>
      <c r="C437" s="65"/>
      <c r="D437" s="74"/>
      <c r="E437" s="74"/>
      <c r="F437" s="74"/>
      <c r="G437" s="74"/>
      <c r="H437" s="75">
        <f>ROUND(SUM(H420:H436),2)</f>
        <v>14.86</v>
      </c>
      <c r="I437" s="2"/>
    </row>
    <row r="438" spans="1:9" x14ac:dyDescent="0.25">
      <c r="B438" s="38" t="s">
        <v>1680</v>
      </c>
      <c r="C438" s="2"/>
      <c r="D438" s="3"/>
      <c r="E438" s="3"/>
      <c r="F438" s="3"/>
      <c r="G438" s="3"/>
      <c r="H438" s="56"/>
      <c r="I438" s="2"/>
    </row>
    <row r="439" spans="1:9" ht="25.5" x14ac:dyDescent="0.25">
      <c r="B439" s="64" t="s">
        <v>1409</v>
      </c>
      <c r="C439" s="65"/>
      <c r="D439" s="76"/>
      <c r="E439" s="66" t="s">
        <v>1408</v>
      </c>
      <c r="F439" s="66" t="s">
        <v>1679</v>
      </c>
      <c r="G439" s="66" t="s">
        <v>1676</v>
      </c>
      <c r="H439" s="68" t="s">
        <v>1675</v>
      </c>
      <c r="I439" s="2"/>
    </row>
    <row r="440" spans="1:9" x14ac:dyDescent="0.25">
      <c r="A440" s="103">
        <v>19019</v>
      </c>
      <c r="B440" s="51" t="str">
        <f>IF($A440=0,"",VLOOKUP($A440,'BASE EQUIPO'!$A:$D,2))</f>
        <v>TRANSPORTE DE MATERIAL</v>
      </c>
      <c r="C440" s="52"/>
      <c r="D440" s="82"/>
      <c r="E440" s="78" t="str">
        <f>IF($A440=0,"",VLOOKUP($A440,'BASE EQUIPO'!$A:$D,3))</f>
        <v>GLOBAL</v>
      </c>
      <c r="F440" s="55">
        <v>1</v>
      </c>
      <c r="G440" s="83">
        <f>IF($A440=0,"",VLOOKUP($A440,'BASE EQUIPO'!$A:$D,4)*H437)</f>
        <v>0.44579999999999997</v>
      </c>
      <c r="H440" s="56">
        <f>IF($A440=0,"",ROUND(F440*G440,2))</f>
        <v>0.45</v>
      </c>
      <c r="I440" s="2"/>
    </row>
    <row r="441" spans="1:9" x14ac:dyDescent="0.25">
      <c r="B441" s="38" t="str">
        <f>IF($A441=0,"",VLOOKUP($A441,'BASE EQUIPO'!$A:$D,2))</f>
        <v/>
      </c>
      <c r="C441" s="2"/>
      <c r="D441" s="84"/>
      <c r="E441" s="78" t="str">
        <f>IF($A441=0,"",VLOOKUP($A441,'BASE EQUIPO'!$A:$D,3))</f>
        <v/>
      </c>
      <c r="F441" s="55"/>
      <c r="G441" s="55" t="str">
        <f>IF($A441=0,"",VLOOKUP($A441,'BASE EQUIPO'!$A:$D,4)*H438)</f>
        <v/>
      </c>
      <c r="H441" s="56" t="str">
        <f>IF($A441=0,"",ROUND(F441*G441,2))</f>
        <v/>
      </c>
      <c r="I441" s="2"/>
    </row>
    <row r="442" spans="1:9" x14ac:dyDescent="0.25">
      <c r="B442" s="57" t="str">
        <f>IF($A442=0,"",VLOOKUP($A442,'BASE EQUIPO'!$A:$D,2))</f>
        <v/>
      </c>
      <c r="C442" s="58"/>
      <c r="D442" s="85"/>
      <c r="E442" s="86" t="str">
        <f>IF($A442=0,"",VLOOKUP($A442,'BASE EQUIPO'!$A:$D,3))</f>
        <v/>
      </c>
      <c r="F442" s="59"/>
      <c r="G442" s="59" t="str">
        <f>IF($A442=0,"",VLOOKUP($A442,'BASE EQUIPO'!$A:$D,4)*H439)</f>
        <v/>
      </c>
      <c r="H442" s="60" t="str">
        <f>IF($A442=0,"",ROUND(F442*G442,2))</f>
        <v/>
      </c>
      <c r="I442" s="2"/>
    </row>
    <row r="443" spans="1:9" ht="15.75" thickBot="1" x14ac:dyDescent="0.3">
      <c r="B443" s="87" t="s">
        <v>1674</v>
      </c>
      <c r="C443" s="88"/>
      <c r="D443" s="89"/>
      <c r="E443" s="89"/>
      <c r="F443" s="89"/>
      <c r="G443" s="89"/>
      <c r="H443" s="90">
        <f>ROUND(SUM(H439:H442),2)</f>
        <v>0.45</v>
      </c>
      <c r="I443" s="2"/>
    </row>
    <row r="444" spans="1:9" ht="15.75" x14ac:dyDescent="0.25">
      <c r="B444" s="2"/>
      <c r="C444" s="2"/>
      <c r="D444" s="91" t="s">
        <v>1673</v>
      </c>
      <c r="E444" s="47"/>
      <c r="F444" s="47"/>
      <c r="G444" s="47"/>
      <c r="H444" s="92">
        <f>ROUND(SUM(H443,H437,H418,H408),2)</f>
        <v>21.08</v>
      </c>
      <c r="I444" s="2"/>
    </row>
    <row r="445" spans="1:9" ht="15.75" x14ac:dyDescent="0.25">
      <c r="A445" s="103">
        <v>40002</v>
      </c>
      <c r="B445" s="2"/>
      <c r="C445" s="2"/>
      <c r="D445" s="93" t="s">
        <v>1672</v>
      </c>
      <c r="E445" s="65"/>
      <c r="F445" s="65"/>
      <c r="G445" s="94">
        <f>IF($A445=0,"",VLOOKUP($A445,'BASE MATERIAL'!$M:$P,4))</f>
        <v>0</v>
      </c>
      <c r="H445" s="95">
        <f>IF($A445=0,"",ROUND(G445*H444,2))</f>
        <v>0</v>
      </c>
      <c r="I445" s="2"/>
    </row>
    <row r="446" spans="1:9" ht="15.75" x14ac:dyDescent="0.25">
      <c r="A446" s="103">
        <v>40003</v>
      </c>
      <c r="B446" s="2"/>
      <c r="C446" s="2"/>
      <c r="D446" s="93" t="s">
        <v>1671</v>
      </c>
      <c r="E446" s="65"/>
      <c r="F446" s="65"/>
      <c r="G446" s="94">
        <f>IF($A446=0,"",VLOOKUP($A446,'BASE MATERIAL'!$M:$P,4))</f>
        <v>0</v>
      </c>
      <c r="H446" s="95">
        <f>IF($A446=0,"",ROUND(G446*H444,2))</f>
        <v>0</v>
      </c>
      <c r="I446" s="2"/>
    </row>
    <row r="447" spans="1:9" ht="15.75" x14ac:dyDescent="0.25">
      <c r="B447" s="2"/>
      <c r="C447" s="2"/>
      <c r="D447" s="93" t="s">
        <v>1670</v>
      </c>
      <c r="E447" s="65"/>
      <c r="F447" s="65"/>
      <c r="G447" s="65"/>
      <c r="H447" s="96">
        <f>ROUND(SUM(H444:H446),2)</f>
        <v>21.08</v>
      </c>
      <c r="I447" s="2"/>
    </row>
    <row r="448" spans="1:9" ht="16.5" thickBot="1" x14ac:dyDescent="0.3">
      <c r="B448" s="25"/>
      <c r="C448" s="2"/>
      <c r="D448" s="97" t="s">
        <v>1650</v>
      </c>
      <c r="E448" s="88"/>
      <c r="F448" s="88"/>
      <c r="G448" s="88"/>
      <c r="H448" s="98">
        <f>ROUND(H447,2)</f>
        <v>21.08</v>
      </c>
      <c r="I448" s="2"/>
    </row>
    <row r="449" spans="1:15" ht="15.75" x14ac:dyDescent="0.25">
      <c r="B449" s="34" t="s">
        <v>1701</v>
      </c>
      <c r="C449" s="2"/>
      <c r="D449" s="3" t="s">
        <v>1702</v>
      </c>
      <c r="E449" s="2"/>
      <c r="F449" s="2"/>
      <c r="H449" s="2" t="s">
        <v>108</v>
      </c>
      <c r="I449" s="2"/>
      <c r="L449" s="40">
        <f>A453</f>
        <v>0</v>
      </c>
      <c r="M449" s="1" t="str">
        <f>C454</f>
        <v>Revestimiento de escalera</v>
      </c>
      <c r="N449" s="2" t="str">
        <f>H453</f>
        <v>m2</v>
      </c>
      <c r="O449" s="2">
        <f>H504</f>
        <v>39.56</v>
      </c>
    </row>
    <row r="450" spans="1:15" ht="15.75" x14ac:dyDescent="0.25">
      <c r="B450" s="34" t="s">
        <v>1700</v>
      </c>
      <c r="C450" s="3">
        <f>'1.1'!$C$2</f>
        <v>0</v>
      </c>
      <c r="D450" s="2"/>
      <c r="E450" s="2"/>
      <c r="F450" s="2"/>
      <c r="G450" s="41" t="s">
        <v>1699</v>
      </c>
      <c r="H450" s="42"/>
      <c r="I450" s="2" t="s">
        <v>1698</v>
      </c>
    </row>
    <row r="451" spans="1:15" ht="15.75" x14ac:dyDescent="0.25">
      <c r="B451" s="34"/>
      <c r="C451" s="3">
        <f>'1.1'!$C$3</f>
        <v>0</v>
      </c>
      <c r="D451" s="2"/>
      <c r="E451" s="2"/>
      <c r="F451" s="2"/>
      <c r="G451" s="2"/>
      <c r="H451" s="2"/>
      <c r="I451" s="2"/>
    </row>
    <row r="452" spans="1:15" ht="15.75" x14ac:dyDescent="0.25">
      <c r="B452" s="34" t="s">
        <v>1697</v>
      </c>
      <c r="C452" s="3"/>
      <c r="D452" s="2"/>
      <c r="E452" s="2"/>
      <c r="F452" s="2"/>
      <c r="G452" s="2"/>
      <c r="H452" s="2"/>
      <c r="I452" s="2"/>
    </row>
    <row r="453" spans="1:15" x14ac:dyDescent="0.25">
      <c r="A453" s="104">
        <f>+A288</f>
        <v>0</v>
      </c>
      <c r="B453" s="2" t="s">
        <v>1586</v>
      </c>
      <c r="C453" s="36" t="s">
        <v>677</v>
      </c>
      <c r="D453" s="2"/>
      <c r="G453" s="2" t="s">
        <v>1696</v>
      </c>
      <c r="H453" s="3" t="s">
        <v>1520</v>
      </c>
      <c r="I453" s="2"/>
    </row>
    <row r="454" spans="1:15" x14ac:dyDescent="0.25">
      <c r="B454" s="1" t="s">
        <v>1585</v>
      </c>
      <c r="C454" s="36" t="s">
        <v>1458</v>
      </c>
      <c r="D454" s="2"/>
      <c r="E454" s="2"/>
      <c r="F454" s="2"/>
      <c r="G454" s="2"/>
      <c r="H454" s="2"/>
      <c r="I454" s="2"/>
    </row>
    <row r="455" spans="1:15" ht="15.75" thickBot="1" x14ac:dyDescent="0.3">
      <c r="D455" s="2"/>
      <c r="E455" s="2"/>
      <c r="F455" s="2"/>
      <c r="G455" s="2"/>
      <c r="H455" s="2"/>
      <c r="I455" s="2"/>
    </row>
    <row r="456" spans="1:15" ht="15.75" thickBot="1" x14ac:dyDescent="0.3">
      <c r="B456" s="43" t="s">
        <v>1695</v>
      </c>
      <c r="C456" s="44"/>
      <c r="D456" s="44"/>
      <c r="E456" s="44"/>
      <c r="F456" s="44"/>
      <c r="G456" s="44"/>
      <c r="H456" s="45"/>
      <c r="I456" s="2"/>
    </row>
    <row r="457" spans="1:15" ht="25.5" x14ac:dyDescent="0.25">
      <c r="B457" s="46" t="s">
        <v>1409</v>
      </c>
      <c r="C457" s="47"/>
      <c r="D457" s="48" t="s">
        <v>1690</v>
      </c>
      <c r="E457" s="48" t="s">
        <v>1694</v>
      </c>
      <c r="F457" s="48" t="s">
        <v>1693</v>
      </c>
      <c r="G457" s="49" t="s">
        <v>1687</v>
      </c>
      <c r="H457" s="50" t="s">
        <v>1686</v>
      </c>
      <c r="I457" s="2"/>
    </row>
    <row r="458" spans="1:15" x14ac:dyDescent="0.25">
      <c r="A458" s="103">
        <v>19015</v>
      </c>
      <c r="B458" s="51" t="str">
        <f>IF($A458=0,"",VLOOKUP($A458,'BASE EQUIPO'!$A:$D,2))</f>
        <v>HERRAMIENTA MENOR</v>
      </c>
      <c r="C458" s="52"/>
      <c r="D458" s="53">
        <v>1</v>
      </c>
      <c r="E458" s="53">
        <f>IF($A458=0,"",VLOOKUP($A458,'BASE EQUIPO'!$A:$D,4)*H474)</f>
        <v>0.2424</v>
      </c>
      <c r="F458" s="53">
        <f t="shared" ref="F458:F463" si="40">IF($A458=0,"",ROUND(D458*E458,2))</f>
        <v>0.24</v>
      </c>
      <c r="G458" s="105">
        <v>1</v>
      </c>
      <c r="H458" s="54">
        <f t="shared" ref="H458:H463" si="41">IF($A458=0,"",ROUND(G458*F458,2))</f>
        <v>0.24</v>
      </c>
      <c r="I458" s="2"/>
    </row>
    <row r="459" spans="1:15" x14ac:dyDescent="0.25">
      <c r="A459" s="103">
        <v>19026</v>
      </c>
      <c r="B459" s="38" t="str">
        <f>IF($A459=0,"",VLOOKUP($A459,'BASE EQUIPO'!$A:$D,2))</f>
        <v>CORTADORA ELECTRICA</v>
      </c>
      <c r="C459" s="2"/>
      <c r="D459" s="55">
        <v>1</v>
      </c>
      <c r="E459" s="55">
        <f>IF($A459=0,"",VLOOKUP($A459,'BASE EQUIPO'!$A:$D,4))</f>
        <v>1.875</v>
      </c>
      <c r="F459" s="55">
        <f t="shared" si="40"/>
        <v>1.88</v>
      </c>
      <c r="G459" s="106">
        <v>0.3</v>
      </c>
      <c r="H459" s="56">
        <f t="shared" si="41"/>
        <v>0.56000000000000005</v>
      </c>
      <c r="I459" s="2"/>
    </row>
    <row r="460" spans="1:15" x14ac:dyDescent="0.25">
      <c r="B460" s="38" t="str">
        <f>IF($A460=0,"",VLOOKUP($A460,'BASE EQUIPO'!$A:$D,2))</f>
        <v/>
      </c>
      <c r="C460" s="2"/>
      <c r="D460" s="55"/>
      <c r="E460" s="55" t="str">
        <f>IF($A460=0,"",VLOOKUP($A460,'BASE EQUIPO'!$A:$D,4))</f>
        <v/>
      </c>
      <c r="F460" s="55" t="str">
        <f t="shared" si="40"/>
        <v/>
      </c>
      <c r="G460" s="106"/>
      <c r="H460" s="56" t="str">
        <f t="shared" si="41"/>
        <v/>
      </c>
      <c r="I460" s="2"/>
    </row>
    <row r="461" spans="1:15" x14ac:dyDescent="0.25">
      <c r="B461" s="38" t="str">
        <f>IF($A461=0,"",VLOOKUP($A461,'BASE EQUIPO'!$A:$D,2))</f>
        <v/>
      </c>
      <c r="C461" s="2"/>
      <c r="D461" s="55"/>
      <c r="E461" s="55" t="str">
        <f>IF($A461=0,"",VLOOKUP($A461,'BASE EQUIPO'!$A:$D,4))</f>
        <v/>
      </c>
      <c r="F461" s="55" t="str">
        <f t="shared" si="40"/>
        <v/>
      </c>
      <c r="G461" s="106"/>
      <c r="H461" s="56" t="str">
        <f t="shared" si="41"/>
        <v/>
      </c>
      <c r="I461" s="2"/>
    </row>
    <row r="462" spans="1:15" x14ac:dyDescent="0.25">
      <c r="B462" s="38" t="str">
        <f>IF($A462=0,"",VLOOKUP($A462,'BASE EQUIPO'!$A:$D,2))</f>
        <v/>
      </c>
      <c r="C462" s="2"/>
      <c r="D462" s="55"/>
      <c r="E462" s="55" t="str">
        <f>IF($A462=0,"",VLOOKUP($A462,'BASE EQUIPO'!$A:$D,4))</f>
        <v/>
      </c>
      <c r="F462" s="55" t="str">
        <f t="shared" si="40"/>
        <v/>
      </c>
      <c r="G462" s="106"/>
      <c r="H462" s="56" t="str">
        <f t="shared" si="41"/>
        <v/>
      </c>
      <c r="I462" s="2"/>
    </row>
    <row r="463" spans="1:15" x14ac:dyDescent="0.25">
      <c r="B463" s="57" t="str">
        <f>IF($A463=0,"",VLOOKUP($A463,'BASE EQUIPO'!$A:$D,2))</f>
        <v/>
      </c>
      <c r="C463" s="58"/>
      <c r="D463" s="59"/>
      <c r="E463" s="59" t="str">
        <f>IF($A463=0,"",VLOOKUP($A463,'BASE EQUIPO'!$A:$D,4))</f>
        <v/>
      </c>
      <c r="F463" s="59" t="str">
        <f t="shared" si="40"/>
        <v/>
      </c>
      <c r="G463" s="107"/>
      <c r="H463" s="60" t="str">
        <f t="shared" si="41"/>
        <v/>
      </c>
      <c r="I463" s="2"/>
    </row>
    <row r="464" spans="1:15" x14ac:dyDescent="0.25">
      <c r="B464" s="57" t="s">
        <v>1692</v>
      </c>
      <c r="C464" s="58"/>
      <c r="D464" s="61"/>
      <c r="E464" s="61"/>
      <c r="F464" s="61"/>
      <c r="G464" s="62"/>
      <c r="H464" s="60">
        <f>ROUND(SUM(H457:H463),2)</f>
        <v>0.8</v>
      </c>
      <c r="I464" s="2"/>
    </row>
    <row r="465" spans="1:16" x14ac:dyDescent="0.25">
      <c r="B465" s="38" t="s">
        <v>1503</v>
      </c>
      <c r="C465" s="2"/>
      <c r="D465" s="3"/>
      <c r="E465" s="3"/>
      <c r="F465" s="3"/>
      <c r="G465" s="63"/>
      <c r="H465" s="56"/>
      <c r="I465" s="2"/>
    </row>
    <row r="466" spans="1:16" ht="25.5" x14ac:dyDescent="0.25">
      <c r="B466" s="64" t="s">
        <v>1691</v>
      </c>
      <c r="C466" s="65"/>
      <c r="D466" s="66" t="s">
        <v>1690</v>
      </c>
      <c r="E466" s="66" t="s">
        <v>1689</v>
      </c>
      <c r="F466" s="66" t="s">
        <v>1688</v>
      </c>
      <c r="G466" s="67" t="s">
        <v>1687</v>
      </c>
      <c r="H466" s="68" t="s">
        <v>1686</v>
      </c>
      <c r="I466" s="2"/>
    </row>
    <row r="467" spans="1:16" x14ac:dyDescent="0.25">
      <c r="A467" s="103">
        <v>20001</v>
      </c>
      <c r="B467" s="69" t="str">
        <f>IF($A467=0,"",VLOOKUP($A467,'BASE M-OBRA'!$A:$D,2))</f>
        <v>MAESTRO</v>
      </c>
      <c r="C467" s="2"/>
      <c r="D467" s="108">
        <v>1</v>
      </c>
      <c r="E467" s="70">
        <f>IF($A467=0,"",VLOOKUP($A467,'BASE M-OBRA'!$A:$D,4))</f>
        <v>3.02</v>
      </c>
      <c r="F467" s="55">
        <f t="shared" ref="F467:F473" si="42">IF($A467=0,"",ROUND(D467*E467,2))</f>
        <v>3.02</v>
      </c>
      <c r="G467" s="106">
        <f>IF($A467=0,"",ROUND(H467/F467,2))</f>
        <v>0.45</v>
      </c>
      <c r="H467" s="56">
        <f>IF($A467=0,"",ROUND(SUM(H468:H473)*'BASE M-OBRA'!$D$23,2))</f>
        <v>1.35</v>
      </c>
      <c r="I467" s="2"/>
    </row>
    <row r="468" spans="1:16" x14ac:dyDescent="0.25">
      <c r="A468" s="103">
        <v>20002</v>
      </c>
      <c r="B468" s="69" t="str">
        <f>IF($A468=0,"",VLOOKUP($A468,'BASE M-OBRA'!$A:$D,2))</f>
        <v>PEON</v>
      </c>
      <c r="C468" s="2"/>
      <c r="D468" s="108">
        <v>2</v>
      </c>
      <c r="E468" s="70">
        <f>IF($A468=0,"",VLOOKUP($A468,'BASE M-OBRA'!$A:$D,4))</f>
        <v>2.79</v>
      </c>
      <c r="F468" s="55">
        <f t="shared" si="42"/>
        <v>5.58</v>
      </c>
      <c r="G468" s="106">
        <v>0.6</v>
      </c>
      <c r="H468" s="56">
        <f t="shared" ref="H468:H473" si="43">IF($A468=0,"",ROUND(G468*F468,2))</f>
        <v>3.35</v>
      </c>
      <c r="I468" s="2"/>
    </row>
    <row r="469" spans="1:16" x14ac:dyDescent="0.25">
      <c r="A469" s="103">
        <v>20003</v>
      </c>
      <c r="B469" s="69" t="str">
        <f>IF($A469=0,"",VLOOKUP($A469,'BASE M-OBRA'!$A:$D,2))</f>
        <v>ALBAÑIL</v>
      </c>
      <c r="C469" s="2"/>
      <c r="D469" s="108">
        <v>2</v>
      </c>
      <c r="E469" s="70">
        <f>IF($A469=0,"",VLOOKUP($A469,'BASE M-OBRA'!$A:$D,4))</f>
        <v>2.82</v>
      </c>
      <c r="F469" s="55">
        <f t="shared" si="42"/>
        <v>5.64</v>
      </c>
      <c r="G469" s="106">
        <f>+G468</f>
        <v>0.6</v>
      </c>
      <c r="H469" s="56">
        <f t="shared" si="43"/>
        <v>3.38</v>
      </c>
      <c r="I469" s="2"/>
    </row>
    <row r="470" spans="1:16" x14ac:dyDescent="0.25">
      <c r="B470" s="71" t="str">
        <f>IF($A470=0,"",VLOOKUP($A470,'BASE M-OBRA'!$A:$D,2))</f>
        <v/>
      </c>
      <c r="C470" s="2"/>
      <c r="D470" s="108"/>
      <c r="E470" s="70" t="str">
        <f>IF($A470=0,"",VLOOKUP($A470,'BASE M-OBRA'!$A:$D,4))</f>
        <v/>
      </c>
      <c r="F470" s="55" t="str">
        <f t="shared" si="42"/>
        <v/>
      </c>
      <c r="G470" s="106"/>
      <c r="H470" s="56" t="str">
        <f t="shared" si="43"/>
        <v/>
      </c>
      <c r="I470" s="2"/>
    </row>
    <row r="471" spans="1:16" x14ac:dyDescent="0.25">
      <c r="B471" s="72" t="str">
        <f>IF($A471=0,"",VLOOKUP($A471,'BASE M-OBRA'!$A:$D,2))</f>
        <v/>
      </c>
      <c r="C471" s="2"/>
      <c r="D471" s="108"/>
      <c r="E471" s="70" t="str">
        <f>IF($A471=0,"",VLOOKUP($A471,'BASE M-OBRA'!$A:$D,4))</f>
        <v/>
      </c>
      <c r="F471" s="55" t="str">
        <f t="shared" si="42"/>
        <v/>
      </c>
      <c r="G471" s="106"/>
      <c r="H471" s="56" t="str">
        <f t="shared" si="43"/>
        <v/>
      </c>
      <c r="I471" s="2"/>
    </row>
    <row r="472" spans="1:16" x14ac:dyDescent="0.25">
      <c r="B472" s="38" t="str">
        <f>IF($A472=0,"",VLOOKUP($A472,'BASE M-OBRA'!$A:$D,2))</f>
        <v/>
      </c>
      <c r="C472" s="2"/>
      <c r="D472" s="55"/>
      <c r="E472" s="55" t="str">
        <f>IF($A472=0,"",VLOOKUP($A472,'BASE M-OBRA'!$A:$D,4))</f>
        <v/>
      </c>
      <c r="F472" s="55" t="str">
        <f t="shared" si="42"/>
        <v/>
      </c>
      <c r="G472" s="106"/>
      <c r="H472" s="56" t="str">
        <f t="shared" si="43"/>
        <v/>
      </c>
      <c r="I472" s="2"/>
    </row>
    <row r="473" spans="1:16" x14ac:dyDescent="0.25">
      <c r="B473" s="57" t="str">
        <f>IF($A473=0,"",VLOOKUP($A473,'BASE M-OBRA'!$A:$D,2))</f>
        <v/>
      </c>
      <c r="C473" s="58"/>
      <c r="D473" s="59"/>
      <c r="E473" s="59" t="str">
        <f>IF($A473=0,"",VLOOKUP($A473,'BASE M-OBRA'!$A:$D,4))</f>
        <v/>
      </c>
      <c r="F473" s="59" t="str">
        <f t="shared" si="42"/>
        <v/>
      </c>
      <c r="G473" s="107"/>
      <c r="H473" s="60" t="str">
        <f t="shared" si="43"/>
        <v/>
      </c>
      <c r="I473" s="2"/>
    </row>
    <row r="474" spans="1:16" x14ac:dyDescent="0.25">
      <c r="B474" s="73" t="s">
        <v>1685</v>
      </c>
      <c r="C474" s="65"/>
      <c r="D474" s="74"/>
      <c r="E474" s="74"/>
      <c r="F474" s="74"/>
      <c r="G474" s="74"/>
      <c r="H474" s="75">
        <f>ROUND(SUM(H466:H473),2)</f>
        <v>8.08</v>
      </c>
      <c r="I474" s="2"/>
    </row>
    <row r="475" spans="1:16" x14ac:dyDescent="0.25">
      <c r="B475" s="38" t="s">
        <v>1684</v>
      </c>
      <c r="C475" s="2"/>
      <c r="D475" s="3"/>
      <c r="E475" s="3"/>
      <c r="F475" s="3"/>
      <c r="G475" s="3"/>
      <c r="H475" s="56"/>
      <c r="I475" s="2"/>
    </row>
    <row r="476" spans="1:16" ht="25.5" x14ac:dyDescent="0.25">
      <c r="B476" s="64" t="s">
        <v>1409</v>
      </c>
      <c r="C476" s="65"/>
      <c r="D476" s="76"/>
      <c r="E476" s="66" t="s">
        <v>1408</v>
      </c>
      <c r="F476" s="66" t="s">
        <v>1679</v>
      </c>
      <c r="G476" s="66" t="s">
        <v>1683</v>
      </c>
      <c r="H476" s="68" t="s">
        <v>1675</v>
      </c>
      <c r="I476" s="2"/>
    </row>
    <row r="477" spans="1:16" x14ac:dyDescent="0.25">
      <c r="A477" s="103">
        <v>7017</v>
      </c>
      <c r="B477" s="38" t="s">
        <v>865</v>
      </c>
      <c r="C477" s="2"/>
      <c r="D477" s="77"/>
      <c r="E477" s="78" t="str">
        <f>IF($A477=0,"",VLOOKUP($A477,'BASE MATERIAL'!$A:$D,3))</f>
        <v>M2</v>
      </c>
      <c r="F477" s="55">
        <v>1.05</v>
      </c>
      <c r="G477" s="55">
        <f>23*1.12</f>
        <v>25.76</v>
      </c>
      <c r="H477" s="56">
        <f t="shared" ref="H477:H491" si="44">IF($A477=0,"",ROUND(F477*G477,2))</f>
        <v>27.05</v>
      </c>
      <c r="I477" s="2"/>
      <c r="L477" s="2"/>
      <c r="M477" s="2"/>
      <c r="N477" s="39"/>
      <c r="O477" s="2"/>
      <c r="P477" s="2"/>
    </row>
    <row r="478" spans="1:16" x14ac:dyDescent="0.25">
      <c r="A478" s="103">
        <v>14027</v>
      </c>
      <c r="B478" s="38" t="str">
        <f>IF($A478=0,"",VLOOKUP($A478,'BASE MATERIAL'!$A:$D,2))</f>
        <v>BONDEX PREMIUM</v>
      </c>
      <c r="C478" s="2"/>
      <c r="D478" s="77"/>
      <c r="E478" s="78" t="str">
        <f>IF($A478=0,"",VLOOKUP($A478,'BASE MATERIAL'!$A:$D,3))</f>
        <v>KG</v>
      </c>
      <c r="F478" s="55">
        <v>6</v>
      </c>
      <c r="G478" s="55">
        <f>IF($A478=0,"",VLOOKUP($A478,'BASE MATERIAL'!$A:$D,4))</f>
        <v>0.57568000000000008</v>
      </c>
      <c r="H478" s="56">
        <f>IF($A478=0,"",ROUND(F478*G478,2))</f>
        <v>3.45</v>
      </c>
      <c r="I478" s="2"/>
      <c r="L478" s="2"/>
      <c r="M478" s="2"/>
      <c r="N478" s="39"/>
      <c r="O478" s="2"/>
      <c r="P478" s="2"/>
    </row>
    <row r="479" spans="1:16" x14ac:dyDescent="0.25">
      <c r="A479" s="103">
        <v>7019</v>
      </c>
      <c r="B479" s="38" t="str">
        <f>IF($A479=0,"",VLOOKUP($A479,'BASE MATERIAL'!$A:$D,2))</f>
        <v>PORCELANA</v>
      </c>
      <c r="C479" s="2"/>
      <c r="D479" s="77"/>
      <c r="E479" s="78" t="str">
        <f>IF($A479=0,"",VLOOKUP($A479,'BASE MATERIAL'!$A:$D,3))</f>
        <v>KG</v>
      </c>
      <c r="F479" s="55">
        <v>0.25</v>
      </c>
      <c r="G479" s="55">
        <f>IF($A479=0,"",VLOOKUP($A479,'BASE MATERIAL'!$A:$D,4))</f>
        <v>0.73499999999999999</v>
      </c>
      <c r="H479" s="56">
        <f>IF($A479=0,"",ROUND(F479*G479,2))</f>
        <v>0.18</v>
      </c>
      <c r="I479" s="2"/>
      <c r="L479" s="2"/>
      <c r="M479" s="2"/>
      <c r="N479" s="39"/>
      <c r="O479" s="2"/>
      <c r="P479" s="2"/>
    </row>
    <row r="480" spans="1:16" x14ac:dyDescent="0.25">
      <c r="B480" s="38" t="str">
        <f>IF($A480=0,"",VLOOKUP($A480,'BASE MATERIAL'!$A:$D,2))</f>
        <v/>
      </c>
      <c r="C480" s="2"/>
      <c r="D480" s="77"/>
      <c r="E480" s="78" t="str">
        <f>IF($A480=0,"",VLOOKUP($A480,'BASE MATERIAL'!$A:$D,3))</f>
        <v/>
      </c>
      <c r="F480" s="55"/>
      <c r="G480" s="55" t="str">
        <f>IF($A480=0,"",VLOOKUP($A480,'BASE MATERIAL'!$A:$D,4))</f>
        <v/>
      </c>
      <c r="H480" s="56" t="str">
        <f>IF($A480=0,"",ROUND(F480*G480,2))</f>
        <v/>
      </c>
      <c r="I480" s="2"/>
      <c r="L480" s="2"/>
      <c r="M480" s="2"/>
      <c r="N480" s="39"/>
      <c r="O480" s="2"/>
      <c r="P480" s="2"/>
    </row>
    <row r="481" spans="2:16" x14ac:dyDescent="0.25">
      <c r="B481" s="38" t="str">
        <f>IF($A481=0,"",VLOOKUP($A481,'BASE MATERIAL'!$A:$D,2))</f>
        <v/>
      </c>
      <c r="C481" s="2"/>
      <c r="D481" s="77"/>
      <c r="E481" s="78" t="str">
        <f>IF($A481=0,"",VLOOKUP($A481,'BASE MATERIAL'!$A:$D,3))</f>
        <v/>
      </c>
      <c r="F481" s="55"/>
      <c r="G481" s="55" t="str">
        <f>IF($A481=0,"",VLOOKUP($A481,'BASE MATERIAL'!$A:$D,4))</f>
        <v/>
      </c>
      <c r="H481" s="56" t="str">
        <f>IF($A481=0,"",ROUND(F481*G481,2))</f>
        <v/>
      </c>
      <c r="I481" s="2"/>
      <c r="L481" s="2"/>
      <c r="M481" s="2"/>
      <c r="N481" s="39"/>
      <c r="O481" s="2"/>
      <c r="P481" s="2"/>
    </row>
    <row r="482" spans="2:16" x14ac:dyDescent="0.25">
      <c r="B482" s="38" t="str">
        <f>IF($A482=0,"",VLOOKUP($A482,'BASE MATERIAL'!$A:$D,2))</f>
        <v/>
      </c>
      <c r="C482" s="2"/>
      <c r="D482" s="77"/>
      <c r="E482" s="78" t="str">
        <f>IF($A482=0,"",VLOOKUP($A482,'BASE MATERIAL'!$A:$D,3))</f>
        <v/>
      </c>
      <c r="F482" s="55"/>
      <c r="G482" s="55" t="str">
        <f>IF($A482=0,"",VLOOKUP($A482,'BASE MATERIAL'!$A:$D,4))</f>
        <v/>
      </c>
      <c r="H482" s="56" t="str">
        <f t="shared" si="44"/>
        <v/>
      </c>
      <c r="I482" s="2"/>
      <c r="L482" s="2"/>
      <c r="M482" s="2"/>
      <c r="N482" s="39"/>
      <c r="O482" s="2"/>
      <c r="P482" s="2"/>
    </row>
    <row r="483" spans="2:16" x14ac:dyDescent="0.25">
      <c r="B483" s="38" t="str">
        <f>IF($A483=0,"",VLOOKUP($A483,'BASE MATERIAL'!$A:$D,2))</f>
        <v/>
      </c>
      <c r="C483" s="2"/>
      <c r="D483" s="77"/>
      <c r="E483" s="78" t="str">
        <f>IF($A483=0,"",VLOOKUP($A483,'BASE MATERIAL'!$A:$D,3))</f>
        <v/>
      </c>
      <c r="F483" s="55"/>
      <c r="G483" s="55" t="str">
        <f>IF($A483=0,"",VLOOKUP($A483,'BASE MATERIAL'!$A:$D,4))</f>
        <v/>
      </c>
      <c r="H483" s="56" t="str">
        <f t="shared" si="44"/>
        <v/>
      </c>
      <c r="I483" s="2"/>
      <c r="L483" s="2"/>
      <c r="M483" s="2"/>
      <c r="N483" s="39"/>
      <c r="O483" s="2"/>
      <c r="P483" s="2"/>
    </row>
    <row r="484" spans="2:16" x14ac:dyDescent="0.25">
      <c r="B484" s="38" t="str">
        <f>IF($A484=0,"",VLOOKUP($A484,'BASE MATERIAL'!$A:$D,2))</f>
        <v/>
      </c>
      <c r="C484" s="2"/>
      <c r="D484" s="77"/>
      <c r="E484" s="78" t="str">
        <f>IF($A484=0,"",VLOOKUP($A484,'BASE MATERIAL'!$A:$D,3))</f>
        <v/>
      </c>
      <c r="F484" s="55"/>
      <c r="G484" s="55" t="str">
        <f>IF($A484=0,"",VLOOKUP($A484,'BASE MATERIAL'!$A:$D,4))</f>
        <v/>
      </c>
      <c r="H484" s="56" t="str">
        <f t="shared" si="44"/>
        <v/>
      </c>
      <c r="I484" s="2"/>
      <c r="L484" s="2"/>
      <c r="M484" s="2"/>
      <c r="N484" s="39"/>
      <c r="O484" s="2"/>
      <c r="P484" s="2"/>
    </row>
    <row r="485" spans="2:16" x14ac:dyDescent="0.25">
      <c r="B485" s="38" t="str">
        <f>IF($A485=0,"",VLOOKUP($A485,'BASE MATERIAL'!$A:$D,2))</f>
        <v/>
      </c>
      <c r="C485" s="2"/>
      <c r="D485" s="77"/>
      <c r="E485" s="78" t="str">
        <f>IF($A485=0,"",VLOOKUP($A485,'BASE MATERIAL'!$A:$D,3))</f>
        <v/>
      </c>
      <c r="F485" s="55"/>
      <c r="G485" s="55" t="str">
        <f>IF($A485=0,"",VLOOKUP($A485,'BASE MATERIAL'!$A:$D,4))</f>
        <v/>
      </c>
      <c r="H485" s="56" t="str">
        <f t="shared" si="44"/>
        <v/>
      </c>
      <c r="I485" s="2"/>
    </row>
    <row r="486" spans="2:16" x14ac:dyDescent="0.25">
      <c r="B486" s="38" t="str">
        <f>IF($A486=0,"",VLOOKUP($A486,'BASE MATERIAL'!$A:$D,2))</f>
        <v/>
      </c>
      <c r="C486" s="2"/>
      <c r="D486" s="77"/>
      <c r="E486" s="78" t="str">
        <f>IF($A486=0,"",VLOOKUP($A486,'BASE MATERIAL'!$A:$D,3))</f>
        <v/>
      </c>
      <c r="F486" s="55"/>
      <c r="G486" s="55" t="str">
        <f>IF($A486=0,"",VLOOKUP($A486,'BASE MATERIAL'!$A:$D,4))</f>
        <v/>
      </c>
      <c r="H486" s="56" t="str">
        <f t="shared" si="44"/>
        <v/>
      </c>
      <c r="I486" s="2"/>
      <c r="L486" s="2"/>
      <c r="M486" s="2"/>
      <c r="N486" s="39"/>
      <c r="O486" s="2"/>
      <c r="P486" s="2"/>
    </row>
    <row r="487" spans="2:16" x14ac:dyDescent="0.25">
      <c r="B487" s="38" t="str">
        <f>IF($A487=0,"",VLOOKUP($A487,'BASE MATERIAL'!$A:$D,2))</f>
        <v/>
      </c>
      <c r="C487" s="2"/>
      <c r="D487" s="77"/>
      <c r="E487" s="78" t="str">
        <f>IF($A487=0,"",VLOOKUP($A487,'BASE MATERIAL'!$A:$D,3))</f>
        <v/>
      </c>
      <c r="F487" s="55"/>
      <c r="G487" s="55" t="str">
        <f>IF($A487=0,"",VLOOKUP($A487,'BASE MATERIAL'!$A:$D,4))</f>
        <v/>
      </c>
      <c r="H487" s="56" t="str">
        <f t="shared" si="44"/>
        <v/>
      </c>
      <c r="I487" s="2"/>
      <c r="L487" s="2"/>
      <c r="M487" s="2"/>
      <c r="N487" s="39"/>
      <c r="O487" s="2"/>
      <c r="P487" s="2"/>
    </row>
    <row r="488" spans="2:16" x14ac:dyDescent="0.25">
      <c r="B488" s="38" t="str">
        <f>IF($A488=0,"",VLOOKUP($A488,'BASE MATERIAL'!$A:$D,2))</f>
        <v/>
      </c>
      <c r="C488" s="2"/>
      <c r="D488" s="77"/>
      <c r="E488" s="78" t="str">
        <f>IF($A488=0,"",VLOOKUP($A488,'BASE MATERIAL'!$A:$D,3))</f>
        <v/>
      </c>
      <c r="F488" s="55"/>
      <c r="G488" s="55" t="str">
        <f>IF($A488=0,"",VLOOKUP($A488,'BASE MATERIAL'!$A:$D,4))</f>
        <v/>
      </c>
      <c r="H488" s="56" t="str">
        <f t="shared" si="44"/>
        <v/>
      </c>
      <c r="I488" s="2"/>
    </row>
    <row r="489" spans="2:16" x14ac:dyDescent="0.25">
      <c r="B489" s="38" t="str">
        <f>IF($A489=0,"",VLOOKUP($A489,'BASE MATERIAL'!$A:$D,2))</f>
        <v/>
      </c>
      <c r="C489" s="2"/>
      <c r="D489" s="77"/>
      <c r="E489" s="78" t="str">
        <f>IF($A489=0,"",VLOOKUP($A489,'BASE MATERIAL'!$A:$D,3))</f>
        <v/>
      </c>
      <c r="F489" s="55"/>
      <c r="G489" s="55" t="str">
        <f>IF($A489=0,"",VLOOKUP($A489,'BASE MATERIAL'!$A:$D,4))</f>
        <v/>
      </c>
      <c r="H489" s="56" t="str">
        <f t="shared" si="44"/>
        <v/>
      </c>
      <c r="I489" s="2"/>
    </row>
    <row r="490" spans="2:16" x14ac:dyDescent="0.25">
      <c r="B490" s="38" t="str">
        <f>IF($A490=0,"",VLOOKUP($A490,'BASE MATERIAL'!$A:$D,2))</f>
        <v/>
      </c>
      <c r="C490" s="2"/>
      <c r="D490" s="77"/>
      <c r="E490" s="78" t="str">
        <f>IF($A490=0,"",VLOOKUP($A490,'BASE MATERIAL'!$A:$D,3))</f>
        <v/>
      </c>
      <c r="F490" s="55"/>
      <c r="G490" s="55" t="str">
        <f>IF($A490=0,"",VLOOKUP($A490,'BASE MATERIAL'!$A:$D,4))</f>
        <v/>
      </c>
      <c r="H490" s="56" t="str">
        <f t="shared" si="44"/>
        <v/>
      </c>
      <c r="I490" s="2"/>
    </row>
    <row r="491" spans="2:16" x14ac:dyDescent="0.25">
      <c r="B491" s="38" t="str">
        <f>IF($A491=0,"",VLOOKUP($A491,'BASE MATERIAL'!$A:$D,2))</f>
        <v/>
      </c>
      <c r="C491" s="2"/>
      <c r="D491" s="77"/>
      <c r="E491" s="78" t="str">
        <f>IF($A491=0,"",VLOOKUP($A491,'BASE MATERIAL'!$A:$D,3))</f>
        <v/>
      </c>
      <c r="F491" s="55"/>
      <c r="G491" s="55" t="str">
        <f>IF($A491=0,"",VLOOKUP($A491,'BASE MATERIAL'!$A:$D,4))</f>
        <v/>
      </c>
      <c r="H491" s="56" t="str">
        <f t="shared" si="44"/>
        <v/>
      </c>
      <c r="I491" s="2"/>
    </row>
    <row r="492" spans="2:16" x14ac:dyDescent="0.25">
      <c r="B492" s="38" t="str">
        <f>IF($A492=0,"",VLOOKUP($A492,'BASE MATERIAL'!$A:$D,2))</f>
        <v/>
      </c>
      <c r="C492" s="2"/>
      <c r="D492" s="81" t="s">
        <v>1682</v>
      </c>
      <c r="E492" s="55" t="str">
        <f>IF($A492=0,"",VLOOKUP($A492,'BASE MATERIAL'!$A:$D,3))</f>
        <v/>
      </c>
      <c r="F492" s="55" t="s">
        <v>1682</v>
      </c>
      <c r="G492" s="55" t="str">
        <f>IF($A492=0,"",VLOOKUP($A492,'BASE MATERIAL'!$A:$D,4))</f>
        <v/>
      </c>
      <c r="H492" s="56" t="str">
        <f>IF($A492=0,"",ROUND(E492*F492,2))</f>
        <v/>
      </c>
      <c r="I492" s="2"/>
    </row>
    <row r="493" spans="2:16" x14ac:dyDescent="0.25">
      <c r="B493" s="73" t="s">
        <v>1681</v>
      </c>
      <c r="C493" s="65"/>
      <c r="D493" s="74"/>
      <c r="E493" s="74"/>
      <c r="F493" s="74"/>
      <c r="G493" s="74"/>
      <c r="H493" s="75">
        <f>ROUND(SUM(H476:H492),2)</f>
        <v>30.68</v>
      </c>
      <c r="I493" s="2"/>
    </row>
    <row r="494" spans="2:16" x14ac:dyDescent="0.25">
      <c r="B494" s="38" t="s">
        <v>1680</v>
      </c>
      <c r="C494" s="2"/>
      <c r="D494" s="3"/>
      <c r="E494" s="3"/>
      <c r="F494" s="3"/>
      <c r="G494" s="3"/>
      <c r="H494" s="56"/>
      <c r="I494" s="2"/>
    </row>
    <row r="495" spans="2:16" ht="25.5" x14ac:dyDescent="0.25">
      <c r="B495" s="64" t="s">
        <v>1409</v>
      </c>
      <c r="C495" s="65"/>
      <c r="D495" s="76"/>
      <c r="E495" s="66" t="s">
        <v>1408</v>
      </c>
      <c r="F495" s="66" t="s">
        <v>1679</v>
      </c>
      <c r="G495" s="66" t="s">
        <v>1676</v>
      </c>
      <c r="H495" s="68" t="s">
        <v>1675</v>
      </c>
      <c r="I495" s="2"/>
    </row>
    <row r="496" spans="2:16" x14ac:dyDescent="0.25">
      <c r="B496" s="51" t="str">
        <f>IF($A496=0,"",VLOOKUP($A496,'BASE EQUIPO'!$A:$D,2))</f>
        <v/>
      </c>
      <c r="C496" s="52"/>
      <c r="D496" s="82"/>
      <c r="E496" s="78" t="str">
        <f>IF($A496=0,"",VLOOKUP($A496,'BASE EQUIPO'!$A:$D,3))</f>
        <v/>
      </c>
      <c r="F496" s="55">
        <v>1</v>
      </c>
      <c r="G496" s="83" t="str">
        <f>IF($A496=0,"",VLOOKUP($A496,'BASE EQUIPO'!$A:$D,4)*H493)</f>
        <v/>
      </c>
      <c r="H496" s="56" t="str">
        <f>IF($A496=0,"",ROUND(F496*G496,2))</f>
        <v/>
      </c>
      <c r="I496" s="2"/>
    </row>
    <row r="497" spans="1:15" x14ac:dyDescent="0.25">
      <c r="B497" s="38" t="str">
        <f>IF($A497=0,"",VLOOKUP($A497,'BASE EQUIPO'!$A:$D,2))</f>
        <v/>
      </c>
      <c r="C497" s="2"/>
      <c r="D497" s="84"/>
      <c r="E497" s="78" t="str">
        <f>IF($A497=0,"",VLOOKUP($A497,'BASE EQUIPO'!$A:$D,3))</f>
        <v/>
      </c>
      <c r="F497" s="55"/>
      <c r="G497" s="55" t="str">
        <f>IF($A497=0,"",VLOOKUP($A497,'BASE EQUIPO'!$A:$D,4)*H494)</f>
        <v/>
      </c>
      <c r="H497" s="56" t="str">
        <f>IF($A497=0,"",ROUND(F497*G497,2))</f>
        <v/>
      </c>
      <c r="I497" s="2"/>
    </row>
    <row r="498" spans="1:15" x14ac:dyDescent="0.25">
      <c r="B498" s="57" t="str">
        <f>IF($A498=0,"",VLOOKUP($A498,'BASE EQUIPO'!$A:$D,2))</f>
        <v/>
      </c>
      <c r="C498" s="58"/>
      <c r="D498" s="85"/>
      <c r="E498" s="86" t="str">
        <f>IF($A498=0,"",VLOOKUP($A498,'BASE EQUIPO'!$A:$D,3))</f>
        <v/>
      </c>
      <c r="F498" s="59"/>
      <c r="G498" s="59" t="str">
        <f>IF($A498=0,"",VLOOKUP($A498,'BASE EQUIPO'!$A:$D,4)*H495)</f>
        <v/>
      </c>
      <c r="H498" s="60" t="str">
        <f>IF($A498=0,"",ROUND(F498*G498,2))</f>
        <v/>
      </c>
      <c r="I498" s="2"/>
    </row>
    <row r="499" spans="1:15" ht="15.75" thickBot="1" x14ac:dyDescent="0.3">
      <c r="B499" s="87" t="s">
        <v>1674</v>
      </c>
      <c r="C499" s="88"/>
      <c r="D499" s="89"/>
      <c r="E499" s="89"/>
      <c r="F499" s="89"/>
      <c r="G499" s="89"/>
      <c r="H499" s="90">
        <f>ROUND(SUM(H495:H498),2)</f>
        <v>0</v>
      </c>
      <c r="I499" s="2"/>
    </row>
    <row r="500" spans="1:15" ht="15.75" x14ac:dyDescent="0.25">
      <c r="B500" s="2"/>
      <c r="C500" s="2"/>
      <c r="D500" s="91" t="s">
        <v>1673</v>
      </c>
      <c r="E500" s="47"/>
      <c r="F500" s="47"/>
      <c r="G500" s="47"/>
      <c r="H500" s="92">
        <f>ROUND(SUM(H499,H493,H474,H464),2)</f>
        <v>39.56</v>
      </c>
      <c r="I500" s="2"/>
    </row>
    <row r="501" spans="1:15" ht="15.75" x14ac:dyDescent="0.25">
      <c r="B501" s="2"/>
      <c r="C501" s="2"/>
      <c r="D501" s="93" t="s">
        <v>1672</v>
      </c>
      <c r="E501" s="65"/>
      <c r="F501" s="65"/>
      <c r="G501" s="94" t="str">
        <f>IF($A501=0,"",VLOOKUP($A501,'BASE MATERIAL'!$M:$P,4))</f>
        <v/>
      </c>
      <c r="H501" s="95" t="str">
        <f>IF($A501=0,"",ROUND(G501*H500,2))</f>
        <v/>
      </c>
      <c r="I501" s="2"/>
    </row>
    <row r="502" spans="1:15" ht="15.75" x14ac:dyDescent="0.25">
      <c r="B502" s="2"/>
      <c r="C502" s="2"/>
      <c r="D502" s="93" t="s">
        <v>1671</v>
      </c>
      <c r="E502" s="65"/>
      <c r="F502" s="65"/>
      <c r="G502" s="94" t="str">
        <f>IF($A502=0,"",VLOOKUP($A502,'BASE MATERIAL'!$M:$P,4))</f>
        <v/>
      </c>
      <c r="H502" s="95" t="str">
        <f>IF($A502=0,"",ROUND(G502*H500,2))</f>
        <v/>
      </c>
      <c r="I502" s="2"/>
    </row>
    <row r="503" spans="1:15" ht="15.75" x14ac:dyDescent="0.25">
      <c r="B503" s="2"/>
      <c r="C503" s="2"/>
      <c r="D503" s="93" t="s">
        <v>1670</v>
      </c>
      <c r="E503" s="65"/>
      <c r="F503" s="65"/>
      <c r="G503" s="65"/>
      <c r="H503" s="96">
        <f>ROUND(SUM(H500:H502),2)</f>
        <v>39.56</v>
      </c>
      <c r="I503" s="2"/>
    </row>
    <row r="504" spans="1:15" ht="16.5" thickBot="1" x14ac:dyDescent="0.3">
      <c r="B504" s="25"/>
      <c r="C504" s="2"/>
      <c r="D504" s="97" t="s">
        <v>1650</v>
      </c>
      <c r="E504" s="88"/>
      <c r="F504" s="88"/>
      <c r="G504" s="88"/>
      <c r="H504" s="98">
        <f>ROUND(H503,2)</f>
        <v>39.56</v>
      </c>
      <c r="I504" s="2"/>
    </row>
    <row r="505" spans="1:15" ht="15.75" x14ac:dyDescent="0.25">
      <c r="B505" s="34" t="s">
        <v>1701</v>
      </c>
      <c r="C505" s="2"/>
      <c r="D505" s="3" t="s">
        <v>1702</v>
      </c>
      <c r="E505" s="2"/>
      <c r="F505" s="2"/>
      <c r="H505" s="2" t="s">
        <v>108</v>
      </c>
      <c r="I505" s="2"/>
      <c r="L505" s="40">
        <f>A509</f>
        <v>0</v>
      </c>
      <c r="M505" s="1" t="str">
        <f>C510</f>
        <v>Granito de piedra lavada</v>
      </c>
      <c r="N505" s="2" t="str">
        <f>H509</f>
        <v>m2</v>
      </c>
      <c r="O505" s="2">
        <f>H560</f>
        <v>12.81</v>
      </c>
    </row>
    <row r="506" spans="1:15" ht="15.75" x14ac:dyDescent="0.25">
      <c r="B506" s="34" t="s">
        <v>1700</v>
      </c>
      <c r="C506" s="3">
        <f>'1.1'!$C$2</f>
        <v>0</v>
      </c>
      <c r="D506" s="2"/>
      <c r="E506" s="2"/>
      <c r="F506" s="2"/>
      <c r="G506" s="41" t="s">
        <v>1699</v>
      </c>
      <c r="H506" s="42"/>
      <c r="I506" s="2" t="s">
        <v>1698</v>
      </c>
    </row>
    <row r="507" spans="1:15" ht="15.75" x14ac:dyDescent="0.25">
      <c r="B507" s="34"/>
      <c r="C507" s="3">
        <f>'1.1'!$C$3</f>
        <v>0</v>
      </c>
      <c r="D507" s="2"/>
      <c r="E507" s="2"/>
      <c r="F507" s="2"/>
      <c r="G507" s="2"/>
      <c r="H507" s="2"/>
      <c r="I507" s="2"/>
    </row>
    <row r="508" spans="1:15" ht="15.75" x14ac:dyDescent="0.25">
      <c r="B508" s="34" t="s">
        <v>1697</v>
      </c>
      <c r="C508" s="3"/>
      <c r="D508" s="2"/>
      <c r="E508" s="2"/>
      <c r="F508" s="2"/>
      <c r="G508" s="2"/>
      <c r="H508" s="2"/>
      <c r="I508" s="2"/>
    </row>
    <row r="509" spans="1:15" x14ac:dyDescent="0.25">
      <c r="A509" s="104">
        <f>+A568</f>
        <v>0</v>
      </c>
      <c r="B509" s="2" t="s">
        <v>1586</v>
      </c>
      <c r="C509" s="36"/>
      <c r="D509" s="2"/>
      <c r="G509" s="2" t="s">
        <v>1696</v>
      </c>
      <c r="H509" s="3" t="s">
        <v>1520</v>
      </c>
      <c r="I509" s="2"/>
    </row>
    <row r="510" spans="1:15" x14ac:dyDescent="0.25">
      <c r="B510" s="1" t="s">
        <v>1585</v>
      </c>
      <c r="C510" s="36" t="s">
        <v>1728</v>
      </c>
      <c r="D510" s="2"/>
      <c r="E510" s="2"/>
      <c r="F510" s="2"/>
      <c r="G510" s="2"/>
      <c r="H510" s="2"/>
      <c r="I510" s="2"/>
    </row>
    <row r="511" spans="1:15" ht="15.75" thickBot="1" x14ac:dyDescent="0.3">
      <c r="D511" s="2"/>
      <c r="E511" s="2"/>
      <c r="F511" s="2"/>
      <c r="G511" s="2"/>
      <c r="H511" s="2"/>
      <c r="I511" s="2"/>
    </row>
    <row r="512" spans="1:15" ht="15.75" thickBot="1" x14ac:dyDescent="0.3">
      <c r="B512" s="43" t="s">
        <v>1695</v>
      </c>
      <c r="C512" s="44"/>
      <c r="D512" s="44"/>
      <c r="E512" s="44"/>
      <c r="F512" s="44"/>
      <c r="G512" s="44"/>
      <c r="H512" s="45"/>
      <c r="I512" s="2"/>
    </row>
    <row r="513" spans="1:9" ht="25.5" x14ac:dyDescent="0.25">
      <c r="B513" s="46" t="s">
        <v>1409</v>
      </c>
      <c r="C513" s="47"/>
      <c r="D513" s="48" t="s">
        <v>1690</v>
      </c>
      <c r="E513" s="48" t="s">
        <v>1694</v>
      </c>
      <c r="F513" s="48" t="s">
        <v>1693</v>
      </c>
      <c r="G513" s="49" t="s">
        <v>1687</v>
      </c>
      <c r="H513" s="50" t="s">
        <v>1686</v>
      </c>
      <c r="I513" s="2"/>
    </row>
    <row r="514" spans="1:9" x14ac:dyDescent="0.25">
      <c r="A514" s="103">
        <v>19015</v>
      </c>
      <c r="B514" s="51" t="str">
        <f>IF($A514=0,"",VLOOKUP($A514,'BASE EQUIPO'!$A:$D,2))</f>
        <v>HERRAMIENTA MENOR</v>
      </c>
      <c r="C514" s="52"/>
      <c r="D514" s="53">
        <v>1</v>
      </c>
      <c r="E514" s="53">
        <f>IF($A514=0,"",VLOOKUP($A514,'BASE EQUIPO'!$A:$D,4)*H530)</f>
        <v>0.16679999999999998</v>
      </c>
      <c r="F514" s="53">
        <f t="shared" ref="F514:F519" si="45">IF($A514=0,"",ROUND(D514*E514,2))</f>
        <v>0.17</v>
      </c>
      <c r="G514" s="105">
        <v>1</v>
      </c>
      <c r="H514" s="54">
        <f t="shared" ref="H514:H519" si="46">IF($A514=0,"",ROUND(G514*F514,2))</f>
        <v>0.17</v>
      </c>
      <c r="I514" s="2"/>
    </row>
    <row r="515" spans="1:9" x14ac:dyDescent="0.25">
      <c r="B515" s="38" t="str">
        <f>IF($A515=0,"",VLOOKUP($A515,'BASE EQUIPO'!$A:$D,2))</f>
        <v/>
      </c>
      <c r="C515" s="2"/>
      <c r="D515" s="55"/>
      <c r="E515" s="55" t="str">
        <f>IF($A515=0,"",VLOOKUP($A515,'BASE EQUIPO'!$A:$D,4))</f>
        <v/>
      </c>
      <c r="F515" s="55" t="str">
        <f t="shared" si="45"/>
        <v/>
      </c>
      <c r="G515" s="106"/>
      <c r="H515" s="56" t="str">
        <f t="shared" si="46"/>
        <v/>
      </c>
      <c r="I515" s="2"/>
    </row>
    <row r="516" spans="1:9" x14ac:dyDescent="0.25">
      <c r="B516" s="38" t="str">
        <f>IF($A516=0,"",VLOOKUP($A516,'BASE EQUIPO'!$A:$D,2))</f>
        <v/>
      </c>
      <c r="C516" s="2"/>
      <c r="D516" s="55"/>
      <c r="E516" s="55" t="str">
        <f>IF($A516=0,"",VLOOKUP($A516,'BASE EQUIPO'!$A:$D,4))</f>
        <v/>
      </c>
      <c r="F516" s="55" t="str">
        <f t="shared" si="45"/>
        <v/>
      </c>
      <c r="G516" s="106"/>
      <c r="H516" s="56" t="str">
        <f t="shared" si="46"/>
        <v/>
      </c>
      <c r="I516" s="2"/>
    </row>
    <row r="517" spans="1:9" x14ac:dyDescent="0.25">
      <c r="B517" s="38" t="str">
        <f>IF($A517=0,"",VLOOKUP($A517,'BASE EQUIPO'!$A:$D,2))</f>
        <v/>
      </c>
      <c r="C517" s="2"/>
      <c r="D517" s="55"/>
      <c r="E517" s="55" t="str">
        <f>IF($A517=0,"",VLOOKUP($A517,'BASE EQUIPO'!$A:$D,4))</f>
        <v/>
      </c>
      <c r="F517" s="55" t="str">
        <f t="shared" si="45"/>
        <v/>
      </c>
      <c r="G517" s="106"/>
      <c r="H517" s="56" t="str">
        <f t="shared" si="46"/>
        <v/>
      </c>
      <c r="I517" s="2"/>
    </row>
    <row r="518" spans="1:9" x14ac:dyDescent="0.25">
      <c r="B518" s="38" t="str">
        <f>IF($A518=0,"",VLOOKUP($A518,'BASE EQUIPO'!$A:$D,2))</f>
        <v/>
      </c>
      <c r="C518" s="2"/>
      <c r="D518" s="55"/>
      <c r="E518" s="55" t="str">
        <f>IF($A518=0,"",VLOOKUP($A518,'BASE EQUIPO'!$A:$D,4))</f>
        <v/>
      </c>
      <c r="F518" s="55" t="str">
        <f t="shared" si="45"/>
        <v/>
      </c>
      <c r="G518" s="106"/>
      <c r="H518" s="56" t="str">
        <f t="shared" si="46"/>
        <v/>
      </c>
      <c r="I518" s="2"/>
    </row>
    <row r="519" spans="1:9" x14ac:dyDescent="0.25">
      <c r="B519" s="57" t="str">
        <f>IF($A519=0,"",VLOOKUP($A519,'BASE EQUIPO'!$A:$D,2))</f>
        <v/>
      </c>
      <c r="C519" s="58"/>
      <c r="D519" s="59"/>
      <c r="E519" s="59" t="str">
        <f>IF($A519=0,"",VLOOKUP($A519,'BASE EQUIPO'!$A:$D,4))</f>
        <v/>
      </c>
      <c r="F519" s="59" t="str">
        <f t="shared" si="45"/>
        <v/>
      </c>
      <c r="G519" s="107"/>
      <c r="H519" s="60" t="str">
        <f t="shared" si="46"/>
        <v/>
      </c>
      <c r="I519" s="2"/>
    </row>
    <row r="520" spans="1:9" x14ac:dyDescent="0.25">
      <c r="B520" s="57" t="s">
        <v>1692</v>
      </c>
      <c r="C520" s="58"/>
      <c r="D520" s="61"/>
      <c r="E520" s="61"/>
      <c r="F520" s="61"/>
      <c r="G520" s="62"/>
      <c r="H520" s="60">
        <f>ROUND(SUM(H513:H519),2)</f>
        <v>0.17</v>
      </c>
      <c r="I520" s="2"/>
    </row>
    <row r="521" spans="1:9" x14ac:dyDescent="0.25">
      <c r="B521" s="38" t="s">
        <v>1503</v>
      </c>
      <c r="C521" s="2"/>
      <c r="D521" s="3"/>
      <c r="E521" s="3"/>
      <c r="F521" s="3"/>
      <c r="G521" s="63"/>
      <c r="H521" s="56"/>
      <c r="I521" s="2"/>
    </row>
    <row r="522" spans="1:9" ht="25.5" x14ac:dyDescent="0.25">
      <c r="B522" s="64" t="s">
        <v>1691</v>
      </c>
      <c r="C522" s="65"/>
      <c r="D522" s="66" t="s">
        <v>1690</v>
      </c>
      <c r="E522" s="66" t="s">
        <v>1689</v>
      </c>
      <c r="F522" s="66" t="s">
        <v>1688</v>
      </c>
      <c r="G522" s="67" t="s">
        <v>1687</v>
      </c>
      <c r="H522" s="68" t="s">
        <v>1686</v>
      </c>
      <c r="I522" s="2"/>
    </row>
    <row r="523" spans="1:9" x14ac:dyDescent="0.25">
      <c r="A523" s="103">
        <v>20001</v>
      </c>
      <c r="B523" s="69" t="str">
        <f>IF($A523=0,"",VLOOKUP($A523,'BASE M-OBRA'!$A:$D,2))</f>
        <v>MAESTRO</v>
      </c>
      <c r="C523" s="2"/>
      <c r="D523" s="108">
        <v>1</v>
      </c>
      <c r="E523" s="70">
        <f>IF($A523=0,"",VLOOKUP($A523,'BASE M-OBRA'!$A:$D,4))</f>
        <v>3.02</v>
      </c>
      <c r="F523" s="55">
        <f t="shared" ref="F523:F529" si="47">IF($A523=0,"",ROUND(D523*E523,2))</f>
        <v>3.02</v>
      </c>
      <c r="G523" s="106">
        <f>IF($A523=0,"",ROUND(H523/F523,2))</f>
        <v>0.31</v>
      </c>
      <c r="H523" s="56">
        <f>IF($A523=0,"",ROUND(SUM(H524:H529)*'BASE M-OBRA'!$D$23,2))</f>
        <v>0.93</v>
      </c>
      <c r="I523" s="2"/>
    </row>
    <row r="524" spans="1:9" x14ac:dyDescent="0.25">
      <c r="A524" s="103">
        <v>20002</v>
      </c>
      <c r="B524" s="69" t="str">
        <f>IF($A524=0,"",VLOOKUP($A524,'BASE M-OBRA'!$A:$D,2))</f>
        <v>PEON</v>
      </c>
      <c r="C524" s="2"/>
      <c r="D524" s="108">
        <v>1</v>
      </c>
      <c r="E524" s="70">
        <f>IF($A524=0,"",VLOOKUP($A524,'BASE M-OBRA'!$A:$D,4))</f>
        <v>2.79</v>
      </c>
      <c r="F524" s="55">
        <f t="shared" si="47"/>
        <v>2.79</v>
      </c>
      <c r="G524" s="106">
        <v>0.55000000000000004</v>
      </c>
      <c r="H524" s="56">
        <f t="shared" ref="H524:H529" si="48">IF($A524=0,"",ROUND(G524*F524,2))</f>
        <v>1.53</v>
      </c>
      <c r="I524" s="2"/>
    </row>
    <row r="525" spans="1:9" x14ac:dyDescent="0.25">
      <c r="A525" s="103">
        <v>20003</v>
      </c>
      <c r="B525" s="69" t="str">
        <f>IF($A525=0,"",VLOOKUP($A525,'BASE M-OBRA'!$A:$D,2))</f>
        <v>ALBAÑIL</v>
      </c>
      <c r="C525" s="2"/>
      <c r="D525" s="108">
        <v>2</v>
      </c>
      <c r="E525" s="70">
        <f>IF($A525=0,"",VLOOKUP($A525,'BASE M-OBRA'!$A:$D,4))</f>
        <v>2.82</v>
      </c>
      <c r="F525" s="55">
        <f t="shared" si="47"/>
        <v>5.64</v>
      </c>
      <c r="G525" s="106">
        <f>+G524</f>
        <v>0.55000000000000004</v>
      </c>
      <c r="H525" s="56">
        <f t="shared" si="48"/>
        <v>3.1</v>
      </c>
      <c r="I525" s="2"/>
    </row>
    <row r="526" spans="1:9" x14ac:dyDescent="0.25">
      <c r="B526" s="71" t="str">
        <f>IF($A526=0,"",VLOOKUP($A526,'BASE M-OBRA'!$A:$D,2))</f>
        <v/>
      </c>
      <c r="C526" s="2"/>
      <c r="D526" s="108"/>
      <c r="E526" s="70" t="str">
        <f>IF($A526=0,"",VLOOKUP($A526,'BASE M-OBRA'!$A:$D,4))</f>
        <v/>
      </c>
      <c r="F526" s="55" t="str">
        <f t="shared" si="47"/>
        <v/>
      </c>
      <c r="G526" s="106"/>
      <c r="H526" s="56" t="str">
        <f t="shared" si="48"/>
        <v/>
      </c>
      <c r="I526" s="2"/>
    </row>
    <row r="527" spans="1:9" x14ac:dyDescent="0.25">
      <c r="B527" s="72" t="str">
        <f>IF($A527=0,"",VLOOKUP($A527,'BASE M-OBRA'!$A:$D,2))</f>
        <v/>
      </c>
      <c r="C527" s="2"/>
      <c r="D527" s="108"/>
      <c r="E527" s="70" t="str">
        <f>IF($A527=0,"",VLOOKUP($A527,'BASE M-OBRA'!$A:$D,4))</f>
        <v/>
      </c>
      <c r="F527" s="55" t="str">
        <f t="shared" si="47"/>
        <v/>
      </c>
      <c r="G527" s="106"/>
      <c r="H527" s="56" t="str">
        <f t="shared" si="48"/>
        <v/>
      </c>
      <c r="I527" s="2"/>
    </row>
    <row r="528" spans="1:9" x14ac:dyDescent="0.25">
      <c r="B528" s="38" t="str">
        <f>IF($A528=0,"",VLOOKUP($A528,'BASE M-OBRA'!$A:$D,2))</f>
        <v/>
      </c>
      <c r="C528" s="2"/>
      <c r="D528" s="55"/>
      <c r="E528" s="55" t="str">
        <f>IF($A528=0,"",VLOOKUP($A528,'BASE M-OBRA'!$A:$D,4))</f>
        <v/>
      </c>
      <c r="F528" s="55" t="str">
        <f t="shared" si="47"/>
        <v/>
      </c>
      <c r="G528" s="106"/>
      <c r="H528" s="56" t="str">
        <f t="shared" si="48"/>
        <v/>
      </c>
      <c r="I528" s="2"/>
    </row>
    <row r="529" spans="1:16" x14ac:dyDescent="0.25">
      <c r="B529" s="57" t="str">
        <f>IF($A529=0,"",VLOOKUP($A529,'BASE M-OBRA'!$A:$D,2))</f>
        <v/>
      </c>
      <c r="C529" s="58"/>
      <c r="D529" s="59"/>
      <c r="E529" s="59" t="str">
        <f>IF($A529=0,"",VLOOKUP($A529,'BASE M-OBRA'!$A:$D,4))</f>
        <v/>
      </c>
      <c r="F529" s="59" t="str">
        <f t="shared" si="47"/>
        <v/>
      </c>
      <c r="G529" s="107"/>
      <c r="H529" s="60" t="str">
        <f t="shared" si="48"/>
        <v/>
      </c>
      <c r="I529" s="2"/>
    </row>
    <row r="530" spans="1:16" x14ac:dyDescent="0.25">
      <c r="B530" s="73" t="s">
        <v>1685</v>
      </c>
      <c r="C530" s="65"/>
      <c r="D530" s="74"/>
      <c r="E530" s="74"/>
      <c r="F530" s="74"/>
      <c r="G530" s="74"/>
      <c r="H530" s="75">
        <f>ROUND(SUM(H522:H529),2)</f>
        <v>5.56</v>
      </c>
      <c r="I530" s="2"/>
    </row>
    <row r="531" spans="1:16" x14ac:dyDescent="0.25">
      <c r="B531" s="38" t="s">
        <v>1684</v>
      </c>
      <c r="C531" s="2"/>
      <c r="D531" s="3"/>
      <c r="E531" s="3"/>
      <c r="F531" s="3"/>
      <c r="G531" s="3"/>
      <c r="H531" s="56"/>
      <c r="I531" s="2"/>
    </row>
    <row r="532" spans="1:16" ht="25.5" x14ac:dyDescent="0.25">
      <c r="B532" s="64" t="s">
        <v>1409</v>
      </c>
      <c r="C532" s="65"/>
      <c r="D532" s="76"/>
      <c r="E532" s="66" t="s">
        <v>1408</v>
      </c>
      <c r="F532" s="66" t="s">
        <v>1679</v>
      </c>
      <c r="G532" s="66" t="s">
        <v>1683</v>
      </c>
      <c r="H532" s="68" t="s">
        <v>1675</v>
      </c>
      <c r="I532" s="2"/>
    </row>
    <row r="533" spans="1:16" x14ac:dyDescent="0.25">
      <c r="A533" s="103">
        <v>7016</v>
      </c>
      <c r="B533" s="38" t="str">
        <f>IF($A533=0,"",VLOOKUP($A533,'BASE MATERIAL'!$A:$D,2))</f>
        <v xml:space="preserve">GRANITO PIEDRA LAVADA </v>
      </c>
      <c r="C533" s="2"/>
      <c r="D533" s="77"/>
      <c r="E533" s="78" t="str">
        <f>IF($A533=0,"",VLOOKUP($A533,'BASE MATERIAL'!$A:$D,3))</f>
        <v>SACO</v>
      </c>
      <c r="F533" s="55">
        <v>0.5</v>
      </c>
      <c r="G533" s="55">
        <f>IF($A533=0,"",VLOOKUP($A533,'BASE MATERIAL'!$A:$D,4))</f>
        <v>2.8</v>
      </c>
      <c r="H533" s="56">
        <f t="shared" ref="H533:H547" si="49">IF($A533=0,"",ROUND(F533*G533,2))</f>
        <v>1.4</v>
      </c>
      <c r="I533" s="2"/>
      <c r="L533" s="2"/>
      <c r="M533" s="2"/>
      <c r="N533" s="39"/>
      <c r="O533" s="2"/>
      <c r="P533" s="2"/>
    </row>
    <row r="534" spans="1:16" x14ac:dyDescent="0.25">
      <c r="A534" s="103">
        <v>4001</v>
      </c>
      <c r="B534" s="38" t="str">
        <f>IF($A534=0,"",VLOOKUP($A534,'BASE MATERIAL'!$A:$D,2))</f>
        <v>CEMENTO</v>
      </c>
      <c r="C534" s="2"/>
      <c r="D534" s="77"/>
      <c r="E534" s="78" t="str">
        <f>IF($A534=0,"",VLOOKUP($A534,'BASE MATERIAL'!$A:$D,3))</f>
        <v>SACO</v>
      </c>
      <c r="F534" s="55">
        <v>0.5</v>
      </c>
      <c r="G534" s="55">
        <f>IF($A534=0,"",VLOOKUP($A534,'BASE MATERIAL'!$A:$D,4))</f>
        <v>7.09</v>
      </c>
      <c r="H534" s="56">
        <f t="shared" si="49"/>
        <v>3.55</v>
      </c>
      <c r="I534" s="2"/>
      <c r="L534" s="2"/>
      <c r="M534" s="2"/>
      <c r="N534" s="39"/>
      <c r="O534" s="2"/>
      <c r="P534" s="2"/>
    </row>
    <row r="535" spans="1:16" x14ac:dyDescent="0.25">
      <c r="A535" s="103">
        <v>14031</v>
      </c>
      <c r="B535" s="38" t="str">
        <f>IF($A535=0,"",VLOOKUP($A535,'BASE MATERIAL'!$A:$D,2))</f>
        <v>ACIDO</v>
      </c>
      <c r="C535" s="2"/>
      <c r="D535" s="77"/>
      <c r="E535" s="78" t="str">
        <f>IF($A535=0,"",VLOOKUP($A535,'BASE MATERIAL'!$A:$D,3))</f>
        <v>LT</v>
      </c>
      <c r="F535" s="55">
        <v>0.2</v>
      </c>
      <c r="G535" s="55">
        <f>IF($A535=0,"",VLOOKUP($A535,'BASE MATERIAL'!$A:$D,4))</f>
        <v>1.5649999999999999</v>
      </c>
      <c r="H535" s="56">
        <f t="shared" si="49"/>
        <v>0.31</v>
      </c>
      <c r="I535" s="2"/>
      <c r="L535" s="2"/>
      <c r="M535" s="2"/>
      <c r="N535" s="39"/>
      <c r="O535" s="2"/>
      <c r="P535" s="2"/>
    </row>
    <row r="536" spans="1:16" x14ac:dyDescent="0.25">
      <c r="A536" s="103">
        <v>14053</v>
      </c>
      <c r="B536" s="38" t="str">
        <f>IF($A536=0,"",VLOOKUP($A536,'BASE MATERIAL'!$A:$D,2))</f>
        <v>SELLADOR DE PISOS</v>
      </c>
      <c r="C536" s="2"/>
      <c r="D536" s="77"/>
      <c r="E536" s="78" t="str">
        <f>IF($A536=0,"",VLOOKUP($A536,'BASE MATERIAL'!$A:$D,3))</f>
        <v>KG</v>
      </c>
      <c r="F536" s="55">
        <v>0.25</v>
      </c>
      <c r="G536" s="55">
        <f>IF($A536=0,"",VLOOKUP($A536,'BASE MATERIAL'!$A:$D,4))</f>
        <v>7.2750000000000004</v>
      </c>
      <c r="H536" s="56">
        <f t="shared" si="49"/>
        <v>1.82</v>
      </c>
      <c r="I536" s="2"/>
      <c r="L536" s="2"/>
      <c r="M536" s="2"/>
      <c r="N536" s="39"/>
      <c r="O536" s="2"/>
      <c r="P536" s="2"/>
    </row>
    <row r="537" spans="1:16" x14ac:dyDescent="0.25">
      <c r="B537" s="38" t="str">
        <f>IF($A537=0,"",VLOOKUP($A537,'BASE MATERIAL'!$A:$D,2))</f>
        <v/>
      </c>
      <c r="C537" s="2"/>
      <c r="D537" s="77"/>
      <c r="E537" s="78" t="str">
        <f>IF($A537=0,"",VLOOKUP($A537,'BASE MATERIAL'!$A:$D,3))</f>
        <v/>
      </c>
      <c r="F537" s="55"/>
      <c r="G537" s="55" t="str">
        <f>IF($A537=0,"",VLOOKUP($A537,'BASE MATERIAL'!$A:$D,4))</f>
        <v/>
      </c>
      <c r="H537" s="56" t="str">
        <f t="shared" si="49"/>
        <v/>
      </c>
      <c r="I537" s="2"/>
      <c r="L537" s="2"/>
      <c r="M537" s="2"/>
      <c r="N537" s="39"/>
      <c r="O537" s="2"/>
      <c r="P537" s="2"/>
    </row>
    <row r="538" spans="1:16" x14ac:dyDescent="0.25">
      <c r="B538" s="38" t="str">
        <f>IF($A538=0,"",VLOOKUP($A538,'BASE MATERIAL'!$A:$D,2))</f>
        <v/>
      </c>
      <c r="C538" s="2"/>
      <c r="D538" s="77"/>
      <c r="E538" s="78" t="str">
        <f>IF($A538=0,"",VLOOKUP($A538,'BASE MATERIAL'!$A:$D,3))</f>
        <v/>
      </c>
      <c r="F538" s="55"/>
      <c r="G538" s="55" t="str">
        <f>IF($A538=0,"",VLOOKUP($A538,'BASE MATERIAL'!$A:$D,4))</f>
        <v/>
      </c>
      <c r="H538" s="56" t="str">
        <f t="shared" si="49"/>
        <v/>
      </c>
      <c r="I538" s="2"/>
      <c r="L538" s="2"/>
      <c r="M538" s="2"/>
      <c r="N538" s="39"/>
      <c r="O538" s="2"/>
      <c r="P538" s="2"/>
    </row>
    <row r="539" spans="1:16" x14ac:dyDescent="0.25">
      <c r="B539" s="38" t="str">
        <f>IF($A539=0,"",VLOOKUP($A539,'BASE MATERIAL'!$A:$D,2))</f>
        <v/>
      </c>
      <c r="C539" s="2"/>
      <c r="D539" s="77"/>
      <c r="E539" s="78" t="str">
        <f>IF($A539=0,"",VLOOKUP($A539,'BASE MATERIAL'!$A:$D,3))</f>
        <v/>
      </c>
      <c r="F539" s="55"/>
      <c r="G539" s="55" t="str">
        <f>IF($A539=0,"",VLOOKUP($A539,'BASE MATERIAL'!$A:$D,4))</f>
        <v/>
      </c>
      <c r="H539" s="56" t="str">
        <f t="shared" si="49"/>
        <v/>
      </c>
      <c r="I539" s="2"/>
      <c r="L539" s="2"/>
      <c r="M539" s="2"/>
      <c r="N539" s="39"/>
      <c r="O539" s="2"/>
      <c r="P539" s="2"/>
    </row>
    <row r="540" spans="1:16" x14ac:dyDescent="0.25">
      <c r="B540" s="38" t="str">
        <f>IF($A540=0,"",VLOOKUP($A540,'BASE MATERIAL'!$A:$D,2))</f>
        <v/>
      </c>
      <c r="C540" s="2"/>
      <c r="D540" s="77"/>
      <c r="E540" s="78" t="str">
        <f>IF($A540=0,"",VLOOKUP($A540,'BASE MATERIAL'!$A:$D,3))</f>
        <v/>
      </c>
      <c r="F540" s="55"/>
      <c r="G540" s="55" t="str">
        <f>IF($A540=0,"",VLOOKUP($A540,'BASE MATERIAL'!$A:$D,4))</f>
        <v/>
      </c>
      <c r="H540" s="56" t="str">
        <f t="shared" si="49"/>
        <v/>
      </c>
      <c r="I540" s="2"/>
      <c r="L540" s="2"/>
      <c r="M540" s="2"/>
      <c r="N540" s="39"/>
      <c r="O540" s="2"/>
      <c r="P540" s="2"/>
    </row>
    <row r="541" spans="1:16" x14ac:dyDescent="0.25">
      <c r="B541" s="38" t="str">
        <f>IF($A541=0,"",VLOOKUP($A541,'BASE MATERIAL'!$A:$D,2))</f>
        <v/>
      </c>
      <c r="C541" s="2"/>
      <c r="D541" s="77"/>
      <c r="E541" s="78" t="str">
        <f>IF($A541=0,"",VLOOKUP($A541,'BASE MATERIAL'!$A:$D,3))</f>
        <v/>
      </c>
      <c r="F541" s="55"/>
      <c r="G541" s="55" t="str">
        <f>IF($A541=0,"",VLOOKUP($A541,'BASE MATERIAL'!$A:$D,4))</f>
        <v/>
      </c>
      <c r="H541" s="56" t="str">
        <f t="shared" si="49"/>
        <v/>
      </c>
      <c r="I541" s="2"/>
    </row>
    <row r="542" spans="1:16" x14ac:dyDescent="0.25">
      <c r="B542" s="38" t="str">
        <f>IF($A542=0,"",VLOOKUP($A542,'BASE MATERIAL'!$A:$D,2))</f>
        <v/>
      </c>
      <c r="C542" s="2"/>
      <c r="D542" s="77"/>
      <c r="E542" s="78" t="str">
        <f>IF($A542=0,"",VLOOKUP($A542,'BASE MATERIAL'!$A:$D,3))</f>
        <v/>
      </c>
      <c r="F542" s="55"/>
      <c r="G542" s="55" t="str">
        <f>IF($A542=0,"",VLOOKUP($A542,'BASE MATERIAL'!$A:$D,4))</f>
        <v/>
      </c>
      <c r="H542" s="56" t="str">
        <f t="shared" si="49"/>
        <v/>
      </c>
      <c r="I542" s="2"/>
      <c r="L542" s="2"/>
      <c r="M542" s="2"/>
      <c r="N542" s="39"/>
      <c r="O542" s="2"/>
      <c r="P542" s="2"/>
    </row>
    <row r="543" spans="1:16" x14ac:dyDescent="0.25">
      <c r="B543" s="38" t="str">
        <f>IF($A543=0,"",VLOOKUP($A543,'BASE MATERIAL'!$A:$D,2))</f>
        <v/>
      </c>
      <c r="C543" s="2"/>
      <c r="D543" s="77"/>
      <c r="E543" s="78" t="str">
        <f>IF($A543=0,"",VLOOKUP($A543,'BASE MATERIAL'!$A:$D,3))</f>
        <v/>
      </c>
      <c r="F543" s="55"/>
      <c r="G543" s="55" t="str">
        <f>IF($A543=0,"",VLOOKUP($A543,'BASE MATERIAL'!$A:$D,4))</f>
        <v/>
      </c>
      <c r="H543" s="56" t="str">
        <f t="shared" si="49"/>
        <v/>
      </c>
      <c r="I543" s="2"/>
      <c r="L543" s="2"/>
      <c r="M543" s="2"/>
      <c r="N543" s="39"/>
      <c r="O543" s="2"/>
      <c r="P543" s="2"/>
    </row>
    <row r="544" spans="1:16" x14ac:dyDescent="0.25">
      <c r="B544" s="38" t="str">
        <f>IF($A544=0,"",VLOOKUP($A544,'BASE MATERIAL'!$A:$D,2))</f>
        <v/>
      </c>
      <c r="C544" s="2"/>
      <c r="D544" s="77"/>
      <c r="E544" s="78" t="str">
        <f>IF($A544=0,"",VLOOKUP($A544,'BASE MATERIAL'!$A:$D,3))</f>
        <v/>
      </c>
      <c r="F544" s="55"/>
      <c r="G544" s="55" t="str">
        <f>IF($A544=0,"",VLOOKUP($A544,'BASE MATERIAL'!$A:$D,4))</f>
        <v/>
      </c>
      <c r="H544" s="56" t="str">
        <f t="shared" si="49"/>
        <v/>
      </c>
      <c r="I544" s="2"/>
    </row>
    <row r="545" spans="2:9" x14ac:dyDescent="0.25">
      <c r="B545" s="38" t="str">
        <f>IF($A545=0,"",VLOOKUP($A545,'BASE MATERIAL'!$A:$D,2))</f>
        <v/>
      </c>
      <c r="C545" s="2"/>
      <c r="D545" s="77"/>
      <c r="E545" s="78" t="str">
        <f>IF($A545=0,"",VLOOKUP($A545,'BASE MATERIAL'!$A:$D,3))</f>
        <v/>
      </c>
      <c r="F545" s="55"/>
      <c r="G545" s="55" t="str">
        <f>IF($A545=0,"",VLOOKUP($A545,'BASE MATERIAL'!$A:$D,4))</f>
        <v/>
      </c>
      <c r="H545" s="56" t="str">
        <f t="shared" si="49"/>
        <v/>
      </c>
      <c r="I545" s="2"/>
    </row>
    <row r="546" spans="2:9" x14ac:dyDescent="0.25">
      <c r="B546" s="38" t="str">
        <f>IF($A546=0,"",VLOOKUP($A546,'BASE MATERIAL'!$A:$D,2))</f>
        <v/>
      </c>
      <c r="C546" s="2"/>
      <c r="D546" s="77"/>
      <c r="E546" s="78" t="str">
        <f>IF($A546=0,"",VLOOKUP($A546,'BASE MATERIAL'!$A:$D,3))</f>
        <v/>
      </c>
      <c r="F546" s="55"/>
      <c r="G546" s="55" t="str">
        <f>IF($A546=0,"",VLOOKUP($A546,'BASE MATERIAL'!$A:$D,4))</f>
        <v/>
      </c>
      <c r="H546" s="56" t="str">
        <f t="shared" si="49"/>
        <v/>
      </c>
      <c r="I546" s="2"/>
    </row>
    <row r="547" spans="2:9" x14ac:dyDescent="0.25">
      <c r="B547" s="38" t="str">
        <f>IF($A547=0,"",VLOOKUP($A547,'BASE MATERIAL'!$A:$D,2))</f>
        <v/>
      </c>
      <c r="C547" s="2"/>
      <c r="D547" s="77"/>
      <c r="E547" s="78" t="str">
        <f>IF($A547=0,"",VLOOKUP($A547,'BASE MATERIAL'!$A:$D,3))</f>
        <v/>
      </c>
      <c r="F547" s="55"/>
      <c r="G547" s="55" t="str">
        <f>IF($A547=0,"",VLOOKUP($A547,'BASE MATERIAL'!$A:$D,4))</f>
        <v/>
      </c>
      <c r="H547" s="56" t="str">
        <f t="shared" si="49"/>
        <v/>
      </c>
      <c r="I547" s="2"/>
    </row>
    <row r="548" spans="2:9" x14ac:dyDescent="0.25">
      <c r="B548" s="38" t="str">
        <f>IF($A548=0,"",VLOOKUP($A548,'BASE MATERIAL'!$A:$D,2))</f>
        <v/>
      </c>
      <c r="C548" s="2"/>
      <c r="D548" s="81" t="s">
        <v>1682</v>
      </c>
      <c r="E548" s="55" t="str">
        <f>IF($A548=0,"",VLOOKUP($A548,'BASE MATERIAL'!$A:$D,3))</f>
        <v/>
      </c>
      <c r="F548" s="55" t="s">
        <v>1682</v>
      </c>
      <c r="G548" s="55" t="str">
        <f>IF($A548=0,"",VLOOKUP($A548,'BASE MATERIAL'!$A:$D,4))</f>
        <v/>
      </c>
      <c r="H548" s="56" t="str">
        <f>IF($A548=0,"",ROUND(E548*F548,2))</f>
        <v/>
      </c>
      <c r="I548" s="2"/>
    </row>
    <row r="549" spans="2:9" x14ac:dyDescent="0.25">
      <c r="B549" s="73" t="s">
        <v>1681</v>
      </c>
      <c r="C549" s="65"/>
      <c r="D549" s="74"/>
      <c r="E549" s="74"/>
      <c r="F549" s="74"/>
      <c r="G549" s="74"/>
      <c r="H549" s="75">
        <f>ROUND(SUM(H532:H548),2)</f>
        <v>7.08</v>
      </c>
      <c r="I549" s="2"/>
    </row>
    <row r="550" spans="2:9" x14ac:dyDescent="0.25">
      <c r="B550" s="38" t="s">
        <v>1680</v>
      </c>
      <c r="C550" s="2"/>
      <c r="D550" s="3"/>
      <c r="E550" s="3"/>
      <c r="F550" s="3"/>
      <c r="G550" s="3"/>
      <c r="H550" s="56"/>
      <c r="I550" s="2"/>
    </row>
    <row r="551" spans="2:9" ht="25.5" x14ac:dyDescent="0.25">
      <c r="B551" s="64" t="s">
        <v>1409</v>
      </c>
      <c r="C551" s="65"/>
      <c r="D551" s="76"/>
      <c r="E551" s="66" t="s">
        <v>1408</v>
      </c>
      <c r="F551" s="66" t="s">
        <v>1679</v>
      </c>
      <c r="G551" s="66" t="s">
        <v>1676</v>
      </c>
      <c r="H551" s="68" t="s">
        <v>1675</v>
      </c>
      <c r="I551" s="2"/>
    </row>
    <row r="552" spans="2:9" x14ac:dyDescent="0.25">
      <c r="B552" s="51" t="str">
        <f>IF($A552=0,"",VLOOKUP($A552,'BASE EQUIPO'!$A:$D,2))</f>
        <v/>
      </c>
      <c r="C552" s="52"/>
      <c r="D552" s="82"/>
      <c r="E552" s="78" t="str">
        <f>IF($A552=0,"",VLOOKUP($A552,'BASE EQUIPO'!$A:$D,3))</f>
        <v/>
      </c>
      <c r="F552" s="55">
        <v>1</v>
      </c>
      <c r="G552" s="83" t="str">
        <f>IF($A552=0,"",VLOOKUP($A552,'BASE EQUIPO'!$A:$D,4)*H549)</f>
        <v/>
      </c>
      <c r="H552" s="56" t="str">
        <f>IF($A552=0,"",ROUND(F552*G552,2))</f>
        <v/>
      </c>
      <c r="I552" s="2"/>
    </row>
    <row r="553" spans="2:9" x14ac:dyDescent="0.25">
      <c r="B553" s="38" t="str">
        <f>IF($A553=0,"",VLOOKUP($A553,'BASE EQUIPO'!$A:$D,2))</f>
        <v/>
      </c>
      <c r="C553" s="2"/>
      <c r="D553" s="84"/>
      <c r="E553" s="78" t="str">
        <f>IF($A553=0,"",VLOOKUP($A553,'BASE EQUIPO'!$A:$D,3))</f>
        <v/>
      </c>
      <c r="F553" s="55"/>
      <c r="G553" s="55" t="str">
        <f>IF($A553=0,"",VLOOKUP($A553,'BASE EQUIPO'!$A:$D,4)*H550)</f>
        <v/>
      </c>
      <c r="H553" s="56" t="str">
        <f>IF($A553=0,"",ROUND(F553*G553,2))</f>
        <v/>
      </c>
      <c r="I553" s="2"/>
    </row>
    <row r="554" spans="2:9" x14ac:dyDescent="0.25">
      <c r="B554" s="57" t="str">
        <f>IF($A554=0,"",VLOOKUP($A554,'BASE EQUIPO'!$A:$D,2))</f>
        <v/>
      </c>
      <c r="C554" s="58"/>
      <c r="D554" s="85"/>
      <c r="E554" s="86" t="str">
        <f>IF($A554=0,"",VLOOKUP($A554,'BASE EQUIPO'!$A:$D,3))</f>
        <v/>
      </c>
      <c r="F554" s="59"/>
      <c r="G554" s="59" t="str">
        <f>IF($A554=0,"",VLOOKUP($A554,'BASE EQUIPO'!$A:$D,4)*H551)</f>
        <v/>
      </c>
      <c r="H554" s="60" t="str">
        <f>IF($A554=0,"",ROUND(F554*G554,2))</f>
        <v/>
      </c>
      <c r="I554" s="2"/>
    </row>
    <row r="555" spans="2:9" ht="15.75" thickBot="1" x14ac:dyDescent="0.3">
      <c r="B555" s="87" t="s">
        <v>1674</v>
      </c>
      <c r="C555" s="88"/>
      <c r="D555" s="89"/>
      <c r="E555" s="89"/>
      <c r="F555" s="89"/>
      <c r="G555" s="89"/>
      <c r="H555" s="90">
        <f>ROUND(SUM(H551:H554),2)</f>
        <v>0</v>
      </c>
      <c r="I555" s="2"/>
    </row>
    <row r="556" spans="2:9" ht="15.75" x14ac:dyDescent="0.25">
      <c r="B556" s="2"/>
      <c r="C556" s="2"/>
      <c r="D556" s="91" t="s">
        <v>1673</v>
      </c>
      <c r="E556" s="47"/>
      <c r="F556" s="47"/>
      <c r="G556" s="47"/>
      <c r="H556" s="92">
        <f>ROUND(SUM(H555,H549,H530,H520),2)</f>
        <v>12.81</v>
      </c>
      <c r="I556" s="2"/>
    </row>
    <row r="557" spans="2:9" ht="15.75" x14ac:dyDescent="0.25">
      <c r="B557" s="2"/>
      <c r="C557" s="2"/>
      <c r="D557" s="93" t="s">
        <v>1672</v>
      </c>
      <c r="E557" s="65"/>
      <c r="F557" s="65"/>
      <c r="G557" s="94" t="str">
        <f>IF($A557=0,"",VLOOKUP($A557,'BASE MATERIAL'!$M:$P,4))</f>
        <v/>
      </c>
      <c r="H557" s="95" t="str">
        <f>IF($A557=0,"",ROUND(G557*H556,2))</f>
        <v/>
      </c>
      <c r="I557" s="2"/>
    </row>
    <row r="558" spans="2:9" ht="15.75" x14ac:dyDescent="0.25">
      <c r="B558" s="2"/>
      <c r="C558" s="2"/>
      <c r="D558" s="93" t="s">
        <v>1671</v>
      </c>
      <c r="E558" s="65"/>
      <c r="F558" s="65"/>
      <c r="G558" s="94" t="str">
        <f>IF($A558=0,"",VLOOKUP($A558,'BASE MATERIAL'!$M:$P,4))</f>
        <v/>
      </c>
      <c r="H558" s="95" t="str">
        <f>IF($A558=0,"",ROUND(G558*H556,2))</f>
        <v/>
      </c>
      <c r="I558" s="2"/>
    </row>
    <row r="559" spans="2:9" ht="15.75" x14ac:dyDescent="0.25">
      <c r="B559" s="2"/>
      <c r="C559" s="2"/>
      <c r="D559" s="93" t="s">
        <v>1670</v>
      </c>
      <c r="E559" s="65"/>
      <c r="F559" s="65"/>
      <c r="G559" s="65"/>
      <c r="H559" s="96">
        <f>ROUND(SUM(H556:H558),2)</f>
        <v>12.81</v>
      </c>
      <c r="I559" s="2"/>
    </row>
    <row r="560" spans="2:9" ht="16.5" thickBot="1" x14ac:dyDescent="0.3">
      <c r="B560" s="25"/>
      <c r="C560" s="2"/>
      <c r="D560" s="97" t="s">
        <v>1650</v>
      </c>
      <c r="E560" s="88"/>
      <c r="F560" s="88"/>
      <c r="G560" s="88"/>
      <c r="H560" s="98">
        <f>ROUND(H559,2)</f>
        <v>12.81</v>
      </c>
      <c r="I560" s="2"/>
    </row>
    <row r="561" spans="1:15" ht="15.75" x14ac:dyDescent="0.25">
      <c r="B561" s="34" t="s">
        <v>1701</v>
      </c>
      <c r="C561" s="2"/>
      <c r="D561" s="3" t="s">
        <v>1702</v>
      </c>
      <c r="E561" s="2"/>
      <c r="F561" s="2"/>
      <c r="H561" s="2" t="s">
        <v>108</v>
      </c>
      <c r="I561" s="2"/>
      <c r="L561" s="40">
        <f>A565</f>
        <v>0</v>
      </c>
      <c r="M561" s="1" t="str">
        <f>C566</f>
        <v>Revestimiento con aluminio compuesto</v>
      </c>
      <c r="N561" s="2" t="str">
        <f>H565</f>
        <v>m2</v>
      </c>
      <c r="O561" s="2">
        <f>H616</f>
        <v>92.11</v>
      </c>
    </row>
    <row r="562" spans="1:15" ht="15.75" x14ac:dyDescent="0.25">
      <c r="B562" s="34" t="s">
        <v>1700</v>
      </c>
      <c r="C562" s="3">
        <f>'1.1'!$C$2</f>
        <v>0</v>
      </c>
      <c r="D562" s="2"/>
      <c r="E562" s="2"/>
      <c r="F562" s="2"/>
      <c r="G562" s="41" t="s">
        <v>1699</v>
      </c>
      <c r="H562" s="42"/>
      <c r="I562" s="2" t="s">
        <v>1698</v>
      </c>
    </row>
    <row r="563" spans="1:15" ht="15.75" x14ac:dyDescent="0.25">
      <c r="B563" s="34"/>
      <c r="C563" s="3">
        <f>'1.1'!$C$3</f>
        <v>0</v>
      </c>
      <c r="D563" s="2"/>
      <c r="E563" s="2"/>
      <c r="F563" s="2"/>
      <c r="G563" s="2"/>
      <c r="H563" s="2"/>
      <c r="I563" s="2"/>
    </row>
    <row r="564" spans="1:15" ht="15.75" x14ac:dyDescent="0.25">
      <c r="B564" s="34" t="s">
        <v>1697</v>
      </c>
      <c r="C564" s="3"/>
      <c r="D564" s="2"/>
      <c r="E564" s="2"/>
      <c r="F564" s="2"/>
      <c r="G564" s="2"/>
      <c r="H564" s="2"/>
      <c r="I564" s="2"/>
    </row>
    <row r="565" spans="1:15" x14ac:dyDescent="0.25">
      <c r="A565" s="104">
        <f>+A232</f>
        <v>0</v>
      </c>
      <c r="B565" s="2" t="s">
        <v>1586</v>
      </c>
      <c r="C565" s="36" t="s">
        <v>616</v>
      </c>
      <c r="D565" s="2"/>
      <c r="G565" s="2" t="s">
        <v>1696</v>
      </c>
      <c r="H565" s="3" t="s">
        <v>1520</v>
      </c>
      <c r="I565" s="2"/>
    </row>
    <row r="566" spans="1:15" x14ac:dyDescent="0.25">
      <c r="B566" s="1" t="s">
        <v>1585</v>
      </c>
      <c r="C566" s="36" t="s">
        <v>1300</v>
      </c>
      <c r="D566" s="2"/>
      <c r="E566" s="2"/>
      <c r="F566" s="2"/>
      <c r="G566" s="2"/>
      <c r="H566" s="2"/>
      <c r="I566" s="2"/>
    </row>
    <row r="567" spans="1:15" ht="15.75" thickBot="1" x14ac:dyDescent="0.3">
      <c r="D567" s="2"/>
      <c r="E567" s="2"/>
      <c r="F567" s="2"/>
      <c r="G567" s="2"/>
      <c r="H567" s="2"/>
      <c r="I567" s="2"/>
    </row>
    <row r="568" spans="1:15" ht="15.75" thickBot="1" x14ac:dyDescent="0.3">
      <c r="B568" s="43" t="s">
        <v>1695</v>
      </c>
      <c r="C568" s="44"/>
      <c r="D568" s="44"/>
      <c r="E568" s="44"/>
      <c r="F568" s="44"/>
      <c r="G568" s="44"/>
      <c r="H568" s="45"/>
      <c r="I568" s="2"/>
    </row>
    <row r="569" spans="1:15" ht="25.5" x14ac:dyDescent="0.25">
      <c r="B569" s="46" t="s">
        <v>1409</v>
      </c>
      <c r="C569" s="47"/>
      <c r="D569" s="48" t="s">
        <v>1690</v>
      </c>
      <c r="E569" s="48" t="s">
        <v>1694</v>
      </c>
      <c r="F569" s="48" t="s">
        <v>1693</v>
      </c>
      <c r="G569" s="49" t="s">
        <v>1687</v>
      </c>
      <c r="H569" s="50" t="s">
        <v>1686</v>
      </c>
      <c r="I569" s="2"/>
    </row>
    <row r="570" spans="1:15" x14ac:dyDescent="0.25">
      <c r="A570" s="103">
        <v>19015</v>
      </c>
      <c r="B570" s="51" t="str">
        <f>IF($A570=0,"",VLOOKUP($A570,'BASE EQUIPO'!$A:$D,2))</f>
        <v>HERRAMIENTA MENOR</v>
      </c>
      <c r="C570" s="52"/>
      <c r="D570" s="53">
        <v>1</v>
      </c>
      <c r="E570" s="53">
        <f>IF($A570=0,"",VLOOKUP($A570,'BASE EQUIPO'!$A:$D,4)*H586)</f>
        <v>0.67320000000000002</v>
      </c>
      <c r="F570" s="53">
        <f t="shared" ref="F570:F575" si="50">IF($A570=0,"",ROUND(D570*E570,2))</f>
        <v>0.67</v>
      </c>
      <c r="G570" s="105">
        <v>1</v>
      </c>
      <c r="H570" s="54">
        <f t="shared" ref="H570:H575" si="51">IF($A570=0,"",ROUND(G570*F570,2))</f>
        <v>0.67</v>
      </c>
      <c r="I570" s="2"/>
    </row>
    <row r="571" spans="1:15" x14ac:dyDescent="0.25">
      <c r="B571" s="38" t="str">
        <f>IF($A571=0,"",VLOOKUP($A571,'BASE EQUIPO'!$A:$D,2))</f>
        <v/>
      </c>
      <c r="C571" s="2"/>
      <c r="D571" s="55"/>
      <c r="E571" s="55" t="str">
        <f>IF($A571=0,"",VLOOKUP($A571,'BASE EQUIPO'!$A:$D,4))</f>
        <v/>
      </c>
      <c r="F571" s="55" t="str">
        <f t="shared" si="50"/>
        <v/>
      </c>
      <c r="G571" s="106"/>
      <c r="H571" s="56" t="str">
        <f t="shared" si="51"/>
        <v/>
      </c>
      <c r="I571" s="2"/>
    </row>
    <row r="572" spans="1:15" x14ac:dyDescent="0.25">
      <c r="B572" s="38" t="str">
        <f>IF($A572=0,"",VLOOKUP($A572,'BASE EQUIPO'!$A:$D,2))</f>
        <v/>
      </c>
      <c r="C572" s="2"/>
      <c r="D572" s="55"/>
      <c r="E572" s="55" t="str">
        <f>IF($A572=0,"",VLOOKUP($A572,'BASE EQUIPO'!$A:$D,4))</f>
        <v/>
      </c>
      <c r="F572" s="55" t="str">
        <f t="shared" si="50"/>
        <v/>
      </c>
      <c r="G572" s="106"/>
      <c r="H572" s="56" t="str">
        <f t="shared" si="51"/>
        <v/>
      </c>
      <c r="I572" s="2"/>
    </row>
    <row r="573" spans="1:15" x14ac:dyDescent="0.25">
      <c r="B573" s="38" t="str">
        <f>IF($A573=0,"",VLOOKUP($A573,'BASE EQUIPO'!$A:$D,2))</f>
        <v/>
      </c>
      <c r="C573" s="2"/>
      <c r="D573" s="55"/>
      <c r="E573" s="55" t="str">
        <f>IF($A573=0,"",VLOOKUP($A573,'BASE EQUIPO'!$A:$D,4))</f>
        <v/>
      </c>
      <c r="F573" s="55" t="str">
        <f t="shared" si="50"/>
        <v/>
      </c>
      <c r="G573" s="106"/>
      <c r="H573" s="56" t="str">
        <f t="shared" si="51"/>
        <v/>
      </c>
      <c r="I573" s="2"/>
    </row>
    <row r="574" spans="1:15" x14ac:dyDescent="0.25">
      <c r="B574" s="38" t="str">
        <f>IF($A574=0,"",VLOOKUP($A574,'BASE EQUIPO'!$A:$D,2))</f>
        <v/>
      </c>
      <c r="C574" s="2"/>
      <c r="D574" s="55"/>
      <c r="E574" s="55" t="str">
        <f>IF($A574=0,"",VLOOKUP($A574,'BASE EQUIPO'!$A:$D,4))</f>
        <v/>
      </c>
      <c r="F574" s="55" t="str">
        <f t="shared" si="50"/>
        <v/>
      </c>
      <c r="G574" s="106"/>
      <c r="H574" s="56" t="str">
        <f t="shared" si="51"/>
        <v/>
      </c>
      <c r="I574" s="2"/>
    </row>
    <row r="575" spans="1:15" x14ac:dyDescent="0.25">
      <c r="B575" s="57" t="str">
        <f>IF($A575=0,"",VLOOKUP($A575,'BASE EQUIPO'!$A:$D,2))</f>
        <v/>
      </c>
      <c r="C575" s="58"/>
      <c r="D575" s="59"/>
      <c r="E575" s="59" t="str">
        <f>IF($A575=0,"",VLOOKUP($A575,'BASE EQUIPO'!$A:$D,4))</f>
        <v/>
      </c>
      <c r="F575" s="59" t="str">
        <f t="shared" si="50"/>
        <v/>
      </c>
      <c r="G575" s="107"/>
      <c r="H575" s="60" t="str">
        <f t="shared" si="51"/>
        <v/>
      </c>
      <c r="I575" s="2"/>
    </row>
    <row r="576" spans="1:15" x14ac:dyDescent="0.25">
      <c r="B576" s="57" t="s">
        <v>1692</v>
      </c>
      <c r="C576" s="58"/>
      <c r="D576" s="61"/>
      <c r="E576" s="61"/>
      <c r="F576" s="61"/>
      <c r="G576" s="62"/>
      <c r="H576" s="60">
        <f>ROUND(SUM(H569:H575),2)</f>
        <v>0.67</v>
      </c>
      <c r="I576" s="2"/>
    </row>
    <row r="577" spans="1:16" x14ac:dyDescent="0.25">
      <c r="B577" s="38" t="s">
        <v>1503</v>
      </c>
      <c r="C577" s="2"/>
      <c r="D577" s="3"/>
      <c r="E577" s="3"/>
      <c r="F577" s="3"/>
      <c r="G577" s="63"/>
      <c r="H577" s="56"/>
      <c r="I577" s="2"/>
    </row>
    <row r="578" spans="1:16" ht="25.5" x14ac:dyDescent="0.25">
      <c r="B578" s="64" t="s">
        <v>1691</v>
      </c>
      <c r="C578" s="65"/>
      <c r="D578" s="66" t="s">
        <v>1690</v>
      </c>
      <c r="E578" s="66" t="s">
        <v>1689</v>
      </c>
      <c r="F578" s="66" t="s">
        <v>1688</v>
      </c>
      <c r="G578" s="67" t="s">
        <v>1687</v>
      </c>
      <c r="H578" s="68" t="s">
        <v>1686</v>
      </c>
      <c r="I578" s="2"/>
    </row>
    <row r="579" spans="1:16" x14ac:dyDescent="0.25">
      <c r="B579" s="69" t="str">
        <f>IF($A579=0,"",VLOOKUP($A579,'BASE M-OBRA'!$A:$D,2))</f>
        <v/>
      </c>
      <c r="C579" s="2"/>
      <c r="D579" s="108"/>
      <c r="E579" s="70" t="str">
        <f>IF($A579=0,"",VLOOKUP($A579,'BASE M-OBRA'!$A:$D,4))</f>
        <v/>
      </c>
      <c r="F579" s="55" t="str">
        <f t="shared" ref="F579:F585" si="52">IF($A579=0,"",ROUND(D579*E579,2))</f>
        <v/>
      </c>
      <c r="G579" s="106" t="str">
        <f>IF($A579=0,"",ROUND(H579/F579,2))</f>
        <v/>
      </c>
      <c r="H579" s="56" t="str">
        <f>IF($A579=0,"",ROUND(SUM(H580:H585)*'BASE M-OBRA'!$D$23,2))</f>
        <v/>
      </c>
      <c r="I579" s="2"/>
    </row>
    <row r="580" spans="1:16" x14ac:dyDescent="0.25">
      <c r="A580" s="103">
        <v>20019</v>
      </c>
      <c r="B580" s="69" t="str">
        <f>IF($A580=0,"",VLOOKUP($A580,'BASE M-OBRA'!$A:$D,2))</f>
        <v>INSTALADOR</v>
      </c>
      <c r="C580" s="2"/>
      <c r="D580" s="108">
        <v>1</v>
      </c>
      <c r="E580" s="70">
        <f>IF($A580=0,"",VLOOKUP($A580,'BASE M-OBRA'!$A:$D,4))</f>
        <v>2.82</v>
      </c>
      <c r="F580" s="55">
        <f t="shared" si="52"/>
        <v>2.82</v>
      </c>
      <c r="G580" s="106">
        <v>4</v>
      </c>
      <c r="H580" s="56">
        <f t="shared" ref="H580:H585" si="53">IF($A580=0,"",ROUND(G580*F580,2))</f>
        <v>11.28</v>
      </c>
      <c r="I580" s="2"/>
      <c r="K580" s="1">
        <f>320/8</f>
        <v>40</v>
      </c>
    </row>
    <row r="581" spans="1:16" x14ac:dyDescent="0.25">
      <c r="A581" s="103">
        <v>20011</v>
      </c>
      <c r="B581" s="69" t="str">
        <f>IF($A581=0,"",VLOOKUP($A581,'BASE M-OBRA'!$A:$D,2))</f>
        <v>AYUDANTE ESPECIALISTA</v>
      </c>
      <c r="C581" s="2"/>
      <c r="D581" s="108">
        <v>1</v>
      </c>
      <c r="E581" s="70">
        <f>IF($A581=0,"",VLOOKUP($A581,'BASE M-OBRA'!$A:$D,4))</f>
        <v>2.79</v>
      </c>
      <c r="F581" s="55">
        <f t="shared" si="52"/>
        <v>2.79</v>
      </c>
      <c r="G581" s="106">
        <f>+G580</f>
        <v>4</v>
      </c>
      <c r="H581" s="56">
        <f t="shared" si="53"/>
        <v>11.16</v>
      </c>
      <c r="I581" s="2"/>
    </row>
    <row r="582" spans="1:16" x14ac:dyDescent="0.25">
      <c r="B582" s="71" t="str">
        <f>IF($A582=0,"",VLOOKUP($A582,'BASE M-OBRA'!$A:$D,2))</f>
        <v/>
      </c>
      <c r="C582" s="2"/>
      <c r="D582" s="108"/>
      <c r="E582" s="70" t="str">
        <f>IF($A582=0,"",VLOOKUP($A582,'BASE M-OBRA'!$A:$D,4))</f>
        <v/>
      </c>
      <c r="F582" s="55" t="str">
        <f t="shared" si="52"/>
        <v/>
      </c>
      <c r="G582" s="106"/>
      <c r="H582" s="56" t="str">
        <f t="shared" si="53"/>
        <v/>
      </c>
      <c r="I582" s="2"/>
      <c r="J582" s="1">
        <f>0.25*30000</f>
        <v>7500</v>
      </c>
    </row>
    <row r="583" spans="1:16" x14ac:dyDescent="0.25">
      <c r="B583" s="72" t="str">
        <f>IF($A583=0,"",VLOOKUP($A583,'BASE M-OBRA'!$A:$D,2))</f>
        <v/>
      </c>
      <c r="C583" s="2"/>
      <c r="D583" s="108"/>
      <c r="E583" s="70" t="str">
        <f>IF($A583=0,"",VLOOKUP($A583,'BASE M-OBRA'!$A:$D,4))</f>
        <v/>
      </c>
      <c r="F583" s="55" t="str">
        <f t="shared" si="52"/>
        <v/>
      </c>
      <c r="G583" s="106"/>
      <c r="H583" s="56" t="str">
        <f t="shared" si="53"/>
        <v/>
      </c>
      <c r="I583" s="2"/>
    </row>
    <row r="584" spans="1:16" x14ac:dyDescent="0.25">
      <c r="B584" s="38" t="str">
        <f>IF($A584=0,"",VLOOKUP($A584,'BASE M-OBRA'!$A:$D,2))</f>
        <v/>
      </c>
      <c r="C584" s="2"/>
      <c r="D584" s="55"/>
      <c r="E584" s="55" t="str">
        <f>IF($A584=0,"",VLOOKUP($A584,'BASE M-OBRA'!$A:$D,4))</f>
        <v/>
      </c>
      <c r="F584" s="55" t="str">
        <f t="shared" si="52"/>
        <v/>
      </c>
      <c r="G584" s="106"/>
      <c r="H584" s="56" t="str">
        <f t="shared" si="53"/>
        <v/>
      </c>
      <c r="I584" s="2"/>
    </row>
    <row r="585" spans="1:16" x14ac:dyDescent="0.25">
      <c r="B585" s="57" t="str">
        <f>IF($A585=0,"",VLOOKUP($A585,'BASE M-OBRA'!$A:$D,2))</f>
        <v/>
      </c>
      <c r="C585" s="58"/>
      <c r="D585" s="59"/>
      <c r="E585" s="59" t="str">
        <f>IF($A585=0,"",VLOOKUP($A585,'BASE M-OBRA'!$A:$D,4))</f>
        <v/>
      </c>
      <c r="F585" s="59" t="str">
        <f t="shared" si="52"/>
        <v/>
      </c>
      <c r="G585" s="107"/>
      <c r="H585" s="60" t="str">
        <f t="shared" si="53"/>
        <v/>
      </c>
      <c r="I585" s="2"/>
    </row>
    <row r="586" spans="1:16" x14ac:dyDescent="0.25">
      <c r="B586" s="73" t="s">
        <v>1685</v>
      </c>
      <c r="C586" s="65"/>
      <c r="D586" s="74"/>
      <c r="E586" s="74"/>
      <c r="F586" s="74"/>
      <c r="G586" s="74"/>
      <c r="H586" s="75">
        <f>ROUND(SUM(H578:H585),2)</f>
        <v>22.44</v>
      </c>
      <c r="I586" s="2"/>
    </row>
    <row r="587" spans="1:16" x14ac:dyDescent="0.25">
      <c r="B587" s="38" t="s">
        <v>1684</v>
      </c>
      <c r="C587" s="2"/>
      <c r="D587" s="3"/>
      <c r="E587" s="3"/>
      <c r="F587" s="3"/>
      <c r="G587" s="3"/>
      <c r="H587" s="56"/>
      <c r="I587" s="2"/>
    </row>
    <row r="588" spans="1:16" ht="25.5" x14ac:dyDescent="0.25">
      <c r="B588" s="64" t="s">
        <v>1409</v>
      </c>
      <c r="C588" s="65"/>
      <c r="D588" s="76"/>
      <c r="E588" s="66" t="s">
        <v>1408</v>
      </c>
      <c r="F588" s="66" t="s">
        <v>1679</v>
      </c>
      <c r="G588" s="66" t="s">
        <v>1683</v>
      </c>
      <c r="H588" s="68" t="s">
        <v>1675</v>
      </c>
      <c r="I588" s="2"/>
    </row>
    <row r="589" spans="1:16" x14ac:dyDescent="0.25">
      <c r="A589" s="103">
        <v>7017</v>
      </c>
      <c r="B589" s="38" t="s">
        <v>113</v>
      </c>
      <c r="C589" s="2"/>
      <c r="D589" s="77"/>
      <c r="E589" s="78" t="str">
        <f>IF($A589=0,"",VLOOKUP($A589,'BASE MATERIAL'!$A:$D,3))</f>
        <v>M2</v>
      </c>
      <c r="F589" s="55">
        <v>1</v>
      </c>
      <c r="G589" s="55">
        <v>69</v>
      </c>
      <c r="H589" s="56">
        <f t="shared" ref="H589:H603" si="54">IF($A589=0,"",ROUND(F589*G589,2))</f>
        <v>69</v>
      </c>
      <c r="I589" s="2"/>
      <c r="K589" s="1">
        <f>86.24*0.75</f>
        <v>64.679999999999993</v>
      </c>
      <c r="L589" s="2"/>
      <c r="M589" s="2"/>
      <c r="N589" s="39"/>
      <c r="O589" s="2"/>
      <c r="P589" s="2"/>
    </row>
    <row r="590" spans="1:16" x14ac:dyDescent="0.25">
      <c r="B590" s="38" t="str">
        <f>IF($A590=0,"",VLOOKUP($A590,'BASE MATERIAL'!$A:$D,2))</f>
        <v/>
      </c>
      <c r="C590" s="2"/>
      <c r="D590" s="77"/>
      <c r="E590" s="78" t="str">
        <f>IF($A590=0,"",VLOOKUP($A590,'BASE MATERIAL'!$A:$D,3))</f>
        <v/>
      </c>
      <c r="F590" s="55"/>
      <c r="G590" s="55" t="str">
        <f>IF($A590=0,"",VLOOKUP($A590,'BASE MATERIAL'!$A:$D,4))</f>
        <v/>
      </c>
      <c r="H590" s="56" t="str">
        <f t="shared" si="54"/>
        <v/>
      </c>
      <c r="I590" s="2"/>
      <c r="L590" s="2"/>
      <c r="M590" s="2"/>
      <c r="N590" s="39"/>
      <c r="O590" s="2"/>
      <c r="P590" s="2"/>
    </row>
    <row r="591" spans="1:16" x14ac:dyDescent="0.25">
      <c r="B591" s="38" t="str">
        <f>IF($A591=0,"",VLOOKUP($A591,'BASE MATERIAL'!$A:$D,2))</f>
        <v/>
      </c>
      <c r="C591" s="2"/>
      <c r="D591" s="77"/>
      <c r="E591" s="78" t="str">
        <f>IF($A591=0,"",VLOOKUP($A591,'BASE MATERIAL'!$A:$D,3))</f>
        <v/>
      </c>
      <c r="F591" s="55"/>
      <c r="G591" s="55" t="str">
        <f>IF($A591=0,"",VLOOKUP($A591,'BASE MATERIAL'!$A:$D,4))</f>
        <v/>
      </c>
      <c r="H591" s="56" t="str">
        <f t="shared" si="54"/>
        <v/>
      </c>
      <c r="I591" s="2"/>
      <c r="L591" s="2"/>
      <c r="M591" s="2"/>
      <c r="N591" s="39"/>
      <c r="O591" s="2"/>
      <c r="P591" s="2"/>
    </row>
    <row r="592" spans="1:16" x14ac:dyDescent="0.25">
      <c r="B592" s="38" t="str">
        <f>IF($A592=0,"",VLOOKUP($A592,'BASE MATERIAL'!$A:$D,2))</f>
        <v/>
      </c>
      <c r="C592" s="2"/>
      <c r="D592" s="77"/>
      <c r="E592" s="78" t="str">
        <f>IF($A592=0,"",VLOOKUP($A592,'BASE MATERIAL'!$A:$D,3))</f>
        <v/>
      </c>
      <c r="F592" s="55"/>
      <c r="G592" s="55" t="str">
        <f>IF($A592=0,"",VLOOKUP($A592,'BASE MATERIAL'!$A:$D,4))</f>
        <v/>
      </c>
      <c r="H592" s="56" t="str">
        <f t="shared" si="54"/>
        <v/>
      </c>
      <c r="I592" s="2"/>
      <c r="L592" s="2"/>
      <c r="M592" s="2"/>
      <c r="N592" s="39"/>
      <c r="O592" s="2"/>
      <c r="P592" s="2"/>
    </row>
    <row r="593" spans="2:16" x14ac:dyDescent="0.25">
      <c r="B593" s="38" t="str">
        <f>IF($A593=0,"",VLOOKUP($A593,'BASE MATERIAL'!$A:$D,2))</f>
        <v/>
      </c>
      <c r="C593" s="2"/>
      <c r="D593" s="77"/>
      <c r="E593" s="78" t="str">
        <f>IF($A593=0,"",VLOOKUP($A593,'BASE MATERIAL'!$A:$D,3))</f>
        <v/>
      </c>
      <c r="F593" s="55"/>
      <c r="G593" s="55" t="str">
        <f>IF($A593=0,"",VLOOKUP($A593,'BASE MATERIAL'!$A:$D,4))</f>
        <v/>
      </c>
      <c r="H593" s="56" t="str">
        <f t="shared" si="54"/>
        <v/>
      </c>
      <c r="I593" s="2"/>
      <c r="L593" s="2"/>
      <c r="M593" s="2"/>
      <c r="N593" s="39"/>
      <c r="O593" s="2"/>
      <c r="P593" s="2"/>
    </row>
    <row r="594" spans="2:16" x14ac:dyDescent="0.25">
      <c r="B594" s="38" t="str">
        <f>IF($A594=0,"",VLOOKUP($A594,'BASE MATERIAL'!$A:$D,2))</f>
        <v/>
      </c>
      <c r="C594" s="2"/>
      <c r="D594" s="77"/>
      <c r="E594" s="78" t="str">
        <f>IF($A594=0,"",VLOOKUP($A594,'BASE MATERIAL'!$A:$D,3))</f>
        <v/>
      </c>
      <c r="F594" s="55"/>
      <c r="G594" s="55" t="str">
        <f>IF($A594=0,"",VLOOKUP($A594,'BASE MATERIAL'!$A:$D,4))</f>
        <v/>
      </c>
      <c r="H594" s="56" t="str">
        <f t="shared" si="54"/>
        <v/>
      </c>
      <c r="I594" s="2"/>
      <c r="L594" s="2"/>
      <c r="M594" s="2"/>
      <c r="N594" s="39"/>
      <c r="O594" s="2"/>
      <c r="P594" s="2"/>
    </row>
    <row r="595" spans="2:16" x14ac:dyDescent="0.25">
      <c r="B595" s="38" t="str">
        <f>IF($A595=0,"",VLOOKUP($A595,'BASE MATERIAL'!$A:$D,2))</f>
        <v/>
      </c>
      <c r="C595" s="2"/>
      <c r="D595" s="77"/>
      <c r="E595" s="78" t="str">
        <f>IF($A595=0,"",VLOOKUP($A595,'BASE MATERIAL'!$A:$D,3))</f>
        <v/>
      </c>
      <c r="F595" s="55"/>
      <c r="G595" s="55" t="str">
        <f>IF($A595=0,"",VLOOKUP($A595,'BASE MATERIAL'!$A:$D,4))</f>
        <v/>
      </c>
      <c r="H595" s="56" t="str">
        <f t="shared" si="54"/>
        <v/>
      </c>
      <c r="I595" s="2"/>
      <c r="L595" s="2"/>
      <c r="M595" s="2"/>
      <c r="N595" s="39"/>
      <c r="O595" s="2"/>
      <c r="P595" s="2"/>
    </row>
    <row r="596" spans="2:16" x14ac:dyDescent="0.25">
      <c r="B596" s="38" t="str">
        <f>IF($A596=0,"",VLOOKUP($A596,'BASE MATERIAL'!$A:$D,2))</f>
        <v/>
      </c>
      <c r="C596" s="2"/>
      <c r="D596" s="77"/>
      <c r="E596" s="78" t="str">
        <f>IF($A596=0,"",VLOOKUP($A596,'BASE MATERIAL'!$A:$D,3))</f>
        <v/>
      </c>
      <c r="F596" s="55"/>
      <c r="G596" s="55" t="str">
        <f>IF($A596=0,"",VLOOKUP($A596,'BASE MATERIAL'!$A:$D,4))</f>
        <v/>
      </c>
      <c r="H596" s="56" t="str">
        <f t="shared" si="54"/>
        <v/>
      </c>
      <c r="I596" s="2"/>
      <c r="L596" s="2"/>
      <c r="M596" s="2"/>
      <c r="N596" s="39"/>
      <c r="O596" s="2"/>
      <c r="P596" s="2"/>
    </row>
    <row r="597" spans="2:16" x14ac:dyDescent="0.25">
      <c r="B597" s="38" t="str">
        <f>IF($A597=0,"",VLOOKUP($A597,'BASE MATERIAL'!$A:$D,2))</f>
        <v/>
      </c>
      <c r="C597" s="2"/>
      <c r="D597" s="77"/>
      <c r="E597" s="78" t="str">
        <f>IF($A597=0,"",VLOOKUP($A597,'BASE MATERIAL'!$A:$D,3))</f>
        <v/>
      </c>
      <c r="F597" s="55"/>
      <c r="G597" s="55" t="str">
        <f>IF($A597=0,"",VLOOKUP($A597,'BASE MATERIAL'!$A:$D,4))</f>
        <v/>
      </c>
      <c r="H597" s="56" t="str">
        <f t="shared" si="54"/>
        <v/>
      </c>
      <c r="I597" s="2"/>
    </row>
    <row r="598" spans="2:16" x14ac:dyDescent="0.25">
      <c r="B598" s="38" t="str">
        <f>IF($A598=0,"",VLOOKUP($A598,'BASE MATERIAL'!$A:$D,2))</f>
        <v/>
      </c>
      <c r="C598" s="2"/>
      <c r="D598" s="77"/>
      <c r="E598" s="78" t="str">
        <f>IF($A598=0,"",VLOOKUP($A598,'BASE MATERIAL'!$A:$D,3))</f>
        <v/>
      </c>
      <c r="F598" s="55"/>
      <c r="G598" s="55" t="str">
        <f>IF($A598=0,"",VLOOKUP($A598,'BASE MATERIAL'!$A:$D,4))</f>
        <v/>
      </c>
      <c r="H598" s="56" t="str">
        <f t="shared" si="54"/>
        <v/>
      </c>
      <c r="I598" s="2"/>
      <c r="L598" s="2"/>
      <c r="M598" s="2"/>
      <c r="N598" s="39"/>
      <c r="O598" s="2"/>
      <c r="P598" s="2"/>
    </row>
    <row r="599" spans="2:16" x14ac:dyDescent="0.25">
      <c r="B599" s="38" t="str">
        <f>IF($A599=0,"",VLOOKUP($A599,'BASE MATERIAL'!$A:$D,2))</f>
        <v/>
      </c>
      <c r="C599" s="2"/>
      <c r="D599" s="77"/>
      <c r="E599" s="78" t="str">
        <f>IF($A599=0,"",VLOOKUP($A599,'BASE MATERIAL'!$A:$D,3))</f>
        <v/>
      </c>
      <c r="F599" s="55"/>
      <c r="G599" s="55" t="str">
        <f>IF($A599=0,"",VLOOKUP($A599,'BASE MATERIAL'!$A:$D,4))</f>
        <v/>
      </c>
      <c r="H599" s="56" t="str">
        <f t="shared" si="54"/>
        <v/>
      </c>
      <c r="I599" s="2"/>
      <c r="L599" s="2"/>
      <c r="M599" s="2"/>
      <c r="N599" s="39"/>
      <c r="O599" s="2"/>
      <c r="P599" s="2"/>
    </row>
    <row r="600" spans="2:16" x14ac:dyDescent="0.25">
      <c r="B600" s="38" t="str">
        <f>IF($A600=0,"",VLOOKUP($A600,'BASE MATERIAL'!$A:$D,2))</f>
        <v/>
      </c>
      <c r="C600" s="2"/>
      <c r="D600" s="77"/>
      <c r="E600" s="78" t="str">
        <f>IF($A600=0,"",VLOOKUP($A600,'BASE MATERIAL'!$A:$D,3))</f>
        <v/>
      </c>
      <c r="F600" s="55"/>
      <c r="G600" s="55" t="str">
        <f>IF($A600=0,"",VLOOKUP($A600,'BASE MATERIAL'!$A:$D,4))</f>
        <v/>
      </c>
      <c r="H600" s="56" t="str">
        <f t="shared" si="54"/>
        <v/>
      </c>
      <c r="I600" s="2"/>
    </row>
    <row r="601" spans="2:16" x14ac:dyDescent="0.25">
      <c r="B601" s="38" t="str">
        <f>IF($A601=0,"",VLOOKUP($A601,'BASE MATERIAL'!$A:$D,2))</f>
        <v/>
      </c>
      <c r="C601" s="2"/>
      <c r="D601" s="77"/>
      <c r="E601" s="78" t="str">
        <f>IF($A601=0,"",VLOOKUP($A601,'BASE MATERIAL'!$A:$D,3))</f>
        <v/>
      </c>
      <c r="F601" s="55"/>
      <c r="G601" s="55" t="str">
        <f>IF($A601=0,"",VLOOKUP($A601,'BASE MATERIAL'!$A:$D,4))</f>
        <v/>
      </c>
      <c r="H601" s="56" t="str">
        <f t="shared" si="54"/>
        <v/>
      </c>
      <c r="I601" s="2"/>
    </row>
    <row r="602" spans="2:16" x14ac:dyDescent="0.25">
      <c r="B602" s="38" t="str">
        <f>IF($A602=0,"",VLOOKUP($A602,'BASE MATERIAL'!$A:$D,2))</f>
        <v/>
      </c>
      <c r="C602" s="2"/>
      <c r="D602" s="77"/>
      <c r="E602" s="78" t="str">
        <f>IF($A602=0,"",VLOOKUP($A602,'BASE MATERIAL'!$A:$D,3))</f>
        <v/>
      </c>
      <c r="F602" s="55"/>
      <c r="G602" s="55" t="str">
        <f>IF($A602=0,"",VLOOKUP($A602,'BASE MATERIAL'!$A:$D,4))</f>
        <v/>
      </c>
      <c r="H602" s="56" t="str">
        <f t="shared" si="54"/>
        <v/>
      </c>
      <c r="I602" s="2"/>
    </row>
    <row r="603" spans="2:16" x14ac:dyDescent="0.25">
      <c r="B603" s="38" t="str">
        <f>IF($A603=0,"",VLOOKUP($A603,'BASE MATERIAL'!$A:$D,2))</f>
        <v/>
      </c>
      <c r="C603" s="2"/>
      <c r="D603" s="77"/>
      <c r="E603" s="78" t="str">
        <f>IF($A603=0,"",VLOOKUP($A603,'BASE MATERIAL'!$A:$D,3))</f>
        <v/>
      </c>
      <c r="F603" s="55"/>
      <c r="G603" s="55" t="str">
        <f>IF($A603=0,"",VLOOKUP($A603,'BASE MATERIAL'!$A:$D,4))</f>
        <v/>
      </c>
      <c r="H603" s="56" t="str">
        <f t="shared" si="54"/>
        <v/>
      </c>
      <c r="I603" s="2"/>
    </row>
    <row r="604" spans="2:16" x14ac:dyDescent="0.25">
      <c r="B604" s="38" t="str">
        <f>IF($A604=0,"",VLOOKUP($A604,'BASE MATERIAL'!$A:$D,2))</f>
        <v/>
      </c>
      <c r="C604" s="2"/>
      <c r="D604" s="81" t="s">
        <v>1682</v>
      </c>
      <c r="E604" s="55" t="str">
        <f>IF($A604=0,"",VLOOKUP($A604,'BASE MATERIAL'!$A:$D,3))</f>
        <v/>
      </c>
      <c r="F604" s="55" t="s">
        <v>1682</v>
      </c>
      <c r="G604" s="55" t="str">
        <f>IF($A604=0,"",VLOOKUP($A604,'BASE MATERIAL'!$A:$D,4))</f>
        <v/>
      </c>
      <c r="H604" s="56" t="str">
        <f>IF($A604=0,"",ROUND(E604*F604,2))</f>
        <v/>
      </c>
      <c r="I604" s="2"/>
    </row>
    <row r="605" spans="2:16" x14ac:dyDescent="0.25">
      <c r="B605" s="73" t="s">
        <v>1681</v>
      </c>
      <c r="C605" s="65"/>
      <c r="D605" s="74"/>
      <c r="E605" s="74"/>
      <c r="F605" s="74"/>
      <c r="G605" s="74"/>
      <c r="H605" s="75">
        <f>ROUND(SUM(H588:H604),2)</f>
        <v>69</v>
      </c>
      <c r="I605" s="2"/>
    </row>
    <row r="606" spans="2:16" x14ac:dyDescent="0.25">
      <c r="B606" s="38" t="s">
        <v>1680</v>
      </c>
      <c r="C606" s="2"/>
      <c r="D606" s="3"/>
      <c r="E606" s="3"/>
      <c r="F606" s="3"/>
      <c r="G606" s="3"/>
      <c r="H606" s="56"/>
      <c r="I606" s="2"/>
    </row>
    <row r="607" spans="2:16" ht="25.5" x14ac:dyDescent="0.25">
      <c r="B607" s="64" t="s">
        <v>1409</v>
      </c>
      <c r="C607" s="65"/>
      <c r="D607" s="76"/>
      <c r="E607" s="66" t="s">
        <v>1408</v>
      </c>
      <c r="F607" s="66" t="s">
        <v>1679</v>
      </c>
      <c r="G607" s="66" t="s">
        <v>1676</v>
      </c>
      <c r="H607" s="68" t="s">
        <v>1675</v>
      </c>
      <c r="I607" s="2"/>
    </row>
    <row r="608" spans="2:16" x14ac:dyDescent="0.25">
      <c r="B608" s="51" t="str">
        <f>IF($A608=0,"",VLOOKUP($A608,'BASE EQUIPO'!$A:$D,2))</f>
        <v/>
      </c>
      <c r="C608" s="52"/>
      <c r="D608" s="82"/>
      <c r="E608" s="78" t="str">
        <f>IF($A608=0,"",VLOOKUP($A608,'BASE EQUIPO'!$A:$D,3))</f>
        <v/>
      </c>
      <c r="F608" s="55">
        <v>1</v>
      </c>
      <c r="G608" s="83" t="str">
        <f>IF($A608=0,"",VLOOKUP($A608,'BASE EQUIPO'!$A:$D,4)*H605)</f>
        <v/>
      </c>
      <c r="H608" s="56" t="str">
        <f>IF($A608=0,"",ROUND(F608*G608,2))</f>
        <v/>
      </c>
      <c r="I608" s="2"/>
    </row>
    <row r="609" spans="1:15" x14ac:dyDescent="0.25">
      <c r="B609" s="38" t="str">
        <f>IF($A609=0,"",VLOOKUP($A609,'BASE EQUIPO'!$A:$D,2))</f>
        <v/>
      </c>
      <c r="C609" s="2"/>
      <c r="D609" s="84"/>
      <c r="E609" s="78" t="str">
        <f>IF($A609=0,"",VLOOKUP($A609,'BASE EQUIPO'!$A:$D,3))</f>
        <v/>
      </c>
      <c r="F609" s="55"/>
      <c r="G609" s="55" t="str">
        <f>IF($A609=0,"",VLOOKUP($A609,'BASE EQUIPO'!$A:$D,4)*H606)</f>
        <v/>
      </c>
      <c r="H609" s="56" t="str">
        <f>IF($A609=0,"",ROUND(F609*G609,2))</f>
        <v/>
      </c>
      <c r="I609" s="2"/>
    </row>
    <row r="610" spans="1:15" x14ac:dyDescent="0.25">
      <c r="B610" s="57" t="str">
        <f>IF($A610=0,"",VLOOKUP($A610,'BASE EQUIPO'!$A:$D,2))</f>
        <v/>
      </c>
      <c r="C610" s="58"/>
      <c r="D610" s="85"/>
      <c r="E610" s="86" t="str">
        <f>IF($A610=0,"",VLOOKUP($A610,'BASE EQUIPO'!$A:$D,3))</f>
        <v/>
      </c>
      <c r="F610" s="59"/>
      <c r="G610" s="59" t="str">
        <f>IF($A610=0,"",VLOOKUP($A610,'BASE EQUIPO'!$A:$D,4)*H607)</f>
        <v/>
      </c>
      <c r="H610" s="60" t="str">
        <f>IF($A610=0,"",ROUND(F610*G610,2))</f>
        <v/>
      </c>
      <c r="I610" s="2"/>
    </row>
    <row r="611" spans="1:15" ht="15.75" thickBot="1" x14ac:dyDescent="0.3">
      <c r="B611" s="87" t="s">
        <v>1674</v>
      </c>
      <c r="C611" s="88"/>
      <c r="D611" s="89"/>
      <c r="E611" s="89"/>
      <c r="F611" s="89"/>
      <c r="G611" s="89"/>
      <c r="H611" s="90">
        <f>ROUND(SUM(H607:H610),2)</f>
        <v>0</v>
      </c>
      <c r="I611" s="2"/>
    </row>
    <row r="612" spans="1:15" ht="15.75" x14ac:dyDescent="0.25">
      <c r="B612" s="2"/>
      <c r="C612" s="2"/>
      <c r="D612" s="91" t="s">
        <v>1673</v>
      </c>
      <c r="E612" s="47"/>
      <c r="F612" s="47"/>
      <c r="G612" s="47"/>
      <c r="H612" s="92">
        <f>ROUND(SUM(H611,H605,H586,H576),2)</f>
        <v>92.11</v>
      </c>
      <c r="I612" s="2"/>
    </row>
    <row r="613" spans="1:15" ht="15.75" x14ac:dyDescent="0.25">
      <c r="B613" s="2"/>
      <c r="C613" s="2"/>
      <c r="D613" s="93" t="s">
        <v>1672</v>
      </c>
      <c r="E613" s="65"/>
      <c r="F613" s="65"/>
      <c r="G613" s="94" t="str">
        <f>IF($A613=0,"",VLOOKUP($A613,'BASE MATERIAL'!$M:$P,4))</f>
        <v/>
      </c>
      <c r="H613" s="95" t="str">
        <f>IF($A613=0,"",ROUND(G613*H612,2))</f>
        <v/>
      </c>
      <c r="I613" s="2"/>
    </row>
    <row r="614" spans="1:15" ht="15.75" x14ac:dyDescent="0.25">
      <c r="B614" s="2"/>
      <c r="C614" s="2"/>
      <c r="D614" s="93" t="s">
        <v>1671</v>
      </c>
      <c r="E614" s="65"/>
      <c r="F614" s="65"/>
      <c r="G614" s="94" t="str">
        <f>IF($A614=0,"",VLOOKUP($A614,'BASE MATERIAL'!$M:$P,4))</f>
        <v/>
      </c>
      <c r="H614" s="95" t="str">
        <f>IF($A614=0,"",ROUND(G614*H612,2))</f>
        <v/>
      </c>
      <c r="I614" s="2"/>
    </row>
    <row r="615" spans="1:15" ht="15.75" x14ac:dyDescent="0.25">
      <c r="B615" s="2"/>
      <c r="C615" s="2"/>
      <c r="D615" s="93" t="s">
        <v>1670</v>
      </c>
      <c r="E615" s="65"/>
      <c r="F615" s="65"/>
      <c r="G615" s="65"/>
      <c r="H615" s="96">
        <f>ROUND(SUM(H612:H614),2)</f>
        <v>92.11</v>
      </c>
      <c r="I615" s="2"/>
    </row>
    <row r="616" spans="1:15" ht="16.5" thickBot="1" x14ac:dyDescent="0.3">
      <c r="B616" s="25"/>
      <c r="C616" s="2"/>
      <c r="D616" s="97" t="s">
        <v>1650</v>
      </c>
      <c r="E616" s="88"/>
      <c r="F616" s="88"/>
      <c r="G616" s="88"/>
      <c r="H616" s="98">
        <f>ROUND(H615,2)</f>
        <v>92.11</v>
      </c>
      <c r="I616" s="2"/>
    </row>
    <row r="617" spans="1:15" ht="15.75" x14ac:dyDescent="0.25">
      <c r="B617" s="34" t="s">
        <v>1701</v>
      </c>
      <c r="C617" s="2"/>
      <c r="D617" s="3" t="s">
        <v>1702</v>
      </c>
      <c r="E617" s="2"/>
      <c r="F617" s="2"/>
      <c r="H617" s="2" t="s">
        <v>108</v>
      </c>
      <c r="I617" s="2"/>
      <c r="L617" s="40">
        <f>A621</f>
        <v>0</v>
      </c>
      <c r="M617" s="1" t="str">
        <f>C622</f>
        <v>Revestimiento de escalera</v>
      </c>
      <c r="N617" s="2" t="str">
        <f>H621</f>
        <v>m2</v>
      </c>
      <c r="O617" s="2">
        <f>H672</f>
        <v>64.09</v>
      </c>
    </row>
    <row r="618" spans="1:15" ht="15.75" x14ac:dyDescent="0.25">
      <c r="B618" s="34" t="s">
        <v>1700</v>
      </c>
      <c r="C618" s="3">
        <f>'1.1'!$C$2</f>
        <v>0</v>
      </c>
      <c r="D618" s="2"/>
      <c r="E618" s="2"/>
      <c r="F618" s="2"/>
      <c r="G618" s="41" t="s">
        <v>1699</v>
      </c>
      <c r="H618" s="42"/>
      <c r="I618" s="2" t="s">
        <v>1698</v>
      </c>
    </row>
    <row r="619" spans="1:15" ht="15.75" x14ac:dyDescent="0.25">
      <c r="B619" s="34"/>
      <c r="C619" s="3">
        <f>'1.1'!$C$3</f>
        <v>0</v>
      </c>
      <c r="D619" s="2"/>
      <c r="E619" s="2"/>
      <c r="F619" s="2"/>
      <c r="G619" s="2"/>
      <c r="H619" s="2"/>
      <c r="I619" s="2"/>
    </row>
    <row r="620" spans="1:15" ht="15.75" x14ac:dyDescent="0.25">
      <c r="B620" s="34" t="s">
        <v>1697</v>
      </c>
      <c r="C620" s="3"/>
      <c r="D620" s="2"/>
      <c r="E620" s="2"/>
      <c r="F620" s="2"/>
      <c r="G620" s="2"/>
      <c r="H620" s="2"/>
      <c r="I620" s="2"/>
    </row>
    <row r="621" spans="1:15" x14ac:dyDescent="0.25">
      <c r="A621" s="104">
        <f>+A344</f>
        <v>0</v>
      </c>
      <c r="B621" s="2" t="s">
        <v>1586</v>
      </c>
      <c r="C621" s="36" t="s">
        <v>920</v>
      </c>
      <c r="D621" s="2"/>
      <c r="G621" s="2" t="s">
        <v>1696</v>
      </c>
      <c r="H621" s="3" t="s">
        <v>1520</v>
      </c>
      <c r="I621" s="2"/>
    </row>
    <row r="622" spans="1:15" x14ac:dyDescent="0.25">
      <c r="B622" s="1" t="s">
        <v>1585</v>
      </c>
      <c r="C622" s="36" t="s">
        <v>1458</v>
      </c>
      <c r="D622" s="2"/>
      <c r="E622" s="2"/>
      <c r="F622" s="2"/>
      <c r="G622" s="2"/>
      <c r="H622" s="2"/>
      <c r="I622" s="2"/>
    </row>
    <row r="623" spans="1:15" ht="15.75" thickBot="1" x14ac:dyDescent="0.3">
      <c r="D623" s="2"/>
      <c r="E623" s="2"/>
      <c r="F623" s="2"/>
      <c r="G623" s="2"/>
      <c r="H623" s="2"/>
      <c r="I623" s="2"/>
    </row>
    <row r="624" spans="1:15" ht="15.75" thickBot="1" x14ac:dyDescent="0.3">
      <c r="B624" s="43" t="s">
        <v>1695</v>
      </c>
      <c r="C624" s="44"/>
      <c r="D624" s="44"/>
      <c r="E624" s="44"/>
      <c r="F624" s="44"/>
      <c r="G624" s="44"/>
      <c r="H624" s="45"/>
      <c r="I624" s="2"/>
    </row>
    <row r="625" spans="1:9" ht="25.5" x14ac:dyDescent="0.25">
      <c r="B625" s="46" t="s">
        <v>1409</v>
      </c>
      <c r="C625" s="47"/>
      <c r="D625" s="48" t="s">
        <v>1690</v>
      </c>
      <c r="E625" s="48" t="s">
        <v>1694</v>
      </c>
      <c r="F625" s="48" t="s">
        <v>1693</v>
      </c>
      <c r="G625" s="49" t="s">
        <v>1687</v>
      </c>
      <c r="H625" s="50" t="s">
        <v>1686</v>
      </c>
      <c r="I625" s="2"/>
    </row>
    <row r="626" spans="1:9" x14ac:dyDescent="0.25">
      <c r="A626" s="103">
        <v>19015</v>
      </c>
      <c r="B626" s="51" t="str">
        <f>IF($A626=0,"",VLOOKUP($A626,'BASE EQUIPO'!$A:$D,2))</f>
        <v>HERRAMIENTA MENOR</v>
      </c>
      <c r="C626" s="52"/>
      <c r="D626" s="53">
        <v>1</v>
      </c>
      <c r="E626" s="53">
        <f>IF($A626=0,"",VLOOKUP($A626,'BASE EQUIPO'!$A:$D,4)*H642)</f>
        <v>0.30299999999999999</v>
      </c>
      <c r="F626" s="53">
        <f t="shared" ref="F626:F631" si="55">IF($A626=0,"",ROUND(D626*E626,2))</f>
        <v>0.3</v>
      </c>
      <c r="G626" s="105">
        <v>1</v>
      </c>
      <c r="H626" s="54">
        <f t="shared" ref="H626:H631" si="56">IF($A626=0,"",ROUND(G626*F626,2))</f>
        <v>0.3</v>
      </c>
      <c r="I626" s="2"/>
    </row>
    <row r="627" spans="1:9" x14ac:dyDescent="0.25">
      <c r="A627" s="103">
        <v>19026</v>
      </c>
      <c r="B627" s="38" t="str">
        <f>IF($A627=0,"",VLOOKUP($A627,'BASE EQUIPO'!$A:$D,2))</f>
        <v>CORTADORA ELECTRICA</v>
      </c>
      <c r="C627" s="2"/>
      <c r="D627" s="55">
        <v>1</v>
      </c>
      <c r="E627" s="55">
        <f>IF($A627=0,"",VLOOKUP($A627,'BASE EQUIPO'!$A:$D,4))</f>
        <v>1.875</v>
      </c>
      <c r="F627" s="55">
        <f t="shared" si="55"/>
        <v>1.88</v>
      </c>
      <c r="G627" s="106">
        <v>0.3</v>
      </c>
      <c r="H627" s="56">
        <f t="shared" si="56"/>
        <v>0.56000000000000005</v>
      </c>
      <c r="I627" s="2"/>
    </row>
    <row r="628" spans="1:9" x14ac:dyDescent="0.25">
      <c r="B628" s="38" t="str">
        <f>IF($A628=0,"",VLOOKUP($A628,'BASE EQUIPO'!$A:$D,2))</f>
        <v/>
      </c>
      <c r="C628" s="2"/>
      <c r="D628" s="55"/>
      <c r="E628" s="55" t="str">
        <f>IF($A628=0,"",VLOOKUP($A628,'BASE EQUIPO'!$A:$D,4))</f>
        <v/>
      </c>
      <c r="F628" s="55" t="str">
        <f t="shared" si="55"/>
        <v/>
      </c>
      <c r="G628" s="106"/>
      <c r="H628" s="56" t="str">
        <f t="shared" si="56"/>
        <v/>
      </c>
      <c r="I628" s="2"/>
    </row>
    <row r="629" spans="1:9" x14ac:dyDescent="0.25">
      <c r="B629" s="38" t="str">
        <f>IF($A629=0,"",VLOOKUP($A629,'BASE EQUIPO'!$A:$D,2))</f>
        <v/>
      </c>
      <c r="C629" s="2"/>
      <c r="D629" s="55"/>
      <c r="E629" s="55" t="str">
        <f>IF($A629=0,"",VLOOKUP($A629,'BASE EQUIPO'!$A:$D,4))</f>
        <v/>
      </c>
      <c r="F629" s="55" t="str">
        <f t="shared" si="55"/>
        <v/>
      </c>
      <c r="G629" s="106"/>
      <c r="H629" s="56" t="str">
        <f t="shared" si="56"/>
        <v/>
      </c>
      <c r="I629" s="2"/>
    </row>
    <row r="630" spans="1:9" x14ac:dyDescent="0.25">
      <c r="B630" s="38" t="str">
        <f>IF($A630=0,"",VLOOKUP($A630,'BASE EQUIPO'!$A:$D,2))</f>
        <v/>
      </c>
      <c r="C630" s="2"/>
      <c r="D630" s="55"/>
      <c r="E630" s="55" t="str">
        <f>IF($A630=0,"",VLOOKUP($A630,'BASE EQUIPO'!$A:$D,4))</f>
        <v/>
      </c>
      <c r="F630" s="55" t="str">
        <f t="shared" si="55"/>
        <v/>
      </c>
      <c r="G630" s="106"/>
      <c r="H630" s="56" t="str">
        <f t="shared" si="56"/>
        <v/>
      </c>
      <c r="I630" s="2"/>
    </row>
    <row r="631" spans="1:9" x14ac:dyDescent="0.25">
      <c r="B631" s="57" t="str">
        <f>IF($A631=0,"",VLOOKUP($A631,'BASE EQUIPO'!$A:$D,2))</f>
        <v/>
      </c>
      <c r="C631" s="58"/>
      <c r="D631" s="59"/>
      <c r="E631" s="59" t="str">
        <f>IF($A631=0,"",VLOOKUP($A631,'BASE EQUIPO'!$A:$D,4))</f>
        <v/>
      </c>
      <c r="F631" s="59" t="str">
        <f t="shared" si="55"/>
        <v/>
      </c>
      <c r="G631" s="107"/>
      <c r="H631" s="60" t="str">
        <f t="shared" si="56"/>
        <v/>
      </c>
      <c r="I631" s="2"/>
    </row>
    <row r="632" spans="1:9" x14ac:dyDescent="0.25">
      <c r="B632" s="57" t="s">
        <v>1692</v>
      </c>
      <c r="C632" s="58"/>
      <c r="D632" s="61"/>
      <c r="E632" s="61"/>
      <c r="F632" s="61"/>
      <c r="G632" s="62"/>
      <c r="H632" s="60">
        <f>ROUND(SUM(H625:H631),2)</f>
        <v>0.86</v>
      </c>
      <c r="I632" s="2"/>
    </row>
    <row r="633" spans="1:9" x14ac:dyDescent="0.25">
      <c r="B633" s="38" t="s">
        <v>1503</v>
      </c>
      <c r="C633" s="2"/>
      <c r="D633" s="3"/>
      <c r="E633" s="3"/>
      <c r="F633" s="3"/>
      <c r="G633" s="63"/>
      <c r="H633" s="56"/>
      <c r="I633" s="2"/>
    </row>
    <row r="634" spans="1:9" ht="25.5" x14ac:dyDescent="0.25">
      <c r="B634" s="64" t="s">
        <v>1691</v>
      </c>
      <c r="C634" s="65"/>
      <c r="D634" s="66" t="s">
        <v>1690</v>
      </c>
      <c r="E634" s="66" t="s">
        <v>1689</v>
      </c>
      <c r="F634" s="66" t="s">
        <v>1688</v>
      </c>
      <c r="G634" s="67" t="s">
        <v>1687</v>
      </c>
      <c r="H634" s="68" t="s">
        <v>1686</v>
      </c>
      <c r="I634" s="2"/>
    </row>
    <row r="635" spans="1:9" x14ac:dyDescent="0.25">
      <c r="A635" s="103">
        <v>20001</v>
      </c>
      <c r="B635" s="69" t="str">
        <f>IF($A635=0,"",VLOOKUP($A635,'BASE M-OBRA'!$A:$D,2))</f>
        <v>MAESTRO</v>
      </c>
      <c r="C635" s="2"/>
      <c r="D635" s="108">
        <v>1</v>
      </c>
      <c r="E635" s="70">
        <f>IF($A635=0,"",VLOOKUP($A635,'BASE M-OBRA'!$A:$D,4))</f>
        <v>3.02</v>
      </c>
      <c r="F635" s="55">
        <f t="shared" ref="F635:F641" si="57">IF($A635=0,"",ROUND(D635*E635,2))</f>
        <v>3.02</v>
      </c>
      <c r="G635" s="106">
        <f>IF($A635=0,"",ROUND(H635/F635,2))</f>
        <v>0.56000000000000005</v>
      </c>
      <c r="H635" s="56">
        <f>IF($A635=0,"",ROUND(SUM(H636:H641)*'BASE M-OBRA'!$D$23,2))</f>
        <v>1.68</v>
      </c>
      <c r="I635" s="2"/>
    </row>
    <row r="636" spans="1:9" x14ac:dyDescent="0.25">
      <c r="A636" s="103">
        <v>20002</v>
      </c>
      <c r="B636" s="69" t="str">
        <f>IF($A636=0,"",VLOOKUP($A636,'BASE M-OBRA'!$A:$D,2))</f>
        <v>PEON</v>
      </c>
      <c r="C636" s="2"/>
      <c r="D636" s="108">
        <v>2</v>
      </c>
      <c r="E636" s="70">
        <f>IF($A636=0,"",VLOOKUP($A636,'BASE M-OBRA'!$A:$D,4))</f>
        <v>2.79</v>
      </c>
      <c r="F636" s="55">
        <f t="shared" si="57"/>
        <v>5.58</v>
      </c>
      <c r="G636" s="106">
        <v>0.75</v>
      </c>
      <c r="H636" s="56">
        <f t="shared" ref="H636:H641" si="58">IF($A636=0,"",ROUND(G636*F636,2))</f>
        <v>4.1900000000000004</v>
      </c>
      <c r="I636" s="2"/>
    </row>
    <row r="637" spans="1:9" x14ac:dyDescent="0.25">
      <c r="A637" s="103">
        <v>20003</v>
      </c>
      <c r="B637" s="69" t="str">
        <f>IF($A637=0,"",VLOOKUP($A637,'BASE M-OBRA'!$A:$D,2))</f>
        <v>ALBAÑIL</v>
      </c>
      <c r="C637" s="2"/>
      <c r="D637" s="108">
        <v>2</v>
      </c>
      <c r="E637" s="70">
        <f>IF($A637=0,"",VLOOKUP($A637,'BASE M-OBRA'!$A:$D,4))</f>
        <v>2.82</v>
      </c>
      <c r="F637" s="55">
        <f t="shared" si="57"/>
        <v>5.64</v>
      </c>
      <c r="G637" s="106">
        <f>+G636</f>
        <v>0.75</v>
      </c>
      <c r="H637" s="56">
        <f t="shared" si="58"/>
        <v>4.2300000000000004</v>
      </c>
      <c r="I637" s="2"/>
    </row>
    <row r="638" spans="1:9" x14ac:dyDescent="0.25">
      <c r="B638" s="71" t="str">
        <f>IF($A638=0,"",VLOOKUP($A638,'BASE M-OBRA'!$A:$D,2))</f>
        <v/>
      </c>
      <c r="C638" s="2"/>
      <c r="D638" s="108"/>
      <c r="E638" s="70" t="str">
        <f>IF($A638=0,"",VLOOKUP($A638,'BASE M-OBRA'!$A:$D,4))</f>
        <v/>
      </c>
      <c r="F638" s="55" t="str">
        <f t="shared" si="57"/>
        <v/>
      </c>
      <c r="G638" s="106"/>
      <c r="H638" s="56" t="str">
        <f t="shared" si="58"/>
        <v/>
      </c>
      <c r="I638" s="2"/>
    </row>
    <row r="639" spans="1:9" x14ac:dyDescent="0.25">
      <c r="B639" s="72" t="str">
        <f>IF($A639=0,"",VLOOKUP($A639,'BASE M-OBRA'!$A:$D,2))</f>
        <v/>
      </c>
      <c r="C639" s="2"/>
      <c r="D639" s="108"/>
      <c r="E639" s="70" t="str">
        <f>IF($A639=0,"",VLOOKUP($A639,'BASE M-OBRA'!$A:$D,4))</f>
        <v/>
      </c>
      <c r="F639" s="55" t="str">
        <f t="shared" si="57"/>
        <v/>
      </c>
      <c r="G639" s="106"/>
      <c r="H639" s="56" t="str">
        <f t="shared" si="58"/>
        <v/>
      </c>
      <c r="I639" s="2"/>
    </row>
    <row r="640" spans="1:9" x14ac:dyDescent="0.25">
      <c r="B640" s="38" t="str">
        <f>IF($A640=0,"",VLOOKUP($A640,'BASE M-OBRA'!$A:$D,2))</f>
        <v/>
      </c>
      <c r="C640" s="2"/>
      <c r="D640" s="55"/>
      <c r="E640" s="55" t="str">
        <f>IF($A640=0,"",VLOOKUP($A640,'BASE M-OBRA'!$A:$D,4))</f>
        <v/>
      </c>
      <c r="F640" s="55" t="str">
        <f t="shared" si="57"/>
        <v/>
      </c>
      <c r="G640" s="106"/>
      <c r="H640" s="56" t="str">
        <f t="shared" si="58"/>
        <v/>
      </c>
      <c r="I640" s="2"/>
    </row>
    <row r="641" spans="1:16" x14ac:dyDescent="0.25">
      <c r="B641" s="57" t="str">
        <f>IF($A641=0,"",VLOOKUP($A641,'BASE M-OBRA'!$A:$D,2))</f>
        <v/>
      </c>
      <c r="C641" s="58"/>
      <c r="D641" s="59"/>
      <c r="E641" s="59" t="str">
        <f>IF($A641=0,"",VLOOKUP($A641,'BASE M-OBRA'!$A:$D,4))</f>
        <v/>
      </c>
      <c r="F641" s="59" t="str">
        <f t="shared" si="57"/>
        <v/>
      </c>
      <c r="G641" s="107"/>
      <c r="H641" s="60" t="str">
        <f t="shared" si="58"/>
        <v/>
      </c>
      <c r="I641" s="2"/>
    </row>
    <row r="642" spans="1:16" x14ac:dyDescent="0.25">
      <c r="B642" s="73" t="s">
        <v>1685</v>
      </c>
      <c r="C642" s="65"/>
      <c r="D642" s="74"/>
      <c r="E642" s="74"/>
      <c r="F642" s="74"/>
      <c r="G642" s="74"/>
      <c r="H642" s="75">
        <f>ROUND(SUM(H634:H641),2)</f>
        <v>10.1</v>
      </c>
      <c r="I642" s="2"/>
    </row>
    <row r="643" spans="1:16" x14ac:dyDescent="0.25">
      <c r="B643" s="38" t="s">
        <v>1684</v>
      </c>
      <c r="C643" s="2"/>
      <c r="D643" s="3"/>
      <c r="E643" s="3"/>
      <c r="F643" s="3"/>
      <c r="G643" s="3"/>
      <c r="H643" s="56"/>
      <c r="I643" s="2"/>
    </row>
    <row r="644" spans="1:16" ht="25.5" x14ac:dyDescent="0.25">
      <c r="B644" s="64" t="s">
        <v>1409</v>
      </c>
      <c r="C644" s="65"/>
      <c r="D644" s="76"/>
      <c r="E644" s="66" t="s">
        <v>1408</v>
      </c>
      <c r="F644" s="66" t="s">
        <v>1679</v>
      </c>
      <c r="G644" s="66" t="s">
        <v>1683</v>
      </c>
      <c r="H644" s="68" t="s">
        <v>1675</v>
      </c>
      <c r="I644" s="2"/>
    </row>
    <row r="645" spans="1:16" x14ac:dyDescent="0.25">
      <c r="A645" s="103">
        <v>1</v>
      </c>
      <c r="B645" s="38" t="s">
        <v>114</v>
      </c>
      <c r="C645" s="2"/>
      <c r="D645" s="77"/>
      <c r="E645" s="78" t="s">
        <v>915</v>
      </c>
      <c r="F645" s="55">
        <v>1.05</v>
      </c>
      <c r="G645" s="55">
        <f>42*1.12</f>
        <v>47.040000000000006</v>
      </c>
      <c r="H645" s="56">
        <f t="shared" ref="H645:H659" si="59">IF($A645=0,"",ROUND(F645*G645,2))</f>
        <v>49.39</v>
      </c>
      <c r="I645" s="2"/>
      <c r="L645" s="2"/>
      <c r="M645" s="2"/>
      <c r="N645" s="39"/>
      <c r="O645" s="2"/>
      <c r="P645" s="2"/>
    </row>
    <row r="646" spans="1:16" x14ac:dyDescent="0.25">
      <c r="A646" s="103">
        <v>7019</v>
      </c>
      <c r="B646" s="38" t="str">
        <f>IF($A646=0,"",VLOOKUP($A646,'BASE MATERIAL'!$A:$D,2))</f>
        <v>PORCELANA</v>
      </c>
      <c r="C646" s="2"/>
      <c r="D646" s="77"/>
      <c r="E646" s="78" t="str">
        <f>IF($A646=0,"",VLOOKUP($A646,'BASE MATERIAL'!$A:$D,3))</f>
        <v>KG</v>
      </c>
      <c r="F646" s="55">
        <f>80*0.00312989045383412</f>
        <v>0.2503912363067296</v>
      </c>
      <c r="G646" s="55">
        <f>IF($A646=0,"",VLOOKUP($A646,'BASE MATERIAL'!$A:$D,4))</f>
        <v>0.73499999999999999</v>
      </c>
      <c r="H646" s="56">
        <f t="shared" si="59"/>
        <v>0.18</v>
      </c>
      <c r="I646" s="2"/>
      <c r="L646" s="2"/>
      <c r="M646" s="2"/>
      <c r="N646" s="39"/>
      <c r="O646" s="2"/>
      <c r="P646" s="2"/>
    </row>
    <row r="647" spans="1:16" x14ac:dyDescent="0.25">
      <c r="A647" s="103">
        <v>7020</v>
      </c>
      <c r="B647" s="38" t="str">
        <f>IF($A647=0,"",VLOOKUP($A647,'BASE MATERIAL'!$A:$D,2))</f>
        <v>ADITIVO GROUTEX</v>
      </c>
      <c r="C647" s="2"/>
      <c r="D647" s="77"/>
      <c r="E647" s="78" t="str">
        <f>IF($A647=0,"",VLOOKUP($A647,'BASE MATERIAL'!$A:$D,3))</f>
        <v>LT</v>
      </c>
      <c r="F647" s="55">
        <v>0.02</v>
      </c>
      <c r="G647" s="55">
        <f>IF($A647=0,"",VLOOKUP($A647,'BASE MATERIAL'!$A:$D,4))</f>
        <v>5.499200000000001</v>
      </c>
      <c r="H647" s="56">
        <f t="shared" si="59"/>
        <v>0.11</v>
      </c>
      <c r="I647" s="2"/>
      <c r="L647" s="2"/>
      <c r="M647" s="2"/>
      <c r="N647" s="39"/>
      <c r="O647" s="2"/>
      <c r="P647" s="2"/>
    </row>
    <row r="648" spans="1:16" x14ac:dyDescent="0.25">
      <c r="B648" s="38" t="str">
        <f>IF($A648=0,"",VLOOKUP($A648,'BASE MATERIAL'!$A:$D,2))</f>
        <v/>
      </c>
      <c r="C648" s="2"/>
      <c r="D648" s="77"/>
      <c r="E648" s="78" t="str">
        <f>IF($A648=0,"",VLOOKUP($A648,'BASE MATERIAL'!$A:$D,3))</f>
        <v/>
      </c>
      <c r="F648" s="55"/>
      <c r="G648" s="55" t="str">
        <f>IF($A648=0,"",VLOOKUP($A648,'BASE MATERIAL'!$A:$D,4))</f>
        <v/>
      </c>
      <c r="H648" s="56" t="str">
        <f t="shared" si="59"/>
        <v/>
      </c>
      <c r="I648" s="2"/>
      <c r="L648" s="2"/>
      <c r="M648" s="2"/>
      <c r="N648" s="39"/>
      <c r="O648" s="2"/>
      <c r="P648" s="2"/>
    </row>
    <row r="649" spans="1:16" x14ac:dyDescent="0.25">
      <c r="A649" s="103">
        <v>14027</v>
      </c>
      <c r="B649" s="38" t="str">
        <f>IF($A649=0,"",VLOOKUP($A649,'BASE MATERIAL'!$A:$D,2))</f>
        <v>BONDEX PREMIUM</v>
      </c>
      <c r="C649" s="2"/>
      <c r="D649" s="77"/>
      <c r="E649" s="78" t="str">
        <f>IF($A649=0,"",VLOOKUP($A649,'BASE MATERIAL'!$A:$D,3))</f>
        <v>KG</v>
      </c>
      <c r="F649" s="55">
        <v>6</v>
      </c>
      <c r="G649" s="55">
        <f>IF($A649=0,"",VLOOKUP($A649,'BASE MATERIAL'!$A:$D,4))</f>
        <v>0.57568000000000008</v>
      </c>
      <c r="H649" s="56">
        <f t="shared" si="59"/>
        <v>3.45</v>
      </c>
      <c r="I649" s="2"/>
      <c r="L649" s="2"/>
      <c r="M649" s="2"/>
      <c r="N649" s="39"/>
      <c r="O649" s="2"/>
      <c r="P649" s="2"/>
    </row>
    <row r="650" spans="1:16" x14ac:dyDescent="0.25">
      <c r="B650" s="38" t="str">
        <f>IF($A650=0,"",VLOOKUP($A650,'BASE MATERIAL'!$A:$D,2))</f>
        <v/>
      </c>
      <c r="C650" s="2"/>
      <c r="D650" s="77"/>
      <c r="E650" s="78" t="str">
        <f>IF($A650=0,"",VLOOKUP($A650,'BASE MATERIAL'!$A:$D,3))</f>
        <v/>
      </c>
      <c r="F650" s="55"/>
      <c r="G650" s="55" t="str">
        <f>IF($A650=0,"",VLOOKUP($A650,'BASE MATERIAL'!$A:$D,4))</f>
        <v/>
      </c>
      <c r="H650" s="56" t="str">
        <f t="shared" si="59"/>
        <v/>
      </c>
      <c r="I650" s="2"/>
      <c r="L650" s="2"/>
      <c r="M650" s="2"/>
      <c r="N650" s="39"/>
      <c r="O650" s="2"/>
      <c r="P650" s="2"/>
    </row>
    <row r="651" spans="1:16" x14ac:dyDescent="0.25">
      <c r="B651" s="38" t="str">
        <f>IF($A651=0,"",VLOOKUP($A651,'BASE MATERIAL'!$A:$D,2))</f>
        <v/>
      </c>
      <c r="C651" s="2"/>
      <c r="D651" s="77"/>
      <c r="E651" s="78" t="str">
        <f>IF($A651=0,"",VLOOKUP($A651,'BASE MATERIAL'!$A:$D,3))</f>
        <v/>
      </c>
      <c r="F651" s="55"/>
      <c r="G651" s="55" t="str">
        <f>IF($A651=0,"",VLOOKUP($A651,'BASE MATERIAL'!$A:$D,4))</f>
        <v/>
      </c>
      <c r="H651" s="56" t="str">
        <f t="shared" si="59"/>
        <v/>
      </c>
      <c r="I651" s="2"/>
      <c r="L651" s="2"/>
      <c r="M651" s="2"/>
      <c r="N651" s="39"/>
      <c r="O651" s="2"/>
      <c r="P651" s="2"/>
    </row>
    <row r="652" spans="1:16" x14ac:dyDescent="0.25">
      <c r="B652" s="38" t="str">
        <f>IF($A652=0,"",VLOOKUP($A652,'BASE MATERIAL'!$A:$D,2))</f>
        <v/>
      </c>
      <c r="C652" s="2"/>
      <c r="D652" s="77"/>
      <c r="E652" s="78" t="str">
        <f>IF($A652=0,"",VLOOKUP($A652,'BASE MATERIAL'!$A:$D,3))</f>
        <v/>
      </c>
      <c r="F652" s="55"/>
      <c r="G652" s="55" t="str">
        <f>IF($A652=0,"",VLOOKUP($A652,'BASE MATERIAL'!$A:$D,4))</f>
        <v/>
      </c>
      <c r="H652" s="56" t="str">
        <f t="shared" si="59"/>
        <v/>
      </c>
      <c r="I652" s="2"/>
      <c r="L652" s="2"/>
      <c r="M652" s="2"/>
      <c r="N652" s="39"/>
      <c r="O652" s="2"/>
      <c r="P652" s="2"/>
    </row>
    <row r="653" spans="1:16" x14ac:dyDescent="0.25">
      <c r="B653" s="38" t="str">
        <f>IF($A653=0,"",VLOOKUP($A653,'BASE MATERIAL'!$A:$D,2))</f>
        <v/>
      </c>
      <c r="C653" s="2"/>
      <c r="D653" s="77"/>
      <c r="E653" s="78" t="str">
        <f>IF($A653=0,"",VLOOKUP($A653,'BASE MATERIAL'!$A:$D,3))</f>
        <v/>
      </c>
      <c r="F653" s="55"/>
      <c r="G653" s="55" t="str">
        <f>IF($A653=0,"",VLOOKUP($A653,'BASE MATERIAL'!$A:$D,4))</f>
        <v/>
      </c>
      <c r="H653" s="56" t="str">
        <f t="shared" si="59"/>
        <v/>
      </c>
      <c r="I653" s="2"/>
    </row>
    <row r="654" spans="1:16" x14ac:dyDescent="0.25">
      <c r="B654" s="38" t="str">
        <f>IF($A654=0,"",VLOOKUP($A654,'BASE MATERIAL'!$A:$D,2))</f>
        <v/>
      </c>
      <c r="C654" s="2"/>
      <c r="D654" s="77"/>
      <c r="E654" s="78" t="str">
        <f>IF($A654=0,"",VLOOKUP($A654,'BASE MATERIAL'!$A:$D,3))</f>
        <v/>
      </c>
      <c r="F654" s="55"/>
      <c r="G654" s="55" t="str">
        <f>IF($A654=0,"",VLOOKUP($A654,'BASE MATERIAL'!$A:$D,4))</f>
        <v/>
      </c>
      <c r="H654" s="56" t="str">
        <f t="shared" si="59"/>
        <v/>
      </c>
      <c r="I654" s="2"/>
      <c r="L654" s="2"/>
      <c r="M654" s="2"/>
      <c r="N654" s="39"/>
      <c r="O654" s="2"/>
      <c r="P654" s="2"/>
    </row>
    <row r="655" spans="1:16" x14ac:dyDescent="0.25">
      <c r="B655" s="38" t="str">
        <f>IF($A655=0,"",VLOOKUP($A655,'BASE MATERIAL'!$A:$D,2))</f>
        <v/>
      </c>
      <c r="C655" s="2"/>
      <c r="D655" s="77"/>
      <c r="E655" s="78" t="str">
        <f>IF($A655=0,"",VLOOKUP($A655,'BASE MATERIAL'!$A:$D,3))</f>
        <v/>
      </c>
      <c r="F655" s="55"/>
      <c r="G655" s="55" t="str">
        <f>IF($A655=0,"",VLOOKUP($A655,'BASE MATERIAL'!$A:$D,4))</f>
        <v/>
      </c>
      <c r="H655" s="56" t="str">
        <f t="shared" si="59"/>
        <v/>
      </c>
      <c r="I655" s="2"/>
      <c r="L655" s="2"/>
      <c r="M655" s="2"/>
      <c r="N655" s="39"/>
      <c r="O655" s="2"/>
      <c r="P655" s="2"/>
    </row>
    <row r="656" spans="1:16" x14ac:dyDescent="0.25">
      <c r="B656" s="38" t="str">
        <f>IF($A656=0,"",VLOOKUP($A656,'BASE MATERIAL'!$A:$D,2))</f>
        <v/>
      </c>
      <c r="C656" s="2"/>
      <c r="D656" s="77"/>
      <c r="E656" s="78" t="str">
        <f>IF($A656=0,"",VLOOKUP($A656,'BASE MATERIAL'!$A:$D,3))</f>
        <v/>
      </c>
      <c r="F656" s="55"/>
      <c r="G656" s="55" t="str">
        <f>IF($A656=0,"",VLOOKUP($A656,'BASE MATERIAL'!$A:$D,4))</f>
        <v/>
      </c>
      <c r="H656" s="56" t="str">
        <f t="shared" si="59"/>
        <v/>
      </c>
      <c r="I656" s="2"/>
    </row>
    <row r="657" spans="2:9" x14ac:dyDescent="0.25">
      <c r="B657" s="38" t="str">
        <f>IF($A657=0,"",VLOOKUP($A657,'BASE MATERIAL'!$A:$D,2))</f>
        <v/>
      </c>
      <c r="C657" s="2"/>
      <c r="D657" s="77"/>
      <c r="E657" s="78" t="str">
        <f>IF($A657=0,"",VLOOKUP($A657,'BASE MATERIAL'!$A:$D,3))</f>
        <v/>
      </c>
      <c r="F657" s="55"/>
      <c r="G657" s="55" t="str">
        <f>IF($A657=0,"",VLOOKUP($A657,'BASE MATERIAL'!$A:$D,4))</f>
        <v/>
      </c>
      <c r="H657" s="56" t="str">
        <f t="shared" si="59"/>
        <v/>
      </c>
      <c r="I657" s="2"/>
    </row>
    <row r="658" spans="2:9" x14ac:dyDescent="0.25">
      <c r="B658" s="38" t="str">
        <f>IF($A658=0,"",VLOOKUP($A658,'BASE MATERIAL'!$A:$D,2))</f>
        <v/>
      </c>
      <c r="C658" s="2"/>
      <c r="D658" s="77"/>
      <c r="E658" s="78" t="str">
        <f>IF($A658=0,"",VLOOKUP($A658,'BASE MATERIAL'!$A:$D,3))</f>
        <v/>
      </c>
      <c r="F658" s="55"/>
      <c r="G658" s="55" t="str">
        <f>IF($A658=0,"",VLOOKUP($A658,'BASE MATERIAL'!$A:$D,4))</f>
        <v/>
      </c>
      <c r="H658" s="56" t="str">
        <f t="shared" si="59"/>
        <v/>
      </c>
      <c r="I658" s="2"/>
    </row>
    <row r="659" spans="2:9" x14ac:dyDescent="0.25">
      <c r="B659" s="38" t="str">
        <f>IF($A659=0,"",VLOOKUP($A659,'BASE MATERIAL'!$A:$D,2))</f>
        <v/>
      </c>
      <c r="C659" s="2"/>
      <c r="D659" s="77"/>
      <c r="E659" s="78" t="str">
        <f>IF($A659=0,"",VLOOKUP($A659,'BASE MATERIAL'!$A:$D,3))</f>
        <v/>
      </c>
      <c r="F659" s="55"/>
      <c r="G659" s="55" t="str">
        <f>IF($A659=0,"",VLOOKUP($A659,'BASE MATERIAL'!$A:$D,4))</f>
        <v/>
      </c>
      <c r="H659" s="56" t="str">
        <f t="shared" si="59"/>
        <v/>
      </c>
      <c r="I659" s="2"/>
    </row>
    <row r="660" spans="2:9" x14ac:dyDescent="0.25">
      <c r="B660" s="38" t="str">
        <f>IF($A660=0,"",VLOOKUP($A660,'BASE MATERIAL'!$A:$D,2))</f>
        <v/>
      </c>
      <c r="C660" s="2"/>
      <c r="D660" s="81" t="s">
        <v>1682</v>
      </c>
      <c r="E660" s="55" t="str">
        <f>IF($A660=0,"",VLOOKUP($A660,'BASE MATERIAL'!$A:$D,3))</f>
        <v/>
      </c>
      <c r="F660" s="55" t="s">
        <v>1682</v>
      </c>
      <c r="G660" s="55" t="str">
        <f>IF($A660=0,"",VLOOKUP($A660,'BASE MATERIAL'!$A:$D,4))</f>
        <v/>
      </c>
      <c r="H660" s="56" t="str">
        <f>IF($A660=0,"",ROUND(E660*F660,2))</f>
        <v/>
      </c>
      <c r="I660" s="2"/>
    </row>
    <row r="661" spans="2:9" x14ac:dyDescent="0.25">
      <c r="B661" s="73" t="s">
        <v>1681</v>
      </c>
      <c r="C661" s="65"/>
      <c r="D661" s="74"/>
      <c r="E661" s="74"/>
      <c r="F661" s="74"/>
      <c r="G661" s="74"/>
      <c r="H661" s="75">
        <f>ROUND(SUM(H644:H660),2)</f>
        <v>53.13</v>
      </c>
      <c r="I661" s="2"/>
    </row>
    <row r="662" spans="2:9" x14ac:dyDescent="0.25">
      <c r="B662" s="38" t="s">
        <v>1680</v>
      </c>
      <c r="C662" s="2"/>
      <c r="D662" s="3"/>
      <c r="E662" s="3"/>
      <c r="F662" s="3"/>
      <c r="G662" s="3"/>
      <c r="H662" s="56"/>
      <c r="I662" s="2"/>
    </row>
    <row r="663" spans="2:9" ht="25.5" x14ac:dyDescent="0.25">
      <c r="B663" s="64" t="s">
        <v>1409</v>
      </c>
      <c r="C663" s="65"/>
      <c r="D663" s="76"/>
      <c r="E663" s="66" t="s">
        <v>1408</v>
      </c>
      <c r="F663" s="66" t="s">
        <v>1679</v>
      </c>
      <c r="G663" s="66" t="s">
        <v>1676</v>
      </c>
      <c r="H663" s="68" t="s">
        <v>1675</v>
      </c>
      <c r="I663" s="2"/>
    </row>
    <row r="664" spans="2:9" x14ac:dyDescent="0.25">
      <c r="B664" s="51" t="str">
        <f>IF($A664=0,"",VLOOKUP($A664,'BASE EQUIPO'!$A:$D,2))</f>
        <v/>
      </c>
      <c r="C664" s="52"/>
      <c r="D664" s="82"/>
      <c r="E664" s="78" t="str">
        <f>IF($A664=0,"",VLOOKUP($A664,'BASE EQUIPO'!$A:$D,3))</f>
        <v/>
      </c>
      <c r="F664" s="55">
        <v>1</v>
      </c>
      <c r="G664" s="83" t="str">
        <f>IF($A664=0,"",VLOOKUP($A664,'BASE EQUIPO'!$A:$D,4)*H661)</f>
        <v/>
      </c>
      <c r="H664" s="56" t="str">
        <f>IF($A664=0,"",ROUND(F664*G664,2))</f>
        <v/>
      </c>
      <c r="I664" s="2"/>
    </row>
    <row r="665" spans="2:9" x14ac:dyDescent="0.25">
      <c r="B665" s="38" t="str">
        <f>IF($A665=0,"",VLOOKUP($A665,'BASE EQUIPO'!$A:$D,2))</f>
        <v/>
      </c>
      <c r="C665" s="2"/>
      <c r="D665" s="84"/>
      <c r="E665" s="78" t="str">
        <f>IF($A665=0,"",VLOOKUP($A665,'BASE EQUIPO'!$A:$D,3))</f>
        <v/>
      </c>
      <c r="F665" s="55"/>
      <c r="G665" s="55" t="str">
        <f>IF($A665=0,"",VLOOKUP($A665,'BASE EQUIPO'!$A:$D,4)*H662)</f>
        <v/>
      </c>
      <c r="H665" s="56" t="str">
        <f>IF($A665=0,"",ROUND(F665*G665,2))</f>
        <v/>
      </c>
      <c r="I665" s="2"/>
    </row>
    <row r="666" spans="2:9" x14ac:dyDescent="0.25">
      <c r="B666" s="57" t="str">
        <f>IF($A666=0,"",VLOOKUP($A666,'BASE EQUIPO'!$A:$D,2))</f>
        <v/>
      </c>
      <c r="C666" s="58"/>
      <c r="D666" s="85"/>
      <c r="E666" s="86" t="str">
        <f>IF($A666=0,"",VLOOKUP($A666,'BASE EQUIPO'!$A:$D,3))</f>
        <v/>
      </c>
      <c r="F666" s="59"/>
      <c r="G666" s="59" t="str">
        <f>IF($A666=0,"",VLOOKUP($A666,'BASE EQUIPO'!$A:$D,4)*H663)</f>
        <v/>
      </c>
      <c r="H666" s="60" t="str">
        <f>IF($A666=0,"",ROUND(F666*G666,2))</f>
        <v/>
      </c>
      <c r="I666" s="2"/>
    </row>
    <row r="667" spans="2:9" ht="15.75" thickBot="1" x14ac:dyDescent="0.3">
      <c r="B667" s="87" t="s">
        <v>1674</v>
      </c>
      <c r="C667" s="88"/>
      <c r="D667" s="89"/>
      <c r="E667" s="89"/>
      <c r="F667" s="89"/>
      <c r="G667" s="89"/>
      <c r="H667" s="90">
        <f>ROUND(SUM(H663:H666),2)</f>
        <v>0</v>
      </c>
      <c r="I667" s="2"/>
    </row>
    <row r="668" spans="2:9" ht="15.75" x14ac:dyDescent="0.25">
      <c r="B668" s="2"/>
      <c r="C668" s="2"/>
      <c r="D668" s="91" t="s">
        <v>1673</v>
      </c>
      <c r="E668" s="47"/>
      <c r="F668" s="47"/>
      <c r="G668" s="47"/>
      <c r="H668" s="92">
        <f>ROUND(SUM(H667,H661,H642,H632),2)</f>
        <v>64.09</v>
      </c>
      <c r="I668" s="2"/>
    </row>
    <row r="669" spans="2:9" ht="15.75" x14ac:dyDescent="0.25">
      <c r="B669" s="2"/>
      <c r="C669" s="2"/>
      <c r="D669" s="93" t="s">
        <v>1672</v>
      </c>
      <c r="E669" s="65"/>
      <c r="F669" s="65"/>
      <c r="G669" s="94" t="str">
        <f>IF($A669=0,"",VLOOKUP($A669,'BASE MATERIAL'!$M:$P,4))</f>
        <v/>
      </c>
      <c r="H669" s="95" t="str">
        <f>IF($A669=0,"",ROUND(G669*H668,2))</f>
        <v/>
      </c>
      <c r="I669" s="2"/>
    </row>
    <row r="670" spans="2:9" ht="15.75" x14ac:dyDescent="0.25">
      <c r="B670" s="2"/>
      <c r="C670" s="2"/>
      <c r="D670" s="93" t="s">
        <v>1671</v>
      </c>
      <c r="E670" s="65"/>
      <c r="F670" s="65"/>
      <c r="G670" s="94" t="str">
        <f>IF($A670=0,"",VLOOKUP($A670,'BASE MATERIAL'!$M:$P,4))</f>
        <v/>
      </c>
      <c r="H670" s="95" t="str">
        <f>IF($A670=0,"",ROUND(G670*H668,2))</f>
        <v/>
      </c>
      <c r="I670" s="2"/>
    </row>
    <row r="671" spans="2:9" ht="15.75" x14ac:dyDescent="0.25">
      <c r="B671" s="2"/>
      <c r="C671" s="2"/>
      <c r="D671" s="93" t="s">
        <v>1670</v>
      </c>
      <c r="E671" s="65"/>
      <c r="F671" s="65"/>
      <c r="G671" s="65"/>
      <c r="H671" s="96">
        <f>ROUND(SUM(H668:H670),2)</f>
        <v>64.09</v>
      </c>
      <c r="I671" s="2"/>
    </row>
    <row r="672" spans="2:9" ht="16.5" thickBot="1" x14ac:dyDescent="0.3">
      <c r="B672" s="25"/>
      <c r="C672" s="2"/>
      <c r="D672" s="97" t="s">
        <v>1650</v>
      </c>
      <c r="E672" s="88"/>
      <c r="F672" s="88"/>
      <c r="G672" s="88"/>
      <c r="H672" s="98">
        <f>ROUND(H671,2)</f>
        <v>64.09</v>
      </c>
      <c r="I672" s="2"/>
    </row>
    <row r="673" spans="1:15" ht="15.75" x14ac:dyDescent="0.25">
      <c r="B673" s="34" t="s">
        <v>1701</v>
      </c>
      <c r="C673" s="2"/>
      <c r="D673" s="3" t="s">
        <v>1702</v>
      </c>
      <c r="E673" s="2"/>
      <c r="F673" s="2"/>
      <c r="H673" s="2" t="s">
        <v>108</v>
      </c>
      <c r="I673" s="2"/>
      <c r="L673" s="40">
        <f>A677</f>
        <v>0</v>
      </c>
      <c r="M673" s="1" t="str">
        <f>C678</f>
        <v>Alfombra</v>
      </c>
      <c r="N673" s="2" t="str">
        <f>H677</f>
        <v>m2</v>
      </c>
      <c r="O673" s="2">
        <f>H728</f>
        <v>18.14</v>
      </c>
    </row>
    <row r="674" spans="1:15" ht="15.75" x14ac:dyDescent="0.25">
      <c r="B674" s="34" t="s">
        <v>1700</v>
      </c>
      <c r="C674" s="3">
        <f>'1.1'!$C$2</f>
        <v>0</v>
      </c>
      <c r="D674" s="2"/>
      <c r="E674" s="2"/>
      <c r="F674" s="2"/>
      <c r="G674" s="41" t="s">
        <v>1699</v>
      </c>
      <c r="H674" s="42"/>
      <c r="I674" s="2" t="s">
        <v>1698</v>
      </c>
    </row>
    <row r="675" spans="1:15" ht="15.75" x14ac:dyDescent="0.25">
      <c r="B675" s="34"/>
      <c r="C675" s="3">
        <f>'1.1'!$C$3</f>
        <v>0</v>
      </c>
      <c r="D675" s="2"/>
      <c r="E675" s="2"/>
      <c r="F675" s="2"/>
      <c r="G675" s="2"/>
      <c r="H675" s="2"/>
      <c r="I675" s="2"/>
    </row>
    <row r="676" spans="1:15" ht="15.75" x14ac:dyDescent="0.25">
      <c r="B676" s="34" t="s">
        <v>1697</v>
      </c>
      <c r="C676" s="3"/>
      <c r="D676" s="2"/>
      <c r="E676" s="2"/>
      <c r="F676" s="2"/>
      <c r="G676" s="2"/>
      <c r="H676" s="2"/>
      <c r="I676" s="2"/>
    </row>
    <row r="677" spans="1:15" x14ac:dyDescent="0.25">
      <c r="A677" s="104">
        <f>+A456</f>
        <v>0</v>
      </c>
      <c r="B677" s="2" t="s">
        <v>1586</v>
      </c>
      <c r="C677" s="36" t="s">
        <v>105</v>
      </c>
      <c r="D677" s="2"/>
      <c r="G677" s="2" t="s">
        <v>1696</v>
      </c>
      <c r="H677" s="3" t="s">
        <v>1520</v>
      </c>
      <c r="I677" s="2"/>
    </row>
    <row r="678" spans="1:15" x14ac:dyDescent="0.25">
      <c r="B678" s="1" t="s">
        <v>1585</v>
      </c>
      <c r="C678" s="36" t="s">
        <v>921</v>
      </c>
      <c r="D678" s="2"/>
      <c r="E678" s="2"/>
      <c r="F678" s="2"/>
      <c r="G678" s="2"/>
      <c r="H678" s="2"/>
      <c r="I678" s="2"/>
    </row>
    <row r="679" spans="1:15" ht="15.75" thickBot="1" x14ac:dyDescent="0.3">
      <c r="D679" s="2"/>
      <c r="E679" s="2"/>
      <c r="F679" s="2"/>
      <c r="G679" s="2"/>
      <c r="H679" s="2"/>
      <c r="I679" s="2"/>
    </row>
    <row r="680" spans="1:15" ht="15.75" thickBot="1" x14ac:dyDescent="0.3">
      <c r="B680" s="43" t="s">
        <v>1695</v>
      </c>
      <c r="C680" s="44"/>
      <c r="D680" s="44"/>
      <c r="E680" s="44"/>
      <c r="F680" s="44"/>
      <c r="G680" s="44"/>
      <c r="H680" s="45"/>
      <c r="I680" s="2"/>
    </row>
    <row r="681" spans="1:15" ht="25.5" x14ac:dyDescent="0.25">
      <c r="B681" s="46" t="s">
        <v>1409</v>
      </c>
      <c r="C681" s="47"/>
      <c r="D681" s="48" t="s">
        <v>1690</v>
      </c>
      <c r="E681" s="48" t="s">
        <v>1694</v>
      </c>
      <c r="F681" s="48" t="s">
        <v>1693</v>
      </c>
      <c r="G681" s="49" t="s">
        <v>1687</v>
      </c>
      <c r="H681" s="50" t="s">
        <v>1686</v>
      </c>
      <c r="I681" s="2"/>
    </row>
    <row r="682" spans="1:15" x14ac:dyDescent="0.25">
      <c r="A682" s="103">
        <v>19015</v>
      </c>
      <c r="B682" s="51" t="str">
        <f>IF($A682=0,"",VLOOKUP($A682,'BASE EQUIPO'!$A:$D,2))</f>
        <v>HERRAMIENTA MENOR</v>
      </c>
      <c r="C682" s="52"/>
      <c r="D682" s="53">
        <v>1</v>
      </c>
      <c r="E682" s="53">
        <f>IF($A682=0,"",VLOOKUP($A682,'BASE EQUIPO'!$A:$D,4)*H698)</f>
        <v>8.43E-2</v>
      </c>
      <c r="F682" s="53">
        <f t="shared" ref="F682:F687" si="60">IF($A682=0,"",ROUND(D682*E682,2))</f>
        <v>0.08</v>
      </c>
      <c r="G682" s="105">
        <v>1</v>
      </c>
      <c r="H682" s="54">
        <f t="shared" ref="H682:H687" si="61">IF($A682=0,"",ROUND(G682*F682,2))</f>
        <v>0.08</v>
      </c>
      <c r="I682" s="2"/>
    </row>
    <row r="683" spans="1:15" x14ac:dyDescent="0.25">
      <c r="B683" s="38" t="str">
        <f>IF($A683=0,"",VLOOKUP($A683,'BASE EQUIPO'!$A:$D,2))</f>
        <v/>
      </c>
      <c r="C683" s="2"/>
      <c r="D683" s="55"/>
      <c r="E683" s="55" t="str">
        <f>IF($A683=0,"",VLOOKUP($A683,'BASE EQUIPO'!$A:$D,4))</f>
        <v/>
      </c>
      <c r="F683" s="55" t="str">
        <f t="shared" si="60"/>
        <v/>
      </c>
      <c r="G683" s="106"/>
      <c r="H683" s="56" t="str">
        <f t="shared" si="61"/>
        <v/>
      </c>
      <c r="I683" s="2"/>
    </row>
    <row r="684" spans="1:15" x14ac:dyDescent="0.25">
      <c r="B684" s="38" t="str">
        <f>IF($A684=0,"",VLOOKUP($A684,'BASE EQUIPO'!$A:$D,2))</f>
        <v/>
      </c>
      <c r="C684" s="2"/>
      <c r="D684" s="55"/>
      <c r="E684" s="55" t="str">
        <f>IF($A684=0,"",VLOOKUP($A684,'BASE EQUIPO'!$A:$D,4))</f>
        <v/>
      </c>
      <c r="F684" s="55" t="str">
        <f t="shared" si="60"/>
        <v/>
      </c>
      <c r="G684" s="106"/>
      <c r="H684" s="56" t="str">
        <f t="shared" si="61"/>
        <v/>
      </c>
      <c r="I684" s="2"/>
    </row>
    <row r="685" spans="1:15" x14ac:dyDescent="0.25">
      <c r="B685" s="38" t="str">
        <f>IF($A685=0,"",VLOOKUP($A685,'BASE EQUIPO'!$A:$D,2))</f>
        <v/>
      </c>
      <c r="C685" s="2"/>
      <c r="D685" s="55"/>
      <c r="E685" s="55" t="str">
        <f>IF($A685=0,"",VLOOKUP($A685,'BASE EQUIPO'!$A:$D,4))</f>
        <v/>
      </c>
      <c r="F685" s="55" t="str">
        <f t="shared" si="60"/>
        <v/>
      </c>
      <c r="G685" s="106"/>
      <c r="H685" s="56" t="str">
        <f t="shared" si="61"/>
        <v/>
      </c>
      <c r="I685" s="2"/>
    </row>
    <row r="686" spans="1:15" x14ac:dyDescent="0.25">
      <c r="B686" s="38" t="str">
        <f>IF($A686=0,"",VLOOKUP($A686,'BASE EQUIPO'!$A:$D,2))</f>
        <v/>
      </c>
      <c r="C686" s="2"/>
      <c r="D686" s="55"/>
      <c r="E686" s="55" t="str">
        <f>IF($A686=0,"",VLOOKUP($A686,'BASE EQUIPO'!$A:$D,4))</f>
        <v/>
      </c>
      <c r="F686" s="55" t="str">
        <f t="shared" si="60"/>
        <v/>
      </c>
      <c r="G686" s="106"/>
      <c r="H686" s="56" t="str">
        <f t="shared" si="61"/>
        <v/>
      </c>
      <c r="I686" s="2"/>
    </row>
    <row r="687" spans="1:15" x14ac:dyDescent="0.25">
      <c r="B687" s="57" t="str">
        <f>IF($A687=0,"",VLOOKUP($A687,'BASE EQUIPO'!$A:$D,2))</f>
        <v/>
      </c>
      <c r="C687" s="58"/>
      <c r="D687" s="59"/>
      <c r="E687" s="59" t="str">
        <f>IF($A687=0,"",VLOOKUP($A687,'BASE EQUIPO'!$A:$D,4))</f>
        <v/>
      </c>
      <c r="F687" s="59" t="str">
        <f t="shared" si="60"/>
        <v/>
      </c>
      <c r="G687" s="107"/>
      <c r="H687" s="60" t="str">
        <f t="shared" si="61"/>
        <v/>
      </c>
      <c r="I687" s="2"/>
    </row>
    <row r="688" spans="1:15" x14ac:dyDescent="0.25">
      <c r="B688" s="57" t="s">
        <v>1692</v>
      </c>
      <c r="C688" s="58"/>
      <c r="D688" s="61"/>
      <c r="E688" s="61"/>
      <c r="F688" s="61"/>
      <c r="G688" s="62"/>
      <c r="H688" s="60">
        <f>ROUND(SUM(H681:H687),2)</f>
        <v>0.08</v>
      </c>
      <c r="I688" s="2"/>
    </row>
    <row r="689" spans="1:16" x14ac:dyDescent="0.25">
      <c r="B689" s="38" t="s">
        <v>1503</v>
      </c>
      <c r="C689" s="2"/>
      <c r="D689" s="3"/>
      <c r="E689" s="3"/>
      <c r="F689" s="3"/>
      <c r="G689" s="63"/>
      <c r="H689" s="56"/>
      <c r="I689" s="2"/>
    </row>
    <row r="690" spans="1:16" ht="25.5" x14ac:dyDescent="0.25">
      <c r="B690" s="64" t="s">
        <v>1691</v>
      </c>
      <c r="C690" s="65"/>
      <c r="D690" s="66" t="s">
        <v>1690</v>
      </c>
      <c r="E690" s="66" t="s">
        <v>1689</v>
      </c>
      <c r="F690" s="66" t="s">
        <v>1688</v>
      </c>
      <c r="G690" s="67" t="s">
        <v>1687</v>
      </c>
      <c r="H690" s="68" t="s">
        <v>1686</v>
      </c>
      <c r="I690" s="2"/>
    </row>
    <row r="691" spans="1:16" x14ac:dyDescent="0.25">
      <c r="B691" s="69" t="str">
        <f>IF($A691=0,"",VLOOKUP($A691,'BASE M-OBRA'!$A:$D,2))</f>
        <v/>
      </c>
      <c r="C691" s="2"/>
      <c r="D691" s="108"/>
      <c r="E691" s="70" t="str">
        <f>IF($A691=0,"",VLOOKUP($A691,'BASE M-OBRA'!$A:$D,4))</f>
        <v/>
      </c>
      <c r="F691" s="55" t="str">
        <f t="shared" ref="F691:F697" si="62">IF($A691=0,"",ROUND(D691*E691,2))</f>
        <v/>
      </c>
      <c r="G691" s="106" t="str">
        <f>IF($A691=0,"",ROUND(H691/F691,2))</f>
        <v/>
      </c>
      <c r="H691" s="56" t="str">
        <f>IF($A691=0,"",ROUND(SUM(H692:H697)*'BASE M-OBRA'!$D$23,2))</f>
        <v/>
      </c>
      <c r="I691" s="2"/>
    </row>
    <row r="692" spans="1:16" x14ac:dyDescent="0.25">
      <c r="A692" s="103">
        <v>20019</v>
      </c>
      <c r="B692" s="69" t="str">
        <f>IF($A692=0,"",VLOOKUP($A692,'BASE M-OBRA'!$A:$D,2))</f>
        <v>INSTALADOR</v>
      </c>
      <c r="C692" s="2"/>
      <c r="D692" s="108">
        <v>1</v>
      </c>
      <c r="E692" s="70">
        <f>IF($A692=0,"",VLOOKUP($A692,'BASE M-OBRA'!$A:$D,4))</f>
        <v>2.82</v>
      </c>
      <c r="F692" s="55">
        <f t="shared" si="62"/>
        <v>2.82</v>
      </c>
      <c r="G692" s="106">
        <v>0.5</v>
      </c>
      <c r="H692" s="56">
        <f t="shared" ref="H692:H697" si="63">IF($A692=0,"",ROUND(G692*F692,2))</f>
        <v>1.41</v>
      </c>
      <c r="I692" s="2"/>
      <c r="K692" s="1">
        <f>320/8</f>
        <v>40</v>
      </c>
    </row>
    <row r="693" spans="1:16" x14ac:dyDescent="0.25">
      <c r="A693" s="103">
        <v>20011</v>
      </c>
      <c r="B693" s="69" t="str">
        <f>IF($A693=0,"",VLOOKUP($A693,'BASE M-OBRA'!$A:$D,2))</f>
        <v>AYUDANTE ESPECIALISTA</v>
      </c>
      <c r="C693" s="2"/>
      <c r="D693" s="108">
        <v>1</v>
      </c>
      <c r="E693" s="70">
        <f>IF($A693=0,"",VLOOKUP($A693,'BASE M-OBRA'!$A:$D,4))</f>
        <v>2.79</v>
      </c>
      <c r="F693" s="55">
        <f t="shared" si="62"/>
        <v>2.79</v>
      </c>
      <c r="G693" s="106">
        <f>+G692</f>
        <v>0.5</v>
      </c>
      <c r="H693" s="56">
        <f t="shared" si="63"/>
        <v>1.4</v>
      </c>
      <c r="I693" s="2"/>
    </row>
    <row r="694" spans="1:16" x14ac:dyDescent="0.25">
      <c r="B694" s="71" t="str">
        <f>IF($A694=0,"",VLOOKUP($A694,'BASE M-OBRA'!$A:$D,2))</f>
        <v/>
      </c>
      <c r="C694" s="2"/>
      <c r="D694" s="108"/>
      <c r="E694" s="70" t="str">
        <f>IF($A694=0,"",VLOOKUP($A694,'BASE M-OBRA'!$A:$D,4))</f>
        <v/>
      </c>
      <c r="F694" s="55" t="str">
        <f t="shared" si="62"/>
        <v/>
      </c>
      <c r="G694" s="106"/>
      <c r="H694" s="56" t="str">
        <f t="shared" si="63"/>
        <v/>
      </c>
      <c r="I694" s="2"/>
      <c r="J694" s="1">
        <f>0.25*30000</f>
        <v>7500</v>
      </c>
    </row>
    <row r="695" spans="1:16" x14ac:dyDescent="0.25">
      <c r="B695" s="72" t="str">
        <f>IF($A695=0,"",VLOOKUP($A695,'BASE M-OBRA'!$A:$D,2))</f>
        <v/>
      </c>
      <c r="C695" s="2"/>
      <c r="D695" s="108"/>
      <c r="E695" s="70" t="str">
        <f>IF($A695=0,"",VLOOKUP($A695,'BASE M-OBRA'!$A:$D,4))</f>
        <v/>
      </c>
      <c r="F695" s="55" t="str">
        <f t="shared" si="62"/>
        <v/>
      </c>
      <c r="G695" s="106"/>
      <c r="H695" s="56" t="str">
        <f t="shared" si="63"/>
        <v/>
      </c>
      <c r="I695" s="2"/>
    </row>
    <row r="696" spans="1:16" x14ac:dyDescent="0.25">
      <c r="B696" s="38" t="str">
        <f>IF($A696=0,"",VLOOKUP($A696,'BASE M-OBRA'!$A:$D,2))</f>
        <v/>
      </c>
      <c r="C696" s="2"/>
      <c r="D696" s="55"/>
      <c r="E696" s="55" t="str">
        <f>IF($A696=0,"",VLOOKUP($A696,'BASE M-OBRA'!$A:$D,4))</f>
        <v/>
      </c>
      <c r="F696" s="55" t="str">
        <f t="shared" si="62"/>
        <v/>
      </c>
      <c r="G696" s="106"/>
      <c r="H696" s="56" t="str">
        <f t="shared" si="63"/>
        <v/>
      </c>
      <c r="I696" s="2"/>
    </row>
    <row r="697" spans="1:16" x14ac:dyDescent="0.25">
      <c r="B697" s="57" t="str">
        <f>IF($A697=0,"",VLOOKUP($A697,'BASE M-OBRA'!$A:$D,2))</f>
        <v/>
      </c>
      <c r="C697" s="58"/>
      <c r="D697" s="59"/>
      <c r="E697" s="59" t="str">
        <f>IF($A697=0,"",VLOOKUP($A697,'BASE M-OBRA'!$A:$D,4))</f>
        <v/>
      </c>
      <c r="F697" s="59" t="str">
        <f t="shared" si="62"/>
        <v/>
      </c>
      <c r="G697" s="107"/>
      <c r="H697" s="60" t="str">
        <f t="shared" si="63"/>
        <v/>
      </c>
      <c r="I697" s="2"/>
    </row>
    <row r="698" spans="1:16" x14ac:dyDescent="0.25">
      <c r="B698" s="73" t="s">
        <v>1685</v>
      </c>
      <c r="C698" s="65"/>
      <c r="D698" s="74"/>
      <c r="E698" s="74"/>
      <c r="F698" s="74"/>
      <c r="G698" s="74"/>
      <c r="H698" s="75">
        <f>ROUND(SUM(H690:H697),2)</f>
        <v>2.81</v>
      </c>
      <c r="I698" s="2"/>
    </row>
    <row r="699" spans="1:16" x14ac:dyDescent="0.25">
      <c r="B699" s="38" t="s">
        <v>1684</v>
      </c>
      <c r="C699" s="2"/>
      <c r="D699" s="3"/>
      <c r="E699" s="3"/>
      <c r="F699" s="3"/>
      <c r="G699" s="3"/>
      <c r="H699" s="56"/>
      <c r="I699" s="2"/>
    </row>
    <row r="700" spans="1:16" ht="25.5" x14ac:dyDescent="0.25">
      <c r="B700" s="64" t="s">
        <v>1409</v>
      </c>
      <c r="C700" s="65"/>
      <c r="D700" s="76"/>
      <c r="E700" s="66" t="s">
        <v>1408</v>
      </c>
      <c r="F700" s="66" t="s">
        <v>1679</v>
      </c>
      <c r="G700" s="66" t="s">
        <v>1683</v>
      </c>
      <c r="H700" s="68" t="s">
        <v>1675</v>
      </c>
      <c r="I700" s="2"/>
    </row>
    <row r="701" spans="1:16" x14ac:dyDescent="0.25">
      <c r="A701" s="103">
        <v>1</v>
      </c>
      <c r="B701" s="38" t="s">
        <v>115</v>
      </c>
      <c r="C701" s="2"/>
      <c r="D701" s="77"/>
      <c r="E701" s="78" t="s">
        <v>899</v>
      </c>
      <c r="F701" s="55">
        <v>0.2</v>
      </c>
      <c r="G701" s="55">
        <v>8</v>
      </c>
      <c r="H701" s="56">
        <f t="shared" ref="H701:H715" si="64">IF($A701=0,"",ROUND(F701*G701,2))</f>
        <v>1.6</v>
      </c>
      <c r="I701" s="2"/>
      <c r="L701" s="2"/>
      <c r="M701" s="2"/>
      <c r="N701" s="39"/>
      <c r="O701" s="2"/>
      <c r="P701" s="2"/>
    </row>
    <row r="702" spans="1:16" x14ac:dyDescent="0.25">
      <c r="A702" s="103">
        <v>1</v>
      </c>
      <c r="B702" s="38" t="s">
        <v>116</v>
      </c>
      <c r="C702" s="2"/>
      <c r="D702" s="77"/>
      <c r="E702" s="78" t="s">
        <v>915</v>
      </c>
      <c r="F702" s="55">
        <v>1.05</v>
      </c>
      <c r="G702" s="55">
        <v>13</v>
      </c>
      <c r="H702" s="56">
        <f t="shared" si="64"/>
        <v>13.65</v>
      </c>
      <c r="I702" s="2"/>
      <c r="L702" s="2"/>
      <c r="M702" s="2"/>
      <c r="N702" s="39"/>
      <c r="O702" s="2"/>
      <c r="P702" s="2"/>
    </row>
    <row r="703" spans="1:16" x14ac:dyDescent="0.25">
      <c r="B703" s="38" t="str">
        <f>IF($A703=0,"",VLOOKUP($A703,'BASE MATERIAL'!$A:$D,2))</f>
        <v/>
      </c>
      <c r="C703" s="2"/>
      <c r="D703" s="77"/>
      <c r="E703" s="78" t="str">
        <f>IF($A703=0,"",VLOOKUP($A703,'BASE MATERIAL'!$A:$D,3))</f>
        <v/>
      </c>
      <c r="F703" s="55"/>
      <c r="G703" s="55" t="str">
        <f>IF($A703=0,"",VLOOKUP($A703,'BASE MATERIAL'!$A:$D,4))</f>
        <v/>
      </c>
      <c r="H703" s="56" t="str">
        <f t="shared" si="64"/>
        <v/>
      </c>
      <c r="I703" s="2"/>
      <c r="L703" s="2"/>
      <c r="M703" s="2"/>
      <c r="N703" s="39"/>
      <c r="O703" s="2"/>
      <c r="P703" s="2"/>
    </row>
    <row r="704" spans="1:16" x14ac:dyDescent="0.25">
      <c r="B704" s="38" t="str">
        <f>IF($A704=0,"",VLOOKUP($A704,'BASE MATERIAL'!$A:$D,2))</f>
        <v/>
      </c>
      <c r="C704" s="2"/>
      <c r="D704" s="77"/>
      <c r="E704" s="78" t="str">
        <f>IF($A704=0,"",VLOOKUP($A704,'BASE MATERIAL'!$A:$D,3))</f>
        <v/>
      </c>
      <c r="F704" s="55"/>
      <c r="G704" s="55" t="str">
        <f>IF($A704=0,"",VLOOKUP($A704,'BASE MATERIAL'!$A:$D,4))</f>
        <v/>
      </c>
      <c r="H704" s="56" t="str">
        <f t="shared" si="64"/>
        <v/>
      </c>
      <c r="I704" s="2"/>
      <c r="L704" s="2"/>
      <c r="M704" s="2"/>
      <c r="N704" s="39"/>
      <c r="O704" s="2"/>
      <c r="P704" s="2"/>
    </row>
    <row r="705" spans="2:16" x14ac:dyDescent="0.25">
      <c r="B705" s="38" t="str">
        <f>IF($A705=0,"",VLOOKUP($A705,'BASE MATERIAL'!$A:$D,2))</f>
        <v/>
      </c>
      <c r="C705" s="2"/>
      <c r="D705" s="77"/>
      <c r="E705" s="78" t="str">
        <f>IF($A705=0,"",VLOOKUP($A705,'BASE MATERIAL'!$A:$D,3))</f>
        <v/>
      </c>
      <c r="F705" s="55"/>
      <c r="G705" s="55" t="str">
        <f>IF($A705=0,"",VLOOKUP($A705,'BASE MATERIAL'!$A:$D,4))</f>
        <v/>
      </c>
      <c r="H705" s="56" t="str">
        <f t="shared" si="64"/>
        <v/>
      </c>
      <c r="I705" s="2"/>
      <c r="L705" s="2"/>
      <c r="M705" s="2"/>
      <c r="N705" s="39"/>
      <c r="O705" s="2"/>
      <c r="P705" s="2"/>
    </row>
    <row r="706" spans="2:16" x14ac:dyDescent="0.25">
      <c r="B706" s="38" t="str">
        <f>IF($A706=0,"",VLOOKUP($A706,'BASE MATERIAL'!$A:$D,2))</f>
        <v/>
      </c>
      <c r="C706" s="2"/>
      <c r="D706" s="77"/>
      <c r="E706" s="78" t="str">
        <f>IF($A706=0,"",VLOOKUP($A706,'BASE MATERIAL'!$A:$D,3))</f>
        <v/>
      </c>
      <c r="F706" s="55"/>
      <c r="G706" s="55" t="str">
        <f>IF($A706=0,"",VLOOKUP($A706,'BASE MATERIAL'!$A:$D,4))</f>
        <v/>
      </c>
      <c r="H706" s="56" t="str">
        <f t="shared" si="64"/>
        <v/>
      </c>
      <c r="I706" s="2"/>
      <c r="L706" s="2"/>
      <c r="M706" s="2"/>
      <c r="N706" s="39"/>
      <c r="O706" s="2"/>
      <c r="P706" s="2"/>
    </row>
    <row r="707" spans="2:16" x14ac:dyDescent="0.25">
      <c r="B707" s="38" t="str">
        <f>IF($A707=0,"",VLOOKUP($A707,'BASE MATERIAL'!$A:$D,2))</f>
        <v/>
      </c>
      <c r="C707" s="2"/>
      <c r="D707" s="77"/>
      <c r="E707" s="78" t="str">
        <f>IF($A707=0,"",VLOOKUP($A707,'BASE MATERIAL'!$A:$D,3))</f>
        <v/>
      </c>
      <c r="F707" s="55"/>
      <c r="G707" s="55" t="str">
        <f>IF($A707=0,"",VLOOKUP($A707,'BASE MATERIAL'!$A:$D,4))</f>
        <v/>
      </c>
      <c r="H707" s="56" t="str">
        <f t="shared" si="64"/>
        <v/>
      </c>
      <c r="I707" s="2"/>
      <c r="L707" s="2"/>
      <c r="M707" s="2"/>
      <c r="N707" s="39"/>
      <c r="O707" s="2"/>
      <c r="P707" s="2"/>
    </row>
    <row r="708" spans="2:16" x14ac:dyDescent="0.25">
      <c r="B708" s="38" t="str">
        <f>IF($A708=0,"",VLOOKUP($A708,'BASE MATERIAL'!$A:$D,2))</f>
        <v/>
      </c>
      <c r="C708" s="2"/>
      <c r="D708" s="77"/>
      <c r="E708" s="78" t="str">
        <f>IF($A708=0,"",VLOOKUP($A708,'BASE MATERIAL'!$A:$D,3))</f>
        <v/>
      </c>
      <c r="F708" s="55"/>
      <c r="G708" s="55" t="str">
        <f>IF($A708=0,"",VLOOKUP($A708,'BASE MATERIAL'!$A:$D,4))</f>
        <v/>
      </c>
      <c r="H708" s="56" t="str">
        <f t="shared" si="64"/>
        <v/>
      </c>
      <c r="I708" s="2"/>
      <c r="L708" s="2"/>
      <c r="M708" s="2"/>
      <c r="N708" s="39"/>
      <c r="O708" s="2"/>
      <c r="P708" s="2"/>
    </row>
    <row r="709" spans="2:16" x14ac:dyDescent="0.25">
      <c r="B709" s="38" t="str">
        <f>IF($A709=0,"",VLOOKUP($A709,'BASE MATERIAL'!$A:$D,2))</f>
        <v/>
      </c>
      <c r="C709" s="2"/>
      <c r="D709" s="77"/>
      <c r="E709" s="78" t="str">
        <f>IF($A709=0,"",VLOOKUP($A709,'BASE MATERIAL'!$A:$D,3))</f>
        <v/>
      </c>
      <c r="F709" s="55"/>
      <c r="G709" s="55" t="str">
        <f>IF($A709=0,"",VLOOKUP($A709,'BASE MATERIAL'!$A:$D,4))</f>
        <v/>
      </c>
      <c r="H709" s="56" t="str">
        <f t="shared" si="64"/>
        <v/>
      </c>
      <c r="I709" s="2"/>
    </row>
    <row r="710" spans="2:16" x14ac:dyDescent="0.25">
      <c r="B710" s="38" t="str">
        <f>IF($A710=0,"",VLOOKUP($A710,'BASE MATERIAL'!$A:$D,2))</f>
        <v/>
      </c>
      <c r="C710" s="2"/>
      <c r="D710" s="77"/>
      <c r="E710" s="78" t="str">
        <f>IF($A710=0,"",VLOOKUP($A710,'BASE MATERIAL'!$A:$D,3))</f>
        <v/>
      </c>
      <c r="F710" s="55"/>
      <c r="G710" s="55" t="str">
        <f>IF($A710=0,"",VLOOKUP($A710,'BASE MATERIAL'!$A:$D,4))</f>
        <v/>
      </c>
      <c r="H710" s="56" t="str">
        <f t="shared" si="64"/>
        <v/>
      </c>
      <c r="I710" s="2"/>
      <c r="L710" s="2"/>
      <c r="M710" s="2"/>
      <c r="N710" s="39"/>
      <c r="O710" s="2"/>
      <c r="P710" s="2"/>
    </row>
    <row r="711" spans="2:16" x14ac:dyDescent="0.25">
      <c r="B711" s="38" t="str">
        <f>IF($A711=0,"",VLOOKUP($A711,'BASE MATERIAL'!$A:$D,2))</f>
        <v/>
      </c>
      <c r="C711" s="2"/>
      <c r="D711" s="77"/>
      <c r="E711" s="78" t="str">
        <f>IF($A711=0,"",VLOOKUP($A711,'BASE MATERIAL'!$A:$D,3))</f>
        <v/>
      </c>
      <c r="F711" s="55"/>
      <c r="G711" s="55" t="str">
        <f>IF($A711=0,"",VLOOKUP($A711,'BASE MATERIAL'!$A:$D,4))</f>
        <v/>
      </c>
      <c r="H711" s="56" t="str">
        <f t="shared" si="64"/>
        <v/>
      </c>
      <c r="I711" s="2"/>
      <c r="L711" s="2"/>
      <c r="M711" s="2"/>
      <c r="N711" s="39"/>
      <c r="O711" s="2"/>
      <c r="P711" s="2"/>
    </row>
    <row r="712" spans="2:16" x14ac:dyDescent="0.25">
      <c r="B712" s="38" t="str">
        <f>IF($A712=0,"",VLOOKUP($A712,'BASE MATERIAL'!$A:$D,2))</f>
        <v/>
      </c>
      <c r="C712" s="2"/>
      <c r="D712" s="77"/>
      <c r="E712" s="78" t="str">
        <f>IF($A712=0,"",VLOOKUP($A712,'BASE MATERIAL'!$A:$D,3))</f>
        <v/>
      </c>
      <c r="F712" s="55"/>
      <c r="G712" s="55" t="str">
        <f>IF($A712=0,"",VLOOKUP($A712,'BASE MATERIAL'!$A:$D,4))</f>
        <v/>
      </c>
      <c r="H712" s="56" t="str">
        <f t="shared" si="64"/>
        <v/>
      </c>
      <c r="I712" s="2"/>
    </row>
    <row r="713" spans="2:16" x14ac:dyDescent="0.25">
      <c r="B713" s="38" t="str">
        <f>IF($A713=0,"",VLOOKUP($A713,'BASE MATERIAL'!$A:$D,2))</f>
        <v/>
      </c>
      <c r="C713" s="2"/>
      <c r="D713" s="77"/>
      <c r="E713" s="78" t="str">
        <f>IF($A713=0,"",VLOOKUP($A713,'BASE MATERIAL'!$A:$D,3))</f>
        <v/>
      </c>
      <c r="F713" s="55"/>
      <c r="G713" s="55" t="str">
        <f>IF($A713=0,"",VLOOKUP($A713,'BASE MATERIAL'!$A:$D,4))</f>
        <v/>
      </c>
      <c r="H713" s="56" t="str">
        <f t="shared" si="64"/>
        <v/>
      </c>
      <c r="I713" s="2"/>
    </row>
    <row r="714" spans="2:16" x14ac:dyDescent="0.25">
      <c r="B714" s="38" t="str">
        <f>IF($A714=0,"",VLOOKUP($A714,'BASE MATERIAL'!$A:$D,2))</f>
        <v/>
      </c>
      <c r="C714" s="2"/>
      <c r="D714" s="77"/>
      <c r="E714" s="78" t="str">
        <f>IF($A714=0,"",VLOOKUP($A714,'BASE MATERIAL'!$A:$D,3))</f>
        <v/>
      </c>
      <c r="F714" s="55"/>
      <c r="G714" s="55" t="str">
        <f>IF($A714=0,"",VLOOKUP($A714,'BASE MATERIAL'!$A:$D,4))</f>
        <v/>
      </c>
      <c r="H714" s="56" t="str">
        <f t="shared" si="64"/>
        <v/>
      </c>
      <c r="I714" s="2"/>
    </row>
    <row r="715" spans="2:16" x14ac:dyDescent="0.25">
      <c r="B715" s="38" t="str">
        <f>IF($A715=0,"",VLOOKUP($A715,'BASE MATERIAL'!$A:$D,2))</f>
        <v/>
      </c>
      <c r="C715" s="2"/>
      <c r="D715" s="77"/>
      <c r="E715" s="78" t="str">
        <f>IF($A715=0,"",VLOOKUP($A715,'BASE MATERIAL'!$A:$D,3))</f>
        <v/>
      </c>
      <c r="F715" s="55"/>
      <c r="G715" s="55" t="str">
        <f>IF($A715=0,"",VLOOKUP($A715,'BASE MATERIAL'!$A:$D,4))</f>
        <v/>
      </c>
      <c r="H715" s="56" t="str">
        <f t="shared" si="64"/>
        <v/>
      </c>
      <c r="I715" s="2"/>
    </row>
    <row r="716" spans="2:16" x14ac:dyDescent="0.25">
      <c r="B716" s="38" t="str">
        <f>IF($A716=0,"",VLOOKUP($A716,'BASE MATERIAL'!$A:$D,2))</f>
        <v/>
      </c>
      <c r="C716" s="2"/>
      <c r="D716" s="81" t="s">
        <v>1682</v>
      </c>
      <c r="E716" s="55" t="str">
        <f>IF($A716=0,"",VLOOKUP($A716,'BASE MATERIAL'!$A:$D,3))</f>
        <v/>
      </c>
      <c r="F716" s="55" t="s">
        <v>1682</v>
      </c>
      <c r="G716" s="55" t="str">
        <f>IF($A716=0,"",VLOOKUP($A716,'BASE MATERIAL'!$A:$D,4))</f>
        <v/>
      </c>
      <c r="H716" s="56" t="str">
        <f>IF($A716=0,"",ROUND(E716*F716,2))</f>
        <v/>
      </c>
      <c r="I716" s="2"/>
    </row>
    <row r="717" spans="2:16" x14ac:dyDescent="0.25">
      <c r="B717" s="73" t="s">
        <v>1681</v>
      </c>
      <c r="C717" s="65"/>
      <c r="D717" s="74"/>
      <c r="E717" s="74"/>
      <c r="F717" s="74"/>
      <c r="G717" s="74"/>
      <c r="H717" s="75">
        <f>ROUND(SUM(H700:H716),2)</f>
        <v>15.25</v>
      </c>
      <c r="I717" s="2"/>
    </row>
    <row r="718" spans="2:16" x14ac:dyDescent="0.25">
      <c r="B718" s="38" t="s">
        <v>1680</v>
      </c>
      <c r="C718" s="2"/>
      <c r="D718" s="3"/>
      <c r="E718" s="3"/>
      <c r="F718" s="3"/>
      <c r="G718" s="3"/>
      <c r="H718" s="56"/>
      <c r="I718" s="2"/>
    </row>
    <row r="719" spans="2:16" ht="25.5" x14ac:dyDescent="0.25">
      <c r="B719" s="64" t="s">
        <v>1409</v>
      </c>
      <c r="C719" s="65"/>
      <c r="D719" s="76"/>
      <c r="E719" s="66" t="s">
        <v>1408</v>
      </c>
      <c r="F719" s="66" t="s">
        <v>1679</v>
      </c>
      <c r="G719" s="66" t="s">
        <v>1676</v>
      </c>
      <c r="H719" s="68" t="s">
        <v>1675</v>
      </c>
      <c r="I719" s="2"/>
    </row>
    <row r="720" spans="2:16" x14ac:dyDescent="0.25">
      <c r="B720" s="51" t="str">
        <f>IF($A720=0,"",VLOOKUP($A720,'BASE EQUIPO'!$A:$D,2))</f>
        <v/>
      </c>
      <c r="C720" s="52"/>
      <c r="D720" s="82"/>
      <c r="E720" s="78" t="str">
        <f>IF($A720=0,"",VLOOKUP($A720,'BASE EQUIPO'!$A:$D,3))</f>
        <v/>
      </c>
      <c r="F720" s="55">
        <v>1</v>
      </c>
      <c r="G720" s="83" t="str">
        <f>IF($A720=0,"",VLOOKUP($A720,'BASE EQUIPO'!$A:$D,4)*H717)</f>
        <v/>
      </c>
      <c r="H720" s="56" t="str">
        <f>IF($A720=0,"",ROUND(F720*G720,2))</f>
        <v/>
      </c>
      <c r="I720" s="2"/>
    </row>
    <row r="721" spans="2:9" x14ac:dyDescent="0.25">
      <c r="B721" s="38" t="str">
        <f>IF($A721=0,"",VLOOKUP($A721,'BASE EQUIPO'!$A:$D,2))</f>
        <v/>
      </c>
      <c r="C721" s="2"/>
      <c r="D721" s="84"/>
      <c r="E721" s="78" t="str">
        <f>IF($A721=0,"",VLOOKUP($A721,'BASE EQUIPO'!$A:$D,3))</f>
        <v/>
      </c>
      <c r="F721" s="55"/>
      <c r="G721" s="55" t="str">
        <f>IF($A721=0,"",VLOOKUP($A721,'BASE EQUIPO'!$A:$D,4)*H718)</f>
        <v/>
      </c>
      <c r="H721" s="56" t="str">
        <f>IF($A721=0,"",ROUND(F721*G721,2))</f>
        <v/>
      </c>
      <c r="I721" s="2"/>
    </row>
    <row r="722" spans="2:9" x14ac:dyDescent="0.25">
      <c r="B722" s="57" t="str">
        <f>IF($A722=0,"",VLOOKUP($A722,'BASE EQUIPO'!$A:$D,2))</f>
        <v/>
      </c>
      <c r="C722" s="58"/>
      <c r="D722" s="85"/>
      <c r="E722" s="86" t="str">
        <f>IF($A722=0,"",VLOOKUP($A722,'BASE EQUIPO'!$A:$D,3))</f>
        <v/>
      </c>
      <c r="F722" s="59"/>
      <c r="G722" s="59" t="str">
        <f>IF($A722=0,"",VLOOKUP($A722,'BASE EQUIPO'!$A:$D,4)*H719)</f>
        <v/>
      </c>
      <c r="H722" s="60" t="str">
        <f>IF($A722=0,"",ROUND(F722*G722,2))</f>
        <v/>
      </c>
      <c r="I722" s="2"/>
    </row>
    <row r="723" spans="2:9" ht="15.75" thickBot="1" x14ac:dyDescent="0.3">
      <c r="B723" s="87" t="s">
        <v>1674</v>
      </c>
      <c r="C723" s="88"/>
      <c r="D723" s="89"/>
      <c r="E723" s="89"/>
      <c r="F723" s="89"/>
      <c r="G723" s="89"/>
      <c r="H723" s="90">
        <f>ROUND(SUM(H719:H722),2)</f>
        <v>0</v>
      </c>
      <c r="I723" s="2"/>
    </row>
    <row r="724" spans="2:9" ht="15.75" x14ac:dyDescent="0.25">
      <c r="B724" s="2"/>
      <c r="C724" s="2"/>
      <c r="D724" s="91" t="s">
        <v>1673</v>
      </c>
      <c r="E724" s="47"/>
      <c r="F724" s="47"/>
      <c r="G724" s="47"/>
      <c r="H724" s="92">
        <f>ROUND(SUM(H723,H717,H698,H688),2)</f>
        <v>18.14</v>
      </c>
      <c r="I724" s="2"/>
    </row>
    <row r="725" spans="2:9" ht="15.75" x14ac:dyDescent="0.25">
      <c r="B725" s="2"/>
      <c r="C725" s="2"/>
      <c r="D725" s="93" t="s">
        <v>1672</v>
      </c>
      <c r="E725" s="65"/>
      <c r="F725" s="65"/>
      <c r="G725" s="94" t="str">
        <f>IF($A725=0,"",VLOOKUP($A725,'BASE MATERIAL'!$M:$P,4))</f>
        <v/>
      </c>
      <c r="H725" s="95" t="str">
        <f>IF($A725=0,"",ROUND(G725*H724,2))</f>
        <v/>
      </c>
      <c r="I725" s="2"/>
    </row>
    <row r="726" spans="2:9" ht="15.75" x14ac:dyDescent="0.25">
      <c r="B726" s="2"/>
      <c r="C726" s="2"/>
      <c r="D726" s="93" t="s">
        <v>1671</v>
      </c>
      <c r="E726" s="65"/>
      <c r="F726" s="65"/>
      <c r="G726" s="94" t="str">
        <f>IF($A726=0,"",VLOOKUP($A726,'BASE MATERIAL'!$M:$P,4))</f>
        <v/>
      </c>
      <c r="H726" s="95" t="str">
        <f>IF($A726=0,"",ROUND(G726*H724,2))</f>
        <v/>
      </c>
      <c r="I726" s="2"/>
    </row>
    <row r="727" spans="2:9" ht="15.75" x14ac:dyDescent="0.25">
      <c r="B727" s="2"/>
      <c r="C727" s="2"/>
      <c r="D727" s="93" t="s">
        <v>1670</v>
      </c>
      <c r="E727" s="65"/>
      <c r="F727" s="65"/>
      <c r="G727" s="65"/>
      <c r="H727" s="96">
        <f>ROUND(SUM(H724:H726),2)</f>
        <v>18.14</v>
      </c>
      <c r="I727" s="2"/>
    </row>
    <row r="728" spans="2:9" ht="16.5" thickBot="1" x14ac:dyDescent="0.3">
      <c r="B728" s="25"/>
      <c r="C728" s="2"/>
      <c r="D728" s="97" t="s">
        <v>1650</v>
      </c>
      <c r="E728" s="88"/>
      <c r="F728" s="88"/>
      <c r="G728" s="88"/>
      <c r="H728" s="98">
        <f>ROUND(H727,2)</f>
        <v>18.14</v>
      </c>
      <c r="I728" s="2"/>
    </row>
  </sheetData>
  <phoneticPr fontId="2" type="noConversion"/>
  <pageMargins left="0.78740157480314965" right="0.78740157480314965" top="0.78740157480314965" bottom="0.78740157480314965" header="0" footer="0"/>
  <pageSetup paperSize="9" scale="85" orientation="portrait" r:id="rId1"/>
  <headerFooter alignWithMargins="0"/>
  <rowBreaks count="2" manualBreakCount="2">
    <brk id="56" max="16383" man="1"/>
    <brk id="112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8B1C6-506C-4A26-B0A9-BF22D757EDA3}">
  <sheetPr codeName="Hoja15">
    <pageSetUpPr fitToPage="1"/>
  </sheetPr>
  <dimension ref="A1:P224"/>
  <sheetViews>
    <sheetView workbookViewId="0"/>
  </sheetViews>
  <sheetFormatPr baseColWidth="10" defaultColWidth="11.42578125" defaultRowHeight="15" x14ac:dyDescent="0.25"/>
  <cols>
    <col min="1" max="1" width="9.140625" style="103" bestFit="1" customWidth="1"/>
    <col min="2" max="2" width="12.140625" style="1" customWidth="1"/>
    <col min="3" max="3" width="26.28515625" style="1" customWidth="1"/>
    <col min="4" max="4" width="10.7109375" style="1" customWidth="1"/>
    <col min="5" max="5" width="12.140625" style="1" customWidth="1"/>
    <col min="6" max="6" width="13.28515625" style="1" customWidth="1"/>
    <col min="7" max="7" width="13.85546875" style="1" customWidth="1"/>
    <col min="8" max="8" width="12.42578125" style="1" customWidth="1"/>
    <col min="9" max="9" width="3.140625" style="1" bestFit="1" customWidth="1"/>
    <col min="10" max="10" width="3.5703125" style="1" customWidth="1"/>
    <col min="11" max="11" width="8.42578125" style="1" customWidth="1"/>
    <col min="12" max="12" width="6.28515625" style="1" bestFit="1" customWidth="1"/>
    <col min="13" max="13" width="33.85546875" style="1" bestFit="1" customWidth="1"/>
    <col min="14" max="14" width="6" style="1" bestFit="1" customWidth="1"/>
    <col min="15" max="28" width="8.42578125" style="1" customWidth="1"/>
    <col min="29" max="16384" width="11.42578125" style="1"/>
  </cols>
  <sheetData>
    <row r="1" spans="1:15" ht="15.75" x14ac:dyDescent="0.25">
      <c r="B1" s="34" t="s">
        <v>1701</v>
      </c>
      <c r="C1" s="2"/>
      <c r="D1" s="3" t="str">
        <f>'1.1'!$D$1</f>
        <v>ESPOL</v>
      </c>
      <c r="E1" s="2"/>
      <c r="F1" s="2"/>
      <c r="H1" s="2" t="s">
        <v>108</v>
      </c>
      <c r="I1" s="2"/>
      <c r="L1" s="40">
        <f>A5</f>
        <v>1</v>
      </c>
      <c r="M1" s="1" t="str">
        <f>C6</f>
        <v>Cielo raso: Armstrong</v>
      </c>
      <c r="N1" s="2" t="str">
        <f>H5</f>
        <v>m2</v>
      </c>
      <c r="O1" s="2">
        <f>H56</f>
        <v>18.010000000000002</v>
      </c>
    </row>
    <row r="2" spans="1:15" ht="15.75" x14ac:dyDescent="0.25">
      <c r="B2" s="34" t="s">
        <v>1700</v>
      </c>
      <c r="C2" s="3">
        <f>'1.1'!$C$2</f>
        <v>0</v>
      </c>
      <c r="D2" s="2"/>
      <c r="E2" s="2"/>
      <c r="F2" s="2"/>
      <c r="G2" s="41" t="s">
        <v>1699</v>
      </c>
      <c r="H2" s="42"/>
      <c r="I2" s="2" t="s">
        <v>1698</v>
      </c>
    </row>
    <row r="3" spans="1:15" ht="15.75" x14ac:dyDescent="0.25">
      <c r="B3" s="34"/>
      <c r="C3" s="3">
        <f>'1.1'!$C$3</f>
        <v>0</v>
      </c>
      <c r="D3" s="2"/>
      <c r="E3" s="2"/>
      <c r="F3" s="2"/>
      <c r="G3" s="2"/>
      <c r="H3" s="2"/>
      <c r="I3" s="2"/>
    </row>
    <row r="4" spans="1:15" ht="15.75" x14ac:dyDescent="0.25">
      <c r="B4" s="34" t="s">
        <v>1697</v>
      </c>
      <c r="C4" s="3"/>
      <c r="D4" s="2"/>
      <c r="E4" s="2"/>
      <c r="F4" s="2"/>
      <c r="G4" s="2"/>
      <c r="H4" s="2"/>
      <c r="I4" s="2"/>
    </row>
    <row r="5" spans="1:15" x14ac:dyDescent="0.25">
      <c r="A5" s="104">
        <v>1</v>
      </c>
      <c r="B5" s="2" t="s">
        <v>1586</v>
      </c>
      <c r="C5" s="36" t="s">
        <v>1530</v>
      </c>
      <c r="D5" s="2"/>
      <c r="G5" s="2" t="s">
        <v>1696</v>
      </c>
      <c r="H5" s="3" t="s">
        <v>1520</v>
      </c>
      <c r="I5" s="2"/>
    </row>
    <row r="6" spans="1:15" x14ac:dyDescent="0.25">
      <c r="B6" s="1" t="s">
        <v>1585</v>
      </c>
      <c r="C6" s="36" t="s">
        <v>199</v>
      </c>
      <c r="D6" s="2"/>
      <c r="E6" s="2"/>
      <c r="F6" s="2"/>
      <c r="G6" s="2"/>
      <c r="H6" s="2"/>
      <c r="I6" s="2"/>
    </row>
    <row r="7" spans="1:15" ht="15.75" thickBot="1" x14ac:dyDescent="0.3">
      <c r="D7" s="2"/>
      <c r="E7" s="2"/>
      <c r="F7" s="2"/>
      <c r="G7" s="2"/>
      <c r="H7" s="2"/>
      <c r="I7" s="2"/>
    </row>
    <row r="8" spans="1:15" ht="15.75" thickBot="1" x14ac:dyDescent="0.3">
      <c r="B8" s="43" t="s">
        <v>1695</v>
      </c>
      <c r="C8" s="44"/>
      <c r="D8" s="44"/>
      <c r="E8" s="44"/>
      <c r="F8" s="44"/>
      <c r="G8" s="44"/>
      <c r="H8" s="45"/>
      <c r="I8" s="2"/>
    </row>
    <row r="9" spans="1:15" ht="25.5" x14ac:dyDescent="0.25">
      <c r="B9" s="46" t="s">
        <v>1409</v>
      </c>
      <c r="C9" s="47"/>
      <c r="D9" s="48" t="s">
        <v>1690</v>
      </c>
      <c r="E9" s="48" t="s">
        <v>1694</v>
      </c>
      <c r="F9" s="48" t="s">
        <v>1693</v>
      </c>
      <c r="G9" s="49" t="s">
        <v>1687</v>
      </c>
      <c r="H9" s="50" t="s">
        <v>1686</v>
      </c>
      <c r="I9" s="2"/>
    </row>
    <row r="10" spans="1:15" x14ac:dyDescent="0.25">
      <c r="A10" s="103">
        <v>19015</v>
      </c>
      <c r="B10" s="51" t="str">
        <f>IF($A10=0,"",VLOOKUP($A10,'BASE EQUIPO'!$A:$D,2))</f>
        <v>HERRAMIENTA MENOR</v>
      </c>
      <c r="C10" s="52"/>
      <c r="D10" s="53">
        <v>1</v>
      </c>
      <c r="E10" s="53">
        <f>IF($A10=0,"",VLOOKUP($A10,'BASE EQUIPO'!$A:$D,4)*H26)</f>
        <v>0.13470000000000001</v>
      </c>
      <c r="F10" s="53">
        <f t="shared" ref="F10:F15" si="0">IF($A10=0,"",ROUND(D10*E10,2))</f>
        <v>0.13</v>
      </c>
      <c r="G10" s="105">
        <v>1</v>
      </c>
      <c r="H10" s="54">
        <f t="shared" ref="H10:H15" si="1">IF($A10=0,"",ROUND(G10*F10,2))</f>
        <v>0.13</v>
      </c>
      <c r="I10" s="2"/>
    </row>
    <row r="11" spans="1:15" x14ac:dyDescent="0.25">
      <c r="B11" s="38" t="str">
        <f>IF($A11=0,"",VLOOKUP($A11,'BASE EQUIPO'!$A:$D,2))</f>
        <v/>
      </c>
      <c r="C11" s="2"/>
      <c r="D11" s="55"/>
      <c r="E11" s="55" t="str">
        <f>IF($A11=0,"",VLOOKUP($A11,'BASE EQUIPO'!$A:$D,4))</f>
        <v/>
      </c>
      <c r="F11" s="55" t="str">
        <f t="shared" si="0"/>
        <v/>
      </c>
      <c r="G11" s="106"/>
      <c r="H11" s="56" t="str">
        <f t="shared" si="1"/>
        <v/>
      </c>
      <c r="I11" s="2"/>
    </row>
    <row r="12" spans="1:15" x14ac:dyDescent="0.25">
      <c r="B12" s="38" t="str">
        <f>IF($A12=0,"",VLOOKUP($A12,'BASE EQUIPO'!$A:$D,2))</f>
        <v/>
      </c>
      <c r="C12" s="2"/>
      <c r="D12" s="55"/>
      <c r="E12" s="55" t="str">
        <f>IF($A12=0,"",VLOOKUP($A12,'BASE EQUIPO'!$A:$D,4))</f>
        <v/>
      </c>
      <c r="F12" s="55" t="str">
        <f t="shared" si="0"/>
        <v/>
      </c>
      <c r="G12" s="106"/>
      <c r="H12" s="56" t="str">
        <f t="shared" si="1"/>
        <v/>
      </c>
      <c r="I12" s="2"/>
    </row>
    <row r="13" spans="1:15" x14ac:dyDescent="0.25">
      <c r="B13" s="38" t="str">
        <f>IF($A13=0,"",VLOOKUP($A13,'BASE EQUIPO'!$A:$D,2))</f>
        <v/>
      </c>
      <c r="C13" s="2"/>
      <c r="D13" s="55"/>
      <c r="E13" s="55" t="str">
        <f>IF($A13=0,"",VLOOKUP($A13,'BASE EQUIPO'!$A:$D,4))</f>
        <v/>
      </c>
      <c r="F13" s="55" t="str">
        <f t="shared" si="0"/>
        <v/>
      </c>
      <c r="G13" s="106"/>
      <c r="H13" s="56" t="str">
        <f t="shared" si="1"/>
        <v/>
      </c>
      <c r="I13" s="2"/>
    </row>
    <row r="14" spans="1:15" x14ac:dyDescent="0.25">
      <c r="B14" s="38" t="str">
        <f>IF($A14=0,"",VLOOKUP($A14,'BASE EQUIPO'!$A:$D,2))</f>
        <v/>
      </c>
      <c r="C14" s="2"/>
      <c r="D14" s="55"/>
      <c r="E14" s="55" t="str">
        <f>IF($A14=0,"",VLOOKUP($A14,'BASE EQUIPO'!$A:$D,4))</f>
        <v/>
      </c>
      <c r="F14" s="55" t="str">
        <f t="shared" si="0"/>
        <v/>
      </c>
      <c r="G14" s="106"/>
      <c r="H14" s="56" t="str">
        <f t="shared" si="1"/>
        <v/>
      </c>
      <c r="I14" s="2"/>
    </row>
    <row r="15" spans="1:15" x14ac:dyDescent="0.25">
      <c r="B15" s="57" t="str">
        <f>IF($A15=0,"",VLOOKUP($A15,'BASE EQUIPO'!$A:$D,2))</f>
        <v/>
      </c>
      <c r="C15" s="58"/>
      <c r="D15" s="59"/>
      <c r="E15" s="59" t="str">
        <f>IF($A15=0,"",VLOOKUP($A15,'BASE EQUIPO'!$A:$D,4))</f>
        <v/>
      </c>
      <c r="F15" s="59" t="str">
        <f t="shared" si="0"/>
        <v/>
      </c>
      <c r="G15" s="107"/>
      <c r="H15" s="60" t="str">
        <f t="shared" si="1"/>
        <v/>
      </c>
      <c r="I15" s="2"/>
    </row>
    <row r="16" spans="1:15" x14ac:dyDescent="0.25">
      <c r="B16" s="57" t="s">
        <v>1692</v>
      </c>
      <c r="C16" s="58"/>
      <c r="D16" s="61"/>
      <c r="E16" s="61"/>
      <c r="F16" s="61"/>
      <c r="G16" s="62"/>
      <c r="H16" s="60">
        <f>ROUND(SUM(H9:H15),2)</f>
        <v>0.13</v>
      </c>
      <c r="I16" s="2"/>
    </row>
    <row r="17" spans="1:16" x14ac:dyDescent="0.25">
      <c r="B17" s="38" t="s">
        <v>1503</v>
      </c>
      <c r="C17" s="2"/>
      <c r="D17" s="3"/>
      <c r="E17" s="3"/>
      <c r="F17" s="3"/>
      <c r="G17" s="63"/>
      <c r="H17" s="56"/>
      <c r="I17" s="2"/>
    </row>
    <row r="18" spans="1:16" ht="25.5" x14ac:dyDescent="0.25">
      <c r="B18" s="64" t="s">
        <v>1691</v>
      </c>
      <c r="C18" s="65"/>
      <c r="D18" s="66" t="s">
        <v>1690</v>
      </c>
      <c r="E18" s="66" t="s">
        <v>1689</v>
      </c>
      <c r="F18" s="66" t="s">
        <v>1688</v>
      </c>
      <c r="G18" s="67" t="s">
        <v>1687</v>
      </c>
      <c r="H18" s="68" t="s">
        <v>1686</v>
      </c>
      <c r="I18" s="2"/>
    </row>
    <row r="19" spans="1:16" x14ac:dyDescent="0.25">
      <c r="B19" s="69" t="str">
        <f>IF($A19=0,"",VLOOKUP($A19,'BASE M-OBRA'!$A:$D,2))</f>
        <v/>
      </c>
      <c r="C19" s="2"/>
      <c r="D19" s="108"/>
      <c r="E19" s="70" t="str">
        <f>IF($A19=0,"",VLOOKUP($A19,'BASE M-OBRA'!$A:$D,4))</f>
        <v/>
      </c>
      <c r="F19" s="55" t="str">
        <f t="shared" ref="F19:F25" si="2">IF($A19=0,"",ROUND(D19*E19,2))</f>
        <v/>
      </c>
      <c r="G19" s="106" t="str">
        <f>IF($A19=0,"",ROUND(H19/F19,2))</f>
        <v/>
      </c>
      <c r="H19" s="56" t="str">
        <f>IF($A19=0,"",ROUND(SUM(H20:H25)*'BASE M-OBRA'!$D$23,2))</f>
        <v/>
      </c>
      <c r="I19" s="2"/>
    </row>
    <row r="20" spans="1:16" x14ac:dyDescent="0.25">
      <c r="A20" s="103">
        <v>20019</v>
      </c>
      <c r="B20" s="69" t="str">
        <f>IF($A20=0,"",VLOOKUP($A20,'BASE M-OBRA'!$A:$D,2))</f>
        <v>INSTALADOR</v>
      </c>
      <c r="C20" s="2"/>
      <c r="D20" s="108">
        <v>1</v>
      </c>
      <c r="E20" s="70">
        <f>IF($A20=0,"",VLOOKUP($A20,'BASE M-OBRA'!$A:$D,4))</f>
        <v>2.82</v>
      </c>
      <c r="F20" s="55">
        <f t="shared" si="2"/>
        <v>2.82</v>
      </c>
      <c r="G20" s="106">
        <v>0.8</v>
      </c>
      <c r="H20" s="56">
        <f t="shared" ref="H20:H25" si="3">IF($A20=0,"",ROUND(G20*F20,2))</f>
        <v>2.2599999999999998</v>
      </c>
      <c r="I20" s="2"/>
    </row>
    <row r="21" spans="1:16" x14ac:dyDescent="0.25">
      <c r="A21" s="103">
        <v>20011</v>
      </c>
      <c r="B21" s="69" t="str">
        <f>IF($A21=0,"",VLOOKUP($A21,'BASE M-OBRA'!$A:$D,2))</f>
        <v>AYUDANTE ESPECIALISTA</v>
      </c>
      <c r="C21" s="2"/>
      <c r="D21" s="108">
        <v>1</v>
      </c>
      <c r="E21" s="70">
        <f>IF($A21=0,"",VLOOKUP($A21,'BASE M-OBRA'!$A:$D,4))</f>
        <v>2.79</v>
      </c>
      <c r="F21" s="55">
        <f t="shared" si="2"/>
        <v>2.79</v>
      </c>
      <c r="G21" s="106">
        <f>+G20</f>
        <v>0.8</v>
      </c>
      <c r="H21" s="56">
        <f t="shared" si="3"/>
        <v>2.23</v>
      </c>
      <c r="I21" s="2"/>
    </row>
    <row r="22" spans="1:16" x14ac:dyDescent="0.25">
      <c r="B22" s="71" t="str">
        <f>IF($A22=0,"",VLOOKUP($A22,'BASE M-OBRA'!$A:$D,2))</f>
        <v/>
      </c>
      <c r="C22" s="2"/>
      <c r="D22" s="108"/>
      <c r="E22" s="70" t="str">
        <f>IF($A22=0,"",VLOOKUP($A22,'BASE M-OBRA'!$A:$D,4))</f>
        <v/>
      </c>
      <c r="F22" s="55" t="str">
        <f t="shared" si="2"/>
        <v/>
      </c>
      <c r="G22" s="106"/>
      <c r="H22" s="56" t="str">
        <f t="shared" si="3"/>
        <v/>
      </c>
      <c r="I22" s="2"/>
    </row>
    <row r="23" spans="1:16" x14ac:dyDescent="0.25">
      <c r="B23" s="72" t="str">
        <f>IF($A23=0,"",VLOOKUP($A23,'BASE M-OBRA'!$A:$D,2))</f>
        <v/>
      </c>
      <c r="C23" s="2"/>
      <c r="D23" s="108"/>
      <c r="E23" s="70" t="str">
        <f>IF($A23=0,"",VLOOKUP($A23,'BASE M-OBRA'!$A:$D,4))</f>
        <v/>
      </c>
      <c r="F23" s="55" t="str">
        <f t="shared" si="2"/>
        <v/>
      </c>
      <c r="G23" s="106"/>
      <c r="H23" s="56" t="str">
        <f t="shared" si="3"/>
        <v/>
      </c>
      <c r="I23" s="2"/>
    </row>
    <row r="24" spans="1:16" x14ac:dyDescent="0.25">
      <c r="B24" s="38" t="str">
        <f>IF($A24=0,"",VLOOKUP($A24,'BASE M-OBRA'!$A:$D,2))</f>
        <v/>
      </c>
      <c r="C24" s="2"/>
      <c r="D24" s="55"/>
      <c r="E24" s="55" t="str">
        <f>IF($A24=0,"",VLOOKUP($A24,'BASE M-OBRA'!$A:$D,4))</f>
        <v/>
      </c>
      <c r="F24" s="55" t="str">
        <f t="shared" si="2"/>
        <v/>
      </c>
      <c r="G24" s="106"/>
      <c r="H24" s="56" t="str">
        <f t="shared" si="3"/>
        <v/>
      </c>
      <c r="I24" s="2"/>
    </row>
    <row r="25" spans="1:16" x14ac:dyDescent="0.25">
      <c r="B25" s="57" t="str">
        <f>IF($A25=0,"",VLOOKUP($A25,'BASE M-OBRA'!$A:$D,2))</f>
        <v/>
      </c>
      <c r="C25" s="58"/>
      <c r="D25" s="59"/>
      <c r="E25" s="59" t="str">
        <f>IF($A25=0,"",VLOOKUP($A25,'BASE M-OBRA'!$A:$D,4))</f>
        <v/>
      </c>
      <c r="F25" s="59" t="str">
        <f t="shared" si="2"/>
        <v/>
      </c>
      <c r="G25" s="107"/>
      <c r="H25" s="60" t="str">
        <f t="shared" si="3"/>
        <v/>
      </c>
      <c r="I25" s="2"/>
    </row>
    <row r="26" spans="1:16" x14ac:dyDescent="0.25">
      <c r="B26" s="73" t="s">
        <v>1685</v>
      </c>
      <c r="C26" s="65"/>
      <c r="D26" s="74"/>
      <c r="E26" s="74"/>
      <c r="F26" s="74"/>
      <c r="G26" s="74"/>
      <c r="H26" s="75">
        <f>ROUND(SUM(H18:H25),2)</f>
        <v>4.49</v>
      </c>
      <c r="I26" s="2"/>
    </row>
    <row r="27" spans="1:16" x14ac:dyDescent="0.25">
      <c r="B27" s="38" t="s">
        <v>1684</v>
      </c>
      <c r="C27" s="2"/>
      <c r="D27" s="3"/>
      <c r="E27" s="3"/>
      <c r="F27" s="3"/>
      <c r="G27" s="3"/>
      <c r="H27" s="56"/>
      <c r="I27" s="2"/>
    </row>
    <row r="28" spans="1:16" ht="25.5" x14ac:dyDescent="0.25">
      <c r="B28" s="64" t="s">
        <v>1409</v>
      </c>
      <c r="C28" s="65"/>
      <c r="D28" s="76"/>
      <c r="E28" s="66" t="s">
        <v>1408</v>
      </c>
      <c r="F28" s="66" t="s">
        <v>1679</v>
      </c>
      <c r="G28" s="66" t="s">
        <v>1683</v>
      </c>
      <c r="H28" s="68" t="s">
        <v>1675</v>
      </c>
      <c r="I28" s="2"/>
    </row>
    <row r="29" spans="1:16" x14ac:dyDescent="0.25">
      <c r="A29" s="103">
        <v>12001</v>
      </c>
      <c r="B29" s="37" t="s">
        <v>200</v>
      </c>
      <c r="C29" s="2"/>
      <c r="D29" s="77"/>
      <c r="E29" s="78" t="str">
        <f>IF($A29=0,"",VLOOKUP($A29,'BASE MATERIAL'!$A:$D,3))</f>
        <v>M2</v>
      </c>
      <c r="F29" s="55">
        <v>1</v>
      </c>
      <c r="G29" s="55">
        <f>IF($A29=0,"",VLOOKUP($A29,'BASE MATERIAL'!$A:$D,4))</f>
        <v>13</v>
      </c>
      <c r="H29" s="56">
        <f t="shared" ref="H29:H43" si="4">IF($A29=0,"",ROUND(F29*G29,2))</f>
        <v>13</v>
      </c>
      <c r="I29" s="2"/>
      <c r="L29" s="2"/>
      <c r="M29" s="2"/>
      <c r="N29" s="39"/>
      <c r="O29" s="2"/>
      <c r="P29" s="2"/>
    </row>
    <row r="30" spans="1:16" x14ac:dyDescent="0.25">
      <c r="B30" s="38" t="s">
        <v>657</v>
      </c>
      <c r="C30" s="2"/>
      <c r="D30" s="77"/>
      <c r="E30" s="78" t="str">
        <f>IF($A30=0,"",VLOOKUP($A30,'BASE MATERIAL'!$A:$D,3))</f>
        <v/>
      </c>
      <c r="F30" s="55"/>
      <c r="G30" s="55" t="str">
        <f>IF($A30=0,"",VLOOKUP($A30,'BASE MATERIAL'!$A:$D,4))</f>
        <v/>
      </c>
      <c r="H30" s="56" t="str">
        <f t="shared" si="4"/>
        <v/>
      </c>
      <c r="I30" s="2"/>
      <c r="K30" s="1">
        <f>0.6*2+1</f>
        <v>2.2000000000000002</v>
      </c>
      <c r="L30" s="2"/>
      <c r="M30" s="2"/>
      <c r="N30" s="39"/>
      <c r="O30" s="2"/>
      <c r="P30" s="2"/>
    </row>
    <row r="31" spans="1:16" x14ac:dyDescent="0.25">
      <c r="B31" s="38" t="str">
        <f>IF($A31=0,"",VLOOKUP($A31,'BASE MATERIAL'!$A:$D,2))</f>
        <v/>
      </c>
      <c r="C31" s="2"/>
      <c r="D31" s="77"/>
      <c r="E31" s="78" t="str">
        <f>IF($A31=0,"",VLOOKUP($A31,'BASE MATERIAL'!$A:$D,3))</f>
        <v/>
      </c>
      <c r="F31" s="55"/>
      <c r="G31" s="55" t="str">
        <f>IF($A31=0,"",VLOOKUP($A31,'BASE MATERIAL'!$A:$D,4))</f>
        <v/>
      </c>
      <c r="H31" s="56" t="str">
        <f t="shared" si="4"/>
        <v/>
      </c>
      <c r="I31" s="2"/>
      <c r="L31" s="2"/>
      <c r="M31" s="2"/>
      <c r="N31" s="39"/>
      <c r="O31" s="2"/>
      <c r="P31" s="2"/>
    </row>
    <row r="32" spans="1:16" x14ac:dyDescent="0.25">
      <c r="B32" s="38" t="str">
        <f>IF($A32=0,"",VLOOKUP($A32,'BASE MATERIAL'!$A:$D,2))</f>
        <v/>
      </c>
      <c r="C32" s="2"/>
      <c r="D32" s="77"/>
      <c r="E32" s="78" t="str">
        <f>IF($A32=0,"",VLOOKUP($A32,'BASE MATERIAL'!$A:$D,3))</f>
        <v/>
      </c>
      <c r="F32" s="55"/>
      <c r="G32" s="55" t="str">
        <f>IF($A32=0,"",VLOOKUP($A32,'BASE MATERIAL'!$A:$D,4))</f>
        <v/>
      </c>
      <c r="H32" s="56" t="str">
        <f t="shared" si="4"/>
        <v/>
      </c>
      <c r="I32" s="2"/>
      <c r="L32" s="2"/>
      <c r="M32" s="2"/>
      <c r="N32" s="39"/>
      <c r="O32" s="2"/>
      <c r="P32" s="2"/>
    </row>
    <row r="33" spans="1:16" x14ac:dyDescent="0.25">
      <c r="B33" s="38" t="str">
        <f>IF($A33=0,"",VLOOKUP($A33,'BASE MATERIAL'!$A:$D,2))</f>
        <v/>
      </c>
      <c r="C33" s="2"/>
      <c r="D33" s="77"/>
      <c r="E33" s="78" t="str">
        <f>IF($A33=0,"",VLOOKUP($A33,'BASE MATERIAL'!$A:$D,3))</f>
        <v/>
      </c>
      <c r="F33" s="55"/>
      <c r="G33" s="55" t="str">
        <f>IF($A33=0,"",VLOOKUP($A33,'BASE MATERIAL'!$A:$D,4))</f>
        <v/>
      </c>
      <c r="H33" s="56" t="str">
        <f t="shared" si="4"/>
        <v/>
      </c>
      <c r="I33" s="2"/>
      <c r="L33" s="2"/>
      <c r="M33" s="2"/>
      <c r="N33" s="39"/>
      <c r="O33" s="2"/>
      <c r="P33" s="2"/>
    </row>
    <row r="34" spans="1:16" x14ac:dyDescent="0.25">
      <c r="B34" s="38" t="str">
        <f>IF($A34=0,"",VLOOKUP($A34,'BASE MATERIAL'!$A:$D,2))</f>
        <v/>
      </c>
      <c r="C34" s="2"/>
      <c r="D34" s="77"/>
      <c r="E34" s="78" t="str">
        <f>IF($A34=0,"",VLOOKUP($A34,'BASE MATERIAL'!$A:$D,3))</f>
        <v/>
      </c>
      <c r="F34" s="55"/>
      <c r="G34" s="80" t="str">
        <f>IF($A34=0,"",VLOOKUP($A34,'BASE MATERIAL'!$A:$D,4))</f>
        <v/>
      </c>
      <c r="H34" s="56" t="str">
        <f t="shared" si="4"/>
        <v/>
      </c>
      <c r="I34" s="2"/>
      <c r="L34" s="2"/>
      <c r="M34" s="2"/>
      <c r="N34" s="39"/>
      <c r="O34" s="2"/>
      <c r="P34" s="2"/>
    </row>
    <row r="35" spans="1:16" x14ac:dyDescent="0.25">
      <c r="B35" s="38" t="str">
        <f>IF($A35=0,"",VLOOKUP($A35,'BASE MATERIAL'!$A:$D,2))</f>
        <v/>
      </c>
      <c r="C35" s="2"/>
      <c r="D35" s="77"/>
      <c r="E35" s="78" t="str">
        <f>IF($A35=0,"",VLOOKUP($A35,'BASE MATERIAL'!$A:$D,3))</f>
        <v/>
      </c>
      <c r="F35" s="55"/>
      <c r="G35" s="55" t="str">
        <f>IF($A35=0,"",VLOOKUP($A35,'BASE MATERIAL'!$A:$D,4))</f>
        <v/>
      </c>
      <c r="H35" s="56" t="str">
        <f t="shared" si="4"/>
        <v/>
      </c>
      <c r="I35" s="2"/>
      <c r="L35" s="2"/>
      <c r="M35" s="2"/>
      <c r="N35" s="39"/>
      <c r="O35" s="2"/>
      <c r="P35" s="2"/>
    </row>
    <row r="36" spans="1:16" x14ac:dyDescent="0.25">
      <c r="B36" s="38" t="str">
        <f>IF($A36=0,"",VLOOKUP($A36,'BASE MATERIAL'!$A:$D,2))</f>
        <v/>
      </c>
      <c r="C36" s="2"/>
      <c r="D36" s="77"/>
      <c r="E36" s="78" t="str">
        <f>IF($A36=0,"",VLOOKUP($A36,'BASE MATERIAL'!$A:$D,3))</f>
        <v/>
      </c>
      <c r="F36" s="55"/>
      <c r="G36" s="55" t="str">
        <f>IF($A36=0,"",VLOOKUP($A36,'BASE MATERIAL'!$A:$D,4))</f>
        <v/>
      </c>
      <c r="H36" s="56" t="str">
        <f t="shared" si="4"/>
        <v/>
      </c>
      <c r="I36" s="2"/>
      <c r="L36" s="2"/>
      <c r="M36" s="2"/>
      <c r="N36" s="39"/>
      <c r="O36" s="2"/>
      <c r="P36" s="2"/>
    </row>
    <row r="37" spans="1:16" x14ac:dyDescent="0.25">
      <c r="B37" s="38" t="str">
        <f>IF($A37=0,"",VLOOKUP($A37,'BASE MATERIAL'!$A:$D,2))</f>
        <v/>
      </c>
      <c r="C37" s="2"/>
      <c r="D37" s="77"/>
      <c r="E37" s="78" t="str">
        <f>IF($A37=0,"",VLOOKUP($A37,'BASE MATERIAL'!$A:$D,3))</f>
        <v/>
      </c>
      <c r="F37" s="55"/>
      <c r="G37" s="55" t="str">
        <f>IF($A37=0,"",VLOOKUP($A37,'BASE MATERIAL'!$A:$D,4))</f>
        <v/>
      </c>
      <c r="H37" s="56" t="str">
        <f t="shared" si="4"/>
        <v/>
      </c>
      <c r="I37" s="2"/>
    </row>
    <row r="38" spans="1:16" x14ac:dyDescent="0.25">
      <c r="B38" s="38" t="str">
        <f>IF($A38=0,"",VLOOKUP($A38,'BASE MATERIAL'!$A:$D,2))</f>
        <v/>
      </c>
      <c r="C38" s="2"/>
      <c r="D38" s="77"/>
      <c r="E38" s="78" t="str">
        <f>IF($A38=0,"",VLOOKUP($A38,'BASE MATERIAL'!$A:$D,3))</f>
        <v/>
      </c>
      <c r="F38" s="55"/>
      <c r="G38" s="55" t="str">
        <f>IF($A38=0,"",VLOOKUP($A38,'BASE MATERIAL'!$A:$D,4))</f>
        <v/>
      </c>
      <c r="H38" s="56" t="str">
        <f t="shared" si="4"/>
        <v/>
      </c>
      <c r="I38" s="2"/>
      <c r="L38" s="2"/>
      <c r="M38" s="2"/>
      <c r="N38" s="39"/>
      <c r="O38" s="2"/>
      <c r="P38" s="2"/>
    </row>
    <row r="39" spans="1:16" x14ac:dyDescent="0.25">
      <c r="B39" s="38" t="str">
        <f>IF($A39=0,"",VLOOKUP($A39,'BASE MATERIAL'!$A:$D,2))</f>
        <v/>
      </c>
      <c r="C39" s="2"/>
      <c r="D39" s="77"/>
      <c r="E39" s="78" t="str">
        <f>IF($A39=0,"",VLOOKUP($A39,'BASE MATERIAL'!$A:$D,3))</f>
        <v/>
      </c>
      <c r="F39" s="55"/>
      <c r="G39" s="55" t="str">
        <f>IF($A39=0,"",VLOOKUP($A39,'BASE MATERIAL'!$A:$D,4))</f>
        <v/>
      </c>
      <c r="H39" s="56" t="str">
        <f t="shared" si="4"/>
        <v/>
      </c>
      <c r="I39" s="2"/>
      <c r="L39" s="2"/>
      <c r="M39" s="2"/>
      <c r="N39" s="39"/>
      <c r="O39" s="2"/>
      <c r="P39" s="2"/>
    </row>
    <row r="40" spans="1:16" x14ac:dyDescent="0.25">
      <c r="B40" s="38" t="str">
        <f>IF($A40=0,"",VLOOKUP($A40,'BASE MATERIAL'!$A:$D,2))</f>
        <v/>
      </c>
      <c r="C40" s="2"/>
      <c r="D40" s="77"/>
      <c r="E40" s="78" t="str">
        <f>IF($A40=0,"",VLOOKUP($A40,'BASE MATERIAL'!$A:$D,3))</f>
        <v/>
      </c>
      <c r="F40" s="55"/>
      <c r="G40" s="55" t="str">
        <f>IF($A40=0,"",VLOOKUP($A40,'BASE MATERIAL'!$A:$D,4))</f>
        <v/>
      </c>
      <c r="H40" s="56" t="str">
        <f t="shared" si="4"/>
        <v/>
      </c>
      <c r="I40" s="2"/>
    </row>
    <row r="41" spans="1:16" x14ac:dyDescent="0.25">
      <c r="B41" s="38" t="str">
        <f>IF($A41=0,"",VLOOKUP($A41,'BASE MATERIAL'!$A:$D,2))</f>
        <v/>
      </c>
      <c r="C41" s="2"/>
      <c r="D41" s="77"/>
      <c r="E41" s="78" t="str">
        <f>IF($A41=0,"",VLOOKUP($A41,'BASE MATERIAL'!$A:$D,3))</f>
        <v/>
      </c>
      <c r="F41" s="55"/>
      <c r="G41" s="55" t="str">
        <f>IF($A41=0,"",VLOOKUP($A41,'BASE MATERIAL'!$A:$D,4))</f>
        <v/>
      </c>
      <c r="H41" s="56" t="str">
        <f t="shared" si="4"/>
        <v/>
      </c>
      <c r="I41" s="2"/>
    </row>
    <row r="42" spans="1:16" x14ac:dyDescent="0.25">
      <c r="B42" s="38" t="str">
        <f>IF($A42=0,"",VLOOKUP($A42,'BASE MATERIAL'!$A:$D,2))</f>
        <v/>
      </c>
      <c r="C42" s="2"/>
      <c r="D42" s="77"/>
      <c r="E42" s="78" t="str">
        <f>IF($A42=0,"",VLOOKUP($A42,'BASE MATERIAL'!$A:$D,3))</f>
        <v/>
      </c>
      <c r="F42" s="55"/>
      <c r="G42" s="55" t="str">
        <f>IF($A42=0,"",VLOOKUP($A42,'BASE MATERIAL'!$A:$D,4))</f>
        <v/>
      </c>
      <c r="H42" s="56" t="str">
        <f t="shared" si="4"/>
        <v/>
      </c>
      <c r="I42" s="2"/>
    </row>
    <row r="43" spans="1:16" x14ac:dyDescent="0.25">
      <c r="B43" s="38" t="str">
        <f>IF($A43=0,"",VLOOKUP($A43,'BASE MATERIAL'!$A:$D,2))</f>
        <v/>
      </c>
      <c r="C43" s="2"/>
      <c r="D43" s="77"/>
      <c r="E43" s="78" t="str">
        <f>IF($A43=0,"",VLOOKUP($A43,'BASE MATERIAL'!$A:$D,3))</f>
        <v/>
      </c>
      <c r="F43" s="55"/>
      <c r="G43" s="55" t="str">
        <f>IF($A43=0,"",VLOOKUP($A43,'BASE MATERIAL'!$A:$D,4))</f>
        <v/>
      </c>
      <c r="H43" s="56" t="str">
        <f t="shared" si="4"/>
        <v/>
      </c>
      <c r="I43" s="2"/>
    </row>
    <row r="44" spans="1:16" x14ac:dyDescent="0.25">
      <c r="B44" s="38" t="str">
        <f>IF($A44=0,"",VLOOKUP($A44,'BASE MATERIAL'!$A:$D,2))</f>
        <v/>
      </c>
      <c r="C44" s="2"/>
      <c r="D44" s="81" t="s">
        <v>1682</v>
      </c>
      <c r="E44" s="55" t="str">
        <f>IF($A44=0,"",VLOOKUP($A44,'BASE MATERIAL'!$A:$D,3))</f>
        <v/>
      </c>
      <c r="F44" s="55" t="s">
        <v>1682</v>
      </c>
      <c r="G44" s="55" t="str">
        <f>IF($A44=0,"",VLOOKUP($A44,'BASE MATERIAL'!$A:$D,4))</f>
        <v/>
      </c>
      <c r="H44" s="56" t="str">
        <f>IF($A44=0,"",ROUND(E44*F44,2))</f>
        <v/>
      </c>
      <c r="I44" s="2"/>
    </row>
    <row r="45" spans="1:16" x14ac:dyDescent="0.25">
      <c r="B45" s="73" t="s">
        <v>1681</v>
      </c>
      <c r="C45" s="65"/>
      <c r="D45" s="74"/>
      <c r="E45" s="74"/>
      <c r="F45" s="74"/>
      <c r="G45" s="74"/>
      <c r="H45" s="75">
        <f>ROUND(SUM(H28:H44),2)</f>
        <v>13</v>
      </c>
      <c r="I45" s="2"/>
    </row>
    <row r="46" spans="1:16" x14ac:dyDescent="0.25">
      <c r="B46" s="38" t="s">
        <v>1680</v>
      </c>
      <c r="C46" s="2"/>
      <c r="D46" s="3"/>
      <c r="E46" s="3"/>
      <c r="F46" s="3"/>
      <c r="G46" s="3"/>
      <c r="H46" s="56"/>
      <c r="I46" s="2"/>
    </row>
    <row r="47" spans="1:16" ht="25.5" x14ac:dyDescent="0.25">
      <c r="B47" s="64" t="s">
        <v>1409</v>
      </c>
      <c r="C47" s="65"/>
      <c r="D47" s="76"/>
      <c r="E47" s="66" t="s">
        <v>1408</v>
      </c>
      <c r="F47" s="66" t="s">
        <v>1679</v>
      </c>
      <c r="G47" s="66" t="s">
        <v>1676</v>
      </c>
      <c r="H47" s="68" t="s">
        <v>1675</v>
      </c>
      <c r="I47" s="2"/>
    </row>
    <row r="48" spans="1:16" x14ac:dyDescent="0.25">
      <c r="A48" s="103">
        <v>19019</v>
      </c>
      <c r="B48" s="51" t="str">
        <f>IF($A48=0,"",VLOOKUP($A48,'BASE EQUIPO'!$A:$D,2))</f>
        <v>TRANSPORTE DE MATERIAL</v>
      </c>
      <c r="C48" s="52"/>
      <c r="D48" s="82"/>
      <c r="E48" s="78" t="str">
        <f>IF($A48=0,"",VLOOKUP($A48,'BASE EQUIPO'!$A:$D,3))</f>
        <v>GLOBAL</v>
      </c>
      <c r="F48" s="55">
        <v>1</v>
      </c>
      <c r="G48" s="83">
        <f>IF($A48=0,"",VLOOKUP($A48,'BASE EQUIPO'!$A:$D,4)*H45)</f>
        <v>0.39</v>
      </c>
      <c r="H48" s="56">
        <f>IF($A48=0,"",ROUND(F48*G48,2))</f>
        <v>0.39</v>
      </c>
      <c r="I48" s="2"/>
    </row>
    <row r="49" spans="1:15" x14ac:dyDescent="0.25">
      <c r="B49" s="38" t="str">
        <f>IF($A49=0,"",VLOOKUP($A49,'BASE EQUIPO'!$A:$D,2))</f>
        <v/>
      </c>
      <c r="C49" s="2"/>
      <c r="D49" s="84"/>
      <c r="E49" s="78" t="str">
        <f>IF($A49=0,"",VLOOKUP($A49,'BASE EQUIPO'!$A:$D,3))</f>
        <v/>
      </c>
      <c r="F49" s="55"/>
      <c r="G49" s="55" t="str">
        <f>IF($A49=0,"",VLOOKUP($A49,'BASE EQUIPO'!$A:$D,4)*H46)</f>
        <v/>
      </c>
      <c r="H49" s="56" t="str">
        <f>IF($A49=0,"",ROUND(F49*G49,2))</f>
        <v/>
      </c>
      <c r="I49" s="2"/>
    </row>
    <row r="50" spans="1:15" x14ac:dyDescent="0.25">
      <c r="B50" s="57" t="str">
        <f>IF($A50=0,"",VLOOKUP($A50,'BASE EQUIPO'!$A:$D,2))</f>
        <v/>
      </c>
      <c r="C50" s="58"/>
      <c r="D50" s="85"/>
      <c r="E50" s="86" t="str">
        <f>IF($A50=0,"",VLOOKUP($A50,'BASE EQUIPO'!$A:$D,3))</f>
        <v/>
      </c>
      <c r="F50" s="59"/>
      <c r="G50" s="59" t="str">
        <f>IF($A50=0,"",VLOOKUP($A50,'BASE EQUIPO'!$A:$D,4)*H47)</f>
        <v/>
      </c>
      <c r="H50" s="60" t="str">
        <f>IF($A50=0,"",ROUND(F50*G50,2))</f>
        <v/>
      </c>
      <c r="I50" s="2"/>
    </row>
    <row r="51" spans="1:15" ht="15.75" thickBot="1" x14ac:dyDescent="0.3">
      <c r="B51" s="87" t="s">
        <v>1674</v>
      </c>
      <c r="C51" s="88"/>
      <c r="D51" s="89"/>
      <c r="E51" s="89"/>
      <c r="F51" s="89"/>
      <c r="G51" s="89"/>
      <c r="H51" s="90">
        <f>ROUND(SUM(H47:H50),2)</f>
        <v>0.39</v>
      </c>
      <c r="I51" s="2"/>
    </row>
    <row r="52" spans="1:15" ht="15.75" x14ac:dyDescent="0.25">
      <c r="B52" s="2"/>
      <c r="C52" s="2"/>
      <c r="D52" s="91" t="s">
        <v>1673</v>
      </c>
      <c r="E52" s="47"/>
      <c r="F52" s="47"/>
      <c r="G52" s="47"/>
      <c r="H52" s="92">
        <f>ROUND(SUM(H51,H45,H26,H16),2)</f>
        <v>18.010000000000002</v>
      </c>
      <c r="I52" s="2"/>
    </row>
    <row r="53" spans="1:15" ht="15.75" x14ac:dyDescent="0.25">
      <c r="A53" s="103">
        <v>40002</v>
      </c>
      <c r="B53" s="2"/>
      <c r="C53" s="2"/>
      <c r="D53" s="93" t="s">
        <v>1672</v>
      </c>
      <c r="E53" s="65"/>
      <c r="F53" s="65"/>
      <c r="G53" s="94">
        <f>IF($A53=0,"",VLOOKUP($A53,'BASE MATERIAL'!$M:$P,4))</f>
        <v>0</v>
      </c>
      <c r="H53" s="95">
        <f>IF($A53=0,"",ROUND(G53*H52,2))</f>
        <v>0</v>
      </c>
      <c r="I53" s="2"/>
    </row>
    <row r="54" spans="1:15" ht="15.75" x14ac:dyDescent="0.25">
      <c r="A54" s="103">
        <v>40003</v>
      </c>
      <c r="B54" s="2"/>
      <c r="C54" s="2"/>
      <c r="D54" s="93" t="s">
        <v>1671</v>
      </c>
      <c r="E54" s="65"/>
      <c r="F54" s="65"/>
      <c r="G54" s="94">
        <f>IF($A54=0,"",VLOOKUP($A54,'BASE MATERIAL'!$M:$P,4))</f>
        <v>0</v>
      </c>
      <c r="H54" s="95">
        <f>IF($A54=0,"",ROUND(G54*H52,2))</f>
        <v>0</v>
      </c>
      <c r="I54" s="2"/>
    </row>
    <row r="55" spans="1:15" ht="15.75" x14ac:dyDescent="0.25">
      <c r="B55" s="2"/>
      <c r="C55" s="2"/>
      <c r="D55" s="93" t="s">
        <v>1670</v>
      </c>
      <c r="E55" s="65"/>
      <c r="F55" s="65"/>
      <c r="G55" s="65"/>
      <c r="H55" s="96">
        <f>ROUND(SUM(H52:H54),2)</f>
        <v>18.010000000000002</v>
      </c>
      <c r="I55" s="2"/>
    </row>
    <row r="56" spans="1:15" ht="16.5" thickBot="1" x14ac:dyDescent="0.3">
      <c r="B56" s="25"/>
      <c r="C56" s="2"/>
      <c r="D56" s="97" t="s">
        <v>1650</v>
      </c>
      <c r="E56" s="88"/>
      <c r="F56" s="88"/>
      <c r="G56" s="88"/>
      <c r="H56" s="98">
        <f>ROUND(H55,2)</f>
        <v>18.010000000000002</v>
      </c>
      <c r="I56" s="2"/>
    </row>
    <row r="57" spans="1:15" ht="15.75" x14ac:dyDescent="0.25">
      <c r="B57" s="34" t="s">
        <v>1701</v>
      </c>
      <c r="C57" s="2"/>
      <c r="D57" s="3" t="str">
        <f>'1.1'!$D$1</f>
        <v>ESPOL</v>
      </c>
      <c r="E57" s="2"/>
      <c r="F57" s="2"/>
      <c r="H57" s="2" t="s">
        <v>108</v>
      </c>
      <c r="I57" s="2"/>
      <c r="L57" s="40">
        <f>A61</f>
        <v>1</v>
      </c>
      <c r="M57" s="1" t="str">
        <f>C62</f>
        <v>Cielo raso: Gypsum</v>
      </c>
      <c r="N57" s="2" t="str">
        <f>H61</f>
        <v>m2</v>
      </c>
      <c r="O57" s="2">
        <f>H112</f>
        <v>17.95</v>
      </c>
    </row>
    <row r="58" spans="1:15" ht="15.75" x14ac:dyDescent="0.25">
      <c r="B58" s="34" t="s">
        <v>1700</v>
      </c>
      <c r="C58" s="3">
        <f>'1.1'!$C$2</f>
        <v>0</v>
      </c>
      <c r="D58" s="2"/>
      <c r="E58" s="2"/>
      <c r="F58" s="2"/>
      <c r="G58" s="41" t="s">
        <v>1699</v>
      </c>
      <c r="H58" s="42"/>
      <c r="I58" s="2" t="s">
        <v>1698</v>
      </c>
    </row>
    <row r="59" spans="1:15" ht="15.75" x14ac:dyDescent="0.25">
      <c r="B59" s="34"/>
      <c r="C59" s="3">
        <f>'1.1'!$C$3</f>
        <v>0</v>
      </c>
      <c r="D59" s="2"/>
      <c r="E59" s="2"/>
      <c r="F59" s="2"/>
      <c r="G59" s="2"/>
      <c r="H59" s="2"/>
      <c r="I59" s="2"/>
    </row>
    <row r="60" spans="1:15" ht="15.75" x14ac:dyDescent="0.25">
      <c r="B60" s="34" t="s">
        <v>1697</v>
      </c>
      <c r="C60" s="3"/>
      <c r="D60" s="2"/>
      <c r="E60" s="2"/>
      <c r="F60" s="2"/>
      <c r="G60" s="2"/>
      <c r="H60" s="2"/>
      <c r="I60" s="2"/>
    </row>
    <row r="61" spans="1:15" x14ac:dyDescent="0.25">
      <c r="A61" s="104">
        <v>1</v>
      </c>
      <c r="B61" s="2" t="s">
        <v>1586</v>
      </c>
      <c r="C61" s="36" t="s">
        <v>1530</v>
      </c>
      <c r="D61" s="2"/>
      <c r="G61" s="2" t="s">
        <v>1696</v>
      </c>
      <c r="H61" s="3" t="s">
        <v>1520</v>
      </c>
      <c r="I61" s="2"/>
    </row>
    <row r="62" spans="1:15" x14ac:dyDescent="0.25">
      <c r="B62" s="1" t="s">
        <v>1585</v>
      </c>
      <c r="C62" s="36" t="s">
        <v>45</v>
      </c>
      <c r="D62" s="2"/>
      <c r="E62" s="2"/>
      <c r="F62" s="2"/>
      <c r="G62" s="2"/>
      <c r="H62" s="2"/>
      <c r="I62" s="2"/>
    </row>
    <row r="63" spans="1:15" ht="15.75" thickBot="1" x14ac:dyDescent="0.3">
      <c r="D63" s="2"/>
      <c r="E63" s="2"/>
      <c r="F63" s="2"/>
      <c r="G63" s="2"/>
      <c r="H63" s="2"/>
      <c r="I63" s="2"/>
    </row>
    <row r="64" spans="1:15" ht="15.75" thickBot="1" x14ac:dyDescent="0.3">
      <c r="B64" s="43" t="s">
        <v>1695</v>
      </c>
      <c r="C64" s="44"/>
      <c r="D64" s="44"/>
      <c r="E64" s="44"/>
      <c r="F64" s="44"/>
      <c r="G64" s="44"/>
      <c r="H64" s="45"/>
      <c r="I64" s="2"/>
    </row>
    <row r="65" spans="1:9" ht="25.5" x14ac:dyDescent="0.25">
      <c r="B65" s="46" t="s">
        <v>1409</v>
      </c>
      <c r="C65" s="47"/>
      <c r="D65" s="48" t="s">
        <v>1690</v>
      </c>
      <c r="E65" s="48" t="s">
        <v>1694</v>
      </c>
      <c r="F65" s="48" t="s">
        <v>1693</v>
      </c>
      <c r="G65" s="49" t="s">
        <v>1687</v>
      </c>
      <c r="H65" s="50" t="s">
        <v>1686</v>
      </c>
      <c r="I65" s="2"/>
    </row>
    <row r="66" spans="1:9" x14ac:dyDescent="0.25">
      <c r="A66" s="103">
        <v>19015</v>
      </c>
      <c r="B66" s="51" t="str">
        <f>IF($A66=0,"",VLOOKUP($A66,'BASE EQUIPO'!$A:$D,2))</f>
        <v>HERRAMIENTA MENOR</v>
      </c>
      <c r="C66" s="52"/>
      <c r="D66" s="53">
        <v>1</v>
      </c>
      <c r="E66" s="53">
        <f>IF($A66=0,"",VLOOKUP($A66,'BASE EQUIPO'!$A:$D,4)*H82)</f>
        <v>0.1176</v>
      </c>
      <c r="F66" s="53">
        <f t="shared" ref="F66:F71" si="5">IF($A66=0,"",ROUND(D66*E66,2))</f>
        <v>0.12</v>
      </c>
      <c r="G66" s="105">
        <v>1</v>
      </c>
      <c r="H66" s="54">
        <f t="shared" ref="H66:H71" si="6">IF($A66=0,"",ROUND(G66*F66,2))</f>
        <v>0.12</v>
      </c>
      <c r="I66" s="2"/>
    </row>
    <row r="67" spans="1:9" x14ac:dyDescent="0.25">
      <c r="B67" s="38" t="str">
        <f>IF($A67=0,"",VLOOKUP($A67,'BASE EQUIPO'!$A:$D,2))</f>
        <v/>
      </c>
      <c r="C67" s="2"/>
      <c r="D67" s="55"/>
      <c r="E67" s="55" t="str">
        <f>IF($A67=0,"",VLOOKUP($A67,'BASE EQUIPO'!$A:$D,4))</f>
        <v/>
      </c>
      <c r="F67" s="55" t="str">
        <f t="shared" si="5"/>
        <v/>
      </c>
      <c r="G67" s="106"/>
      <c r="H67" s="56" t="str">
        <f t="shared" si="6"/>
        <v/>
      </c>
      <c r="I67" s="2"/>
    </row>
    <row r="68" spans="1:9" x14ac:dyDescent="0.25">
      <c r="B68" s="38" t="str">
        <f>IF($A68=0,"",VLOOKUP($A68,'BASE EQUIPO'!$A:$D,2))</f>
        <v/>
      </c>
      <c r="C68" s="2"/>
      <c r="D68" s="55"/>
      <c r="E68" s="55" t="str">
        <f>IF($A68=0,"",VLOOKUP($A68,'BASE EQUIPO'!$A:$D,4))</f>
        <v/>
      </c>
      <c r="F68" s="55" t="str">
        <f t="shared" si="5"/>
        <v/>
      </c>
      <c r="G68" s="106"/>
      <c r="H68" s="56" t="str">
        <f t="shared" si="6"/>
        <v/>
      </c>
      <c r="I68" s="2"/>
    </row>
    <row r="69" spans="1:9" x14ac:dyDescent="0.25">
      <c r="B69" s="38" t="str">
        <f>IF($A69=0,"",VLOOKUP($A69,'BASE EQUIPO'!$A:$D,2))</f>
        <v/>
      </c>
      <c r="C69" s="2"/>
      <c r="D69" s="55"/>
      <c r="E69" s="55" t="str">
        <f>IF($A69=0,"",VLOOKUP($A69,'BASE EQUIPO'!$A:$D,4))</f>
        <v/>
      </c>
      <c r="F69" s="55" t="str">
        <f t="shared" si="5"/>
        <v/>
      </c>
      <c r="G69" s="106"/>
      <c r="H69" s="56" t="str">
        <f t="shared" si="6"/>
        <v/>
      </c>
      <c r="I69" s="2"/>
    </row>
    <row r="70" spans="1:9" x14ac:dyDescent="0.25">
      <c r="B70" s="38" t="str">
        <f>IF($A70=0,"",VLOOKUP($A70,'BASE EQUIPO'!$A:$D,2))</f>
        <v/>
      </c>
      <c r="C70" s="2"/>
      <c r="D70" s="55"/>
      <c r="E70" s="55" t="str">
        <f>IF($A70=0,"",VLOOKUP($A70,'BASE EQUIPO'!$A:$D,4))</f>
        <v/>
      </c>
      <c r="F70" s="55" t="str">
        <f t="shared" si="5"/>
        <v/>
      </c>
      <c r="G70" s="106"/>
      <c r="H70" s="56" t="str">
        <f t="shared" si="6"/>
        <v/>
      </c>
      <c r="I70" s="2"/>
    </row>
    <row r="71" spans="1:9" x14ac:dyDescent="0.25">
      <c r="B71" s="57" t="str">
        <f>IF($A71=0,"",VLOOKUP($A71,'BASE EQUIPO'!$A:$D,2))</f>
        <v/>
      </c>
      <c r="C71" s="58"/>
      <c r="D71" s="59"/>
      <c r="E71" s="59" t="str">
        <f>IF($A71=0,"",VLOOKUP($A71,'BASE EQUIPO'!$A:$D,4))</f>
        <v/>
      </c>
      <c r="F71" s="59" t="str">
        <f t="shared" si="5"/>
        <v/>
      </c>
      <c r="G71" s="107"/>
      <c r="H71" s="60" t="str">
        <f t="shared" si="6"/>
        <v/>
      </c>
      <c r="I71" s="2"/>
    </row>
    <row r="72" spans="1:9" x14ac:dyDescent="0.25">
      <c r="B72" s="57" t="s">
        <v>1692</v>
      </c>
      <c r="C72" s="58"/>
      <c r="D72" s="61"/>
      <c r="E72" s="61"/>
      <c r="F72" s="61"/>
      <c r="G72" s="62"/>
      <c r="H72" s="60">
        <f>ROUND(SUM(H65:H71),2)</f>
        <v>0.12</v>
      </c>
      <c r="I72" s="2"/>
    </row>
    <row r="73" spans="1:9" x14ac:dyDescent="0.25">
      <c r="B73" s="38" t="s">
        <v>1503</v>
      </c>
      <c r="C73" s="2"/>
      <c r="D73" s="3"/>
      <c r="E73" s="3"/>
      <c r="F73" s="3"/>
      <c r="G73" s="63"/>
      <c r="H73" s="56"/>
      <c r="I73" s="2"/>
    </row>
    <row r="74" spans="1:9" ht="25.5" x14ac:dyDescent="0.25">
      <c r="B74" s="64" t="s">
        <v>1691</v>
      </c>
      <c r="C74" s="65"/>
      <c r="D74" s="66" t="s">
        <v>1690</v>
      </c>
      <c r="E74" s="66" t="s">
        <v>1689</v>
      </c>
      <c r="F74" s="66" t="s">
        <v>1688</v>
      </c>
      <c r="G74" s="67" t="s">
        <v>1687</v>
      </c>
      <c r="H74" s="68" t="s">
        <v>1686</v>
      </c>
      <c r="I74" s="2"/>
    </row>
    <row r="75" spans="1:9" x14ac:dyDescent="0.25">
      <c r="B75" s="69" t="str">
        <f>IF($A75=0,"",VLOOKUP($A75,'BASE M-OBRA'!$A:$D,2))</f>
        <v/>
      </c>
      <c r="C75" s="2"/>
      <c r="D75" s="108"/>
      <c r="E75" s="70" t="str">
        <f>IF($A75=0,"",VLOOKUP($A75,'BASE M-OBRA'!$A:$D,4))</f>
        <v/>
      </c>
      <c r="F75" s="55" t="str">
        <f t="shared" ref="F75:F81" si="7">IF($A75=0,"",ROUND(D75*E75,2))</f>
        <v/>
      </c>
      <c r="G75" s="106" t="str">
        <f>IF($A75=0,"",ROUND(H75/F75,2))</f>
        <v/>
      </c>
      <c r="H75" s="56" t="str">
        <f>IF($A75=0,"",ROUND(SUM(H76:H81)*'BASE M-OBRA'!$D$23,2))</f>
        <v/>
      </c>
      <c r="I75" s="2"/>
    </row>
    <row r="76" spans="1:9" x14ac:dyDescent="0.25">
      <c r="A76" s="103">
        <v>20019</v>
      </c>
      <c r="B76" s="69" t="str">
        <f>IF($A76=0,"",VLOOKUP($A76,'BASE M-OBRA'!$A:$D,2))</f>
        <v>INSTALADOR</v>
      </c>
      <c r="C76" s="2"/>
      <c r="D76" s="108">
        <v>1</v>
      </c>
      <c r="E76" s="70">
        <f>IF($A76=0,"",VLOOKUP($A76,'BASE M-OBRA'!$A:$D,4))</f>
        <v>2.82</v>
      </c>
      <c r="F76" s="55">
        <f t="shared" si="7"/>
        <v>2.82</v>
      </c>
      <c r="G76" s="106">
        <v>0.7</v>
      </c>
      <c r="H76" s="56">
        <f t="shared" ref="H76:H81" si="8">IF($A76=0,"",ROUND(G76*F76,2))</f>
        <v>1.97</v>
      </c>
      <c r="I76" s="2"/>
    </row>
    <row r="77" spans="1:9" x14ac:dyDescent="0.25">
      <c r="A77" s="103">
        <v>20011</v>
      </c>
      <c r="B77" s="69" t="str">
        <f>IF($A77=0,"",VLOOKUP($A77,'BASE M-OBRA'!$A:$D,2))</f>
        <v>AYUDANTE ESPECIALISTA</v>
      </c>
      <c r="C77" s="2"/>
      <c r="D77" s="108">
        <v>1</v>
      </c>
      <c r="E77" s="70">
        <f>IF($A77=0,"",VLOOKUP($A77,'BASE M-OBRA'!$A:$D,4))</f>
        <v>2.79</v>
      </c>
      <c r="F77" s="55">
        <f t="shared" si="7"/>
        <v>2.79</v>
      </c>
      <c r="G77" s="106">
        <f>+G76</f>
        <v>0.7</v>
      </c>
      <c r="H77" s="56">
        <f t="shared" si="8"/>
        <v>1.95</v>
      </c>
      <c r="I77" s="2"/>
    </row>
    <row r="78" spans="1:9" x14ac:dyDescent="0.25">
      <c r="B78" s="71" t="str">
        <f>IF($A78=0,"",VLOOKUP($A78,'BASE M-OBRA'!$A:$D,2))</f>
        <v/>
      </c>
      <c r="C78" s="2"/>
      <c r="D78" s="108"/>
      <c r="E78" s="70" t="str">
        <f>IF($A78=0,"",VLOOKUP($A78,'BASE M-OBRA'!$A:$D,4))</f>
        <v/>
      </c>
      <c r="F78" s="55" t="str">
        <f t="shared" si="7"/>
        <v/>
      </c>
      <c r="G78" s="106"/>
      <c r="H78" s="56" t="str">
        <f t="shared" si="8"/>
        <v/>
      </c>
      <c r="I78" s="2"/>
    </row>
    <row r="79" spans="1:9" x14ac:dyDescent="0.25">
      <c r="B79" s="72" t="str">
        <f>IF($A79=0,"",VLOOKUP($A79,'BASE M-OBRA'!$A:$D,2))</f>
        <v/>
      </c>
      <c r="C79" s="2"/>
      <c r="D79" s="108"/>
      <c r="E79" s="70" t="str">
        <f>IF($A79=0,"",VLOOKUP($A79,'BASE M-OBRA'!$A:$D,4))</f>
        <v/>
      </c>
      <c r="F79" s="55" t="str">
        <f t="shared" si="7"/>
        <v/>
      </c>
      <c r="G79" s="106"/>
      <c r="H79" s="56" t="str">
        <f t="shared" si="8"/>
        <v/>
      </c>
      <c r="I79" s="2"/>
    </row>
    <row r="80" spans="1:9" x14ac:dyDescent="0.25">
      <c r="B80" s="38" t="str">
        <f>IF($A80=0,"",VLOOKUP($A80,'BASE M-OBRA'!$A:$D,2))</f>
        <v/>
      </c>
      <c r="C80" s="2"/>
      <c r="D80" s="55"/>
      <c r="E80" s="55" t="str">
        <f>IF($A80=0,"",VLOOKUP($A80,'BASE M-OBRA'!$A:$D,4))</f>
        <v/>
      </c>
      <c r="F80" s="55" t="str">
        <f t="shared" si="7"/>
        <v/>
      </c>
      <c r="G80" s="106"/>
      <c r="H80" s="56" t="str">
        <f t="shared" si="8"/>
        <v/>
      </c>
      <c r="I80" s="2"/>
    </row>
    <row r="81" spans="1:16" x14ac:dyDescent="0.25">
      <c r="B81" s="57" t="str">
        <f>IF($A81=0,"",VLOOKUP($A81,'BASE M-OBRA'!$A:$D,2))</f>
        <v/>
      </c>
      <c r="C81" s="58"/>
      <c r="D81" s="59"/>
      <c r="E81" s="59" t="str">
        <f>IF($A81=0,"",VLOOKUP($A81,'BASE M-OBRA'!$A:$D,4))</f>
        <v/>
      </c>
      <c r="F81" s="59" t="str">
        <f t="shared" si="7"/>
        <v/>
      </c>
      <c r="G81" s="107"/>
      <c r="H81" s="60" t="str">
        <f t="shared" si="8"/>
        <v/>
      </c>
      <c r="I81" s="2"/>
    </row>
    <row r="82" spans="1:16" x14ac:dyDescent="0.25">
      <c r="B82" s="73" t="s">
        <v>1685</v>
      </c>
      <c r="C82" s="65"/>
      <c r="D82" s="74"/>
      <c r="E82" s="74"/>
      <c r="F82" s="74"/>
      <c r="G82" s="74"/>
      <c r="H82" s="75">
        <f>ROUND(SUM(H74:H81),2)</f>
        <v>3.92</v>
      </c>
      <c r="I82" s="2"/>
    </row>
    <row r="83" spans="1:16" x14ac:dyDescent="0.25">
      <c r="B83" s="38" t="s">
        <v>1684</v>
      </c>
      <c r="C83" s="2"/>
      <c r="D83" s="3"/>
      <c r="E83" s="3"/>
      <c r="F83" s="3"/>
      <c r="G83" s="3"/>
      <c r="H83" s="56"/>
      <c r="I83" s="2"/>
    </row>
    <row r="84" spans="1:16" ht="25.5" x14ac:dyDescent="0.25">
      <c r="B84" s="64" t="s">
        <v>1409</v>
      </c>
      <c r="C84" s="65"/>
      <c r="D84" s="76"/>
      <c r="E84" s="66" t="s">
        <v>1408</v>
      </c>
      <c r="F84" s="66" t="s">
        <v>1679</v>
      </c>
      <c r="G84" s="66" t="s">
        <v>1683</v>
      </c>
      <c r="H84" s="68" t="s">
        <v>1675</v>
      </c>
      <c r="I84" s="2"/>
    </row>
    <row r="85" spans="1:16" x14ac:dyDescent="0.25">
      <c r="A85" s="103">
        <v>12015</v>
      </c>
      <c r="B85" s="38" t="str">
        <f>IF($A85=0,"",VLOOKUP($A85,'BASE MATERIAL'!$A:$D,2))</f>
        <v xml:space="preserve">GYPSUM </v>
      </c>
      <c r="C85" s="2"/>
      <c r="D85" s="77"/>
      <c r="E85" s="78" t="str">
        <f>IF($A85=0,"",VLOOKUP($A85,'BASE MATERIAL'!$A:$D,3))</f>
        <v>M2</v>
      </c>
      <c r="F85" s="55">
        <v>1</v>
      </c>
      <c r="G85" s="55">
        <f>IF($A85=0,"",VLOOKUP($A85,'BASE MATERIAL'!$A:$D,4))</f>
        <v>13.5</v>
      </c>
      <c r="H85" s="56">
        <f t="shared" ref="H85:H99" si="9">IF($A85=0,"",ROUND(F85*G85,2))</f>
        <v>13.5</v>
      </c>
      <c r="I85" s="2"/>
      <c r="L85" s="2"/>
      <c r="M85" s="2"/>
      <c r="N85" s="39"/>
      <c r="O85" s="2"/>
      <c r="P85" s="2"/>
    </row>
    <row r="86" spans="1:16" x14ac:dyDescent="0.25">
      <c r="B86" s="38" t="s">
        <v>657</v>
      </c>
      <c r="C86" s="2"/>
      <c r="D86" s="77"/>
      <c r="E86" s="78" t="str">
        <f>IF($A86=0,"",VLOOKUP($A86,'BASE MATERIAL'!$A:$D,3))</f>
        <v/>
      </c>
      <c r="F86" s="55"/>
      <c r="G86" s="55" t="str">
        <f>IF($A86=0,"",VLOOKUP($A86,'BASE MATERIAL'!$A:$D,4))</f>
        <v/>
      </c>
      <c r="H86" s="56" t="str">
        <f t="shared" si="9"/>
        <v/>
      </c>
      <c r="I86" s="2"/>
      <c r="K86" s="1">
        <f>0.6*2+1</f>
        <v>2.2000000000000002</v>
      </c>
      <c r="L86" s="2"/>
      <c r="M86" s="2"/>
      <c r="N86" s="39"/>
      <c r="O86" s="2"/>
      <c r="P86" s="2"/>
    </row>
    <row r="87" spans="1:16" x14ac:dyDescent="0.25">
      <c r="B87" s="38" t="str">
        <f>IF($A87=0,"",VLOOKUP($A87,'BASE MATERIAL'!$A:$D,2))</f>
        <v/>
      </c>
      <c r="C87" s="2"/>
      <c r="D87" s="77"/>
      <c r="E87" s="78" t="str">
        <f>IF($A87=0,"",VLOOKUP($A87,'BASE MATERIAL'!$A:$D,3))</f>
        <v/>
      </c>
      <c r="F87" s="55"/>
      <c r="G87" s="55" t="str">
        <f>IF($A87=0,"",VLOOKUP($A87,'BASE MATERIAL'!$A:$D,4))</f>
        <v/>
      </c>
      <c r="H87" s="56" t="str">
        <f t="shared" si="9"/>
        <v/>
      </c>
      <c r="I87" s="2"/>
      <c r="L87" s="2"/>
      <c r="M87" s="2"/>
      <c r="N87" s="39"/>
      <c r="O87" s="2"/>
      <c r="P87" s="2"/>
    </row>
    <row r="88" spans="1:16" x14ac:dyDescent="0.25">
      <c r="B88" s="38" t="str">
        <f>IF($A88=0,"",VLOOKUP($A88,'BASE MATERIAL'!$A:$D,2))</f>
        <v/>
      </c>
      <c r="C88" s="2"/>
      <c r="D88" s="77"/>
      <c r="E88" s="78" t="str">
        <f>IF($A88=0,"",VLOOKUP($A88,'BASE MATERIAL'!$A:$D,3))</f>
        <v/>
      </c>
      <c r="F88" s="55"/>
      <c r="G88" s="55" t="str">
        <f>IF($A88=0,"",VLOOKUP($A88,'BASE MATERIAL'!$A:$D,4))</f>
        <v/>
      </c>
      <c r="H88" s="56" t="str">
        <f t="shared" si="9"/>
        <v/>
      </c>
      <c r="I88" s="2"/>
      <c r="L88" s="2"/>
      <c r="M88" s="2"/>
      <c r="N88" s="39"/>
      <c r="O88" s="2"/>
      <c r="P88" s="2"/>
    </row>
    <row r="89" spans="1:16" x14ac:dyDescent="0.25">
      <c r="B89" s="38" t="str">
        <f>IF($A89=0,"",VLOOKUP($A89,'BASE MATERIAL'!$A:$D,2))</f>
        <v/>
      </c>
      <c r="C89" s="2"/>
      <c r="D89" s="77"/>
      <c r="E89" s="78" t="str">
        <f>IF($A89=0,"",VLOOKUP($A89,'BASE MATERIAL'!$A:$D,3))</f>
        <v/>
      </c>
      <c r="F89" s="55"/>
      <c r="G89" s="55" t="str">
        <f>IF($A89=0,"",VLOOKUP($A89,'BASE MATERIAL'!$A:$D,4))</f>
        <v/>
      </c>
      <c r="H89" s="56" t="str">
        <f t="shared" si="9"/>
        <v/>
      </c>
      <c r="I89" s="2"/>
      <c r="L89" s="2"/>
      <c r="M89" s="2"/>
      <c r="N89" s="39"/>
      <c r="O89" s="2"/>
      <c r="P89" s="2"/>
    </row>
    <row r="90" spans="1:16" x14ac:dyDescent="0.25">
      <c r="B90" s="38" t="str">
        <f>IF($A90=0,"",VLOOKUP($A90,'BASE MATERIAL'!$A:$D,2))</f>
        <v/>
      </c>
      <c r="C90" s="2"/>
      <c r="D90" s="77"/>
      <c r="E90" s="78" t="str">
        <f>IF($A90=0,"",VLOOKUP($A90,'BASE MATERIAL'!$A:$D,3))</f>
        <v/>
      </c>
      <c r="F90" s="55"/>
      <c r="G90" s="80" t="str">
        <f>IF($A90=0,"",VLOOKUP($A90,'BASE MATERIAL'!$A:$D,4))</f>
        <v/>
      </c>
      <c r="H90" s="56" t="str">
        <f t="shared" si="9"/>
        <v/>
      </c>
      <c r="I90" s="2"/>
      <c r="L90" s="2"/>
      <c r="M90" s="2"/>
      <c r="N90" s="39"/>
      <c r="O90" s="2"/>
      <c r="P90" s="2"/>
    </row>
    <row r="91" spans="1:16" x14ac:dyDescent="0.25">
      <c r="B91" s="38" t="str">
        <f>IF($A91=0,"",VLOOKUP($A91,'BASE MATERIAL'!$A:$D,2))</f>
        <v/>
      </c>
      <c r="C91" s="2"/>
      <c r="D91" s="77"/>
      <c r="E91" s="78" t="str">
        <f>IF($A91=0,"",VLOOKUP($A91,'BASE MATERIAL'!$A:$D,3))</f>
        <v/>
      </c>
      <c r="F91" s="55"/>
      <c r="G91" s="55" t="str">
        <f>IF($A91=0,"",VLOOKUP($A91,'BASE MATERIAL'!$A:$D,4))</f>
        <v/>
      </c>
      <c r="H91" s="56" t="str">
        <f t="shared" si="9"/>
        <v/>
      </c>
      <c r="I91" s="2"/>
      <c r="L91" s="2"/>
      <c r="M91" s="2"/>
      <c r="N91" s="39"/>
      <c r="O91" s="2"/>
      <c r="P91" s="2"/>
    </row>
    <row r="92" spans="1:16" x14ac:dyDescent="0.25">
      <c r="B92" s="38" t="str">
        <f>IF($A92=0,"",VLOOKUP($A92,'BASE MATERIAL'!$A:$D,2))</f>
        <v/>
      </c>
      <c r="C92" s="2"/>
      <c r="D92" s="77"/>
      <c r="E92" s="78" t="str">
        <f>IF($A92=0,"",VLOOKUP($A92,'BASE MATERIAL'!$A:$D,3))</f>
        <v/>
      </c>
      <c r="F92" s="55"/>
      <c r="G92" s="55" t="str">
        <f>IF($A92=0,"",VLOOKUP($A92,'BASE MATERIAL'!$A:$D,4))</f>
        <v/>
      </c>
      <c r="H92" s="56" t="str">
        <f t="shared" si="9"/>
        <v/>
      </c>
      <c r="I92" s="2"/>
      <c r="L92" s="2"/>
      <c r="M92" s="2"/>
      <c r="N92" s="39"/>
      <c r="O92" s="2"/>
      <c r="P92" s="2"/>
    </row>
    <row r="93" spans="1:16" x14ac:dyDescent="0.25">
      <c r="B93" s="38" t="str">
        <f>IF($A93=0,"",VLOOKUP($A93,'BASE MATERIAL'!$A:$D,2))</f>
        <v/>
      </c>
      <c r="C93" s="2"/>
      <c r="D93" s="77"/>
      <c r="E93" s="78" t="str">
        <f>IF($A93=0,"",VLOOKUP($A93,'BASE MATERIAL'!$A:$D,3))</f>
        <v/>
      </c>
      <c r="F93" s="55"/>
      <c r="G93" s="55" t="str">
        <f>IF($A93=0,"",VLOOKUP($A93,'BASE MATERIAL'!$A:$D,4))</f>
        <v/>
      </c>
      <c r="H93" s="56" t="str">
        <f t="shared" si="9"/>
        <v/>
      </c>
      <c r="I93" s="2"/>
    </row>
    <row r="94" spans="1:16" x14ac:dyDescent="0.25">
      <c r="B94" s="38" t="str">
        <f>IF($A94=0,"",VLOOKUP($A94,'BASE MATERIAL'!$A:$D,2))</f>
        <v/>
      </c>
      <c r="C94" s="2"/>
      <c r="D94" s="77"/>
      <c r="E94" s="78" t="str">
        <f>IF($A94=0,"",VLOOKUP($A94,'BASE MATERIAL'!$A:$D,3))</f>
        <v/>
      </c>
      <c r="F94" s="55"/>
      <c r="G94" s="55" t="str">
        <f>IF($A94=0,"",VLOOKUP($A94,'BASE MATERIAL'!$A:$D,4))</f>
        <v/>
      </c>
      <c r="H94" s="56" t="str">
        <f t="shared" si="9"/>
        <v/>
      </c>
      <c r="I94" s="2"/>
      <c r="L94" s="2"/>
      <c r="M94" s="2"/>
      <c r="N94" s="39"/>
      <c r="O94" s="2"/>
      <c r="P94" s="2"/>
    </row>
    <row r="95" spans="1:16" x14ac:dyDescent="0.25">
      <c r="B95" s="38" t="str">
        <f>IF($A95=0,"",VLOOKUP($A95,'BASE MATERIAL'!$A:$D,2))</f>
        <v/>
      </c>
      <c r="C95" s="2"/>
      <c r="D95" s="77"/>
      <c r="E95" s="78" t="str">
        <f>IF($A95=0,"",VLOOKUP($A95,'BASE MATERIAL'!$A:$D,3))</f>
        <v/>
      </c>
      <c r="F95" s="55"/>
      <c r="G95" s="55" t="str">
        <f>IF($A95=0,"",VLOOKUP($A95,'BASE MATERIAL'!$A:$D,4))</f>
        <v/>
      </c>
      <c r="H95" s="56" t="str">
        <f t="shared" si="9"/>
        <v/>
      </c>
      <c r="I95" s="2"/>
      <c r="L95" s="2"/>
      <c r="M95" s="2"/>
      <c r="N95" s="39"/>
      <c r="O95" s="2"/>
      <c r="P95" s="2"/>
    </row>
    <row r="96" spans="1:16" x14ac:dyDescent="0.25">
      <c r="B96" s="38" t="str">
        <f>IF($A96=0,"",VLOOKUP($A96,'BASE MATERIAL'!$A:$D,2))</f>
        <v/>
      </c>
      <c r="C96" s="2"/>
      <c r="D96" s="77"/>
      <c r="E96" s="78" t="str">
        <f>IF($A96=0,"",VLOOKUP($A96,'BASE MATERIAL'!$A:$D,3))</f>
        <v/>
      </c>
      <c r="F96" s="55"/>
      <c r="G96" s="55" t="str">
        <f>IF($A96=0,"",VLOOKUP($A96,'BASE MATERIAL'!$A:$D,4))</f>
        <v/>
      </c>
      <c r="H96" s="56" t="str">
        <f t="shared" si="9"/>
        <v/>
      </c>
      <c r="I96" s="2"/>
    </row>
    <row r="97" spans="1:9" x14ac:dyDescent="0.25">
      <c r="B97" s="38" t="str">
        <f>IF($A97=0,"",VLOOKUP($A97,'BASE MATERIAL'!$A:$D,2))</f>
        <v/>
      </c>
      <c r="C97" s="2"/>
      <c r="D97" s="77"/>
      <c r="E97" s="78" t="str">
        <f>IF($A97=0,"",VLOOKUP($A97,'BASE MATERIAL'!$A:$D,3))</f>
        <v/>
      </c>
      <c r="F97" s="55"/>
      <c r="G97" s="55" t="str">
        <f>IF($A97=0,"",VLOOKUP($A97,'BASE MATERIAL'!$A:$D,4))</f>
        <v/>
      </c>
      <c r="H97" s="56" t="str">
        <f t="shared" si="9"/>
        <v/>
      </c>
      <c r="I97" s="2"/>
    </row>
    <row r="98" spans="1:9" x14ac:dyDescent="0.25">
      <c r="B98" s="38" t="str">
        <f>IF($A98=0,"",VLOOKUP($A98,'BASE MATERIAL'!$A:$D,2))</f>
        <v/>
      </c>
      <c r="C98" s="2"/>
      <c r="D98" s="77"/>
      <c r="E98" s="78" t="str">
        <f>IF($A98=0,"",VLOOKUP($A98,'BASE MATERIAL'!$A:$D,3))</f>
        <v/>
      </c>
      <c r="F98" s="55"/>
      <c r="G98" s="55" t="str">
        <f>IF($A98=0,"",VLOOKUP($A98,'BASE MATERIAL'!$A:$D,4))</f>
        <v/>
      </c>
      <c r="H98" s="56" t="str">
        <f t="shared" si="9"/>
        <v/>
      </c>
      <c r="I98" s="2"/>
    </row>
    <row r="99" spans="1:9" x14ac:dyDescent="0.25">
      <c r="B99" s="38" t="str">
        <f>IF($A99=0,"",VLOOKUP($A99,'BASE MATERIAL'!$A:$D,2))</f>
        <v/>
      </c>
      <c r="C99" s="2"/>
      <c r="D99" s="77"/>
      <c r="E99" s="78" t="str">
        <f>IF($A99=0,"",VLOOKUP($A99,'BASE MATERIAL'!$A:$D,3))</f>
        <v/>
      </c>
      <c r="F99" s="55"/>
      <c r="G99" s="55" t="str">
        <f>IF($A99=0,"",VLOOKUP($A99,'BASE MATERIAL'!$A:$D,4))</f>
        <v/>
      </c>
      <c r="H99" s="56" t="str">
        <f t="shared" si="9"/>
        <v/>
      </c>
      <c r="I99" s="2"/>
    </row>
    <row r="100" spans="1:9" x14ac:dyDescent="0.25">
      <c r="B100" s="38" t="str">
        <f>IF($A100=0,"",VLOOKUP($A100,'BASE MATERIAL'!$A:$D,2))</f>
        <v/>
      </c>
      <c r="C100" s="2"/>
      <c r="D100" s="81" t="s">
        <v>1682</v>
      </c>
      <c r="E100" s="55" t="str">
        <f>IF($A100=0,"",VLOOKUP($A100,'BASE MATERIAL'!$A:$D,3))</f>
        <v/>
      </c>
      <c r="F100" s="55" t="s">
        <v>1682</v>
      </c>
      <c r="G100" s="55" t="str">
        <f>IF($A100=0,"",VLOOKUP($A100,'BASE MATERIAL'!$A:$D,4))</f>
        <v/>
      </c>
      <c r="H100" s="56" t="str">
        <f>IF($A100=0,"",ROUND(E100*F100,2))</f>
        <v/>
      </c>
      <c r="I100" s="2"/>
    </row>
    <row r="101" spans="1:9" x14ac:dyDescent="0.25">
      <c r="B101" s="73" t="s">
        <v>1681</v>
      </c>
      <c r="C101" s="65"/>
      <c r="D101" s="74"/>
      <c r="E101" s="74"/>
      <c r="F101" s="74"/>
      <c r="G101" s="74"/>
      <c r="H101" s="75">
        <f>ROUND(SUM(H84:H100),2)</f>
        <v>13.5</v>
      </c>
      <c r="I101" s="2"/>
    </row>
    <row r="102" spans="1:9" x14ac:dyDescent="0.25">
      <c r="B102" s="38" t="s">
        <v>1680</v>
      </c>
      <c r="C102" s="2"/>
      <c r="D102" s="3"/>
      <c r="E102" s="3"/>
      <c r="F102" s="3"/>
      <c r="G102" s="3"/>
      <c r="H102" s="56"/>
      <c r="I102" s="2"/>
    </row>
    <row r="103" spans="1:9" ht="25.5" x14ac:dyDescent="0.25">
      <c r="B103" s="64" t="s">
        <v>1409</v>
      </c>
      <c r="C103" s="65"/>
      <c r="D103" s="76"/>
      <c r="E103" s="66" t="s">
        <v>1408</v>
      </c>
      <c r="F103" s="66" t="s">
        <v>1679</v>
      </c>
      <c r="G103" s="66" t="s">
        <v>1676</v>
      </c>
      <c r="H103" s="68" t="s">
        <v>1675</v>
      </c>
      <c r="I103" s="2"/>
    </row>
    <row r="104" spans="1:9" x14ac:dyDescent="0.25">
      <c r="A104" s="103">
        <v>19019</v>
      </c>
      <c r="B104" s="51" t="str">
        <f>IF($A104=0,"",VLOOKUP($A104,'BASE EQUIPO'!$A:$D,2))</f>
        <v>TRANSPORTE DE MATERIAL</v>
      </c>
      <c r="C104" s="52"/>
      <c r="D104" s="82"/>
      <c r="E104" s="78" t="str">
        <f>IF($A104=0,"",VLOOKUP($A104,'BASE EQUIPO'!$A:$D,3))</f>
        <v>GLOBAL</v>
      </c>
      <c r="F104" s="55">
        <v>1</v>
      </c>
      <c r="G104" s="83">
        <f>IF($A104=0,"",VLOOKUP($A104,'BASE EQUIPO'!$A:$D,4)*H101)</f>
        <v>0.40499999999999997</v>
      </c>
      <c r="H104" s="56">
        <f>IF($A104=0,"",ROUND(F104*G104,2))</f>
        <v>0.41</v>
      </c>
      <c r="I104" s="2"/>
    </row>
    <row r="105" spans="1:9" x14ac:dyDescent="0.25">
      <c r="B105" s="38" t="str">
        <f>IF($A105=0,"",VLOOKUP($A105,'BASE EQUIPO'!$A:$D,2))</f>
        <v/>
      </c>
      <c r="C105" s="2"/>
      <c r="D105" s="84"/>
      <c r="E105" s="78" t="str">
        <f>IF($A105=0,"",VLOOKUP($A105,'BASE EQUIPO'!$A:$D,3))</f>
        <v/>
      </c>
      <c r="F105" s="55"/>
      <c r="G105" s="55" t="str">
        <f>IF($A105=0,"",VLOOKUP($A105,'BASE EQUIPO'!$A:$D,4)*H102)</f>
        <v/>
      </c>
      <c r="H105" s="56" t="str">
        <f>IF($A105=0,"",ROUND(F105*G105,2))</f>
        <v/>
      </c>
      <c r="I105" s="2"/>
    </row>
    <row r="106" spans="1:9" x14ac:dyDescent="0.25">
      <c r="B106" s="57" t="str">
        <f>IF($A106=0,"",VLOOKUP($A106,'BASE EQUIPO'!$A:$D,2))</f>
        <v/>
      </c>
      <c r="C106" s="58"/>
      <c r="D106" s="85"/>
      <c r="E106" s="86" t="str">
        <f>IF($A106=0,"",VLOOKUP($A106,'BASE EQUIPO'!$A:$D,3))</f>
        <v/>
      </c>
      <c r="F106" s="59"/>
      <c r="G106" s="59" t="str">
        <f>IF($A106=0,"",VLOOKUP($A106,'BASE EQUIPO'!$A:$D,4)*H103)</f>
        <v/>
      </c>
      <c r="H106" s="60" t="str">
        <f>IF($A106=0,"",ROUND(F106*G106,2))</f>
        <v/>
      </c>
      <c r="I106" s="2"/>
    </row>
    <row r="107" spans="1:9" ht="15.75" thickBot="1" x14ac:dyDescent="0.3">
      <c r="B107" s="87" t="s">
        <v>1674</v>
      </c>
      <c r="C107" s="88"/>
      <c r="D107" s="89"/>
      <c r="E107" s="89"/>
      <c r="F107" s="89"/>
      <c r="G107" s="89"/>
      <c r="H107" s="90">
        <f>ROUND(SUM(H103:H106),2)</f>
        <v>0.41</v>
      </c>
      <c r="I107" s="2"/>
    </row>
    <row r="108" spans="1:9" ht="15.75" x14ac:dyDescent="0.25">
      <c r="B108" s="2"/>
      <c r="C108" s="2"/>
      <c r="D108" s="91" t="s">
        <v>1673</v>
      </c>
      <c r="E108" s="47"/>
      <c r="F108" s="47"/>
      <c r="G108" s="47"/>
      <c r="H108" s="92">
        <f>ROUND(SUM(H107,H101,H82,H72),2)</f>
        <v>17.95</v>
      </c>
      <c r="I108" s="2"/>
    </row>
    <row r="109" spans="1:9" ht="15.75" x14ac:dyDescent="0.25">
      <c r="A109" s="103">
        <v>40002</v>
      </c>
      <c r="B109" s="2"/>
      <c r="C109" s="2"/>
      <c r="D109" s="93" t="s">
        <v>1672</v>
      </c>
      <c r="E109" s="65"/>
      <c r="F109" s="65"/>
      <c r="G109" s="94">
        <f>IF($A109=0,"",VLOOKUP($A109,'BASE MATERIAL'!$M:$P,4))</f>
        <v>0</v>
      </c>
      <c r="H109" s="95">
        <f>IF($A109=0,"",ROUND(G109*H108,2))</f>
        <v>0</v>
      </c>
      <c r="I109" s="2"/>
    </row>
    <row r="110" spans="1:9" ht="15.75" x14ac:dyDescent="0.25">
      <c r="A110" s="103">
        <v>40003</v>
      </c>
      <c r="B110" s="2"/>
      <c r="C110" s="2"/>
      <c r="D110" s="93" t="s">
        <v>1671</v>
      </c>
      <c r="E110" s="65"/>
      <c r="F110" s="65"/>
      <c r="G110" s="94">
        <f>IF($A110=0,"",VLOOKUP($A110,'BASE MATERIAL'!$M:$P,4))</f>
        <v>0</v>
      </c>
      <c r="H110" s="95">
        <f>IF($A110=0,"",ROUND(G110*H108,2))</f>
        <v>0</v>
      </c>
      <c r="I110" s="2"/>
    </row>
    <row r="111" spans="1:9" ht="15.75" x14ac:dyDescent="0.25">
      <c r="B111" s="2"/>
      <c r="C111" s="2"/>
      <c r="D111" s="93" t="s">
        <v>1670</v>
      </c>
      <c r="E111" s="65"/>
      <c r="F111" s="65"/>
      <c r="G111" s="65"/>
      <c r="H111" s="96">
        <f>ROUND(SUM(H108:H110),2)</f>
        <v>17.95</v>
      </c>
      <c r="I111" s="2"/>
    </row>
    <row r="112" spans="1:9" ht="16.5" thickBot="1" x14ac:dyDescent="0.3">
      <c r="B112" s="25"/>
      <c r="C112" s="2"/>
      <c r="D112" s="97" t="s">
        <v>1650</v>
      </c>
      <c r="E112" s="88"/>
      <c r="F112" s="88"/>
      <c r="G112" s="88"/>
      <c r="H112" s="98">
        <f>ROUND(H111,2)</f>
        <v>17.95</v>
      </c>
      <c r="I112" s="2"/>
    </row>
    <row r="113" spans="1:15" ht="15.75" x14ac:dyDescent="0.25">
      <c r="B113" s="34" t="s">
        <v>1701</v>
      </c>
      <c r="C113" s="2"/>
      <c r="D113" s="3" t="str">
        <f>'1.1'!$D$1</f>
        <v>ESPOL</v>
      </c>
      <c r="E113" s="2"/>
      <c r="F113" s="2"/>
      <c r="H113" s="2" t="s">
        <v>108</v>
      </c>
      <c r="I113" s="2"/>
      <c r="L113" s="40">
        <f>A117</f>
        <v>1</v>
      </c>
      <c r="M113" s="1" t="str">
        <f>C118</f>
        <v>Yeso (perfileria aluminio)</v>
      </c>
      <c r="N113" s="2" t="str">
        <f>H117</f>
        <v>m2</v>
      </c>
      <c r="O113" s="2">
        <f>H168</f>
        <v>13.68</v>
      </c>
    </row>
    <row r="114" spans="1:15" ht="15.75" x14ac:dyDescent="0.25">
      <c r="B114" s="34" t="s">
        <v>1700</v>
      </c>
      <c r="C114" s="3">
        <f>'1.1'!$C$2</f>
        <v>0</v>
      </c>
      <c r="D114" s="2"/>
      <c r="E114" s="2"/>
      <c r="F114" s="2"/>
      <c r="G114" s="41" t="s">
        <v>1699</v>
      </c>
      <c r="H114" s="42"/>
      <c r="I114" s="2" t="s">
        <v>1698</v>
      </c>
    </row>
    <row r="115" spans="1:15" ht="15.75" x14ac:dyDescent="0.25">
      <c r="B115" s="34"/>
      <c r="C115" s="3">
        <f>'1.1'!$C$3</f>
        <v>0</v>
      </c>
      <c r="D115" s="2"/>
      <c r="E115" s="2"/>
      <c r="F115" s="2"/>
      <c r="G115" s="2"/>
      <c r="H115" s="2"/>
      <c r="I115" s="2"/>
    </row>
    <row r="116" spans="1:15" ht="15.75" x14ac:dyDescent="0.25">
      <c r="B116" s="34" t="s">
        <v>1697</v>
      </c>
      <c r="C116" s="3"/>
      <c r="D116" s="2"/>
      <c r="E116" s="2"/>
      <c r="F116" s="2"/>
      <c r="G116" s="2"/>
      <c r="H116" s="2"/>
      <c r="I116" s="2"/>
    </row>
    <row r="117" spans="1:15" x14ac:dyDescent="0.25">
      <c r="A117" s="104">
        <v>1</v>
      </c>
      <c r="B117" s="2" t="s">
        <v>1586</v>
      </c>
      <c r="C117" s="36" t="s">
        <v>1530</v>
      </c>
      <c r="D117" s="2"/>
      <c r="G117" s="2" t="s">
        <v>1696</v>
      </c>
      <c r="H117" s="3" t="s">
        <v>1520</v>
      </c>
      <c r="I117" s="2"/>
    </row>
    <row r="118" spans="1:15" x14ac:dyDescent="0.25">
      <c r="B118" s="1" t="s">
        <v>1585</v>
      </c>
      <c r="C118" s="36" t="s">
        <v>76</v>
      </c>
      <c r="D118" s="2"/>
      <c r="E118" s="2"/>
      <c r="F118" s="2"/>
      <c r="G118" s="2"/>
      <c r="H118" s="2"/>
      <c r="I118" s="2"/>
    </row>
    <row r="119" spans="1:15" ht="15.75" thickBot="1" x14ac:dyDescent="0.3">
      <c r="D119" s="2"/>
      <c r="E119" s="2"/>
      <c r="F119" s="2"/>
      <c r="G119" s="2"/>
      <c r="H119" s="2"/>
      <c r="I119" s="2"/>
    </row>
    <row r="120" spans="1:15" ht="15.75" thickBot="1" x14ac:dyDescent="0.3">
      <c r="B120" s="43" t="s">
        <v>1695</v>
      </c>
      <c r="C120" s="44"/>
      <c r="D120" s="44"/>
      <c r="E120" s="44"/>
      <c r="F120" s="44"/>
      <c r="G120" s="44"/>
      <c r="H120" s="45"/>
      <c r="I120" s="2"/>
    </row>
    <row r="121" spans="1:15" ht="25.5" x14ac:dyDescent="0.25">
      <c r="B121" s="46" t="s">
        <v>1409</v>
      </c>
      <c r="C121" s="47"/>
      <c r="D121" s="48" t="s">
        <v>1690</v>
      </c>
      <c r="E121" s="48" t="s">
        <v>1694</v>
      </c>
      <c r="F121" s="48" t="s">
        <v>1693</v>
      </c>
      <c r="G121" s="49" t="s">
        <v>1687</v>
      </c>
      <c r="H121" s="50" t="s">
        <v>1686</v>
      </c>
      <c r="I121" s="2"/>
    </row>
    <row r="122" spans="1:15" x14ac:dyDescent="0.25">
      <c r="A122" s="103">
        <v>19015</v>
      </c>
      <c r="B122" s="51" t="str">
        <f>IF($A122=0,"",VLOOKUP($A122,'BASE EQUIPO'!$A:$D,2))</f>
        <v>HERRAMIENTA MENOR</v>
      </c>
      <c r="C122" s="52"/>
      <c r="D122" s="53">
        <v>1</v>
      </c>
      <c r="E122" s="53">
        <f>IF($A122=0,"",VLOOKUP($A122,'BASE EQUIPO'!$A:$D,4)*H138)</f>
        <v>0.10079999999999999</v>
      </c>
      <c r="F122" s="53">
        <f t="shared" ref="F122:F127" si="10">IF($A122=0,"",ROUND(D122*E122,2))</f>
        <v>0.1</v>
      </c>
      <c r="G122" s="105">
        <v>1</v>
      </c>
      <c r="H122" s="54">
        <f t="shared" ref="H122:H127" si="11">IF($A122=0,"",ROUND(G122*F122,2))</f>
        <v>0.1</v>
      </c>
      <c r="I122" s="2"/>
    </row>
    <row r="123" spans="1:15" x14ac:dyDescent="0.25">
      <c r="B123" s="38" t="str">
        <f>IF($A123=0,"",VLOOKUP($A123,'BASE EQUIPO'!$A:$D,2))</f>
        <v/>
      </c>
      <c r="C123" s="2"/>
      <c r="D123" s="55"/>
      <c r="E123" s="55" t="str">
        <f>IF($A123=0,"",VLOOKUP($A123,'BASE EQUIPO'!$A:$D,4))</f>
        <v/>
      </c>
      <c r="F123" s="55" t="str">
        <f t="shared" si="10"/>
        <v/>
      </c>
      <c r="G123" s="106"/>
      <c r="H123" s="56" t="str">
        <f t="shared" si="11"/>
        <v/>
      </c>
      <c r="I123" s="2"/>
    </row>
    <row r="124" spans="1:15" x14ac:dyDescent="0.25">
      <c r="B124" s="38" t="str">
        <f>IF($A124=0,"",VLOOKUP($A124,'BASE EQUIPO'!$A:$D,2))</f>
        <v/>
      </c>
      <c r="C124" s="2"/>
      <c r="D124" s="55"/>
      <c r="E124" s="55" t="str">
        <f>IF($A124=0,"",VLOOKUP($A124,'BASE EQUIPO'!$A:$D,4))</f>
        <v/>
      </c>
      <c r="F124" s="55" t="str">
        <f t="shared" si="10"/>
        <v/>
      </c>
      <c r="G124" s="106"/>
      <c r="H124" s="56" t="str">
        <f t="shared" si="11"/>
        <v/>
      </c>
      <c r="I124" s="2"/>
    </row>
    <row r="125" spans="1:15" x14ac:dyDescent="0.25">
      <c r="B125" s="38" t="str">
        <f>IF($A125=0,"",VLOOKUP($A125,'BASE EQUIPO'!$A:$D,2))</f>
        <v/>
      </c>
      <c r="C125" s="2"/>
      <c r="D125" s="55"/>
      <c r="E125" s="55" t="str">
        <f>IF($A125=0,"",VLOOKUP($A125,'BASE EQUIPO'!$A:$D,4))</f>
        <v/>
      </c>
      <c r="F125" s="55" t="str">
        <f t="shared" si="10"/>
        <v/>
      </c>
      <c r="G125" s="106"/>
      <c r="H125" s="56" t="str">
        <f t="shared" si="11"/>
        <v/>
      </c>
      <c r="I125" s="2"/>
    </row>
    <row r="126" spans="1:15" x14ac:dyDescent="0.25">
      <c r="B126" s="38" t="str">
        <f>IF($A126=0,"",VLOOKUP($A126,'BASE EQUIPO'!$A:$D,2))</f>
        <v/>
      </c>
      <c r="C126" s="2"/>
      <c r="D126" s="55"/>
      <c r="E126" s="55" t="str">
        <f>IF($A126=0,"",VLOOKUP($A126,'BASE EQUIPO'!$A:$D,4))</f>
        <v/>
      </c>
      <c r="F126" s="55" t="str">
        <f t="shared" si="10"/>
        <v/>
      </c>
      <c r="G126" s="106"/>
      <c r="H126" s="56" t="str">
        <f t="shared" si="11"/>
        <v/>
      </c>
      <c r="I126" s="2"/>
    </row>
    <row r="127" spans="1:15" x14ac:dyDescent="0.25">
      <c r="B127" s="57" t="str">
        <f>IF($A127=0,"",VLOOKUP($A127,'BASE EQUIPO'!$A:$D,2))</f>
        <v/>
      </c>
      <c r="C127" s="58"/>
      <c r="D127" s="59"/>
      <c r="E127" s="59" t="str">
        <f>IF($A127=0,"",VLOOKUP($A127,'BASE EQUIPO'!$A:$D,4))</f>
        <v/>
      </c>
      <c r="F127" s="59" t="str">
        <f t="shared" si="10"/>
        <v/>
      </c>
      <c r="G127" s="107"/>
      <c r="H127" s="60" t="str">
        <f t="shared" si="11"/>
        <v/>
      </c>
      <c r="I127" s="2"/>
    </row>
    <row r="128" spans="1:15" x14ac:dyDescent="0.25">
      <c r="B128" s="57" t="s">
        <v>1692</v>
      </c>
      <c r="C128" s="58"/>
      <c r="D128" s="61"/>
      <c r="E128" s="61"/>
      <c r="F128" s="61"/>
      <c r="G128" s="62"/>
      <c r="H128" s="60">
        <f>ROUND(SUM(H121:H127),2)</f>
        <v>0.1</v>
      </c>
      <c r="I128" s="2"/>
    </row>
    <row r="129" spans="1:16" x14ac:dyDescent="0.25">
      <c r="B129" s="38" t="s">
        <v>1503</v>
      </c>
      <c r="C129" s="2"/>
      <c r="D129" s="3"/>
      <c r="E129" s="3"/>
      <c r="F129" s="3"/>
      <c r="G129" s="63"/>
      <c r="H129" s="56"/>
      <c r="I129" s="2"/>
    </row>
    <row r="130" spans="1:16" ht="25.5" x14ac:dyDescent="0.25">
      <c r="B130" s="64" t="s">
        <v>1691</v>
      </c>
      <c r="C130" s="65"/>
      <c r="D130" s="66" t="s">
        <v>1690</v>
      </c>
      <c r="E130" s="66" t="s">
        <v>1689</v>
      </c>
      <c r="F130" s="66" t="s">
        <v>1688</v>
      </c>
      <c r="G130" s="67" t="s">
        <v>1687</v>
      </c>
      <c r="H130" s="68" t="s">
        <v>1686</v>
      </c>
      <c r="I130" s="2"/>
    </row>
    <row r="131" spans="1:16" x14ac:dyDescent="0.25">
      <c r="B131" s="69" t="str">
        <f>IF($A131=0,"",VLOOKUP($A131,'BASE M-OBRA'!$A:$D,2))</f>
        <v/>
      </c>
      <c r="C131" s="2"/>
      <c r="D131" s="108"/>
      <c r="E131" s="70" t="str">
        <f>IF($A131=0,"",VLOOKUP($A131,'BASE M-OBRA'!$A:$D,4))</f>
        <v/>
      </c>
      <c r="F131" s="55" t="str">
        <f t="shared" ref="F131:F137" si="12">IF($A131=0,"",ROUND(D131*E131,2))</f>
        <v/>
      </c>
      <c r="G131" s="106" t="str">
        <f>IF($A131=0,"",ROUND(H131/F131,2))</f>
        <v/>
      </c>
      <c r="H131" s="56" t="str">
        <f>IF($A131=0,"",ROUND(SUM(H132:H137)*'BASE M-OBRA'!$D$23,2))</f>
        <v/>
      </c>
      <c r="I131" s="2"/>
    </row>
    <row r="132" spans="1:16" x14ac:dyDescent="0.25">
      <c r="A132" s="103">
        <v>20019</v>
      </c>
      <c r="B132" s="69" t="str">
        <f>IF($A132=0,"",VLOOKUP($A132,'BASE M-OBRA'!$A:$D,2))</f>
        <v>INSTALADOR</v>
      </c>
      <c r="C132" s="2"/>
      <c r="D132" s="108">
        <v>1</v>
      </c>
      <c r="E132" s="70">
        <f>IF($A132=0,"",VLOOKUP($A132,'BASE M-OBRA'!$A:$D,4))</f>
        <v>2.82</v>
      </c>
      <c r="F132" s="55">
        <f t="shared" si="12"/>
        <v>2.82</v>
      </c>
      <c r="G132" s="106">
        <v>0.6</v>
      </c>
      <c r="H132" s="56">
        <f t="shared" ref="H132:H137" si="13">IF($A132=0,"",ROUND(G132*F132,2))</f>
        <v>1.69</v>
      </c>
      <c r="I132" s="2"/>
    </row>
    <row r="133" spans="1:16" x14ac:dyDescent="0.25">
      <c r="A133" s="103">
        <v>20011</v>
      </c>
      <c r="B133" s="69" t="str">
        <f>IF($A133=0,"",VLOOKUP($A133,'BASE M-OBRA'!$A:$D,2))</f>
        <v>AYUDANTE ESPECIALISTA</v>
      </c>
      <c r="C133" s="2"/>
      <c r="D133" s="108">
        <v>1</v>
      </c>
      <c r="E133" s="70">
        <f>IF($A133=0,"",VLOOKUP($A133,'BASE M-OBRA'!$A:$D,4))</f>
        <v>2.79</v>
      </c>
      <c r="F133" s="55">
        <f t="shared" si="12"/>
        <v>2.79</v>
      </c>
      <c r="G133" s="106">
        <f>+G132</f>
        <v>0.6</v>
      </c>
      <c r="H133" s="56">
        <f t="shared" si="13"/>
        <v>1.67</v>
      </c>
      <c r="I133" s="2"/>
    </row>
    <row r="134" spans="1:16" x14ac:dyDescent="0.25">
      <c r="B134" s="71" t="str">
        <f>IF($A134=0,"",VLOOKUP($A134,'BASE M-OBRA'!$A:$D,2))</f>
        <v/>
      </c>
      <c r="C134" s="2"/>
      <c r="D134" s="108"/>
      <c r="E134" s="70" t="str">
        <f>IF($A134=0,"",VLOOKUP($A134,'BASE M-OBRA'!$A:$D,4))</f>
        <v/>
      </c>
      <c r="F134" s="55" t="str">
        <f t="shared" si="12"/>
        <v/>
      </c>
      <c r="G134" s="106"/>
      <c r="H134" s="56" t="str">
        <f t="shared" si="13"/>
        <v/>
      </c>
      <c r="I134" s="2"/>
    </row>
    <row r="135" spans="1:16" x14ac:dyDescent="0.25">
      <c r="B135" s="72" t="str">
        <f>IF($A135=0,"",VLOOKUP($A135,'BASE M-OBRA'!$A:$D,2))</f>
        <v/>
      </c>
      <c r="C135" s="2"/>
      <c r="D135" s="108"/>
      <c r="E135" s="70" t="str">
        <f>IF($A135=0,"",VLOOKUP($A135,'BASE M-OBRA'!$A:$D,4))</f>
        <v/>
      </c>
      <c r="F135" s="55" t="str">
        <f t="shared" si="12"/>
        <v/>
      </c>
      <c r="G135" s="106"/>
      <c r="H135" s="56" t="str">
        <f t="shared" si="13"/>
        <v/>
      </c>
      <c r="I135" s="2"/>
    </row>
    <row r="136" spans="1:16" x14ac:dyDescent="0.25">
      <c r="B136" s="38" t="str">
        <f>IF($A136=0,"",VLOOKUP($A136,'BASE M-OBRA'!$A:$D,2))</f>
        <v/>
      </c>
      <c r="C136" s="2"/>
      <c r="D136" s="55"/>
      <c r="E136" s="55" t="str">
        <f>IF($A136=0,"",VLOOKUP($A136,'BASE M-OBRA'!$A:$D,4))</f>
        <v/>
      </c>
      <c r="F136" s="55" t="str">
        <f t="shared" si="12"/>
        <v/>
      </c>
      <c r="G136" s="106"/>
      <c r="H136" s="56" t="str">
        <f t="shared" si="13"/>
        <v/>
      </c>
      <c r="I136" s="2"/>
    </row>
    <row r="137" spans="1:16" x14ac:dyDescent="0.25">
      <c r="B137" s="57" t="str">
        <f>IF($A137=0,"",VLOOKUP($A137,'BASE M-OBRA'!$A:$D,2))</f>
        <v/>
      </c>
      <c r="C137" s="58"/>
      <c r="D137" s="59"/>
      <c r="E137" s="59" t="str">
        <f>IF($A137=0,"",VLOOKUP($A137,'BASE M-OBRA'!$A:$D,4))</f>
        <v/>
      </c>
      <c r="F137" s="59" t="str">
        <f t="shared" si="12"/>
        <v/>
      </c>
      <c r="G137" s="107"/>
      <c r="H137" s="60" t="str">
        <f t="shared" si="13"/>
        <v/>
      </c>
      <c r="I137" s="2"/>
    </row>
    <row r="138" spans="1:16" x14ac:dyDescent="0.25">
      <c r="B138" s="73" t="s">
        <v>1685</v>
      </c>
      <c r="C138" s="65"/>
      <c r="D138" s="74"/>
      <c r="E138" s="74"/>
      <c r="F138" s="74"/>
      <c r="G138" s="74"/>
      <c r="H138" s="75">
        <f>ROUND(SUM(H130:H137),2)</f>
        <v>3.36</v>
      </c>
      <c r="I138" s="2"/>
    </row>
    <row r="139" spans="1:16" x14ac:dyDescent="0.25">
      <c r="B139" s="38" t="s">
        <v>1684</v>
      </c>
      <c r="C139" s="2"/>
      <c r="D139" s="3"/>
      <c r="E139" s="3"/>
      <c r="F139" s="3"/>
      <c r="G139" s="3"/>
      <c r="H139" s="56"/>
      <c r="I139" s="2"/>
    </row>
    <row r="140" spans="1:16" ht="25.5" x14ac:dyDescent="0.25">
      <c r="B140" s="64" t="s">
        <v>1409</v>
      </c>
      <c r="C140" s="65"/>
      <c r="D140" s="76"/>
      <c r="E140" s="66" t="s">
        <v>1408</v>
      </c>
      <c r="F140" s="66" t="s">
        <v>1679</v>
      </c>
      <c r="G140" s="66" t="s">
        <v>1683</v>
      </c>
      <c r="H140" s="68" t="s">
        <v>1675</v>
      </c>
      <c r="I140" s="2"/>
    </row>
    <row r="141" spans="1:16" x14ac:dyDescent="0.25">
      <c r="A141" s="103">
        <v>12011</v>
      </c>
      <c r="B141" s="38" t="str">
        <f>IF($A141=0,"",VLOOKUP($A141,'BASE MATERIAL'!$A:$D,2))</f>
        <v>PLANCHA DE YESO 0,6 x 0.6</v>
      </c>
      <c r="C141" s="2"/>
      <c r="D141" s="77"/>
      <c r="E141" s="78" t="str">
        <f>IF($A141=0,"",VLOOKUP($A141,'BASE MATERIAL'!$A:$D,3))</f>
        <v>M2</v>
      </c>
      <c r="F141" s="55">
        <v>1</v>
      </c>
      <c r="G141" s="55">
        <f>IF($A141=0,"",VLOOKUP($A141,'BASE MATERIAL'!$A:$D,4))</f>
        <v>4.666666666666667</v>
      </c>
      <c r="H141" s="56">
        <f t="shared" ref="H141:H155" si="14">IF($A141=0,"",ROUND(F141*G141,2))</f>
        <v>4.67</v>
      </c>
      <c r="I141" s="2"/>
      <c r="L141" s="2"/>
      <c r="M141" s="2"/>
      <c r="N141" s="39"/>
      <c r="O141" s="2"/>
      <c r="P141" s="2"/>
    </row>
    <row r="142" spans="1:16" x14ac:dyDescent="0.25">
      <c r="A142" s="103">
        <v>12025</v>
      </c>
      <c r="B142" s="38" t="str">
        <f>IF($A142=0,"",VLOOKUP($A142,'BASE MATERIAL'!$A:$D,2))</f>
        <v>PERFILERIA DE TUMBADO L= 1,22</v>
      </c>
      <c r="C142" s="2"/>
      <c r="D142" s="77"/>
      <c r="E142" s="78" t="str">
        <f>IF($A142=0,"",VLOOKUP($A142,'BASE MATERIAL'!$A:$D,3))</f>
        <v>U</v>
      </c>
      <c r="F142" s="55">
        <v>2</v>
      </c>
      <c r="G142" s="55">
        <f>IF($A142=0,"",VLOOKUP($A142,'BASE MATERIAL'!$A:$D,4))</f>
        <v>0.90720000000000012</v>
      </c>
      <c r="H142" s="56">
        <f t="shared" si="14"/>
        <v>1.81</v>
      </c>
      <c r="I142" s="2"/>
      <c r="L142" s="2"/>
      <c r="M142" s="2"/>
      <c r="N142" s="39"/>
      <c r="O142" s="2"/>
      <c r="P142" s="2"/>
    </row>
    <row r="143" spans="1:16" x14ac:dyDescent="0.25">
      <c r="A143" s="103">
        <v>12026</v>
      </c>
      <c r="B143" s="38" t="str">
        <f>IF($A143=0,"",VLOOKUP($A143,'BASE MATERIAL'!$A:$D,2))</f>
        <v>PERFILERIA DE TUMBADO L= 0,66</v>
      </c>
      <c r="C143" s="2"/>
      <c r="D143" s="77"/>
      <c r="E143" s="78" t="str">
        <f>IF($A143=0,"",VLOOKUP($A143,'BASE MATERIAL'!$A:$D,3))</f>
        <v>U</v>
      </c>
      <c r="F143" s="55">
        <v>4</v>
      </c>
      <c r="G143" s="55">
        <f>IF($A143=0,"",VLOOKUP($A143,'BASE MATERIAL'!$A:$D,4))</f>
        <v>0.49280000000000007</v>
      </c>
      <c r="H143" s="56">
        <f t="shared" si="14"/>
        <v>1.97</v>
      </c>
      <c r="I143" s="2"/>
      <c r="L143" s="2"/>
      <c r="M143" s="2"/>
      <c r="N143" s="39"/>
      <c r="O143" s="2"/>
      <c r="P143" s="2"/>
    </row>
    <row r="144" spans="1:16" x14ac:dyDescent="0.25">
      <c r="A144" s="103">
        <v>11001</v>
      </c>
      <c r="B144" s="38" t="str">
        <f>IF($A144=0,"",VLOOKUP($A144,'BASE MATERIAL'!$A:$D,2))</f>
        <v>ALAMBRE GALVANIZADO</v>
      </c>
      <c r="C144" s="2"/>
      <c r="D144" s="77"/>
      <c r="E144" s="78" t="str">
        <f>IF($A144=0,"",VLOOKUP($A144,'BASE MATERIAL'!$A:$D,3))</f>
        <v>KG</v>
      </c>
      <c r="F144" s="55">
        <v>0.5</v>
      </c>
      <c r="G144" s="55">
        <f>IF($A144=0,"",VLOOKUP($A144,'BASE MATERIAL'!$A:$D,4))</f>
        <v>2.9480000000000004</v>
      </c>
      <c r="H144" s="56">
        <f t="shared" si="14"/>
        <v>1.47</v>
      </c>
      <c r="I144" s="2"/>
      <c r="L144" s="2"/>
      <c r="M144" s="2"/>
      <c r="N144" s="39"/>
      <c r="O144" s="2"/>
      <c r="P144" s="2"/>
    </row>
    <row r="145" spans="1:16" x14ac:dyDescent="0.25">
      <c r="B145" s="38" t="str">
        <f>IF($A145=0,"",VLOOKUP($A145,'BASE MATERIAL'!$A:$D,2))</f>
        <v/>
      </c>
      <c r="C145" s="2"/>
      <c r="D145" s="77"/>
      <c r="E145" s="78" t="str">
        <f>IF($A145=0,"",VLOOKUP($A145,'BASE MATERIAL'!$A:$D,3))</f>
        <v/>
      </c>
      <c r="F145" s="55"/>
      <c r="G145" s="55" t="str">
        <f>IF($A145=0,"",VLOOKUP($A145,'BASE MATERIAL'!$A:$D,4))</f>
        <v/>
      </c>
      <c r="H145" s="56" t="str">
        <f t="shared" si="14"/>
        <v/>
      </c>
      <c r="I145" s="2"/>
      <c r="L145" s="2"/>
      <c r="M145" s="2"/>
      <c r="N145" s="39"/>
      <c r="O145" s="2"/>
      <c r="P145" s="2"/>
    </row>
    <row r="146" spans="1:16" x14ac:dyDescent="0.25">
      <c r="B146" s="38" t="str">
        <f>IF($A146=0,"",VLOOKUP($A146,'BASE MATERIAL'!$A:$D,2))</f>
        <v/>
      </c>
      <c r="C146" s="2"/>
      <c r="D146" s="77"/>
      <c r="E146" s="78" t="str">
        <f>IF($A146=0,"",VLOOKUP($A146,'BASE MATERIAL'!$A:$D,3))</f>
        <v/>
      </c>
      <c r="F146" s="55"/>
      <c r="G146" s="80" t="str">
        <f>IF($A146=0,"",VLOOKUP($A146,'BASE MATERIAL'!$A:$D,4))</f>
        <v/>
      </c>
      <c r="H146" s="56" t="str">
        <f t="shared" si="14"/>
        <v/>
      </c>
      <c r="I146" s="2"/>
      <c r="L146" s="2"/>
      <c r="M146" s="2"/>
      <c r="N146" s="39"/>
      <c r="O146" s="2"/>
      <c r="P146" s="2"/>
    </row>
    <row r="147" spans="1:16" x14ac:dyDescent="0.25">
      <c r="B147" s="38" t="str">
        <f>IF($A147=0,"",VLOOKUP($A147,'BASE MATERIAL'!$A:$D,2))</f>
        <v/>
      </c>
      <c r="C147" s="2"/>
      <c r="D147" s="77"/>
      <c r="E147" s="78" t="str">
        <f>IF($A147=0,"",VLOOKUP($A147,'BASE MATERIAL'!$A:$D,3))</f>
        <v/>
      </c>
      <c r="F147" s="55"/>
      <c r="G147" s="55" t="str">
        <f>IF($A147=0,"",VLOOKUP($A147,'BASE MATERIAL'!$A:$D,4))</f>
        <v/>
      </c>
      <c r="H147" s="56" t="str">
        <f t="shared" si="14"/>
        <v/>
      </c>
      <c r="I147" s="2"/>
      <c r="L147" s="2"/>
      <c r="M147" s="2"/>
      <c r="N147" s="39"/>
      <c r="O147" s="2"/>
      <c r="P147" s="2"/>
    </row>
    <row r="148" spans="1:16" x14ac:dyDescent="0.25">
      <c r="B148" s="38" t="str">
        <f>IF($A148=0,"",VLOOKUP($A148,'BASE MATERIAL'!$A:$D,2))</f>
        <v/>
      </c>
      <c r="C148" s="2"/>
      <c r="D148" s="77"/>
      <c r="E148" s="78" t="str">
        <f>IF($A148=0,"",VLOOKUP($A148,'BASE MATERIAL'!$A:$D,3))</f>
        <v/>
      </c>
      <c r="F148" s="55"/>
      <c r="G148" s="55" t="str">
        <f>IF($A148=0,"",VLOOKUP($A148,'BASE MATERIAL'!$A:$D,4))</f>
        <v/>
      </c>
      <c r="H148" s="56" t="str">
        <f t="shared" si="14"/>
        <v/>
      </c>
      <c r="I148" s="2"/>
      <c r="L148" s="2"/>
      <c r="M148" s="2"/>
      <c r="N148" s="39"/>
      <c r="O148" s="2"/>
      <c r="P148" s="2"/>
    </row>
    <row r="149" spans="1:16" x14ac:dyDescent="0.25">
      <c r="B149" s="38" t="str">
        <f>IF($A149=0,"",VLOOKUP($A149,'BASE MATERIAL'!$A:$D,2))</f>
        <v/>
      </c>
      <c r="C149" s="2"/>
      <c r="D149" s="77"/>
      <c r="E149" s="78" t="str">
        <f>IF($A149=0,"",VLOOKUP($A149,'BASE MATERIAL'!$A:$D,3))</f>
        <v/>
      </c>
      <c r="F149" s="55"/>
      <c r="G149" s="55" t="str">
        <f>IF($A149=0,"",VLOOKUP($A149,'BASE MATERIAL'!$A:$D,4))</f>
        <v/>
      </c>
      <c r="H149" s="56" t="str">
        <f t="shared" si="14"/>
        <v/>
      </c>
      <c r="I149" s="2"/>
    </row>
    <row r="150" spans="1:16" x14ac:dyDescent="0.25">
      <c r="B150" s="38" t="str">
        <f>IF($A150=0,"",VLOOKUP($A150,'BASE MATERIAL'!$A:$D,2))</f>
        <v/>
      </c>
      <c r="C150" s="2"/>
      <c r="D150" s="77"/>
      <c r="E150" s="78" t="str">
        <f>IF($A150=0,"",VLOOKUP($A150,'BASE MATERIAL'!$A:$D,3))</f>
        <v/>
      </c>
      <c r="F150" s="55"/>
      <c r="G150" s="55" t="str">
        <f>IF($A150=0,"",VLOOKUP($A150,'BASE MATERIAL'!$A:$D,4))</f>
        <v/>
      </c>
      <c r="H150" s="56" t="str">
        <f t="shared" si="14"/>
        <v/>
      </c>
      <c r="I150" s="2"/>
      <c r="L150" s="2"/>
      <c r="M150" s="2"/>
      <c r="N150" s="39"/>
      <c r="O150" s="2"/>
      <c r="P150" s="2"/>
    </row>
    <row r="151" spans="1:16" x14ac:dyDescent="0.25">
      <c r="B151" s="38" t="str">
        <f>IF($A151=0,"",VLOOKUP($A151,'BASE MATERIAL'!$A:$D,2))</f>
        <v/>
      </c>
      <c r="C151" s="2"/>
      <c r="D151" s="77"/>
      <c r="E151" s="78" t="str">
        <f>IF($A151=0,"",VLOOKUP($A151,'BASE MATERIAL'!$A:$D,3))</f>
        <v/>
      </c>
      <c r="F151" s="55"/>
      <c r="G151" s="55" t="str">
        <f>IF($A151=0,"",VLOOKUP($A151,'BASE MATERIAL'!$A:$D,4))</f>
        <v/>
      </c>
      <c r="H151" s="56" t="str">
        <f t="shared" si="14"/>
        <v/>
      </c>
      <c r="I151" s="2"/>
      <c r="L151" s="2"/>
      <c r="M151" s="2"/>
      <c r="N151" s="39"/>
      <c r="O151" s="2"/>
      <c r="P151" s="2"/>
    </row>
    <row r="152" spans="1:16" x14ac:dyDescent="0.25">
      <c r="B152" s="38" t="str">
        <f>IF($A152=0,"",VLOOKUP($A152,'BASE MATERIAL'!$A:$D,2))</f>
        <v/>
      </c>
      <c r="C152" s="2"/>
      <c r="D152" s="77"/>
      <c r="E152" s="78" t="str">
        <f>IF($A152=0,"",VLOOKUP($A152,'BASE MATERIAL'!$A:$D,3))</f>
        <v/>
      </c>
      <c r="F152" s="55"/>
      <c r="G152" s="55" t="str">
        <f>IF($A152=0,"",VLOOKUP($A152,'BASE MATERIAL'!$A:$D,4))</f>
        <v/>
      </c>
      <c r="H152" s="56" t="str">
        <f t="shared" si="14"/>
        <v/>
      </c>
      <c r="I152" s="2"/>
    </row>
    <row r="153" spans="1:16" x14ac:dyDescent="0.25">
      <c r="B153" s="38" t="str">
        <f>IF($A153=0,"",VLOOKUP($A153,'BASE MATERIAL'!$A:$D,2))</f>
        <v/>
      </c>
      <c r="C153" s="2"/>
      <c r="D153" s="77"/>
      <c r="E153" s="78" t="str">
        <f>IF($A153=0,"",VLOOKUP($A153,'BASE MATERIAL'!$A:$D,3))</f>
        <v/>
      </c>
      <c r="F153" s="55"/>
      <c r="G153" s="55" t="str">
        <f>IF($A153=0,"",VLOOKUP($A153,'BASE MATERIAL'!$A:$D,4))</f>
        <v/>
      </c>
      <c r="H153" s="56" t="str">
        <f t="shared" si="14"/>
        <v/>
      </c>
      <c r="I153" s="2"/>
    </row>
    <row r="154" spans="1:16" x14ac:dyDescent="0.25">
      <c r="B154" s="38" t="str">
        <f>IF($A154=0,"",VLOOKUP($A154,'BASE MATERIAL'!$A:$D,2))</f>
        <v/>
      </c>
      <c r="C154" s="2"/>
      <c r="D154" s="77"/>
      <c r="E154" s="78" t="str">
        <f>IF($A154=0,"",VLOOKUP($A154,'BASE MATERIAL'!$A:$D,3))</f>
        <v/>
      </c>
      <c r="F154" s="55"/>
      <c r="G154" s="55" t="str">
        <f>IF($A154=0,"",VLOOKUP($A154,'BASE MATERIAL'!$A:$D,4))</f>
        <v/>
      </c>
      <c r="H154" s="56" t="str">
        <f t="shared" si="14"/>
        <v/>
      </c>
      <c r="I154" s="2"/>
    </row>
    <row r="155" spans="1:16" x14ac:dyDescent="0.25">
      <c r="B155" s="38" t="str">
        <f>IF($A155=0,"",VLOOKUP($A155,'BASE MATERIAL'!$A:$D,2))</f>
        <v/>
      </c>
      <c r="C155" s="2"/>
      <c r="D155" s="77"/>
      <c r="E155" s="78" t="str">
        <f>IF($A155=0,"",VLOOKUP($A155,'BASE MATERIAL'!$A:$D,3))</f>
        <v/>
      </c>
      <c r="F155" s="55"/>
      <c r="G155" s="55" t="str">
        <f>IF($A155=0,"",VLOOKUP($A155,'BASE MATERIAL'!$A:$D,4))</f>
        <v/>
      </c>
      <c r="H155" s="56" t="str">
        <f t="shared" si="14"/>
        <v/>
      </c>
      <c r="I155" s="2"/>
    </row>
    <row r="156" spans="1:16" x14ac:dyDescent="0.25">
      <c r="B156" s="38" t="str">
        <f>IF($A156=0,"",VLOOKUP($A156,'BASE MATERIAL'!$A:$D,2))</f>
        <v/>
      </c>
      <c r="C156" s="2"/>
      <c r="D156" s="81" t="s">
        <v>1682</v>
      </c>
      <c r="E156" s="55" t="str">
        <f>IF($A156=0,"",VLOOKUP($A156,'BASE MATERIAL'!$A:$D,3))</f>
        <v/>
      </c>
      <c r="F156" s="55" t="s">
        <v>1682</v>
      </c>
      <c r="G156" s="55" t="str">
        <f>IF($A156=0,"",VLOOKUP($A156,'BASE MATERIAL'!$A:$D,4))</f>
        <v/>
      </c>
      <c r="H156" s="56" t="str">
        <f>IF($A156=0,"",ROUND(E156*F156,2))</f>
        <v/>
      </c>
      <c r="I156" s="2"/>
    </row>
    <row r="157" spans="1:16" x14ac:dyDescent="0.25">
      <c r="B157" s="73" t="s">
        <v>1681</v>
      </c>
      <c r="C157" s="65"/>
      <c r="D157" s="74"/>
      <c r="E157" s="74"/>
      <c r="F157" s="74"/>
      <c r="G157" s="74"/>
      <c r="H157" s="75">
        <f>ROUND(SUM(H140:H156),2)</f>
        <v>9.92</v>
      </c>
      <c r="I157" s="2"/>
    </row>
    <row r="158" spans="1:16" x14ac:dyDescent="0.25">
      <c r="B158" s="38" t="s">
        <v>1680</v>
      </c>
      <c r="C158" s="2"/>
      <c r="D158" s="3"/>
      <c r="E158" s="3"/>
      <c r="F158" s="3"/>
      <c r="G158" s="3"/>
      <c r="H158" s="56"/>
      <c r="I158" s="2"/>
    </row>
    <row r="159" spans="1:16" ht="25.5" x14ac:dyDescent="0.25">
      <c r="B159" s="64" t="s">
        <v>1409</v>
      </c>
      <c r="C159" s="65"/>
      <c r="D159" s="76"/>
      <c r="E159" s="66" t="s">
        <v>1408</v>
      </c>
      <c r="F159" s="66" t="s">
        <v>1679</v>
      </c>
      <c r="G159" s="66" t="s">
        <v>1676</v>
      </c>
      <c r="H159" s="68" t="s">
        <v>1675</v>
      </c>
      <c r="I159" s="2"/>
    </row>
    <row r="160" spans="1:16" x14ac:dyDescent="0.25">
      <c r="A160" s="103">
        <v>19019</v>
      </c>
      <c r="B160" s="51" t="str">
        <f>IF($A160=0,"",VLOOKUP($A160,'BASE EQUIPO'!$A:$D,2))</f>
        <v>TRANSPORTE DE MATERIAL</v>
      </c>
      <c r="C160" s="52"/>
      <c r="D160" s="82"/>
      <c r="E160" s="78" t="str">
        <f>IF($A160=0,"",VLOOKUP($A160,'BASE EQUIPO'!$A:$D,3))</f>
        <v>GLOBAL</v>
      </c>
      <c r="F160" s="55">
        <v>1</v>
      </c>
      <c r="G160" s="83">
        <f>IF($A160=0,"",VLOOKUP($A160,'BASE EQUIPO'!$A:$D,4)*H157)</f>
        <v>0.29759999999999998</v>
      </c>
      <c r="H160" s="56">
        <f>IF($A160=0,"",ROUND(F160*G160,2))</f>
        <v>0.3</v>
      </c>
      <c r="I160" s="2"/>
    </row>
    <row r="161" spans="1:15" x14ac:dyDescent="0.25">
      <c r="B161" s="38" t="str">
        <f>IF($A161=0,"",VLOOKUP($A161,'BASE EQUIPO'!$A:$D,2))</f>
        <v/>
      </c>
      <c r="C161" s="2"/>
      <c r="D161" s="84"/>
      <c r="E161" s="78" t="str">
        <f>IF($A161=0,"",VLOOKUP($A161,'BASE EQUIPO'!$A:$D,3))</f>
        <v/>
      </c>
      <c r="F161" s="55"/>
      <c r="G161" s="55" t="str">
        <f>IF($A161=0,"",VLOOKUP($A161,'BASE EQUIPO'!$A:$D,4)*H158)</f>
        <v/>
      </c>
      <c r="H161" s="56" t="str">
        <f>IF($A161=0,"",ROUND(F161*G161,2))</f>
        <v/>
      </c>
      <c r="I161" s="2"/>
    </row>
    <row r="162" spans="1:15" x14ac:dyDescent="0.25">
      <c r="B162" s="57" t="str">
        <f>IF($A162=0,"",VLOOKUP($A162,'BASE EQUIPO'!$A:$D,2))</f>
        <v/>
      </c>
      <c r="C162" s="58"/>
      <c r="D162" s="85"/>
      <c r="E162" s="86" t="str">
        <f>IF($A162=0,"",VLOOKUP($A162,'BASE EQUIPO'!$A:$D,3))</f>
        <v/>
      </c>
      <c r="F162" s="59"/>
      <c r="G162" s="59" t="str">
        <f>IF($A162=0,"",VLOOKUP($A162,'BASE EQUIPO'!$A:$D,4)*H159)</f>
        <v/>
      </c>
      <c r="H162" s="60" t="str">
        <f>IF($A162=0,"",ROUND(F162*G162,2))</f>
        <v/>
      </c>
      <c r="I162" s="2"/>
    </row>
    <row r="163" spans="1:15" ht="15.75" thickBot="1" x14ac:dyDescent="0.3">
      <c r="B163" s="87" t="s">
        <v>1674</v>
      </c>
      <c r="C163" s="88"/>
      <c r="D163" s="89"/>
      <c r="E163" s="89"/>
      <c r="F163" s="89"/>
      <c r="G163" s="89"/>
      <c r="H163" s="90">
        <f>ROUND(SUM(H159:H162),2)</f>
        <v>0.3</v>
      </c>
      <c r="I163" s="2"/>
    </row>
    <row r="164" spans="1:15" ht="15.75" x14ac:dyDescent="0.25">
      <c r="B164" s="2"/>
      <c r="C164" s="2"/>
      <c r="D164" s="91" t="s">
        <v>1673</v>
      </c>
      <c r="E164" s="47"/>
      <c r="F164" s="47"/>
      <c r="G164" s="47"/>
      <c r="H164" s="92">
        <f>ROUND(SUM(H163,H157,H138,H128),2)</f>
        <v>13.68</v>
      </c>
      <c r="I164" s="2"/>
    </row>
    <row r="165" spans="1:15" ht="15.75" x14ac:dyDescent="0.25">
      <c r="A165" s="103">
        <v>40002</v>
      </c>
      <c r="B165" s="2"/>
      <c r="C165" s="2"/>
      <c r="D165" s="93" t="s">
        <v>1672</v>
      </c>
      <c r="E165" s="65"/>
      <c r="F165" s="65"/>
      <c r="G165" s="94">
        <f>IF($A165=0,"",VLOOKUP($A165,'BASE MATERIAL'!$M:$P,4))</f>
        <v>0</v>
      </c>
      <c r="H165" s="95">
        <f>IF($A165=0,"",ROUND(G165*H164,2))</f>
        <v>0</v>
      </c>
      <c r="I165" s="2"/>
    </row>
    <row r="166" spans="1:15" ht="15.75" x14ac:dyDescent="0.25">
      <c r="A166" s="103">
        <v>40003</v>
      </c>
      <c r="B166" s="2"/>
      <c r="C166" s="2"/>
      <c r="D166" s="93" t="s">
        <v>1671</v>
      </c>
      <c r="E166" s="65"/>
      <c r="F166" s="65"/>
      <c r="G166" s="94">
        <f>IF($A166=0,"",VLOOKUP($A166,'BASE MATERIAL'!$M:$P,4))</f>
        <v>0</v>
      </c>
      <c r="H166" s="95">
        <f>IF($A166=0,"",ROUND(G166*H164,2))</f>
        <v>0</v>
      </c>
      <c r="I166" s="2"/>
    </row>
    <row r="167" spans="1:15" ht="15.75" x14ac:dyDescent="0.25">
      <c r="B167" s="2"/>
      <c r="C167" s="2"/>
      <c r="D167" s="93" t="s">
        <v>1670</v>
      </c>
      <c r="E167" s="65"/>
      <c r="F167" s="65"/>
      <c r="G167" s="65"/>
      <c r="H167" s="96">
        <f>ROUND(SUM(H164:H166),2)</f>
        <v>13.68</v>
      </c>
      <c r="I167" s="2"/>
    </row>
    <row r="168" spans="1:15" ht="16.5" thickBot="1" x14ac:dyDescent="0.3">
      <c r="B168" s="25"/>
      <c r="C168" s="2"/>
      <c r="D168" s="97" t="s">
        <v>1650</v>
      </c>
      <c r="E168" s="88"/>
      <c r="F168" s="88"/>
      <c r="G168" s="88"/>
      <c r="H168" s="98">
        <f>ROUND(H167,2)</f>
        <v>13.68</v>
      </c>
      <c r="I168" s="2"/>
    </row>
    <row r="169" spans="1:15" ht="15.75" x14ac:dyDescent="0.25">
      <c r="B169" s="34" t="s">
        <v>1701</v>
      </c>
      <c r="C169" s="2"/>
      <c r="D169" s="3" t="str">
        <f>'1.1'!$D$1</f>
        <v>ESPOL</v>
      </c>
      <c r="E169" s="2"/>
      <c r="F169" s="2"/>
      <c r="H169" s="2" t="s">
        <v>108</v>
      </c>
      <c r="I169" s="2"/>
      <c r="L169" s="40">
        <f>A173</f>
        <v>1</v>
      </c>
      <c r="M169" s="1" t="str">
        <f>C174</f>
        <v>Fibrocel prepintado (perfileria metalica prepintada)</v>
      </c>
      <c r="N169" s="2" t="str">
        <f>H173</f>
        <v>m2</v>
      </c>
      <c r="O169" s="2">
        <f>H224</f>
        <v>15.21</v>
      </c>
    </row>
    <row r="170" spans="1:15" ht="15.75" x14ac:dyDescent="0.25">
      <c r="B170" s="34" t="s">
        <v>1700</v>
      </c>
      <c r="C170" s="3">
        <f>'1.1'!$C$2</f>
        <v>0</v>
      </c>
      <c r="D170" s="2"/>
      <c r="E170" s="2"/>
      <c r="F170" s="2"/>
      <c r="G170" s="41" t="s">
        <v>1699</v>
      </c>
      <c r="H170" s="42"/>
      <c r="I170" s="2" t="s">
        <v>1698</v>
      </c>
    </row>
    <row r="171" spans="1:15" ht="15.75" x14ac:dyDescent="0.25">
      <c r="B171" s="34"/>
      <c r="C171" s="3">
        <f>'1.1'!$C$3</f>
        <v>0</v>
      </c>
      <c r="D171" s="2"/>
      <c r="E171" s="2"/>
      <c r="F171" s="2"/>
      <c r="G171" s="2"/>
      <c r="H171" s="2"/>
      <c r="I171" s="2"/>
    </row>
    <row r="172" spans="1:15" ht="15.75" x14ac:dyDescent="0.25">
      <c r="B172" s="34" t="s">
        <v>1697</v>
      </c>
      <c r="C172" s="3"/>
      <c r="D172" s="2"/>
      <c r="E172" s="2"/>
      <c r="F172" s="2"/>
      <c r="G172" s="2"/>
      <c r="H172" s="2"/>
      <c r="I172" s="2"/>
    </row>
    <row r="173" spans="1:15" x14ac:dyDescent="0.25">
      <c r="A173" s="104">
        <v>1</v>
      </c>
      <c r="B173" s="2" t="s">
        <v>1586</v>
      </c>
      <c r="C173" s="36" t="s">
        <v>1530</v>
      </c>
      <c r="D173" s="2"/>
      <c r="G173" s="2" t="s">
        <v>1696</v>
      </c>
      <c r="H173" s="3" t="s">
        <v>1520</v>
      </c>
      <c r="I173" s="2"/>
    </row>
    <row r="174" spans="1:15" x14ac:dyDescent="0.25">
      <c r="B174" s="1" t="s">
        <v>1585</v>
      </c>
      <c r="C174" s="36" t="s">
        <v>78</v>
      </c>
      <c r="D174" s="2"/>
      <c r="E174" s="2"/>
      <c r="F174" s="2"/>
      <c r="G174" s="2"/>
      <c r="H174" s="2"/>
      <c r="I174" s="2"/>
    </row>
    <row r="175" spans="1:15" ht="15.75" thickBot="1" x14ac:dyDescent="0.3">
      <c r="D175" s="2"/>
      <c r="E175" s="2"/>
      <c r="F175" s="2"/>
      <c r="G175" s="2"/>
      <c r="H175" s="2"/>
      <c r="I175" s="2"/>
    </row>
    <row r="176" spans="1:15" ht="15.75" thickBot="1" x14ac:dyDescent="0.3">
      <c r="B176" s="43" t="s">
        <v>1695</v>
      </c>
      <c r="C176" s="44"/>
      <c r="D176" s="44"/>
      <c r="E176" s="44"/>
      <c r="F176" s="44"/>
      <c r="G176" s="44"/>
      <c r="H176" s="45"/>
      <c r="I176" s="2"/>
    </row>
    <row r="177" spans="1:9" ht="25.5" x14ac:dyDescent="0.25">
      <c r="B177" s="46" t="s">
        <v>1409</v>
      </c>
      <c r="C177" s="47"/>
      <c r="D177" s="48" t="s">
        <v>1690</v>
      </c>
      <c r="E177" s="48" t="s">
        <v>1694</v>
      </c>
      <c r="F177" s="48" t="s">
        <v>1693</v>
      </c>
      <c r="G177" s="49" t="s">
        <v>1687</v>
      </c>
      <c r="H177" s="50" t="s">
        <v>1686</v>
      </c>
      <c r="I177" s="2"/>
    </row>
    <row r="178" spans="1:9" x14ac:dyDescent="0.25">
      <c r="A178" s="103">
        <v>19015</v>
      </c>
      <c r="B178" s="51" t="str">
        <f>IF($A178=0,"",VLOOKUP($A178,'BASE EQUIPO'!$A:$D,2))</f>
        <v>HERRAMIENTA MENOR</v>
      </c>
      <c r="C178" s="52"/>
      <c r="D178" s="53">
        <v>1</v>
      </c>
      <c r="E178" s="53">
        <f>IF($A178=0,"",VLOOKUP($A178,'BASE EQUIPO'!$A:$D,4)*H194)</f>
        <v>0.1176</v>
      </c>
      <c r="F178" s="53">
        <f t="shared" ref="F178:F183" si="15">IF($A178=0,"",ROUND(D178*E178,2))</f>
        <v>0.12</v>
      </c>
      <c r="G178" s="105">
        <v>1</v>
      </c>
      <c r="H178" s="54">
        <f t="shared" ref="H178:H183" si="16">IF($A178=0,"",ROUND(G178*F178,2))</f>
        <v>0.12</v>
      </c>
      <c r="I178" s="2"/>
    </row>
    <row r="179" spans="1:9" x14ac:dyDescent="0.25">
      <c r="A179" s="103">
        <v>19025</v>
      </c>
      <c r="B179" s="38" t="str">
        <f>IF($A179=0,"",VLOOKUP($A179,'BASE EQUIPO'!$A:$D,2))</f>
        <v xml:space="preserve">ANDAMIOS </v>
      </c>
      <c r="C179" s="2"/>
      <c r="D179" s="55">
        <v>1</v>
      </c>
      <c r="E179" s="55">
        <f>IF($A179=0,"",VLOOKUP($A179,'BASE EQUIPO'!$A:$D,4))</f>
        <v>5.54</v>
      </c>
      <c r="F179" s="55">
        <f t="shared" si="15"/>
        <v>5.54</v>
      </c>
      <c r="G179" s="106">
        <v>0.1</v>
      </c>
      <c r="H179" s="56">
        <f t="shared" si="16"/>
        <v>0.55000000000000004</v>
      </c>
      <c r="I179" s="2"/>
    </row>
    <row r="180" spans="1:9" x14ac:dyDescent="0.25">
      <c r="B180" s="38" t="str">
        <f>IF($A180=0,"",VLOOKUP($A180,'BASE EQUIPO'!$A:$D,2))</f>
        <v/>
      </c>
      <c r="C180" s="2"/>
      <c r="D180" s="55"/>
      <c r="E180" s="55" t="str">
        <f>IF($A180=0,"",VLOOKUP($A180,'BASE EQUIPO'!$A:$D,4))</f>
        <v/>
      </c>
      <c r="F180" s="55" t="str">
        <f t="shared" si="15"/>
        <v/>
      </c>
      <c r="G180" s="106"/>
      <c r="H180" s="56" t="str">
        <f t="shared" si="16"/>
        <v/>
      </c>
      <c r="I180" s="2"/>
    </row>
    <row r="181" spans="1:9" x14ac:dyDescent="0.25">
      <c r="B181" s="38" t="str">
        <f>IF($A181=0,"",VLOOKUP($A181,'BASE EQUIPO'!$A:$D,2))</f>
        <v/>
      </c>
      <c r="C181" s="2"/>
      <c r="D181" s="55"/>
      <c r="E181" s="55" t="str">
        <f>IF($A181=0,"",VLOOKUP($A181,'BASE EQUIPO'!$A:$D,4))</f>
        <v/>
      </c>
      <c r="F181" s="55" t="str">
        <f t="shared" si="15"/>
        <v/>
      </c>
      <c r="G181" s="106"/>
      <c r="H181" s="56" t="str">
        <f t="shared" si="16"/>
        <v/>
      </c>
      <c r="I181" s="2"/>
    </row>
    <row r="182" spans="1:9" x14ac:dyDescent="0.25">
      <c r="B182" s="38" t="str">
        <f>IF($A182=0,"",VLOOKUP($A182,'BASE EQUIPO'!$A:$D,2))</f>
        <v/>
      </c>
      <c r="C182" s="2"/>
      <c r="D182" s="55"/>
      <c r="E182" s="55" t="str">
        <f>IF($A182=0,"",VLOOKUP($A182,'BASE EQUIPO'!$A:$D,4))</f>
        <v/>
      </c>
      <c r="F182" s="55" t="str">
        <f t="shared" si="15"/>
        <v/>
      </c>
      <c r="G182" s="106"/>
      <c r="H182" s="56" t="str">
        <f t="shared" si="16"/>
        <v/>
      </c>
      <c r="I182" s="2"/>
    </row>
    <row r="183" spans="1:9" x14ac:dyDescent="0.25">
      <c r="B183" s="57" t="str">
        <f>IF($A183=0,"",VLOOKUP($A183,'BASE EQUIPO'!$A:$D,2))</f>
        <v/>
      </c>
      <c r="C183" s="58"/>
      <c r="D183" s="59"/>
      <c r="E183" s="59" t="str">
        <f>IF($A183=0,"",VLOOKUP($A183,'BASE EQUIPO'!$A:$D,4))</f>
        <v/>
      </c>
      <c r="F183" s="59" t="str">
        <f t="shared" si="15"/>
        <v/>
      </c>
      <c r="G183" s="107"/>
      <c r="H183" s="60" t="str">
        <f t="shared" si="16"/>
        <v/>
      </c>
      <c r="I183" s="2"/>
    </row>
    <row r="184" spans="1:9" x14ac:dyDescent="0.25">
      <c r="B184" s="57" t="s">
        <v>1692</v>
      </c>
      <c r="C184" s="58"/>
      <c r="D184" s="61"/>
      <c r="E184" s="61"/>
      <c r="F184" s="61"/>
      <c r="G184" s="62"/>
      <c r="H184" s="60">
        <f>ROUND(SUM(H177:H183),2)</f>
        <v>0.67</v>
      </c>
      <c r="I184" s="2"/>
    </row>
    <row r="185" spans="1:9" x14ac:dyDescent="0.25">
      <c r="B185" s="38" t="s">
        <v>1503</v>
      </c>
      <c r="C185" s="2"/>
      <c r="D185" s="3"/>
      <c r="E185" s="3"/>
      <c r="F185" s="3"/>
      <c r="G185" s="63"/>
      <c r="H185" s="56"/>
      <c r="I185" s="2"/>
    </row>
    <row r="186" spans="1:9" ht="25.5" x14ac:dyDescent="0.25">
      <c r="B186" s="64" t="s">
        <v>1691</v>
      </c>
      <c r="C186" s="65"/>
      <c r="D186" s="66" t="s">
        <v>1690</v>
      </c>
      <c r="E186" s="66" t="s">
        <v>1689</v>
      </c>
      <c r="F186" s="66" t="s">
        <v>1688</v>
      </c>
      <c r="G186" s="67" t="s">
        <v>1687</v>
      </c>
      <c r="H186" s="68" t="s">
        <v>1686</v>
      </c>
      <c r="I186" s="2"/>
    </row>
    <row r="187" spans="1:9" x14ac:dyDescent="0.25">
      <c r="B187" s="69" t="str">
        <f>IF($A187=0,"",VLOOKUP($A187,'BASE M-OBRA'!$A:$D,2))</f>
        <v/>
      </c>
      <c r="C187" s="2"/>
      <c r="D187" s="108"/>
      <c r="E187" s="70" t="str">
        <f>IF($A187=0,"",VLOOKUP($A187,'BASE M-OBRA'!$A:$D,4))</f>
        <v/>
      </c>
      <c r="F187" s="55" t="str">
        <f t="shared" ref="F187:F193" si="17">IF($A187=0,"",ROUND(D187*E187,2))</f>
        <v/>
      </c>
      <c r="G187" s="106" t="str">
        <f>IF($A187=0,"",ROUND(H187/F187,2))</f>
        <v/>
      </c>
      <c r="H187" s="56" t="str">
        <f>IF($A187=0,"",ROUND(SUM(H188:H193)*'BASE M-OBRA'!$D$23,2))</f>
        <v/>
      </c>
      <c r="I187" s="2"/>
    </row>
    <row r="188" spans="1:9" x14ac:dyDescent="0.25">
      <c r="A188" s="103">
        <v>20019</v>
      </c>
      <c r="B188" s="69" t="str">
        <f>IF($A188=0,"",VLOOKUP($A188,'BASE M-OBRA'!$A:$D,2))</f>
        <v>INSTALADOR</v>
      </c>
      <c r="C188" s="2"/>
      <c r="D188" s="108">
        <v>1</v>
      </c>
      <c r="E188" s="70">
        <f>IF($A188=0,"",VLOOKUP($A188,'BASE M-OBRA'!$A:$D,4))</f>
        <v>2.82</v>
      </c>
      <c r="F188" s="55">
        <f t="shared" si="17"/>
        <v>2.82</v>
      </c>
      <c r="G188" s="106">
        <v>0.7</v>
      </c>
      <c r="H188" s="56">
        <f t="shared" ref="H188:H193" si="18">IF($A188=0,"",ROUND(G188*F188,2))</f>
        <v>1.97</v>
      </c>
      <c r="I188" s="2"/>
    </row>
    <row r="189" spans="1:9" x14ac:dyDescent="0.25">
      <c r="A189" s="103">
        <v>20011</v>
      </c>
      <c r="B189" s="69" t="str">
        <f>IF($A189=0,"",VLOOKUP($A189,'BASE M-OBRA'!$A:$D,2))</f>
        <v>AYUDANTE ESPECIALISTA</v>
      </c>
      <c r="C189" s="2"/>
      <c r="D189" s="108">
        <v>1</v>
      </c>
      <c r="E189" s="70">
        <f>IF($A189=0,"",VLOOKUP($A189,'BASE M-OBRA'!$A:$D,4))</f>
        <v>2.79</v>
      </c>
      <c r="F189" s="55">
        <f t="shared" si="17"/>
        <v>2.79</v>
      </c>
      <c r="G189" s="106">
        <f>+G188</f>
        <v>0.7</v>
      </c>
      <c r="H189" s="56">
        <f t="shared" si="18"/>
        <v>1.95</v>
      </c>
      <c r="I189" s="2"/>
    </row>
    <row r="190" spans="1:9" x14ac:dyDescent="0.25">
      <c r="B190" s="71" t="str">
        <f>IF($A190=0,"",VLOOKUP($A190,'BASE M-OBRA'!$A:$D,2))</f>
        <v/>
      </c>
      <c r="C190" s="2"/>
      <c r="D190" s="108"/>
      <c r="E190" s="70" t="str">
        <f>IF($A190=0,"",VLOOKUP($A190,'BASE M-OBRA'!$A:$D,4))</f>
        <v/>
      </c>
      <c r="F190" s="55" t="str">
        <f t="shared" si="17"/>
        <v/>
      </c>
      <c r="G190" s="106"/>
      <c r="H190" s="56" t="str">
        <f t="shared" si="18"/>
        <v/>
      </c>
      <c r="I190" s="2"/>
    </row>
    <row r="191" spans="1:9" x14ac:dyDescent="0.25">
      <c r="B191" s="72" t="str">
        <f>IF($A191=0,"",VLOOKUP($A191,'BASE M-OBRA'!$A:$D,2))</f>
        <v/>
      </c>
      <c r="C191" s="2"/>
      <c r="D191" s="108"/>
      <c r="E191" s="70" t="str">
        <f>IF($A191=0,"",VLOOKUP($A191,'BASE M-OBRA'!$A:$D,4))</f>
        <v/>
      </c>
      <c r="F191" s="55" t="str">
        <f t="shared" si="17"/>
        <v/>
      </c>
      <c r="G191" s="106"/>
      <c r="H191" s="56" t="str">
        <f t="shared" si="18"/>
        <v/>
      </c>
      <c r="I191" s="2"/>
    </row>
    <row r="192" spans="1:9" x14ac:dyDescent="0.25">
      <c r="B192" s="38" t="str">
        <f>IF($A192=0,"",VLOOKUP($A192,'BASE M-OBRA'!$A:$D,2))</f>
        <v/>
      </c>
      <c r="C192" s="2"/>
      <c r="D192" s="55"/>
      <c r="E192" s="55" t="str">
        <f>IF($A192=0,"",VLOOKUP($A192,'BASE M-OBRA'!$A:$D,4))</f>
        <v/>
      </c>
      <c r="F192" s="55" t="str">
        <f t="shared" si="17"/>
        <v/>
      </c>
      <c r="G192" s="106"/>
      <c r="H192" s="56" t="str">
        <f t="shared" si="18"/>
        <v/>
      </c>
      <c r="I192" s="2"/>
    </row>
    <row r="193" spans="1:16" x14ac:dyDescent="0.25">
      <c r="B193" s="57" t="str">
        <f>IF($A193=0,"",VLOOKUP($A193,'BASE M-OBRA'!$A:$D,2))</f>
        <v/>
      </c>
      <c r="C193" s="58"/>
      <c r="D193" s="59"/>
      <c r="E193" s="59" t="str">
        <f>IF($A193=0,"",VLOOKUP($A193,'BASE M-OBRA'!$A:$D,4))</f>
        <v/>
      </c>
      <c r="F193" s="59" t="str">
        <f t="shared" si="17"/>
        <v/>
      </c>
      <c r="G193" s="107"/>
      <c r="H193" s="60" t="str">
        <f t="shared" si="18"/>
        <v/>
      </c>
      <c r="I193" s="2"/>
    </row>
    <row r="194" spans="1:16" x14ac:dyDescent="0.25">
      <c r="B194" s="73" t="s">
        <v>1685</v>
      </c>
      <c r="C194" s="65"/>
      <c r="D194" s="74"/>
      <c r="E194" s="74"/>
      <c r="F194" s="74"/>
      <c r="G194" s="74"/>
      <c r="H194" s="75">
        <f>ROUND(SUM(H186:H193),2)</f>
        <v>3.92</v>
      </c>
      <c r="I194" s="2"/>
    </row>
    <row r="195" spans="1:16" x14ac:dyDescent="0.25">
      <c r="B195" s="38" t="s">
        <v>1684</v>
      </c>
      <c r="C195" s="2"/>
      <c r="D195" s="3"/>
      <c r="E195" s="3"/>
      <c r="F195" s="3"/>
      <c r="G195" s="3"/>
      <c r="H195" s="56"/>
      <c r="I195" s="2"/>
    </row>
    <row r="196" spans="1:16" ht="25.5" x14ac:dyDescent="0.25">
      <c r="B196" s="64" t="s">
        <v>1409</v>
      </c>
      <c r="C196" s="65"/>
      <c r="D196" s="76"/>
      <c r="E196" s="66" t="s">
        <v>1408</v>
      </c>
      <c r="F196" s="66" t="s">
        <v>1679</v>
      </c>
      <c r="G196" s="66" t="s">
        <v>1683</v>
      </c>
      <c r="H196" s="68" t="s">
        <v>1675</v>
      </c>
      <c r="I196" s="2"/>
    </row>
    <row r="197" spans="1:16" x14ac:dyDescent="0.25">
      <c r="A197" s="103">
        <v>12014</v>
      </c>
      <c r="B197" s="38" t="str">
        <f>IF($A197=0,"",VLOOKUP($A197,'BASE MATERIAL'!$A:$D,2))</f>
        <v>FIBROCEL PREPINTADO</v>
      </c>
      <c r="C197" s="2"/>
      <c r="D197" s="77"/>
      <c r="E197" s="78" t="str">
        <f>IF($A197=0,"",VLOOKUP($A197,'BASE MATERIAL'!$A:$D,3))</f>
        <v>M2</v>
      </c>
      <c r="F197" s="55">
        <v>1</v>
      </c>
      <c r="G197" s="55">
        <f>IF($A197=0,"",VLOOKUP($A197,'BASE MATERIAL'!$A:$D,4))</f>
        <v>5.0555555555555562</v>
      </c>
      <c r="H197" s="56">
        <f t="shared" ref="H197:H211" si="19">IF($A197=0,"",ROUND(F197*G197,2))</f>
        <v>5.0599999999999996</v>
      </c>
      <c r="I197" s="2"/>
      <c r="L197" s="2"/>
      <c r="M197" s="2"/>
      <c r="N197" s="39"/>
      <c r="O197" s="2"/>
      <c r="P197" s="2"/>
    </row>
    <row r="198" spans="1:16" x14ac:dyDescent="0.25">
      <c r="A198" s="103">
        <v>12025</v>
      </c>
      <c r="B198" s="38" t="str">
        <f>IF($A198=0,"",VLOOKUP($A198,'BASE MATERIAL'!$A:$D,2))</f>
        <v>PERFILERIA DE TUMBADO L= 1,22</v>
      </c>
      <c r="C198" s="2"/>
      <c r="D198" s="77"/>
      <c r="E198" s="78" t="str">
        <f>IF($A198=0,"",VLOOKUP($A198,'BASE MATERIAL'!$A:$D,3))</f>
        <v>U</v>
      </c>
      <c r="F198" s="55">
        <v>2</v>
      </c>
      <c r="G198" s="55">
        <f>IF($A198=0,"",VLOOKUP($A198,'BASE MATERIAL'!$A:$D,4))</f>
        <v>0.90720000000000012</v>
      </c>
      <c r="H198" s="56">
        <f>IF($A198=0,"",ROUND(F198*G198,2))</f>
        <v>1.81</v>
      </c>
      <c r="I198" s="2"/>
      <c r="L198" s="2"/>
      <c r="M198" s="2"/>
      <c r="N198" s="39"/>
      <c r="O198" s="2"/>
      <c r="P198" s="2"/>
    </row>
    <row r="199" spans="1:16" x14ac:dyDescent="0.25">
      <c r="A199" s="103">
        <v>12026</v>
      </c>
      <c r="B199" s="38" t="str">
        <f>IF($A199=0,"",VLOOKUP($A199,'BASE MATERIAL'!$A:$D,2))</f>
        <v>PERFILERIA DE TUMBADO L= 0,66</v>
      </c>
      <c r="C199" s="2"/>
      <c r="D199" s="77"/>
      <c r="E199" s="78" t="str">
        <f>IF($A199=0,"",VLOOKUP($A199,'BASE MATERIAL'!$A:$D,3))</f>
        <v>U</v>
      </c>
      <c r="F199" s="55">
        <v>4</v>
      </c>
      <c r="G199" s="55">
        <f>IF($A199=0,"",VLOOKUP($A199,'BASE MATERIAL'!$A:$D,4))</f>
        <v>0.49280000000000007</v>
      </c>
      <c r="H199" s="56">
        <f t="shared" si="19"/>
        <v>1.97</v>
      </c>
      <c r="I199" s="2"/>
      <c r="L199" s="2"/>
      <c r="M199" s="2"/>
      <c r="N199" s="39"/>
      <c r="O199" s="2"/>
      <c r="P199" s="2"/>
    </row>
    <row r="200" spans="1:16" x14ac:dyDescent="0.25">
      <c r="A200" s="103">
        <v>11001</v>
      </c>
      <c r="B200" s="38" t="str">
        <f>IF($A200=0,"",VLOOKUP($A200,'BASE MATERIAL'!$A:$D,2))</f>
        <v>ALAMBRE GALVANIZADO</v>
      </c>
      <c r="C200" s="2"/>
      <c r="D200" s="77"/>
      <c r="E200" s="78" t="str">
        <f>IF($A200=0,"",VLOOKUP($A200,'BASE MATERIAL'!$A:$D,3))</f>
        <v>KG</v>
      </c>
      <c r="F200" s="55">
        <v>0.5</v>
      </c>
      <c r="G200" s="55">
        <f>IF($A200=0,"",VLOOKUP($A200,'BASE MATERIAL'!$A:$D,4))</f>
        <v>2.9480000000000004</v>
      </c>
      <c r="H200" s="56">
        <f t="shared" si="19"/>
        <v>1.47</v>
      </c>
      <c r="I200" s="2"/>
      <c r="L200" s="2"/>
      <c r="M200" s="2"/>
      <c r="N200" s="39"/>
      <c r="O200" s="2"/>
      <c r="P200" s="2"/>
    </row>
    <row r="201" spans="1:16" x14ac:dyDescent="0.25">
      <c r="B201" s="38" t="str">
        <f>IF($A201=0,"",VLOOKUP($A201,'BASE MATERIAL'!$A:$D,2))</f>
        <v/>
      </c>
      <c r="C201" s="2"/>
      <c r="D201" s="77"/>
      <c r="E201" s="78" t="str">
        <f>IF($A201=0,"",VLOOKUP($A201,'BASE MATERIAL'!$A:$D,3))</f>
        <v/>
      </c>
      <c r="F201" s="55"/>
      <c r="G201" s="55" t="str">
        <f>IF($A201=0,"",VLOOKUP($A201,'BASE MATERIAL'!$A:$D,4))</f>
        <v/>
      </c>
      <c r="H201" s="56" t="str">
        <f t="shared" si="19"/>
        <v/>
      </c>
      <c r="I201" s="2"/>
      <c r="L201" s="2"/>
      <c r="M201" s="2"/>
      <c r="N201" s="39"/>
      <c r="O201" s="2"/>
      <c r="P201" s="2"/>
    </row>
    <row r="202" spans="1:16" x14ac:dyDescent="0.25">
      <c r="B202" s="38" t="str">
        <f>IF($A202=0,"",VLOOKUP($A202,'BASE MATERIAL'!$A:$D,2))</f>
        <v/>
      </c>
      <c r="C202" s="2"/>
      <c r="D202" s="77"/>
      <c r="E202" s="78" t="str">
        <f>IF($A202=0,"",VLOOKUP($A202,'BASE MATERIAL'!$A:$D,3))</f>
        <v/>
      </c>
      <c r="F202" s="55"/>
      <c r="G202" s="80" t="str">
        <f>IF($A202=0,"",VLOOKUP($A202,'BASE MATERIAL'!$A:$D,4))</f>
        <v/>
      </c>
      <c r="H202" s="56" t="str">
        <f t="shared" si="19"/>
        <v/>
      </c>
      <c r="I202" s="2"/>
      <c r="L202" s="2"/>
      <c r="M202" s="2"/>
      <c r="N202" s="39"/>
      <c r="O202" s="2"/>
      <c r="P202" s="2"/>
    </row>
    <row r="203" spans="1:16" x14ac:dyDescent="0.25">
      <c r="B203" s="38" t="str">
        <f>IF($A203=0,"",VLOOKUP($A203,'BASE MATERIAL'!$A:$D,2))</f>
        <v/>
      </c>
      <c r="C203" s="2"/>
      <c r="D203" s="77"/>
      <c r="E203" s="78" t="str">
        <f>IF($A203=0,"",VLOOKUP($A203,'BASE MATERIAL'!$A:$D,3))</f>
        <v/>
      </c>
      <c r="F203" s="55"/>
      <c r="G203" s="55" t="str">
        <f>IF($A203=0,"",VLOOKUP($A203,'BASE MATERIAL'!$A:$D,4))</f>
        <v/>
      </c>
      <c r="H203" s="56" t="str">
        <f t="shared" si="19"/>
        <v/>
      </c>
      <c r="I203" s="2"/>
      <c r="L203" s="2"/>
      <c r="M203" s="2"/>
      <c r="N203" s="39"/>
      <c r="O203" s="2"/>
      <c r="P203" s="2"/>
    </row>
    <row r="204" spans="1:16" x14ac:dyDescent="0.25">
      <c r="B204" s="38" t="str">
        <f>IF($A204=0,"",VLOOKUP($A204,'BASE MATERIAL'!$A:$D,2))</f>
        <v/>
      </c>
      <c r="C204" s="2"/>
      <c r="D204" s="77"/>
      <c r="E204" s="78" t="str">
        <f>IF($A204=0,"",VLOOKUP($A204,'BASE MATERIAL'!$A:$D,3))</f>
        <v/>
      </c>
      <c r="F204" s="55"/>
      <c r="G204" s="55" t="str">
        <f>IF($A204=0,"",VLOOKUP($A204,'BASE MATERIAL'!$A:$D,4))</f>
        <v/>
      </c>
      <c r="H204" s="56" t="str">
        <f t="shared" si="19"/>
        <v/>
      </c>
      <c r="I204" s="2"/>
      <c r="L204" s="2"/>
      <c r="M204" s="2"/>
      <c r="N204" s="39"/>
      <c r="O204" s="2"/>
      <c r="P204" s="2"/>
    </row>
    <row r="205" spans="1:16" x14ac:dyDescent="0.25">
      <c r="B205" s="38" t="str">
        <f>IF($A205=0,"",VLOOKUP($A205,'BASE MATERIAL'!$A:$D,2))</f>
        <v/>
      </c>
      <c r="C205" s="2"/>
      <c r="D205" s="77"/>
      <c r="E205" s="78" t="str">
        <f>IF($A205=0,"",VLOOKUP($A205,'BASE MATERIAL'!$A:$D,3))</f>
        <v/>
      </c>
      <c r="F205" s="55"/>
      <c r="G205" s="55" t="str">
        <f>IF($A205=0,"",VLOOKUP($A205,'BASE MATERIAL'!$A:$D,4))</f>
        <v/>
      </c>
      <c r="H205" s="56" t="str">
        <f t="shared" si="19"/>
        <v/>
      </c>
      <c r="I205" s="2"/>
    </row>
    <row r="206" spans="1:16" x14ac:dyDescent="0.25">
      <c r="B206" s="38" t="str">
        <f>IF($A206=0,"",VLOOKUP($A206,'BASE MATERIAL'!$A:$D,2))</f>
        <v/>
      </c>
      <c r="C206" s="2"/>
      <c r="D206" s="77"/>
      <c r="E206" s="78" t="str">
        <f>IF($A206=0,"",VLOOKUP($A206,'BASE MATERIAL'!$A:$D,3))</f>
        <v/>
      </c>
      <c r="F206" s="55"/>
      <c r="G206" s="55" t="str">
        <f>IF($A206=0,"",VLOOKUP($A206,'BASE MATERIAL'!$A:$D,4))</f>
        <v/>
      </c>
      <c r="H206" s="56" t="str">
        <f t="shared" si="19"/>
        <v/>
      </c>
      <c r="I206" s="2"/>
      <c r="L206" s="2"/>
      <c r="M206" s="2"/>
      <c r="N206" s="39"/>
      <c r="O206" s="2"/>
      <c r="P206" s="2"/>
    </row>
    <row r="207" spans="1:16" x14ac:dyDescent="0.25">
      <c r="B207" s="38" t="str">
        <f>IF($A207=0,"",VLOOKUP($A207,'BASE MATERIAL'!$A:$D,2))</f>
        <v/>
      </c>
      <c r="C207" s="2"/>
      <c r="D207" s="77"/>
      <c r="E207" s="78" t="str">
        <f>IF($A207=0,"",VLOOKUP($A207,'BASE MATERIAL'!$A:$D,3))</f>
        <v/>
      </c>
      <c r="F207" s="55"/>
      <c r="G207" s="55" t="str">
        <f>IF($A207=0,"",VLOOKUP($A207,'BASE MATERIAL'!$A:$D,4))</f>
        <v/>
      </c>
      <c r="H207" s="56" t="str">
        <f t="shared" si="19"/>
        <v/>
      </c>
      <c r="I207" s="2"/>
      <c r="L207" s="2"/>
      <c r="M207" s="2"/>
      <c r="N207" s="39"/>
      <c r="O207" s="2"/>
      <c r="P207" s="2"/>
    </row>
    <row r="208" spans="1:16" x14ac:dyDescent="0.25">
      <c r="B208" s="38" t="str">
        <f>IF($A208=0,"",VLOOKUP($A208,'BASE MATERIAL'!$A:$D,2))</f>
        <v/>
      </c>
      <c r="C208" s="2"/>
      <c r="D208" s="77"/>
      <c r="E208" s="78" t="str">
        <f>IF($A208=0,"",VLOOKUP($A208,'BASE MATERIAL'!$A:$D,3))</f>
        <v/>
      </c>
      <c r="F208" s="55"/>
      <c r="G208" s="55" t="str">
        <f>IF($A208=0,"",VLOOKUP($A208,'BASE MATERIAL'!$A:$D,4))</f>
        <v/>
      </c>
      <c r="H208" s="56" t="str">
        <f t="shared" si="19"/>
        <v/>
      </c>
      <c r="I208" s="2"/>
    </row>
    <row r="209" spans="1:9" x14ac:dyDescent="0.25">
      <c r="B209" s="38" t="str">
        <f>IF($A209=0,"",VLOOKUP($A209,'BASE MATERIAL'!$A:$D,2))</f>
        <v/>
      </c>
      <c r="C209" s="2"/>
      <c r="D209" s="77"/>
      <c r="E209" s="78" t="str">
        <f>IF($A209=0,"",VLOOKUP($A209,'BASE MATERIAL'!$A:$D,3))</f>
        <v/>
      </c>
      <c r="F209" s="55"/>
      <c r="G209" s="55" t="str">
        <f>IF($A209=0,"",VLOOKUP($A209,'BASE MATERIAL'!$A:$D,4))</f>
        <v/>
      </c>
      <c r="H209" s="56" t="str">
        <f t="shared" si="19"/>
        <v/>
      </c>
      <c r="I209" s="2"/>
    </row>
    <row r="210" spans="1:9" x14ac:dyDescent="0.25">
      <c r="B210" s="38" t="str">
        <f>IF($A210=0,"",VLOOKUP($A210,'BASE MATERIAL'!$A:$D,2))</f>
        <v/>
      </c>
      <c r="C210" s="2"/>
      <c r="D210" s="77"/>
      <c r="E210" s="78" t="str">
        <f>IF($A210=0,"",VLOOKUP($A210,'BASE MATERIAL'!$A:$D,3))</f>
        <v/>
      </c>
      <c r="F210" s="55"/>
      <c r="G210" s="55" t="str">
        <f>IF($A210=0,"",VLOOKUP($A210,'BASE MATERIAL'!$A:$D,4))</f>
        <v/>
      </c>
      <c r="H210" s="56" t="str">
        <f t="shared" si="19"/>
        <v/>
      </c>
      <c r="I210" s="2"/>
    </row>
    <row r="211" spans="1:9" x14ac:dyDescent="0.25">
      <c r="B211" s="38" t="str">
        <f>IF($A211=0,"",VLOOKUP($A211,'BASE MATERIAL'!$A:$D,2))</f>
        <v/>
      </c>
      <c r="C211" s="2"/>
      <c r="D211" s="77"/>
      <c r="E211" s="78" t="str">
        <f>IF($A211=0,"",VLOOKUP($A211,'BASE MATERIAL'!$A:$D,3))</f>
        <v/>
      </c>
      <c r="F211" s="55"/>
      <c r="G211" s="55" t="str">
        <f>IF($A211=0,"",VLOOKUP($A211,'BASE MATERIAL'!$A:$D,4))</f>
        <v/>
      </c>
      <c r="H211" s="56" t="str">
        <f t="shared" si="19"/>
        <v/>
      </c>
      <c r="I211" s="2"/>
    </row>
    <row r="212" spans="1:9" x14ac:dyDescent="0.25">
      <c r="B212" s="38" t="str">
        <f>IF($A212=0,"",VLOOKUP($A212,'BASE MATERIAL'!$A:$D,2))</f>
        <v/>
      </c>
      <c r="C212" s="2"/>
      <c r="D212" s="81" t="s">
        <v>1682</v>
      </c>
      <c r="E212" s="55" t="str">
        <f>IF($A212=0,"",VLOOKUP($A212,'BASE MATERIAL'!$A:$D,3))</f>
        <v/>
      </c>
      <c r="F212" s="55" t="s">
        <v>1682</v>
      </c>
      <c r="G212" s="55" t="str">
        <f>IF($A212=0,"",VLOOKUP($A212,'BASE MATERIAL'!$A:$D,4))</f>
        <v/>
      </c>
      <c r="H212" s="56" t="str">
        <f>IF($A212=0,"",ROUND(E212*F212,2))</f>
        <v/>
      </c>
      <c r="I212" s="2"/>
    </row>
    <row r="213" spans="1:9" x14ac:dyDescent="0.25">
      <c r="B213" s="73" t="s">
        <v>1681</v>
      </c>
      <c r="C213" s="65"/>
      <c r="D213" s="74"/>
      <c r="E213" s="74"/>
      <c r="F213" s="74"/>
      <c r="G213" s="74"/>
      <c r="H213" s="75">
        <f>ROUND(SUM(H196:H212),2)</f>
        <v>10.31</v>
      </c>
      <c r="I213" s="2"/>
    </row>
    <row r="214" spans="1:9" x14ac:dyDescent="0.25">
      <c r="B214" s="38" t="s">
        <v>1680</v>
      </c>
      <c r="C214" s="2"/>
      <c r="D214" s="3"/>
      <c r="E214" s="3"/>
      <c r="F214" s="3"/>
      <c r="G214" s="3"/>
      <c r="H214" s="56"/>
      <c r="I214" s="2"/>
    </row>
    <row r="215" spans="1:9" ht="25.5" x14ac:dyDescent="0.25">
      <c r="B215" s="64" t="s">
        <v>1409</v>
      </c>
      <c r="C215" s="65"/>
      <c r="D215" s="76"/>
      <c r="E215" s="66" t="s">
        <v>1408</v>
      </c>
      <c r="F215" s="66" t="s">
        <v>1679</v>
      </c>
      <c r="G215" s="66" t="s">
        <v>1676</v>
      </c>
      <c r="H215" s="68" t="s">
        <v>1675</v>
      </c>
      <c r="I215" s="2"/>
    </row>
    <row r="216" spans="1:9" x14ac:dyDescent="0.25">
      <c r="A216" s="103">
        <v>19019</v>
      </c>
      <c r="B216" s="51" t="str">
        <f>IF($A216=0,"",VLOOKUP($A216,'BASE EQUIPO'!$A:$D,2))</f>
        <v>TRANSPORTE DE MATERIAL</v>
      </c>
      <c r="C216" s="52"/>
      <c r="D216" s="82"/>
      <c r="E216" s="78" t="str">
        <f>IF($A216=0,"",VLOOKUP($A216,'BASE EQUIPO'!$A:$D,3))</f>
        <v>GLOBAL</v>
      </c>
      <c r="F216" s="55">
        <v>1</v>
      </c>
      <c r="G216" s="83">
        <f>IF($A216=0,"",VLOOKUP($A216,'BASE EQUIPO'!$A:$D,4)*H213)</f>
        <v>0.30930000000000002</v>
      </c>
      <c r="H216" s="56">
        <f>IF($A216=0,"",ROUND(F216*G216,2))</f>
        <v>0.31</v>
      </c>
      <c r="I216" s="2"/>
    </row>
    <row r="217" spans="1:9" x14ac:dyDescent="0.25">
      <c r="B217" s="38" t="str">
        <f>IF($A217=0,"",VLOOKUP($A217,'BASE EQUIPO'!$A:$D,2))</f>
        <v/>
      </c>
      <c r="C217" s="2"/>
      <c r="D217" s="84"/>
      <c r="E217" s="78" t="str">
        <f>IF($A217=0,"",VLOOKUP($A217,'BASE EQUIPO'!$A:$D,3))</f>
        <v/>
      </c>
      <c r="F217" s="55"/>
      <c r="G217" s="55" t="str">
        <f>IF($A217=0,"",VLOOKUP($A217,'BASE EQUIPO'!$A:$D,4)*H214)</f>
        <v/>
      </c>
      <c r="H217" s="56" t="str">
        <f>IF($A217=0,"",ROUND(F217*G217,2))</f>
        <v/>
      </c>
      <c r="I217" s="2"/>
    </row>
    <row r="218" spans="1:9" x14ac:dyDescent="0.25">
      <c r="B218" s="57" t="str">
        <f>IF($A218=0,"",VLOOKUP($A218,'BASE EQUIPO'!$A:$D,2))</f>
        <v/>
      </c>
      <c r="C218" s="58"/>
      <c r="D218" s="85"/>
      <c r="E218" s="86" t="str">
        <f>IF($A218=0,"",VLOOKUP($A218,'BASE EQUIPO'!$A:$D,3))</f>
        <v/>
      </c>
      <c r="F218" s="59"/>
      <c r="G218" s="59" t="str">
        <f>IF($A218=0,"",VLOOKUP($A218,'BASE EQUIPO'!$A:$D,4)*H215)</f>
        <v/>
      </c>
      <c r="H218" s="60" t="str">
        <f>IF($A218=0,"",ROUND(F218*G218,2))</f>
        <v/>
      </c>
      <c r="I218" s="2"/>
    </row>
    <row r="219" spans="1:9" ht="15.75" thickBot="1" x14ac:dyDescent="0.3">
      <c r="B219" s="87" t="s">
        <v>1674</v>
      </c>
      <c r="C219" s="88"/>
      <c r="D219" s="89"/>
      <c r="E219" s="89"/>
      <c r="F219" s="89"/>
      <c r="G219" s="89"/>
      <c r="H219" s="90">
        <f>ROUND(SUM(H215:H218),2)</f>
        <v>0.31</v>
      </c>
      <c r="I219" s="2"/>
    </row>
    <row r="220" spans="1:9" ht="15.75" x14ac:dyDescent="0.25">
      <c r="B220" s="2"/>
      <c r="C220" s="2"/>
      <c r="D220" s="91" t="s">
        <v>1673</v>
      </c>
      <c r="E220" s="47"/>
      <c r="F220" s="47"/>
      <c r="G220" s="47"/>
      <c r="H220" s="92">
        <f>ROUND(SUM(H219,H213,H194,H184),2)</f>
        <v>15.21</v>
      </c>
      <c r="I220" s="2"/>
    </row>
    <row r="221" spans="1:9" ht="15.75" x14ac:dyDescent="0.25">
      <c r="A221" s="103">
        <v>40002</v>
      </c>
      <c r="B221" s="2"/>
      <c r="C221" s="2"/>
      <c r="D221" s="93" t="s">
        <v>1672</v>
      </c>
      <c r="E221" s="65"/>
      <c r="F221" s="65"/>
      <c r="G221" s="94">
        <f>IF($A221=0,"",VLOOKUP($A221,'BASE MATERIAL'!$M:$P,4))</f>
        <v>0</v>
      </c>
      <c r="H221" s="95">
        <f>IF($A221=0,"",ROUND(G221*H220,2))</f>
        <v>0</v>
      </c>
      <c r="I221" s="2"/>
    </row>
    <row r="222" spans="1:9" ht="15.75" x14ac:dyDescent="0.25">
      <c r="A222" s="103">
        <v>40003</v>
      </c>
      <c r="B222" s="2"/>
      <c r="C222" s="2"/>
      <c r="D222" s="93" t="s">
        <v>1671</v>
      </c>
      <c r="E222" s="65"/>
      <c r="F222" s="65"/>
      <c r="G222" s="94">
        <f>IF($A222=0,"",VLOOKUP($A222,'BASE MATERIAL'!$M:$P,4))</f>
        <v>0</v>
      </c>
      <c r="H222" s="95">
        <f>IF($A222=0,"",ROUND(G222*H220,2))</f>
        <v>0</v>
      </c>
      <c r="I222" s="2"/>
    </row>
    <row r="223" spans="1:9" ht="15.75" x14ac:dyDescent="0.25">
      <c r="B223" s="2"/>
      <c r="C223" s="2"/>
      <c r="D223" s="93" t="s">
        <v>1670</v>
      </c>
      <c r="E223" s="65"/>
      <c r="F223" s="65"/>
      <c r="G223" s="65"/>
      <c r="H223" s="96">
        <f>ROUND(SUM(H220:H222),2)</f>
        <v>15.21</v>
      </c>
      <c r="I223" s="2"/>
    </row>
    <row r="224" spans="1:9" ht="16.5" thickBot="1" x14ac:dyDescent="0.3">
      <c r="B224" s="25"/>
      <c r="C224" s="2"/>
      <c r="D224" s="97" t="s">
        <v>1650</v>
      </c>
      <c r="E224" s="88"/>
      <c r="F224" s="88"/>
      <c r="G224" s="88"/>
      <c r="H224" s="98">
        <f>ROUND(H223,2)</f>
        <v>15.21</v>
      </c>
      <c r="I224" s="2"/>
    </row>
  </sheetData>
  <phoneticPr fontId="2" type="noConversion"/>
  <pageMargins left="0.75" right="0.75" top="1" bottom="1" header="0" footer="0"/>
  <pageSetup paperSize="9" scale="80" fitToHeight="2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FDEDE-F436-442F-ABB2-1D78DE5DED5B}">
  <sheetPr codeName="Hoja16"/>
  <dimension ref="A1:P560"/>
  <sheetViews>
    <sheetView topLeftCell="A16" workbookViewId="0">
      <selection activeCell="G30" sqref="G30"/>
    </sheetView>
  </sheetViews>
  <sheetFormatPr baseColWidth="10" defaultColWidth="11.42578125" defaultRowHeight="15" x14ac:dyDescent="0.25"/>
  <cols>
    <col min="1" max="1" width="9.140625" style="103" bestFit="1" customWidth="1"/>
    <col min="2" max="2" width="12.140625" style="1" customWidth="1"/>
    <col min="3" max="3" width="26.28515625" style="1" customWidth="1"/>
    <col min="4" max="4" width="10.7109375" style="1" customWidth="1"/>
    <col min="5" max="5" width="12.140625" style="1" customWidth="1"/>
    <col min="6" max="6" width="13.28515625" style="1" customWidth="1"/>
    <col min="7" max="7" width="13.85546875" style="1" customWidth="1"/>
    <col min="8" max="8" width="12.42578125" style="1" customWidth="1"/>
    <col min="9" max="9" width="3.140625" style="1" bestFit="1" customWidth="1"/>
    <col min="10" max="10" width="7.42578125" style="1" customWidth="1"/>
    <col min="11" max="11" width="8.42578125" style="1" customWidth="1"/>
    <col min="12" max="12" width="8.5703125" style="1" customWidth="1"/>
    <col min="13" max="13" width="33.85546875" style="1" bestFit="1" customWidth="1"/>
    <col min="14" max="14" width="6" style="1" bestFit="1" customWidth="1"/>
    <col min="15" max="28" width="8.42578125" style="1" customWidth="1"/>
    <col min="29" max="16384" width="11.42578125" style="1"/>
  </cols>
  <sheetData>
    <row r="1" spans="1:15" ht="15.75" x14ac:dyDescent="0.25">
      <c r="B1" s="34" t="s">
        <v>1701</v>
      </c>
      <c r="C1" s="2"/>
      <c r="D1" s="3" t="str">
        <f>'1.1'!$D$1</f>
        <v>ESPOL</v>
      </c>
      <c r="E1" s="2"/>
      <c r="F1" s="2"/>
      <c r="H1" s="2" t="s">
        <v>108</v>
      </c>
      <c r="I1" s="2"/>
      <c r="L1" s="40">
        <f>A5</f>
        <v>1</v>
      </c>
      <c r="M1" s="1" t="str">
        <f>C6</f>
        <v>Ventanas (corredizas)  aluminio y vidrio</v>
      </c>
      <c r="N1" s="2" t="str">
        <f>H5</f>
        <v>m2</v>
      </c>
      <c r="O1" s="2">
        <f>H56</f>
        <v>70.89</v>
      </c>
    </row>
    <row r="2" spans="1:15" ht="15.75" x14ac:dyDescent="0.25">
      <c r="B2" s="34" t="s">
        <v>1700</v>
      </c>
      <c r="C2" s="3">
        <f>'1.1'!$C$2</f>
        <v>0</v>
      </c>
      <c r="D2" s="2"/>
      <c r="E2" s="2"/>
      <c r="F2" s="2"/>
      <c r="G2" s="41" t="s">
        <v>1699</v>
      </c>
      <c r="H2" s="42"/>
      <c r="I2" s="2" t="s">
        <v>1698</v>
      </c>
    </row>
    <row r="3" spans="1:15" ht="15.75" x14ac:dyDescent="0.25">
      <c r="B3" s="34"/>
      <c r="C3" s="3">
        <f>'1.1'!$C$3</f>
        <v>0</v>
      </c>
      <c r="D3" s="2"/>
      <c r="E3" s="2"/>
      <c r="F3" s="2"/>
      <c r="G3" s="2"/>
      <c r="H3" s="2"/>
      <c r="I3" s="2"/>
    </row>
    <row r="4" spans="1:15" ht="15.75" x14ac:dyDescent="0.25">
      <c r="B4" s="34" t="s">
        <v>1697</v>
      </c>
      <c r="C4" s="3"/>
      <c r="D4" s="2"/>
      <c r="E4" s="2"/>
      <c r="F4" s="2"/>
      <c r="G4" s="2"/>
      <c r="H4" s="2"/>
      <c r="I4" s="2"/>
    </row>
    <row r="5" spans="1:15" x14ac:dyDescent="0.25">
      <c r="A5" s="104">
        <v>1</v>
      </c>
      <c r="B5" s="2" t="s">
        <v>1586</v>
      </c>
      <c r="C5" s="36" t="s">
        <v>1532</v>
      </c>
      <c r="D5" s="2"/>
      <c r="G5" s="2" t="s">
        <v>1696</v>
      </c>
      <c r="H5" s="3" t="s">
        <v>1520</v>
      </c>
      <c r="I5" s="2"/>
    </row>
    <row r="6" spans="1:15" x14ac:dyDescent="0.25">
      <c r="B6" s="1" t="s">
        <v>1585</v>
      </c>
      <c r="C6" s="36" t="s">
        <v>107</v>
      </c>
      <c r="D6" s="2"/>
      <c r="E6" s="2"/>
      <c r="F6" s="2"/>
      <c r="G6" s="2"/>
      <c r="H6" s="2"/>
      <c r="I6" s="2"/>
    </row>
    <row r="7" spans="1:15" ht="15.75" thickBot="1" x14ac:dyDescent="0.3">
      <c r="D7" s="2"/>
      <c r="E7" s="2"/>
      <c r="F7" s="2"/>
      <c r="G7" s="2"/>
      <c r="H7" s="2"/>
      <c r="I7" s="2"/>
    </row>
    <row r="8" spans="1:15" ht="15.75" thickBot="1" x14ac:dyDescent="0.3">
      <c r="B8" s="43" t="s">
        <v>1695</v>
      </c>
      <c r="C8" s="44"/>
      <c r="D8" s="44"/>
      <c r="E8" s="44"/>
      <c r="F8" s="44"/>
      <c r="G8" s="44"/>
      <c r="H8" s="45"/>
      <c r="I8" s="2"/>
    </row>
    <row r="9" spans="1:15" ht="25.5" x14ac:dyDescent="0.25">
      <c r="B9" s="46" t="s">
        <v>1409</v>
      </c>
      <c r="C9" s="47"/>
      <c r="D9" s="48" t="s">
        <v>1690</v>
      </c>
      <c r="E9" s="48" t="s">
        <v>1694</v>
      </c>
      <c r="F9" s="48" t="s">
        <v>1693</v>
      </c>
      <c r="G9" s="49" t="s">
        <v>1687</v>
      </c>
      <c r="H9" s="50" t="s">
        <v>1686</v>
      </c>
      <c r="I9" s="2"/>
    </row>
    <row r="10" spans="1:15" x14ac:dyDescent="0.25">
      <c r="A10" s="103">
        <v>19015</v>
      </c>
      <c r="B10" s="51" t="str">
        <f>IF($A10=0,"",VLOOKUP($A10,'BASE EQUIPO'!$A:$D,2))</f>
        <v>HERRAMIENTA MENOR</v>
      </c>
      <c r="C10" s="52"/>
      <c r="D10" s="53">
        <v>1</v>
      </c>
      <c r="E10" s="53">
        <f>IF($A10=0,"",VLOOKUP($A10,'BASE EQUIPO'!$A:$D,4)*H26)</f>
        <v>0.5048999999999999</v>
      </c>
      <c r="F10" s="53">
        <f t="shared" ref="F10:F15" si="0">IF($A10=0,"",ROUND(D10*E10,2))</f>
        <v>0.5</v>
      </c>
      <c r="G10" s="105">
        <v>1</v>
      </c>
      <c r="H10" s="54">
        <f t="shared" ref="H10:H15" si="1">IF($A10=0,"",ROUND(G10*F10,2))</f>
        <v>0.5</v>
      </c>
      <c r="I10" s="2"/>
    </row>
    <row r="11" spans="1:15" x14ac:dyDescent="0.25">
      <c r="B11" s="38" t="str">
        <f>IF($A11=0,"",VLOOKUP($A11,'BASE EQUIPO'!$A:$D,2))</f>
        <v/>
      </c>
      <c r="C11" s="2"/>
      <c r="D11" s="55"/>
      <c r="E11" s="55" t="str">
        <f>IF($A11=0,"",VLOOKUP($A11,'BASE EQUIPO'!$A:$D,4))</f>
        <v/>
      </c>
      <c r="F11" s="55" t="str">
        <f t="shared" si="0"/>
        <v/>
      </c>
      <c r="G11" s="106"/>
      <c r="H11" s="56" t="str">
        <f t="shared" si="1"/>
        <v/>
      </c>
      <c r="I11" s="2"/>
    </row>
    <row r="12" spans="1:15" x14ac:dyDescent="0.25">
      <c r="B12" s="38" t="str">
        <f>IF($A12=0,"",VLOOKUP($A12,'BASE EQUIPO'!$A:$D,2))</f>
        <v/>
      </c>
      <c r="C12" s="2"/>
      <c r="D12" s="55"/>
      <c r="E12" s="55" t="str">
        <f>IF($A12=0,"",VLOOKUP($A12,'BASE EQUIPO'!$A:$D,4))</f>
        <v/>
      </c>
      <c r="F12" s="55" t="str">
        <f t="shared" si="0"/>
        <v/>
      </c>
      <c r="G12" s="106"/>
      <c r="H12" s="56" t="str">
        <f t="shared" si="1"/>
        <v/>
      </c>
      <c r="I12" s="2"/>
    </row>
    <row r="13" spans="1:15" x14ac:dyDescent="0.25">
      <c r="B13" s="38" t="str">
        <f>IF($A13=0,"",VLOOKUP($A13,'BASE EQUIPO'!$A:$D,2))</f>
        <v/>
      </c>
      <c r="C13" s="2"/>
      <c r="D13" s="55"/>
      <c r="E13" s="55" t="str">
        <f>IF($A13=0,"",VLOOKUP($A13,'BASE EQUIPO'!$A:$D,4))</f>
        <v/>
      </c>
      <c r="F13" s="55" t="str">
        <f t="shared" si="0"/>
        <v/>
      </c>
      <c r="G13" s="106"/>
      <c r="H13" s="56" t="str">
        <f t="shared" si="1"/>
        <v/>
      </c>
      <c r="I13" s="2"/>
    </row>
    <row r="14" spans="1:15" x14ac:dyDescent="0.25">
      <c r="B14" s="38" t="str">
        <f>IF($A14=0,"",VLOOKUP($A14,'BASE EQUIPO'!$A:$D,2))</f>
        <v/>
      </c>
      <c r="C14" s="2"/>
      <c r="D14" s="55"/>
      <c r="E14" s="55" t="str">
        <f>IF($A14=0,"",VLOOKUP($A14,'BASE EQUIPO'!$A:$D,4))</f>
        <v/>
      </c>
      <c r="F14" s="55" t="str">
        <f t="shared" si="0"/>
        <v/>
      </c>
      <c r="G14" s="106"/>
      <c r="H14" s="56" t="str">
        <f t="shared" si="1"/>
        <v/>
      </c>
      <c r="I14" s="2"/>
    </row>
    <row r="15" spans="1:15" x14ac:dyDescent="0.25">
      <c r="B15" s="57" t="str">
        <f>IF($A15=0,"",VLOOKUP($A15,'BASE EQUIPO'!$A:$D,2))</f>
        <v/>
      </c>
      <c r="C15" s="58"/>
      <c r="D15" s="59"/>
      <c r="E15" s="59" t="str">
        <f>IF($A15=0,"",VLOOKUP($A15,'BASE EQUIPO'!$A:$D,4))</f>
        <v/>
      </c>
      <c r="F15" s="59" t="str">
        <f t="shared" si="0"/>
        <v/>
      </c>
      <c r="G15" s="107"/>
      <c r="H15" s="60" t="str">
        <f t="shared" si="1"/>
        <v/>
      </c>
      <c r="I15" s="2"/>
    </row>
    <row r="16" spans="1:15" x14ac:dyDescent="0.25">
      <c r="B16" s="57" t="s">
        <v>1692</v>
      </c>
      <c r="C16" s="58"/>
      <c r="D16" s="61"/>
      <c r="E16" s="61"/>
      <c r="F16" s="61"/>
      <c r="G16" s="62"/>
      <c r="H16" s="60">
        <f>ROUND(SUM(H9:H15),2)</f>
        <v>0.5</v>
      </c>
      <c r="I16" s="2"/>
    </row>
    <row r="17" spans="1:16" x14ac:dyDescent="0.25">
      <c r="B17" s="38" t="s">
        <v>1503</v>
      </c>
      <c r="C17" s="2"/>
      <c r="D17" s="3"/>
      <c r="E17" s="3"/>
      <c r="F17" s="3"/>
      <c r="G17" s="63"/>
      <c r="H17" s="56"/>
      <c r="I17" s="2"/>
    </row>
    <row r="18" spans="1:16" ht="25.5" x14ac:dyDescent="0.25">
      <c r="B18" s="64" t="s">
        <v>1691</v>
      </c>
      <c r="C18" s="65"/>
      <c r="D18" s="66" t="s">
        <v>1690</v>
      </c>
      <c r="E18" s="66" t="s">
        <v>1689</v>
      </c>
      <c r="F18" s="66" t="s">
        <v>1688</v>
      </c>
      <c r="G18" s="67" t="s">
        <v>1687</v>
      </c>
      <c r="H18" s="68" t="s">
        <v>1686</v>
      </c>
      <c r="I18" s="2"/>
    </row>
    <row r="19" spans="1:16" x14ac:dyDescent="0.25">
      <c r="B19" s="69" t="str">
        <f>IF($A19=0,"",VLOOKUP($A19,'BASE M-OBRA'!$A:$D,2))</f>
        <v/>
      </c>
      <c r="C19" s="2"/>
      <c r="D19" s="108"/>
      <c r="E19" s="70" t="str">
        <f>IF($A19=0,"",VLOOKUP($A19,'BASE M-OBRA'!$A:$D,4))</f>
        <v/>
      </c>
      <c r="F19" s="55" t="str">
        <f t="shared" ref="F19:F25" si="2">IF($A19=0,"",ROUND(D19*E19,2))</f>
        <v/>
      </c>
      <c r="G19" s="106" t="str">
        <f>IF($A19=0,"",ROUND(H19/F19,2))</f>
        <v/>
      </c>
      <c r="H19" s="56" t="str">
        <f>IF($A19=0,"",ROUND(SUM(H20:H25)*'BASE M-OBRA'!$D$23,2))</f>
        <v/>
      </c>
      <c r="I19" s="2"/>
    </row>
    <row r="20" spans="1:16" x14ac:dyDescent="0.25">
      <c r="A20" s="103">
        <v>20019</v>
      </c>
      <c r="B20" s="69" t="str">
        <f>IF($A20=0,"",VLOOKUP($A20,'BASE M-OBRA'!$A:$D,2))</f>
        <v>INSTALADOR</v>
      </c>
      <c r="C20" s="2"/>
      <c r="D20" s="108">
        <v>1</v>
      </c>
      <c r="E20" s="70">
        <f>IF($A20=0,"",VLOOKUP($A20,'BASE M-OBRA'!$A:$D,4))</f>
        <v>2.82</v>
      </c>
      <c r="F20" s="55">
        <f t="shared" si="2"/>
        <v>2.82</v>
      </c>
      <c r="G20" s="106">
        <v>3</v>
      </c>
      <c r="H20" s="56">
        <f t="shared" ref="H20:H25" si="3">IF($A20=0,"",ROUND(G20*F20,2))</f>
        <v>8.4600000000000009</v>
      </c>
      <c r="I20" s="2"/>
    </row>
    <row r="21" spans="1:16" x14ac:dyDescent="0.25">
      <c r="A21" s="103">
        <v>20011</v>
      </c>
      <c r="B21" s="69" t="str">
        <f>IF($A21=0,"",VLOOKUP($A21,'BASE M-OBRA'!$A:$D,2))</f>
        <v>AYUDANTE ESPECIALISTA</v>
      </c>
      <c r="C21" s="2"/>
      <c r="D21" s="108">
        <v>1</v>
      </c>
      <c r="E21" s="70">
        <f>IF($A21=0,"",VLOOKUP($A21,'BASE M-OBRA'!$A:$D,4))</f>
        <v>2.79</v>
      </c>
      <c r="F21" s="55">
        <f t="shared" si="2"/>
        <v>2.79</v>
      </c>
      <c r="G21" s="106">
        <f>+G20</f>
        <v>3</v>
      </c>
      <c r="H21" s="56">
        <f t="shared" si="3"/>
        <v>8.3699999999999992</v>
      </c>
      <c r="I21" s="2"/>
    </row>
    <row r="22" spans="1:16" x14ac:dyDescent="0.25">
      <c r="B22" s="71" t="str">
        <f>IF($A22=0,"",VLOOKUP($A22,'BASE M-OBRA'!$A:$D,2))</f>
        <v/>
      </c>
      <c r="C22" s="2"/>
      <c r="D22" s="108"/>
      <c r="E22" s="70" t="str">
        <f>IF($A22=0,"",VLOOKUP($A22,'BASE M-OBRA'!$A:$D,4))</f>
        <v/>
      </c>
      <c r="F22" s="55" t="str">
        <f t="shared" si="2"/>
        <v/>
      </c>
      <c r="G22" s="106"/>
      <c r="H22" s="56" t="str">
        <f t="shared" si="3"/>
        <v/>
      </c>
      <c r="I22" s="2"/>
    </row>
    <row r="23" spans="1:16" x14ac:dyDescent="0.25">
      <c r="B23" s="72" t="str">
        <f>IF($A23=0,"",VLOOKUP($A23,'BASE M-OBRA'!$A:$D,2))</f>
        <v/>
      </c>
      <c r="C23" s="2"/>
      <c r="D23" s="108"/>
      <c r="E23" s="70" t="str">
        <f>IF($A23=0,"",VLOOKUP($A23,'BASE M-OBRA'!$A:$D,4))</f>
        <v/>
      </c>
      <c r="F23" s="55" t="str">
        <f t="shared" si="2"/>
        <v/>
      </c>
      <c r="G23" s="106"/>
      <c r="H23" s="56" t="str">
        <f t="shared" si="3"/>
        <v/>
      </c>
      <c r="I23" s="2"/>
    </row>
    <row r="24" spans="1:16" x14ac:dyDescent="0.25">
      <c r="B24" s="38" t="str">
        <f>IF($A24=0,"",VLOOKUP($A24,'BASE M-OBRA'!$A:$D,2))</f>
        <v/>
      </c>
      <c r="C24" s="2"/>
      <c r="D24" s="55"/>
      <c r="E24" s="55" t="str">
        <f>IF($A24=0,"",VLOOKUP($A24,'BASE M-OBRA'!$A:$D,4))</f>
        <v/>
      </c>
      <c r="F24" s="55" t="str">
        <f t="shared" si="2"/>
        <v/>
      </c>
      <c r="G24" s="106"/>
      <c r="H24" s="56" t="str">
        <f t="shared" si="3"/>
        <v/>
      </c>
      <c r="I24" s="2"/>
    </row>
    <row r="25" spans="1:16" x14ac:dyDescent="0.25">
      <c r="B25" s="57" t="str">
        <f>IF($A25=0,"",VLOOKUP($A25,'BASE M-OBRA'!$A:$D,2))</f>
        <v/>
      </c>
      <c r="C25" s="58"/>
      <c r="D25" s="59"/>
      <c r="E25" s="59" t="str">
        <f>IF($A25=0,"",VLOOKUP($A25,'BASE M-OBRA'!$A:$D,4))</f>
        <v/>
      </c>
      <c r="F25" s="59" t="str">
        <f t="shared" si="2"/>
        <v/>
      </c>
      <c r="G25" s="107"/>
      <c r="H25" s="60" t="str">
        <f t="shared" si="3"/>
        <v/>
      </c>
      <c r="I25" s="2"/>
    </row>
    <row r="26" spans="1:16" x14ac:dyDescent="0.25">
      <c r="B26" s="73" t="s">
        <v>1685</v>
      </c>
      <c r="C26" s="65"/>
      <c r="D26" s="74"/>
      <c r="E26" s="74"/>
      <c r="F26" s="74"/>
      <c r="G26" s="74"/>
      <c r="H26" s="75">
        <f>ROUND(SUM(H18:H25),2)</f>
        <v>16.829999999999998</v>
      </c>
      <c r="I26" s="2"/>
    </row>
    <row r="27" spans="1:16" x14ac:dyDescent="0.25">
      <c r="B27" s="38" t="s">
        <v>1684</v>
      </c>
      <c r="C27" s="2"/>
      <c r="D27" s="3"/>
      <c r="E27" s="3"/>
      <c r="F27" s="3"/>
      <c r="G27" s="3"/>
      <c r="H27" s="56"/>
      <c r="I27" s="2"/>
    </row>
    <row r="28" spans="1:16" ht="25.5" x14ac:dyDescent="0.25">
      <c r="B28" s="64" t="s">
        <v>1409</v>
      </c>
      <c r="C28" s="65"/>
      <c r="D28" s="76"/>
      <c r="E28" s="66" t="s">
        <v>1408</v>
      </c>
      <c r="F28" s="66" t="s">
        <v>1679</v>
      </c>
      <c r="G28" s="66" t="s">
        <v>1683</v>
      </c>
      <c r="H28" s="68" t="s">
        <v>1675</v>
      </c>
      <c r="I28" s="2"/>
    </row>
    <row r="29" spans="1:16" x14ac:dyDescent="0.25">
      <c r="A29" s="103">
        <v>1</v>
      </c>
      <c r="B29" s="99" t="s">
        <v>1205</v>
      </c>
      <c r="C29" s="2"/>
      <c r="D29" s="77"/>
      <c r="E29" s="78" t="s">
        <v>1520</v>
      </c>
      <c r="F29" s="114">
        <v>1</v>
      </c>
      <c r="G29" s="55">
        <v>52</v>
      </c>
      <c r="H29" s="56">
        <f t="shared" ref="H29:H43" si="4">IF($A29=0,"",ROUND(F29*G29,2))</f>
        <v>52</v>
      </c>
      <c r="I29" s="2"/>
      <c r="L29" s="2"/>
      <c r="M29" s="2"/>
      <c r="N29" s="39"/>
      <c r="O29" s="2"/>
      <c r="P29" s="2"/>
    </row>
    <row r="30" spans="1:16" x14ac:dyDescent="0.25">
      <c r="B30" s="38" t="str">
        <f>IF($A30=0,"",VLOOKUP($A30,'BASE MATERIAL'!$A:$D,2))</f>
        <v/>
      </c>
      <c r="C30" s="2"/>
      <c r="D30" s="77"/>
      <c r="E30" s="78" t="str">
        <f>IF($A30=0,"",VLOOKUP($A30,'BASE MATERIAL'!$A:$D,3))</f>
        <v/>
      </c>
      <c r="F30" s="113"/>
      <c r="G30" s="55" t="str">
        <f>IF($A30=0,"",VLOOKUP($A30,'BASE MATERIAL'!$A:$D,4))</f>
        <v/>
      </c>
      <c r="H30" s="56" t="str">
        <f t="shared" si="4"/>
        <v/>
      </c>
      <c r="I30" s="2"/>
      <c r="L30" s="2"/>
      <c r="M30" s="2"/>
      <c r="N30" s="39"/>
      <c r="O30" s="2"/>
      <c r="P30" s="2"/>
    </row>
    <row r="31" spans="1:16" x14ac:dyDescent="0.25">
      <c r="B31" s="38" t="str">
        <f>IF($A31=0,"",VLOOKUP($A31,'BASE MATERIAL'!$A:$D,2))</f>
        <v/>
      </c>
      <c r="C31" s="2"/>
      <c r="D31" s="77"/>
      <c r="E31" s="78" t="str">
        <f>IF($A31=0,"",VLOOKUP($A31,'BASE MATERIAL'!$A:$D,3))</f>
        <v/>
      </c>
      <c r="F31" s="113"/>
      <c r="G31" s="55" t="str">
        <f>IF($A31=0,"",VLOOKUP($A31,'BASE MATERIAL'!$A:$D,4))</f>
        <v/>
      </c>
      <c r="H31" s="56" t="str">
        <f t="shared" si="4"/>
        <v/>
      </c>
      <c r="I31" s="2"/>
      <c r="L31" s="2"/>
      <c r="M31" s="2"/>
      <c r="N31" s="39"/>
      <c r="O31" s="2"/>
      <c r="P31" s="2"/>
    </row>
    <row r="32" spans="1:16" x14ac:dyDescent="0.25">
      <c r="B32" s="38" t="str">
        <f>IF($A32=0,"",VLOOKUP($A32,'BASE MATERIAL'!$A:$D,2))</f>
        <v/>
      </c>
      <c r="C32" s="2"/>
      <c r="D32" s="77"/>
      <c r="E32" s="78" t="str">
        <f>IF($A32=0,"",VLOOKUP($A32,'BASE MATERIAL'!$A:$D,3))</f>
        <v/>
      </c>
      <c r="F32" s="113"/>
      <c r="G32" s="55" t="str">
        <f>IF($A32=0,"",VLOOKUP($A32,'BASE MATERIAL'!$A:$D,4))</f>
        <v/>
      </c>
      <c r="H32" s="56" t="str">
        <f t="shared" si="4"/>
        <v/>
      </c>
      <c r="I32" s="2"/>
      <c r="L32" s="2"/>
      <c r="M32" s="2"/>
      <c r="N32" s="39"/>
      <c r="O32" s="2"/>
      <c r="P32" s="2"/>
    </row>
    <row r="33" spans="1:16" x14ac:dyDescent="0.25">
      <c r="B33" s="38" t="str">
        <f>IF($A33=0,"",VLOOKUP($A33,'BASE MATERIAL'!$A:$D,2))</f>
        <v/>
      </c>
      <c r="C33" s="2"/>
      <c r="D33" s="77"/>
      <c r="E33" s="78" t="str">
        <f>IF($A33=0,"",VLOOKUP($A33,'BASE MATERIAL'!$A:$D,3))</f>
        <v/>
      </c>
      <c r="F33" s="113"/>
      <c r="G33" s="55" t="str">
        <f>IF($A33=0,"",VLOOKUP($A33,'BASE MATERIAL'!$A:$D,4))</f>
        <v/>
      </c>
      <c r="H33" s="56" t="str">
        <f t="shared" si="4"/>
        <v/>
      </c>
      <c r="I33" s="2"/>
      <c r="L33" s="2"/>
      <c r="M33" s="2"/>
      <c r="N33" s="39"/>
      <c r="O33" s="2"/>
      <c r="P33" s="2"/>
    </row>
    <row r="34" spans="1:16" x14ac:dyDescent="0.25">
      <c r="B34" s="38" t="str">
        <f>IF($A34=0,"",VLOOKUP($A34,'BASE MATERIAL'!$A:$D,2))</f>
        <v/>
      </c>
      <c r="C34" s="2"/>
      <c r="D34" s="77"/>
      <c r="E34" s="78" t="str">
        <f>IF($A34=0,"",VLOOKUP($A34,'BASE MATERIAL'!$A:$D,3))</f>
        <v/>
      </c>
      <c r="F34" s="113"/>
      <c r="G34" s="55" t="str">
        <f>IF($A34=0,"",VLOOKUP($A34,'BASE MATERIAL'!$A:$D,4))</f>
        <v/>
      </c>
      <c r="H34" s="56" t="str">
        <f t="shared" si="4"/>
        <v/>
      </c>
      <c r="I34" s="2"/>
      <c r="J34" s="79"/>
      <c r="L34" s="2"/>
      <c r="M34" s="2"/>
      <c r="N34" s="39"/>
      <c r="O34" s="2"/>
      <c r="P34" s="2"/>
    </row>
    <row r="35" spans="1:16" x14ac:dyDescent="0.25">
      <c r="B35" s="38" t="str">
        <f>IF($A35=0,"",VLOOKUP($A35,'BASE MATERIAL'!$A:$D,2))</f>
        <v/>
      </c>
      <c r="C35" s="2"/>
      <c r="D35" s="77"/>
      <c r="E35" s="78" t="str">
        <f>IF($A35=0,"",VLOOKUP($A35,'BASE MATERIAL'!$A:$D,3))</f>
        <v/>
      </c>
      <c r="F35" s="55"/>
      <c r="G35" s="55" t="str">
        <f>IF($A35=0,"",VLOOKUP($A35,'BASE MATERIAL'!$A:$D,4))</f>
        <v/>
      </c>
      <c r="H35" s="56" t="str">
        <f t="shared" si="4"/>
        <v/>
      </c>
      <c r="I35" s="2"/>
      <c r="L35" s="2"/>
      <c r="M35" s="2"/>
      <c r="N35" s="39"/>
      <c r="O35" s="2"/>
      <c r="P35" s="2"/>
    </row>
    <row r="36" spans="1:16" x14ac:dyDescent="0.25">
      <c r="B36" s="38" t="str">
        <f>IF($A36=0,"",VLOOKUP($A36,'BASE MATERIAL'!$A:$D,2))</f>
        <v/>
      </c>
      <c r="C36" s="2"/>
      <c r="D36" s="77"/>
      <c r="E36" s="78" t="str">
        <f>IF($A36=0,"",VLOOKUP($A36,'BASE MATERIAL'!$A:$D,3))</f>
        <v/>
      </c>
      <c r="F36" s="55"/>
      <c r="G36" s="55" t="str">
        <f>IF($A36=0,"",VLOOKUP($A36,'BASE MATERIAL'!$A:$D,4))</f>
        <v/>
      </c>
      <c r="H36" s="56" t="str">
        <f t="shared" si="4"/>
        <v/>
      </c>
      <c r="I36" s="2"/>
      <c r="J36" s="79"/>
      <c r="L36" s="2"/>
      <c r="M36" s="2"/>
      <c r="N36" s="39"/>
      <c r="O36" s="2"/>
      <c r="P36" s="2"/>
    </row>
    <row r="37" spans="1:16" x14ac:dyDescent="0.25">
      <c r="B37" s="38" t="str">
        <f>IF($A37=0,"",VLOOKUP($A37,'BASE MATERIAL'!$A:$D,2))</f>
        <v/>
      </c>
      <c r="C37" s="2"/>
      <c r="D37" s="77"/>
      <c r="E37" s="78" t="str">
        <f>IF($A37=0,"",VLOOKUP($A37,'BASE MATERIAL'!$A:$D,3))</f>
        <v/>
      </c>
      <c r="F37" s="55"/>
      <c r="G37" s="55" t="str">
        <f>IF($A37=0,"",VLOOKUP($A37,'BASE MATERIAL'!$A:$D,4))</f>
        <v/>
      </c>
      <c r="H37" s="56" t="str">
        <f t="shared" si="4"/>
        <v/>
      </c>
      <c r="I37" s="2"/>
    </row>
    <row r="38" spans="1:16" x14ac:dyDescent="0.25">
      <c r="B38" s="38" t="str">
        <f>IF($A38=0,"",VLOOKUP($A38,'BASE MATERIAL'!$A:$D,2))</f>
        <v/>
      </c>
      <c r="C38" s="2"/>
      <c r="D38" s="77"/>
      <c r="E38" s="78" t="str">
        <f>IF($A38=0,"",VLOOKUP($A38,'BASE MATERIAL'!$A:$D,3))</f>
        <v/>
      </c>
      <c r="F38" s="55"/>
      <c r="G38" s="55" t="str">
        <f>IF($A38=0,"",VLOOKUP($A38,'BASE MATERIAL'!$A:$D,4))</f>
        <v/>
      </c>
      <c r="H38" s="56" t="str">
        <f t="shared" si="4"/>
        <v/>
      </c>
      <c r="I38" s="2"/>
      <c r="L38" s="2"/>
      <c r="M38" s="2"/>
      <c r="N38" s="39"/>
      <c r="O38" s="2"/>
      <c r="P38" s="2"/>
    </row>
    <row r="39" spans="1:16" x14ac:dyDescent="0.25">
      <c r="B39" s="38" t="str">
        <f>IF($A39=0,"",VLOOKUP($A39,'BASE MATERIAL'!$A:$D,2))</f>
        <v/>
      </c>
      <c r="C39" s="2"/>
      <c r="D39" s="77"/>
      <c r="E39" s="78" t="str">
        <f>IF($A39=0,"",VLOOKUP($A39,'BASE MATERIAL'!$A:$D,3))</f>
        <v/>
      </c>
      <c r="F39" s="55"/>
      <c r="G39" s="55" t="str">
        <f>IF($A39=0,"",VLOOKUP($A39,'BASE MATERIAL'!$A:$D,4))</f>
        <v/>
      </c>
      <c r="H39" s="56" t="str">
        <f t="shared" si="4"/>
        <v/>
      </c>
      <c r="I39" s="2"/>
      <c r="L39" s="2"/>
      <c r="M39" s="2"/>
      <c r="N39" s="39"/>
      <c r="O39" s="2"/>
      <c r="P39" s="2"/>
    </row>
    <row r="40" spans="1:16" x14ac:dyDescent="0.25">
      <c r="B40" s="38" t="str">
        <f>IF($A40=0,"",VLOOKUP($A40,'BASE MATERIAL'!$A:$D,2))</f>
        <v/>
      </c>
      <c r="C40" s="2"/>
      <c r="D40" s="77"/>
      <c r="E40" s="78" t="str">
        <f>IF($A40=0,"",VLOOKUP($A40,'BASE MATERIAL'!$A:$D,3))</f>
        <v/>
      </c>
      <c r="F40" s="55"/>
      <c r="G40" s="55" t="str">
        <f>IF($A40=0,"",VLOOKUP($A40,'BASE MATERIAL'!$A:$D,4))</f>
        <v/>
      </c>
      <c r="H40" s="56" t="str">
        <f t="shared" si="4"/>
        <v/>
      </c>
      <c r="I40" s="2"/>
    </row>
    <row r="41" spans="1:16" x14ac:dyDescent="0.25">
      <c r="B41" s="38" t="str">
        <f>IF($A41=0,"",VLOOKUP($A41,'BASE MATERIAL'!$A:$D,2))</f>
        <v/>
      </c>
      <c r="C41" s="2"/>
      <c r="D41" s="77"/>
      <c r="E41" s="78" t="str">
        <f>IF($A41=0,"",VLOOKUP($A41,'BASE MATERIAL'!$A:$D,3))</f>
        <v/>
      </c>
      <c r="F41" s="55"/>
      <c r="G41" s="55" t="str">
        <f>IF($A41=0,"",VLOOKUP($A41,'BASE MATERIAL'!$A:$D,4))</f>
        <v/>
      </c>
      <c r="H41" s="56" t="str">
        <f t="shared" si="4"/>
        <v/>
      </c>
      <c r="I41" s="2"/>
    </row>
    <row r="42" spans="1:16" x14ac:dyDescent="0.25">
      <c r="B42" s="38" t="str">
        <f>IF($A42=0,"",VLOOKUP($A42,'BASE MATERIAL'!$A:$D,2))</f>
        <v/>
      </c>
      <c r="C42" s="2"/>
      <c r="D42" s="77"/>
      <c r="E42" s="78" t="str">
        <f>IF($A42=0,"",VLOOKUP($A42,'BASE MATERIAL'!$A:$D,3))</f>
        <v/>
      </c>
      <c r="F42" s="55"/>
      <c r="G42" s="55" t="str">
        <f>IF($A42=0,"",VLOOKUP($A42,'BASE MATERIAL'!$A:$D,4))</f>
        <v/>
      </c>
      <c r="H42" s="56" t="str">
        <f t="shared" si="4"/>
        <v/>
      </c>
      <c r="I42" s="2"/>
    </row>
    <row r="43" spans="1:16" x14ac:dyDescent="0.25">
      <c r="B43" s="38" t="str">
        <f>IF($A43=0,"",VLOOKUP($A43,'BASE MATERIAL'!$A:$D,2))</f>
        <v/>
      </c>
      <c r="C43" s="2"/>
      <c r="D43" s="77"/>
      <c r="E43" s="78" t="str">
        <f>IF($A43=0,"",VLOOKUP($A43,'BASE MATERIAL'!$A:$D,3))</f>
        <v/>
      </c>
      <c r="F43" s="55"/>
      <c r="G43" s="55" t="str">
        <f>IF($A43=0,"",VLOOKUP($A43,'BASE MATERIAL'!$A:$D,4))</f>
        <v/>
      </c>
      <c r="H43" s="56" t="str">
        <f t="shared" si="4"/>
        <v/>
      </c>
      <c r="I43" s="2"/>
    </row>
    <row r="44" spans="1:16" x14ac:dyDescent="0.25">
      <c r="B44" s="38" t="str">
        <f>IF($A44=0,"",VLOOKUP($A44,'BASE MATERIAL'!$A:$D,2))</f>
        <v/>
      </c>
      <c r="C44" s="2"/>
      <c r="D44" s="81" t="s">
        <v>1682</v>
      </c>
      <c r="E44" s="55" t="str">
        <f>IF($A44=0,"",VLOOKUP($A44,'BASE MATERIAL'!$A:$D,3))</f>
        <v/>
      </c>
      <c r="F44" s="55" t="s">
        <v>1682</v>
      </c>
      <c r="G44" s="55" t="str">
        <f>IF($A44=0,"",VLOOKUP($A44,'BASE MATERIAL'!$A:$D,4))</f>
        <v/>
      </c>
      <c r="H44" s="56" t="str">
        <f>IF($A44=0,"",ROUND(E44*F44,2))</f>
        <v/>
      </c>
      <c r="I44" s="2"/>
    </row>
    <row r="45" spans="1:16" x14ac:dyDescent="0.25">
      <c r="B45" s="73" t="s">
        <v>1681</v>
      </c>
      <c r="C45" s="65"/>
      <c r="D45" s="74"/>
      <c r="E45" s="74"/>
      <c r="F45" s="74"/>
      <c r="G45" s="74"/>
      <c r="H45" s="75">
        <f>ROUND(SUM(H28:H44),2)</f>
        <v>52</v>
      </c>
      <c r="I45" s="2"/>
    </row>
    <row r="46" spans="1:16" x14ac:dyDescent="0.25">
      <c r="B46" s="38" t="s">
        <v>1680</v>
      </c>
      <c r="C46" s="2"/>
      <c r="D46" s="3"/>
      <c r="E46" s="3"/>
      <c r="F46" s="3"/>
      <c r="G46" s="3"/>
      <c r="H46" s="56"/>
      <c r="I46" s="2"/>
    </row>
    <row r="47" spans="1:16" ht="25.5" x14ac:dyDescent="0.25">
      <c r="B47" s="64" t="s">
        <v>1409</v>
      </c>
      <c r="C47" s="65"/>
      <c r="D47" s="76"/>
      <c r="E47" s="66" t="s">
        <v>1408</v>
      </c>
      <c r="F47" s="66" t="s">
        <v>1679</v>
      </c>
      <c r="G47" s="66" t="s">
        <v>1676</v>
      </c>
      <c r="H47" s="68" t="s">
        <v>1675</v>
      </c>
      <c r="I47" s="2"/>
    </row>
    <row r="48" spans="1:16" x14ac:dyDescent="0.25">
      <c r="A48" s="103">
        <v>19019</v>
      </c>
      <c r="B48" s="51" t="str">
        <f>IF($A48=0,"",VLOOKUP($A48,'BASE EQUIPO'!$A:$D,2))</f>
        <v>TRANSPORTE DE MATERIAL</v>
      </c>
      <c r="C48" s="52"/>
      <c r="D48" s="82"/>
      <c r="E48" s="78" t="str">
        <f>IF($A48=0,"",VLOOKUP($A48,'BASE EQUIPO'!$A:$D,3))</f>
        <v>GLOBAL</v>
      </c>
      <c r="F48" s="55">
        <v>1</v>
      </c>
      <c r="G48" s="83">
        <f>IF($A48=0,"",VLOOKUP($A48,'BASE EQUIPO'!$A:$D,4)*H45)</f>
        <v>1.56</v>
      </c>
      <c r="H48" s="56">
        <f>IF($A48=0,"",ROUND(F48*G48,2))</f>
        <v>1.56</v>
      </c>
      <c r="I48" s="2"/>
    </row>
    <row r="49" spans="1:15" x14ac:dyDescent="0.25">
      <c r="B49" s="38" t="str">
        <f>IF($A49=0,"",VLOOKUP($A49,'BASE EQUIPO'!$A:$D,2))</f>
        <v/>
      </c>
      <c r="C49" s="2"/>
      <c r="D49" s="84"/>
      <c r="E49" s="78" t="str">
        <f>IF($A49=0,"",VLOOKUP($A49,'BASE EQUIPO'!$A:$D,3))</f>
        <v/>
      </c>
      <c r="F49" s="55"/>
      <c r="G49" s="55" t="str">
        <f>IF($A49=0,"",VLOOKUP($A49,'BASE EQUIPO'!$A:$D,4)*H46)</f>
        <v/>
      </c>
      <c r="H49" s="56" t="str">
        <f>IF($A49=0,"",ROUND(F49*G49,2))</f>
        <v/>
      </c>
      <c r="I49" s="2"/>
    </row>
    <row r="50" spans="1:15" x14ac:dyDescent="0.25">
      <c r="B50" s="57" t="str">
        <f>IF($A50=0,"",VLOOKUP($A50,'BASE EQUIPO'!$A:$D,2))</f>
        <v/>
      </c>
      <c r="C50" s="58"/>
      <c r="D50" s="85"/>
      <c r="E50" s="86" t="str">
        <f>IF($A50=0,"",VLOOKUP($A50,'BASE EQUIPO'!$A:$D,3))</f>
        <v/>
      </c>
      <c r="F50" s="59"/>
      <c r="G50" s="59" t="str">
        <f>IF($A50=0,"",VLOOKUP($A50,'BASE EQUIPO'!$A:$D,4)*H47)</f>
        <v/>
      </c>
      <c r="H50" s="60" t="str">
        <f>IF($A50=0,"",ROUND(F50*G50,2))</f>
        <v/>
      </c>
      <c r="I50" s="2"/>
    </row>
    <row r="51" spans="1:15" ht="15.75" thickBot="1" x14ac:dyDescent="0.3">
      <c r="B51" s="87" t="s">
        <v>1674</v>
      </c>
      <c r="C51" s="88"/>
      <c r="D51" s="89"/>
      <c r="E51" s="89"/>
      <c r="F51" s="89"/>
      <c r="G51" s="89"/>
      <c r="H51" s="90">
        <f>ROUND(SUM(H47:H50),2)</f>
        <v>1.56</v>
      </c>
      <c r="I51" s="2"/>
    </row>
    <row r="52" spans="1:15" ht="15.75" x14ac:dyDescent="0.25">
      <c r="B52" s="2"/>
      <c r="C52" s="2"/>
      <c r="D52" s="91" t="s">
        <v>1673</v>
      </c>
      <c r="E52" s="47"/>
      <c r="F52" s="47"/>
      <c r="G52" s="47"/>
      <c r="H52" s="92">
        <f>ROUND(SUM(H51,H45,H26,H16),2)</f>
        <v>70.89</v>
      </c>
      <c r="I52" s="2"/>
    </row>
    <row r="53" spans="1:15" ht="15.75" x14ac:dyDescent="0.25">
      <c r="A53" s="103">
        <v>40002</v>
      </c>
      <c r="B53" s="2"/>
      <c r="C53" s="2"/>
      <c r="D53" s="93" t="s">
        <v>1672</v>
      </c>
      <c r="E53" s="65"/>
      <c r="F53" s="65"/>
      <c r="G53" s="94">
        <f>IF($A53=0,"",VLOOKUP($A53,'BASE MATERIAL'!$M:$P,4))</f>
        <v>0</v>
      </c>
      <c r="H53" s="95">
        <f>IF($A53=0,"",ROUND(G53*H52,2))</f>
        <v>0</v>
      </c>
      <c r="I53" s="2"/>
    </row>
    <row r="54" spans="1:15" ht="15.75" x14ac:dyDescent="0.25">
      <c r="A54" s="103">
        <v>40003</v>
      </c>
      <c r="B54" s="2"/>
      <c r="C54" s="2"/>
      <c r="D54" s="93" t="s">
        <v>1671</v>
      </c>
      <c r="E54" s="65"/>
      <c r="F54" s="65"/>
      <c r="G54" s="94">
        <f>IF($A54=0,"",VLOOKUP($A54,'BASE MATERIAL'!$M:$P,4))</f>
        <v>0</v>
      </c>
      <c r="H54" s="95">
        <f>IF($A54=0,"",ROUND(G54*H52,2))</f>
        <v>0</v>
      </c>
      <c r="I54" s="2"/>
    </row>
    <row r="55" spans="1:15" ht="15.75" x14ac:dyDescent="0.25">
      <c r="B55" s="2"/>
      <c r="C55" s="2"/>
      <c r="D55" s="93" t="s">
        <v>1670</v>
      </c>
      <c r="E55" s="65"/>
      <c r="F55" s="65"/>
      <c r="G55" s="65"/>
      <c r="H55" s="96">
        <f>ROUND(SUM(H52:H54),2)</f>
        <v>70.89</v>
      </c>
      <c r="I55" s="2"/>
    </row>
    <row r="56" spans="1:15" ht="16.5" thickBot="1" x14ac:dyDescent="0.3">
      <c r="B56" s="25"/>
      <c r="C56" s="2"/>
      <c r="D56" s="97" t="s">
        <v>1650</v>
      </c>
      <c r="E56" s="88"/>
      <c r="F56" s="88"/>
      <c r="G56" s="88"/>
      <c r="H56" s="98">
        <f>ROUND(H55,2)</f>
        <v>70.89</v>
      </c>
      <c r="I56" s="2"/>
    </row>
    <row r="57" spans="1:15" ht="15.75" x14ac:dyDescent="0.25">
      <c r="B57" s="34" t="s">
        <v>1701</v>
      </c>
      <c r="C57" s="2"/>
      <c r="D57" s="3" t="str">
        <f>'1.1'!$D$1</f>
        <v>ESPOL</v>
      </c>
      <c r="E57" s="2"/>
      <c r="F57" s="2"/>
      <c r="H57" s="2" t="s">
        <v>108</v>
      </c>
      <c r="I57" s="2"/>
      <c r="L57" s="40">
        <f>A61</f>
        <v>7</v>
      </c>
      <c r="M57" s="1" t="str">
        <f>C62</f>
        <v>Ventanas (abatibles)  aluminio y vidrio</v>
      </c>
      <c r="N57" s="2" t="str">
        <f>H61</f>
        <v>m2</v>
      </c>
      <c r="O57" s="2">
        <f>H112</f>
        <v>106.77</v>
      </c>
    </row>
    <row r="58" spans="1:15" ht="15.75" x14ac:dyDescent="0.25">
      <c r="B58" s="34" t="s">
        <v>1700</v>
      </c>
      <c r="C58" s="3">
        <f>'1.1'!$C$2</f>
        <v>0</v>
      </c>
      <c r="D58" s="2"/>
      <c r="E58" s="2"/>
      <c r="F58" s="2"/>
      <c r="G58" s="41" t="s">
        <v>1699</v>
      </c>
      <c r="H58" s="42"/>
      <c r="I58" s="2" t="s">
        <v>1698</v>
      </c>
    </row>
    <row r="59" spans="1:15" ht="15.75" x14ac:dyDescent="0.25">
      <c r="B59" s="34"/>
      <c r="C59" s="3">
        <f>'1.1'!$C$3</f>
        <v>0</v>
      </c>
      <c r="D59" s="2"/>
      <c r="E59" s="2"/>
      <c r="F59" s="2"/>
      <c r="G59" s="2"/>
      <c r="H59" s="2"/>
      <c r="I59" s="2"/>
    </row>
    <row r="60" spans="1:15" ht="15.75" x14ac:dyDescent="0.25">
      <c r="B60" s="34" t="s">
        <v>1697</v>
      </c>
      <c r="C60" s="3"/>
      <c r="D60" s="2"/>
      <c r="E60" s="2"/>
      <c r="F60" s="2"/>
      <c r="G60" s="2"/>
      <c r="H60" s="2"/>
      <c r="I60" s="2"/>
    </row>
    <row r="61" spans="1:15" x14ac:dyDescent="0.25">
      <c r="A61" s="104">
        <v>7</v>
      </c>
      <c r="B61" s="2" t="s">
        <v>1586</v>
      </c>
      <c r="C61" s="36" t="s">
        <v>1531</v>
      </c>
      <c r="D61" s="2"/>
      <c r="G61" s="2" t="s">
        <v>1696</v>
      </c>
      <c r="H61" s="3" t="s">
        <v>1520</v>
      </c>
      <c r="I61" s="2"/>
    </row>
    <row r="62" spans="1:15" x14ac:dyDescent="0.25">
      <c r="B62" s="1" t="s">
        <v>1585</v>
      </c>
      <c r="C62" s="36" t="s">
        <v>106</v>
      </c>
      <c r="D62" s="2"/>
      <c r="E62" s="2"/>
      <c r="F62" s="2"/>
      <c r="G62" s="2"/>
      <c r="H62" s="2"/>
      <c r="I62" s="2"/>
    </row>
    <row r="63" spans="1:15" ht="15.75" thickBot="1" x14ac:dyDescent="0.3">
      <c r="D63" s="2"/>
      <c r="E63" s="2"/>
      <c r="F63" s="2"/>
      <c r="G63" s="2"/>
      <c r="H63" s="2"/>
      <c r="I63" s="2"/>
    </row>
    <row r="64" spans="1:15" ht="15.75" thickBot="1" x14ac:dyDescent="0.3">
      <c r="B64" s="43" t="s">
        <v>1695</v>
      </c>
      <c r="C64" s="44"/>
      <c r="D64" s="44"/>
      <c r="E64" s="44"/>
      <c r="F64" s="44"/>
      <c r="G64" s="44"/>
      <c r="H64" s="45"/>
      <c r="I64" s="2"/>
    </row>
    <row r="65" spans="1:9" ht="25.5" x14ac:dyDescent="0.25">
      <c r="B65" s="46" t="s">
        <v>1409</v>
      </c>
      <c r="C65" s="47"/>
      <c r="D65" s="48" t="s">
        <v>1690</v>
      </c>
      <c r="E65" s="48" t="s">
        <v>1694</v>
      </c>
      <c r="F65" s="48" t="s">
        <v>1693</v>
      </c>
      <c r="G65" s="49" t="s">
        <v>1687</v>
      </c>
      <c r="H65" s="50" t="s">
        <v>1686</v>
      </c>
      <c r="I65" s="2"/>
    </row>
    <row r="66" spans="1:9" x14ac:dyDescent="0.25">
      <c r="A66" s="103">
        <v>19015</v>
      </c>
      <c r="B66" s="51" t="str">
        <f>IF($A66=0,"",VLOOKUP($A66,'BASE EQUIPO'!$A:$D,2))</f>
        <v>HERRAMIENTA MENOR</v>
      </c>
      <c r="C66" s="52"/>
      <c r="D66" s="53">
        <v>1</v>
      </c>
      <c r="E66" s="53">
        <f>IF($A66=0,"",VLOOKUP($A66,'BASE EQUIPO'!$A:$D,4)*H82)</f>
        <v>1.0097999999999998</v>
      </c>
      <c r="F66" s="53">
        <f t="shared" ref="F66:F71" si="5">IF($A66=0,"",ROUND(D66*E66,2))</f>
        <v>1.01</v>
      </c>
      <c r="G66" s="105">
        <v>1</v>
      </c>
      <c r="H66" s="54">
        <f t="shared" ref="H66:H71" si="6">IF($A66=0,"",ROUND(G66*F66,2))</f>
        <v>1.01</v>
      </c>
      <c r="I66" s="2"/>
    </row>
    <row r="67" spans="1:9" x14ac:dyDescent="0.25">
      <c r="B67" s="38" t="str">
        <f>IF($A67=0,"",VLOOKUP($A67,'BASE EQUIPO'!$A:$D,2))</f>
        <v/>
      </c>
      <c r="C67" s="2"/>
      <c r="D67" s="55"/>
      <c r="E67" s="55" t="str">
        <f>IF($A67=0,"",VLOOKUP($A67,'BASE EQUIPO'!$A:$D,4))</f>
        <v/>
      </c>
      <c r="F67" s="55" t="str">
        <f t="shared" si="5"/>
        <v/>
      </c>
      <c r="G67" s="106"/>
      <c r="H67" s="56" t="str">
        <f t="shared" si="6"/>
        <v/>
      </c>
      <c r="I67" s="2"/>
    </row>
    <row r="68" spans="1:9" x14ac:dyDescent="0.25">
      <c r="B68" s="38" t="str">
        <f>IF($A68=0,"",VLOOKUP($A68,'BASE EQUIPO'!$A:$D,2))</f>
        <v/>
      </c>
      <c r="C68" s="2"/>
      <c r="D68" s="55"/>
      <c r="E68" s="55" t="str">
        <f>IF($A68=0,"",VLOOKUP($A68,'BASE EQUIPO'!$A:$D,4))</f>
        <v/>
      </c>
      <c r="F68" s="55" t="str">
        <f t="shared" si="5"/>
        <v/>
      </c>
      <c r="G68" s="106"/>
      <c r="H68" s="56" t="str">
        <f t="shared" si="6"/>
        <v/>
      </c>
      <c r="I68" s="2"/>
    </row>
    <row r="69" spans="1:9" x14ac:dyDescent="0.25">
      <c r="B69" s="38" t="str">
        <f>IF($A69=0,"",VLOOKUP($A69,'BASE EQUIPO'!$A:$D,2))</f>
        <v/>
      </c>
      <c r="C69" s="2"/>
      <c r="D69" s="55"/>
      <c r="E69" s="55" t="str">
        <f>IF($A69=0,"",VLOOKUP($A69,'BASE EQUIPO'!$A:$D,4))</f>
        <v/>
      </c>
      <c r="F69" s="55" t="str">
        <f t="shared" si="5"/>
        <v/>
      </c>
      <c r="G69" s="106"/>
      <c r="H69" s="56" t="str">
        <f t="shared" si="6"/>
        <v/>
      </c>
      <c r="I69" s="2"/>
    </row>
    <row r="70" spans="1:9" x14ac:dyDescent="0.25">
      <c r="B70" s="38" t="str">
        <f>IF($A70=0,"",VLOOKUP($A70,'BASE EQUIPO'!$A:$D,2))</f>
        <v/>
      </c>
      <c r="C70" s="2"/>
      <c r="D70" s="55"/>
      <c r="E70" s="55" t="str">
        <f>IF($A70=0,"",VLOOKUP($A70,'BASE EQUIPO'!$A:$D,4))</f>
        <v/>
      </c>
      <c r="F70" s="55" t="str">
        <f t="shared" si="5"/>
        <v/>
      </c>
      <c r="G70" s="106"/>
      <c r="H70" s="56" t="str">
        <f t="shared" si="6"/>
        <v/>
      </c>
      <c r="I70" s="2"/>
    </row>
    <row r="71" spans="1:9" x14ac:dyDescent="0.25">
      <c r="B71" s="57" t="str">
        <f>IF($A71=0,"",VLOOKUP($A71,'BASE EQUIPO'!$A:$D,2))</f>
        <v/>
      </c>
      <c r="C71" s="58"/>
      <c r="D71" s="59"/>
      <c r="E71" s="59" t="str">
        <f>IF($A71=0,"",VLOOKUP($A71,'BASE EQUIPO'!$A:$D,4))</f>
        <v/>
      </c>
      <c r="F71" s="59" t="str">
        <f t="shared" si="5"/>
        <v/>
      </c>
      <c r="G71" s="107"/>
      <c r="H71" s="60" t="str">
        <f t="shared" si="6"/>
        <v/>
      </c>
      <c r="I71" s="2"/>
    </row>
    <row r="72" spans="1:9" x14ac:dyDescent="0.25">
      <c r="B72" s="57" t="s">
        <v>1692</v>
      </c>
      <c r="C72" s="58"/>
      <c r="D72" s="61"/>
      <c r="E72" s="61"/>
      <c r="F72" s="61"/>
      <c r="G72" s="62"/>
      <c r="H72" s="60">
        <f>ROUND(SUM(H65:H71),2)</f>
        <v>1.01</v>
      </c>
      <c r="I72" s="2"/>
    </row>
    <row r="73" spans="1:9" x14ac:dyDescent="0.25">
      <c r="B73" s="38" t="s">
        <v>1503</v>
      </c>
      <c r="C73" s="2"/>
      <c r="D73" s="3"/>
      <c r="E73" s="3"/>
      <c r="F73" s="3"/>
      <c r="G73" s="63"/>
      <c r="H73" s="56"/>
      <c r="I73" s="2"/>
    </row>
    <row r="74" spans="1:9" ht="25.5" x14ac:dyDescent="0.25">
      <c r="B74" s="64" t="s">
        <v>1691</v>
      </c>
      <c r="C74" s="65"/>
      <c r="D74" s="66" t="s">
        <v>1690</v>
      </c>
      <c r="E74" s="66" t="s">
        <v>1689</v>
      </c>
      <c r="F74" s="66" t="s">
        <v>1688</v>
      </c>
      <c r="G74" s="67" t="s">
        <v>1687</v>
      </c>
      <c r="H74" s="68" t="s">
        <v>1686</v>
      </c>
      <c r="I74" s="2"/>
    </row>
    <row r="75" spans="1:9" x14ac:dyDescent="0.25">
      <c r="B75" s="69" t="str">
        <f>IF($A75=0,"",VLOOKUP($A75,'BASE M-OBRA'!$A:$D,2))</f>
        <v/>
      </c>
      <c r="C75" s="2"/>
      <c r="D75" s="108"/>
      <c r="E75" s="70" t="str">
        <f>IF($A75=0,"",VLOOKUP($A75,'BASE M-OBRA'!$A:$D,4))</f>
        <v/>
      </c>
      <c r="F75" s="55" t="str">
        <f t="shared" ref="F75:F81" si="7">IF($A75=0,"",ROUND(D75*E75,2))</f>
        <v/>
      </c>
      <c r="G75" s="106" t="str">
        <f>IF($A75=0,"",ROUND(H75/F75,2))</f>
        <v/>
      </c>
      <c r="H75" s="56" t="str">
        <f>IF($A75=0,"",ROUND(SUM(H76:H81)*'BASE M-OBRA'!$D$23,2))</f>
        <v/>
      </c>
      <c r="I75" s="2"/>
    </row>
    <row r="76" spans="1:9" x14ac:dyDescent="0.25">
      <c r="A76" s="103">
        <v>20019</v>
      </c>
      <c r="B76" s="69" t="str">
        <f>IF($A76=0,"",VLOOKUP($A76,'BASE M-OBRA'!$A:$D,2))</f>
        <v>INSTALADOR</v>
      </c>
      <c r="C76" s="2"/>
      <c r="D76" s="108">
        <v>1</v>
      </c>
      <c r="E76" s="70">
        <f>IF($A76=0,"",VLOOKUP($A76,'BASE M-OBRA'!$A:$D,4))</f>
        <v>2.82</v>
      </c>
      <c r="F76" s="55">
        <f t="shared" si="7"/>
        <v>2.82</v>
      </c>
      <c r="G76" s="106">
        <v>6</v>
      </c>
      <c r="H76" s="56">
        <f t="shared" ref="H76:H81" si="8">IF($A76=0,"",ROUND(G76*F76,2))</f>
        <v>16.920000000000002</v>
      </c>
      <c r="I76" s="2"/>
    </row>
    <row r="77" spans="1:9" x14ac:dyDescent="0.25">
      <c r="A77" s="103">
        <v>20011</v>
      </c>
      <c r="B77" s="69" t="str">
        <f>IF($A77=0,"",VLOOKUP($A77,'BASE M-OBRA'!$A:$D,2))</f>
        <v>AYUDANTE ESPECIALISTA</v>
      </c>
      <c r="C77" s="2"/>
      <c r="D77" s="108">
        <v>1</v>
      </c>
      <c r="E77" s="70">
        <f>IF($A77=0,"",VLOOKUP($A77,'BASE M-OBRA'!$A:$D,4))</f>
        <v>2.79</v>
      </c>
      <c r="F77" s="55">
        <f t="shared" si="7"/>
        <v>2.79</v>
      </c>
      <c r="G77" s="106">
        <f>+G76</f>
        <v>6</v>
      </c>
      <c r="H77" s="56">
        <f t="shared" si="8"/>
        <v>16.739999999999998</v>
      </c>
      <c r="I77" s="2"/>
    </row>
    <row r="78" spans="1:9" x14ac:dyDescent="0.25">
      <c r="B78" s="71" t="str">
        <f>IF($A78=0,"",VLOOKUP($A78,'BASE M-OBRA'!$A:$D,2))</f>
        <v/>
      </c>
      <c r="C78" s="2"/>
      <c r="D78" s="108"/>
      <c r="E78" s="70" t="str">
        <f>IF($A78=0,"",VLOOKUP($A78,'BASE M-OBRA'!$A:$D,4))</f>
        <v/>
      </c>
      <c r="F78" s="55" t="str">
        <f t="shared" si="7"/>
        <v/>
      </c>
      <c r="G78" s="106"/>
      <c r="H78" s="56" t="str">
        <f t="shared" si="8"/>
        <v/>
      </c>
      <c r="I78" s="2"/>
    </row>
    <row r="79" spans="1:9" x14ac:dyDescent="0.25">
      <c r="B79" s="72" t="str">
        <f>IF($A79=0,"",VLOOKUP($A79,'BASE M-OBRA'!$A:$D,2))</f>
        <v/>
      </c>
      <c r="C79" s="2"/>
      <c r="D79" s="108"/>
      <c r="E79" s="70" t="str">
        <f>IF($A79=0,"",VLOOKUP($A79,'BASE M-OBRA'!$A:$D,4))</f>
        <v/>
      </c>
      <c r="F79" s="55" t="str">
        <f t="shared" si="7"/>
        <v/>
      </c>
      <c r="G79" s="106"/>
      <c r="H79" s="56" t="str">
        <f t="shared" si="8"/>
        <v/>
      </c>
      <c r="I79" s="2"/>
    </row>
    <row r="80" spans="1:9" x14ac:dyDescent="0.25">
      <c r="B80" s="38" t="str">
        <f>IF($A80=0,"",VLOOKUP($A80,'BASE M-OBRA'!$A:$D,2))</f>
        <v/>
      </c>
      <c r="C80" s="2"/>
      <c r="D80" s="55"/>
      <c r="E80" s="55" t="str">
        <f>IF($A80=0,"",VLOOKUP($A80,'BASE M-OBRA'!$A:$D,4))</f>
        <v/>
      </c>
      <c r="F80" s="55" t="str">
        <f t="shared" si="7"/>
        <v/>
      </c>
      <c r="G80" s="106"/>
      <c r="H80" s="56" t="str">
        <f t="shared" si="8"/>
        <v/>
      </c>
      <c r="I80" s="2"/>
    </row>
    <row r="81" spans="1:16" x14ac:dyDescent="0.25">
      <c r="B81" s="57" t="str">
        <f>IF($A81=0,"",VLOOKUP($A81,'BASE M-OBRA'!$A:$D,2))</f>
        <v/>
      </c>
      <c r="C81" s="58"/>
      <c r="D81" s="59"/>
      <c r="E81" s="59" t="str">
        <f>IF($A81=0,"",VLOOKUP($A81,'BASE M-OBRA'!$A:$D,4))</f>
        <v/>
      </c>
      <c r="F81" s="59" t="str">
        <f t="shared" si="7"/>
        <v/>
      </c>
      <c r="G81" s="107"/>
      <c r="H81" s="60" t="str">
        <f t="shared" si="8"/>
        <v/>
      </c>
      <c r="I81" s="2"/>
    </row>
    <row r="82" spans="1:16" x14ac:dyDescent="0.25">
      <c r="B82" s="73" t="s">
        <v>1685</v>
      </c>
      <c r="C82" s="65"/>
      <c r="D82" s="74"/>
      <c r="E82" s="74"/>
      <c r="F82" s="74"/>
      <c r="G82" s="74"/>
      <c r="H82" s="75">
        <f>ROUND(SUM(H74:H81),2)</f>
        <v>33.659999999999997</v>
      </c>
      <c r="I82" s="2"/>
    </row>
    <row r="83" spans="1:16" x14ac:dyDescent="0.25">
      <c r="B83" s="38" t="s">
        <v>1684</v>
      </c>
      <c r="C83" s="2"/>
      <c r="D83" s="3"/>
      <c r="E83" s="3"/>
      <c r="F83" s="3"/>
      <c r="G83" s="3"/>
      <c r="H83" s="56"/>
      <c r="I83" s="2"/>
    </row>
    <row r="84" spans="1:16" ht="25.5" x14ac:dyDescent="0.25">
      <c r="B84" s="64" t="s">
        <v>1409</v>
      </c>
      <c r="C84" s="65"/>
      <c r="D84" s="76"/>
      <c r="E84" s="66" t="s">
        <v>1408</v>
      </c>
      <c r="F84" s="66" t="s">
        <v>1679</v>
      </c>
      <c r="G84" s="66" t="s">
        <v>1683</v>
      </c>
      <c r="H84" s="68" t="s">
        <v>1675</v>
      </c>
      <c r="I84" s="2"/>
    </row>
    <row r="85" spans="1:16" x14ac:dyDescent="0.25">
      <c r="A85" s="103">
        <v>1</v>
      </c>
      <c r="B85" s="99" t="s">
        <v>106</v>
      </c>
      <c r="C85" s="2"/>
      <c r="D85" s="77"/>
      <c r="E85" s="78" t="s">
        <v>1520</v>
      </c>
      <c r="F85" s="55">
        <v>1</v>
      </c>
      <c r="G85" s="55">
        <v>70</v>
      </c>
      <c r="H85" s="56">
        <f t="shared" ref="H85:H99" si="9">IF($A85=0,"",ROUND(F85*G85,2))</f>
        <v>70</v>
      </c>
      <c r="I85" s="2"/>
      <c r="L85" s="2"/>
      <c r="M85" s="2"/>
      <c r="N85" s="39"/>
      <c r="O85" s="2"/>
      <c r="P85" s="2"/>
    </row>
    <row r="86" spans="1:16" x14ac:dyDescent="0.25">
      <c r="B86" s="38"/>
      <c r="C86" s="2"/>
      <c r="D86" s="77"/>
      <c r="E86" s="78"/>
      <c r="F86" s="55"/>
      <c r="G86" s="55"/>
      <c r="H86" s="56" t="str">
        <f t="shared" si="9"/>
        <v/>
      </c>
      <c r="I86" s="2"/>
      <c r="L86" s="2"/>
      <c r="M86" s="2"/>
      <c r="N86" s="39"/>
      <c r="O86" s="2"/>
      <c r="P86" s="2"/>
    </row>
    <row r="87" spans="1:16" x14ac:dyDescent="0.25">
      <c r="B87" s="38"/>
      <c r="C87" s="2"/>
      <c r="D87" s="77"/>
      <c r="E87" s="78"/>
      <c r="F87" s="55"/>
      <c r="G87" s="55"/>
      <c r="H87" s="56" t="str">
        <f t="shared" si="9"/>
        <v/>
      </c>
      <c r="I87" s="2"/>
      <c r="L87" s="2"/>
      <c r="M87" s="2"/>
      <c r="N87" s="39"/>
      <c r="O87" s="2"/>
      <c r="P87" s="2"/>
    </row>
    <row r="88" spans="1:16" x14ac:dyDescent="0.25">
      <c r="B88" s="38"/>
      <c r="C88" s="2"/>
      <c r="D88" s="77"/>
      <c r="E88" s="78"/>
      <c r="F88" s="55"/>
      <c r="G88" s="55"/>
      <c r="H88" s="56" t="str">
        <f t="shared" si="9"/>
        <v/>
      </c>
      <c r="I88" s="2"/>
      <c r="L88" s="2"/>
      <c r="M88" s="2"/>
      <c r="N88" s="39"/>
      <c r="O88" s="2"/>
      <c r="P88" s="2"/>
    </row>
    <row r="89" spans="1:16" x14ac:dyDescent="0.25">
      <c r="B89" s="38"/>
      <c r="C89" s="2"/>
      <c r="D89" s="77"/>
      <c r="E89" s="78"/>
      <c r="F89" s="55"/>
      <c r="G89" s="55"/>
      <c r="H89" s="56" t="str">
        <f t="shared" si="9"/>
        <v/>
      </c>
      <c r="I89" s="2"/>
      <c r="L89" s="2"/>
      <c r="M89" s="2"/>
      <c r="N89" s="39"/>
      <c r="O89" s="2"/>
      <c r="P89" s="2"/>
    </row>
    <row r="90" spans="1:16" x14ac:dyDescent="0.25">
      <c r="B90" s="38"/>
      <c r="C90" s="2"/>
      <c r="D90" s="77"/>
      <c r="E90" s="78"/>
      <c r="F90" s="55"/>
      <c r="G90" s="55"/>
      <c r="H90" s="56" t="str">
        <f t="shared" si="9"/>
        <v/>
      </c>
      <c r="I90" s="2"/>
      <c r="J90" s="79"/>
      <c r="L90" s="2"/>
      <c r="M90" s="2"/>
      <c r="N90" s="39"/>
      <c r="O90" s="2"/>
      <c r="P90" s="2"/>
    </row>
    <row r="91" spans="1:16" x14ac:dyDescent="0.25">
      <c r="B91" s="38"/>
      <c r="C91" s="2"/>
      <c r="D91" s="77"/>
      <c r="E91" s="78"/>
      <c r="F91" s="55"/>
      <c r="G91" s="55"/>
      <c r="H91" s="56" t="str">
        <f t="shared" si="9"/>
        <v/>
      </c>
      <c r="I91" s="2"/>
      <c r="L91" s="2"/>
      <c r="M91" s="2"/>
      <c r="N91" s="39"/>
      <c r="O91" s="2"/>
      <c r="P91" s="2"/>
    </row>
    <row r="92" spans="1:16" x14ac:dyDescent="0.25">
      <c r="B92" s="38"/>
      <c r="C92" s="2"/>
      <c r="D92" s="77"/>
      <c r="E92" s="78"/>
      <c r="F92" s="55"/>
      <c r="G92" s="55"/>
      <c r="H92" s="56" t="str">
        <f t="shared" si="9"/>
        <v/>
      </c>
      <c r="I92" s="2"/>
      <c r="J92" s="79"/>
      <c r="L92" s="2"/>
      <c r="M92" s="2"/>
      <c r="N92" s="39"/>
      <c r="O92" s="2"/>
      <c r="P92" s="2"/>
    </row>
    <row r="93" spans="1:16" x14ac:dyDescent="0.25">
      <c r="B93" s="38"/>
      <c r="C93" s="2"/>
      <c r="D93" s="77"/>
      <c r="E93" s="78"/>
      <c r="F93" s="55"/>
      <c r="G93" s="55"/>
      <c r="H93" s="56" t="str">
        <f t="shared" si="9"/>
        <v/>
      </c>
      <c r="I93" s="2"/>
    </row>
    <row r="94" spans="1:16" x14ac:dyDescent="0.25">
      <c r="B94" s="38" t="str">
        <f>IF($A94=0,"",VLOOKUP($A94,'BASE MATERIAL'!$A:$D,2))</f>
        <v/>
      </c>
      <c r="C94" s="2"/>
      <c r="D94" s="77"/>
      <c r="E94" s="78" t="str">
        <f>IF($A94=0,"",VLOOKUP($A94,'BASE MATERIAL'!$A:$D,3))</f>
        <v/>
      </c>
      <c r="F94" s="55"/>
      <c r="G94" s="55" t="str">
        <f>IF($A94=0,"",VLOOKUP($A94,'BASE MATERIAL'!$A:$D,4))</f>
        <v/>
      </c>
      <c r="H94" s="56" t="str">
        <f t="shared" si="9"/>
        <v/>
      </c>
      <c r="I94" s="2"/>
      <c r="L94" s="2"/>
      <c r="M94" s="2"/>
      <c r="N94" s="39"/>
      <c r="O94" s="2"/>
      <c r="P94" s="2"/>
    </row>
    <row r="95" spans="1:16" x14ac:dyDescent="0.25">
      <c r="B95" s="38" t="str">
        <f>IF($A95=0,"",VLOOKUP($A95,'BASE MATERIAL'!$A:$D,2))</f>
        <v/>
      </c>
      <c r="C95" s="2"/>
      <c r="D95" s="77"/>
      <c r="E95" s="78" t="str">
        <f>IF($A95=0,"",VLOOKUP($A95,'BASE MATERIAL'!$A:$D,3))</f>
        <v/>
      </c>
      <c r="F95" s="55"/>
      <c r="G95" s="55" t="str">
        <f>IF($A95=0,"",VLOOKUP($A95,'BASE MATERIAL'!$A:$D,4))</f>
        <v/>
      </c>
      <c r="H95" s="56" t="str">
        <f t="shared" si="9"/>
        <v/>
      </c>
      <c r="I95" s="2"/>
      <c r="L95" s="2"/>
      <c r="M95" s="2"/>
      <c r="N95" s="39"/>
      <c r="O95" s="2"/>
      <c r="P95" s="2"/>
    </row>
    <row r="96" spans="1:16" x14ac:dyDescent="0.25">
      <c r="B96" s="38" t="str">
        <f>IF($A96=0,"",VLOOKUP($A96,'BASE MATERIAL'!$A:$D,2))</f>
        <v/>
      </c>
      <c r="C96" s="2"/>
      <c r="D96" s="77"/>
      <c r="E96" s="78" t="str">
        <f>IF($A96=0,"",VLOOKUP($A96,'BASE MATERIAL'!$A:$D,3))</f>
        <v/>
      </c>
      <c r="F96" s="55"/>
      <c r="G96" s="55" t="str">
        <f>IF($A96=0,"",VLOOKUP($A96,'BASE MATERIAL'!$A:$D,4))</f>
        <v/>
      </c>
      <c r="H96" s="56" t="str">
        <f t="shared" si="9"/>
        <v/>
      </c>
      <c r="I96" s="2"/>
    </row>
    <row r="97" spans="1:10" x14ac:dyDescent="0.25">
      <c r="B97" s="38" t="str">
        <f>IF($A97=0,"",VLOOKUP($A97,'BASE MATERIAL'!$A:$D,2))</f>
        <v/>
      </c>
      <c r="C97" s="2"/>
      <c r="D97" s="77"/>
      <c r="E97" s="78" t="str">
        <f>IF($A97=0,"",VLOOKUP($A97,'BASE MATERIAL'!$A:$D,3))</f>
        <v/>
      </c>
      <c r="F97" s="55"/>
      <c r="G97" s="55" t="str">
        <f>IF($A97=0,"",VLOOKUP($A97,'BASE MATERIAL'!$A:$D,4))</f>
        <v/>
      </c>
      <c r="H97" s="56" t="str">
        <f t="shared" si="9"/>
        <v/>
      </c>
      <c r="I97" s="2"/>
    </row>
    <row r="98" spans="1:10" x14ac:dyDescent="0.25">
      <c r="B98" s="38" t="str">
        <f>IF($A98=0,"",VLOOKUP($A98,'BASE MATERIAL'!$A:$D,2))</f>
        <v/>
      </c>
      <c r="C98" s="2"/>
      <c r="D98" s="77"/>
      <c r="E98" s="78" t="str">
        <f>IF($A98=0,"",VLOOKUP($A98,'BASE MATERIAL'!$A:$D,3))</f>
        <v/>
      </c>
      <c r="F98" s="55"/>
      <c r="G98" s="55" t="str">
        <f>IF($A98=0,"",VLOOKUP($A98,'BASE MATERIAL'!$A:$D,4))</f>
        <v/>
      </c>
      <c r="H98" s="56" t="str">
        <f t="shared" si="9"/>
        <v/>
      </c>
      <c r="I98" s="2"/>
    </row>
    <row r="99" spans="1:10" x14ac:dyDescent="0.25">
      <c r="B99" s="38" t="str">
        <f>IF($A99=0,"",VLOOKUP($A99,'BASE MATERIAL'!$A:$D,2))</f>
        <v/>
      </c>
      <c r="C99" s="2"/>
      <c r="D99" s="77"/>
      <c r="E99" s="78" t="str">
        <f>IF($A99=0,"",VLOOKUP($A99,'BASE MATERIAL'!$A:$D,3))</f>
        <v/>
      </c>
      <c r="F99" s="55"/>
      <c r="G99" s="55" t="str">
        <f>IF($A99=0,"",VLOOKUP($A99,'BASE MATERIAL'!$A:$D,4))</f>
        <v/>
      </c>
      <c r="H99" s="56" t="str">
        <f t="shared" si="9"/>
        <v/>
      </c>
      <c r="I99" s="2"/>
    </row>
    <row r="100" spans="1:10" x14ac:dyDescent="0.25">
      <c r="B100" s="38" t="str">
        <f>IF($A100=0,"",VLOOKUP($A100,'BASE MATERIAL'!$A:$D,2))</f>
        <v/>
      </c>
      <c r="C100" s="2"/>
      <c r="D100" s="81" t="s">
        <v>1682</v>
      </c>
      <c r="E100" s="55" t="str">
        <f>IF($A100=0,"",VLOOKUP($A100,'BASE MATERIAL'!$A:$D,3))</f>
        <v/>
      </c>
      <c r="F100" s="55" t="s">
        <v>1682</v>
      </c>
      <c r="G100" s="55" t="str">
        <f>IF($A100=0,"",VLOOKUP($A100,'BASE MATERIAL'!$A:$D,4))</f>
        <v/>
      </c>
      <c r="H100" s="56" t="str">
        <f>IF($A100=0,"",ROUND(E100*F100,2))</f>
        <v/>
      </c>
      <c r="I100" s="2"/>
    </row>
    <row r="101" spans="1:10" x14ac:dyDescent="0.25">
      <c r="B101" s="73" t="s">
        <v>1681</v>
      </c>
      <c r="C101" s="65"/>
      <c r="D101" s="74"/>
      <c r="E101" s="74"/>
      <c r="F101" s="74"/>
      <c r="G101" s="74"/>
      <c r="H101" s="75">
        <f>ROUND(SUM(H84:H100),2)</f>
        <v>70</v>
      </c>
      <c r="I101" s="2"/>
    </row>
    <row r="102" spans="1:10" x14ac:dyDescent="0.25">
      <c r="B102" s="38" t="s">
        <v>1680</v>
      </c>
      <c r="C102" s="2"/>
      <c r="D102" s="3"/>
      <c r="E102" s="3"/>
      <c r="F102" s="3"/>
      <c r="G102" s="3"/>
      <c r="H102" s="56"/>
      <c r="I102" s="2"/>
    </row>
    <row r="103" spans="1:10" ht="25.5" x14ac:dyDescent="0.25">
      <c r="B103" s="64" t="s">
        <v>1409</v>
      </c>
      <c r="C103" s="65"/>
      <c r="D103" s="76"/>
      <c r="E103" s="66" t="s">
        <v>1408</v>
      </c>
      <c r="F103" s="66" t="s">
        <v>1679</v>
      </c>
      <c r="G103" s="66" t="s">
        <v>1676</v>
      </c>
      <c r="H103" s="68" t="s">
        <v>1675</v>
      </c>
      <c r="I103" s="2"/>
    </row>
    <row r="104" spans="1:10" x14ac:dyDescent="0.25">
      <c r="A104" s="103">
        <v>19019</v>
      </c>
      <c r="B104" s="51" t="str">
        <f>IF($A104=0,"",VLOOKUP($A104,'BASE EQUIPO'!$A:$D,2))</f>
        <v>TRANSPORTE DE MATERIAL</v>
      </c>
      <c r="C104" s="52"/>
      <c r="D104" s="82"/>
      <c r="E104" s="78" t="str">
        <f>IF($A104=0,"",VLOOKUP($A104,'BASE EQUIPO'!$A:$D,3))</f>
        <v>GLOBAL</v>
      </c>
      <c r="F104" s="55">
        <v>1</v>
      </c>
      <c r="G104" s="83">
        <f>IF($A104=0,"",VLOOKUP($A104,'BASE EQUIPO'!$A:$D,4)*H101)</f>
        <v>2.1</v>
      </c>
      <c r="H104" s="56">
        <f>IF($A104=0,"",ROUND(F104*G104,2))</f>
        <v>2.1</v>
      </c>
      <c r="I104" s="2"/>
    </row>
    <row r="105" spans="1:10" x14ac:dyDescent="0.25">
      <c r="B105" s="38" t="str">
        <f>IF($A105=0,"",VLOOKUP($A105,'BASE EQUIPO'!$A:$D,2))</f>
        <v/>
      </c>
      <c r="C105" s="2"/>
      <c r="D105" s="84"/>
      <c r="E105" s="78" t="str">
        <f>IF($A105=0,"",VLOOKUP($A105,'BASE EQUIPO'!$A:$D,3))</f>
        <v/>
      </c>
      <c r="F105" s="55"/>
      <c r="G105" s="55" t="str">
        <f>IF($A105=0,"",VLOOKUP($A105,'BASE EQUIPO'!$A:$D,4)*H102)</f>
        <v/>
      </c>
      <c r="H105" s="56" t="str">
        <f>IF($A105=0,"",ROUND(F105*G105,2))</f>
        <v/>
      </c>
      <c r="I105" s="2"/>
    </row>
    <row r="106" spans="1:10" x14ac:dyDescent="0.25">
      <c r="B106" s="57" t="str">
        <f>IF($A106=0,"",VLOOKUP($A106,'BASE EQUIPO'!$A:$D,2))</f>
        <v/>
      </c>
      <c r="C106" s="58"/>
      <c r="D106" s="85"/>
      <c r="E106" s="86" t="str">
        <f>IF($A106=0,"",VLOOKUP($A106,'BASE EQUIPO'!$A:$D,3))</f>
        <v/>
      </c>
      <c r="F106" s="59"/>
      <c r="G106" s="59" t="str">
        <f>IF($A106=0,"",VLOOKUP($A106,'BASE EQUIPO'!$A:$D,4)*H103)</f>
        <v/>
      </c>
      <c r="H106" s="60" t="str">
        <f>IF($A106=0,"",ROUND(F106*G106,2))</f>
        <v/>
      </c>
      <c r="I106" s="2"/>
    </row>
    <row r="107" spans="1:10" ht="15.75" thickBot="1" x14ac:dyDescent="0.3">
      <c r="B107" s="87" t="s">
        <v>1674</v>
      </c>
      <c r="C107" s="88"/>
      <c r="D107" s="89"/>
      <c r="E107" s="89"/>
      <c r="F107" s="89"/>
      <c r="G107" s="89"/>
      <c r="H107" s="90">
        <f>ROUND(SUM(H103:H106),2)</f>
        <v>2.1</v>
      </c>
      <c r="I107" s="2"/>
    </row>
    <row r="108" spans="1:10" ht="15.75" x14ac:dyDescent="0.25">
      <c r="B108" s="2"/>
      <c r="C108" s="2"/>
      <c r="D108" s="91" t="s">
        <v>1673</v>
      </c>
      <c r="E108" s="47"/>
      <c r="F108" s="47"/>
      <c r="G108" s="47"/>
      <c r="H108" s="92">
        <f>ROUND(SUM(H107,H101,H82,H72),2)</f>
        <v>106.77</v>
      </c>
      <c r="I108" s="2"/>
    </row>
    <row r="109" spans="1:10" ht="15.75" x14ac:dyDescent="0.25">
      <c r="A109" s="103">
        <v>40002</v>
      </c>
      <c r="B109" s="2"/>
      <c r="C109" s="2"/>
      <c r="D109" s="93" t="s">
        <v>1672</v>
      </c>
      <c r="E109" s="65"/>
      <c r="F109" s="65"/>
      <c r="G109" s="94">
        <f>IF($A109=0,"",VLOOKUP($A109,'BASE MATERIAL'!$M:$P,4))</f>
        <v>0</v>
      </c>
      <c r="H109" s="95">
        <f>IF($A109=0,"",ROUND(G109*H108,2))</f>
        <v>0</v>
      </c>
      <c r="I109" s="2"/>
    </row>
    <row r="110" spans="1:10" ht="15.75" x14ac:dyDescent="0.25">
      <c r="A110" s="103">
        <v>40003</v>
      </c>
      <c r="B110" s="2"/>
      <c r="C110" s="2"/>
      <c r="D110" s="93" t="s">
        <v>1671</v>
      </c>
      <c r="E110" s="65"/>
      <c r="F110" s="65"/>
      <c r="G110" s="94">
        <f>IF($A110=0,"",VLOOKUP($A110,'BASE MATERIAL'!$M:$P,4))</f>
        <v>0</v>
      </c>
      <c r="H110" s="95">
        <f>IF($A110=0,"",ROUND(G110*H108,2))</f>
        <v>0</v>
      </c>
      <c r="I110" s="2"/>
    </row>
    <row r="111" spans="1:10" ht="15.75" x14ac:dyDescent="0.25">
      <c r="B111" s="2"/>
      <c r="C111" s="2"/>
      <c r="D111" s="93" t="s">
        <v>1670</v>
      </c>
      <c r="E111" s="65"/>
      <c r="F111" s="65"/>
      <c r="G111" s="65"/>
      <c r="H111" s="96">
        <f>ROUND(SUM(H108:H110),2)</f>
        <v>106.77</v>
      </c>
      <c r="I111" s="2"/>
    </row>
    <row r="112" spans="1:10" ht="16.5" thickBot="1" x14ac:dyDescent="0.3">
      <c r="B112" s="25"/>
      <c r="C112" s="2"/>
      <c r="D112" s="97" t="s">
        <v>1650</v>
      </c>
      <c r="E112" s="88"/>
      <c r="F112" s="88"/>
      <c r="G112" s="88"/>
      <c r="H112" s="98">
        <f>ROUND(H111,2)</f>
        <v>106.77</v>
      </c>
      <c r="I112" s="2"/>
      <c r="J112" s="1">
        <f>103*1.12</f>
        <v>115.36000000000001</v>
      </c>
    </row>
    <row r="113" spans="1:15" ht="15.75" x14ac:dyDescent="0.25">
      <c r="B113" s="34" t="s">
        <v>1701</v>
      </c>
      <c r="C113" s="2"/>
      <c r="D113" s="3" t="str">
        <f>'1.1'!$D$1</f>
        <v>ESPOL</v>
      </c>
      <c r="E113" s="2"/>
      <c r="F113" s="2"/>
      <c r="H113" s="2" t="s">
        <v>108</v>
      </c>
      <c r="I113" s="2"/>
      <c r="L113" s="40">
        <f>A117</f>
        <v>7</v>
      </c>
      <c r="M113" s="1" t="str">
        <f>C118</f>
        <v>Mamparas  aluminio y vidrio en fachadas</v>
      </c>
      <c r="N113" s="2" t="str">
        <f>H117</f>
        <v>m2</v>
      </c>
      <c r="O113" s="2">
        <f>H168</f>
        <v>168.57</v>
      </c>
    </row>
    <row r="114" spans="1:15" ht="15.75" x14ac:dyDescent="0.25">
      <c r="B114" s="34" t="s">
        <v>1700</v>
      </c>
      <c r="C114" s="3">
        <f>'1.1'!$C$2</f>
        <v>0</v>
      </c>
      <c r="D114" s="2"/>
      <c r="E114" s="2"/>
      <c r="F114" s="2"/>
      <c r="G114" s="41" t="s">
        <v>1699</v>
      </c>
      <c r="H114" s="42"/>
      <c r="I114" s="2" t="s">
        <v>1698</v>
      </c>
    </row>
    <row r="115" spans="1:15" ht="15.75" x14ac:dyDescent="0.25">
      <c r="B115" s="34"/>
      <c r="C115" s="3">
        <f>'1.1'!$C$3</f>
        <v>0</v>
      </c>
      <c r="D115" s="2"/>
      <c r="E115" s="2"/>
      <c r="F115" s="2"/>
      <c r="G115" s="2"/>
      <c r="H115" s="2"/>
      <c r="I115" s="2"/>
    </row>
    <row r="116" spans="1:15" ht="15.75" x14ac:dyDescent="0.25">
      <c r="B116" s="34" t="s">
        <v>1697</v>
      </c>
      <c r="C116" s="3"/>
      <c r="D116" s="2"/>
      <c r="E116" s="2"/>
      <c r="F116" s="2"/>
      <c r="G116" s="2"/>
      <c r="H116" s="2"/>
      <c r="I116" s="2"/>
    </row>
    <row r="117" spans="1:15" x14ac:dyDescent="0.25">
      <c r="A117" s="104">
        <v>7</v>
      </c>
      <c r="B117" s="2" t="s">
        <v>1586</v>
      </c>
      <c r="C117" s="36" t="s">
        <v>683</v>
      </c>
      <c r="D117" s="2"/>
      <c r="G117" s="2" t="s">
        <v>1696</v>
      </c>
      <c r="H117" s="3" t="s">
        <v>1520</v>
      </c>
      <c r="I117" s="2"/>
    </row>
    <row r="118" spans="1:15" x14ac:dyDescent="0.25">
      <c r="B118" s="1" t="s">
        <v>1585</v>
      </c>
      <c r="C118" s="36" t="s">
        <v>1206</v>
      </c>
      <c r="D118" s="2"/>
      <c r="E118" s="2"/>
      <c r="F118" s="2"/>
      <c r="G118" s="2"/>
      <c r="H118" s="2"/>
      <c r="I118" s="2"/>
    </row>
    <row r="119" spans="1:15" ht="15.75" thickBot="1" x14ac:dyDescent="0.3">
      <c r="D119" s="2"/>
      <c r="E119" s="2"/>
      <c r="F119" s="2"/>
      <c r="G119" s="2"/>
      <c r="H119" s="2"/>
      <c r="I119" s="2"/>
    </row>
    <row r="120" spans="1:15" ht="15.75" thickBot="1" x14ac:dyDescent="0.3">
      <c r="B120" s="43" t="s">
        <v>1695</v>
      </c>
      <c r="C120" s="44"/>
      <c r="D120" s="44"/>
      <c r="E120" s="44"/>
      <c r="F120" s="44"/>
      <c r="G120" s="44"/>
      <c r="H120" s="45"/>
      <c r="I120" s="2"/>
    </row>
    <row r="121" spans="1:15" ht="25.5" x14ac:dyDescent="0.25">
      <c r="B121" s="46" t="s">
        <v>1409</v>
      </c>
      <c r="C121" s="47"/>
      <c r="D121" s="48" t="s">
        <v>1690</v>
      </c>
      <c r="E121" s="48" t="s">
        <v>1694</v>
      </c>
      <c r="F121" s="48" t="s">
        <v>1693</v>
      </c>
      <c r="G121" s="49" t="s">
        <v>1687</v>
      </c>
      <c r="H121" s="50" t="s">
        <v>1686</v>
      </c>
      <c r="I121" s="2"/>
    </row>
    <row r="122" spans="1:15" x14ac:dyDescent="0.25">
      <c r="A122" s="103">
        <v>19015</v>
      </c>
      <c r="B122" s="51" t="str">
        <f>IF($A122=0,"",VLOOKUP($A122,'BASE EQUIPO'!$A:$D,2))</f>
        <v>HERRAMIENTA MENOR</v>
      </c>
      <c r="C122" s="52"/>
      <c r="D122" s="53">
        <v>1</v>
      </c>
      <c r="E122" s="53">
        <f>IF($A122=0,"",VLOOKUP($A122,'BASE EQUIPO'!$A:$D,4)*H138)</f>
        <v>1.0097999999999998</v>
      </c>
      <c r="F122" s="53">
        <f t="shared" ref="F122:F127" si="10">IF($A122=0,"",ROUND(D122*E122,2))</f>
        <v>1.01</v>
      </c>
      <c r="G122" s="105">
        <v>1</v>
      </c>
      <c r="H122" s="54">
        <f t="shared" ref="H122:H127" si="11">IF($A122=0,"",ROUND(G122*F122,2))</f>
        <v>1.01</v>
      </c>
      <c r="I122" s="2"/>
    </row>
    <row r="123" spans="1:15" x14ac:dyDescent="0.25">
      <c r="B123" s="38" t="str">
        <f>IF($A123=0,"",VLOOKUP($A123,'BASE EQUIPO'!$A:$D,2))</f>
        <v/>
      </c>
      <c r="C123" s="2"/>
      <c r="D123" s="55"/>
      <c r="E123" s="55" t="str">
        <f>IF($A123=0,"",VLOOKUP($A123,'BASE EQUIPO'!$A:$D,4))</f>
        <v/>
      </c>
      <c r="F123" s="55" t="str">
        <f t="shared" si="10"/>
        <v/>
      </c>
      <c r="G123" s="106"/>
      <c r="H123" s="56" t="str">
        <f t="shared" si="11"/>
        <v/>
      </c>
      <c r="I123" s="2"/>
    </row>
    <row r="124" spans="1:15" x14ac:dyDescent="0.25">
      <c r="B124" s="38" t="str">
        <f>IF($A124=0,"",VLOOKUP($A124,'BASE EQUIPO'!$A:$D,2))</f>
        <v/>
      </c>
      <c r="C124" s="2"/>
      <c r="D124" s="55"/>
      <c r="E124" s="55" t="str">
        <f>IF($A124=0,"",VLOOKUP($A124,'BASE EQUIPO'!$A:$D,4))</f>
        <v/>
      </c>
      <c r="F124" s="55" t="str">
        <f t="shared" si="10"/>
        <v/>
      </c>
      <c r="G124" s="106"/>
      <c r="H124" s="56" t="str">
        <f t="shared" si="11"/>
        <v/>
      </c>
      <c r="I124" s="2"/>
    </row>
    <row r="125" spans="1:15" x14ac:dyDescent="0.25">
      <c r="B125" s="38" t="str">
        <f>IF($A125=0,"",VLOOKUP($A125,'BASE EQUIPO'!$A:$D,2))</f>
        <v/>
      </c>
      <c r="C125" s="2"/>
      <c r="D125" s="55"/>
      <c r="E125" s="55" t="str">
        <f>IF($A125=0,"",VLOOKUP($A125,'BASE EQUIPO'!$A:$D,4))</f>
        <v/>
      </c>
      <c r="F125" s="55" t="str">
        <f t="shared" si="10"/>
        <v/>
      </c>
      <c r="G125" s="106"/>
      <c r="H125" s="56" t="str">
        <f t="shared" si="11"/>
        <v/>
      </c>
      <c r="I125" s="2"/>
    </row>
    <row r="126" spans="1:15" x14ac:dyDescent="0.25">
      <c r="B126" s="38" t="str">
        <f>IF($A126=0,"",VLOOKUP($A126,'BASE EQUIPO'!$A:$D,2))</f>
        <v/>
      </c>
      <c r="C126" s="2"/>
      <c r="D126" s="55"/>
      <c r="E126" s="55" t="str">
        <f>IF($A126=0,"",VLOOKUP($A126,'BASE EQUIPO'!$A:$D,4))</f>
        <v/>
      </c>
      <c r="F126" s="55" t="str">
        <f t="shared" si="10"/>
        <v/>
      </c>
      <c r="G126" s="106"/>
      <c r="H126" s="56" t="str">
        <f t="shared" si="11"/>
        <v/>
      </c>
      <c r="I126" s="2"/>
    </row>
    <row r="127" spans="1:15" x14ac:dyDescent="0.25">
      <c r="B127" s="57" t="str">
        <f>IF($A127=0,"",VLOOKUP($A127,'BASE EQUIPO'!$A:$D,2))</f>
        <v/>
      </c>
      <c r="C127" s="58"/>
      <c r="D127" s="59"/>
      <c r="E127" s="59" t="str">
        <f>IF($A127=0,"",VLOOKUP($A127,'BASE EQUIPO'!$A:$D,4))</f>
        <v/>
      </c>
      <c r="F127" s="59" t="str">
        <f t="shared" si="10"/>
        <v/>
      </c>
      <c r="G127" s="107"/>
      <c r="H127" s="60" t="str">
        <f t="shared" si="11"/>
        <v/>
      </c>
      <c r="I127" s="2"/>
    </row>
    <row r="128" spans="1:15" x14ac:dyDescent="0.25">
      <c r="B128" s="57" t="s">
        <v>1692</v>
      </c>
      <c r="C128" s="58"/>
      <c r="D128" s="61"/>
      <c r="E128" s="61"/>
      <c r="F128" s="61"/>
      <c r="G128" s="62"/>
      <c r="H128" s="60">
        <f>ROUND(SUM(H121:H127),2)</f>
        <v>1.01</v>
      </c>
      <c r="I128" s="2"/>
    </row>
    <row r="129" spans="1:16" x14ac:dyDescent="0.25">
      <c r="B129" s="38" t="s">
        <v>1503</v>
      </c>
      <c r="C129" s="2"/>
      <c r="D129" s="3"/>
      <c r="E129" s="3"/>
      <c r="F129" s="3"/>
      <c r="G129" s="63"/>
      <c r="H129" s="56"/>
      <c r="I129" s="2"/>
    </row>
    <row r="130" spans="1:16" ht="25.5" x14ac:dyDescent="0.25">
      <c r="B130" s="64" t="s">
        <v>1691</v>
      </c>
      <c r="C130" s="65"/>
      <c r="D130" s="66" t="s">
        <v>1690</v>
      </c>
      <c r="E130" s="66" t="s">
        <v>1689</v>
      </c>
      <c r="F130" s="66" t="s">
        <v>1688</v>
      </c>
      <c r="G130" s="67" t="s">
        <v>1687</v>
      </c>
      <c r="H130" s="68" t="s">
        <v>1686</v>
      </c>
      <c r="I130" s="2"/>
    </row>
    <row r="131" spans="1:16" x14ac:dyDescent="0.25">
      <c r="B131" s="69" t="str">
        <f>IF($A131=0,"",VLOOKUP($A131,'BASE M-OBRA'!$A:$D,2))</f>
        <v/>
      </c>
      <c r="C131" s="2"/>
      <c r="D131" s="108"/>
      <c r="E131" s="70" t="str">
        <f>IF($A131=0,"",VLOOKUP($A131,'BASE M-OBRA'!$A:$D,4))</f>
        <v/>
      </c>
      <c r="F131" s="55" t="str">
        <f t="shared" ref="F131:F137" si="12">IF($A131=0,"",ROUND(D131*E131,2))</f>
        <v/>
      </c>
      <c r="G131" s="106" t="str">
        <f>IF($A131=0,"",ROUND(H131/F131,2))</f>
        <v/>
      </c>
      <c r="H131" s="56" t="str">
        <f>IF($A131=0,"",ROUND(SUM(H132:H137)*'BASE M-OBRA'!$D$23,2))</f>
        <v/>
      </c>
      <c r="I131" s="2"/>
    </row>
    <row r="132" spans="1:16" x14ac:dyDescent="0.25">
      <c r="A132" s="103">
        <v>20019</v>
      </c>
      <c r="B132" s="69" t="str">
        <f>IF($A132=0,"",VLOOKUP($A132,'BASE M-OBRA'!$A:$D,2))</f>
        <v>INSTALADOR</v>
      </c>
      <c r="C132" s="2"/>
      <c r="D132" s="108">
        <v>1</v>
      </c>
      <c r="E132" s="70">
        <f>IF($A132=0,"",VLOOKUP($A132,'BASE M-OBRA'!$A:$D,4))</f>
        <v>2.82</v>
      </c>
      <c r="F132" s="55">
        <f t="shared" si="12"/>
        <v>2.82</v>
      </c>
      <c r="G132" s="106">
        <v>6</v>
      </c>
      <c r="H132" s="56">
        <f t="shared" ref="H132:H137" si="13">IF($A132=0,"",ROUND(G132*F132,2))</f>
        <v>16.920000000000002</v>
      </c>
      <c r="I132" s="2"/>
    </row>
    <row r="133" spans="1:16" x14ac:dyDescent="0.25">
      <c r="A133" s="103">
        <v>20011</v>
      </c>
      <c r="B133" s="69" t="str">
        <f>IF($A133=0,"",VLOOKUP($A133,'BASE M-OBRA'!$A:$D,2))</f>
        <v>AYUDANTE ESPECIALISTA</v>
      </c>
      <c r="C133" s="2"/>
      <c r="D133" s="108">
        <v>1</v>
      </c>
      <c r="E133" s="70">
        <f>IF($A133=0,"",VLOOKUP($A133,'BASE M-OBRA'!$A:$D,4))</f>
        <v>2.79</v>
      </c>
      <c r="F133" s="55">
        <f t="shared" si="12"/>
        <v>2.79</v>
      </c>
      <c r="G133" s="106">
        <f>+G132</f>
        <v>6</v>
      </c>
      <c r="H133" s="56">
        <f t="shared" si="13"/>
        <v>16.739999999999998</v>
      </c>
      <c r="I133" s="2"/>
    </row>
    <row r="134" spans="1:16" x14ac:dyDescent="0.25">
      <c r="B134" s="71" t="str">
        <f>IF($A134=0,"",VLOOKUP($A134,'BASE M-OBRA'!$A:$D,2))</f>
        <v/>
      </c>
      <c r="C134" s="2"/>
      <c r="D134" s="108"/>
      <c r="E134" s="70" t="str">
        <f>IF($A134=0,"",VLOOKUP($A134,'BASE M-OBRA'!$A:$D,4))</f>
        <v/>
      </c>
      <c r="F134" s="55" t="str">
        <f t="shared" si="12"/>
        <v/>
      </c>
      <c r="G134" s="106"/>
      <c r="H134" s="56" t="str">
        <f t="shared" si="13"/>
        <v/>
      </c>
      <c r="I134" s="2"/>
    </row>
    <row r="135" spans="1:16" x14ac:dyDescent="0.25">
      <c r="B135" s="72" t="str">
        <f>IF($A135=0,"",VLOOKUP($A135,'BASE M-OBRA'!$A:$D,2))</f>
        <v/>
      </c>
      <c r="C135" s="2"/>
      <c r="D135" s="108"/>
      <c r="E135" s="70" t="str">
        <f>IF($A135=0,"",VLOOKUP($A135,'BASE M-OBRA'!$A:$D,4))</f>
        <v/>
      </c>
      <c r="F135" s="55" t="str">
        <f t="shared" si="12"/>
        <v/>
      </c>
      <c r="G135" s="106"/>
      <c r="H135" s="56" t="str">
        <f t="shared" si="13"/>
        <v/>
      </c>
      <c r="I135" s="2"/>
    </row>
    <row r="136" spans="1:16" x14ac:dyDescent="0.25">
      <c r="B136" s="38" t="str">
        <f>IF($A136=0,"",VLOOKUP($A136,'BASE M-OBRA'!$A:$D,2))</f>
        <v/>
      </c>
      <c r="C136" s="2"/>
      <c r="D136" s="55"/>
      <c r="E136" s="55" t="str">
        <f>IF($A136=0,"",VLOOKUP($A136,'BASE M-OBRA'!$A:$D,4))</f>
        <v/>
      </c>
      <c r="F136" s="55" t="str">
        <f t="shared" si="12"/>
        <v/>
      </c>
      <c r="G136" s="106"/>
      <c r="H136" s="56" t="str">
        <f t="shared" si="13"/>
        <v/>
      </c>
      <c r="I136" s="2"/>
    </row>
    <row r="137" spans="1:16" x14ac:dyDescent="0.25">
      <c r="B137" s="57" t="str">
        <f>IF($A137=0,"",VLOOKUP($A137,'BASE M-OBRA'!$A:$D,2))</f>
        <v/>
      </c>
      <c r="C137" s="58"/>
      <c r="D137" s="59"/>
      <c r="E137" s="59" t="str">
        <f>IF($A137=0,"",VLOOKUP($A137,'BASE M-OBRA'!$A:$D,4))</f>
        <v/>
      </c>
      <c r="F137" s="59" t="str">
        <f t="shared" si="12"/>
        <v/>
      </c>
      <c r="G137" s="107"/>
      <c r="H137" s="60" t="str">
        <f t="shared" si="13"/>
        <v/>
      </c>
      <c r="I137" s="2"/>
    </row>
    <row r="138" spans="1:16" x14ac:dyDescent="0.25">
      <c r="B138" s="73" t="s">
        <v>1685</v>
      </c>
      <c r="C138" s="65"/>
      <c r="D138" s="74"/>
      <c r="E138" s="74"/>
      <c r="F138" s="74"/>
      <c r="G138" s="74"/>
      <c r="H138" s="75">
        <f>ROUND(SUM(H130:H137),2)</f>
        <v>33.659999999999997</v>
      </c>
      <c r="I138" s="2"/>
    </row>
    <row r="139" spans="1:16" x14ac:dyDescent="0.25">
      <c r="B139" s="38" t="s">
        <v>1684</v>
      </c>
      <c r="C139" s="2"/>
      <c r="D139" s="3"/>
      <c r="E139" s="3"/>
      <c r="F139" s="3"/>
      <c r="G139" s="3"/>
      <c r="H139" s="56"/>
      <c r="I139" s="2"/>
    </row>
    <row r="140" spans="1:16" ht="25.5" x14ac:dyDescent="0.25">
      <c r="B140" s="64" t="s">
        <v>1409</v>
      </c>
      <c r="C140" s="65"/>
      <c r="D140" s="76"/>
      <c r="E140" s="66" t="s">
        <v>1408</v>
      </c>
      <c r="F140" s="66" t="s">
        <v>1679</v>
      </c>
      <c r="G140" s="66" t="s">
        <v>1683</v>
      </c>
      <c r="H140" s="68" t="s">
        <v>1675</v>
      </c>
      <c r="I140" s="2"/>
    </row>
    <row r="141" spans="1:16" x14ac:dyDescent="0.25">
      <c r="A141" s="103">
        <v>1</v>
      </c>
      <c r="B141" s="99" t="s">
        <v>1206</v>
      </c>
      <c r="C141" s="2"/>
      <c r="D141" s="77"/>
      <c r="E141" s="78" t="s">
        <v>1520</v>
      </c>
      <c r="F141" s="55">
        <v>1</v>
      </c>
      <c r="G141" s="55">
        <v>130</v>
      </c>
      <c r="H141" s="56">
        <f t="shared" ref="H141:H155" si="14">IF($A141=0,"",ROUND(F141*G141,2))</f>
        <v>130</v>
      </c>
      <c r="I141" s="2"/>
      <c r="L141" s="2"/>
      <c r="M141" s="2"/>
      <c r="N141" s="39"/>
      <c r="O141" s="2"/>
      <c r="P141" s="2"/>
    </row>
    <row r="142" spans="1:16" x14ac:dyDescent="0.25">
      <c r="B142" s="38"/>
      <c r="C142" s="2"/>
      <c r="D142" s="77"/>
      <c r="E142" s="78"/>
      <c r="F142" s="55"/>
      <c r="G142" s="55"/>
      <c r="H142" s="56" t="str">
        <f t="shared" si="14"/>
        <v/>
      </c>
      <c r="I142" s="2"/>
      <c r="L142" s="2"/>
      <c r="M142" s="2"/>
      <c r="N142" s="39"/>
      <c r="O142" s="2"/>
      <c r="P142" s="2"/>
    </row>
    <row r="143" spans="1:16" x14ac:dyDescent="0.25">
      <c r="B143" s="38"/>
      <c r="C143" s="2"/>
      <c r="D143" s="77"/>
      <c r="E143" s="78"/>
      <c r="F143" s="55"/>
      <c r="G143" s="55"/>
      <c r="H143" s="56" t="str">
        <f t="shared" si="14"/>
        <v/>
      </c>
      <c r="I143" s="2"/>
      <c r="L143" s="2"/>
      <c r="M143" s="2"/>
      <c r="N143" s="39"/>
      <c r="O143" s="2"/>
      <c r="P143" s="2"/>
    </row>
    <row r="144" spans="1:16" x14ac:dyDescent="0.25">
      <c r="B144" s="38"/>
      <c r="C144" s="2"/>
      <c r="D144" s="77"/>
      <c r="E144" s="78"/>
      <c r="F144" s="55"/>
      <c r="G144" s="55"/>
      <c r="H144" s="56" t="str">
        <f t="shared" si="14"/>
        <v/>
      </c>
      <c r="I144" s="2"/>
      <c r="L144" s="2"/>
      <c r="M144" s="2"/>
      <c r="N144" s="39"/>
      <c r="O144" s="2"/>
      <c r="P144" s="2"/>
    </row>
    <row r="145" spans="1:16" x14ac:dyDescent="0.25">
      <c r="B145" s="38"/>
      <c r="C145" s="2"/>
      <c r="D145" s="77"/>
      <c r="E145" s="78"/>
      <c r="F145" s="55"/>
      <c r="G145" s="55"/>
      <c r="H145" s="56" t="str">
        <f t="shared" si="14"/>
        <v/>
      </c>
      <c r="I145" s="2"/>
      <c r="L145" s="2"/>
      <c r="M145" s="2"/>
      <c r="N145" s="39"/>
      <c r="O145" s="2"/>
      <c r="P145" s="2"/>
    </row>
    <row r="146" spans="1:16" x14ac:dyDescent="0.25">
      <c r="B146" s="38"/>
      <c r="C146" s="2"/>
      <c r="D146" s="77"/>
      <c r="E146" s="78"/>
      <c r="F146" s="55"/>
      <c r="G146" s="55"/>
      <c r="H146" s="56" t="str">
        <f t="shared" si="14"/>
        <v/>
      </c>
      <c r="I146" s="2"/>
      <c r="J146" s="79"/>
      <c r="L146" s="2"/>
      <c r="M146" s="2"/>
      <c r="N146" s="39"/>
      <c r="O146" s="2"/>
      <c r="P146" s="2"/>
    </row>
    <row r="147" spans="1:16" x14ac:dyDescent="0.25">
      <c r="B147" s="38"/>
      <c r="C147" s="2"/>
      <c r="D147" s="77"/>
      <c r="E147" s="78"/>
      <c r="F147" s="55"/>
      <c r="G147" s="55"/>
      <c r="H147" s="56" t="str">
        <f t="shared" si="14"/>
        <v/>
      </c>
      <c r="I147" s="2"/>
      <c r="L147" s="2"/>
      <c r="M147" s="2"/>
      <c r="N147" s="39"/>
      <c r="O147" s="2"/>
      <c r="P147" s="2"/>
    </row>
    <row r="148" spans="1:16" x14ac:dyDescent="0.25">
      <c r="B148" s="38"/>
      <c r="C148" s="2"/>
      <c r="D148" s="77"/>
      <c r="E148" s="78"/>
      <c r="F148" s="55"/>
      <c r="G148" s="55"/>
      <c r="H148" s="56" t="str">
        <f t="shared" si="14"/>
        <v/>
      </c>
      <c r="I148" s="2"/>
      <c r="J148" s="79"/>
      <c r="L148" s="2"/>
      <c r="M148" s="2"/>
      <c r="N148" s="39"/>
      <c r="O148" s="2"/>
      <c r="P148" s="2"/>
    </row>
    <row r="149" spans="1:16" x14ac:dyDescent="0.25">
      <c r="B149" s="38"/>
      <c r="C149" s="2"/>
      <c r="D149" s="77"/>
      <c r="E149" s="78"/>
      <c r="F149" s="55"/>
      <c r="G149" s="55"/>
      <c r="H149" s="56" t="str">
        <f t="shared" si="14"/>
        <v/>
      </c>
      <c r="I149" s="2"/>
    </row>
    <row r="150" spans="1:16" x14ac:dyDescent="0.25">
      <c r="B150" s="38" t="str">
        <f>IF($A150=0,"",VLOOKUP($A150,'BASE MATERIAL'!$A:$D,2))</f>
        <v/>
      </c>
      <c r="C150" s="2"/>
      <c r="D150" s="77"/>
      <c r="E150" s="78" t="str">
        <f>IF($A150=0,"",VLOOKUP($A150,'BASE MATERIAL'!$A:$D,3))</f>
        <v/>
      </c>
      <c r="F150" s="55"/>
      <c r="G150" s="55" t="str">
        <f>IF($A150=0,"",VLOOKUP($A150,'BASE MATERIAL'!$A:$D,4))</f>
        <v/>
      </c>
      <c r="H150" s="56" t="str">
        <f t="shared" si="14"/>
        <v/>
      </c>
      <c r="I150" s="2"/>
      <c r="L150" s="2"/>
      <c r="M150" s="2"/>
      <c r="N150" s="39"/>
      <c r="O150" s="2"/>
      <c r="P150" s="2"/>
    </row>
    <row r="151" spans="1:16" x14ac:dyDescent="0.25">
      <c r="B151" s="38" t="str">
        <f>IF($A151=0,"",VLOOKUP($A151,'BASE MATERIAL'!$A:$D,2))</f>
        <v/>
      </c>
      <c r="C151" s="2"/>
      <c r="D151" s="77"/>
      <c r="E151" s="78" t="str">
        <f>IF($A151=0,"",VLOOKUP($A151,'BASE MATERIAL'!$A:$D,3))</f>
        <v/>
      </c>
      <c r="F151" s="55"/>
      <c r="G151" s="55" t="str">
        <f>IF($A151=0,"",VLOOKUP($A151,'BASE MATERIAL'!$A:$D,4))</f>
        <v/>
      </c>
      <c r="H151" s="56" t="str">
        <f t="shared" si="14"/>
        <v/>
      </c>
      <c r="I151" s="2"/>
      <c r="L151" s="2"/>
      <c r="M151" s="2"/>
      <c r="N151" s="39"/>
      <c r="O151" s="2"/>
      <c r="P151" s="2"/>
    </row>
    <row r="152" spans="1:16" x14ac:dyDescent="0.25">
      <c r="B152" s="38" t="str">
        <f>IF($A152=0,"",VLOOKUP($A152,'BASE MATERIAL'!$A:$D,2))</f>
        <v/>
      </c>
      <c r="C152" s="2"/>
      <c r="D152" s="77"/>
      <c r="E152" s="78" t="str">
        <f>IF($A152=0,"",VLOOKUP($A152,'BASE MATERIAL'!$A:$D,3))</f>
        <v/>
      </c>
      <c r="F152" s="55"/>
      <c r="G152" s="55" t="str">
        <f>IF($A152=0,"",VLOOKUP($A152,'BASE MATERIAL'!$A:$D,4))</f>
        <v/>
      </c>
      <c r="H152" s="56" t="str">
        <f t="shared" si="14"/>
        <v/>
      </c>
      <c r="I152" s="2"/>
    </row>
    <row r="153" spans="1:16" x14ac:dyDescent="0.25">
      <c r="B153" s="38" t="str">
        <f>IF($A153=0,"",VLOOKUP($A153,'BASE MATERIAL'!$A:$D,2))</f>
        <v/>
      </c>
      <c r="C153" s="2"/>
      <c r="D153" s="77"/>
      <c r="E153" s="78" t="str">
        <f>IF($A153=0,"",VLOOKUP($A153,'BASE MATERIAL'!$A:$D,3))</f>
        <v/>
      </c>
      <c r="F153" s="55"/>
      <c r="G153" s="55" t="str">
        <f>IF($A153=0,"",VLOOKUP($A153,'BASE MATERIAL'!$A:$D,4))</f>
        <v/>
      </c>
      <c r="H153" s="56" t="str">
        <f t="shared" si="14"/>
        <v/>
      </c>
      <c r="I153" s="2"/>
    </row>
    <row r="154" spans="1:16" x14ac:dyDescent="0.25">
      <c r="B154" s="38" t="str">
        <f>IF($A154=0,"",VLOOKUP($A154,'BASE MATERIAL'!$A:$D,2))</f>
        <v/>
      </c>
      <c r="C154" s="2"/>
      <c r="D154" s="77"/>
      <c r="E154" s="78" t="str">
        <f>IF($A154=0,"",VLOOKUP($A154,'BASE MATERIAL'!$A:$D,3))</f>
        <v/>
      </c>
      <c r="F154" s="55"/>
      <c r="G154" s="55" t="str">
        <f>IF($A154=0,"",VLOOKUP($A154,'BASE MATERIAL'!$A:$D,4))</f>
        <v/>
      </c>
      <c r="H154" s="56" t="str">
        <f t="shared" si="14"/>
        <v/>
      </c>
      <c r="I154" s="2"/>
    </row>
    <row r="155" spans="1:16" x14ac:dyDescent="0.25">
      <c r="B155" s="38" t="str">
        <f>IF($A155=0,"",VLOOKUP($A155,'BASE MATERIAL'!$A:$D,2))</f>
        <v/>
      </c>
      <c r="C155" s="2"/>
      <c r="D155" s="77"/>
      <c r="E155" s="78" t="str">
        <f>IF($A155=0,"",VLOOKUP($A155,'BASE MATERIAL'!$A:$D,3))</f>
        <v/>
      </c>
      <c r="F155" s="55"/>
      <c r="G155" s="55" t="str">
        <f>IF($A155=0,"",VLOOKUP($A155,'BASE MATERIAL'!$A:$D,4))</f>
        <v/>
      </c>
      <c r="H155" s="56" t="str">
        <f t="shared" si="14"/>
        <v/>
      </c>
      <c r="I155" s="2"/>
    </row>
    <row r="156" spans="1:16" x14ac:dyDescent="0.25">
      <c r="B156" s="38" t="str">
        <f>IF($A156=0,"",VLOOKUP($A156,'BASE MATERIAL'!$A:$D,2))</f>
        <v/>
      </c>
      <c r="C156" s="2"/>
      <c r="D156" s="81" t="s">
        <v>1682</v>
      </c>
      <c r="E156" s="55" t="str">
        <f>IF($A156=0,"",VLOOKUP($A156,'BASE MATERIAL'!$A:$D,3))</f>
        <v/>
      </c>
      <c r="F156" s="55" t="s">
        <v>1682</v>
      </c>
      <c r="G156" s="55" t="str">
        <f>IF($A156=0,"",VLOOKUP($A156,'BASE MATERIAL'!$A:$D,4))</f>
        <v/>
      </c>
      <c r="H156" s="56" t="str">
        <f>IF($A156=0,"",ROUND(E156*F156,2))</f>
        <v/>
      </c>
      <c r="I156" s="2"/>
    </row>
    <row r="157" spans="1:16" x14ac:dyDescent="0.25">
      <c r="B157" s="73" t="s">
        <v>1681</v>
      </c>
      <c r="C157" s="65"/>
      <c r="D157" s="74"/>
      <c r="E157" s="74"/>
      <c r="F157" s="74"/>
      <c r="G157" s="74"/>
      <c r="H157" s="75">
        <f>ROUND(SUM(H140:H156),2)</f>
        <v>130</v>
      </c>
      <c r="I157" s="2"/>
    </row>
    <row r="158" spans="1:16" x14ac:dyDescent="0.25">
      <c r="B158" s="38" t="s">
        <v>1680</v>
      </c>
      <c r="C158" s="2"/>
      <c r="D158" s="3"/>
      <c r="E158" s="3"/>
      <c r="F158" s="3"/>
      <c r="G158" s="3"/>
      <c r="H158" s="56"/>
      <c r="I158" s="2"/>
    </row>
    <row r="159" spans="1:16" ht="25.5" x14ac:dyDescent="0.25">
      <c r="B159" s="64" t="s">
        <v>1409</v>
      </c>
      <c r="C159" s="65"/>
      <c r="D159" s="76"/>
      <c r="E159" s="66" t="s">
        <v>1408</v>
      </c>
      <c r="F159" s="66" t="s">
        <v>1679</v>
      </c>
      <c r="G159" s="66" t="s">
        <v>1676</v>
      </c>
      <c r="H159" s="68" t="s">
        <v>1675</v>
      </c>
      <c r="I159" s="2"/>
    </row>
    <row r="160" spans="1:16" x14ac:dyDescent="0.25">
      <c r="A160" s="103">
        <v>19019</v>
      </c>
      <c r="B160" s="51" t="str">
        <f>IF($A160=0,"",VLOOKUP($A160,'BASE EQUIPO'!$A:$D,2))</f>
        <v>TRANSPORTE DE MATERIAL</v>
      </c>
      <c r="C160" s="52"/>
      <c r="D160" s="82"/>
      <c r="E160" s="78" t="str">
        <f>IF($A160=0,"",VLOOKUP($A160,'BASE EQUIPO'!$A:$D,3))</f>
        <v>GLOBAL</v>
      </c>
      <c r="F160" s="55">
        <v>1</v>
      </c>
      <c r="G160" s="83">
        <f>IF($A160=0,"",VLOOKUP($A160,'BASE EQUIPO'!$A:$D,4)*H157)</f>
        <v>3.9</v>
      </c>
      <c r="H160" s="56">
        <f>IF($A160=0,"",ROUND(F160*G160,2))</f>
        <v>3.9</v>
      </c>
      <c r="I160" s="2"/>
    </row>
    <row r="161" spans="1:15" x14ac:dyDescent="0.25">
      <c r="B161" s="38" t="str">
        <f>IF($A161=0,"",VLOOKUP($A161,'BASE EQUIPO'!$A:$D,2))</f>
        <v/>
      </c>
      <c r="C161" s="2"/>
      <c r="D161" s="84"/>
      <c r="E161" s="78" t="str">
        <f>IF($A161=0,"",VLOOKUP($A161,'BASE EQUIPO'!$A:$D,3))</f>
        <v/>
      </c>
      <c r="F161" s="55"/>
      <c r="G161" s="55" t="str">
        <f>IF($A161=0,"",VLOOKUP($A161,'BASE EQUIPO'!$A:$D,4)*H158)</f>
        <v/>
      </c>
      <c r="H161" s="56" t="str">
        <f>IF($A161=0,"",ROUND(F161*G161,2))</f>
        <v/>
      </c>
      <c r="I161" s="2"/>
    </row>
    <row r="162" spans="1:15" x14ac:dyDescent="0.25">
      <c r="B162" s="57" t="str">
        <f>IF($A162=0,"",VLOOKUP($A162,'BASE EQUIPO'!$A:$D,2))</f>
        <v/>
      </c>
      <c r="C162" s="58"/>
      <c r="D162" s="85"/>
      <c r="E162" s="86" t="str">
        <f>IF($A162=0,"",VLOOKUP($A162,'BASE EQUIPO'!$A:$D,3))</f>
        <v/>
      </c>
      <c r="F162" s="59"/>
      <c r="G162" s="59" t="str">
        <f>IF($A162=0,"",VLOOKUP($A162,'BASE EQUIPO'!$A:$D,4)*H159)</f>
        <v/>
      </c>
      <c r="H162" s="60" t="str">
        <f>IF($A162=0,"",ROUND(F162*G162,2))</f>
        <v/>
      </c>
      <c r="I162" s="2"/>
    </row>
    <row r="163" spans="1:15" ht="15.75" thickBot="1" x14ac:dyDescent="0.3">
      <c r="B163" s="87" t="s">
        <v>1674</v>
      </c>
      <c r="C163" s="88"/>
      <c r="D163" s="89"/>
      <c r="E163" s="89"/>
      <c r="F163" s="89"/>
      <c r="G163" s="89"/>
      <c r="H163" s="90">
        <f>ROUND(SUM(H159:H162),2)</f>
        <v>3.9</v>
      </c>
      <c r="I163" s="2"/>
    </row>
    <row r="164" spans="1:15" ht="15.75" x14ac:dyDescent="0.25">
      <c r="B164" s="2"/>
      <c r="C164" s="2"/>
      <c r="D164" s="91" t="s">
        <v>1673</v>
      </c>
      <c r="E164" s="47"/>
      <c r="F164" s="47"/>
      <c r="G164" s="47"/>
      <c r="H164" s="92">
        <f>ROUND(SUM(H163,H157,H138,H128),2)</f>
        <v>168.57</v>
      </c>
      <c r="I164" s="2"/>
    </row>
    <row r="165" spans="1:15" ht="15.75" x14ac:dyDescent="0.25">
      <c r="A165" s="103">
        <v>40002</v>
      </c>
      <c r="B165" s="2"/>
      <c r="C165" s="2"/>
      <c r="D165" s="93" t="s">
        <v>1672</v>
      </c>
      <c r="E165" s="65"/>
      <c r="F165" s="65"/>
      <c r="G165" s="94">
        <f>IF($A165=0,"",VLOOKUP($A165,'BASE MATERIAL'!$M:$P,4))</f>
        <v>0</v>
      </c>
      <c r="H165" s="95">
        <f>IF($A165=0,"",ROUND(G165*H164,2))</f>
        <v>0</v>
      </c>
      <c r="I165" s="2"/>
    </row>
    <row r="166" spans="1:15" ht="15.75" x14ac:dyDescent="0.25">
      <c r="A166" s="103">
        <v>40003</v>
      </c>
      <c r="B166" s="2"/>
      <c r="C166" s="2"/>
      <c r="D166" s="93" t="s">
        <v>1671</v>
      </c>
      <c r="E166" s="65"/>
      <c r="F166" s="65"/>
      <c r="G166" s="94">
        <f>IF($A166=0,"",VLOOKUP($A166,'BASE MATERIAL'!$M:$P,4))</f>
        <v>0</v>
      </c>
      <c r="H166" s="95">
        <f>IF($A166=0,"",ROUND(G166*H164,2))</f>
        <v>0</v>
      </c>
      <c r="I166" s="2"/>
    </row>
    <row r="167" spans="1:15" ht="15.75" x14ac:dyDescent="0.25">
      <c r="B167" s="2"/>
      <c r="C167" s="2"/>
      <c r="D167" s="93" t="s">
        <v>1670</v>
      </c>
      <c r="E167" s="65"/>
      <c r="F167" s="65"/>
      <c r="G167" s="65"/>
      <c r="H167" s="96">
        <f>ROUND(SUM(H164:H166),2)</f>
        <v>168.57</v>
      </c>
      <c r="I167" s="2"/>
    </row>
    <row r="168" spans="1:15" ht="16.5" thickBot="1" x14ac:dyDescent="0.3">
      <c r="B168" s="25"/>
      <c r="C168" s="2"/>
      <c r="D168" s="97" t="s">
        <v>1650</v>
      </c>
      <c r="E168" s="88"/>
      <c r="F168" s="88"/>
      <c r="G168" s="88"/>
      <c r="H168" s="98">
        <f>ROUND(H167,2)</f>
        <v>168.57</v>
      </c>
      <c r="I168" s="2"/>
      <c r="J168" s="1">
        <f>103*1.12</f>
        <v>115.36000000000001</v>
      </c>
    </row>
    <row r="169" spans="1:15" ht="15.75" x14ac:dyDescent="0.25">
      <c r="B169" s="34" t="s">
        <v>1701</v>
      </c>
      <c r="C169" s="2"/>
      <c r="D169" s="3" t="str">
        <f>'1.1'!$D$1</f>
        <v>ESPOL</v>
      </c>
      <c r="E169" s="2"/>
      <c r="F169" s="2"/>
      <c r="H169" s="2" t="s">
        <v>108</v>
      </c>
      <c r="I169" s="2"/>
      <c r="L169" s="40">
        <f>A173</f>
        <v>7</v>
      </c>
      <c r="M169" s="1" t="str">
        <f>C174</f>
        <v>Mamparas de aluminio y vidrio (oficina) MD2</v>
      </c>
      <c r="N169" s="2" t="str">
        <f>H173</f>
        <v>m2</v>
      </c>
      <c r="O169" s="2">
        <f>H224</f>
        <v>115.18</v>
      </c>
    </row>
    <row r="170" spans="1:15" ht="15.75" x14ac:dyDescent="0.25">
      <c r="B170" s="34" t="s">
        <v>1700</v>
      </c>
      <c r="C170" s="3">
        <f>'1.1'!$C$2</f>
        <v>0</v>
      </c>
      <c r="D170" s="2"/>
      <c r="E170" s="2"/>
      <c r="F170" s="2"/>
      <c r="G170" s="41" t="s">
        <v>1699</v>
      </c>
      <c r="H170" s="42"/>
      <c r="I170" s="2" t="s">
        <v>1698</v>
      </c>
    </row>
    <row r="171" spans="1:15" ht="15.75" x14ac:dyDescent="0.25">
      <c r="B171" s="34"/>
      <c r="C171" s="3">
        <f>'1.1'!$C$3</f>
        <v>0</v>
      </c>
      <c r="D171" s="2"/>
      <c r="E171" s="2"/>
      <c r="F171" s="2"/>
      <c r="G171" s="2"/>
      <c r="H171" s="2"/>
      <c r="I171" s="2"/>
    </row>
    <row r="172" spans="1:15" ht="15.75" x14ac:dyDescent="0.25">
      <c r="B172" s="34" t="s">
        <v>1697</v>
      </c>
      <c r="C172" s="3"/>
      <c r="D172" s="2"/>
      <c r="E172" s="2"/>
      <c r="F172" s="2"/>
      <c r="G172" s="2"/>
      <c r="H172" s="2"/>
      <c r="I172" s="2"/>
    </row>
    <row r="173" spans="1:15" x14ac:dyDescent="0.25">
      <c r="A173" s="104">
        <v>7</v>
      </c>
      <c r="B173" s="2" t="s">
        <v>1586</v>
      </c>
      <c r="C173" s="36" t="s">
        <v>684</v>
      </c>
      <c r="D173" s="2"/>
      <c r="G173" s="2" t="s">
        <v>1696</v>
      </c>
      <c r="H173" s="3" t="s">
        <v>1520</v>
      </c>
      <c r="I173" s="2"/>
    </row>
    <row r="174" spans="1:15" x14ac:dyDescent="0.25">
      <c r="B174" s="1" t="s">
        <v>1585</v>
      </c>
      <c r="C174" s="36" t="s">
        <v>591</v>
      </c>
      <c r="D174" s="2"/>
      <c r="E174" s="2"/>
      <c r="F174" s="2"/>
      <c r="G174" s="2"/>
      <c r="H174" s="2"/>
      <c r="I174" s="2"/>
    </row>
    <row r="175" spans="1:15" ht="15.75" thickBot="1" x14ac:dyDescent="0.3">
      <c r="D175" s="2"/>
      <c r="E175" s="2"/>
      <c r="F175" s="2"/>
      <c r="G175" s="2"/>
      <c r="H175" s="2"/>
      <c r="I175" s="2"/>
    </row>
    <row r="176" spans="1:15" ht="15.75" thickBot="1" x14ac:dyDescent="0.3">
      <c r="B176" s="43" t="s">
        <v>1695</v>
      </c>
      <c r="C176" s="44"/>
      <c r="D176" s="44"/>
      <c r="E176" s="44"/>
      <c r="F176" s="44"/>
      <c r="G176" s="44"/>
      <c r="H176" s="45"/>
      <c r="I176" s="2"/>
    </row>
    <row r="177" spans="1:9" ht="25.5" x14ac:dyDescent="0.25">
      <c r="B177" s="46" t="s">
        <v>1409</v>
      </c>
      <c r="C177" s="47"/>
      <c r="D177" s="48" t="s">
        <v>1690</v>
      </c>
      <c r="E177" s="48" t="s">
        <v>1694</v>
      </c>
      <c r="F177" s="48" t="s">
        <v>1693</v>
      </c>
      <c r="G177" s="49" t="s">
        <v>1687</v>
      </c>
      <c r="H177" s="50" t="s">
        <v>1686</v>
      </c>
      <c r="I177" s="2"/>
    </row>
    <row r="178" spans="1:9" x14ac:dyDescent="0.25">
      <c r="A178" s="103">
        <v>19015</v>
      </c>
      <c r="B178" s="51" t="str">
        <f>IF($A178=0,"",VLOOKUP($A178,'BASE EQUIPO'!$A:$D,2))</f>
        <v>HERRAMIENTA MENOR</v>
      </c>
      <c r="C178" s="52"/>
      <c r="D178" s="53">
        <v>1</v>
      </c>
      <c r="E178" s="53">
        <f>IF($A178=0,"",VLOOKUP($A178,'BASE EQUIPO'!$A:$D,4)*H194)</f>
        <v>0.5048999999999999</v>
      </c>
      <c r="F178" s="53">
        <f t="shared" ref="F178:F183" si="15">IF($A178=0,"",ROUND(D178*E178,2))</f>
        <v>0.5</v>
      </c>
      <c r="G178" s="105">
        <v>1</v>
      </c>
      <c r="H178" s="54">
        <f t="shared" ref="H178:H183" si="16">IF($A178=0,"",ROUND(G178*F178,2))</f>
        <v>0.5</v>
      </c>
      <c r="I178" s="2"/>
    </row>
    <row r="179" spans="1:9" x14ac:dyDescent="0.25">
      <c r="B179" s="38" t="str">
        <f>IF($A179=0,"",VLOOKUP($A179,'BASE EQUIPO'!$A:$D,2))</f>
        <v/>
      </c>
      <c r="C179" s="2"/>
      <c r="D179" s="55"/>
      <c r="E179" s="55" t="str">
        <f>IF($A179=0,"",VLOOKUP($A179,'BASE EQUIPO'!$A:$D,4))</f>
        <v/>
      </c>
      <c r="F179" s="55" t="str">
        <f t="shared" si="15"/>
        <v/>
      </c>
      <c r="G179" s="106"/>
      <c r="H179" s="56" t="str">
        <f t="shared" si="16"/>
        <v/>
      </c>
      <c r="I179" s="2"/>
    </row>
    <row r="180" spans="1:9" x14ac:dyDescent="0.25">
      <c r="B180" s="38" t="str">
        <f>IF($A180=0,"",VLOOKUP($A180,'BASE EQUIPO'!$A:$D,2))</f>
        <v/>
      </c>
      <c r="C180" s="2"/>
      <c r="D180" s="55"/>
      <c r="E180" s="55" t="str">
        <f>IF($A180=0,"",VLOOKUP($A180,'BASE EQUIPO'!$A:$D,4))</f>
        <v/>
      </c>
      <c r="F180" s="55" t="str">
        <f t="shared" si="15"/>
        <v/>
      </c>
      <c r="G180" s="106"/>
      <c r="H180" s="56" t="str">
        <f t="shared" si="16"/>
        <v/>
      </c>
      <c r="I180" s="2"/>
    </row>
    <row r="181" spans="1:9" x14ac:dyDescent="0.25">
      <c r="B181" s="38" t="str">
        <f>IF($A181=0,"",VLOOKUP($A181,'BASE EQUIPO'!$A:$D,2))</f>
        <v/>
      </c>
      <c r="C181" s="2"/>
      <c r="D181" s="55"/>
      <c r="E181" s="55" t="str">
        <f>IF($A181=0,"",VLOOKUP($A181,'BASE EQUIPO'!$A:$D,4))</f>
        <v/>
      </c>
      <c r="F181" s="55" t="str">
        <f t="shared" si="15"/>
        <v/>
      </c>
      <c r="G181" s="106"/>
      <c r="H181" s="56" t="str">
        <f t="shared" si="16"/>
        <v/>
      </c>
      <c r="I181" s="2"/>
    </row>
    <row r="182" spans="1:9" x14ac:dyDescent="0.25">
      <c r="B182" s="38" t="str">
        <f>IF($A182=0,"",VLOOKUP($A182,'BASE EQUIPO'!$A:$D,2))</f>
        <v/>
      </c>
      <c r="C182" s="2"/>
      <c r="D182" s="55"/>
      <c r="E182" s="55" t="str">
        <f>IF($A182=0,"",VLOOKUP($A182,'BASE EQUIPO'!$A:$D,4))</f>
        <v/>
      </c>
      <c r="F182" s="55" t="str">
        <f t="shared" si="15"/>
        <v/>
      </c>
      <c r="G182" s="106"/>
      <c r="H182" s="56" t="str">
        <f t="shared" si="16"/>
        <v/>
      </c>
      <c r="I182" s="2"/>
    </row>
    <row r="183" spans="1:9" x14ac:dyDescent="0.25">
      <c r="B183" s="57" t="str">
        <f>IF($A183=0,"",VLOOKUP($A183,'BASE EQUIPO'!$A:$D,2))</f>
        <v/>
      </c>
      <c r="C183" s="58"/>
      <c r="D183" s="59"/>
      <c r="E183" s="59" t="str">
        <f>IF($A183=0,"",VLOOKUP($A183,'BASE EQUIPO'!$A:$D,4))</f>
        <v/>
      </c>
      <c r="F183" s="59" t="str">
        <f t="shared" si="15"/>
        <v/>
      </c>
      <c r="G183" s="107"/>
      <c r="H183" s="60" t="str">
        <f t="shared" si="16"/>
        <v/>
      </c>
      <c r="I183" s="2"/>
    </row>
    <row r="184" spans="1:9" x14ac:dyDescent="0.25">
      <c r="B184" s="57" t="s">
        <v>1692</v>
      </c>
      <c r="C184" s="58"/>
      <c r="D184" s="61"/>
      <c r="E184" s="61"/>
      <c r="F184" s="61"/>
      <c r="G184" s="62"/>
      <c r="H184" s="60">
        <f>ROUND(SUM(H177:H183),2)</f>
        <v>0.5</v>
      </c>
      <c r="I184" s="2"/>
    </row>
    <row r="185" spans="1:9" x14ac:dyDescent="0.25">
      <c r="B185" s="38" t="s">
        <v>1503</v>
      </c>
      <c r="C185" s="2"/>
      <c r="D185" s="3"/>
      <c r="E185" s="3"/>
      <c r="F185" s="3"/>
      <c r="G185" s="63"/>
      <c r="H185" s="56"/>
      <c r="I185" s="2"/>
    </row>
    <row r="186" spans="1:9" ht="25.5" x14ac:dyDescent="0.25">
      <c r="B186" s="64" t="s">
        <v>1691</v>
      </c>
      <c r="C186" s="65"/>
      <c r="D186" s="66" t="s">
        <v>1690</v>
      </c>
      <c r="E186" s="66" t="s">
        <v>1689</v>
      </c>
      <c r="F186" s="66" t="s">
        <v>1688</v>
      </c>
      <c r="G186" s="67" t="s">
        <v>1687</v>
      </c>
      <c r="H186" s="68" t="s">
        <v>1686</v>
      </c>
      <c r="I186" s="2"/>
    </row>
    <row r="187" spans="1:9" x14ac:dyDescent="0.25">
      <c r="B187" s="69" t="str">
        <f>IF($A187=0,"",VLOOKUP($A187,'BASE M-OBRA'!$A:$D,2))</f>
        <v/>
      </c>
      <c r="C187" s="2"/>
      <c r="D187" s="108"/>
      <c r="E187" s="70" t="str">
        <f>IF($A187=0,"",VLOOKUP($A187,'BASE M-OBRA'!$A:$D,4))</f>
        <v/>
      </c>
      <c r="F187" s="55" t="str">
        <f t="shared" ref="F187:F193" si="17">IF($A187=0,"",ROUND(D187*E187,2))</f>
        <v/>
      </c>
      <c r="G187" s="106" t="str">
        <f>IF($A187=0,"",ROUND(H187/F187,2))</f>
        <v/>
      </c>
      <c r="H187" s="56" t="str">
        <f>IF($A187=0,"",ROUND(SUM(H188:H193)*'BASE M-OBRA'!$D$23,2))</f>
        <v/>
      </c>
      <c r="I187" s="2"/>
    </row>
    <row r="188" spans="1:9" x14ac:dyDescent="0.25">
      <c r="A188" s="103">
        <v>20019</v>
      </c>
      <c r="B188" s="69" t="str">
        <f>IF($A188=0,"",VLOOKUP($A188,'BASE M-OBRA'!$A:$D,2))</f>
        <v>INSTALADOR</v>
      </c>
      <c r="C188" s="2"/>
      <c r="D188" s="108">
        <v>1</v>
      </c>
      <c r="E188" s="70">
        <f>IF($A188=0,"",VLOOKUP($A188,'BASE M-OBRA'!$A:$D,4))</f>
        <v>2.82</v>
      </c>
      <c r="F188" s="55">
        <f t="shared" si="17"/>
        <v>2.82</v>
      </c>
      <c r="G188" s="106">
        <v>3</v>
      </c>
      <c r="H188" s="56">
        <f t="shared" ref="H188:H193" si="18">IF($A188=0,"",ROUND(G188*F188,2))</f>
        <v>8.4600000000000009</v>
      </c>
      <c r="I188" s="2"/>
    </row>
    <row r="189" spans="1:9" x14ac:dyDescent="0.25">
      <c r="A189" s="103">
        <v>20011</v>
      </c>
      <c r="B189" s="69" t="str">
        <f>IF($A189=0,"",VLOOKUP($A189,'BASE M-OBRA'!$A:$D,2))</f>
        <v>AYUDANTE ESPECIALISTA</v>
      </c>
      <c r="C189" s="2"/>
      <c r="D189" s="108">
        <v>1</v>
      </c>
      <c r="E189" s="70">
        <f>IF($A189=0,"",VLOOKUP($A189,'BASE M-OBRA'!$A:$D,4))</f>
        <v>2.79</v>
      </c>
      <c r="F189" s="55">
        <f t="shared" si="17"/>
        <v>2.79</v>
      </c>
      <c r="G189" s="106">
        <f>+G188</f>
        <v>3</v>
      </c>
      <c r="H189" s="56">
        <f t="shared" si="18"/>
        <v>8.3699999999999992</v>
      </c>
      <c r="I189" s="2"/>
    </row>
    <row r="190" spans="1:9" x14ac:dyDescent="0.25">
      <c r="B190" s="71" t="str">
        <f>IF($A190=0,"",VLOOKUP($A190,'BASE M-OBRA'!$A:$D,2))</f>
        <v/>
      </c>
      <c r="C190" s="2"/>
      <c r="D190" s="108"/>
      <c r="E190" s="70" t="str">
        <f>IF($A190=0,"",VLOOKUP($A190,'BASE M-OBRA'!$A:$D,4))</f>
        <v/>
      </c>
      <c r="F190" s="55" t="str">
        <f t="shared" si="17"/>
        <v/>
      </c>
      <c r="G190" s="106"/>
      <c r="H190" s="56" t="str">
        <f t="shared" si="18"/>
        <v/>
      </c>
      <c r="I190" s="2"/>
    </row>
    <row r="191" spans="1:9" x14ac:dyDescent="0.25">
      <c r="B191" s="72" t="str">
        <f>IF($A191=0,"",VLOOKUP($A191,'BASE M-OBRA'!$A:$D,2))</f>
        <v/>
      </c>
      <c r="C191" s="2"/>
      <c r="D191" s="108"/>
      <c r="E191" s="70" t="str">
        <f>IF($A191=0,"",VLOOKUP($A191,'BASE M-OBRA'!$A:$D,4))</f>
        <v/>
      </c>
      <c r="F191" s="55" t="str">
        <f t="shared" si="17"/>
        <v/>
      </c>
      <c r="G191" s="106"/>
      <c r="H191" s="56" t="str">
        <f t="shared" si="18"/>
        <v/>
      </c>
      <c r="I191" s="2"/>
    </row>
    <row r="192" spans="1:9" x14ac:dyDescent="0.25">
      <c r="B192" s="38" t="str">
        <f>IF($A192=0,"",VLOOKUP($A192,'BASE M-OBRA'!$A:$D,2))</f>
        <v/>
      </c>
      <c r="C192" s="2"/>
      <c r="D192" s="55"/>
      <c r="E192" s="55" t="str">
        <f>IF($A192=0,"",VLOOKUP($A192,'BASE M-OBRA'!$A:$D,4))</f>
        <v/>
      </c>
      <c r="F192" s="55" t="str">
        <f t="shared" si="17"/>
        <v/>
      </c>
      <c r="G192" s="106"/>
      <c r="H192" s="56" t="str">
        <f t="shared" si="18"/>
        <v/>
      </c>
      <c r="I192" s="2"/>
    </row>
    <row r="193" spans="1:16" x14ac:dyDescent="0.25">
      <c r="B193" s="57" t="str">
        <f>IF($A193=0,"",VLOOKUP($A193,'BASE M-OBRA'!$A:$D,2))</f>
        <v/>
      </c>
      <c r="C193" s="58"/>
      <c r="D193" s="59"/>
      <c r="E193" s="59" t="str">
        <f>IF($A193=0,"",VLOOKUP($A193,'BASE M-OBRA'!$A:$D,4))</f>
        <v/>
      </c>
      <c r="F193" s="59" t="str">
        <f t="shared" si="17"/>
        <v/>
      </c>
      <c r="G193" s="107"/>
      <c r="H193" s="60" t="str">
        <f t="shared" si="18"/>
        <v/>
      </c>
      <c r="I193" s="2"/>
    </row>
    <row r="194" spans="1:16" x14ac:dyDescent="0.25">
      <c r="B194" s="73" t="s">
        <v>1685</v>
      </c>
      <c r="C194" s="65"/>
      <c r="D194" s="74"/>
      <c r="E194" s="74"/>
      <c r="F194" s="74"/>
      <c r="G194" s="74"/>
      <c r="H194" s="75">
        <f>ROUND(SUM(H186:H193),2)</f>
        <v>16.829999999999998</v>
      </c>
      <c r="I194" s="2"/>
    </row>
    <row r="195" spans="1:16" x14ac:dyDescent="0.25">
      <c r="B195" s="38" t="s">
        <v>1684</v>
      </c>
      <c r="C195" s="2"/>
      <c r="D195" s="3"/>
      <c r="E195" s="3"/>
      <c r="F195" s="3"/>
      <c r="G195" s="3"/>
      <c r="H195" s="56"/>
      <c r="I195" s="2"/>
    </row>
    <row r="196" spans="1:16" ht="25.5" x14ac:dyDescent="0.25">
      <c r="B196" s="64" t="s">
        <v>1409</v>
      </c>
      <c r="C196" s="65"/>
      <c r="D196" s="76"/>
      <c r="E196" s="66" t="s">
        <v>1408</v>
      </c>
      <c r="F196" s="66" t="s">
        <v>1679</v>
      </c>
      <c r="G196" s="66" t="s">
        <v>1683</v>
      </c>
      <c r="H196" s="68" t="s">
        <v>1675</v>
      </c>
      <c r="I196" s="2"/>
    </row>
    <row r="197" spans="1:16" x14ac:dyDescent="0.25">
      <c r="A197" s="103">
        <v>1</v>
      </c>
      <c r="B197" s="99" t="s">
        <v>609</v>
      </c>
      <c r="C197" s="2"/>
      <c r="D197" s="77"/>
      <c r="E197" s="78" t="s">
        <v>1520</v>
      </c>
      <c r="F197" s="55">
        <v>1</v>
      </c>
      <c r="G197" s="55">
        <v>95</v>
      </c>
      <c r="H197" s="56">
        <f t="shared" ref="H197:H211" si="19">IF($A197=0,"",ROUND(F197*G197,2))</f>
        <v>95</v>
      </c>
      <c r="I197" s="2"/>
      <c r="L197" s="2"/>
      <c r="M197" s="2"/>
      <c r="N197" s="39"/>
      <c r="O197" s="2"/>
      <c r="P197" s="2"/>
    </row>
    <row r="198" spans="1:16" x14ac:dyDescent="0.25">
      <c r="B198" s="38"/>
      <c r="C198" s="2"/>
      <c r="D198" s="77"/>
      <c r="E198" s="78"/>
      <c r="F198" s="55"/>
      <c r="G198" s="55"/>
      <c r="H198" s="56" t="str">
        <f t="shared" si="19"/>
        <v/>
      </c>
      <c r="I198" s="2"/>
      <c r="L198" s="2"/>
      <c r="M198" s="2"/>
      <c r="N198" s="39"/>
      <c r="O198" s="2"/>
      <c r="P198" s="2"/>
    </row>
    <row r="199" spans="1:16" x14ac:dyDescent="0.25">
      <c r="B199" s="38"/>
      <c r="C199" s="2"/>
      <c r="D199" s="77"/>
      <c r="E199" s="78"/>
      <c r="F199" s="55"/>
      <c r="G199" s="55"/>
      <c r="H199" s="56" t="str">
        <f t="shared" si="19"/>
        <v/>
      </c>
      <c r="I199" s="2"/>
      <c r="L199" s="2"/>
      <c r="M199" s="2"/>
      <c r="N199" s="39"/>
      <c r="O199" s="2"/>
      <c r="P199" s="2"/>
    </row>
    <row r="200" spans="1:16" x14ac:dyDescent="0.25">
      <c r="B200" s="38"/>
      <c r="C200" s="2"/>
      <c r="D200" s="77"/>
      <c r="E200" s="78"/>
      <c r="F200" s="55"/>
      <c r="G200" s="55"/>
      <c r="H200" s="56" t="str">
        <f t="shared" si="19"/>
        <v/>
      </c>
      <c r="I200" s="2"/>
      <c r="L200" s="2"/>
      <c r="M200" s="2"/>
      <c r="N200" s="39"/>
      <c r="O200" s="2"/>
      <c r="P200" s="2"/>
    </row>
    <row r="201" spans="1:16" x14ac:dyDescent="0.25">
      <c r="B201" s="38"/>
      <c r="C201" s="2"/>
      <c r="D201" s="77"/>
      <c r="E201" s="78"/>
      <c r="F201" s="55"/>
      <c r="G201" s="55"/>
      <c r="H201" s="56" t="str">
        <f t="shared" si="19"/>
        <v/>
      </c>
      <c r="I201" s="2"/>
      <c r="L201" s="2"/>
      <c r="M201" s="2"/>
      <c r="N201" s="39"/>
      <c r="O201" s="2"/>
      <c r="P201" s="2"/>
    </row>
    <row r="202" spans="1:16" x14ac:dyDescent="0.25">
      <c r="B202" s="38"/>
      <c r="C202" s="2"/>
      <c r="D202" s="77"/>
      <c r="E202" s="78"/>
      <c r="F202" s="55"/>
      <c r="G202" s="55"/>
      <c r="H202" s="56" t="str">
        <f t="shared" si="19"/>
        <v/>
      </c>
      <c r="I202" s="2"/>
      <c r="J202" s="79"/>
      <c r="L202" s="2"/>
      <c r="M202" s="2"/>
      <c r="N202" s="39"/>
      <c r="O202" s="2"/>
      <c r="P202" s="2"/>
    </row>
    <row r="203" spans="1:16" x14ac:dyDescent="0.25">
      <c r="B203" s="38"/>
      <c r="C203" s="2"/>
      <c r="D203" s="77"/>
      <c r="E203" s="78"/>
      <c r="F203" s="55"/>
      <c r="G203" s="55"/>
      <c r="H203" s="56" t="str">
        <f t="shared" si="19"/>
        <v/>
      </c>
      <c r="I203" s="2"/>
      <c r="L203" s="2"/>
      <c r="M203" s="2"/>
      <c r="N203" s="39"/>
      <c r="O203" s="2"/>
      <c r="P203" s="2"/>
    </row>
    <row r="204" spans="1:16" x14ac:dyDescent="0.25">
      <c r="B204" s="38"/>
      <c r="C204" s="2"/>
      <c r="D204" s="77"/>
      <c r="E204" s="78"/>
      <c r="F204" s="55"/>
      <c r="G204" s="55"/>
      <c r="H204" s="56" t="str">
        <f t="shared" si="19"/>
        <v/>
      </c>
      <c r="I204" s="2"/>
      <c r="J204" s="79"/>
      <c r="L204" s="2"/>
      <c r="M204" s="2"/>
      <c r="N204" s="39"/>
      <c r="O204" s="2"/>
      <c r="P204" s="2"/>
    </row>
    <row r="205" spans="1:16" x14ac:dyDescent="0.25">
      <c r="B205" s="38"/>
      <c r="C205" s="2"/>
      <c r="D205" s="77"/>
      <c r="E205" s="78"/>
      <c r="F205" s="55"/>
      <c r="G205" s="55"/>
      <c r="H205" s="56" t="str">
        <f t="shared" si="19"/>
        <v/>
      </c>
      <c r="I205" s="2"/>
    </row>
    <row r="206" spans="1:16" x14ac:dyDescent="0.25">
      <c r="B206" s="38" t="str">
        <f>IF($A206=0,"",VLOOKUP($A206,'BASE MATERIAL'!$A:$D,2))</f>
        <v/>
      </c>
      <c r="C206" s="2"/>
      <c r="D206" s="77"/>
      <c r="E206" s="78" t="str">
        <f>IF($A206=0,"",VLOOKUP($A206,'BASE MATERIAL'!$A:$D,3))</f>
        <v/>
      </c>
      <c r="F206" s="55"/>
      <c r="G206" s="55" t="str">
        <f>IF($A206=0,"",VLOOKUP($A206,'BASE MATERIAL'!$A:$D,4))</f>
        <v/>
      </c>
      <c r="H206" s="56" t="str">
        <f t="shared" si="19"/>
        <v/>
      </c>
      <c r="I206" s="2"/>
      <c r="L206" s="2"/>
      <c r="M206" s="2"/>
      <c r="N206" s="39"/>
      <c r="O206" s="2"/>
      <c r="P206" s="2"/>
    </row>
    <row r="207" spans="1:16" x14ac:dyDescent="0.25">
      <c r="B207" s="38" t="str">
        <f>IF($A207=0,"",VLOOKUP($A207,'BASE MATERIAL'!$A:$D,2))</f>
        <v/>
      </c>
      <c r="C207" s="2"/>
      <c r="D207" s="77"/>
      <c r="E207" s="78" t="str">
        <f>IF($A207=0,"",VLOOKUP($A207,'BASE MATERIAL'!$A:$D,3))</f>
        <v/>
      </c>
      <c r="F207" s="55"/>
      <c r="G207" s="55" t="str">
        <f>IF($A207=0,"",VLOOKUP($A207,'BASE MATERIAL'!$A:$D,4))</f>
        <v/>
      </c>
      <c r="H207" s="56" t="str">
        <f t="shared" si="19"/>
        <v/>
      </c>
      <c r="I207" s="2"/>
      <c r="L207" s="2"/>
      <c r="M207" s="2"/>
      <c r="N207" s="39"/>
      <c r="O207" s="2"/>
      <c r="P207" s="2"/>
    </row>
    <row r="208" spans="1:16" x14ac:dyDescent="0.25">
      <c r="B208" s="38" t="str">
        <f>IF($A208=0,"",VLOOKUP($A208,'BASE MATERIAL'!$A:$D,2))</f>
        <v/>
      </c>
      <c r="C208" s="2"/>
      <c r="D208" s="77"/>
      <c r="E208" s="78" t="str">
        <f>IF($A208=0,"",VLOOKUP($A208,'BASE MATERIAL'!$A:$D,3))</f>
        <v/>
      </c>
      <c r="F208" s="55"/>
      <c r="G208" s="55" t="str">
        <f>IF($A208=0,"",VLOOKUP($A208,'BASE MATERIAL'!$A:$D,4))</f>
        <v/>
      </c>
      <c r="H208" s="56" t="str">
        <f t="shared" si="19"/>
        <v/>
      </c>
      <c r="I208" s="2"/>
    </row>
    <row r="209" spans="1:10" x14ac:dyDescent="0.25">
      <c r="B209" s="38" t="str">
        <f>IF($A209=0,"",VLOOKUP($A209,'BASE MATERIAL'!$A:$D,2))</f>
        <v/>
      </c>
      <c r="C209" s="2"/>
      <c r="D209" s="77"/>
      <c r="E209" s="78" t="str">
        <f>IF($A209=0,"",VLOOKUP($A209,'BASE MATERIAL'!$A:$D,3))</f>
        <v/>
      </c>
      <c r="F209" s="55"/>
      <c r="G209" s="55" t="str">
        <f>IF($A209=0,"",VLOOKUP($A209,'BASE MATERIAL'!$A:$D,4))</f>
        <v/>
      </c>
      <c r="H209" s="56" t="str">
        <f t="shared" si="19"/>
        <v/>
      </c>
      <c r="I209" s="2"/>
    </row>
    <row r="210" spans="1:10" x14ac:dyDescent="0.25">
      <c r="B210" s="38" t="str">
        <f>IF($A210=0,"",VLOOKUP($A210,'BASE MATERIAL'!$A:$D,2))</f>
        <v/>
      </c>
      <c r="C210" s="2"/>
      <c r="D210" s="77"/>
      <c r="E210" s="78" t="str">
        <f>IF($A210=0,"",VLOOKUP($A210,'BASE MATERIAL'!$A:$D,3))</f>
        <v/>
      </c>
      <c r="F210" s="55"/>
      <c r="G210" s="55" t="str">
        <f>IF($A210=0,"",VLOOKUP($A210,'BASE MATERIAL'!$A:$D,4))</f>
        <v/>
      </c>
      <c r="H210" s="56" t="str">
        <f t="shared" si="19"/>
        <v/>
      </c>
      <c r="I210" s="2"/>
    </row>
    <row r="211" spans="1:10" x14ac:dyDescent="0.25">
      <c r="B211" s="38" t="str">
        <f>IF($A211=0,"",VLOOKUP($A211,'BASE MATERIAL'!$A:$D,2))</f>
        <v/>
      </c>
      <c r="C211" s="2"/>
      <c r="D211" s="77"/>
      <c r="E211" s="78" t="str">
        <f>IF($A211=0,"",VLOOKUP($A211,'BASE MATERIAL'!$A:$D,3))</f>
        <v/>
      </c>
      <c r="F211" s="55"/>
      <c r="G211" s="55" t="str">
        <f>IF($A211=0,"",VLOOKUP($A211,'BASE MATERIAL'!$A:$D,4))</f>
        <v/>
      </c>
      <c r="H211" s="56" t="str">
        <f t="shared" si="19"/>
        <v/>
      </c>
      <c r="I211" s="2"/>
    </row>
    <row r="212" spans="1:10" x14ac:dyDescent="0.25">
      <c r="B212" s="38" t="str">
        <f>IF($A212=0,"",VLOOKUP($A212,'BASE MATERIAL'!$A:$D,2))</f>
        <v/>
      </c>
      <c r="C212" s="2"/>
      <c r="D212" s="81" t="s">
        <v>1682</v>
      </c>
      <c r="E212" s="55" t="str">
        <f>IF($A212=0,"",VLOOKUP($A212,'BASE MATERIAL'!$A:$D,3))</f>
        <v/>
      </c>
      <c r="F212" s="55" t="s">
        <v>1682</v>
      </c>
      <c r="G212" s="55" t="str">
        <f>IF($A212=0,"",VLOOKUP($A212,'BASE MATERIAL'!$A:$D,4))</f>
        <v/>
      </c>
      <c r="H212" s="56" t="str">
        <f>IF($A212=0,"",ROUND(E212*F212,2))</f>
        <v/>
      </c>
      <c r="I212" s="2"/>
    </row>
    <row r="213" spans="1:10" x14ac:dyDescent="0.25">
      <c r="B213" s="73" t="s">
        <v>1681</v>
      </c>
      <c r="C213" s="65"/>
      <c r="D213" s="74"/>
      <c r="E213" s="74"/>
      <c r="F213" s="74"/>
      <c r="G213" s="74"/>
      <c r="H213" s="75">
        <f>ROUND(SUM(H196:H212),2)</f>
        <v>95</v>
      </c>
      <c r="I213" s="2"/>
    </row>
    <row r="214" spans="1:10" x14ac:dyDescent="0.25">
      <c r="B214" s="38" t="s">
        <v>1680</v>
      </c>
      <c r="C214" s="2"/>
      <c r="D214" s="3"/>
      <c r="E214" s="3"/>
      <c r="F214" s="3"/>
      <c r="G214" s="3"/>
      <c r="H214" s="56"/>
      <c r="I214" s="2"/>
    </row>
    <row r="215" spans="1:10" ht="25.5" x14ac:dyDescent="0.25">
      <c r="B215" s="64" t="s">
        <v>1409</v>
      </c>
      <c r="C215" s="65"/>
      <c r="D215" s="76"/>
      <c r="E215" s="66" t="s">
        <v>1408</v>
      </c>
      <c r="F215" s="66" t="s">
        <v>1679</v>
      </c>
      <c r="G215" s="66" t="s">
        <v>1676</v>
      </c>
      <c r="H215" s="68" t="s">
        <v>1675</v>
      </c>
      <c r="I215" s="2"/>
    </row>
    <row r="216" spans="1:10" x14ac:dyDescent="0.25">
      <c r="A216" s="103">
        <v>19019</v>
      </c>
      <c r="B216" s="51" t="str">
        <f>IF($A216=0,"",VLOOKUP($A216,'BASE EQUIPO'!$A:$D,2))</f>
        <v>TRANSPORTE DE MATERIAL</v>
      </c>
      <c r="C216" s="52"/>
      <c r="D216" s="82"/>
      <c r="E216" s="78" t="str">
        <f>IF($A216=0,"",VLOOKUP($A216,'BASE EQUIPO'!$A:$D,3))</f>
        <v>GLOBAL</v>
      </c>
      <c r="F216" s="55">
        <v>1</v>
      </c>
      <c r="G216" s="83">
        <f>IF($A216=0,"",VLOOKUP($A216,'BASE EQUIPO'!$A:$D,4)*H213)</f>
        <v>2.85</v>
      </c>
      <c r="H216" s="56">
        <f>IF($A216=0,"",ROUND(F216*G216,2))</f>
        <v>2.85</v>
      </c>
      <c r="I216" s="2"/>
    </row>
    <row r="217" spans="1:10" x14ac:dyDescent="0.25">
      <c r="B217" s="38" t="str">
        <f>IF($A217=0,"",VLOOKUP($A217,'BASE EQUIPO'!$A:$D,2))</f>
        <v/>
      </c>
      <c r="C217" s="2"/>
      <c r="D217" s="84"/>
      <c r="E217" s="78" t="str">
        <f>IF($A217=0,"",VLOOKUP($A217,'BASE EQUIPO'!$A:$D,3))</f>
        <v/>
      </c>
      <c r="F217" s="55"/>
      <c r="G217" s="55" t="str">
        <f>IF($A217=0,"",VLOOKUP($A217,'BASE EQUIPO'!$A:$D,4)*H214)</f>
        <v/>
      </c>
      <c r="H217" s="56" t="str">
        <f>IF($A217=0,"",ROUND(F217*G217,2))</f>
        <v/>
      </c>
      <c r="I217" s="2"/>
    </row>
    <row r="218" spans="1:10" x14ac:dyDescent="0.25">
      <c r="B218" s="57" t="str">
        <f>IF($A218=0,"",VLOOKUP($A218,'BASE EQUIPO'!$A:$D,2))</f>
        <v/>
      </c>
      <c r="C218" s="58"/>
      <c r="D218" s="85"/>
      <c r="E218" s="86" t="str">
        <f>IF($A218=0,"",VLOOKUP($A218,'BASE EQUIPO'!$A:$D,3))</f>
        <v/>
      </c>
      <c r="F218" s="59"/>
      <c r="G218" s="59" t="str">
        <f>IF($A218=0,"",VLOOKUP($A218,'BASE EQUIPO'!$A:$D,4)*H215)</f>
        <v/>
      </c>
      <c r="H218" s="60" t="str">
        <f>IF($A218=0,"",ROUND(F218*G218,2))</f>
        <v/>
      </c>
      <c r="I218" s="2"/>
    </row>
    <row r="219" spans="1:10" ht="15.75" thickBot="1" x14ac:dyDescent="0.3">
      <c r="B219" s="87" t="s">
        <v>1674</v>
      </c>
      <c r="C219" s="88"/>
      <c r="D219" s="89"/>
      <c r="E219" s="89"/>
      <c r="F219" s="89"/>
      <c r="G219" s="89"/>
      <c r="H219" s="90">
        <f>ROUND(SUM(H215:H218),2)</f>
        <v>2.85</v>
      </c>
      <c r="I219" s="2"/>
    </row>
    <row r="220" spans="1:10" ht="15.75" x14ac:dyDescent="0.25">
      <c r="B220" s="2"/>
      <c r="C220" s="2"/>
      <c r="D220" s="91" t="s">
        <v>1673</v>
      </c>
      <c r="E220" s="47"/>
      <c r="F220" s="47"/>
      <c r="G220" s="47"/>
      <c r="H220" s="92">
        <f>ROUND(SUM(H219,H213,H194,H184),2)</f>
        <v>115.18</v>
      </c>
      <c r="I220" s="2"/>
    </row>
    <row r="221" spans="1:10" ht="15.75" x14ac:dyDescent="0.25">
      <c r="A221" s="103">
        <v>40002</v>
      </c>
      <c r="B221" s="2"/>
      <c r="C221" s="2"/>
      <c r="D221" s="93" t="s">
        <v>1672</v>
      </c>
      <c r="E221" s="65"/>
      <c r="F221" s="65"/>
      <c r="G221" s="94">
        <f>IF($A221=0,"",VLOOKUP($A221,'BASE MATERIAL'!$M:$P,4))</f>
        <v>0</v>
      </c>
      <c r="H221" s="95">
        <f>IF($A221=0,"",ROUND(G221*H220,2))</f>
        <v>0</v>
      </c>
      <c r="I221" s="2"/>
    </row>
    <row r="222" spans="1:10" ht="15.75" x14ac:dyDescent="0.25">
      <c r="A222" s="103">
        <v>40003</v>
      </c>
      <c r="B222" s="2"/>
      <c r="C222" s="2"/>
      <c r="D222" s="93" t="s">
        <v>1671</v>
      </c>
      <c r="E222" s="65"/>
      <c r="F222" s="65"/>
      <c r="G222" s="94">
        <f>IF($A222=0,"",VLOOKUP($A222,'BASE MATERIAL'!$M:$P,4))</f>
        <v>0</v>
      </c>
      <c r="H222" s="95">
        <f>IF($A222=0,"",ROUND(G222*H220,2))</f>
        <v>0</v>
      </c>
      <c r="I222" s="2"/>
    </row>
    <row r="223" spans="1:10" ht="15.75" x14ac:dyDescent="0.25">
      <c r="B223" s="2"/>
      <c r="C223" s="2"/>
      <c r="D223" s="93" t="s">
        <v>1670</v>
      </c>
      <c r="E223" s="65"/>
      <c r="F223" s="65"/>
      <c r="G223" s="65"/>
      <c r="H223" s="96">
        <f>ROUND(SUM(H220:H222),2)</f>
        <v>115.18</v>
      </c>
      <c r="I223" s="2"/>
    </row>
    <row r="224" spans="1:10" ht="16.5" thickBot="1" x14ac:dyDescent="0.3">
      <c r="B224" s="25"/>
      <c r="C224" s="2"/>
      <c r="D224" s="97" t="s">
        <v>1650</v>
      </c>
      <c r="E224" s="88"/>
      <c r="F224" s="88"/>
      <c r="G224" s="88"/>
      <c r="H224" s="98">
        <f>ROUND(H223,2)</f>
        <v>115.18</v>
      </c>
      <c r="I224" s="2"/>
      <c r="J224" s="1">
        <f>103*1.12</f>
        <v>115.36000000000001</v>
      </c>
    </row>
    <row r="225" spans="1:15" ht="15.75" x14ac:dyDescent="0.25">
      <c r="B225" s="34" t="s">
        <v>1701</v>
      </c>
      <c r="C225" s="2"/>
      <c r="D225" s="3" t="str">
        <f>'1.1'!$D$1</f>
        <v>ESPOL</v>
      </c>
      <c r="E225" s="2"/>
      <c r="F225" s="2"/>
      <c r="H225" s="2" t="s">
        <v>108</v>
      </c>
      <c r="I225" s="2"/>
      <c r="L225" s="40">
        <f>A229</f>
        <v>7</v>
      </c>
      <c r="M225" s="1" t="str">
        <f>C230</f>
        <v>Mamparas de aluminio y  acrílico opaco en baños MD3</v>
      </c>
      <c r="N225" s="2" t="str">
        <f>H229</f>
        <v>m2</v>
      </c>
      <c r="O225" s="2">
        <f>H280</f>
        <v>110.66</v>
      </c>
    </row>
    <row r="226" spans="1:15" ht="15.75" x14ac:dyDescent="0.25">
      <c r="B226" s="34" t="s">
        <v>1700</v>
      </c>
      <c r="C226" s="3">
        <f>'1.1'!$C$2</f>
        <v>0</v>
      </c>
      <c r="D226" s="2"/>
      <c r="E226" s="2"/>
      <c r="F226" s="2"/>
      <c r="G226" s="41" t="s">
        <v>1699</v>
      </c>
      <c r="H226" s="42"/>
      <c r="I226" s="2" t="s">
        <v>1698</v>
      </c>
    </row>
    <row r="227" spans="1:15" ht="15.75" x14ac:dyDescent="0.25">
      <c r="B227" s="34"/>
      <c r="C227" s="3">
        <f>'1.1'!$C$3</f>
        <v>0</v>
      </c>
      <c r="D227" s="2"/>
      <c r="E227" s="2"/>
      <c r="F227" s="2"/>
      <c r="G227" s="2"/>
      <c r="H227" s="2"/>
      <c r="I227" s="2"/>
    </row>
    <row r="228" spans="1:15" ht="15.75" x14ac:dyDescent="0.25">
      <c r="B228" s="34" t="s">
        <v>1697</v>
      </c>
      <c r="C228" s="3"/>
      <c r="D228" s="2"/>
      <c r="E228" s="2"/>
      <c r="F228" s="2"/>
      <c r="G228" s="2"/>
      <c r="H228" s="2"/>
      <c r="I228" s="2"/>
    </row>
    <row r="229" spans="1:15" x14ac:dyDescent="0.25">
      <c r="A229" s="104">
        <v>7</v>
      </c>
      <c r="B229" s="2" t="s">
        <v>1586</v>
      </c>
      <c r="C229" s="36" t="s">
        <v>685</v>
      </c>
      <c r="D229" s="2"/>
      <c r="G229" s="2" t="s">
        <v>1696</v>
      </c>
      <c r="H229" s="3" t="s">
        <v>1520</v>
      </c>
      <c r="I229" s="2"/>
    </row>
    <row r="230" spans="1:15" x14ac:dyDescent="0.25">
      <c r="B230" s="1" t="s">
        <v>1585</v>
      </c>
      <c r="C230" s="36" t="s">
        <v>592</v>
      </c>
      <c r="D230" s="2"/>
      <c r="E230" s="2"/>
      <c r="F230" s="2"/>
      <c r="G230" s="2"/>
      <c r="H230" s="2"/>
      <c r="I230" s="2"/>
    </row>
    <row r="231" spans="1:15" ht="15.75" thickBot="1" x14ac:dyDescent="0.3">
      <c r="D231" s="2"/>
      <c r="E231" s="2"/>
      <c r="F231" s="2"/>
      <c r="G231" s="2"/>
      <c r="H231" s="2"/>
      <c r="I231" s="2"/>
    </row>
    <row r="232" spans="1:15" ht="15.75" thickBot="1" x14ac:dyDescent="0.3">
      <c r="B232" s="43" t="s">
        <v>1695</v>
      </c>
      <c r="C232" s="44"/>
      <c r="D232" s="44"/>
      <c r="E232" s="44"/>
      <c r="F232" s="44"/>
      <c r="G232" s="44"/>
      <c r="H232" s="45"/>
      <c r="I232" s="2"/>
    </row>
    <row r="233" spans="1:15" ht="25.5" x14ac:dyDescent="0.25">
      <c r="B233" s="46" t="s">
        <v>1409</v>
      </c>
      <c r="C233" s="47"/>
      <c r="D233" s="48" t="s">
        <v>1690</v>
      </c>
      <c r="E233" s="48" t="s">
        <v>1694</v>
      </c>
      <c r="F233" s="48" t="s">
        <v>1693</v>
      </c>
      <c r="G233" s="49" t="s">
        <v>1687</v>
      </c>
      <c r="H233" s="50" t="s">
        <v>1686</v>
      </c>
      <c r="I233" s="2"/>
    </row>
    <row r="234" spans="1:15" x14ac:dyDescent="0.25">
      <c r="A234" s="103">
        <v>19015</v>
      </c>
      <c r="B234" s="51" t="str">
        <f>IF($A234=0,"",VLOOKUP($A234,'BASE EQUIPO'!$A:$D,2))</f>
        <v>HERRAMIENTA MENOR</v>
      </c>
      <c r="C234" s="52"/>
      <c r="D234" s="53">
        <v>1</v>
      </c>
      <c r="E234" s="53">
        <f>IF($A234=0,"",VLOOKUP($A234,'BASE EQUIPO'!$A:$D,4)*H250)</f>
        <v>0.67320000000000002</v>
      </c>
      <c r="F234" s="53">
        <f t="shared" ref="F234:F239" si="20">IF($A234=0,"",ROUND(D234*E234,2))</f>
        <v>0.67</v>
      </c>
      <c r="G234" s="105">
        <v>1</v>
      </c>
      <c r="H234" s="54">
        <f t="shared" ref="H234:H239" si="21">IF($A234=0,"",ROUND(G234*F234,2))</f>
        <v>0.67</v>
      </c>
      <c r="I234" s="2"/>
    </row>
    <row r="235" spans="1:15" x14ac:dyDescent="0.25">
      <c r="B235" s="38" t="str">
        <f>IF($A235=0,"",VLOOKUP($A235,'BASE EQUIPO'!$A:$D,2))</f>
        <v/>
      </c>
      <c r="C235" s="2"/>
      <c r="D235" s="55"/>
      <c r="E235" s="55" t="str">
        <f>IF($A235=0,"",VLOOKUP($A235,'BASE EQUIPO'!$A:$D,4))</f>
        <v/>
      </c>
      <c r="F235" s="55" t="str">
        <f t="shared" si="20"/>
        <v/>
      </c>
      <c r="G235" s="106"/>
      <c r="H235" s="56" t="str">
        <f t="shared" si="21"/>
        <v/>
      </c>
      <c r="I235" s="2"/>
    </row>
    <row r="236" spans="1:15" x14ac:dyDescent="0.25">
      <c r="B236" s="38" t="str">
        <f>IF($A236=0,"",VLOOKUP($A236,'BASE EQUIPO'!$A:$D,2))</f>
        <v/>
      </c>
      <c r="C236" s="2"/>
      <c r="D236" s="55"/>
      <c r="E236" s="55" t="str">
        <f>IF($A236=0,"",VLOOKUP($A236,'BASE EQUIPO'!$A:$D,4))</f>
        <v/>
      </c>
      <c r="F236" s="55" t="str">
        <f t="shared" si="20"/>
        <v/>
      </c>
      <c r="G236" s="106"/>
      <c r="H236" s="56" t="str">
        <f t="shared" si="21"/>
        <v/>
      </c>
      <c r="I236" s="2"/>
    </row>
    <row r="237" spans="1:15" x14ac:dyDescent="0.25">
      <c r="B237" s="38" t="str">
        <f>IF($A237=0,"",VLOOKUP($A237,'BASE EQUIPO'!$A:$D,2))</f>
        <v/>
      </c>
      <c r="C237" s="2"/>
      <c r="D237" s="55"/>
      <c r="E237" s="55" t="str">
        <f>IF($A237=0,"",VLOOKUP($A237,'BASE EQUIPO'!$A:$D,4))</f>
        <v/>
      </c>
      <c r="F237" s="55" t="str">
        <f t="shared" si="20"/>
        <v/>
      </c>
      <c r="G237" s="106"/>
      <c r="H237" s="56" t="str">
        <f t="shared" si="21"/>
        <v/>
      </c>
      <c r="I237" s="2"/>
    </row>
    <row r="238" spans="1:15" x14ac:dyDescent="0.25">
      <c r="B238" s="38" t="str">
        <f>IF($A238=0,"",VLOOKUP($A238,'BASE EQUIPO'!$A:$D,2))</f>
        <v/>
      </c>
      <c r="C238" s="2"/>
      <c r="D238" s="55"/>
      <c r="E238" s="55" t="str">
        <f>IF($A238=0,"",VLOOKUP($A238,'BASE EQUIPO'!$A:$D,4))</f>
        <v/>
      </c>
      <c r="F238" s="55" t="str">
        <f t="shared" si="20"/>
        <v/>
      </c>
      <c r="G238" s="106"/>
      <c r="H238" s="56" t="str">
        <f t="shared" si="21"/>
        <v/>
      </c>
      <c r="I238" s="2"/>
    </row>
    <row r="239" spans="1:15" x14ac:dyDescent="0.25">
      <c r="B239" s="57" t="str">
        <f>IF($A239=0,"",VLOOKUP($A239,'BASE EQUIPO'!$A:$D,2))</f>
        <v/>
      </c>
      <c r="C239" s="58"/>
      <c r="D239" s="59"/>
      <c r="E239" s="59" t="str">
        <f>IF($A239=0,"",VLOOKUP($A239,'BASE EQUIPO'!$A:$D,4))</f>
        <v/>
      </c>
      <c r="F239" s="59" t="str">
        <f t="shared" si="20"/>
        <v/>
      </c>
      <c r="G239" s="107"/>
      <c r="H239" s="60" t="str">
        <f t="shared" si="21"/>
        <v/>
      </c>
      <c r="I239" s="2"/>
    </row>
    <row r="240" spans="1:15" x14ac:dyDescent="0.25">
      <c r="B240" s="57" t="s">
        <v>1692</v>
      </c>
      <c r="C240" s="58"/>
      <c r="D240" s="61"/>
      <c r="E240" s="61"/>
      <c r="F240" s="61"/>
      <c r="G240" s="62"/>
      <c r="H240" s="60">
        <f>ROUND(SUM(H233:H239),2)</f>
        <v>0.67</v>
      </c>
      <c r="I240" s="2"/>
    </row>
    <row r="241" spans="1:16" x14ac:dyDescent="0.25">
      <c r="B241" s="38" t="s">
        <v>1503</v>
      </c>
      <c r="C241" s="2"/>
      <c r="D241" s="3"/>
      <c r="E241" s="3"/>
      <c r="F241" s="3"/>
      <c r="G241" s="63"/>
      <c r="H241" s="56"/>
      <c r="I241" s="2"/>
    </row>
    <row r="242" spans="1:16" ht="25.5" x14ac:dyDescent="0.25">
      <c r="B242" s="64" t="s">
        <v>1691</v>
      </c>
      <c r="C242" s="65"/>
      <c r="D242" s="66" t="s">
        <v>1690</v>
      </c>
      <c r="E242" s="66" t="s">
        <v>1689</v>
      </c>
      <c r="F242" s="66" t="s">
        <v>1688</v>
      </c>
      <c r="G242" s="67" t="s">
        <v>1687</v>
      </c>
      <c r="H242" s="68" t="s">
        <v>1686</v>
      </c>
      <c r="I242" s="2"/>
    </row>
    <row r="243" spans="1:16" x14ac:dyDescent="0.25">
      <c r="B243" s="69" t="str">
        <f>IF($A243=0,"",VLOOKUP($A243,'BASE M-OBRA'!$A:$D,2))</f>
        <v/>
      </c>
      <c r="C243" s="2"/>
      <c r="D243" s="108"/>
      <c r="E243" s="70" t="str">
        <f>IF($A243=0,"",VLOOKUP($A243,'BASE M-OBRA'!$A:$D,4))</f>
        <v/>
      </c>
      <c r="F243" s="55" t="str">
        <f t="shared" ref="F243:F249" si="22">IF($A243=0,"",ROUND(D243*E243,2))</f>
        <v/>
      </c>
      <c r="G243" s="106" t="str">
        <f>IF($A243=0,"",ROUND(H243/F243,2))</f>
        <v/>
      </c>
      <c r="H243" s="56" t="str">
        <f>IF($A243=0,"",ROUND(SUM(H244:H249)*'BASE M-OBRA'!$D$23,2))</f>
        <v/>
      </c>
      <c r="I243" s="2"/>
    </row>
    <row r="244" spans="1:16" x14ac:dyDescent="0.25">
      <c r="A244" s="103">
        <v>20019</v>
      </c>
      <c r="B244" s="69" t="str">
        <f>IF($A244=0,"",VLOOKUP($A244,'BASE M-OBRA'!$A:$D,2))</f>
        <v>INSTALADOR</v>
      </c>
      <c r="C244" s="2"/>
      <c r="D244" s="108">
        <v>1</v>
      </c>
      <c r="E244" s="70">
        <f>IF($A244=0,"",VLOOKUP($A244,'BASE M-OBRA'!$A:$D,4))</f>
        <v>2.82</v>
      </c>
      <c r="F244" s="55">
        <f t="shared" si="22"/>
        <v>2.82</v>
      </c>
      <c r="G244" s="106">
        <v>4</v>
      </c>
      <c r="H244" s="56">
        <f t="shared" ref="H244:H249" si="23">IF($A244=0,"",ROUND(G244*F244,2))</f>
        <v>11.28</v>
      </c>
      <c r="I244" s="2"/>
    </row>
    <row r="245" spans="1:16" x14ac:dyDescent="0.25">
      <c r="A245" s="103">
        <v>20011</v>
      </c>
      <c r="B245" s="69" t="str">
        <f>IF($A245=0,"",VLOOKUP($A245,'BASE M-OBRA'!$A:$D,2))</f>
        <v>AYUDANTE ESPECIALISTA</v>
      </c>
      <c r="C245" s="2"/>
      <c r="D245" s="108">
        <v>1</v>
      </c>
      <c r="E245" s="70">
        <f>IF($A245=0,"",VLOOKUP($A245,'BASE M-OBRA'!$A:$D,4))</f>
        <v>2.79</v>
      </c>
      <c r="F245" s="55">
        <f t="shared" si="22"/>
        <v>2.79</v>
      </c>
      <c r="G245" s="106">
        <f>+G244</f>
        <v>4</v>
      </c>
      <c r="H245" s="56">
        <f t="shared" si="23"/>
        <v>11.16</v>
      </c>
      <c r="I245" s="2"/>
    </row>
    <row r="246" spans="1:16" x14ac:dyDescent="0.25">
      <c r="B246" s="71" t="str">
        <f>IF($A246=0,"",VLOOKUP($A246,'BASE M-OBRA'!$A:$D,2))</f>
        <v/>
      </c>
      <c r="C246" s="2"/>
      <c r="D246" s="108"/>
      <c r="E246" s="70" t="str">
        <f>IF($A246=0,"",VLOOKUP($A246,'BASE M-OBRA'!$A:$D,4))</f>
        <v/>
      </c>
      <c r="F246" s="55" t="str">
        <f t="shared" si="22"/>
        <v/>
      </c>
      <c r="G246" s="106"/>
      <c r="H246" s="56" t="str">
        <f t="shared" si="23"/>
        <v/>
      </c>
      <c r="I246" s="2"/>
    </row>
    <row r="247" spans="1:16" x14ac:dyDescent="0.25">
      <c r="B247" s="72" t="str">
        <f>IF($A247=0,"",VLOOKUP($A247,'BASE M-OBRA'!$A:$D,2))</f>
        <v/>
      </c>
      <c r="C247" s="2"/>
      <c r="D247" s="108"/>
      <c r="E247" s="70" t="str">
        <f>IF($A247=0,"",VLOOKUP($A247,'BASE M-OBRA'!$A:$D,4))</f>
        <v/>
      </c>
      <c r="F247" s="55" t="str">
        <f t="shared" si="22"/>
        <v/>
      </c>
      <c r="G247" s="106"/>
      <c r="H247" s="56" t="str">
        <f t="shared" si="23"/>
        <v/>
      </c>
      <c r="I247" s="2"/>
    </row>
    <row r="248" spans="1:16" x14ac:dyDescent="0.25">
      <c r="B248" s="38" t="str">
        <f>IF($A248=0,"",VLOOKUP($A248,'BASE M-OBRA'!$A:$D,2))</f>
        <v/>
      </c>
      <c r="C248" s="2"/>
      <c r="D248" s="55"/>
      <c r="E248" s="55" t="str">
        <f>IF($A248=0,"",VLOOKUP($A248,'BASE M-OBRA'!$A:$D,4))</f>
        <v/>
      </c>
      <c r="F248" s="55" t="str">
        <f t="shared" si="22"/>
        <v/>
      </c>
      <c r="G248" s="106"/>
      <c r="H248" s="56" t="str">
        <f t="shared" si="23"/>
        <v/>
      </c>
      <c r="I248" s="2"/>
    </row>
    <row r="249" spans="1:16" x14ac:dyDescent="0.25">
      <c r="B249" s="57" t="str">
        <f>IF($A249=0,"",VLOOKUP($A249,'BASE M-OBRA'!$A:$D,2))</f>
        <v/>
      </c>
      <c r="C249" s="58"/>
      <c r="D249" s="59"/>
      <c r="E249" s="59" t="str">
        <f>IF($A249=0,"",VLOOKUP($A249,'BASE M-OBRA'!$A:$D,4))</f>
        <v/>
      </c>
      <c r="F249" s="59" t="str">
        <f t="shared" si="22"/>
        <v/>
      </c>
      <c r="G249" s="107"/>
      <c r="H249" s="60" t="str">
        <f t="shared" si="23"/>
        <v/>
      </c>
      <c r="I249" s="2"/>
    </row>
    <row r="250" spans="1:16" x14ac:dyDescent="0.25">
      <c r="B250" s="73" t="s">
        <v>1685</v>
      </c>
      <c r="C250" s="65"/>
      <c r="D250" s="74"/>
      <c r="E250" s="74"/>
      <c r="F250" s="74"/>
      <c r="G250" s="74"/>
      <c r="H250" s="75">
        <f>ROUND(SUM(H242:H249),2)</f>
        <v>22.44</v>
      </c>
      <c r="I250" s="2"/>
    </row>
    <row r="251" spans="1:16" x14ac:dyDescent="0.25">
      <c r="B251" s="38" t="s">
        <v>1684</v>
      </c>
      <c r="C251" s="2"/>
      <c r="D251" s="3"/>
      <c r="E251" s="3"/>
      <c r="F251" s="3"/>
      <c r="G251" s="3"/>
      <c r="H251" s="56"/>
      <c r="I251" s="2"/>
    </row>
    <row r="252" spans="1:16" ht="25.5" x14ac:dyDescent="0.25">
      <c r="B252" s="64" t="s">
        <v>1409</v>
      </c>
      <c r="C252" s="65"/>
      <c r="D252" s="76"/>
      <c r="E252" s="66" t="s">
        <v>1408</v>
      </c>
      <c r="F252" s="66" t="s">
        <v>1679</v>
      </c>
      <c r="G252" s="66" t="s">
        <v>1683</v>
      </c>
      <c r="H252" s="68" t="s">
        <v>1675</v>
      </c>
      <c r="I252" s="2"/>
    </row>
    <row r="253" spans="1:16" x14ac:dyDescent="0.25">
      <c r="A253" s="103">
        <v>1</v>
      </c>
      <c r="B253" s="99" t="s">
        <v>611</v>
      </c>
      <c r="C253" s="2"/>
      <c r="D253" s="77"/>
      <c r="E253" s="78" t="s">
        <v>1520</v>
      </c>
      <c r="F253" s="55">
        <v>1</v>
      </c>
      <c r="G253" s="55">
        <v>85</v>
      </c>
      <c r="H253" s="56">
        <f t="shared" ref="H253:H267" si="24">IF($A253=0,"",ROUND(F253*G253,2))</f>
        <v>85</v>
      </c>
      <c r="I253" s="2"/>
      <c r="L253" s="2"/>
      <c r="M253" s="2"/>
      <c r="N253" s="39"/>
      <c r="O253" s="2"/>
      <c r="P253" s="2"/>
    </row>
    <row r="254" spans="1:16" x14ac:dyDescent="0.25">
      <c r="B254" s="38"/>
      <c r="C254" s="2"/>
      <c r="D254" s="77"/>
      <c r="E254" s="78"/>
      <c r="F254" s="55"/>
      <c r="G254" s="55"/>
      <c r="H254" s="56" t="str">
        <f t="shared" si="24"/>
        <v/>
      </c>
      <c r="I254" s="2"/>
      <c r="L254" s="2"/>
      <c r="M254" s="2"/>
      <c r="N254" s="39"/>
      <c r="O254" s="2"/>
      <c r="P254" s="2"/>
    </row>
    <row r="255" spans="1:16" x14ac:dyDescent="0.25">
      <c r="B255" s="38"/>
      <c r="C255" s="2"/>
      <c r="D255" s="77"/>
      <c r="E255" s="78"/>
      <c r="F255" s="55"/>
      <c r="G255" s="55"/>
      <c r="H255" s="56" t="str">
        <f t="shared" si="24"/>
        <v/>
      </c>
      <c r="I255" s="2"/>
      <c r="L255" s="2"/>
      <c r="M255" s="2"/>
      <c r="N255" s="39"/>
      <c r="O255" s="2"/>
      <c r="P255" s="2"/>
    </row>
    <row r="256" spans="1:16" x14ac:dyDescent="0.25">
      <c r="B256" s="38"/>
      <c r="C256" s="2"/>
      <c r="D256" s="77"/>
      <c r="E256" s="78"/>
      <c r="F256" s="55"/>
      <c r="G256" s="55"/>
      <c r="H256" s="56" t="str">
        <f t="shared" si="24"/>
        <v/>
      </c>
      <c r="I256" s="2"/>
      <c r="L256" s="2"/>
      <c r="M256" s="2"/>
      <c r="N256" s="39"/>
      <c r="O256" s="2"/>
      <c r="P256" s="2"/>
    </row>
    <row r="257" spans="1:16" x14ac:dyDescent="0.25">
      <c r="B257" s="38"/>
      <c r="C257" s="2"/>
      <c r="D257" s="77"/>
      <c r="E257" s="78"/>
      <c r="F257" s="55"/>
      <c r="G257" s="55"/>
      <c r="H257" s="56" t="str">
        <f t="shared" si="24"/>
        <v/>
      </c>
      <c r="I257" s="2"/>
      <c r="L257" s="2"/>
      <c r="M257" s="2"/>
      <c r="N257" s="39"/>
      <c r="O257" s="2"/>
      <c r="P257" s="2"/>
    </row>
    <row r="258" spans="1:16" x14ac:dyDescent="0.25">
      <c r="B258" s="38"/>
      <c r="C258" s="2"/>
      <c r="D258" s="77"/>
      <c r="E258" s="78"/>
      <c r="F258" s="55"/>
      <c r="G258" s="55"/>
      <c r="H258" s="56" t="str">
        <f t="shared" si="24"/>
        <v/>
      </c>
      <c r="I258" s="2"/>
      <c r="J258" s="79"/>
      <c r="L258" s="2"/>
      <c r="M258" s="2"/>
      <c r="N258" s="39"/>
      <c r="O258" s="2"/>
      <c r="P258" s="2"/>
    </row>
    <row r="259" spans="1:16" x14ac:dyDescent="0.25">
      <c r="B259" s="38"/>
      <c r="C259" s="2"/>
      <c r="D259" s="77"/>
      <c r="E259" s="78"/>
      <c r="F259" s="55"/>
      <c r="G259" s="55"/>
      <c r="H259" s="56" t="str">
        <f t="shared" si="24"/>
        <v/>
      </c>
      <c r="I259" s="2"/>
      <c r="L259" s="2"/>
      <c r="M259" s="2"/>
      <c r="N259" s="39"/>
      <c r="O259" s="2"/>
      <c r="P259" s="2"/>
    </row>
    <row r="260" spans="1:16" x14ac:dyDescent="0.25">
      <c r="B260" s="38"/>
      <c r="C260" s="2"/>
      <c r="D260" s="77"/>
      <c r="E260" s="78"/>
      <c r="F260" s="55"/>
      <c r="G260" s="55"/>
      <c r="H260" s="56" t="str">
        <f t="shared" si="24"/>
        <v/>
      </c>
      <c r="I260" s="2"/>
      <c r="J260" s="79"/>
      <c r="L260" s="2"/>
      <c r="M260" s="2"/>
      <c r="N260" s="39"/>
      <c r="O260" s="2"/>
      <c r="P260" s="2"/>
    </row>
    <row r="261" spans="1:16" x14ac:dyDescent="0.25">
      <c r="B261" s="38"/>
      <c r="C261" s="2"/>
      <c r="D261" s="77"/>
      <c r="E261" s="78"/>
      <c r="F261" s="55"/>
      <c r="G261" s="55"/>
      <c r="H261" s="56" t="str">
        <f t="shared" si="24"/>
        <v/>
      </c>
      <c r="I261" s="2"/>
    </row>
    <row r="262" spans="1:16" x14ac:dyDescent="0.25">
      <c r="B262" s="38" t="str">
        <f>IF($A262=0,"",VLOOKUP($A262,'BASE MATERIAL'!$A:$D,2))</f>
        <v/>
      </c>
      <c r="C262" s="2"/>
      <c r="D262" s="77"/>
      <c r="E262" s="78" t="str">
        <f>IF($A262=0,"",VLOOKUP($A262,'BASE MATERIAL'!$A:$D,3))</f>
        <v/>
      </c>
      <c r="F262" s="55"/>
      <c r="G262" s="55" t="str">
        <f>IF($A262=0,"",VLOOKUP($A262,'BASE MATERIAL'!$A:$D,4))</f>
        <v/>
      </c>
      <c r="H262" s="56" t="str">
        <f t="shared" si="24"/>
        <v/>
      </c>
      <c r="I262" s="2"/>
      <c r="L262" s="2"/>
      <c r="M262" s="2"/>
      <c r="N262" s="39"/>
      <c r="O262" s="2"/>
      <c r="P262" s="2"/>
    </row>
    <row r="263" spans="1:16" x14ac:dyDescent="0.25">
      <c r="B263" s="38" t="str">
        <f>IF($A263=0,"",VLOOKUP($A263,'BASE MATERIAL'!$A:$D,2))</f>
        <v/>
      </c>
      <c r="C263" s="2"/>
      <c r="D263" s="77"/>
      <c r="E263" s="78" t="str">
        <f>IF($A263=0,"",VLOOKUP($A263,'BASE MATERIAL'!$A:$D,3))</f>
        <v/>
      </c>
      <c r="F263" s="55"/>
      <c r="G263" s="55" t="str">
        <f>IF($A263=0,"",VLOOKUP($A263,'BASE MATERIAL'!$A:$D,4))</f>
        <v/>
      </c>
      <c r="H263" s="56" t="str">
        <f t="shared" si="24"/>
        <v/>
      </c>
      <c r="I263" s="2"/>
      <c r="L263" s="2"/>
      <c r="M263" s="2"/>
      <c r="N263" s="39"/>
      <c r="O263" s="2"/>
      <c r="P263" s="2"/>
    </row>
    <row r="264" spans="1:16" x14ac:dyDescent="0.25">
      <c r="B264" s="38" t="str">
        <f>IF($A264=0,"",VLOOKUP($A264,'BASE MATERIAL'!$A:$D,2))</f>
        <v/>
      </c>
      <c r="C264" s="2"/>
      <c r="D264" s="77"/>
      <c r="E264" s="78" t="str">
        <f>IF($A264=0,"",VLOOKUP($A264,'BASE MATERIAL'!$A:$D,3))</f>
        <v/>
      </c>
      <c r="F264" s="55"/>
      <c r="G264" s="55" t="str">
        <f>IF($A264=0,"",VLOOKUP($A264,'BASE MATERIAL'!$A:$D,4))</f>
        <v/>
      </c>
      <c r="H264" s="56" t="str">
        <f t="shared" si="24"/>
        <v/>
      </c>
      <c r="I264" s="2"/>
    </row>
    <row r="265" spans="1:16" x14ac:dyDescent="0.25">
      <c r="B265" s="38" t="str">
        <f>IF($A265=0,"",VLOOKUP($A265,'BASE MATERIAL'!$A:$D,2))</f>
        <v/>
      </c>
      <c r="C265" s="2"/>
      <c r="D265" s="77"/>
      <c r="E265" s="78" t="str">
        <f>IF($A265=0,"",VLOOKUP($A265,'BASE MATERIAL'!$A:$D,3))</f>
        <v/>
      </c>
      <c r="F265" s="55"/>
      <c r="G265" s="55" t="str">
        <f>IF($A265=0,"",VLOOKUP($A265,'BASE MATERIAL'!$A:$D,4))</f>
        <v/>
      </c>
      <c r="H265" s="56" t="str">
        <f t="shared" si="24"/>
        <v/>
      </c>
      <c r="I265" s="2"/>
    </row>
    <row r="266" spans="1:16" x14ac:dyDescent="0.25">
      <c r="B266" s="38" t="str">
        <f>IF($A266=0,"",VLOOKUP($A266,'BASE MATERIAL'!$A:$D,2))</f>
        <v/>
      </c>
      <c r="C266" s="2"/>
      <c r="D266" s="77"/>
      <c r="E266" s="78" t="str">
        <f>IF($A266=0,"",VLOOKUP($A266,'BASE MATERIAL'!$A:$D,3))</f>
        <v/>
      </c>
      <c r="F266" s="55"/>
      <c r="G266" s="55" t="str">
        <f>IF($A266=0,"",VLOOKUP($A266,'BASE MATERIAL'!$A:$D,4))</f>
        <v/>
      </c>
      <c r="H266" s="56" t="str">
        <f t="shared" si="24"/>
        <v/>
      </c>
      <c r="I266" s="2"/>
    </row>
    <row r="267" spans="1:16" x14ac:dyDescent="0.25">
      <c r="B267" s="38" t="str">
        <f>IF($A267=0,"",VLOOKUP($A267,'BASE MATERIAL'!$A:$D,2))</f>
        <v/>
      </c>
      <c r="C267" s="2"/>
      <c r="D267" s="77"/>
      <c r="E267" s="78" t="str">
        <f>IF($A267=0,"",VLOOKUP($A267,'BASE MATERIAL'!$A:$D,3))</f>
        <v/>
      </c>
      <c r="F267" s="55"/>
      <c r="G267" s="55" t="str">
        <f>IF($A267=0,"",VLOOKUP($A267,'BASE MATERIAL'!$A:$D,4))</f>
        <v/>
      </c>
      <c r="H267" s="56" t="str">
        <f t="shared" si="24"/>
        <v/>
      </c>
      <c r="I267" s="2"/>
    </row>
    <row r="268" spans="1:16" x14ac:dyDescent="0.25">
      <c r="B268" s="38" t="str">
        <f>IF($A268=0,"",VLOOKUP($A268,'BASE MATERIAL'!$A:$D,2))</f>
        <v/>
      </c>
      <c r="C268" s="2"/>
      <c r="D268" s="81" t="s">
        <v>1682</v>
      </c>
      <c r="E268" s="55" t="str">
        <f>IF($A268=0,"",VLOOKUP($A268,'BASE MATERIAL'!$A:$D,3))</f>
        <v/>
      </c>
      <c r="F268" s="55" t="s">
        <v>1682</v>
      </c>
      <c r="G268" s="55" t="str">
        <f>IF($A268=0,"",VLOOKUP($A268,'BASE MATERIAL'!$A:$D,4))</f>
        <v/>
      </c>
      <c r="H268" s="56" t="str">
        <f>IF($A268=0,"",ROUND(E268*F268,2))</f>
        <v/>
      </c>
      <c r="I268" s="2"/>
    </row>
    <row r="269" spans="1:16" x14ac:dyDescent="0.25">
      <c r="B269" s="73" t="s">
        <v>1681</v>
      </c>
      <c r="C269" s="65"/>
      <c r="D269" s="74"/>
      <c r="E269" s="74"/>
      <c r="F269" s="74"/>
      <c r="G269" s="74"/>
      <c r="H269" s="75">
        <f>ROUND(SUM(H252:H268),2)</f>
        <v>85</v>
      </c>
      <c r="I269" s="2"/>
    </row>
    <row r="270" spans="1:16" x14ac:dyDescent="0.25">
      <c r="B270" s="38" t="s">
        <v>1680</v>
      </c>
      <c r="C270" s="2"/>
      <c r="D270" s="3"/>
      <c r="E270" s="3"/>
      <c r="F270" s="3"/>
      <c r="G270" s="3"/>
      <c r="H270" s="56"/>
      <c r="I270" s="2"/>
    </row>
    <row r="271" spans="1:16" ht="25.5" x14ac:dyDescent="0.25">
      <c r="B271" s="64" t="s">
        <v>1409</v>
      </c>
      <c r="C271" s="65"/>
      <c r="D271" s="76"/>
      <c r="E271" s="66" t="s">
        <v>1408</v>
      </c>
      <c r="F271" s="66" t="s">
        <v>1679</v>
      </c>
      <c r="G271" s="66" t="s">
        <v>1676</v>
      </c>
      <c r="H271" s="68" t="s">
        <v>1675</v>
      </c>
      <c r="I271" s="2"/>
    </row>
    <row r="272" spans="1:16" x14ac:dyDescent="0.25">
      <c r="A272" s="103">
        <v>19019</v>
      </c>
      <c r="B272" s="51" t="str">
        <f>IF($A272=0,"",VLOOKUP($A272,'BASE EQUIPO'!$A:$D,2))</f>
        <v>TRANSPORTE DE MATERIAL</v>
      </c>
      <c r="C272" s="52"/>
      <c r="D272" s="82"/>
      <c r="E272" s="78" t="str">
        <f>IF($A272=0,"",VLOOKUP($A272,'BASE EQUIPO'!$A:$D,3))</f>
        <v>GLOBAL</v>
      </c>
      <c r="F272" s="55">
        <v>1</v>
      </c>
      <c r="G272" s="83">
        <f>IF($A272=0,"",VLOOKUP($A272,'BASE EQUIPO'!$A:$D,4)*H269)</f>
        <v>2.5499999999999998</v>
      </c>
      <c r="H272" s="56">
        <f>IF($A272=0,"",ROUND(F272*G272,2))</f>
        <v>2.5499999999999998</v>
      </c>
      <c r="I272" s="2"/>
    </row>
    <row r="273" spans="1:15" x14ac:dyDescent="0.25">
      <c r="B273" s="38" t="str">
        <f>IF($A273=0,"",VLOOKUP($A273,'BASE EQUIPO'!$A:$D,2))</f>
        <v/>
      </c>
      <c r="C273" s="2"/>
      <c r="D273" s="84"/>
      <c r="E273" s="78" t="str">
        <f>IF($A273=0,"",VLOOKUP($A273,'BASE EQUIPO'!$A:$D,3))</f>
        <v/>
      </c>
      <c r="F273" s="55"/>
      <c r="G273" s="55" t="str">
        <f>IF($A273=0,"",VLOOKUP($A273,'BASE EQUIPO'!$A:$D,4)*H270)</f>
        <v/>
      </c>
      <c r="H273" s="56" t="str">
        <f>IF($A273=0,"",ROUND(F273*G273,2))</f>
        <v/>
      </c>
      <c r="I273" s="2"/>
    </row>
    <row r="274" spans="1:15" x14ac:dyDescent="0.25">
      <c r="B274" s="57" t="str">
        <f>IF($A274=0,"",VLOOKUP($A274,'BASE EQUIPO'!$A:$D,2))</f>
        <v/>
      </c>
      <c r="C274" s="58"/>
      <c r="D274" s="85"/>
      <c r="E274" s="86" t="str">
        <f>IF($A274=0,"",VLOOKUP($A274,'BASE EQUIPO'!$A:$D,3))</f>
        <v/>
      </c>
      <c r="F274" s="59"/>
      <c r="G274" s="59" t="str">
        <f>IF($A274=0,"",VLOOKUP($A274,'BASE EQUIPO'!$A:$D,4)*H271)</f>
        <v/>
      </c>
      <c r="H274" s="60" t="str">
        <f>IF($A274=0,"",ROUND(F274*G274,2))</f>
        <v/>
      </c>
      <c r="I274" s="2"/>
    </row>
    <row r="275" spans="1:15" ht="15.75" thickBot="1" x14ac:dyDescent="0.3">
      <c r="B275" s="87" t="s">
        <v>1674</v>
      </c>
      <c r="C275" s="88"/>
      <c r="D275" s="89"/>
      <c r="E275" s="89"/>
      <c r="F275" s="89"/>
      <c r="G275" s="89"/>
      <c r="H275" s="90">
        <f>ROUND(SUM(H271:H274),2)</f>
        <v>2.5499999999999998</v>
      </c>
      <c r="I275" s="2"/>
    </row>
    <row r="276" spans="1:15" ht="15.75" x14ac:dyDescent="0.25">
      <c r="B276" s="2"/>
      <c r="C276" s="2"/>
      <c r="D276" s="91" t="s">
        <v>1673</v>
      </c>
      <c r="E276" s="47"/>
      <c r="F276" s="47"/>
      <c r="G276" s="47"/>
      <c r="H276" s="92">
        <f>ROUND(SUM(H275,H269,H250,H240),2)</f>
        <v>110.66</v>
      </c>
      <c r="I276" s="2"/>
    </row>
    <row r="277" spans="1:15" ht="15.75" x14ac:dyDescent="0.25">
      <c r="A277" s="103">
        <v>40002</v>
      </c>
      <c r="B277" s="2"/>
      <c r="C277" s="2"/>
      <c r="D277" s="93" t="s">
        <v>1672</v>
      </c>
      <c r="E277" s="65"/>
      <c r="F277" s="65"/>
      <c r="G277" s="94">
        <f>IF($A277=0,"",VLOOKUP($A277,'BASE MATERIAL'!$M:$P,4))</f>
        <v>0</v>
      </c>
      <c r="H277" s="95">
        <f>IF($A277=0,"",ROUND(G277*H276,2))</f>
        <v>0</v>
      </c>
      <c r="I277" s="2"/>
    </row>
    <row r="278" spans="1:15" ht="15.75" x14ac:dyDescent="0.25">
      <c r="A278" s="103">
        <v>40003</v>
      </c>
      <c r="B278" s="2"/>
      <c r="C278" s="2"/>
      <c r="D278" s="93" t="s">
        <v>1671</v>
      </c>
      <c r="E278" s="65"/>
      <c r="F278" s="65"/>
      <c r="G278" s="94">
        <f>IF($A278=0,"",VLOOKUP($A278,'BASE MATERIAL'!$M:$P,4))</f>
        <v>0</v>
      </c>
      <c r="H278" s="95">
        <f>IF($A278=0,"",ROUND(G278*H276,2))</f>
        <v>0</v>
      </c>
      <c r="I278" s="2"/>
    </row>
    <row r="279" spans="1:15" ht="15.75" x14ac:dyDescent="0.25">
      <c r="B279" s="2"/>
      <c r="C279" s="2"/>
      <c r="D279" s="93" t="s">
        <v>1670</v>
      </c>
      <c r="E279" s="65"/>
      <c r="F279" s="65"/>
      <c r="G279" s="65"/>
      <c r="H279" s="96">
        <f>ROUND(SUM(H276:H278),2)</f>
        <v>110.66</v>
      </c>
      <c r="I279" s="2"/>
    </row>
    <row r="280" spans="1:15" ht="16.5" thickBot="1" x14ac:dyDescent="0.3">
      <c r="B280" s="25"/>
      <c r="C280" s="2"/>
      <c r="D280" s="97" t="s">
        <v>1650</v>
      </c>
      <c r="E280" s="88"/>
      <c r="F280" s="88"/>
      <c r="G280" s="88"/>
      <c r="H280" s="98">
        <f>ROUND(H279,2)</f>
        <v>110.66</v>
      </c>
      <c r="I280" s="2"/>
      <c r="J280" s="1">
        <f>103*1.12</f>
        <v>115.36000000000001</v>
      </c>
    </row>
    <row r="281" spans="1:15" ht="15.75" x14ac:dyDescent="0.25">
      <c r="B281" s="34" t="s">
        <v>1701</v>
      </c>
      <c r="C281" s="2"/>
      <c r="D281" s="3" t="str">
        <f>'1.1'!$D$1</f>
        <v>ESPOL</v>
      </c>
      <c r="E281" s="2"/>
      <c r="F281" s="2"/>
      <c r="H281" s="2" t="s">
        <v>108</v>
      </c>
      <c r="I281" s="2"/>
      <c r="L281" s="40">
        <f>A285</f>
        <v>4</v>
      </c>
      <c r="M281" s="1" t="str">
        <f>C286</f>
        <v>Puertas de aluminio y vidrio templado  0,90 x 2,20  Codigo Pd1</v>
      </c>
      <c r="N281" s="2" t="str">
        <f>H285</f>
        <v>U</v>
      </c>
      <c r="O281" s="2">
        <f>H336</f>
        <v>1008.52</v>
      </c>
    </row>
    <row r="282" spans="1:15" ht="15.75" x14ac:dyDescent="0.25">
      <c r="B282" s="34" t="s">
        <v>1700</v>
      </c>
      <c r="C282" s="3">
        <f>'1.1'!$C$2</f>
        <v>0</v>
      </c>
      <c r="D282" s="2"/>
      <c r="E282" s="2"/>
      <c r="F282" s="2"/>
      <c r="G282" s="41" t="s">
        <v>1699</v>
      </c>
      <c r="H282" s="42"/>
      <c r="I282" s="2" t="s">
        <v>1698</v>
      </c>
    </row>
    <row r="283" spans="1:15" ht="15.75" x14ac:dyDescent="0.25">
      <c r="B283" s="34"/>
      <c r="C283" s="3">
        <f>'1.1'!$C$3</f>
        <v>0</v>
      </c>
      <c r="D283" s="2"/>
      <c r="E283" s="2"/>
      <c r="F283" s="2"/>
      <c r="G283" s="2"/>
      <c r="H283" s="2"/>
      <c r="I283" s="2"/>
    </row>
    <row r="284" spans="1:15" ht="15.75" x14ac:dyDescent="0.25">
      <c r="B284" s="34" t="s">
        <v>1697</v>
      </c>
      <c r="C284" s="3"/>
      <c r="D284" s="2"/>
      <c r="E284" s="2"/>
      <c r="F284" s="2"/>
      <c r="G284" s="2"/>
      <c r="H284" s="2"/>
      <c r="I284" s="2"/>
    </row>
    <row r="285" spans="1:15" x14ac:dyDescent="0.25">
      <c r="A285" s="104">
        <v>4</v>
      </c>
      <c r="B285" s="2" t="s">
        <v>1586</v>
      </c>
      <c r="C285" s="36" t="s">
        <v>859</v>
      </c>
      <c r="D285" s="2"/>
      <c r="G285" s="2" t="s">
        <v>1696</v>
      </c>
      <c r="H285" s="3" t="s">
        <v>744</v>
      </c>
      <c r="I285" s="2"/>
    </row>
    <row r="286" spans="1:15" x14ac:dyDescent="0.25">
      <c r="B286" s="1" t="s">
        <v>1585</v>
      </c>
      <c r="C286" s="36" t="s">
        <v>205</v>
      </c>
      <c r="D286" s="2"/>
      <c r="E286" s="2"/>
      <c r="F286" s="2"/>
      <c r="G286" s="2"/>
      <c r="H286" s="2"/>
      <c r="I286" s="2"/>
    </row>
    <row r="287" spans="1:15" ht="15.75" thickBot="1" x14ac:dyDescent="0.3">
      <c r="D287" s="2"/>
      <c r="E287" s="2"/>
      <c r="F287" s="2"/>
      <c r="G287" s="2"/>
      <c r="H287" s="2"/>
      <c r="I287" s="2"/>
    </row>
    <row r="288" spans="1:15" ht="15.75" thickBot="1" x14ac:dyDescent="0.3">
      <c r="B288" s="43" t="s">
        <v>1695</v>
      </c>
      <c r="C288" s="44"/>
      <c r="D288" s="44"/>
      <c r="E288" s="44"/>
      <c r="F288" s="44"/>
      <c r="G288" s="44"/>
      <c r="H288" s="45"/>
      <c r="I288" s="2"/>
    </row>
    <row r="289" spans="1:9" ht="25.5" x14ac:dyDescent="0.25">
      <c r="B289" s="46" t="s">
        <v>1409</v>
      </c>
      <c r="C289" s="47"/>
      <c r="D289" s="48" t="s">
        <v>1690</v>
      </c>
      <c r="E289" s="48" t="s">
        <v>1694</v>
      </c>
      <c r="F289" s="48" t="s">
        <v>1693</v>
      </c>
      <c r="G289" s="49" t="s">
        <v>1687</v>
      </c>
      <c r="H289" s="50" t="s">
        <v>1686</v>
      </c>
      <c r="I289" s="2"/>
    </row>
    <row r="290" spans="1:9" x14ac:dyDescent="0.25">
      <c r="A290" s="103">
        <v>19015</v>
      </c>
      <c r="B290" s="51" t="str">
        <f>IF($A290=0,"",VLOOKUP($A290,'BASE EQUIPO'!$A:$D,2))</f>
        <v>HERRAMIENTA MENOR</v>
      </c>
      <c r="C290" s="52"/>
      <c r="D290" s="53">
        <v>1</v>
      </c>
      <c r="E290" s="53">
        <f>IF($A290=0,"",VLOOKUP($A290,'BASE EQUIPO'!$A:$D,4)*H306)</f>
        <v>2.6928000000000001</v>
      </c>
      <c r="F290" s="53">
        <f t="shared" ref="F290:F295" si="25">IF($A290=0,"",ROUND(D290*E290,2))</f>
        <v>2.69</v>
      </c>
      <c r="G290" s="105">
        <v>1</v>
      </c>
      <c r="H290" s="54">
        <f t="shared" ref="H290:H295" si="26">IF($A290=0,"",ROUND(G290*F290,2))</f>
        <v>2.69</v>
      </c>
      <c r="I290" s="2"/>
    </row>
    <row r="291" spans="1:9" x14ac:dyDescent="0.25">
      <c r="B291" s="38" t="str">
        <f>IF($A291=0,"",VLOOKUP($A291,'BASE EQUIPO'!$A:$D,2))</f>
        <v/>
      </c>
      <c r="C291" s="2"/>
      <c r="D291" s="55"/>
      <c r="E291" s="55" t="str">
        <f>IF($A291=0,"",VLOOKUP($A291,'BASE EQUIPO'!$A:$D,4))</f>
        <v/>
      </c>
      <c r="F291" s="55" t="str">
        <f t="shared" si="25"/>
        <v/>
      </c>
      <c r="G291" s="106"/>
      <c r="H291" s="56" t="str">
        <f t="shared" si="26"/>
        <v/>
      </c>
      <c r="I291" s="2"/>
    </row>
    <row r="292" spans="1:9" x14ac:dyDescent="0.25">
      <c r="B292" s="38" t="str">
        <f>IF($A292=0,"",VLOOKUP($A292,'BASE EQUIPO'!$A:$D,2))</f>
        <v/>
      </c>
      <c r="C292" s="2"/>
      <c r="D292" s="55"/>
      <c r="E292" s="55" t="str">
        <f>IF($A292=0,"",VLOOKUP($A292,'BASE EQUIPO'!$A:$D,4))</f>
        <v/>
      </c>
      <c r="F292" s="55" t="str">
        <f t="shared" si="25"/>
        <v/>
      </c>
      <c r="G292" s="106"/>
      <c r="H292" s="56" t="str">
        <f t="shared" si="26"/>
        <v/>
      </c>
      <c r="I292" s="2"/>
    </row>
    <row r="293" spans="1:9" x14ac:dyDescent="0.25">
      <c r="B293" s="38" t="str">
        <f>IF($A293=0,"",VLOOKUP($A293,'BASE EQUIPO'!$A:$D,2))</f>
        <v/>
      </c>
      <c r="C293" s="2"/>
      <c r="D293" s="55"/>
      <c r="E293" s="55" t="str">
        <f>IF($A293=0,"",VLOOKUP($A293,'BASE EQUIPO'!$A:$D,4))</f>
        <v/>
      </c>
      <c r="F293" s="55" t="str">
        <f t="shared" si="25"/>
        <v/>
      </c>
      <c r="G293" s="106"/>
      <c r="H293" s="56" t="str">
        <f t="shared" si="26"/>
        <v/>
      </c>
      <c r="I293" s="2"/>
    </row>
    <row r="294" spans="1:9" x14ac:dyDescent="0.25">
      <c r="B294" s="38" t="str">
        <f>IF($A294=0,"",VLOOKUP($A294,'BASE EQUIPO'!$A:$D,2))</f>
        <v/>
      </c>
      <c r="C294" s="2"/>
      <c r="D294" s="55"/>
      <c r="E294" s="55" t="str">
        <f>IF($A294=0,"",VLOOKUP($A294,'BASE EQUIPO'!$A:$D,4))</f>
        <v/>
      </c>
      <c r="F294" s="55" t="str">
        <f t="shared" si="25"/>
        <v/>
      </c>
      <c r="G294" s="106"/>
      <c r="H294" s="56" t="str">
        <f t="shared" si="26"/>
        <v/>
      </c>
      <c r="I294" s="2"/>
    </row>
    <row r="295" spans="1:9" x14ac:dyDescent="0.25">
      <c r="B295" s="57" t="str">
        <f>IF($A295=0,"",VLOOKUP($A295,'BASE EQUIPO'!$A:$D,2))</f>
        <v/>
      </c>
      <c r="C295" s="58"/>
      <c r="D295" s="59"/>
      <c r="E295" s="59" t="str">
        <f>IF($A295=0,"",VLOOKUP($A295,'BASE EQUIPO'!$A:$D,4))</f>
        <v/>
      </c>
      <c r="F295" s="59" t="str">
        <f t="shared" si="25"/>
        <v/>
      </c>
      <c r="G295" s="107"/>
      <c r="H295" s="60" t="str">
        <f t="shared" si="26"/>
        <v/>
      </c>
      <c r="I295" s="2"/>
    </row>
    <row r="296" spans="1:9" x14ac:dyDescent="0.25">
      <c r="B296" s="57" t="s">
        <v>1692</v>
      </c>
      <c r="C296" s="58"/>
      <c r="D296" s="61"/>
      <c r="E296" s="61"/>
      <c r="F296" s="61"/>
      <c r="G296" s="62"/>
      <c r="H296" s="60">
        <f>ROUND(SUM(H289:H295),2)</f>
        <v>2.69</v>
      </c>
      <c r="I296" s="2"/>
    </row>
    <row r="297" spans="1:9" x14ac:dyDescent="0.25">
      <c r="B297" s="38" t="s">
        <v>1503</v>
      </c>
      <c r="C297" s="2"/>
      <c r="D297" s="3"/>
      <c r="E297" s="3"/>
      <c r="F297" s="3"/>
      <c r="G297" s="63"/>
      <c r="H297" s="56"/>
      <c r="I297" s="2"/>
    </row>
    <row r="298" spans="1:9" ht="25.5" x14ac:dyDescent="0.25">
      <c r="B298" s="64" t="s">
        <v>1691</v>
      </c>
      <c r="C298" s="65"/>
      <c r="D298" s="66" t="s">
        <v>1690</v>
      </c>
      <c r="E298" s="66" t="s">
        <v>1689</v>
      </c>
      <c r="F298" s="66" t="s">
        <v>1688</v>
      </c>
      <c r="G298" s="67" t="s">
        <v>1687</v>
      </c>
      <c r="H298" s="68" t="s">
        <v>1686</v>
      </c>
      <c r="I298" s="2"/>
    </row>
    <row r="299" spans="1:9" x14ac:dyDescent="0.25">
      <c r="B299" s="69" t="str">
        <f>IF($A299=0,"",VLOOKUP($A299,'BASE M-OBRA'!$A:$D,2))</f>
        <v/>
      </c>
      <c r="C299" s="2"/>
      <c r="D299" s="108"/>
      <c r="E299" s="70" t="str">
        <f>IF($A299=0,"",VLOOKUP($A299,'BASE M-OBRA'!$A:$D,4))</f>
        <v/>
      </c>
      <c r="F299" s="55" t="str">
        <f t="shared" ref="F299:F305" si="27">IF($A299=0,"",ROUND(D299*E299,2))</f>
        <v/>
      </c>
      <c r="G299" s="106" t="str">
        <f>IF($A299=0,"",ROUND(H299/F299,2))</f>
        <v/>
      </c>
      <c r="H299" s="56" t="str">
        <f>IF($A299=0,"",ROUND(SUM(H300:H305)*'BASE M-OBRA'!$D$23,2))</f>
        <v/>
      </c>
      <c r="I299" s="2"/>
    </row>
    <row r="300" spans="1:9" x14ac:dyDescent="0.25">
      <c r="A300" s="103">
        <v>20019</v>
      </c>
      <c r="B300" s="69" t="str">
        <f>IF($A300=0,"",VLOOKUP($A300,'BASE M-OBRA'!$A:$D,2))</f>
        <v>INSTALADOR</v>
      </c>
      <c r="C300" s="2"/>
      <c r="D300" s="108">
        <v>1</v>
      </c>
      <c r="E300" s="70">
        <f>IF($A300=0,"",VLOOKUP($A300,'BASE M-OBRA'!$A:$D,4))</f>
        <v>2.82</v>
      </c>
      <c r="F300" s="55">
        <f t="shared" si="27"/>
        <v>2.82</v>
      </c>
      <c r="G300" s="106">
        <f>8*2</f>
        <v>16</v>
      </c>
      <c r="H300" s="56">
        <f t="shared" ref="H300:H305" si="28">IF($A300=0,"",ROUND(G300*F300,2))</f>
        <v>45.12</v>
      </c>
      <c r="I300" s="2"/>
    </row>
    <row r="301" spans="1:9" x14ac:dyDescent="0.25">
      <c r="A301" s="103">
        <v>20011</v>
      </c>
      <c r="B301" s="69" t="str">
        <f>IF($A301=0,"",VLOOKUP($A301,'BASE M-OBRA'!$A:$D,2))</f>
        <v>AYUDANTE ESPECIALISTA</v>
      </c>
      <c r="C301" s="2"/>
      <c r="D301" s="108">
        <v>1</v>
      </c>
      <c r="E301" s="70">
        <f>IF($A301=0,"",VLOOKUP($A301,'BASE M-OBRA'!$A:$D,4))</f>
        <v>2.79</v>
      </c>
      <c r="F301" s="55">
        <f t="shared" si="27"/>
        <v>2.79</v>
      </c>
      <c r="G301" s="106">
        <f>+G300</f>
        <v>16</v>
      </c>
      <c r="H301" s="56">
        <f t="shared" si="28"/>
        <v>44.64</v>
      </c>
      <c r="I301" s="2"/>
    </row>
    <row r="302" spans="1:9" x14ac:dyDescent="0.25">
      <c r="B302" s="71" t="str">
        <f>IF($A302=0,"",VLOOKUP($A302,'BASE M-OBRA'!$A:$D,2))</f>
        <v/>
      </c>
      <c r="C302" s="2"/>
      <c r="D302" s="108"/>
      <c r="E302" s="70" t="str">
        <f>IF($A302=0,"",VLOOKUP($A302,'BASE M-OBRA'!$A:$D,4))</f>
        <v/>
      </c>
      <c r="F302" s="55" t="str">
        <f t="shared" si="27"/>
        <v/>
      </c>
      <c r="G302" s="106"/>
      <c r="H302" s="56" t="str">
        <f t="shared" si="28"/>
        <v/>
      </c>
      <c r="I302" s="2"/>
    </row>
    <row r="303" spans="1:9" x14ac:dyDescent="0.25">
      <c r="B303" s="72" t="str">
        <f>IF($A303=0,"",VLOOKUP($A303,'BASE M-OBRA'!$A:$D,2))</f>
        <v/>
      </c>
      <c r="C303" s="2"/>
      <c r="D303" s="108"/>
      <c r="E303" s="70" t="str">
        <f>IF($A303=0,"",VLOOKUP($A303,'BASE M-OBRA'!$A:$D,4))</f>
        <v/>
      </c>
      <c r="F303" s="55" t="str">
        <f t="shared" si="27"/>
        <v/>
      </c>
      <c r="G303" s="106"/>
      <c r="H303" s="56" t="str">
        <f t="shared" si="28"/>
        <v/>
      </c>
      <c r="I303" s="2"/>
    </row>
    <row r="304" spans="1:9" x14ac:dyDescent="0.25">
      <c r="B304" s="38" t="str">
        <f>IF($A304=0,"",VLOOKUP($A304,'BASE M-OBRA'!$A:$D,2))</f>
        <v/>
      </c>
      <c r="C304" s="2"/>
      <c r="D304" s="55"/>
      <c r="E304" s="55" t="str">
        <f>IF($A304=0,"",VLOOKUP($A304,'BASE M-OBRA'!$A:$D,4))</f>
        <v/>
      </c>
      <c r="F304" s="55" t="str">
        <f t="shared" si="27"/>
        <v/>
      </c>
      <c r="G304" s="106"/>
      <c r="H304" s="56" t="str">
        <f t="shared" si="28"/>
        <v/>
      </c>
      <c r="I304" s="2"/>
    </row>
    <row r="305" spans="1:16" x14ac:dyDescent="0.25">
      <c r="B305" s="57" t="str">
        <f>IF($A305=0,"",VLOOKUP($A305,'BASE M-OBRA'!$A:$D,2))</f>
        <v/>
      </c>
      <c r="C305" s="58"/>
      <c r="D305" s="59"/>
      <c r="E305" s="59" t="str">
        <f>IF($A305=0,"",VLOOKUP($A305,'BASE M-OBRA'!$A:$D,4))</f>
        <v/>
      </c>
      <c r="F305" s="59" t="str">
        <f t="shared" si="27"/>
        <v/>
      </c>
      <c r="G305" s="107"/>
      <c r="H305" s="60" t="str">
        <f t="shared" si="28"/>
        <v/>
      </c>
      <c r="I305" s="2"/>
    </row>
    <row r="306" spans="1:16" x14ac:dyDescent="0.25">
      <c r="B306" s="73" t="s">
        <v>1685</v>
      </c>
      <c r="C306" s="65"/>
      <c r="D306" s="74"/>
      <c r="E306" s="74"/>
      <c r="F306" s="74"/>
      <c r="G306" s="74"/>
      <c r="H306" s="75">
        <f>ROUND(SUM(H298:H305),2)</f>
        <v>89.76</v>
      </c>
      <c r="I306" s="2"/>
    </row>
    <row r="307" spans="1:16" x14ac:dyDescent="0.25">
      <c r="B307" s="38" t="s">
        <v>1684</v>
      </c>
      <c r="C307" s="2"/>
      <c r="D307" s="3"/>
      <c r="E307" s="3"/>
      <c r="F307" s="3"/>
      <c r="G307" s="3"/>
      <c r="H307" s="56"/>
      <c r="I307" s="2"/>
    </row>
    <row r="308" spans="1:16" ht="25.5" x14ac:dyDescent="0.25">
      <c r="B308" s="64" t="s">
        <v>1409</v>
      </c>
      <c r="C308" s="65"/>
      <c r="D308" s="76"/>
      <c r="E308" s="66" t="s">
        <v>1408</v>
      </c>
      <c r="F308" s="66" t="s">
        <v>1679</v>
      </c>
      <c r="G308" s="66" t="s">
        <v>1683</v>
      </c>
      <c r="H308" s="68" t="s">
        <v>1675</v>
      </c>
      <c r="I308" s="2"/>
    </row>
    <row r="309" spans="1:16" x14ac:dyDescent="0.25">
      <c r="A309" s="103">
        <v>1</v>
      </c>
      <c r="B309" s="99" t="s">
        <v>610</v>
      </c>
      <c r="C309" s="2"/>
      <c r="D309" s="77"/>
      <c r="E309" s="78" t="s">
        <v>1520</v>
      </c>
      <c r="F309" s="55">
        <f>0.9*2.2*2</f>
        <v>3.9600000000000004</v>
      </c>
      <c r="G309" s="55">
        <v>140</v>
      </c>
      <c r="H309" s="56">
        <f t="shared" ref="H309:H323" si="29">IF($A309=0,"",ROUND(F309*G309,2))</f>
        <v>554.4</v>
      </c>
      <c r="I309" s="2"/>
      <c r="L309" s="2"/>
      <c r="M309" s="2"/>
      <c r="N309" s="39"/>
      <c r="O309" s="2"/>
      <c r="P309" s="2"/>
    </row>
    <row r="310" spans="1:16" x14ac:dyDescent="0.25">
      <c r="B310" s="38"/>
      <c r="C310" s="2"/>
      <c r="D310" s="77"/>
      <c r="E310" s="78"/>
      <c r="F310" s="55"/>
      <c r="G310" s="55"/>
      <c r="H310" s="56" t="str">
        <f t="shared" si="29"/>
        <v/>
      </c>
      <c r="I310" s="2"/>
      <c r="L310" s="2"/>
      <c r="M310" s="2"/>
      <c r="N310" s="39"/>
      <c r="O310" s="2"/>
      <c r="P310" s="2"/>
    </row>
    <row r="311" spans="1:16" x14ac:dyDescent="0.25">
      <c r="A311" s="103">
        <v>1</v>
      </c>
      <c r="B311" s="38" t="s">
        <v>1719</v>
      </c>
      <c r="C311" s="2"/>
      <c r="D311" s="77"/>
      <c r="E311" s="78" t="s">
        <v>961</v>
      </c>
      <c r="F311" s="55">
        <f>(2.2+2.2+0.9)*2</f>
        <v>10.600000000000001</v>
      </c>
      <c r="G311" s="55">
        <f>ROUND(25.73*1.15*1.12/6.4,2)</f>
        <v>5.18</v>
      </c>
      <c r="H311" s="56">
        <f t="shared" si="29"/>
        <v>54.91</v>
      </c>
      <c r="I311" s="2"/>
      <c r="L311" s="2"/>
      <c r="M311" s="2"/>
      <c r="N311" s="39"/>
      <c r="O311" s="2"/>
      <c r="P311" s="2"/>
    </row>
    <row r="312" spans="1:16" x14ac:dyDescent="0.25">
      <c r="A312" s="103">
        <v>1</v>
      </c>
      <c r="B312" s="38" t="s">
        <v>1718</v>
      </c>
      <c r="C312" s="2"/>
      <c r="D312" s="77"/>
      <c r="E312" s="78" t="s">
        <v>961</v>
      </c>
      <c r="F312" s="55">
        <f>(0.8*3+2.2*2)*2</f>
        <v>13.600000000000001</v>
      </c>
      <c r="G312" s="55">
        <f>ROUND(27.2*1.15*1.12/6.4,2)</f>
        <v>5.47</v>
      </c>
      <c r="H312" s="56">
        <f t="shared" si="29"/>
        <v>74.39</v>
      </c>
      <c r="I312" s="2"/>
      <c r="L312" s="2"/>
      <c r="M312" s="2"/>
      <c r="N312" s="39"/>
      <c r="O312" s="2"/>
      <c r="P312" s="2"/>
    </row>
    <row r="313" spans="1:16" x14ac:dyDescent="0.25">
      <c r="A313" s="103">
        <v>1</v>
      </c>
      <c r="B313" s="38" t="s">
        <v>1717</v>
      </c>
      <c r="C313" s="2"/>
      <c r="D313" s="77"/>
      <c r="E313" s="78" t="s">
        <v>1506</v>
      </c>
      <c r="F313" s="55">
        <v>2</v>
      </c>
      <c r="G313" s="55">
        <v>40</v>
      </c>
      <c r="H313" s="56">
        <f t="shared" si="29"/>
        <v>80</v>
      </c>
      <c r="I313" s="2"/>
      <c r="L313" s="2"/>
      <c r="M313" s="2"/>
      <c r="N313" s="39"/>
      <c r="O313" s="2"/>
      <c r="P313" s="2"/>
    </row>
    <row r="314" spans="1:16" x14ac:dyDescent="0.25">
      <c r="A314" s="103">
        <v>1</v>
      </c>
      <c r="B314" s="38" t="s">
        <v>1716</v>
      </c>
      <c r="C314" s="2"/>
      <c r="D314" s="77"/>
      <c r="E314" s="78" t="s">
        <v>1506</v>
      </c>
      <c r="F314" s="55">
        <v>1</v>
      </c>
      <c r="G314" s="55">
        <v>16</v>
      </c>
      <c r="H314" s="56">
        <f t="shared" si="29"/>
        <v>16</v>
      </c>
      <c r="I314" s="2"/>
      <c r="J314" s="79"/>
      <c r="L314" s="2"/>
      <c r="M314" s="2"/>
      <c r="N314" s="39"/>
      <c r="O314" s="2"/>
      <c r="P314" s="2"/>
    </row>
    <row r="315" spans="1:16" x14ac:dyDescent="0.25">
      <c r="A315" s="103">
        <v>1</v>
      </c>
      <c r="B315" s="38" t="s">
        <v>1715</v>
      </c>
      <c r="C315" s="2"/>
      <c r="D315" s="77"/>
      <c r="E315" s="78" t="s">
        <v>1506</v>
      </c>
      <c r="F315" s="55">
        <f>3*2</f>
        <v>6</v>
      </c>
      <c r="G315" s="55">
        <v>1.3</v>
      </c>
      <c r="H315" s="56">
        <f t="shared" si="29"/>
        <v>7.8</v>
      </c>
      <c r="I315" s="2"/>
      <c r="L315" s="2"/>
      <c r="M315" s="2"/>
      <c r="N315" s="39"/>
      <c r="O315" s="2"/>
      <c r="P315" s="2"/>
    </row>
    <row r="316" spans="1:16" x14ac:dyDescent="0.25">
      <c r="A316" s="103">
        <v>1</v>
      </c>
      <c r="B316" s="38" t="s">
        <v>1714</v>
      </c>
      <c r="C316" s="2"/>
      <c r="D316" s="77"/>
      <c r="E316" s="78" t="s">
        <v>961</v>
      </c>
      <c r="F316" s="55">
        <f>+F317</f>
        <v>27.200000000000003</v>
      </c>
      <c r="G316" s="55">
        <v>0.3</v>
      </c>
      <c r="H316" s="56">
        <f t="shared" si="29"/>
        <v>8.16</v>
      </c>
      <c r="I316" s="2"/>
      <c r="J316" s="79"/>
      <c r="L316" s="2"/>
      <c r="M316" s="2"/>
      <c r="N316" s="39"/>
      <c r="O316" s="2"/>
      <c r="P316" s="2"/>
    </row>
    <row r="317" spans="1:16" x14ac:dyDescent="0.25">
      <c r="A317" s="103">
        <v>1</v>
      </c>
      <c r="B317" s="38" t="s">
        <v>1713</v>
      </c>
      <c r="C317" s="2"/>
      <c r="D317" s="77"/>
      <c r="E317" s="78" t="s">
        <v>961</v>
      </c>
      <c r="F317" s="55">
        <f>(0.6*4+2.2*2)*2*2</f>
        <v>27.200000000000003</v>
      </c>
      <c r="G317" s="55">
        <f>ROUND(6.14*1.15*1.12/6.4,2)</f>
        <v>1.24</v>
      </c>
      <c r="H317" s="56">
        <f t="shared" si="29"/>
        <v>33.729999999999997</v>
      </c>
      <c r="I317" s="2"/>
    </row>
    <row r="318" spans="1:16" x14ac:dyDescent="0.25">
      <c r="A318" s="103">
        <v>1</v>
      </c>
      <c r="B318" s="38" t="s">
        <v>620</v>
      </c>
      <c r="C318" s="2"/>
      <c r="D318" s="77"/>
      <c r="E318" s="78" t="s">
        <v>1506</v>
      </c>
      <c r="F318" s="55">
        <v>2</v>
      </c>
      <c r="G318" s="55">
        <v>30</v>
      </c>
      <c r="H318" s="56">
        <f t="shared" si="29"/>
        <v>60</v>
      </c>
      <c r="I318" s="2"/>
      <c r="L318" s="2"/>
      <c r="M318" s="2"/>
      <c r="N318" s="39"/>
      <c r="O318" s="2"/>
      <c r="P318" s="2"/>
    </row>
    <row r="319" spans="1:16" x14ac:dyDescent="0.25">
      <c r="B319" s="38" t="str">
        <f>IF($A319=0,"",VLOOKUP($A319,'BASE MATERIAL'!$A:$D,2))</f>
        <v/>
      </c>
      <c r="C319" s="2"/>
      <c r="D319" s="77"/>
      <c r="E319" s="78" t="str">
        <f>IF($A319=0,"",VLOOKUP($A319,'BASE MATERIAL'!$A:$D,3))</f>
        <v/>
      </c>
      <c r="F319" s="55"/>
      <c r="G319" s="55" t="str">
        <f>IF($A319=0,"",VLOOKUP($A319,'BASE MATERIAL'!$A:$D,4))</f>
        <v/>
      </c>
      <c r="H319" s="56" t="str">
        <f t="shared" si="29"/>
        <v/>
      </c>
      <c r="I319" s="2"/>
      <c r="L319" s="2"/>
      <c r="M319" s="2"/>
      <c r="N319" s="39"/>
      <c r="O319" s="2"/>
      <c r="P319" s="2"/>
    </row>
    <row r="320" spans="1:16" x14ac:dyDescent="0.25">
      <c r="B320" s="38" t="str">
        <f>IF($A320=0,"",VLOOKUP($A320,'BASE MATERIAL'!$A:$D,2))</f>
        <v/>
      </c>
      <c r="C320" s="2"/>
      <c r="D320" s="77"/>
      <c r="E320" s="78" t="str">
        <f>IF($A320=0,"",VLOOKUP($A320,'BASE MATERIAL'!$A:$D,3))</f>
        <v/>
      </c>
      <c r="F320" s="55"/>
      <c r="G320" s="55" t="str">
        <f>IF($A320=0,"",VLOOKUP($A320,'BASE MATERIAL'!$A:$D,4))</f>
        <v/>
      </c>
      <c r="H320" s="56" t="str">
        <f t="shared" si="29"/>
        <v/>
      </c>
      <c r="I320" s="2"/>
    </row>
    <row r="321" spans="1:9" x14ac:dyDescent="0.25">
      <c r="B321" s="38" t="str">
        <f>IF($A321=0,"",VLOOKUP($A321,'BASE MATERIAL'!$A:$D,2))</f>
        <v/>
      </c>
      <c r="C321" s="2"/>
      <c r="D321" s="77"/>
      <c r="E321" s="78" t="str">
        <f>IF($A321=0,"",VLOOKUP($A321,'BASE MATERIAL'!$A:$D,3))</f>
        <v/>
      </c>
      <c r="F321" s="55"/>
      <c r="G321" s="55" t="str">
        <f>IF($A321=0,"",VLOOKUP($A321,'BASE MATERIAL'!$A:$D,4))</f>
        <v/>
      </c>
      <c r="H321" s="56" t="str">
        <f t="shared" si="29"/>
        <v/>
      </c>
      <c r="I321" s="2"/>
    </row>
    <row r="322" spans="1:9" x14ac:dyDescent="0.25">
      <c r="B322" s="38" t="str">
        <f>IF($A322=0,"",VLOOKUP($A322,'BASE MATERIAL'!$A:$D,2))</f>
        <v/>
      </c>
      <c r="C322" s="2"/>
      <c r="D322" s="77"/>
      <c r="E322" s="78" t="str">
        <f>IF($A322=0,"",VLOOKUP($A322,'BASE MATERIAL'!$A:$D,3))</f>
        <v/>
      </c>
      <c r="F322" s="55"/>
      <c r="G322" s="55" t="str">
        <f>IF($A322=0,"",VLOOKUP($A322,'BASE MATERIAL'!$A:$D,4))</f>
        <v/>
      </c>
      <c r="H322" s="56" t="str">
        <f t="shared" si="29"/>
        <v/>
      </c>
      <c r="I322" s="2"/>
    </row>
    <row r="323" spans="1:9" x14ac:dyDescent="0.25">
      <c r="B323" s="38" t="str">
        <f>IF($A323=0,"",VLOOKUP($A323,'BASE MATERIAL'!$A:$D,2))</f>
        <v/>
      </c>
      <c r="C323" s="2"/>
      <c r="D323" s="77"/>
      <c r="E323" s="78" t="str">
        <f>IF($A323=0,"",VLOOKUP($A323,'BASE MATERIAL'!$A:$D,3))</f>
        <v/>
      </c>
      <c r="F323" s="55"/>
      <c r="G323" s="55" t="str">
        <f>IF($A323=0,"",VLOOKUP($A323,'BASE MATERIAL'!$A:$D,4))</f>
        <v/>
      </c>
      <c r="H323" s="56" t="str">
        <f t="shared" si="29"/>
        <v/>
      </c>
      <c r="I323" s="2"/>
    </row>
    <row r="324" spans="1:9" x14ac:dyDescent="0.25">
      <c r="B324" s="38" t="str">
        <f>IF($A324=0,"",VLOOKUP($A324,'BASE MATERIAL'!$A:$D,2))</f>
        <v/>
      </c>
      <c r="C324" s="2"/>
      <c r="D324" s="81" t="s">
        <v>1682</v>
      </c>
      <c r="E324" s="55" t="str">
        <f>IF($A324=0,"",VLOOKUP($A324,'BASE MATERIAL'!$A:$D,3))</f>
        <v/>
      </c>
      <c r="F324" s="55" t="s">
        <v>1682</v>
      </c>
      <c r="G324" s="55" t="str">
        <f>IF($A324=0,"",VLOOKUP($A324,'BASE MATERIAL'!$A:$D,4))</f>
        <v/>
      </c>
      <c r="H324" s="56" t="str">
        <f>IF($A324=0,"",ROUND(E324*F324,2))</f>
        <v/>
      </c>
      <c r="I324" s="2"/>
    </row>
    <row r="325" spans="1:9" x14ac:dyDescent="0.25">
      <c r="B325" s="73" t="s">
        <v>1681</v>
      </c>
      <c r="C325" s="65"/>
      <c r="D325" s="74"/>
      <c r="E325" s="74"/>
      <c r="F325" s="74"/>
      <c r="G325" s="74"/>
      <c r="H325" s="75">
        <f>ROUND(SUM(H308:H324),2)</f>
        <v>889.39</v>
      </c>
      <c r="I325" s="2"/>
    </row>
    <row r="326" spans="1:9" x14ac:dyDescent="0.25">
      <c r="B326" s="38" t="s">
        <v>1680</v>
      </c>
      <c r="C326" s="2"/>
      <c r="D326" s="3"/>
      <c r="E326" s="3"/>
      <c r="F326" s="3"/>
      <c r="G326" s="3"/>
      <c r="H326" s="56"/>
      <c r="I326" s="2"/>
    </row>
    <row r="327" spans="1:9" ht="25.5" x14ac:dyDescent="0.25">
      <c r="B327" s="64" t="s">
        <v>1409</v>
      </c>
      <c r="C327" s="65"/>
      <c r="D327" s="76"/>
      <c r="E327" s="66" t="s">
        <v>1408</v>
      </c>
      <c r="F327" s="66" t="s">
        <v>1679</v>
      </c>
      <c r="G327" s="66" t="s">
        <v>1676</v>
      </c>
      <c r="H327" s="68" t="s">
        <v>1675</v>
      </c>
      <c r="I327" s="2"/>
    </row>
    <row r="328" spans="1:9" x14ac:dyDescent="0.25">
      <c r="A328" s="103">
        <v>19019</v>
      </c>
      <c r="B328" s="51" t="str">
        <f>IF($A328=0,"",VLOOKUP($A328,'BASE EQUIPO'!$A:$D,2))</f>
        <v>TRANSPORTE DE MATERIAL</v>
      </c>
      <c r="C328" s="52"/>
      <c r="D328" s="82"/>
      <c r="E328" s="78" t="str">
        <f>IF($A328=0,"",VLOOKUP($A328,'BASE EQUIPO'!$A:$D,3))</f>
        <v>GLOBAL</v>
      </c>
      <c r="F328" s="55">
        <v>1</v>
      </c>
      <c r="G328" s="83">
        <f>IF($A328=0,"",VLOOKUP($A328,'BASE EQUIPO'!$A:$D,4)*H325)</f>
        <v>26.681699999999999</v>
      </c>
      <c r="H328" s="56">
        <f>IF($A328=0,"",ROUND(F328*G328,2))</f>
        <v>26.68</v>
      </c>
      <c r="I328" s="2"/>
    </row>
    <row r="329" spans="1:9" x14ac:dyDescent="0.25">
      <c r="B329" s="38" t="str">
        <f>IF($A329=0,"",VLOOKUP($A329,'BASE EQUIPO'!$A:$D,2))</f>
        <v/>
      </c>
      <c r="C329" s="2"/>
      <c r="D329" s="84"/>
      <c r="E329" s="78" t="str">
        <f>IF($A329=0,"",VLOOKUP($A329,'BASE EQUIPO'!$A:$D,3))</f>
        <v/>
      </c>
      <c r="F329" s="55"/>
      <c r="G329" s="55" t="str">
        <f>IF($A329=0,"",VLOOKUP($A329,'BASE EQUIPO'!$A:$D,4)*H326)</f>
        <v/>
      </c>
      <c r="H329" s="56" t="str">
        <f>IF($A329=0,"",ROUND(F329*G329,2))</f>
        <v/>
      </c>
      <c r="I329" s="2"/>
    </row>
    <row r="330" spans="1:9" x14ac:dyDescent="0.25">
      <c r="B330" s="57" t="str">
        <f>IF($A330=0,"",VLOOKUP($A330,'BASE EQUIPO'!$A:$D,2))</f>
        <v/>
      </c>
      <c r="C330" s="58"/>
      <c r="D330" s="85"/>
      <c r="E330" s="86" t="str">
        <f>IF($A330=0,"",VLOOKUP($A330,'BASE EQUIPO'!$A:$D,3))</f>
        <v/>
      </c>
      <c r="F330" s="59"/>
      <c r="G330" s="59" t="str">
        <f>IF($A330=0,"",VLOOKUP($A330,'BASE EQUIPO'!$A:$D,4)*H327)</f>
        <v/>
      </c>
      <c r="H330" s="60" t="str">
        <f>IF($A330=0,"",ROUND(F330*G330,2))</f>
        <v/>
      </c>
      <c r="I330" s="2"/>
    </row>
    <row r="331" spans="1:9" ht="15.75" thickBot="1" x14ac:dyDescent="0.3">
      <c r="B331" s="87" t="s">
        <v>1674</v>
      </c>
      <c r="C331" s="88"/>
      <c r="D331" s="89"/>
      <c r="E331" s="89"/>
      <c r="F331" s="89"/>
      <c r="G331" s="89"/>
      <c r="H331" s="90">
        <f>ROUND(SUM(H327:H330),2)</f>
        <v>26.68</v>
      </c>
      <c r="I331" s="2"/>
    </row>
    <row r="332" spans="1:9" ht="15.75" x14ac:dyDescent="0.25">
      <c r="B332" s="2"/>
      <c r="C332" s="2"/>
      <c r="D332" s="91" t="s">
        <v>1673</v>
      </c>
      <c r="E332" s="47"/>
      <c r="F332" s="47"/>
      <c r="G332" s="47"/>
      <c r="H332" s="92">
        <f>ROUND(SUM(H331,H325,H306,H296),2)</f>
        <v>1008.52</v>
      </c>
      <c r="I332" s="2"/>
    </row>
    <row r="333" spans="1:9" ht="15.75" x14ac:dyDescent="0.25">
      <c r="A333" s="103">
        <v>40002</v>
      </c>
      <c r="B333" s="2"/>
      <c r="C333" s="2"/>
      <c r="D333" s="93" t="s">
        <v>1672</v>
      </c>
      <c r="E333" s="65"/>
      <c r="F333" s="65"/>
      <c r="G333" s="94">
        <f>IF($A333=0,"",VLOOKUP($A333,'BASE MATERIAL'!$M:$P,4))</f>
        <v>0</v>
      </c>
      <c r="H333" s="95">
        <f>IF($A333=0,"",ROUND(G333*H332,2))</f>
        <v>0</v>
      </c>
      <c r="I333" s="2"/>
    </row>
    <row r="334" spans="1:9" ht="15.75" x14ac:dyDescent="0.25">
      <c r="A334" s="103">
        <v>40003</v>
      </c>
      <c r="B334" s="2"/>
      <c r="C334" s="2"/>
      <c r="D334" s="93" t="s">
        <v>1671</v>
      </c>
      <c r="E334" s="65"/>
      <c r="F334" s="65"/>
      <c r="G334" s="94">
        <f>IF($A334=0,"",VLOOKUP($A334,'BASE MATERIAL'!$M:$P,4))</f>
        <v>0</v>
      </c>
      <c r="H334" s="95">
        <f>IF($A334=0,"",ROUND(G334*H332,2))</f>
        <v>0</v>
      </c>
      <c r="I334" s="2"/>
    </row>
    <row r="335" spans="1:9" ht="15.75" x14ac:dyDescent="0.25">
      <c r="B335" s="2"/>
      <c r="C335" s="2"/>
      <c r="D335" s="93" t="s">
        <v>1670</v>
      </c>
      <c r="E335" s="65"/>
      <c r="F335" s="65"/>
      <c r="G335" s="65"/>
      <c r="H335" s="96">
        <f>ROUND(SUM(H332:H334),2)</f>
        <v>1008.52</v>
      </c>
      <c r="I335" s="2"/>
    </row>
    <row r="336" spans="1:9" ht="16.5" thickBot="1" x14ac:dyDescent="0.3">
      <c r="B336" s="25"/>
      <c r="C336" s="2"/>
      <c r="D336" s="97" t="s">
        <v>1650</v>
      </c>
      <c r="E336" s="88"/>
      <c r="F336" s="88"/>
      <c r="G336" s="88"/>
      <c r="H336" s="98">
        <f>ROUND(H335,2)</f>
        <v>1008.52</v>
      </c>
      <c r="I336" s="2"/>
    </row>
    <row r="337" spans="1:15" ht="15.75" x14ac:dyDescent="0.25">
      <c r="B337" s="34" t="s">
        <v>1701</v>
      </c>
      <c r="C337" s="2"/>
      <c r="D337" s="3" t="str">
        <f>'1.1'!$D$1</f>
        <v>ESPOL</v>
      </c>
      <c r="E337" s="2"/>
      <c r="F337" s="2"/>
      <c r="H337" s="2" t="s">
        <v>108</v>
      </c>
      <c r="I337" s="2"/>
      <c r="L337" s="40">
        <f>A341</f>
        <v>4</v>
      </c>
      <c r="M337" s="1" t="str">
        <f>C342</f>
        <v>Puertas de aluminio y vidrio 0,80 x 2,00  Codigo P2</v>
      </c>
      <c r="N337" s="2" t="str">
        <f>H341</f>
        <v>U</v>
      </c>
      <c r="O337" s="2">
        <f>H392</f>
        <v>224.8</v>
      </c>
    </row>
    <row r="338" spans="1:15" ht="15.75" x14ac:dyDescent="0.25">
      <c r="B338" s="34" t="s">
        <v>1700</v>
      </c>
      <c r="C338" s="3">
        <f>'1.1'!$C$2</f>
        <v>0</v>
      </c>
      <c r="D338" s="2"/>
      <c r="E338" s="2"/>
      <c r="F338" s="2"/>
      <c r="G338" s="41" t="s">
        <v>1699</v>
      </c>
      <c r="H338" s="42"/>
      <c r="I338" s="2" t="s">
        <v>1698</v>
      </c>
    </row>
    <row r="339" spans="1:15" ht="15.75" x14ac:dyDescent="0.25">
      <c r="B339" s="34"/>
      <c r="C339" s="3">
        <f>'1.1'!$C$3</f>
        <v>0</v>
      </c>
      <c r="D339" s="2"/>
      <c r="E339" s="2"/>
      <c r="F339" s="2"/>
      <c r="G339" s="2"/>
      <c r="H339" s="2"/>
      <c r="I339" s="2"/>
    </row>
    <row r="340" spans="1:15" ht="15.75" x14ac:dyDescent="0.25">
      <c r="B340" s="34" t="s">
        <v>1697</v>
      </c>
      <c r="C340" s="3"/>
      <c r="D340" s="2"/>
      <c r="E340" s="2"/>
      <c r="F340" s="2"/>
      <c r="G340" s="2"/>
      <c r="H340" s="2"/>
      <c r="I340" s="2"/>
    </row>
    <row r="341" spans="1:15" x14ac:dyDescent="0.25">
      <c r="A341" s="104">
        <v>4</v>
      </c>
      <c r="B341" s="2" t="s">
        <v>1586</v>
      </c>
      <c r="C341" s="36" t="s">
        <v>860</v>
      </c>
      <c r="D341" s="2"/>
      <c r="G341" s="2" t="s">
        <v>1696</v>
      </c>
      <c r="H341" s="3" t="s">
        <v>744</v>
      </c>
      <c r="I341" s="2"/>
    </row>
    <row r="342" spans="1:15" x14ac:dyDescent="0.25">
      <c r="B342" s="1" t="s">
        <v>1585</v>
      </c>
      <c r="C342" s="36" t="s">
        <v>208</v>
      </c>
      <c r="D342" s="2"/>
      <c r="E342" s="2"/>
      <c r="F342" s="2"/>
      <c r="G342" s="2"/>
      <c r="H342" s="2"/>
      <c r="I342" s="2"/>
    </row>
    <row r="343" spans="1:15" ht="15.75" thickBot="1" x14ac:dyDescent="0.3">
      <c r="D343" s="2"/>
      <c r="E343" s="2"/>
      <c r="F343" s="2"/>
      <c r="G343" s="2"/>
      <c r="H343" s="2"/>
      <c r="I343" s="2"/>
    </row>
    <row r="344" spans="1:15" ht="15.75" thickBot="1" x14ac:dyDescent="0.3">
      <c r="B344" s="43" t="s">
        <v>1695</v>
      </c>
      <c r="C344" s="44"/>
      <c r="D344" s="44"/>
      <c r="E344" s="44"/>
      <c r="F344" s="44"/>
      <c r="G344" s="44"/>
      <c r="H344" s="45"/>
      <c r="I344" s="2"/>
    </row>
    <row r="345" spans="1:15" ht="25.5" x14ac:dyDescent="0.25">
      <c r="B345" s="46" t="s">
        <v>1409</v>
      </c>
      <c r="C345" s="47"/>
      <c r="D345" s="48" t="s">
        <v>1690</v>
      </c>
      <c r="E345" s="48" t="s">
        <v>1694</v>
      </c>
      <c r="F345" s="48" t="s">
        <v>1693</v>
      </c>
      <c r="G345" s="49" t="s">
        <v>1687</v>
      </c>
      <c r="H345" s="50" t="s">
        <v>1686</v>
      </c>
      <c r="I345" s="2"/>
    </row>
    <row r="346" spans="1:15" x14ac:dyDescent="0.25">
      <c r="A346" s="103">
        <v>19015</v>
      </c>
      <c r="B346" s="51" t="str">
        <f>IF($A346=0,"",VLOOKUP($A346,'BASE EQUIPO'!$A:$D,2))</f>
        <v>HERRAMIENTA MENOR</v>
      </c>
      <c r="C346" s="52"/>
      <c r="D346" s="53">
        <v>1</v>
      </c>
      <c r="E346" s="53">
        <f>IF($A346=0,"",VLOOKUP($A346,'BASE EQUIPO'!$A:$D,4)*H362)</f>
        <v>1.0097999999999998</v>
      </c>
      <c r="F346" s="53">
        <f t="shared" ref="F346:F351" si="30">IF($A346=0,"",ROUND(D346*E346,2))</f>
        <v>1.01</v>
      </c>
      <c r="G346" s="105">
        <v>1</v>
      </c>
      <c r="H346" s="54">
        <f t="shared" ref="H346:H351" si="31">IF($A346=0,"",ROUND(G346*F346,2))</f>
        <v>1.01</v>
      </c>
      <c r="I346" s="2"/>
    </row>
    <row r="347" spans="1:15" x14ac:dyDescent="0.25">
      <c r="B347" s="38" t="str">
        <f>IF($A347=0,"",VLOOKUP($A347,'BASE EQUIPO'!$A:$D,2))</f>
        <v/>
      </c>
      <c r="C347" s="2"/>
      <c r="D347" s="55"/>
      <c r="E347" s="55" t="str">
        <f>IF($A347=0,"",VLOOKUP($A347,'BASE EQUIPO'!$A:$D,4))</f>
        <v/>
      </c>
      <c r="F347" s="55" t="str">
        <f t="shared" si="30"/>
        <v/>
      </c>
      <c r="G347" s="106"/>
      <c r="H347" s="56" t="str">
        <f t="shared" si="31"/>
        <v/>
      </c>
      <c r="I347" s="2"/>
    </row>
    <row r="348" spans="1:15" x14ac:dyDescent="0.25">
      <c r="B348" s="38" t="str">
        <f>IF($A348=0,"",VLOOKUP($A348,'BASE EQUIPO'!$A:$D,2))</f>
        <v/>
      </c>
      <c r="C348" s="2"/>
      <c r="D348" s="55"/>
      <c r="E348" s="55" t="str">
        <f>IF($A348=0,"",VLOOKUP($A348,'BASE EQUIPO'!$A:$D,4))</f>
        <v/>
      </c>
      <c r="F348" s="55" t="str">
        <f t="shared" si="30"/>
        <v/>
      </c>
      <c r="G348" s="106"/>
      <c r="H348" s="56" t="str">
        <f t="shared" si="31"/>
        <v/>
      </c>
      <c r="I348" s="2"/>
    </row>
    <row r="349" spans="1:15" x14ac:dyDescent="0.25">
      <c r="B349" s="38" t="str">
        <f>IF($A349=0,"",VLOOKUP($A349,'BASE EQUIPO'!$A:$D,2))</f>
        <v/>
      </c>
      <c r="C349" s="2"/>
      <c r="D349" s="55"/>
      <c r="E349" s="55" t="str">
        <f>IF($A349=0,"",VLOOKUP($A349,'BASE EQUIPO'!$A:$D,4))</f>
        <v/>
      </c>
      <c r="F349" s="55" t="str">
        <f t="shared" si="30"/>
        <v/>
      </c>
      <c r="G349" s="106"/>
      <c r="H349" s="56" t="str">
        <f t="shared" si="31"/>
        <v/>
      </c>
      <c r="I349" s="2"/>
    </row>
    <row r="350" spans="1:15" x14ac:dyDescent="0.25">
      <c r="B350" s="38" t="str">
        <f>IF($A350=0,"",VLOOKUP($A350,'BASE EQUIPO'!$A:$D,2))</f>
        <v/>
      </c>
      <c r="C350" s="2"/>
      <c r="D350" s="55"/>
      <c r="E350" s="55" t="str">
        <f>IF($A350=0,"",VLOOKUP($A350,'BASE EQUIPO'!$A:$D,4))</f>
        <v/>
      </c>
      <c r="F350" s="55" t="str">
        <f t="shared" si="30"/>
        <v/>
      </c>
      <c r="G350" s="106"/>
      <c r="H350" s="56" t="str">
        <f t="shared" si="31"/>
        <v/>
      </c>
      <c r="I350" s="2"/>
    </row>
    <row r="351" spans="1:15" x14ac:dyDescent="0.25">
      <c r="B351" s="57" t="str">
        <f>IF($A351=0,"",VLOOKUP($A351,'BASE EQUIPO'!$A:$D,2))</f>
        <v/>
      </c>
      <c r="C351" s="58"/>
      <c r="D351" s="59"/>
      <c r="E351" s="59" t="str">
        <f>IF($A351=0,"",VLOOKUP($A351,'BASE EQUIPO'!$A:$D,4))</f>
        <v/>
      </c>
      <c r="F351" s="59" t="str">
        <f t="shared" si="30"/>
        <v/>
      </c>
      <c r="G351" s="107"/>
      <c r="H351" s="60" t="str">
        <f t="shared" si="31"/>
        <v/>
      </c>
      <c r="I351" s="2"/>
    </row>
    <row r="352" spans="1:15" x14ac:dyDescent="0.25">
      <c r="B352" s="57" t="s">
        <v>1692</v>
      </c>
      <c r="C352" s="58"/>
      <c r="D352" s="61"/>
      <c r="E352" s="61"/>
      <c r="F352" s="61"/>
      <c r="G352" s="62"/>
      <c r="H352" s="60">
        <f>ROUND(SUM(H345:H351),2)</f>
        <v>1.01</v>
      </c>
      <c r="I352" s="2"/>
    </row>
    <row r="353" spans="1:16" x14ac:dyDescent="0.25">
      <c r="B353" s="38" t="s">
        <v>1503</v>
      </c>
      <c r="C353" s="2"/>
      <c r="D353" s="3"/>
      <c r="E353" s="3"/>
      <c r="F353" s="3"/>
      <c r="G353" s="63"/>
      <c r="H353" s="56"/>
      <c r="I353" s="2"/>
    </row>
    <row r="354" spans="1:16" ht="25.5" x14ac:dyDescent="0.25">
      <c r="B354" s="64" t="s">
        <v>1691</v>
      </c>
      <c r="C354" s="65"/>
      <c r="D354" s="66" t="s">
        <v>1690</v>
      </c>
      <c r="E354" s="66" t="s">
        <v>1689</v>
      </c>
      <c r="F354" s="66" t="s">
        <v>1688</v>
      </c>
      <c r="G354" s="67" t="s">
        <v>1687</v>
      </c>
      <c r="H354" s="68" t="s">
        <v>1686</v>
      </c>
      <c r="I354" s="2"/>
    </row>
    <row r="355" spans="1:16" x14ac:dyDescent="0.25">
      <c r="B355" s="69" t="str">
        <f>IF($A355=0,"",VLOOKUP($A355,'BASE M-OBRA'!$A:$D,2))</f>
        <v/>
      </c>
      <c r="C355" s="2"/>
      <c r="D355" s="108"/>
      <c r="E355" s="70" t="str">
        <f>IF($A355=0,"",VLOOKUP($A355,'BASE M-OBRA'!$A:$D,4))</f>
        <v/>
      </c>
      <c r="F355" s="55" t="str">
        <f t="shared" ref="F355:F361" si="32">IF($A355=0,"",ROUND(D355*E355,2))</f>
        <v/>
      </c>
      <c r="G355" s="106" t="str">
        <f>IF($A355=0,"",ROUND(H355/F355,2))</f>
        <v/>
      </c>
      <c r="H355" s="56" t="str">
        <f>IF($A355=0,"",ROUND(SUM(H356:H361)*'BASE M-OBRA'!$D$23,2))</f>
        <v/>
      </c>
      <c r="I355" s="2"/>
    </row>
    <row r="356" spans="1:16" x14ac:dyDescent="0.25">
      <c r="A356" s="103">
        <v>20019</v>
      </c>
      <c r="B356" s="69" t="str">
        <f>IF($A356=0,"",VLOOKUP($A356,'BASE M-OBRA'!$A:$D,2))</f>
        <v>INSTALADOR</v>
      </c>
      <c r="C356" s="2"/>
      <c r="D356" s="108">
        <v>1</v>
      </c>
      <c r="E356" s="70">
        <f>IF($A356=0,"",VLOOKUP($A356,'BASE M-OBRA'!$A:$D,4))</f>
        <v>2.82</v>
      </c>
      <c r="F356" s="55">
        <f t="shared" si="32"/>
        <v>2.82</v>
      </c>
      <c r="G356" s="106">
        <v>6</v>
      </c>
      <c r="H356" s="56">
        <f t="shared" ref="H356:H361" si="33">IF($A356=0,"",ROUND(G356*F356,2))</f>
        <v>16.920000000000002</v>
      </c>
      <c r="I356" s="2"/>
    </row>
    <row r="357" spans="1:16" x14ac:dyDescent="0.25">
      <c r="A357" s="103">
        <v>20011</v>
      </c>
      <c r="B357" s="69" t="str">
        <f>IF($A357=0,"",VLOOKUP($A357,'BASE M-OBRA'!$A:$D,2))</f>
        <v>AYUDANTE ESPECIALISTA</v>
      </c>
      <c r="C357" s="2"/>
      <c r="D357" s="108">
        <v>1</v>
      </c>
      <c r="E357" s="70">
        <f>IF($A357=0,"",VLOOKUP($A357,'BASE M-OBRA'!$A:$D,4))</f>
        <v>2.79</v>
      </c>
      <c r="F357" s="55">
        <f t="shared" si="32"/>
        <v>2.79</v>
      </c>
      <c r="G357" s="106">
        <f>+G356</f>
        <v>6</v>
      </c>
      <c r="H357" s="56">
        <f t="shared" si="33"/>
        <v>16.739999999999998</v>
      </c>
      <c r="I357" s="2"/>
    </row>
    <row r="358" spans="1:16" x14ac:dyDescent="0.25">
      <c r="B358" s="71" t="str">
        <f>IF($A358=0,"",VLOOKUP($A358,'BASE M-OBRA'!$A:$D,2))</f>
        <v/>
      </c>
      <c r="C358" s="2"/>
      <c r="D358" s="108"/>
      <c r="E358" s="70" t="str">
        <f>IF($A358=0,"",VLOOKUP($A358,'BASE M-OBRA'!$A:$D,4))</f>
        <v/>
      </c>
      <c r="F358" s="55" t="str">
        <f t="shared" si="32"/>
        <v/>
      </c>
      <c r="G358" s="106"/>
      <c r="H358" s="56" t="str">
        <f t="shared" si="33"/>
        <v/>
      </c>
      <c r="I358" s="2"/>
    </row>
    <row r="359" spans="1:16" x14ac:dyDescent="0.25">
      <c r="B359" s="72" t="str">
        <f>IF($A359=0,"",VLOOKUP($A359,'BASE M-OBRA'!$A:$D,2))</f>
        <v/>
      </c>
      <c r="C359" s="2"/>
      <c r="D359" s="108"/>
      <c r="E359" s="70" t="str">
        <f>IF($A359=0,"",VLOOKUP($A359,'BASE M-OBRA'!$A:$D,4))</f>
        <v/>
      </c>
      <c r="F359" s="55" t="str">
        <f t="shared" si="32"/>
        <v/>
      </c>
      <c r="G359" s="106"/>
      <c r="H359" s="56" t="str">
        <f t="shared" si="33"/>
        <v/>
      </c>
      <c r="I359" s="2"/>
    </row>
    <row r="360" spans="1:16" x14ac:dyDescent="0.25">
      <c r="B360" s="38" t="str">
        <f>IF($A360=0,"",VLOOKUP($A360,'BASE M-OBRA'!$A:$D,2))</f>
        <v/>
      </c>
      <c r="C360" s="2"/>
      <c r="D360" s="55"/>
      <c r="E360" s="55" t="str">
        <f>IF($A360=0,"",VLOOKUP($A360,'BASE M-OBRA'!$A:$D,4))</f>
        <v/>
      </c>
      <c r="F360" s="55" t="str">
        <f t="shared" si="32"/>
        <v/>
      </c>
      <c r="G360" s="106"/>
      <c r="H360" s="56" t="str">
        <f t="shared" si="33"/>
        <v/>
      </c>
      <c r="I360" s="2"/>
    </row>
    <row r="361" spans="1:16" x14ac:dyDescent="0.25">
      <c r="B361" s="57" t="str">
        <f>IF($A361=0,"",VLOOKUP($A361,'BASE M-OBRA'!$A:$D,2))</f>
        <v/>
      </c>
      <c r="C361" s="58"/>
      <c r="D361" s="59"/>
      <c r="E361" s="59" t="str">
        <f>IF($A361=0,"",VLOOKUP($A361,'BASE M-OBRA'!$A:$D,4))</f>
        <v/>
      </c>
      <c r="F361" s="59" t="str">
        <f t="shared" si="32"/>
        <v/>
      </c>
      <c r="G361" s="107"/>
      <c r="H361" s="60" t="str">
        <f t="shared" si="33"/>
        <v/>
      </c>
      <c r="I361" s="2"/>
    </row>
    <row r="362" spans="1:16" x14ac:dyDescent="0.25">
      <c r="B362" s="73" t="s">
        <v>1685</v>
      </c>
      <c r="C362" s="65"/>
      <c r="D362" s="74"/>
      <c r="E362" s="74"/>
      <c r="F362" s="74"/>
      <c r="G362" s="74"/>
      <c r="H362" s="75">
        <f>ROUND(SUM(H354:H361),2)</f>
        <v>33.659999999999997</v>
      </c>
      <c r="I362" s="2"/>
    </row>
    <row r="363" spans="1:16" x14ac:dyDescent="0.25">
      <c r="B363" s="38" t="s">
        <v>1684</v>
      </c>
      <c r="C363" s="2"/>
      <c r="D363" s="3"/>
      <c r="E363" s="3"/>
      <c r="F363" s="3"/>
      <c r="G363" s="3"/>
      <c r="H363" s="56"/>
      <c r="I363" s="2"/>
    </row>
    <row r="364" spans="1:16" ht="25.5" x14ac:dyDescent="0.25">
      <c r="B364" s="64" t="s">
        <v>1409</v>
      </c>
      <c r="C364" s="65"/>
      <c r="D364" s="76"/>
      <c r="E364" s="66" t="s">
        <v>1408</v>
      </c>
      <c r="F364" s="66" t="s">
        <v>1679</v>
      </c>
      <c r="G364" s="66" t="s">
        <v>1683</v>
      </c>
      <c r="H364" s="68" t="s">
        <v>1675</v>
      </c>
      <c r="I364" s="2"/>
    </row>
    <row r="365" spans="1:16" x14ac:dyDescent="0.25">
      <c r="A365" s="103">
        <v>1</v>
      </c>
      <c r="B365" s="99" t="s">
        <v>1725</v>
      </c>
      <c r="C365" s="2"/>
      <c r="D365" s="77"/>
      <c r="E365" s="78" t="s">
        <v>1520</v>
      </c>
      <c r="F365" s="55">
        <f>0.9*2</f>
        <v>1.8</v>
      </c>
      <c r="G365" s="55">
        <v>25</v>
      </c>
      <c r="H365" s="56">
        <f t="shared" ref="H365:H379" si="34">IF($A365=0,"",ROUND(F365*G365,2))</f>
        <v>45</v>
      </c>
      <c r="I365" s="2"/>
      <c r="L365" s="2"/>
      <c r="M365" s="2"/>
      <c r="N365" s="39"/>
      <c r="O365" s="2"/>
      <c r="P365" s="2"/>
    </row>
    <row r="366" spans="1:16" x14ac:dyDescent="0.25">
      <c r="B366" s="38"/>
      <c r="C366" s="2"/>
      <c r="D366" s="77"/>
      <c r="E366" s="78"/>
      <c r="F366" s="55"/>
      <c r="G366" s="55"/>
      <c r="H366" s="56" t="str">
        <f t="shared" si="34"/>
        <v/>
      </c>
      <c r="I366" s="2"/>
      <c r="L366" s="2"/>
      <c r="M366" s="2"/>
      <c r="N366" s="39"/>
      <c r="O366" s="2"/>
      <c r="P366" s="2"/>
    </row>
    <row r="367" spans="1:16" x14ac:dyDescent="0.25">
      <c r="A367" s="103">
        <v>1</v>
      </c>
      <c r="B367" s="38" t="s">
        <v>1719</v>
      </c>
      <c r="C367" s="2"/>
      <c r="D367" s="77"/>
      <c r="E367" s="78" t="s">
        <v>961</v>
      </c>
      <c r="F367" s="55">
        <f>2+2+0.9</f>
        <v>4.9000000000000004</v>
      </c>
      <c r="G367" s="55">
        <f>ROUND(25.73*1.15*1.12/6.4,2)</f>
        <v>5.18</v>
      </c>
      <c r="H367" s="56">
        <f t="shared" si="34"/>
        <v>25.38</v>
      </c>
      <c r="I367" s="2"/>
      <c r="L367" s="2"/>
      <c r="M367" s="2"/>
      <c r="N367" s="39"/>
      <c r="O367" s="2"/>
      <c r="P367" s="2"/>
    </row>
    <row r="368" spans="1:16" x14ac:dyDescent="0.25">
      <c r="A368" s="103">
        <v>1</v>
      </c>
      <c r="B368" s="38" t="s">
        <v>1718</v>
      </c>
      <c r="C368" s="2"/>
      <c r="D368" s="77"/>
      <c r="E368" s="78" t="s">
        <v>961</v>
      </c>
      <c r="F368" s="55">
        <f>(0.7*3+2*2)</f>
        <v>6.1</v>
      </c>
      <c r="G368" s="55">
        <f>ROUND(27.2*1.15*1.12/6.4,2)</f>
        <v>5.47</v>
      </c>
      <c r="H368" s="56">
        <f t="shared" si="34"/>
        <v>33.369999999999997</v>
      </c>
      <c r="I368" s="2"/>
      <c r="L368" s="2"/>
      <c r="M368" s="2"/>
      <c r="N368" s="39"/>
      <c r="O368" s="2"/>
      <c r="P368" s="2"/>
    </row>
    <row r="369" spans="1:16" x14ac:dyDescent="0.25">
      <c r="A369" s="103">
        <v>1</v>
      </c>
      <c r="B369" s="38" t="s">
        <v>1717</v>
      </c>
      <c r="C369" s="2"/>
      <c r="D369" s="77"/>
      <c r="E369" s="78" t="s">
        <v>1506</v>
      </c>
      <c r="F369" s="55">
        <v>1</v>
      </c>
      <c r="G369" s="55">
        <v>40</v>
      </c>
      <c r="H369" s="56">
        <f t="shared" si="34"/>
        <v>40</v>
      </c>
      <c r="I369" s="2"/>
      <c r="L369" s="2"/>
      <c r="M369" s="2"/>
      <c r="N369" s="39"/>
      <c r="O369" s="2"/>
      <c r="P369" s="2"/>
    </row>
    <row r="370" spans="1:16" x14ac:dyDescent="0.25">
      <c r="A370" s="103">
        <v>1</v>
      </c>
      <c r="B370" s="38" t="s">
        <v>1716</v>
      </c>
      <c r="C370" s="2"/>
      <c r="D370" s="77"/>
      <c r="E370" s="78" t="s">
        <v>1506</v>
      </c>
      <c r="F370" s="55">
        <v>1</v>
      </c>
      <c r="G370" s="55">
        <v>16</v>
      </c>
      <c r="H370" s="56">
        <f t="shared" si="34"/>
        <v>16</v>
      </c>
      <c r="I370" s="2"/>
      <c r="J370" s="79"/>
      <c r="L370" s="2"/>
      <c r="M370" s="2"/>
      <c r="N370" s="39"/>
      <c r="O370" s="2"/>
      <c r="P370" s="2"/>
    </row>
    <row r="371" spans="1:16" x14ac:dyDescent="0.25">
      <c r="A371" s="103">
        <v>1</v>
      </c>
      <c r="B371" s="38" t="s">
        <v>1715</v>
      </c>
      <c r="C371" s="2"/>
      <c r="D371" s="77"/>
      <c r="E371" s="78" t="s">
        <v>1506</v>
      </c>
      <c r="F371" s="55">
        <v>3</v>
      </c>
      <c r="G371" s="55">
        <v>1.3</v>
      </c>
      <c r="H371" s="56">
        <f t="shared" si="34"/>
        <v>3.9</v>
      </c>
      <c r="I371" s="2"/>
      <c r="L371" s="2"/>
      <c r="M371" s="2"/>
      <c r="N371" s="39"/>
      <c r="O371" s="2"/>
      <c r="P371" s="2"/>
    </row>
    <row r="372" spans="1:16" x14ac:dyDescent="0.25">
      <c r="A372" s="103">
        <v>1</v>
      </c>
      <c r="B372" s="38" t="s">
        <v>1714</v>
      </c>
      <c r="C372" s="2"/>
      <c r="D372" s="77"/>
      <c r="E372" s="78" t="s">
        <v>961</v>
      </c>
      <c r="F372" s="55">
        <f>+F373</f>
        <v>13.6</v>
      </c>
      <c r="G372" s="55">
        <v>0.3</v>
      </c>
      <c r="H372" s="56">
        <f t="shared" si="34"/>
        <v>4.08</v>
      </c>
      <c r="I372" s="2"/>
      <c r="J372" s="79"/>
      <c r="L372" s="2"/>
      <c r="M372" s="2"/>
      <c r="N372" s="39"/>
      <c r="O372" s="2"/>
      <c r="P372" s="2"/>
    </row>
    <row r="373" spans="1:16" x14ac:dyDescent="0.25">
      <c r="A373" s="103">
        <v>1</v>
      </c>
      <c r="B373" s="38" t="s">
        <v>1713</v>
      </c>
      <c r="C373" s="2"/>
      <c r="D373" s="77"/>
      <c r="E373" s="78" t="s">
        <v>961</v>
      </c>
      <c r="F373" s="55">
        <f>(0.7*4+2*2)*2</f>
        <v>13.6</v>
      </c>
      <c r="G373" s="55">
        <f>ROUND(6.14*1.15*1.12/6.4,2)</f>
        <v>1.24</v>
      </c>
      <c r="H373" s="56">
        <f t="shared" si="34"/>
        <v>16.86</v>
      </c>
      <c r="I373" s="2"/>
    </row>
    <row r="374" spans="1:16" x14ac:dyDescent="0.25">
      <c r="B374" s="38" t="str">
        <f>IF($A374=0,"",VLOOKUP($A374,'BASE MATERIAL'!$A:$D,2))</f>
        <v/>
      </c>
      <c r="C374" s="2"/>
      <c r="D374" s="77"/>
      <c r="E374" s="78" t="str">
        <f>IF($A374=0,"",VLOOKUP($A374,'BASE MATERIAL'!$A:$D,3))</f>
        <v/>
      </c>
      <c r="F374" s="55"/>
      <c r="G374" s="55" t="str">
        <f>IF($A374=0,"",VLOOKUP($A374,'BASE MATERIAL'!$A:$D,4))</f>
        <v/>
      </c>
      <c r="H374" s="56" t="str">
        <f t="shared" si="34"/>
        <v/>
      </c>
      <c r="I374" s="2"/>
      <c r="L374" s="2"/>
      <c r="M374" s="2"/>
      <c r="N374" s="39"/>
      <c r="O374" s="2"/>
      <c r="P374" s="2"/>
    </row>
    <row r="375" spans="1:16" x14ac:dyDescent="0.25">
      <c r="B375" s="38" t="str">
        <f>IF($A375=0,"",VLOOKUP($A375,'BASE MATERIAL'!$A:$D,2))</f>
        <v/>
      </c>
      <c r="C375" s="2"/>
      <c r="D375" s="77"/>
      <c r="E375" s="78" t="str">
        <f>IF($A375=0,"",VLOOKUP($A375,'BASE MATERIAL'!$A:$D,3))</f>
        <v/>
      </c>
      <c r="F375" s="55"/>
      <c r="G375" s="55" t="str">
        <f>IF($A375=0,"",VLOOKUP($A375,'BASE MATERIAL'!$A:$D,4))</f>
        <v/>
      </c>
      <c r="H375" s="56" t="str">
        <f t="shared" si="34"/>
        <v/>
      </c>
      <c r="I375" s="2"/>
      <c r="L375" s="2"/>
      <c r="M375" s="2"/>
      <c r="N375" s="39"/>
      <c r="O375" s="2"/>
      <c r="P375" s="2"/>
    </row>
    <row r="376" spans="1:16" x14ac:dyDescent="0.25">
      <c r="B376" s="38" t="str">
        <f>IF($A376=0,"",VLOOKUP($A376,'BASE MATERIAL'!$A:$D,2))</f>
        <v/>
      </c>
      <c r="C376" s="2"/>
      <c r="D376" s="77"/>
      <c r="E376" s="78" t="str">
        <f>IF($A376=0,"",VLOOKUP($A376,'BASE MATERIAL'!$A:$D,3))</f>
        <v/>
      </c>
      <c r="F376" s="55"/>
      <c r="G376" s="55" t="str">
        <f>IF($A376=0,"",VLOOKUP($A376,'BASE MATERIAL'!$A:$D,4))</f>
        <v/>
      </c>
      <c r="H376" s="56" t="str">
        <f t="shared" si="34"/>
        <v/>
      </c>
      <c r="I376" s="2"/>
    </row>
    <row r="377" spans="1:16" x14ac:dyDescent="0.25">
      <c r="B377" s="38" t="str">
        <f>IF($A377=0,"",VLOOKUP($A377,'BASE MATERIAL'!$A:$D,2))</f>
        <v/>
      </c>
      <c r="C377" s="2"/>
      <c r="D377" s="77"/>
      <c r="E377" s="78" t="str">
        <f>IF($A377=0,"",VLOOKUP($A377,'BASE MATERIAL'!$A:$D,3))</f>
        <v/>
      </c>
      <c r="F377" s="55"/>
      <c r="G377" s="55" t="str">
        <f>IF($A377=0,"",VLOOKUP($A377,'BASE MATERIAL'!$A:$D,4))</f>
        <v/>
      </c>
      <c r="H377" s="56" t="str">
        <f t="shared" si="34"/>
        <v/>
      </c>
      <c r="I377" s="2"/>
    </row>
    <row r="378" spans="1:16" x14ac:dyDescent="0.25">
      <c r="B378" s="38" t="str">
        <f>IF($A378=0,"",VLOOKUP($A378,'BASE MATERIAL'!$A:$D,2))</f>
        <v/>
      </c>
      <c r="C378" s="2"/>
      <c r="D378" s="77"/>
      <c r="E378" s="78" t="str">
        <f>IF($A378=0,"",VLOOKUP($A378,'BASE MATERIAL'!$A:$D,3))</f>
        <v/>
      </c>
      <c r="F378" s="55"/>
      <c r="G378" s="55" t="str">
        <f>IF($A378=0,"",VLOOKUP($A378,'BASE MATERIAL'!$A:$D,4))</f>
        <v/>
      </c>
      <c r="H378" s="56" t="str">
        <f t="shared" si="34"/>
        <v/>
      </c>
      <c r="I378" s="2"/>
    </row>
    <row r="379" spans="1:16" x14ac:dyDescent="0.25">
      <c r="B379" s="38" t="str">
        <f>IF($A379=0,"",VLOOKUP($A379,'BASE MATERIAL'!$A:$D,2))</f>
        <v/>
      </c>
      <c r="C379" s="2"/>
      <c r="D379" s="77"/>
      <c r="E379" s="78" t="str">
        <f>IF($A379=0,"",VLOOKUP($A379,'BASE MATERIAL'!$A:$D,3))</f>
        <v/>
      </c>
      <c r="F379" s="55"/>
      <c r="G379" s="55" t="str">
        <f>IF($A379=0,"",VLOOKUP($A379,'BASE MATERIAL'!$A:$D,4))</f>
        <v/>
      </c>
      <c r="H379" s="56" t="str">
        <f t="shared" si="34"/>
        <v/>
      </c>
      <c r="I379" s="2"/>
    </row>
    <row r="380" spans="1:16" x14ac:dyDescent="0.25">
      <c r="B380" s="38" t="str">
        <f>IF($A380=0,"",VLOOKUP($A380,'BASE MATERIAL'!$A:$D,2))</f>
        <v/>
      </c>
      <c r="C380" s="2"/>
      <c r="D380" s="81" t="s">
        <v>1682</v>
      </c>
      <c r="E380" s="55" t="str">
        <f>IF($A380=0,"",VLOOKUP($A380,'BASE MATERIAL'!$A:$D,3))</f>
        <v/>
      </c>
      <c r="F380" s="55" t="s">
        <v>1682</v>
      </c>
      <c r="G380" s="55" t="str">
        <f>IF($A380=0,"",VLOOKUP($A380,'BASE MATERIAL'!$A:$D,4))</f>
        <v/>
      </c>
      <c r="H380" s="56" t="str">
        <f>IF($A380=0,"",ROUND(E380*F380,2))</f>
        <v/>
      </c>
      <c r="I380" s="2"/>
    </row>
    <row r="381" spans="1:16" x14ac:dyDescent="0.25">
      <c r="B381" s="73" t="s">
        <v>1681</v>
      </c>
      <c r="C381" s="65"/>
      <c r="D381" s="74"/>
      <c r="E381" s="74"/>
      <c r="F381" s="74"/>
      <c r="G381" s="74"/>
      <c r="H381" s="75">
        <f>ROUND(SUM(H364:H380),2)</f>
        <v>184.59</v>
      </c>
      <c r="I381" s="2"/>
    </row>
    <row r="382" spans="1:16" x14ac:dyDescent="0.25">
      <c r="B382" s="38" t="s">
        <v>1680</v>
      </c>
      <c r="C382" s="2"/>
      <c r="D382" s="3"/>
      <c r="E382" s="3"/>
      <c r="F382" s="3"/>
      <c r="G382" s="3"/>
      <c r="H382" s="56"/>
      <c r="I382" s="2"/>
    </row>
    <row r="383" spans="1:16" ht="25.5" x14ac:dyDescent="0.25">
      <c r="B383" s="64" t="s">
        <v>1409</v>
      </c>
      <c r="C383" s="65"/>
      <c r="D383" s="76"/>
      <c r="E383" s="66" t="s">
        <v>1408</v>
      </c>
      <c r="F383" s="66" t="s">
        <v>1679</v>
      </c>
      <c r="G383" s="66" t="s">
        <v>1676</v>
      </c>
      <c r="H383" s="68" t="s">
        <v>1675</v>
      </c>
      <c r="I383" s="2"/>
    </row>
    <row r="384" spans="1:16" x14ac:dyDescent="0.25">
      <c r="A384" s="103">
        <v>19019</v>
      </c>
      <c r="B384" s="51" t="str">
        <f>IF($A384=0,"",VLOOKUP($A384,'BASE EQUIPO'!$A:$D,2))</f>
        <v>TRANSPORTE DE MATERIAL</v>
      </c>
      <c r="C384" s="52"/>
      <c r="D384" s="82"/>
      <c r="E384" s="78" t="str">
        <f>IF($A384=0,"",VLOOKUP($A384,'BASE EQUIPO'!$A:$D,3))</f>
        <v>GLOBAL</v>
      </c>
      <c r="F384" s="55">
        <v>1</v>
      </c>
      <c r="G384" s="83">
        <f>IF($A384=0,"",VLOOKUP($A384,'BASE EQUIPO'!$A:$D,4)*H381)</f>
        <v>5.5377000000000001</v>
      </c>
      <c r="H384" s="56">
        <f>IF($A384=0,"",ROUND(F384*G384,2))</f>
        <v>5.54</v>
      </c>
      <c r="I384" s="2"/>
    </row>
    <row r="385" spans="1:15" x14ac:dyDescent="0.25">
      <c r="B385" s="38" t="str">
        <f>IF($A385=0,"",VLOOKUP($A385,'BASE EQUIPO'!$A:$D,2))</f>
        <v/>
      </c>
      <c r="C385" s="2"/>
      <c r="D385" s="84"/>
      <c r="E385" s="78" t="str">
        <f>IF($A385=0,"",VLOOKUP($A385,'BASE EQUIPO'!$A:$D,3))</f>
        <v/>
      </c>
      <c r="F385" s="55"/>
      <c r="G385" s="55" t="str">
        <f>IF($A385=0,"",VLOOKUP($A385,'BASE EQUIPO'!$A:$D,4)*H382)</f>
        <v/>
      </c>
      <c r="H385" s="56" t="str">
        <f>IF($A385=0,"",ROUND(F385*G385,2))</f>
        <v/>
      </c>
      <c r="I385" s="2"/>
    </row>
    <row r="386" spans="1:15" x14ac:dyDescent="0.25">
      <c r="B386" s="57" t="str">
        <f>IF($A386=0,"",VLOOKUP($A386,'BASE EQUIPO'!$A:$D,2))</f>
        <v/>
      </c>
      <c r="C386" s="58"/>
      <c r="D386" s="85"/>
      <c r="E386" s="86" t="str">
        <f>IF($A386=0,"",VLOOKUP($A386,'BASE EQUIPO'!$A:$D,3))</f>
        <v/>
      </c>
      <c r="F386" s="59"/>
      <c r="G386" s="59" t="str">
        <f>IF($A386=0,"",VLOOKUP($A386,'BASE EQUIPO'!$A:$D,4)*H383)</f>
        <v/>
      </c>
      <c r="H386" s="60" t="str">
        <f>IF($A386=0,"",ROUND(F386*G386,2))</f>
        <v/>
      </c>
      <c r="I386" s="2"/>
    </row>
    <row r="387" spans="1:15" ht="15.75" thickBot="1" x14ac:dyDescent="0.3">
      <c r="B387" s="87" t="s">
        <v>1674</v>
      </c>
      <c r="C387" s="88"/>
      <c r="D387" s="89"/>
      <c r="E387" s="89"/>
      <c r="F387" s="89"/>
      <c r="G387" s="89"/>
      <c r="H387" s="90">
        <f>ROUND(SUM(H383:H386),2)</f>
        <v>5.54</v>
      </c>
      <c r="I387" s="2"/>
    </row>
    <row r="388" spans="1:15" ht="15.75" x14ac:dyDescent="0.25">
      <c r="B388" s="2"/>
      <c r="C388" s="2"/>
      <c r="D388" s="91" t="s">
        <v>1673</v>
      </c>
      <c r="E388" s="47"/>
      <c r="F388" s="47"/>
      <c r="G388" s="47"/>
      <c r="H388" s="92">
        <f>ROUND(SUM(H387,H381,H362,H352),2)</f>
        <v>224.8</v>
      </c>
      <c r="I388" s="2"/>
    </row>
    <row r="389" spans="1:15" ht="15.75" x14ac:dyDescent="0.25">
      <c r="A389" s="103">
        <v>40002</v>
      </c>
      <c r="B389" s="2"/>
      <c r="C389" s="2"/>
      <c r="D389" s="93" t="s">
        <v>1672</v>
      </c>
      <c r="E389" s="65"/>
      <c r="F389" s="65"/>
      <c r="G389" s="94">
        <f>IF($A389=0,"",VLOOKUP($A389,'BASE MATERIAL'!$M:$P,4))</f>
        <v>0</v>
      </c>
      <c r="H389" s="95">
        <f>IF($A389=0,"",ROUND(G389*H388,2))</f>
        <v>0</v>
      </c>
      <c r="I389" s="2"/>
    </row>
    <row r="390" spans="1:15" ht="15.75" x14ac:dyDescent="0.25">
      <c r="A390" s="103">
        <v>40003</v>
      </c>
      <c r="B390" s="2"/>
      <c r="C390" s="2"/>
      <c r="D390" s="93" t="s">
        <v>1671</v>
      </c>
      <c r="E390" s="65"/>
      <c r="F390" s="65"/>
      <c r="G390" s="94">
        <f>IF($A390=0,"",VLOOKUP($A390,'BASE MATERIAL'!$M:$P,4))</f>
        <v>0</v>
      </c>
      <c r="H390" s="95">
        <f>IF($A390=0,"",ROUND(G390*H388,2))</f>
        <v>0</v>
      </c>
      <c r="I390" s="2"/>
    </row>
    <row r="391" spans="1:15" ht="15.75" x14ac:dyDescent="0.25">
      <c r="B391" s="2"/>
      <c r="C391" s="2"/>
      <c r="D391" s="93" t="s">
        <v>1670</v>
      </c>
      <c r="E391" s="65"/>
      <c r="F391" s="65"/>
      <c r="G391" s="65"/>
      <c r="H391" s="96">
        <f>ROUND(SUM(H388:H390),2)</f>
        <v>224.8</v>
      </c>
      <c r="I391" s="2"/>
    </row>
    <row r="392" spans="1:15" ht="16.5" thickBot="1" x14ac:dyDescent="0.3">
      <c r="B392" s="25"/>
      <c r="C392" s="2"/>
      <c r="D392" s="97" t="s">
        <v>1650</v>
      </c>
      <c r="E392" s="88"/>
      <c r="F392" s="88"/>
      <c r="G392" s="88"/>
      <c r="H392" s="98">
        <f>ROUND(H391,2)</f>
        <v>224.8</v>
      </c>
      <c r="I392" s="2"/>
      <c r="J392" s="1">
        <f>+H392/1.6</f>
        <v>140.5</v>
      </c>
    </row>
    <row r="393" spans="1:15" ht="15.75" x14ac:dyDescent="0.25">
      <c r="B393" s="34" t="s">
        <v>1701</v>
      </c>
      <c r="C393" s="2"/>
      <c r="D393" s="3" t="str">
        <f>'1.1'!$D$1</f>
        <v>ESPOL</v>
      </c>
      <c r="E393" s="2"/>
      <c r="F393" s="2"/>
      <c r="H393" s="2" t="s">
        <v>108</v>
      </c>
      <c r="I393" s="2"/>
      <c r="L393" s="40">
        <f>A397</f>
        <v>4</v>
      </c>
      <c r="M393" s="1" t="str">
        <f>C398</f>
        <v>Puertas de aluminio y acrílico opaco 0,65 x 1,80  Codigo P3</v>
      </c>
      <c r="N393" s="2" t="str">
        <f>H397</f>
        <v>U</v>
      </c>
      <c r="O393" s="2">
        <f>H448</f>
        <v>164.97</v>
      </c>
    </row>
    <row r="394" spans="1:15" ht="15.75" x14ac:dyDescent="0.25">
      <c r="B394" s="34" t="s">
        <v>1700</v>
      </c>
      <c r="C394" s="3">
        <f>'1.1'!$C$2</f>
        <v>0</v>
      </c>
      <c r="D394" s="2"/>
      <c r="E394" s="2"/>
      <c r="F394" s="2"/>
      <c r="G394" s="41" t="s">
        <v>1699</v>
      </c>
      <c r="H394" s="42"/>
      <c r="I394" s="2" t="s">
        <v>1698</v>
      </c>
    </row>
    <row r="395" spans="1:15" ht="15.75" x14ac:dyDescent="0.25">
      <c r="B395" s="34"/>
      <c r="C395" s="3">
        <f>'1.1'!$C$3</f>
        <v>0</v>
      </c>
      <c r="D395" s="2"/>
      <c r="E395" s="2"/>
      <c r="F395" s="2"/>
      <c r="G395" s="2"/>
      <c r="H395" s="2"/>
      <c r="I395" s="2"/>
    </row>
    <row r="396" spans="1:15" ht="15.75" x14ac:dyDescent="0.25">
      <c r="B396" s="34" t="s">
        <v>1697</v>
      </c>
      <c r="C396" s="3"/>
      <c r="D396" s="2"/>
      <c r="E396" s="2"/>
      <c r="F396" s="2"/>
      <c r="G396" s="2"/>
      <c r="H396" s="2"/>
      <c r="I396" s="2"/>
    </row>
    <row r="397" spans="1:15" x14ac:dyDescent="0.25">
      <c r="A397" s="104">
        <v>4</v>
      </c>
      <c r="B397" s="2" t="s">
        <v>1586</v>
      </c>
      <c r="C397" s="36" t="s">
        <v>861</v>
      </c>
      <c r="D397" s="2"/>
      <c r="G397" s="2" t="s">
        <v>1696</v>
      </c>
      <c r="H397" s="3" t="s">
        <v>744</v>
      </c>
      <c r="I397" s="2"/>
    </row>
    <row r="398" spans="1:15" x14ac:dyDescent="0.25">
      <c r="B398" s="1" t="s">
        <v>1585</v>
      </c>
      <c r="C398" s="36" t="s">
        <v>209</v>
      </c>
      <c r="D398" s="2"/>
      <c r="E398" s="2"/>
      <c r="F398" s="2"/>
      <c r="G398" s="2"/>
      <c r="H398" s="2"/>
      <c r="I398" s="2"/>
    </row>
    <row r="399" spans="1:15" ht="15.75" thickBot="1" x14ac:dyDescent="0.3">
      <c r="D399" s="2"/>
      <c r="E399" s="2"/>
      <c r="F399" s="2"/>
      <c r="G399" s="2"/>
      <c r="H399" s="2"/>
      <c r="I399" s="2"/>
    </row>
    <row r="400" spans="1:15" ht="15.75" thickBot="1" x14ac:dyDescent="0.3">
      <c r="B400" s="43" t="s">
        <v>1695</v>
      </c>
      <c r="C400" s="44"/>
      <c r="D400" s="44"/>
      <c r="E400" s="44"/>
      <c r="F400" s="44"/>
      <c r="G400" s="44"/>
      <c r="H400" s="45"/>
      <c r="I400" s="2"/>
    </row>
    <row r="401" spans="1:9" ht="25.5" x14ac:dyDescent="0.25">
      <c r="B401" s="46" t="s">
        <v>1409</v>
      </c>
      <c r="C401" s="47"/>
      <c r="D401" s="48" t="s">
        <v>1690</v>
      </c>
      <c r="E401" s="48" t="s">
        <v>1694</v>
      </c>
      <c r="F401" s="48" t="s">
        <v>1693</v>
      </c>
      <c r="G401" s="49" t="s">
        <v>1687</v>
      </c>
      <c r="H401" s="50" t="s">
        <v>1686</v>
      </c>
      <c r="I401" s="2"/>
    </row>
    <row r="402" spans="1:9" x14ac:dyDescent="0.25">
      <c r="A402" s="103">
        <v>19015</v>
      </c>
      <c r="B402" s="51" t="str">
        <f>IF($A402=0,"",VLOOKUP($A402,'BASE EQUIPO'!$A:$D,2))</f>
        <v>HERRAMIENTA MENOR</v>
      </c>
      <c r="C402" s="52"/>
      <c r="D402" s="53">
        <v>1</v>
      </c>
      <c r="E402" s="53">
        <f>IF($A402=0,"",VLOOKUP($A402,'BASE EQUIPO'!$A:$D,4)*H418)</f>
        <v>1.0097999999999998</v>
      </c>
      <c r="F402" s="53">
        <f t="shared" ref="F402:F407" si="35">IF($A402=0,"",ROUND(D402*E402,2))</f>
        <v>1.01</v>
      </c>
      <c r="G402" s="105">
        <v>1</v>
      </c>
      <c r="H402" s="54">
        <f t="shared" ref="H402:H407" si="36">IF($A402=0,"",ROUND(G402*F402,2))</f>
        <v>1.01</v>
      </c>
      <c r="I402" s="2"/>
    </row>
    <row r="403" spans="1:9" x14ac:dyDescent="0.25">
      <c r="B403" s="38" t="str">
        <f>IF($A403=0,"",VLOOKUP($A403,'BASE EQUIPO'!$A:$D,2))</f>
        <v/>
      </c>
      <c r="C403" s="2"/>
      <c r="D403" s="55"/>
      <c r="E403" s="55" t="str">
        <f>IF($A403=0,"",VLOOKUP($A403,'BASE EQUIPO'!$A:$D,4))</f>
        <v/>
      </c>
      <c r="F403" s="55" t="str">
        <f t="shared" si="35"/>
        <v/>
      </c>
      <c r="G403" s="106"/>
      <c r="H403" s="56" t="str">
        <f t="shared" si="36"/>
        <v/>
      </c>
      <c r="I403" s="2"/>
    </row>
    <row r="404" spans="1:9" x14ac:dyDescent="0.25">
      <c r="B404" s="38" t="str">
        <f>IF($A404=0,"",VLOOKUP($A404,'BASE EQUIPO'!$A:$D,2))</f>
        <v/>
      </c>
      <c r="C404" s="2"/>
      <c r="D404" s="55"/>
      <c r="E404" s="55" t="str">
        <f>IF($A404=0,"",VLOOKUP($A404,'BASE EQUIPO'!$A:$D,4))</f>
        <v/>
      </c>
      <c r="F404" s="55" t="str">
        <f t="shared" si="35"/>
        <v/>
      </c>
      <c r="G404" s="106"/>
      <c r="H404" s="56" t="str">
        <f t="shared" si="36"/>
        <v/>
      </c>
      <c r="I404" s="2"/>
    </row>
    <row r="405" spans="1:9" x14ac:dyDescent="0.25">
      <c r="B405" s="38" t="str">
        <f>IF($A405=0,"",VLOOKUP($A405,'BASE EQUIPO'!$A:$D,2))</f>
        <v/>
      </c>
      <c r="C405" s="2"/>
      <c r="D405" s="55"/>
      <c r="E405" s="55" t="str">
        <f>IF($A405=0,"",VLOOKUP($A405,'BASE EQUIPO'!$A:$D,4))</f>
        <v/>
      </c>
      <c r="F405" s="55" t="str">
        <f t="shared" si="35"/>
        <v/>
      </c>
      <c r="G405" s="106"/>
      <c r="H405" s="56" t="str">
        <f t="shared" si="36"/>
        <v/>
      </c>
      <c r="I405" s="2"/>
    </row>
    <row r="406" spans="1:9" x14ac:dyDescent="0.25">
      <c r="B406" s="38" t="str">
        <f>IF($A406=0,"",VLOOKUP($A406,'BASE EQUIPO'!$A:$D,2))</f>
        <v/>
      </c>
      <c r="C406" s="2"/>
      <c r="D406" s="55"/>
      <c r="E406" s="55" t="str">
        <f>IF($A406=0,"",VLOOKUP($A406,'BASE EQUIPO'!$A:$D,4))</f>
        <v/>
      </c>
      <c r="F406" s="55" t="str">
        <f t="shared" si="35"/>
        <v/>
      </c>
      <c r="G406" s="106"/>
      <c r="H406" s="56" t="str">
        <f t="shared" si="36"/>
        <v/>
      </c>
      <c r="I406" s="2"/>
    </row>
    <row r="407" spans="1:9" x14ac:dyDescent="0.25">
      <c r="B407" s="57" t="str">
        <f>IF($A407=0,"",VLOOKUP($A407,'BASE EQUIPO'!$A:$D,2))</f>
        <v/>
      </c>
      <c r="C407" s="58"/>
      <c r="D407" s="59"/>
      <c r="E407" s="59" t="str">
        <f>IF($A407=0,"",VLOOKUP($A407,'BASE EQUIPO'!$A:$D,4))</f>
        <v/>
      </c>
      <c r="F407" s="59" t="str">
        <f t="shared" si="35"/>
        <v/>
      </c>
      <c r="G407" s="107"/>
      <c r="H407" s="60" t="str">
        <f t="shared" si="36"/>
        <v/>
      </c>
      <c r="I407" s="2"/>
    </row>
    <row r="408" spans="1:9" x14ac:dyDescent="0.25">
      <c r="B408" s="57" t="s">
        <v>1692</v>
      </c>
      <c r="C408" s="58"/>
      <c r="D408" s="61"/>
      <c r="E408" s="61"/>
      <c r="F408" s="61"/>
      <c r="G408" s="62"/>
      <c r="H408" s="60">
        <f>ROUND(SUM(H401:H407),2)</f>
        <v>1.01</v>
      </c>
      <c r="I408" s="2"/>
    </row>
    <row r="409" spans="1:9" x14ac:dyDescent="0.25">
      <c r="B409" s="38" t="s">
        <v>1503</v>
      </c>
      <c r="C409" s="2"/>
      <c r="D409" s="3"/>
      <c r="E409" s="3"/>
      <c r="F409" s="3"/>
      <c r="G409" s="63"/>
      <c r="H409" s="56"/>
      <c r="I409" s="2"/>
    </row>
    <row r="410" spans="1:9" ht="25.5" x14ac:dyDescent="0.25">
      <c r="B410" s="64" t="s">
        <v>1691</v>
      </c>
      <c r="C410" s="65"/>
      <c r="D410" s="66" t="s">
        <v>1690</v>
      </c>
      <c r="E410" s="66" t="s">
        <v>1689</v>
      </c>
      <c r="F410" s="66" t="s">
        <v>1688</v>
      </c>
      <c r="G410" s="67" t="s">
        <v>1687</v>
      </c>
      <c r="H410" s="68" t="s">
        <v>1686</v>
      </c>
      <c r="I410" s="2"/>
    </row>
    <row r="411" spans="1:9" x14ac:dyDescent="0.25">
      <c r="B411" s="69" t="str">
        <f>IF($A411=0,"",VLOOKUP($A411,'BASE M-OBRA'!$A:$D,2))</f>
        <v/>
      </c>
      <c r="C411" s="2"/>
      <c r="D411" s="108"/>
      <c r="E411" s="70" t="str">
        <f>IF($A411=0,"",VLOOKUP($A411,'BASE M-OBRA'!$A:$D,4))</f>
        <v/>
      </c>
      <c r="F411" s="55" t="str">
        <f t="shared" ref="F411:F417" si="37">IF($A411=0,"",ROUND(D411*E411,2))</f>
        <v/>
      </c>
      <c r="G411" s="106" t="str">
        <f>IF($A411=0,"",ROUND(H411/F411,2))</f>
        <v/>
      </c>
      <c r="H411" s="56" t="str">
        <f>IF($A411=0,"",ROUND(SUM(H412:H417)*'BASE M-OBRA'!$D$23,2))</f>
        <v/>
      </c>
      <c r="I411" s="2"/>
    </row>
    <row r="412" spans="1:9" x14ac:dyDescent="0.25">
      <c r="A412" s="103">
        <v>20019</v>
      </c>
      <c r="B412" s="69" t="str">
        <f>IF($A412=0,"",VLOOKUP($A412,'BASE M-OBRA'!$A:$D,2))</f>
        <v>INSTALADOR</v>
      </c>
      <c r="C412" s="2"/>
      <c r="D412" s="108">
        <v>1</v>
      </c>
      <c r="E412" s="70">
        <f>IF($A412=0,"",VLOOKUP($A412,'BASE M-OBRA'!$A:$D,4))</f>
        <v>2.82</v>
      </c>
      <c r="F412" s="55">
        <f t="shared" si="37"/>
        <v>2.82</v>
      </c>
      <c r="G412" s="106">
        <v>6</v>
      </c>
      <c r="H412" s="56">
        <f t="shared" ref="H412:H417" si="38">IF($A412=0,"",ROUND(G412*F412,2))</f>
        <v>16.920000000000002</v>
      </c>
      <c r="I412" s="2"/>
    </row>
    <row r="413" spans="1:9" x14ac:dyDescent="0.25">
      <c r="A413" s="103">
        <v>20011</v>
      </c>
      <c r="B413" s="69" t="str">
        <f>IF($A413=0,"",VLOOKUP($A413,'BASE M-OBRA'!$A:$D,2))</f>
        <v>AYUDANTE ESPECIALISTA</v>
      </c>
      <c r="C413" s="2"/>
      <c r="D413" s="108">
        <v>1</v>
      </c>
      <c r="E413" s="70">
        <f>IF($A413=0,"",VLOOKUP($A413,'BASE M-OBRA'!$A:$D,4))</f>
        <v>2.79</v>
      </c>
      <c r="F413" s="55">
        <f t="shared" si="37"/>
        <v>2.79</v>
      </c>
      <c r="G413" s="106">
        <f>+G412</f>
        <v>6</v>
      </c>
      <c r="H413" s="56">
        <f t="shared" si="38"/>
        <v>16.739999999999998</v>
      </c>
      <c r="I413" s="2"/>
    </row>
    <row r="414" spans="1:9" x14ac:dyDescent="0.25">
      <c r="B414" s="71" t="str">
        <f>IF($A414=0,"",VLOOKUP($A414,'BASE M-OBRA'!$A:$D,2))</f>
        <v/>
      </c>
      <c r="C414" s="2"/>
      <c r="D414" s="108"/>
      <c r="E414" s="70" t="str">
        <f>IF($A414=0,"",VLOOKUP($A414,'BASE M-OBRA'!$A:$D,4))</f>
        <v/>
      </c>
      <c r="F414" s="55" t="str">
        <f t="shared" si="37"/>
        <v/>
      </c>
      <c r="G414" s="106"/>
      <c r="H414" s="56" t="str">
        <f t="shared" si="38"/>
        <v/>
      </c>
      <c r="I414" s="2"/>
    </row>
    <row r="415" spans="1:9" x14ac:dyDescent="0.25">
      <c r="B415" s="72" t="str">
        <f>IF($A415=0,"",VLOOKUP($A415,'BASE M-OBRA'!$A:$D,2))</f>
        <v/>
      </c>
      <c r="C415" s="2"/>
      <c r="D415" s="108"/>
      <c r="E415" s="70" t="str">
        <f>IF($A415=0,"",VLOOKUP($A415,'BASE M-OBRA'!$A:$D,4))</f>
        <v/>
      </c>
      <c r="F415" s="55" t="str">
        <f t="shared" si="37"/>
        <v/>
      </c>
      <c r="G415" s="106"/>
      <c r="H415" s="56" t="str">
        <f t="shared" si="38"/>
        <v/>
      </c>
      <c r="I415" s="2"/>
    </row>
    <row r="416" spans="1:9" x14ac:dyDescent="0.25">
      <c r="B416" s="38" t="str">
        <f>IF($A416=0,"",VLOOKUP($A416,'BASE M-OBRA'!$A:$D,2))</f>
        <v/>
      </c>
      <c r="C416" s="2"/>
      <c r="D416" s="55"/>
      <c r="E416" s="55" t="str">
        <f>IF($A416=0,"",VLOOKUP($A416,'BASE M-OBRA'!$A:$D,4))</f>
        <v/>
      </c>
      <c r="F416" s="55" t="str">
        <f t="shared" si="37"/>
        <v/>
      </c>
      <c r="G416" s="106"/>
      <c r="H416" s="56" t="str">
        <f t="shared" si="38"/>
        <v/>
      </c>
      <c r="I416" s="2"/>
    </row>
    <row r="417" spans="1:16" x14ac:dyDescent="0.25">
      <c r="B417" s="57" t="str">
        <f>IF($A417=0,"",VLOOKUP($A417,'BASE M-OBRA'!$A:$D,2))</f>
        <v/>
      </c>
      <c r="C417" s="58"/>
      <c r="D417" s="59"/>
      <c r="E417" s="59" t="str">
        <f>IF($A417=0,"",VLOOKUP($A417,'BASE M-OBRA'!$A:$D,4))</f>
        <v/>
      </c>
      <c r="F417" s="59" t="str">
        <f t="shared" si="37"/>
        <v/>
      </c>
      <c r="G417" s="107"/>
      <c r="H417" s="60" t="str">
        <f t="shared" si="38"/>
        <v/>
      </c>
      <c r="I417" s="2"/>
    </row>
    <row r="418" spans="1:16" x14ac:dyDescent="0.25">
      <c r="B418" s="73" t="s">
        <v>1685</v>
      </c>
      <c r="C418" s="65"/>
      <c r="D418" s="74"/>
      <c r="E418" s="74"/>
      <c r="F418" s="74"/>
      <c r="G418" s="74"/>
      <c r="H418" s="75">
        <f>ROUND(SUM(H410:H417),2)</f>
        <v>33.659999999999997</v>
      </c>
      <c r="I418" s="2"/>
    </row>
    <row r="419" spans="1:16" x14ac:dyDescent="0.25">
      <c r="B419" s="38" t="s">
        <v>1684</v>
      </c>
      <c r="C419" s="2"/>
      <c r="D419" s="3"/>
      <c r="E419" s="3"/>
      <c r="F419" s="3"/>
      <c r="G419" s="3"/>
      <c r="H419" s="56"/>
      <c r="I419" s="2"/>
    </row>
    <row r="420" spans="1:16" ht="25.5" x14ac:dyDescent="0.25">
      <c r="B420" s="64" t="s">
        <v>1409</v>
      </c>
      <c r="C420" s="65"/>
      <c r="D420" s="76"/>
      <c r="E420" s="66" t="s">
        <v>1408</v>
      </c>
      <c r="F420" s="66" t="s">
        <v>1679</v>
      </c>
      <c r="G420" s="66" t="s">
        <v>1683</v>
      </c>
      <c r="H420" s="68" t="s">
        <v>1675</v>
      </c>
      <c r="I420" s="2"/>
    </row>
    <row r="421" spans="1:16" x14ac:dyDescent="0.25">
      <c r="A421" s="103">
        <v>1</v>
      </c>
      <c r="B421" s="99" t="s">
        <v>622</v>
      </c>
      <c r="C421" s="2"/>
      <c r="D421" s="77"/>
      <c r="E421" s="78" t="s">
        <v>1520</v>
      </c>
      <c r="F421" s="55">
        <f>0.65*2</f>
        <v>1.3</v>
      </c>
      <c r="G421" s="55">
        <v>25</v>
      </c>
      <c r="H421" s="56">
        <f t="shared" ref="H421:H435" si="39">IF($A421=0,"",ROUND(F421*G421,2))</f>
        <v>32.5</v>
      </c>
      <c r="I421" s="2"/>
      <c r="L421" s="2"/>
      <c r="M421" s="2"/>
      <c r="N421" s="39"/>
      <c r="O421" s="2"/>
      <c r="P421" s="2"/>
    </row>
    <row r="422" spans="1:16" x14ac:dyDescent="0.25">
      <c r="B422" s="38"/>
      <c r="C422" s="2"/>
      <c r="D422" s="77"/>
      <c r="E422" s="78"/>
      <c r="F422" s="55"/>
      <c r="G422" s="55"/>
      <c r="H422" s="56" t="str">
        <f t="shared" si="39"/>
        <v/>
      </c>
      <c r="I422" s="2"/>
      <c r="L422" s="2"/>
      <c r="M422" s="2"/>
      <c r="N422" s="39"/>
      <c r="O422" s="2"/>
      <c r="P422" s="2"/>
    </row>
    <row r="423" spans="1:16" x14ac:dyDescent="0.25">
      <c r="A423" s="103">
        <v>1</v>
      </c>
      <c r="B423" s="38" t="s">
        <v>1719</v>
      </c>
      <c r="C423" s="2"/>
      <c r="D423" s="77"/>
      <c r="E423" s="78" t="s">
        <v>961</v>
      </c>
      <c r="F423" s="55">
        <f>2+2+0.65</f>
        <v>4.6500000000000004</v>
      </c>
      <c r="G423" s="55">
        <f>ROUND(25.73*1.15*1.12/6.4,2)</f>
        <v>5.18</v>
      </c>
      <c r="H423" s="56">
        <f t="shared" si="39"/>
        <v>24.09</v>
      </c>
      <c r="I423" s="2"/>
      <c r="L423" s="2"/>
      <c r="M423" s="2"/>
      <c r="N423" s="39"/>
      <c r="O423" s="2"/>
      <c r="P423" s="2"/>
    </row>
    <row r="424" spans="1:16" x14ac:dyDescent="0.25">
      <c r="A424" s="103">
        <v>1</v>
      </c>
      <c r="B424" s="38" t="s">
        <v>1718</v>
      </c>
      <c r="C424" s="2"/>
      <c r="D424" s="77"/>
      <c r="E424" s="78" t="s">
        <v>961</v>
      </c>
      <c r="F424" s="55">
        <f>(0.55*3+2*2)</f>
        <v>5.65</v>
      </c>
      <c r="G424" s="55">
        <f>ROUND(27.2*1.15*1.12/6.4,2)</f>
        <v>5.47</v>
      </c>
      <c r="H424" s="56">
        <f t="shared" si="39"/>
        <v>30.91</v>
      </c>
      <c r="I424" s="2"/>
      <c r="L424" s="2"/>
      <c r="M424" s="2"/>
      <c r="N424" s="39"/>
      <c r="O424" s="2"/>
      <c r="P424" s="2"/>
    </row>
    <row r="425" spans="1:16" x14ac:dyDescent="0.25">
      <c r="B425" s="38"/>
      <c r="C425" s="2"/>
      <c r="D425" s="77"/>
      <c r="E425" s="78"/>
      <c r="F425" s="55"/>
      <c r="G425" s="55"/>
      <c r="H425" s="56" t="str">
        <f t="shared" si="39"/>
        <v/>
      </c>
      <c r="I425" s="2"/>
      <c r="L425" s="2"/>
      <c r="M425" s="2"/>
      <c r="N425" s="39"/>
      <c r="O425" s="2"/>
      <c r="P425" s="2"/>
    </row>
    <row r="426" spans="1:16" x14ac:dyDescent="0.25">
      <c r="A426" s="103">
        <v>1</v>
      </c>
      <c r="B426" s="38" t="s">
        <v>1716</v>
      </c>
      <c r="C426" s="2"/>
      <c r="D426" s="77"/>
      <c r="E426" s="78" t="s">
        <v>1506</v>
      </c>
      <c r="F426" s="55">
        <v>1</v>
      </c>
      <c r="G426" s="55">
        <v>16</v>
      </c>
      <c r="H426" s="56">
        <f t="shared" si="39"/>
        <v>16</v>
      </c>
      <c r="I426" s="2"/>
      <c r="J426" s="79"/>
      <c r="L426" s="2"/>
      <c r="M426" s="2"/>
      <c r="N426" s="39"/>
      <c r="O426" s="2"/>
      <c r="P426" s="2"/>
    </row>
    <row r="427" spans="1:16" x14ac:dyDescent="0.25">
      <c r="A427" s="103">
        <v>1</v>
      </c>
      <c r="B427" s="38" t="s">
        <v>1715</v>
      </c>
      <c r="C427" s="2"/>
      <c r="D427" s="77"/>
      <c r="E427" s="78" t="s">
        <v>1506</v>
      </c>
      <c r="F427" s="55">
        <v>3</v>
      </c>
      <c r="G427" s="55">
        <v>1.3</v>
      </c>
      <c r="H427" s="56">
        <f t="shared" si="39"/>
        <v>3.9</v>
      </c>
      <c r="I427" s="2"/>
      <c r="L427" s="2"/>
      <c r="M427" s="2"/>
      <c r="N427" s="39"/>
      <c r="O427" s="2"/>
      <c r="P427" s="2"/>
    </row>
    <row r="428" spans="1:16" x14ac:dyDescent="0.25">
      <c r="A428" s="103">
        <v>1</v>
      </c>
      <c r="B428" s="38" t="s">
        <v>1714</v>
      </c>
      <c r="C428" s="2"/>
      <c r="D428" s="77"/>
      <c r="E428" s="78" t="s">
        <v>961</v>
      </c>
      <c r="F428" s="55">
        <f>+F429</f>
        <v>12.4</v>
      </c>
      <c r="G428" s="55">
        <v>0.3</v>
      </c>
      <c r="H428" s="56">
        <f t="shared" si="39"/>
        <v>3.72</v>
      </c>
      <c r="I428" s="2"/>
      <c r="J428" s="79"/>
      <c r="L428" s="2"/>
      <c r="M428" s="2"/>
      <c r="N428" s="39"/>
      <c r="O428" s="2"/>
      <c r="P428" s="2"/>
    </row>
    <row r="429" spans="1:16" x14ac:dyDescent="0.25">
      <c r="A429" s="103">
        <v>1</v>
      </c>
      <c r="B429" s="38" t="s">
        <v>1713</v>
      </c>
      <c r="C429" s="2"/>
      <c r="D429" s="77"/>
      <c r="E429" s="78" t="s">
        <v>961</v>
      </c>
      <c r="F429" s="55">
        <f>(0.55*4+2*2)*2</f>
        <v>12.4</v>
      </c>
      <c r="G429" s="55">
        <f>ROUND(6.14*1.15*1.12/6.4,2)</f>
        <v>1.24</v>
      </c>
      <c r="H429" s="56">
        <f t="shared" si="39"/>
        <v>15.38</v>
      </c>
      <c r="I429" s="2"/>
    </row>
    <row r="430" spans="1:16" x14ac:dyDescent="0.25">
      <c r="B430" s="38" t="str">
        <f>IF($A430=0,"",VLOOKUP($A430,'BASE MATERIAL'!$A:$D,2))</f>
        <v/>
      </c>
      <c r="C430" s="2"/>
      <c r="D430" s="77"/>
      <c r="E430" s="78" t="str">
        <f>IF($A430=0,"",VLOOKUP($A430,'BASE MATERIAL'!$A:$D,3))</f>
        <v/>
      </c>
      <c r="F430" s="55"/>
      <c r="G430" s="55" t="str">
        <f>IF($A430=0,"",VLOOKUP($A430,'BASE MATERIAL'!$A:$D,4))</f>
        <v/>
      </c>
      <c r="H430" s="56" t="str">
        <f t="shared" si="39"/>
        <v/>
      </c>
      <c r="I430" s="2"/>
      <c r="L430" s="2"/>
      <c r="M430" s="2"/>
      <c r="N430" s="39"/>
      <c r="O430" s="2"/>
      <c r="P430" s="2"/>
    </row>
    <row r="431" spans="1:16" x14ac:dyDescent="0.25">
      <c r="B431" s="38" t="str">
        <f>IF($A431=0,"",VLOOKUP($A431,'BASE MATERIAL'!$A:$D,2))</f>
        <v/>
      </c>
      <c r="C431" s="2"/>
      <c r="D431" s="77"/>
      <c r="E431" s="78" t="str">
        <f>IF($A431=0,"",VLOOKUP($A431,'BASE MATERIAL'!$A:$D,3))</f>
        <v/>
      </c>
      <c r="F431" s="55"/>
      <c r="G431" s="55" t="str">
        <f>IF($A431=0,"",VLOOKUP($A431,'BASE MATERIAL'!$A:$D,4))</f>
        <v/>
      </c>
      <c r="H431" s="56" t="str">
        <f t="shared" si="39"/>
        <v/>
      </c>
      <c r="I431" s="2"/>
      <c r="L431" s="2"/>
      <c r="M431" s="2"/>
      <c r="N431" s="39"/>
      <c r="O431" s="2"/>
      <c r="P431" s="2"/>
    </row>
    <row r="432" spans="1:16" x14ac:dyDescent="0.25">
      <c r="B432" s="38" t="str">
        <f>IF($A432=0,"",VLOOKUP($A432,'BASE MATERIAL'!$A:$D,2))</f>
        <v/>
      </c>
      <c r="C432" s="2"/>
      <c r="D432" s="77"/>
      <c r="E432" s="78" t="str">
        <f>IF($A432=0,"",VLOOKUP($A432,'BASE MATERIAL'!$A:$D,3))</f>
        <v/>
      </c>
      <c r="F432" s="55"/>
      <c r="G432" s="55" t="str">
        <f>IF($A432=0,"",VLOOKUP($A432,'BASE MATERIAL'!$A:$D,4))</f>
        <v/>
      </c>
      <c r="H432" s="56" t="str">
        <f t="shared" si="39"/>
        <v/>
      </c>
      <c r="I432" s="2"/>
    </row>
    <row r="433" spans="1:9" x14ac:dyDescent="0.25">
      <c r="B433" s="38" t="str">
        <f>IF($A433=0,"",VLOOKUP($A433,'BASE MATERIAL'!$A:$D,2))</f>
        <v/>
      </c>
      <c r="C433" s="2"/>
      <c r="D433" s="77"/>
      <c r="E433" s="78" t="str">
        <f>IF($A433=0,"",VLOOKUP($A433,'BASE MATERIAL'!$A:$D,3))</f>
        <v/>
      </c>
      <c r="F433" s="55"/>
      <c r="G433" s="55" t="str">
        <f>IF($A433=0,"",VLOOKUP($A433,'BASE MATERIAL'!$A:$D,4))</f>
        <v/>
      </c>
      <c r="H433" s="56" t="str">
        <f t="shared" si="39"/>
        <v/>
      </c>
      <c r="I433" s="2"/>
    </row>
    <row r="434" spans="1:9" x14ac:dyDescent="0.25">
      <c r="B434" s="38" t="str">
        <f>IF($A434=0,"",VLOOKUP($A434,'BASE MATERIAL'!$A:$D,2))</f>
        <v/>
      </c>
      <c r="C434" s="2"/>
      <c r="D434" s="77"/>
      <c r="E434" s="78" t="str">
        <f>IF($A434=0,"",VLOOKUP($A434,'BASE MATERIAL'!$A:$D,3))</f>
        <v/>
      </c>
      <c r="F434" s="55"/>
      <c r="G434" s="55" t="str">
        <f>IF($A434=0,"",VLOOKUP($A434,'BASE MATERIAL'!$A:$D,4))</f>
        <v/>
      </c>
      <c r="H434" s="56" t="str">
        <f t="shared" si="39"/>
        <v/>
      </c>
      <c r="I434" s="2"/>
    </row>
    <row r="435" spans="1:9" x14ac:dyDescent="0.25">
      <c r="B435" s="38" t="str">
        <f>IF($A435=0,"",VLOOKUP($A435,'BASE MATERIAL'!$A:$D,2))</f>
        <v/>
      </c>
      <c r="C435" s="2"/>
      <c r="D435" s="77"/>
      <c r="E435" s="78" t="str">
        <f>IF($A435=0,"",VLOOKUP($A435,'BASE MATERIAL'!$A:$D,3))</f>
        <v/>
      </c>
      <c r="F435" s="55"/>
      <c r="G435" s="55" t="str">
        <f>IF($A435=0,"",VLOOKUP($A435,'BASE MATERIAL'!$A:$D,4))</f>
        <v/>
      </c>
      <c r="H435" s="56" t="str">
        <f t="shared" si="39"/>
        <v/>
      </c>
      <c r="I435" s="2"/>
    </row>
    <row r="436" spans="1:9" x14ac:dyDescent="0.25">
      <c r="B436" s="38" t="str">
        <f>IF($A436=0,"",VLOOKUP($A436,'BASE MATERIAL'!$A:$D,2))</f>
        <v/>
      </c>
      <c r="C436" s="2"/>
      <c r="D436" s="81" t="s">
        <v>1682</v>
      </c>
      <c r="E436" s="55" t="str">
        <f>IF($A436=0,"",VLOOKUP($A436,'BASE MATERIAL'!$A:$D,3))</f>
        <v/>
      </c>
      <c r="F436" s="55" t="s">
        <v>1682</v>
      </c>
      <c r="G436" s="55" t="str">
        <f>IF($A436=0,"",VLOOKUP($A436,'BASE MATERIAL'!$A:$D,4))</f>
        <v/>
      </c>
      <c r="H436" s="56" t="str">
        <f>IF($A436=0,"",ROUND(E436*F436,2))</f>
        <v/>
      </c>
      <c r="I436" s="2"/>
    </row>
    <row r="437" spans="1:9" x14ac:dyDescent="0.25">
      <c r="B437" s="73" t="s">
        <v>1681</v>
      </c>
      <c r="C437" s="65"/>
      <c r="D437" s="74"/>
      <c r="E437" s="74"/>
      <c r="F437" s="74"/>
      <c r="G437" s="74"/>
      <c r="H437" s="75">
        <f>ROUND(SUM(H420:H436),2)</f>
        <v>126.5</v>
      </c>
      <c r="I437" s="2"/>
    </row>
    <row r="438" spans="1:9" x14ac:dyDescent="0.25">
      <c r="B438" s="38" t="s">
        <v>1680</v>
      </c>
      <c r="C438" s="2"/>
      <c r="D438" s="3"/>
      <c r="E438" s="3"/>
      <c r="F438" s="3"/>
      <c r="G438" s="3"/>
      <c r="H438" s="56"/>
      <c r="I438" s="2"/>
    </row>
    <row r="439" spans="1:9" ht="25.5" x14ac:dyDescent="0.25">
      <c r="B439" s="64" t="s">
        <v>1409</v>
      </c>
      <c r="C439" s="65"/>
      <c r="D439" s="76"/>
      <c r="E439" s="66" t="s">
        <v>1408</v>
      </c>
      <c r="F439" s="66" t="s">
        <v>1679</v>
      </c>
      <c r="G439" s="66" t="s">
        <v>1676</v>
      </c>
      <c r="H439" s="68" t="s">
        <v>1675</v>
      </c>
      <c r="I439" s="2"/>
    </row>
    <row r="440" spans="1:9" x14ac:dyDescent="0.25">
      <c r="A440" s="103">
        <v>19019</v>
      </c>
      <c r="B440" s="51" t="str">
        <f>IF($A440=0,"",VLOOKUP($A440,'BASE EQUIPO'!$A:$D,2))</f>
        <v>TRANSPORTE DE MATERIAL</v>
      </c>
      <c r="C440" s="52"/>
      <c r="D440" s="82"/>
      <c r="E440" s="78" t="str">
        <f>IF($A440=0,"",VLOOKUP($A440,'BASE EQUIPO'!$A:$D,3))</f>
        <v>GLOBAL</v>
      </c>
      <c r="F440" s="55">
        <v>1</v>
      </c>
      <c r="G440" s="83">
        <f>IF($A440=0,"",VLOOKUP($A440,'BASE EQUIPO'!$A:$D,4)*H437)</f>
        <v>3.7949999999999999</v>
      </c>
      <c r="H440" s="56">
        <f>IF($A440=0,"",ROUND(F440*G440,2))</f>
        <v>3.8</v>
      </c>
      <c r="I440" s="2"/>
    </row>
    <row r="441" spans="1:9" x14ac:dyDescent="0.25">
      <c r="B441" s="38" t="str">
        <f>IF($A441=0,"",VLOOKUP($A441,'BASE EQUIPO'!$A:$D,2))</f>
        <v/>
      </c>
      <c r="C441" s="2"/>
      <c r="D441" s="84"/>
      <c r="E441" s="78" t="str">
        <f>IF($A441=0,"",VLOOKUP($A441,'BASE EQUIPO'!$A:$D,3))</f>
        <v/>
      </c>
      <c r="F441" s="55"/>
      <c r="G441" s="55" t="str">
        <f>IF($A441=0,"",VLOOKUP($A441,'BASE EQUIPO'!$A:$D,4)*H438)</f>
        <v/>
      </c>
      <c r="H441" s="56" t="str">
        <f>IF($A441=0,"",ROUND(F441*G441,2))</f>
        <v/>
      </c>
      <c r="I441" s="2"/>
    </row>
    <row r="442" spans="1:9" x14ac:dyDescent="0.25">
      <c r="B442" s="57" t="str">
        <f>IF($A442=0,"",VLOOKUP($A442,'BASE EQUIPO'!$A:$D,2))</f>
        <v/>
      </c>
      <c r="C442" s="58"/>
      <c r="D442" s="85"/>
      <c r="E442" s="86" t="str">
        <f>IF($A442=0,"",VLOOKUP($A442,'BASE EQUIPO'!$A:$D,3))</f>
        <v/>
      </c>
      <c r="F442" s="59"/>
      <c r="G442" s="59" t="str">
        <f>IF($A442=0,"",VLOOKUP($A442,'BASE EQUIPO'!$A:$D,4)*H439)</f>
        <v/>
      </c>
      <c r="H442" s="60" t="str">
        <f>IF($A442=0,"",ROUND(F442*G442,2))</f>
        <v/>
      </c>
      <c r="I442" s="2"/>
    </row>
    <row r="443" spans="1:9" ht="15.75" thickBot="1" x14ac:dyDescent="0.3">
      <c r="B443" s="87" t="s">
        <v>1674</v>
      </c>
      <c r="C443" s="88"/>
      <c r="D443" s="89"/>
      <c r="E443" s="89"/>
      <c r="F443" s="89"/>
      <c r="G443" s="89"/>
      <c r="H443" s="90">
        <f>ROUND(SUM(H439:H442),2)</f>
        <v>3.8</v>
      </c>
      <c r="I443" s="2"/>
    </row>
    <row r="444" spans="1:9" ht="15.75" x14ac:dyDescent="0.25">
      <c r="B444" s="2"/>
      <c r="C444" s="2"/>
      <c r="D444" s="91" t="s">
        <v>1673</v>
      </c>
      <c r="E444" s="47"/>
      <c r="F444" s="47"/>
      <c r="G444" s="47"/>
      <c r="H444" s="92">
        <f>ROUND(SUM(H443,H437,H418,H408),2)</f>
        <v>164.97</v>
      </c>
      <c r="I444" s="2"/>
    </row>
    <row r="445" spans="1:9" ht="15.75" x14ac:dyDescent="0.25">
      <c r="A445" s="103">
        <v>40002</v>
      </c>
      <c r="B445" s="2"/>
      <c r="C445" s="2"/>
      <c r="D445" s="93" t="s">
        <v>1672</v>
      </c>
      <c r="E445" s="65"/>
      <c r="F445" s="65"/>
      <c r="G445" s="94">
        <f>IF($A445=0,"",VLOOKUP($A445,'BASE MATERIAL'!$M:$P,4))</f>
        <v>0</v>
      </c>
      <c r="H445" s="95">
        <f>IF($A445=0,"",ROUND(G445*H444,2))</f>
        <v>0</v>
      </c>
      <c r="I445" s="2"/>
    </row>
    <row r="446" spans="1:9" ht="15.75" x14ac:dyDescent="0.25">
      <c r="A446" s="103">
        <v>40003</v>
      </c>
      <c r="B446" s="2"/>
      <c r="C446" s="2"/>
      <c r="D446" s="93" t="s">
        <v>1671</v>
      </c>
      <c r="E446" s="65"/>
      <c r="F446" s="65"/>
      <c r="G446" s="94">
        <f>IF($A446=0,"",VLOOKUP($A446,'BASE MATERIAL'!$M:$P,4))</f>
        <v>0</v>
      </c>
      <c r="H446" s="95">
        <f>IF($A446=0,"",ROUND(G446*H444,2))</f>
        <v>0</v>
      </c>
      <c r="I446" s="2"/>
    </row>
    <row r="447" spans="1:9" ht="15.75" x14ac:dyDescent="0.25">
      <c r="B447" s="2"/>
      <c r="C447" s="2"/>
      <c r="D447" s="93" t="s">
        <v>1670</v>
      </c>
      <c r="E447" s="65"/>
      <c r="F447" s="65"/>
      <c r="G447" s="65"/>
      <c r="H447" s="96">
        <f>ROUND(SUM(H444:H446),2)</f>
        <v>164.97</v>
      </c>
      <c r="I447" s="2"/>
    </row>
    <row r="448" spans="1:9" ht="16.5" thickBot="1" x14ac:dyDescent="0.3">
      <c r="B448" s="25"/>
      <c r="C448" s="2"/>
      <c r="D448" s="97" t="s">
        <v>1650</v>
      </c>
      <c r="E448" s="88"/>
      <c r="F448" s="88"/>
      <c r="G448" s="88"/>
      <c r="H448" s="98">
        <f>ROUND(H447,2)</f>
        <v>164.97</v>
      </c>
      <c r="I448" s="2"/>
    </row>
    <row r="449" spans="1:15" ht="15.75" x14ac:dyDescent="0.25">
      <c r="B449" s="34" t="s">
        <v>1701</v>
      </c>
      <c r="C449" s="2"/>
      <c r="D449" s="3" t="str">
        <f>'1.1'!$D$1</f>
        <v>ESPOL</v>
      </c>
      <c r="E449" s="2"/>
      <c r="F449" s="2"/>
      <c r="H449" s="2" t="s">
        <v>108</v>
      </c>
      <c r="I449" s="2"/>
      <c r="L449" s="40">
        <f>A453</f>
        <v>4</v>
      </c>
      <c r="M449" s="1" t="str">
        <f>C454</f>
        <v>Puertas de aluminio y acrílico opaco 1,00 x 1,80  Codigo P4</v>
      </c>
      <c r="N449" s="2" t="str">
        <f>H453</f>
        <v>U</v>
      </c>
      <c r="O449" s="2">
        <f>H504</f>
        <v>177.42</v>
      </c>
    </row>
    <row r="450" spans="1:15" ht="15.75" x14ac:dyDescent="0.25">
      <c r="B450" s="34" t="s">
        <v>1700</v>
      </c>
      <c r="C450" s="3">
        <f>'1.1'!$C$2</f>
        <v>0</v>
      </c>
      <c r="D450" s="2"/>
      <c r="E450" s="2"/>
      <c r="F450" s="2"/>
      <c r="G450" s="41" t="s">
        <v>1699</v>
      </c>
      <c r="H450" s="42"/>
      <c r="I450" s="2" t="s">
        <v>1698</v>
      </c>
    </row>
    <row r="451" spans="1:15" ht="15.75" x14ac:dyDescent="0.25">
      <c r="B451" s="34"/>
      <c r="C451" s="3">
        <f>'1.1'!$C$3</f>
        <v>0</v>
      </c>
      <c r="D451" s="2"/>
      <c r="E451" s="2"/>
      <c r="F451" s="2"/>
      <c r="G451" s="2"/>
      <c r="H451" s="2"/>
      <c r="I451" s="2"/>
    </row>
    <row r="452" spans="1:15" ht="15.75" x14ac:dyDescent="0.25">
      <c r="B452" s="34" t="s">
        <v>1697</v>
      </c>
      <c r="C452" s="3"/>
      <c r="D452" s="2"/>
      <c r="E452" s="2"/>
      <c r="F452" s="2"/>
      <c r="G452" s="2"/>
      <c r="H452" s="2"/>
      <c r="I452" s="2"/>
    </row>
    <row r="453" spans="1:15" x14ac:dyDescent="0.25">
      <c r="A453" s="104">
        <v>4</v>
      </c>
      <c r="B453" s="2" t="s">
        <v>1586</v>
      </c>
      <c r="C453" s="36" t="s">
        <v>862</v>
      </c>
      <c r="D453" s="2"/>
      <c r="G453" s="2" t="s">
        <v>1696</v>
      </c>
      <c r="H453" s="3" t="s">
        <v>744</v>
      </c>
      <c r="I453" s="2"/>
    </row>
    <row r="454" spans="1:15" x14ac:dyDescent="0.25">
      <c r="B454" s="1" t="s">
        <v>1585</v>
      </c>
      <c r="C454" s="36" t="s">
        <v>621</v>
      </c>
      <c r="D454" s="2"/>
      <c r="E454" s="2"/>
      <c r="F454" s="2"/>
      <c r="G454" s="2"/>
      <c r="H454" s="2"/>
      <c r="I454" s="2"/>
    </row>
    <row r="455" spans="1:15" ht="15.75" thickBot="1" x14ac:dyDescent="0.3">
      <c r="D455" s="2"/>
      <c r="E455" s="2"/>
      <c r="F455" s="2"/>
      <c r="G455" s="2"/>
      <c r="H455" s="2"/>
      <c r="I455" s="2"/>
    </row>
    <row r="456" spans="1:15" ht="15.75" thickBot="1" x14ac:dyDescent="0.3">
      <c r="B456" s="43" t="s">
        <v>1695</v>
      </c>
      <c r="C456" s="44"/>
      <c r="D456" s="44"/>
      <c r="E456" s="44"/>
      <c r="F456" s="44"/>
      <c r="G456" s="44"/>
      <c r="H456" s="45"/>
      <c r="I456" s="2"/>
    </row>
    <row r="457" spans="1:15" ht="25.5" x14ac:dyDescent="0.25">
      <c r="B457" s="46" t="s">
        <v>1409</v>
      </c>
      <c r="C457" s="47"/>
      <c r="D457" s="48" t="s">
        <v>1690</v>
      </c>
      <c r="E457" s="48" t="s">
        <v>1694</v>
      </c>
      <c r="F457" s="48" t="s">
        <v>1693</v>
      </c>
      <c r="G457" s="49" t="s">
        <v>1687</v>
      </c>
      <c r="H457" s="50" t="s">
        <v>1686</v>
      </c>
      <c r="I457" s="2"/>
    </row>
    <row r="458" spans="1:15" x14ac:dyDescent="0.25">
      <c r="A458" s="103">
        <v>19015</v>
      </c>
      <c r="B458" s="51" t="str">
        <f>IF($A458=0,"",VLOOKUP($A458,'BASE EQUIPO'!$A:$D,2))</f>
        <v>HERRAMIENTA MENOR</v>
      </c>
      <c r="C458" s="52"/>
      <c r="D458" s="53">
        <v>1</v>
      </c>
      <c r="E458" s="53">
        <f>IF($A458=0,"",VLOOKUP($A458,'BASE EQUIPO'!$A:$D,4)*H474)</f>
        <v>1.0097999999999998</v>
      </c>
      <c r="F458" s="53">
        <f t="shared" ref="F458:F463" si="40">IF($A458=0,"",ROUND(D458*E458,2))</f>
        <v>1.01</v>
      </c>
      <c r="G458" s="105">
        <v>1</v>
      </c>
      <c r="H458" s="54">
        <f t="shared" ref="H458:H463" si="41">IF($A458=0,"",ROUND(G458*F458,2))</f>
        <v>1.01</v>
      </c>
      <c r="I458" s="2"/>
    </row>
    <row r="459" spans="1:15" x14ac:dyDescent="0.25">
      <c r="B459" s="38" t="str">
        <f>IF($A459=0,"",VLOOKUP($A459,'BASE EQUIPO'!$A:$D,2))</f>
        <v/>
      </c>
      <c r="C459" s="2"/>
      <c r="D459" s="55"/>
      <c r="E459" s="55" t="str">
        <f>IF($A459=0,"",VLOOKUP($A459,'BASE EQUIPO'!$A:$D,4))</f>
        <v/>
      </c>
      <c r="F459" s="55" t="str">
        <f t="shared" si="40"/>
        <v/>
      </c>
      <c r="G459" s="106"/>
      <c r="H459" s="56" t="str">
        <f t="shared" si="41"/>
        <v/>
      </c>
      <c r="I459" s="2"/>
    </row>
    <row r="460" spans="1:15" x14ac:dyDescent="0.25">
      <c r="B460" s="38" t="str">
        <f>IF($A460=0,"",VLOOKUP($A460,'BASE EQUIPO'!$A:$D,2))</f>
        <v/>
      </c>
      <c r="C460" s="2"/>
      <c r="D460" s="55"/>
      <c r="E460" s="55" t="str">
        <f>IF($A460=0,"",VLOOKUP($A460,'BASE EQUIPO'!$A:$D,4))</f>
        <v/>
      </c>
      <c r="F460" s="55" t="str">
        <f t="shared" si="40"/>
        <v/>
      </c>
      <c r="G460" s="106"/>
      <c r="H460" s="56" t="str">
        <f t="shared" si="41"/>
        <v/>
      </c>
      <c r="I460" s="2"/>
    </row>
    <row r="461" spans="1:15" x14ac:dyDescent="0.25">
      <c r="B461" s="38" t="str">
        <f>IF($A461=0,"",VLOOKUP($A461,'BASE EQUIPO'!$A:$D,2))</f>
        <v/>
      </c>
      <c r="C461" s="2"/>
      <c r="D461" s="55"/>
      <c r="E461" s="55" t="str">
        <f>IF($A461=0,"",VLOOKUP($A461,'BASE EQUIPO'!$A:$D,4))</f>
        <v/>
      </c>
      <c r="F461" s="55" t="str">
        <f t="shared" si="40"/>
        <v/>
      </c>
      <c r="G461" s="106"/>
      <c r="H461" s="56" t="str">
        <f t="shared" si="41"/>
        <v/>
      </c>
      <c r="I461" s="2"/>
    </row>
    <row r="462" spans="1:15" x14ac:dyDescent="0.25">
      <c r="B462" s="38" t="str">
        <f>IF($A462=0,"",VLOOKUP($A462,'BASE EQUIPO'!$A:$D,2))</f>
        <v/>
      </c>
      <c r="C462" s="2"/>
      <c r="D462" s="55"/>
      <c r="E462" s="55" t="str">
        <f>IF($A462=0,"",VLOOKUP($A462,'BASE EQUIPO'!$A:$D,4))</f>
        <v/>
      </c>
      <c r="F462" s="55" t="str">
        <f t="shared" si="40"/>
        <v/>
      </c>
      <c r="G462" s="106"/>
      <c r="H462" s="56" t="str">
        <f t="shared" si="41"/>
        <v/>
      </c>
      <c r="I462" s="2"/>
    </row>
    <row r="463" spans="1:15" x14ac:dyDescent="0.25">
      <c r="B463" s="57" t="str">
        <f>IF($A463=0,"",VLOOKUP($A463,'BASE EQUIPO'!$A:$D,2))</f>
        <v/>
      </c>
      <c r="C463" s="58"/>
      <c r="D463" s="59"/>
      <c r="E463" s="59" t="str">
        <f>IF($A463=0,"",VLOOKUP($A463,'BASE EQUIPO'!$A:$D,4))</f>
        <v/>
      </c>
      <c r="F463" s="59" t="str">
        <f t="shared" si="40"/>
        <v/>
      </c>
      <c r="G463" s="107"/>
      <c r="H463" s="60" t="str">
        <f t="shared" si="41"/>
        <v/>
      </c>
      <c r="I463" s="2"/>
    </row>
    <row r="464" spans="1:15" x14ac:dyDescent="0.25">
      <c r="B464" s="57" t="s">
        <v>1692</v>
      </c>
      <c r="C464" s="58"/>
      <c r="D464" s="61"/>
      <c r="E464" s="61"/>
      <c r="F464" s="61"/>
      <c r="G464" s="62"/>
      <c r="H464" s="60">
        <f>ROUND(SUM(H457:H463),2)</f>
        <v>1.01</v>
      </c>
      <c r="I464" s="2"/>
    </row>
    <row r="465" spans="1:16" x14ac:dyDescent="0.25">
      <c r="B465" s="38" t="s">
        <v>1503</v>
      </c>
      <c r="C465" s="2"/>
      <c r="D465" s="3"/>
      <c r="E465" s="3"/>
      <c r="F465" s="3"/>
      <c r="G465" s="63"/>
      <c r="H465" s="56"/>
      <c r="I465" s="2"/>
    </row>
    <row r="466" spans="1:16" ht="25.5" x14ac:dyDescent="0.25">
      <c r="B466" s="64" t="s">
        <v>1691</v>
      </c>
      <c r="C466" s="65"/>
      <c r="D466" s="66" t="s">
        <v>1690</v>
      </c>
      <c r="E466" s="66" t="s">
        <v>1689</v>
      </c>
      <c r="F466" s="66" t="s">
        <v>1688</v>
      </c>
      <c r="G466" s="67" t="s">
        <v>1687</v>
      </c>
      <c r="H466" s="68" t="s">
        <v>1686</v>
      </c>
      <c r="I466" s="2"/>
    </row>
    <row r="467" spans="1:16" x14ac:dyDescent="0.25">
      <c r="B467" s="69" t="str">
        <f>IF($A467=0,"",VLOOKUP($A467,'BASE M-OBRA'!$A:$D,2))</f>
        <v/>
      </c>
      <c r="C467" s="2"/>
      <c r="D467" s="108"/>
      <c r="E467" s="70" t="str">
        <f>IF($A467=0,"",VLOOKUP($A467,'BASE M-OBRA'!$A:$D,4))</f>
        <v/>
      </c>
      <c r="F467" s="55" t="str">
        <f t="shared" ref="F467:F473" si="42">IF($A467=0,"",ROUND(D467*E467,2))</f>
        <v/>
      </c>
      <c r="G467" s="106" t="str">
        <f>IF($A467=0,"",ROUND(H467/F467,2))</f>
        <v/>
      </c>
      <c r="H467" s="56" t="str">
        <f>IF($A467=0,"",ROUND(SUM(H468:H473)*'BASE M-OBRA'!$D$23,2))</f>
        <v/>
      </c>
      <c r="I467" s="2"/>
    </row>
    <row r="468" spans="1:16" x14ac:dyDescent="0.25">
      <c r="A468" s="103">
        <v>20019</v>
      </c>
      <c r="B468" s="69" t="str">
        <f>IF($A468=0,"",VLOOKUP($A468,'BASE M-OBRA'!$A:$D,2))</f>
        <v>INSTALADOR</v>
      </c>
      <c r="C468" s="2"/>
      <c r="D468" s="108">
        <v>1</v>
      </c>
      <c r="E468" s="70">
        <f>IF($A468=0,"",VLOOKUP($A468,'BASE M-OBRA'!$A:$D,4))</f>
        <v>2.82</v>
      </c>
      <c r="F468" s="55">
        <f t="shared" si="42"/>
        <v>2.82</v>
      </c>
      <c r="G468" s="106">
        <v>6</v>
      </c>
      <c r="H468" s="56">
        <f t="shared" ref="H468:H473" si="43">IF($A468=0,"",ROUND(G468*F468,2))</f>
        <v>16.920000000000002</v>
      </c>
      <c r="I468" s="2"/>
    </row>
    <row r="469" spans="1:16" x14ac:dyDescent="0.25">
      <c r="A469" s="103">
        <v>20011</v>
      </c>
      <c r="B469" s="69" t="str">
        <f>IF($A469=0,"",VLOOKUP($A469,'BASE M-OBRA'!$A:$D,2))</f>
        <v>AYUDANTE ESPECIALISTA</v>
      </c>
      <c r="C469" s="2"/>
      <c r="D469" s="108">
        <v>1</v>
      </c>
      <c r="E469" s="70">
        <f>IF($A469=0,"",VLOOKUP($A469,'BASE M-OBRA'!$A:$D,4))</f>
        <v>2.79</v>
      </c>
      <c r="F469" s="55">
        <f t="shared" si="42"/>
        <v>2.79</v>
      </c>
      <c r="G469" s="106">
        <f>+G468</f>
        <v>6</v>
      </c>
      <c r="H469" s="56">
        <f t="shared" si="43"/>
        <v>16.739999999999998</v>
      </c>
      <c r="I469" s="2"/>
    </row>
    <row r="470" spans="1:16" x14ac:dyDescent="0.25">
      <c r="B470" s="71" t="str">
        <f>IF($A470=0,"",VLOOKUP($A470,'BASE M-OBRA'!$A:$D,2))</f>
        <v/>
      </c>
      <c r="C470" s="2"/>
      <c r="D470" s="108"/>
      <c r="E470" s="70" t="str">
        <f>IF($A470=0,"",VLOOKUP($A470,'BASE M-OBRA'!$A:$D,4))</f>
        <v/>
      </c>
      <c r="F470" s="55" t="str">
        <f t="shared" si="42"/>
        <v/>
      </c>
      <c r="G470" s="106"/>
      <c r="H470" s="56" t="str">
        <f t="shared" si="43"/>
        <v/>
      </c>
      <c r="I470" s="2"/>
    </row>
    <row r="471" spans="1:16" x14ac:dyDescent="0.25">
      <c r="B471" s="72" t="str">
        <f>IF($A471=0,"",VLOOKUP($A471,'BASE M-OBRA'!$A:$D,2))</f>
        <v/>
      </c>
      <c r="C471" s="2"/>
      <c r="D471" s="108"/>
      <c r="E471" s="70" t="str">
        <f>IF($A471=0,"",VLOOKUP($A471,'BASE M-OBRA'!$A:$D,4))</f>
        <v/>
      </c>
      <c r="F471" s="55" t="str">
        <f t="shared" si="42"/>
        <v/>
      </c>
      <c r="G471" s="106"/>
      <c r="H471" s="56" t="str">
        <f t="shared" si="43"/>
        <v/>
      </c>
      <c r="I471" s="2"/>
    </row>
    <row r="472" spans="1:16" x14ac:dyDescent="0.25">
      <c r="B472" s="38" t="str">
        <f>IF($A472=0,"",VLOOKUP($A472,'BASE M-OBRA'!$A:$D,2))</f>
        <v/>
      </c>
      <c r="C472" s="2"/>
      <c r="D472" s="55"/>
      <c r="E472" s="55" t="str">
        <f>IF($A472=0,"",VLOOKUP($A472,'BASE M-OBRA'!$A:$D,4))</f>
        <v/>
      </c>
      <c r="F472" s="55" t="str">
        <f t="shared" si="42"/>
        <v/>
      </c>
      <c r="G472" s="106"/>
      <c r="H472" s="56" t="str">
        <f t="shared" si="43"/>
        <v/>
      </c>
      <c r="I472" s="2"/>
    </row>
    <row r="473" spans="1:16" x14ac:dyDescent="0.25">
      <c r="B473" s="57" t="str">
        <f>IF($A473=0,"",VLOOKUP($A473,'BASE M-OBRA'!$A:$D,2))</f>
        <v/>
      </c>
      <c r="C473" s="58"/>
      <c r="D473" s="59"/>
      <c r="E473" s="59" t="str">
        <f>IF($A473=0,"",VLOOKUP($A473,'BASE M-OBRA'!$A:$D,4))</f>
        <v/>
      </c>
      <c r="F473" s="59" t="str">
        <f t="shared" si="42"/>
        <v/>
      </c>
      <c r="G473" s="107"/>
      <c r="H473" s="60" t="str">
        <f t="shared" si="43"/>
        <v/>
      </c>
      <c r="I473" s="2"/>
    </row>
    <row r="474" spans="1:16" x14ac:dyDescent="0.25">
      <c r="B474" s="73" t="s">
        <v>1685</v>
      </c>
      <c r="C474" s="65"/>
      <c r="D474" s="74"/>
      <c r="E474" s="74"/>
      <c r="F474" s="74"/>
      <c r="G474" s="74"/>
      <c r="H474" s="75">
        <f>ROUND(SUM(H466:H473),2)</f>
        <v>33.659999999999997</v>
      </c>
      <c r="I474" s="2"/>
    </row>
    <row r="475" spans="1:16" x14ac:dyDescent="0.25">
      <c r="B475" s="38" t="s">
        <v>1684</v>
      </c>
      <c r="C475" s="2"/>
      <c r="D475" s="3"/>
      <c r="E475" s="3"/>
      <c r="F475" s="3"/>
      <c r="G475" s="3"/>
      <c r="H475" s="56"/>
      <c r="I475" s="2"/>
    </row>
    <row r="476" spans="1:16" ht="25.5" x14ac:dyDescent="0.25">
      <c r="B476" s="64" t="s">
        <v>1409</v>
      </c>
      <c r="C476" s="65"/>
      <c r="D476" s="76"/>
      <c r="E476" s="66" t="s">
        <v>1408</v>
      </c>
      <c r="F476" s="66" t="s">
        <v>1679</v>
      </c>
      <c r="G476" s="66" t="s">
        <v>1683</v>
      </c>
      <c r="H476" s="68" t="s">
        <v>1675</v>
      </c>
      <c r="I476" s="2"/>
    </row>
    <row r="477" spans="1:16" x14ac:dyDescent="0.25">
      <c r="A477" s="103">
        <v>1</v>
      </c>
      <c r="B477" s="99" t="s">
        <v>622</v>
      </c>
      <c r="C477" s="2"/>
      <c r="D477" s="77"/>
      <c r="E477" s="78" t="s">
        <v>1520</v>
      </c>
      <c r="F477" s="55">
        <f>1*1.8</f>
        <v>1.8</v>
      </c>
      <c r="G477" s="55">
        <v>25</v>
      </c>
      <c r="H477" s="56">
        <f t="shared" ref="H477:H491" si="44">IF($A477=0,"",ROUND(F477*G477,2))</f>
        <v>45</v>
      </c>
      <c r="I477" s="2"/>
      <c r="L477" s="2"/>
      <c r="M477" s="2"/>
      <c r="N477" s="39"/>
      <c r="O477" s="2"/>
      <c r="P477" s="2"/>
    </row>
    <row r="478" spans="1:16" x14ac:dyDescent="0.25">
      <c r="B478" s="38"/>
      <c r="C478" s="2"/>
      <c r="D478" s="77"/>
      <c r="E478" s="78"/>
      <c r="F478" s="55"/>
      <c r="G478" s="55"/>
      <c r="H478" s="56" t="str">
        <f t="shared" si="44"/>
        <v/>
      </c>
      <c r="I478" s="2"/>
      <c r="L478" s="2"/>
      <c r="M478" s="2"/>
      <c r="N478" s="39"/>
      <c r="O478" s="2"/>
      <c r="P478" s="2"/>
    </row>
    <row r="479" spans="1:16" x14ac:dyDescent="0.25">
      <c r="A479" s="103">
        <v>1</v>
      </c>
      <c r="B479" s="38" t="s">
        <v>1719</v>
      </c>
      <c r="C479" s="2"/>
      <c r="D479" s="77"/>
      <c r="E479" s="78" t="s">
        <v>961</v>
      </c>
      <c r="F479" s="55">
        <f>1.8+1.8+1</f>
        <v>4.5999999999999996</v>
      </c>
      <c r="G479" s="55">
        <f>ROUND(25.73*1.15*1.12/6.4,2)</f>
        <v>5.18</v>
      </c>
      <c r="H479" s="56">
        <f t="shared" si="44"/>
        <v>23.83</v>
      </c>
      <c r="I479" s="2"/>
      <c r="L479" s="2"/>
      <c r="M479" s="2"/>
      <c r="N479" s="39"/>
      <c r="O479" s="2"/>
      <c r="P479" s="2"/>
    </row>
    <row r="480" spans="1:16" x14ac:dyDescent="0.25">
      <c r="A480" s="103">
        <v>1</v>
      </c>
      <c r="B480" s="38" t="s">
        <v>1718</v>
      </c>
      <c r="C480" s="2"/>
      <c r="D480" s="77"/>
      <c r="E480" s="78" t="s">
        <v>961</v>
      </c>
      <c r="F480" s="55">
        <f>(0.8*3+1.8*2)</f>
        <v>6</v>
      </c>
      <c r="G480" s="55">
        <f>ROUND(27.2*1.15*1.12/6.4,2)</f>
        <v>5.47</v>
      </c>
      <c r="H480" s="56">
        <f t="shared" si="44"/>
        <v>32.82</v>
      </c>
      <c r="I480" s="2"/>
      <c r="L480" s="2"/>
      <c r="M480" s="2"/>
      <c r="N480" s="39"/>
      <c r="O480" s="2"/>
      <c r="P480" s="2"/>
    </row>
    <row r="481" spans="1:16" x14ac:dyDescent="0.25">
      <c r="B481" s="38"/>
      <c r="C481" s="2"/>
      <c r="D481" s="77"/>
      <c r="E481" s="78"/>
      <c r="F481" s="55"/>
      <c r="G481" s="55"/>
      <c r="H481" s="56" t="str">
        <f t="shared" si="44"/>
        <v/>
      </c>
      <c r="I481" s="2"/>
      <c r="L481" s="2"/>
      <c r="M481" s="2"/>
      <c r="N481" s="39"/>
      <c r="O481" s="2"/>
      <c r="P481" s="2"/>
    </row>
    <row r="482" spans="1:16" x14ac:dyDescent="0.25">
      <c r="A482" s="103">
        <v>1</v>
      </c>
      <c r="B482" s="38" t="s">
        <v>1716</v>
      </c>
      <c r="C482" s="2"/>
      <c r="D482" s="77"/>
      <c r="E482" s="78" t="s">
        <v>1506</v>
      </c>
      <c r="F482" s="55">
        <v>1</v>
      </c>
      <c r="G482" s="55">
        <v>16</v>
      </c>
      <c r="H482" s="56">
        <f t="shared" si="44"/>
        <v>16</v>
      </c>
      <c r="I482" s="2"/>
      <c r="J482" s="79"/>
      <c r="L482" s="2"/>
      <c r="M482" s="2"/>
      <c r="N482" s="39"/>
      <c r="O482" s="2"/>
      <c r="P482" s="2"/>
    </row>
    <row r="483" spans="1:16" x14ac:dyDescent="0.25">
      <c r="B483" s="38"/>
      <c r="C483" s="2"/>
      <c r="D483" s="77"/>
      <c r="E483" s="78"/>
      <c r="F483" s="55"/>
      <c r="G483" s="55"/>
      <c r="H483" s="56" t="str">
        <f t="shared" si="44"/>
        <v/>
      </c>
      <c r="I483" s="2"/>
      <c r="L483" s="2"/>
      <c r="M483" s="2"/>
      <c r="N483" s="39"/>
      <c r="O483" s="2"/>
      <c r="P483" s="2"/>
    </row>
    <row r="484" spans="1:16" x14ac:dyDescent="0.25">
      <c r="A484" s="103">
        <v>1</v>
      </c>
      <c r="B484" s="38" t="s">
        <v>1714</v>
      </c>
      <c r="C484" s="2"/>
      <c r="D484" s="77"/>
      <c r="E484" s="78" t="s">
        <v>961</v>
      </c>
      <c r="F484" s="55">
        <f>+F485</f>
        <v>13.600000000000001</v>
      </c>
      <c r="G484" s="55">
        <v>0.3</v>
      </c>
      <c r="H484" s="56">
        <f t="shared" si="44"/>
        <v>4.08</v>
      </c>
      <c r="I484" s="2"/>
      <c r="J484" s="79"/>
      <c r="L484" s="2"/>
      <c r="M484" s="2"/>
      <c r="N484" s="39"/>
      <c r="O484" s="2"/>
      <c r="P484" s="2"/>
    </row>
    <row r="485" spans="1:16" x14ac:dyDescent="0.25">
      <c r="A485" s="103">
        <v>1</v>
      </c>
      <c r="B485" s="38" t="s">
        <v>1713</v>
      </c>
      <c r="C485" s="2"/>
      <c r="D485" s="77"/>
      <c r="E485" s="78" t="s">
        <v>961</v>
      </c>
      <c r="F485" s="55">
        <f>(0.8*4+1.8*2)*2</f>
        <v>13.600000000000001</v>
      </c>
      <c r="G485" s="55">
        <f>ROUND(6.14*1.15*1.12/6.4,2)</f>
        <v>1.24</v>
      </c>
      <c r="H485" s="56">
        <f t="shared" si="44"/>
        <v>16.86</v>
      </c>
      <c r="I485" s="2"/>
    </row>
    <row r="486" spans="1:16" x14ac:dyDescent="0.25">
      <c r="B486" s="38" t="str">
        <f>IF($A486=0,"",VLOOKUP($A486,'BASE MATERIAL'!$A:$D,2))</f>
        <v/>
      </c>
      <c r="C486" s="2"/>
      <c r="D486" s="77"/>
      <c r="E486" s="78" t="str">
        <f>IF($A486=0,"",VLOOKUP($A486,'BASE MATERIAL'!$A:$D,3))</f>
        <v/>
      </c>
      <c r="F486" s="55"/>
      <c r="G486" s="55" t="str">
        <f>IF($A486=0,"",VLOOKUP($A486,'BASE MATERIAL'!$A:$D,4))</f>
        <v/>
      </c>
      <c r="H486" s="56" t="str">
        <f t="shared" si="44"/>
        <v/>
      </c>
      <c r="I486" s="2"/>
      <c r="L486" s="2"/>
      <c r="M486" s="2"/>
      <c r="N486" s="39"/>
      <c r="O486" s="2"/>
      <c r="P486" s="2"/>
    </row>
    <row r="487" spans="1:16" x14ac:dyDescent="0.25">
      <c r="B487" s="38" t="str">
        <f>IF($A487=0,"",VLOOKUP($A487,'BASE MATERIAL'!$A:$D,2))</f>
        <v/>
      </c>
      <c r="C487" s="2"/>
      <c r="D487" s="77"/>
      <c r="E487" s="78" t="str">
        <f>IF($A487=0,"",VLOOKUP($A487,'BASE MATERIAL'!$A:$D,3))</f>
        <v/>
      </c>
      <c r="F487" s="55"/>
      <c r="G487" s="55" t="str">
        <f>IF($A487=0,"",VLOOKUP($A487,'BASE MATERIAL'!$A:$D,4))</f>
        <v/>
      </c>
      <c r="H487" s="56" t="str">
        <f t="shared" si="44"/>
        <v/>
      </c>
      <c r="I487" s="2"/>
      <c r="L487" s="2"/>
      <c r="M487" s="2"/>
      <c r="N487" s="39"/>
      <c r="O487" s="2"/>
      <c r="P487" s="2"/>
    </row>
    <row r="488" spans="1:16" x14ac:dyDescent="0.25">
      <c r="B488" s="38" t="str">
        <f>IF($A488=0,"",VLOOKUP($A488,'BASE MATERIAL'!$A:$D,2))</f>
        <v/>
      </c>
      <c r="C488" s="2"/>
      <c r="D488" s="77"/>
      <c r="E488" s="78" t="str">
        <f>IF($A488=0,"",VLOOKUP($A488,'BASE MATERIAL'!$A:$D,3))</f>
        <v/>
      </c>
      <c r="F488" s="55"/>
      <c r="G488" s="55" t="str">
        <f>IF($A488=0,"",VLOOKUP($A488,'BASE MATERIAL'!$A:$D,4))</f>
        <v/>
      </c>
      <c r="H488" s="56" t="str">
        <f t="shared" si="44"/>
        <v/>
      </c>
      <c r="I488" s="2"/>
    </row>
    <row r="489" spans="1:16" x14ac:dyDescent="0.25">
      <c r="B489" s="38" t="str">
        <f>IF($A489=0,"",VLOOKUP($A489,'BASE MATERIAL'!$A:$D,2))</f>
        <v/>
      </c>
      <c r="C489" s="2"/>
      <c r="D489" s="77"/>
      <c r="E489" s="78" t="str">
        <f>IF($A489=0,"",VLOOKUP($A489,'BASE MATERIAL'!$A:$D,3))</f>
        <v/>
      </c>
      <c r="F489" s="55"/>
      <c r="G489" s="55" t="str">
        <f>IF($A489=0,"",VLOOKUP($A489,'BASE MATERIAL'!$A:$D,4))</f>
        <v/>
      </c>
      <c r="H489" s="56" t="str">
        <f t="shared" si="44"/>
        <v/>
      </c>
      <c r="I489" s="2"/>
    </row>
    <row r="490" spans="1:16" x14ac:dyDescent="0.25">
      <c r="B490" s="38" t="str">
        <f>IF($A490=0,"",VLOOKUP($A490,'BASE MATERIAL'!$A:$D,2))</f>
        <v/>
      </c>
      <c r="C490" s="2"/>
      <c r="D490" s="77"/>
      <c r="E490" s="78" t="str">
        <f>IF($A490=0,"",VLOOKUP($A490,'BASE MATERIAL'!$A:$D,3))</f>
        <v/>
      </c>
      <c r="F490" s="55"/>
      <c r="G490" s="55" t="str">
        <f>IF($A490=0,"",VLOOKUP($A490,'BASE MATERIAL'!$A:$D,4))</f>
        <v/>
      </c>
      <c r="H490" s="56" t="str">
        <f t="shared" si="44"/>
        <v/>
      </c>
      <c r="I490" s="2"/>
    </row>
    <row r="491" spans="1:16" x14ac:dyDescent="0.25">
      <c r="B491" s="38" t="str">
        <f>IF($A491=0,"",VLOOKUP($A491,'BASE MATERIAL'!$A:$D,2))</f>
        <v/>
      </c>
      <c r="C491" s="2"/>
      <c r="D491" s="77"/>
      <c r="E491" s="78" t="str">
        <f>IF($A491=0,"",VLOOKUP($A491,'BASE MATERIAL'!$A:$D,3))</f>
        <v/>
      </c>
      <c r="F491" s="55"/>
      <c r="G491" s="55" t="str">
        <f>IF($A491=0,"",VLOOKUP($A491,'BASE MATERIAL'!$A:$D,4))</f>
        <v/>
      </c>
      <c r="H491" s="56" t="str">
        <f t="shared" si="44"/>
        <v/>
      </c>
      <c r="I491" s="2"/>
    </row>
    <row r="492" spans="1:16" x14ac:dyDescent="0.25">
      <c r="B492" s="38" t="str">
        <f>IF($A492=0,"",VLOOKUP($A492,'BASE MATERIAL'!$A:$D,2))</f>
        <v/>
      </c>
      <c r="C492" s="2"/>
      <c r="D492" s="81" t="s">
        <v>1682</v>
      </c>
      <c r="E492" s="55" t="str">
        <f>IF($A492=0,"",VLOOKUP($A492,'BASE MATERIAL'!$A:$D,3))</f>
        <v/>
      </c>
      <c r="F492" s="55" t="s">
        <v>1682</v>
      </c>
      <c r="G492" s="55" t="str">
        <f>IF($A492=0,"",VLOOKUP($A492,'BASE MATERIAL'!$A:$D,4))</f>
        <v/>
      </c>
      <c r="H492" s="56" t="str">
        <f>IF($A492=0,"",ROUND(E492*F492,2))</f>
        <v/>
      </c>
      <c r="I492" s="2"/>
    </row>
    <row r="493" spans="1:16" x14ac:dyDescent="0.25">
      <c r="B493" s="73" t="s">
        <v>1681</v>
      </c>
      <c r="C493" s="65"/>
      <c r="D493" s="74"/>
      <c r="E493" s="74"/>
      <c r="F493" s="74"/>
      <c r="G493" s="74"/>
      <c r="H493" s="75">
        <f>ROUND(SUM(H476:H492),2)</f>
        <v>138.59</v>
      </c>
      <c r="I493" s="2"/>
    </row>
    <row r="494" spans="1:16" x14ac:dyDescent="0.25">
      <c r="B494" s="38" t="s">
        <v>1680</v>
      </c>
      <c r="C494" s="2"/>
      <c r="D494" s="3"/>
      <c r="E494" s="3"/>
      <c r="F494" s="3"/>
      <c r="G494" s="3"/>
      <c r="H494" s="56"/>
      <c r="I494" s="2"/>
    </row>
    <row r="495" spans="1:16" ht="25.5" x14ac:dyDescent="0.25">
      <c r="B495" s="64" t="s">
        <v>1409</v>
      </c>
      <c r="C495" s="65"/>
      <c r="D495" s="76"/>
      <c r="E495" s="66" t="s">
        <v>1408</v>
      </c>
      <c r="F495" s="66" t="s">
        <v>1679</v>
      </c>
      <c r="G495" s="66" t="s">
        <v>1676</v>
      </c>
      <c r="H495" s="68" t="s">
        <v>1675</v>
      </c>
      <c r="I495" s="2"/>
    </row>
    <row r="496" spans="1:16" x14ac:dyDescent="0.25">
      <c r="A496" s="103">
        <v>19019</v>
      </c>
      <c r="B496" s="51" t="str">
        <f>IF($A496=0,"",VLOOKUP($A496,'BASE EQUIPO'!$A:$D,2))</f>
        <v>TRANSPORTE DE MATERIAL</v>
      </c>
      <c r="C496" s="52"/>
      <c r="D496" s="82"/>
      <c r="E496" s="78" t="str">
        <f>IF($A496=0,"",VLOOKUP($A496,'BASE EQUIPO'!$A:$D,3))</f>
        <v>GLOBAL</v>
      </c>
      <c r="F496" s="55">
        <v>1</v>
      </c>
      <c r="G496" s="83">
        <f>IF($A496=0,"",VLOOKUP($A496,'BASE EQUIPO'!$A:$D,4)*H493)</f>
        <v>4.1577000000000002</v>
      </c>
      <c r="H496" s="56">
        <f>IF($A496=0,"",ROUND(F496*G496,2))</f>
        <v>4.16</v>
      </c>
      <c r="I496" s="2"/>
    </row>
    <row r="497" spans="1:15" x14ac:dyDescent="0.25">
      <c r="B497" s="38" t="str">
        <f>IF($A497=0,"",VLOOKUP($A497,'BASE EQUIPO'!$A:$D,2))</f>
        <v/>
      </c>
      <c r="C497" s="2"/>
      <c r="D497" s="84"/>
      <c r="E497" s="78" t="str">
        <f>IF($A497=0,"",VLOOKUP($A497,'BASE EQUIPO'!$A:$D,3))</f>
        <v/>
      </c>
      <c r="F497" s="55"/>
      <c r="G497" s="55" t="str">
        <f>IF($A497=0,"",VLOOKUP($A497,'BASE EQUIPO'!$A:$D,4)*H494)</f>
        <v/>
      </c>
      <c r="H497" s="56" t="str">
        <f>IF($A497=0,"",ROUND(F497*G497,2))</f>
        <v/>
      </c>
      <c r="I497" s="2"/>
    </row>
    <row r="498" spans="1:15" x14ac:dyDescent="0.25">
      <c r="B498" s="57" t="str">
        <f>IF($A498=0,"",VLOOKUP($A498,'BASE EQUIPO'!$A:$D,2))</f>
        <v/>
      </c>
      <c r="C498" s="58"/>
      <c r="D498" s="85"/>
      <c r="E498" s="86" t="str">
        <f>IF($A498=0,"",VLOOKUP($A498,'BASE EQUIPO'!$A:$D,3))</f>
        <v/>
      </c>
      <c r="F498" s="59"/>
      <c r="G498" s="59" t="str">
        <f>IF($A498=0,"",VLOOKUP($A498,'BASE EQUIPO'!$A:$D,4)*H495)</f>
        <v/>
      </c>
      <c r="H498" s="60" t="str">
        <f>IF($A498=0,"",ROUND(F498*G498,2))</f>
        <v/>
      </c>
      <c r="I498" s="2"/>
    </row>
    <row r="499" spans="1:15" ht="15.75" thickBot="1" x14ac:dyDescent="0.3">
      <c r="B499" s="87" t="s">
        <v>1674</v>
      </c>
      <c r="C499" s="88"/>
      <c r="D499" s="89"/>
      <c r="E499" s="89"/>
      <c r="F499" s="89"/>
      <c r="G499" s="89"/>
      <c r="H499" s="90">
        <f>ROUND(SUM(H495:H498),2)</f>
        <v>4.16</v>
      </c>
      <c r="I499" s="2"/>
    </row>
    <row r="500" spans="1:15" ht="15.75" x14ac:dyDescent="0.25">
      <c r="B500" s="2"/>
      <c r="C500" s="2"/>
      <c r="D500" s="91" t="s">
        <v>1673</v>
      </c>
      <c r="E500" s="47"/>
      <c r="F500" s="47"/>
      <c r="G500" s="47"/>
      <c r="H500" s="92">
        <f>ROUND(SUM(H499,H493,H474,H464),2)</f>
        <v>177.42</v>
      </c>
      <c r="I500" s="2"/>
    </row>
    <row r="501" spans="1:15" ht="15.75" x14ac:dyDescent="0.25">
      <c r="A501" s="103">
        <v>40002</v>
      </c>
      <c r="B501" s="2"/>
      <c r="C501" s="2"/>
      <c r="D501" s="93" t="s">
        <v>1672</v>
      </c>
      <c r="E501" s="65"/>
      <c r="F501" s="65"/>
      <c r="G501" s="94">
        <f>IF($A501=0,"",VLOOKUP($A501,'BASE MATERIAL'!$M:$P,4))</f>
        <v>0</v>
      </c>
      <c r="H501" s="95">
        <f>IF($A501=0,"",ROUND(G501*H500,2))</f>
        <v>0</v>
      </c>
      <c r="I501" s="2"/>
    </row>
    <row r="502" spans="1:15" ht="15.75" x14ac:dyDescent="0.25">
      <c r="A502" s="103">
        <v>40003</v>
      </c>
      <c r="B502" s="2"/>
      <c r="C502" s="2"/>
      <c r="D502" s="93" t="s">
        <v>1671</v>
      </c>
      <c r="E502" s="65"/>
      <c r="F502" s="65"/>
      <c r="G502" s="94">
        <f>IF($A502=0,"",VLOOKUP($A502,'BASE MATERIAL'!$M:$P,4))</f>
        <v>0</v>
      </c>
      <c r="H502" s="95">
        <f>IF($A502=0,"",ROUND(G502*H500,2))</f>
        <v>0</v>
      </c>
      <c r="I502" s="2"/>
    </row>
    <row r="503" spans="1:15" ht="15.75" x14ac:dyDescent="0.25">
      <c r="B503" s="2"/>
      <c r="C503" s="2"/>
      <c r="D503" s="93" t="s">
        <v>1670</v>
      </c>
      <c r="E503" s="65"/>
      <c r="F503" s="65"/>
      <c r="G503" s="65"/>
      <c r="H503" s="96">
        <f>ROUND(SUM(H500:H502),2)</f>
        <v>177.42</v>
      </c>
      <c r="I503" s="2"/>
    </row>
    <row r="504" spans="1:15" ht="16.5" thickBot="1" x14ac:dyDescent="0.3">
      <c r="B504" s="25"/>
      <c r="C504" s="2"/>
      <c r="D504" s="97" t="s">
        <v>1650</v>
      </c>
      <c r="E504" s="88"/>
      <c r="F504" s="88"/>
      <c r="G504" s="88"/>
      <c r="H504" s="98">
        <f>ROUND(H503,2)</f>
        <v>177.42</v>
      </c>
      <c r="I504" s="2"/>
    </row>
    <row r="505" spans="1:15" ht="15.75" x14ac:dyDescent="0.25">
      <c r="B505" s="34" t="s">
        <v>1701</v>
      </c>
      <c r="C505" s="2"/>
      <c r="D505" s="3" t="str">
        <f>'1.1'!$D$1</f>
        <v>ESPOL</v>
      </c>
      <c r="E505" s="2"/>
      <c r="F505" s="2"/>
      <c r="H505" s="2" t="s">
        <v>108</v>
      </c>
      <c r="I505" s="2"/>
      <c r="L505" s="40">
        <f>A509</f>
        <v>1</v>
      </c>
      <c r="M505" s="1" t="str">
        <f>C510</f>
        <v>Cubiertas de policarbonato (inc. estructura de sustentación)</v>
      </c>
      <c r="N505" s="2" t="str">
        <f>H509</f>
        <v>m2</v>
      </c>
      <c r="O505" s="2">
        <f>H560</f>
        <v>90.07</v>
      </c>
    </row>
    <row r="506" spans="1:15" ht="15.75" x14ac:dyDescent="0.25">
      <c r="B506" s="34" t="s">
        <v>1700</v>
      </c>
      <c r="C506" s="3">
        <f>'1.1'!$C$2</f>
        <v>0</v>
      </c>
      <c r="D506" s="2"/>
      <c r="E506" s="2"/>
      <c r="F506" s="2"/>
      <c r="G506" s="41" t="s">
        <v>1699</v>
      </c>
      <c r="H506" s="42"/>
      <c r="I506" s="2" t="s">
        <v>1698</v>
      </c>
    </row>
    <row r="507" spans="1:15" ht="15.75" x14ac:dyDescent="0.25">
      <c r="B507" s="34"/>
      <c r="C507" s="3">
        <f>'1.1'!$C$3</f>
        <v>0</v>
      </c>
      <c r="D507" s="2"/>
      <c r="E507" s="2"/>
      <c r="F507" s="2"/>
      <c r="G507" s="2"/>
      <c r="H507" s="2"/>
      <c r="I507" s="2"/>
    </row>
    <row r="508" spans="1:15" ht="15.75" x14ac:dyDescent="0.25">
      <c r="B508" s="34" t="s">
        <v>1697</v>
      </c>
      <c r="C508" s="3"/>
      <c r="D508" s="2"/>
      <c r="E508" s="2"/>
      <c r="F508" s="2"/>
      <c r="G508" s="2"/>
      <c r="H508" s="2"/>
      <c r="I508" s="2"/>
    </row>
    <row r="509" spans="1:15" x14ac:dyDescent="0.25">
      <c r="A509" s="104">
        <v>1</v>
      </c>
      <c r="B509" s="2" t="s">
        <v>1586</v>
      </c>
      <c r="C509" s="36" t="s">
        <v>863</v>
      </c>
      <c r="D509" s="2"/>
      <c r="G509" s="2" t="s">
        <v>1696</v>
      </c>
      <c r="H509" s="3" t="s">
        <v>1520</v>
      </c>
      <c r="I509" s="2"/>
    </row>
    <row r="510" spans="1:15" x14ac:dyDescent="0.25">
      <c r="B510" s="1" t="s">
        <v>1585</v>
      </c>
      <c r="C510" s="36" t="s">
        <v>598</v>
      </c>
      <c r="D510" s="2"/>
      <c r="E510" s="2"/>
      <c r="F510" s="2"/>
      <c r="G510" s="2"/>
      <c r="H510" s="2"/>
      <c r="I510" s="2"/>
    </row>
    <row r="511" spans="1:15" ht="15.75" thickBot="1" x14ac:dyDescent="0.3">
      <c r="D511" s="2"/>
      <c r="E511" s="2"/>
      <c r="F511" s="2"/>
      <c r="G511" s="2"/>
      <c r="H511" s="2"/>
      <c r="I511" s="2"/>
    </row>
    <row r="512" spans="1:15" ht="15.75" thickBot="1" x14ac:dyDescent="0.3">
      <c r="B512" s="43" t="s">
        <v>1695</v>
      </c>
      <c r="C512" s="44"/>
      <c r="D512" s="44"/>
      <c r="E512" s="44"/>
      <c r="F512" s="44"/>
      <c r="G512" s="44"/>
      <c r="H512" s="45"/>
      <c r="I512" s="2"/>
    </row>
    <row r="513" spans="1:10" ht="25.5" x14ac:dyDescent="0.25">
      <c r="B513" s="46" t="s">
        <v>1409</v>
      </c>
      <c r="C513" s="47"/>
      <c r="D513" s="48" t="s">
        <v>1690</v>
      </c>
      <c r="E513" s="48" t="s">
        <v>1694</v>
      </c>
      <c r="F513" s="48" t="s">
        <v>1693</v>
      </c>
      <c r="G513" s="49" t="s">
        <v>1687</v>
      </c>
      <c r="H513" s="50" t="s">
        <v>1686</v>
      </c>
      <c r="I513" s="2"/>
    </row>
    <row r="514" spans="1:10" x14ac:dyDescent="0.25">
      <c r="A514" s="103">
        <v>19015</v>
      </c>
      <c r="B514" s="51" t="str">
        <f>IF($A514=0,"",VLOOKUP($A514,'BASE EQUIPO'!$A:$D,2))</f>
        <v>HERRAMIENTA MENOR</v>
      </c>
      <c r="C514" s="52"/>
      <c r="D514" s="53">
        <v>1</v>
      </c>
      <c r="E514" s="53">
        <f>IF($A514=0,"",VLOOKUP($A514,'BASE EQUIPO'!$A:$D,4)*H530)</f>
        <v>0.3795</v>
      </c>
      <c r="F514" s="53">
        <f t="shared" ref="F514:F519" si="45">IF($A514=0,"",ROUND(D514*E514,2))</f>
        <v>0.38</v>
      </c>
      <c r="G514" s="105">
        <v>1</v>
      </c>
      <c r="H514" s="54">
        <f t="shared" ref="H514:H519" si="46">IF($A514=0,"",ROUND(G514*F514,2))</f>
        <v>0.38</v>
      </c>
      <c r="I514" s="2"/>
    </row>
    <row r="515" spans="1:10" x14ac:dyDescent="0.25">
      <c r="B515" s="38" t="str">
        <f>IF($A515=0,"",VLOOKUP($A515,'BASE EQUIPO'!$A:$D,2))</f>
        <v/>
      </c>
      <c r="C515" s="2"/>
      <c r="D515" s="55"/>
      <c r="E515" s="55" t="str">
        <f>IF($A515=0,"",VLOOKUP($A515,'BASE EQUIPO'!$A:$D,4))</f>
        <v/>
      </c>
      <c r="F515" s="55" t="str">
        <f t="shared" si="45"/>
        <v/>
      </c>
      <c r="G515" s="106"/>
      <c r="H515" s="56" t="str">
        <f t="shared" si="46"/>
        <v/>
      </c>
      <c r="I515" s="2"/>
    </row>
    <row r="516" spans="1:10" x14ac:dyDescent="0.25">
      <c r="B516" s="38" t="str">
        <f>IF($A516=0,"",VLOOKUP($A516,'BASE EQUIPO'!$A:$D,2))</f>
        <v/>
      </c>
      <c r="C516" s="2"/>
      <c r="D516" s="55"/>
      <c r="E516" s="55" t="str">
        <f>IF($A516=0,"",VLOOKUP($A516,'BASE EQUIPO'!$A:$D,4))</f>
        <v/>
      </c>
      <c r="F516" s="55" t="str">
        <f t="shared" si="45"/>
        <v/>
      </c>
      <c r="G516" s="106"/>
      <c r="H516" s="56" t="str">
        <f t="shared" si="46"/>
        <v/>
      </c>
      <c r="I516" s="2"/>
    </row>
    <row r="517" spans="1:10" x14ac:dyDescent="0.25">
      <c r="B517" s="38" t="str">
        <f>IF($A517=0,"",VLOOKUP($A517,'BASE EQUIPO'!$A:$D,2))</f>
        <v/>
      </c>
      <c r="C517" s="2"/>
      <c r="D517" s="55"/>
      <c r="E517" s="55" t="str">
        <f>IF($A517=0,"",VLOOKUP($A517,'BASE EQUIPO'!$A:$D,4))</f>
        <v/>
      </c>
      <c r="F517" s="55" t="str">
        <f t="shared" si="45"/>
        <v/>
      </c>
      <c r="G517" s="106"/>
      <c r="H517" s="56" t="str">
        <f t="shared" si="46"/>
        <v/>
      </c>
      <c r="I517" s="2"/>
    </row>
    <row r="518" spans="1:10" x14ac:dyDescent="0.25">
      <c r="B518" s="38" t="str">
        <f>IF($A518=0,"",VLOOKUP($A518,'BASE EQUIPO'!$A:$D,2))</f>
        <v/>
      </c>
      <c r="C518" s="2"/>
      <c r="D518" s="55"/>
      <c r="E518" s="55" t="str">
        <f>IF($A518=0,"",VLOOKUP($A518,'BASE EQUIPO'!$A:$D,4))</f>
        <v/>
      </c>
      <c r="F518" s="55" t="str">
        <f t="shared" si="45"/>
        <v/>
      </c>
      <c r="G518" s="106"/>
      <c r="H518" s="56" t="str">
        <f t="shared" si="46"/>
        <v/>
      </c>
      <c r="I518" s="2"/>
    </row>
    <row r="519" spans="1:10" x14ac:dyDescent="0.25">
      <c r="B519" s="57" t="str">
        <f>IF($A519=0,"",VLOOKUP($A519,'BASE EQUIPO'!$A:$D,2))</f>
        <v/>
      </c>
      <c r="C519" s="58"/>
      <c r="D519" s="59"/>
      <c r="E519" s="59" t="str">
        <f>IF($A519=0,"",VLOOKUP($A519,'BASE EQUIPO'!$A:$D,4))</f>
        <v/>
      </c>
      <c r="F519" s="59" t="str">
        <f t="shared" si="45"/>
        <v/>
      </c>
      <c r="G519" s="107"/>
      <c r="H519" s="60" t="str">
        <f t="shared" si="46"/>
        <v/>
      </c>
      <c r="I519" s="2"/>
    </row>
    <row r="520" spans="1:10" x14ac:dyDescent="0.25">
      <c r="B520" s="57" t="s">
        <v>1692</v>
      </c>
      <c r="C520" s="58"/>
      <c r="D520" s="61"/>
      <c r="E520" s="61"/>
      <c r="F520" s="61"/>
      <c r="G520" s="62"/>
      <c r="H520" s="60">
        <f>ROUND(SUM(H513:H519),2)</f>
        <v>0.38</v>
      </c>
      <c r="I520" s="2"/>
    </row>
    <row r="521" spans="1:10" x14ac:dyDescent="0.25">
      <c r="B521" s="38" t="s">
        <v>1503</v>
      </c>
      <c r="C521" s="2"/>
      <c r="D521" s="3"/>
      <c r="E521" s="3"/>
      <c r="F521" s="3"/>
      <c r="G521" s="63"/>
      <c r="H521" s="56"/>
      <c r="I521" s="2"/>
    </row>
    <row r="522" spans="1:10" ht="25.5" x14ac:dyDescent="0.25">
      <c r="B522" s="64" t="s">
        <v>1691</v>
      </c>
      <c r="C522" s="65"/>
      <c r="D522" s="66" t="s">
        <v>1690</v>
      </c>
      <c r="E522" s="66" t="s">
        <v>1689</v>
      </c>
      <c r="F522" s="66" t="s">
        <v>1688</v>
      </c>
      <c r="G522" s="67" t="s">
        <v>1687</v>
      </c>
      <c r="H522" s="68" t="s">
        <v>1686</v>
      </c>
      <c r="I522" s="2"/>
    </row>
    <row r="523" spans="1:10" x14ac:dyDescent="0.25">
      <c r="A523" s="103">
        <v>20001</v>
      </c>
      <c r="B523" s="69" t="str">
        <f>IF($A523=0,"",VLOOKUP($A523,'BASE M-OBRA'!$A:$D,2))</f>
        <v>MAESTRO</v>
      </c>
      <c r="C523" s="2"/>
      <c r="D523" s="108">
        <v>1</v>
      </c>
      <c r="E523" s="70">
        <f>IF($A523=0,"",VLOOKUP($A523,'BASE M-OBRA'!$A:$D,4))</f>
        <v>3.02</v>
      </c>
      <c r="F523" s="55">
        <f t="shared" ref="F523:F529" si="47">IF($A523=0,"",ROUND(D523*E523,2))</f>
        <v>3.02</v>
      </c>
      <c r="G523" s="106">
        <f>IF($A523=0,"",ROUND(H523/F523,2))</f>
        <v>0.7</v>
      </c>
      <c r="H523" s="56">
        <f>IF($A523=0,"",ROUND(SUM(H524:H529)*'BASE M-OBRA'!$D$23,2))</f>
        <v>2.11</v>
      </c>
      <c r="I523" s="2"/>
    </row>
    <row r="524" spans="1:10" x14ac:dyDescent="0.25">
      <c r="A524" s="103">
        <v>20011</v>
      </c>
      <c r="B524" s="69" t="str">
        <f>IF($A524=0,"",VLOOKUP($A524,'BASE M-OBRA'!$A:$D,2))</f>
        <v>AYUDANTE ESPECIALISTA</v>
      </c>
      <c r="C524" s="2"/>
      <c r="D524" s="108">
        <v>1</v>
      </c>
      <c r="E524" s="70">
        <f>IF($A524=0,"",VLOOKUP($A524,'BASE M-OBRA'!$A:$D,4))</f>
        <v>2.79</v>
      </c>
      <c r="F524" s="55">
        <f t="shared" si="47"/>
        <v>2.79</v>
      </c>
      <c r="G524" s="106">
        <v>1.25</v>
      </c>
      <c r="H524" s="56">
        <f t="shared" ref="H524:H529" si="48">IF($A524=0,"",ROUND(G524*F524,2))</f>
        <v>3.49</v>
      </c>
      <c r="I524" s="2"/>
    </row>
    <row r="525" spans="1:10" x14ac:dyDescent="0.25">
      <c r="A525" s="103">
        <v>20019</v>
      </c>
      <c r="B525" s="69" t="str">
        <f>IF($A525=0,"",VLOOKUP($A525,'BASE M-OBRA'!$A:$D,2))</f>
        <v>INSTALADOR</v>
      </c>
      <c r="C525" s="2"/>
      <c r="D525" s="108">
        <v>2</v>
      </c>
      <c r="E525" s="70">
        <f>IF($A525=0,"",VLOOKUP($A525,'BASE M-OBRA'!$A:$D,4))</f>
        <v>2.82</v>
      </c>
      <c r="F525" s="55">
        <f t="shared" si="47"/>
        <v>5.64</v>
      </c>
      <c r="G525" s="106">
        <f>+G524</f>
        <v>1.25</v>
      </c>
      <c r="H525" s="56">
        <f t="shared" si="48"/>
        <v>7.05</v>
      </c>
      <c r="I525" s="2"/>
    </row>
    <row r="526" spans="1:10" x14ac:dyDescent="0.25">
      <c r="B526" s="71" t="str">
        <f>IF($A526=0,"",VLOOKUP($A526,'BASE M-OBRA'!$A:$D,2))</f>
        <v/>
      </c>
      <c r="C526" s="2"/>
      <c r="D526" s="108"/>
      <c r="E526" s="70" t="str">
        <f>IF($A526=0,"",VLOOKUP($A526,'BASE M-OBRA'!$A:$D,4))</f>
        <v/>
      </c>
      <c r="F526" s="55" t="str">
        <f t="shared" si="47"/>
        <v/>
      </c>
      <c r="G526" s="106"/>
      <c r="H526" s="56" t="str">
        <f t="shared" si="48"/>
        <v/>
      </c>
      <c r="I526" s="2"/>
    </row>
    <row r="527" spans="1:10" x14ac:dyDescent="0.25">
      <c r="B527" s="72" t="str">
        <f>IF($A527=0,"",VLOOKUP($A527,'BASE M-OBRA'!$A:$D,2))</f>
        <v/>
      </c>
      <c r="C527" s="2"/>
      <c r="D527" s="108"/>
      <c r="E527" s="70" t="str">
        <f>IF($A527=0,"",VLOOKUP($A527,'BASE M-OBRA'!$A:$D,4))</f>
        <v/>
      </c>
      <c r="F527" s="55" t="str">
        <f t="shared" si="47"/>
        <v/>
      </c>
      <c r="G527" s="106"/>
      <c r="H527" s="56" t="str">
        <f t="shared" si="48"/>
        <v/>
      </c>
      <c r="I527" s="2"/>
      <c r="J527" s="1">
        <f>2*3.4*4.2</f>
        <v>28.56</v>
      </c>
    </row>
    <row r="528" spans="1:10" x14ac:dyDescent="0.25">
      <c r="B528" s="38" t="str">
        <f>IF($A528=0,"",VLOOKUP($A528,'BASE M-OBRA'!$A:$D,2))</f>
        <v/>
      </c>
      <c r="C528" s="2"/>
      <c r="D528" s="55"/>
      <c r="E528" s="55" t="str">
        <f>IF($A528=0,"",VLOOKUP($A528,'BASE M-OBRA'!$A:$D,4))</f>
        <v/>
      </c>
      <c r="F528" s="55" t="str">
        <f t="shared" si="47"/>
        <v/>
      </c>
      <c r="G528" s="106"/>
      <c r="H528" s="56" t="str">
        <f t="shared" si="48"/>
        <v/>
      </c>
      <c r="I528" s="2"/>
      <c r="J528" s="2">
        <f>SUM(H527:H528)</f>
        <v>0</v>
      </c>
    </row>
    <row r="529" spans="1:16" x14ac:dyDescent="0.25">
      <c r="B529" s="57" t="str">
        <f>IF($A529=0,"",VLOOKUP($A529,'BASE M-OBRA'!$A:$D,2))</f>
        <v/>
      </c>
      <c r="C529" s="58"/>
      <c r="D529" s="59"/>
      <c r="E529" s="59" t="str">
        <f>IF($A529=0,"",VLOOKUP($A529,'BASE M-OBRA'!$A:$D,4))</f>
        <v/>
      </c>
      <c r="F529" s="59" t="str">
        <f t="shared" si="47"/>
        <v/>
      </c>
      <c r="G529" s="107"/>
      <c r="H529" s="60" t="str">
        <f t="shared" si="48"/>
        <v/>
      </c>
      <c r="I529" s="2"/>
    </row>
    <row r="530" spans="1:16" x14ac:dyDescent="0.25">
      <c r="B530" s="73" t="s">
        <v>1685</v>
      </c>
      <c r="C530" s="65"/>
      <c r="D530" s="74"/>
      <c r="E530" s="74"/>
      <c r="F530" s="74"/>
      <c r="G530" s="74"/>
      <c r="H530" s="75">
        <f>ROUND(SUM(H522:H529),2)</f>
        <v>12.65</v>
      </c>
      <c r="I530" s="2"/>
    </row>
    <row r="531" spans="1:16" x14ac:dyDescent="0.25">
      <c r="B531" s="38" t="s">
        <v>1684</v>
      </c>
      <c r="C531" s="2"/>
      <c r="D531" s="3"/>
      <c r="E531" s="3"/>
      <c r="F531" s="3"/>
      <c r="G531" s="3"/>
      <c r="H531" s="56"/>
      <c r="I531" s="2"/>
    </row>
    <row r="532" spans="1:16" ht="25.5" x14ac:dyDescent="0.25">
      <c r="B532" s="64" t="s">
        <v>1409</v>
      </c>
      <c r="C532" s="65"/>
      <c r="D532" s="76"/>
      <c r="E532" s="66" t="s">
        <v>1408</v>
      </c>
      <c r="F532" s="66" t="s">
        <v>1679</v>
      </c>
      <c r="G532" s="66" t="s">
        <v>1683</v>
      </c>
      <c r="H532" s="68" t="s">
        <v>1675</v>
      </c>
      <c r="I532" s="2"/>
      <c r="J532" s="1">
        <f>(0.1*4*3*7.85)*(1.7*3+5*3.4)</f>
        <v>208.18200000000004</v>
      </c>
    </row>
    <row r="533" spans="1:16" x14ac:dyDescent="0.25">
      <c r="A533" s="103">
        <v>1</v>
      </c>
      <c r="B533" s="99" t="s">
        <v>1711</v>
      </c>
      <c r="C533" s="2"/>
      <c r="D533" s="77"/>
      <c r="E533" s="78" t="s">
        <v>1520</v>
      </c>
      <c r="F533" s="114">
        <v>1.1000000000000001</v>
      </c>
      <c r="G533" s="55">
        <v>68</v>
      </c>
      <c r="H533" s="56">
        <f t="shared" ref="H533:H547" si="49">IF($A533=0,"",ROUND(F533*G533,2))</f>
        <v>74.8</v>
      </c>
      <c r="I533" s="2"/>
      <c r="J533" s="1">
        <f>7.89*2</f>
        <v>15.78</v>
      </c>
      <c r="K533" s="1">
        <v>2</v>
      </c>
      <c r="L533" s="2"/>
      <c r="M533" s="2"/>
      <c r="N533" s="39"/>
      <c r="O533" s="2"/>
      <c r="P533" s="2"/>
    </row>
    <row r="534" spans="1:16" x14ac:dyDescent="0.25">
      <c r="B534" s="38" t="str">
        <f>IF($A534=0,"",VLOOKUP($A534,'BASE MATERIAL'!$A:$D,2))</f>
        <v/>
      </c>
      <c r="C534" s="2"/>
      <c r="D534" s="77"/>
      <c r="E534" s="78" t="str">
        <f>IF($A534=0,"",VLOOKUP($A534,'BASE MATERIAL'!$A:$D,3))</f>
        <v/>
      </c>
      <c r="F534" s="113"/>
      <c r="G534" s="55" t="str">
        <f>IF($A534=0,"",VLOOKUP($A534,'BASE MATERIAL'!$A:$D,4))</f>
        <v/>
      </c>
      <c r="H534" s="56" t="str">
        <f t="shared" si="49"/>
        <v/>
      </c>
      <c r="I534" s="2"/>
      <c r="J534" s="1">
        <f>1*2/J533</f>
        <v>0.1267427122940431</v>
      </c>
      <c r="L534" s="2"/>
      <c r="M534" s="2"/>
      <c r="N534" s="39"/>
      <c r="O534" s="2"/>
      <c r="P534" s="2"/>
    </row>
    <row r="535" spans="1:16" x14ac:dyDescent="0.25">
      <c r="B535" s="38" t="str">
        <f>IF($A535=0,"",VLOOKUP($A535,'BASE MATERIAL'!$A:$D,2))</f>
        <v/>
      </c>
      <c r="C535" s="2"/>
      <c r="D535" s="77"/>
      <c r="E535" s="78" t="str">
        <f>IF($A535=0,"",VLOOKUP($A535,'BASE MATERIAL'!$A:$D,3))</f>
        <v/>
      </c>
      <c r="F535" s="113"/>
      <c r="G535" s="55" t="str">
        <f>IF($A535=0,"",VLOOKUP($A535,'BASE MATERIAL'!$A:$D,4))</f>
        <v/>
      </c>
      <c r="H535" s="56" t="str">
        <f t="shared" si="49"/>
        <v/>
      </c>
      <c r="I535" s="2"/>
      <c r="J535" s="1" t="s">
        <v>1710</v>
      </c>
      <c r="K535" s="1">
        <f>5.4*4</f>
        <v>21.6</v>
      </c>
      <c r="L535" s="2"/>
      <c r="M535" s="2"/>
      <c r="N535" s="39"/>
      <c r="O535" s="2"/>
      <c r="P535" s="2"/>
    </row>
    <row r="536" spans="1:16" x14ac:dyDescent="0.25">
      <c r="B536" s="38" t="str">
        <f>IF($A536=0,"",VLOOKUP($A536,'BASE MATERIAL'!$A:$D,2))</f>
        <v/>
      </c>
      <c r="C536" s="2"/>
      <c r="D536" s="77"/>
      <c r="E536" s="78" t="str">
        <f>IF($A536=0,"",VLOOKUP($A536,'BASE MATERIAL'!$A:$D,3))</f>
        <v/>
      </c>
      <c r="F536" s="113"/>
      <c r="G536" s="55" t="str">
        <f>IF($A536=0,"",VLOOKUP($A536,'BASE MATERIAL'!$A:$D,4))</f>
        <v/>
      </c>
      <c r="H536" s="56" t="str">
        <f t="shared" si="49"/>
        <v/>
      </c>
      <c r="I536" s="2"/>
      <c r="J536" s="1" t="s">
        <v>1709</v>
      </c>
      <c r="K536" s="1">
        <f>14.9*4</f>
        <v>59.6</v>
      </c>
      <c r="L536" s="2"/>
      <c r="M536" s="2"/>
      <c r="N536" s="39"/>
      <c r="O536" s="2"/>
      <c r="P536" s="2"/>
    </row>
    <row r="537" spans="1:16" x14ac:dyDescent="0.25">
      <c r="B537" s="38" t="str">
        <f>IF($A537=0,"",VLOOKUP($A537,'BASE MATERIAL'!$A:$D,2))</f>
        <v/>
      </c>
      <c r="C537" s="2"/>
      <c r="D537" s="77"/>
      <c r="E537" s="78" t="str">
        <f>IF($A537=0,"",VLOOKUP($A537,'BASE MATERIAL'!$A:$D,3))</f>
        <v/>
      </c>
      <c r="F537" s="113"/>
      <c r="G537" s="55" t="str">
        <f>IF($A537=0,"",VLOOKUP($A537,'BASE MATERIAL'!$A:$D,4))</f>
        <v/>
      </c>
      <c r="H537" s="56" t="str">
        <f t="shared" si="49"/>
        <v/>
      </c>
      <c r="I537" s="2"/>
      <c r="K537" s="1">
        <f>21.6*15.78</f>
        <v>340.84800000000001</v>
      </c>
      <c r="L537" s="2"/>
      <c r="M537" s="2"/>
      <c r="N537" s="39"/>
      <c r="O537" s="2"/>
      <c r="P537" s="2"/>
    </row>
    <row r="538" spans="1:16" x14ac:dyDescent="0.25">
      <c r="B538" s="38" t="str">
        <f>IF($A538=0,"",VLOOKUP($A538,'BASE MATERIAL'!$A:$D,2))</f>
        <v/>
      </c>
      <c r="C538" s="2"/>
      <c r="D538" s="77"/>
      <c r="E538" s="78" t="str">
        <f>IF($A538=0,"",VLOOKUP($A538,'BASE MATERIAL'!$A:$D,3))</f>
        <v/>
      </c>
      <c r="F538" s="113"/>
      <c r="G538" s="55" t="str">
        <f>IF($A538=0,"",VLOOKUP($A538,'BASE MATERIAL'!$A:$D,4))</f>
        <v/>
      </c>
      <c r="H538" s="56" t="str">
        <f t="shared" si="49"/>
        <v/>
      </c>
      <c r="I538" s="2"/>
      <c r="J538" s="79">
        <f>1*1/K537</f>
        <v>2.9338590808806269E-3</v>
      </c>
      <c r="L538" s="2"/>
      <c r="M538" s="2"/>
      <c r="N538" s="39"/>
      <c r="O538" s="2"/>
      <c r="P538" s="2"/>
    </row>
    <row r="539" spans="1:16" x14ac:dyDescent="0.25">
      <c r="B539" s="102" t="str">
        <f>IF($A539=0,"",VLOOKUP($A539,'BASE MATERIAL'!$A:$D,2))</f>
        <v/>
      </c>
      <c r="C539" s="2"/>
      <c r="D539" s="77"/>
      <c r="E539" s="78" t="str">
        <f>IF($A539=0,"",VLOOKUP($A539,'BASE MATERIAL'!$A:$D,3))</f>
        <v/>
      </c>
      <c r="F539" s="55"/>
      <c r="G539" s="55" t="str">
        <f>IF($A539=0,"",VLOOKUP($A539,'BASE MATERIAL'!$A:$D,4))</f>
        <v/>
      </c>
      <c r="H539" s="56" t="str">
        <f t="shared" si="49"/>
        <v/>
      </c>
      <c r="I539" s="2"/>
      <c r="K539" s="1">
        <f>59.6*15.78</f>
        <v>940.48799999999994</v>
      </c>
      <c r="L539" s="2"/>
      <c r="M539" s="2"/>
      <c r="N539" s="39"/>
      <c r="O539" s="2"/>
      <c r="P539" s="2"/>
    </row>
    <row r="540" spans="1:16" x14ac:dyDescent="0.25">
      <c r="B540" s="102" t="str">
        <f>IF($A540=0,"",VLOOKUP($A540,'BASE MATERIAL'!$A:$D,2))</f>
        <v/>
      </c>
      <c r="C540" s="2"/>
      <c r="D540" s="77"/>
      <c r="E540" s="78" t="str">
        <f>IF($A540=0,"",VLOOKUP($A540,'BASE MATERIAL'!$A:$D,3))</f>
        <v/>
      </c>
      <c r="F540" s="55"/>
      <c r="G540" s="55" t="str">
        <f>IF($A540=0,"",VLOOKUP($A540,'BASE MATERIAL'!$A:$D,4))</f>
        <v/>
      </c>
      <c r="H540" s="56" t="str">
        <f t="shared" si="49"/>
        <v/>
      </c>
      <c r="I540" s="2"/>
      <c r="J540" s="79"/>
      <c r="L540" s="2"/>
      <c r="M540" s="2"/>
      <c r="N540" s="39"/>
      <c r="O540" s="2"/>
      <c r="P540" s="2"/>
    </row>
    <row r="541" spans="1:16" x14ac:dyDescent="0.25">
      <c r="B541" s="102" t="str">
        <f>IF($A541=0,"",VLOOKUP($A541,'BASE MATERIAL'!$A:$D,2))</f>
        <v/>
      </c>
      <c r="C541" s="2"/>
      <c r="D541" s="77"/>
      <c r="E541" s="78" t="str">
        <f>IF($A541=0,"",VLOOKUP($A541,'BASE MATERIAL'!$A:$D,3))</f>
        <v/>
      </c>
      <c r="F541" s="55"/>
      <c r="G541" s="55" t="str">
        <f>IF($A541=0,"",VLOOKUP($A541,'BASE MATERIAL'!$A:$D,4))</f>
        <v/>
      </c>
      <c r="H541" s="56" t="str">
        <f t="shared" si="49"/>
        <v/>
      </c>
      <c r="I541" s="2"/>
    </row>
    <row r="542" spans="1:16" x14ac:dyDescent="0.25">
      <c r="B542" s="38" t="str">
        <f>IF($A542=0,"",VLOOKUP($A542,'BASE MATERIAL'!$A:$D,2))</f>
        <v/>
      </c>
      <c r="C542" s="2"/>
      <c r="D542" s="77"/>
      <c r="E542" s="78" t="str">
        <f>IF($A542=0,"",VLOOKUP($A542,'BASE MATERIAL'!$A:$D,3))</f>
        <v/>
      </c>
      <c r="F542" s="55"/>
      <c r="G542" s="55" t="str">
        <f>IF($A542=0,"",VLOOKUP($A542,'BASE MATERIAL'!$A:$D,4))</f>
        <v/>
      </c>
      <c r="H542" s="56" t="str">
        <f t="shared" si="49"/>
        <v/>
      </c>
      <c r="I542" s="2"/>
      <c r="L542" s="2"/>
      <c r="M542" s="2"/>
      <c r="N542" s="39"/>
      <c r="O542" s="2"/>
      <c r="P542" s="2"/>
    </row>
    <row r="543" spans="1:16" x14ac:dyDescent="0.25">
      <c r="B543" s="38" t="str">
        <f>IF($A543=0,"",VLOOKUP($A543,'BASE MATERIAL'!$A:$D,2))</f>
        <v/>
      </c>
      <c r="C543" s="2"/>
      <c r="D543" s="77"/>
      <c r="E543" s="78" t="str">
        <f>IF($A543=0,"",VLOOKUP($A543,'BASE MATERIAL'!$A:$D,3))</f>
        <v/>
      </c>
      <c r="F543" s="55"/>
      <c r="G543" s="55" t="str">
        <f>IF($A543=0,"",VLOOKUP($A543,'BASE MATERIAL'!$A:$D,4))</f>
        <v/>
      </c>
      <c r="H543" s="56" t="str">
        <f t="shared" si="49"/>
        <v/>
      </c>
      <c r="I543" s="2"/>
      <c r="L543" s="2"/>
      <c r="M543" s="2"/>
      <c r="N543" s="39"/>
      <c r="O543" s="2"/>
      <c r="P543" s="2"/>
    </row>
    <row r="544" spans="1:16" x14ac:dyDescent="0.25">
      <c r="B544" s="38" t="str">
        <f>IF($A544=0,"",VLOOKUP($A544,'BASE MATERIAL'!$A:$D,2))</f>
        <v/>
      </c>
      <c r="C544" s="2"/>
      <c r="D544" s="77"/>
      <c r="E544" s="78" t="str">
        <f>IF($A544=0,"",VLOOKUP($A544,'BASE MATERIAL'!$A:$D,3))</f>
        <v/>
      </c>
      <c r="F544" s="55"/>
      <c r="G544" s="55" t="str">
        <f>IF($A544=0,"",VLOOKUP($A544,'BASE MATERIAL'!$A:$D,4))</f>
        <v/>
      </c>
      <c r="H544" s="56" t="str">
        <f t="shared" si="49"/>
        <v/>
      </c>
      <c r="I544" s="2"/>
    </row>
    <row r="545" spans="1:9" x14ac:dyDescent="0.25">
      <c r="B545" s="38" t="str">
        <f>IF($A545=0,"",VLOOKUP($A545,'BASE MATERIAL'!$A:$D,2))</f>
        <v/>
      </c>
      <c r="C545" s="2"/>
      <c r="D545" s="77"/>
      <c r="E545" s="78" t="str">
        <f>IF($A545=0,"",VLOOKUP($A545,'BASE MATERIAL'!$A:$D,3))</f>
        <v/>
      </c>
      <c r="F545" s="55"/>
      <c r="G545" s="55" t="str">
        <f>IF($A545=0,"",VLOOKUP($A545,'BASE MATERIAL'!$A:$D,4))</f>
        <v/>
      </c>
      <c r="H545" s="56" t="str">
        <f t="shared" si="49"/>
        <v/>
      </c>
      <c r="I545" s="2"/>
    </row>
    <row r="546" spans="1:9" x14ac:dyDescent="0.25">
      <c r="B546" s="38" t="str">
        <f>IF($A546=0,"",VLOOKUP($A546,'BASE MATERIAL'!$A:$D,2))</f>
        <v/>
      </c>
      <c r="C546" s="2"/>
      <c r="D546" s="77"/>
      <c r="E546" s="78" t="str">
        <f>IF($A546=0,"",VLOOKUP($A546,'BASE MATERIAL'!$A:$D,3))</f>
        <v/>
      </c>
      <c r="F546" s="55"/>
      <c r="G546" s="55" t="str">
        <f>IF($A546=0,"",VLOOKUP($A546,'BASE MATERIAL'!$A:$D,4))</f>
        <v/>
      </c>
      <c r="H546" s="56" t="str">
        <f t="shared" si="49"/>
        <v/>
      </c>
      <c r="I546" s="2"/>
    </row>
    <row r="547" spans="1:9" x14ac:dyDescent="0.25">
      <c r="B547" s="38" t="str">
        <f>IF($A547=0,"",VLOOKUP($A547,'BASE MATERIAL'!$A:$D,2))</f>
        <v/>
      </c>
      <c r="C547" s="2"/>
      <c r="D547" s="77"/>
      <c r="E547" s="78" t="str">
        <f>IF($A547=0,"",VLOOKUP($A547,'BASE MATERIAL'!$A:$D,3))</f>
        <v/>
      </c>
      <c r="F547" s="55"/>
      <c r="G547" s="55" t="str">
        <f>IF($A547=0,"",VLOOKUP($A547,'BASE MATERIAL'!$A:$D,4))</f>
        <v/>
      </c>
      <c r="H547" s="56" t="str">
        <f t="shared" si="49"/>
        <v/>
      </c>
      <c r="I547" s="2"/>
    </row>
    <row r="548" spans="1:9" x14ac:dyDescent="0.25">
      <c r="B548" s="38" t="str">
        <f>IF($A548=0,"",VLOOKUP($A548,'BASE MATERIAL'!$A:$D,2))</f>
        <v/>
      </c>
      <c r="C548" s="2"/>
      <c r="D548" s="81" t="s">
        <v>1682</v>
      </c>
      <c r="E548" s="55" t="str">
        <f>IF($A548=0,"",VLOOKUP($A548,'BASE MATERIAL'!$A:$D,3))</f>
        <v/>
      </c>
      <c r="F548" s="55" t="s">
        <v>1682</v>
      </c>
      <c r="G548" s="55" t="str">
        <f>IF($A548=0,"",VLOOKUP($A548,'BASE MATERIAL'!$A:$D,4))</f>
        <v/>
      </c>
      <c r="H548" s="56" t="str">
        <f>IF($A548=0,"",ROUND(E548*F548,2))</f>
        <v/>
      </c>
      <c r="I548" s="2"/>
    </row>
    <row r="549" spans="1:9" x14ac:dyDescent="0.25">
      <c r="B549" s="73" t="s">
        <v>1681</v>
      </c>
      <c r="C549" s="65"/>
      <c r="D549" s="74"/>
      <c r="E549" s="74"/>
      <c r="F549" s="74"/>
      <c r="G549" s="74"/>
      <c r="H549" s="75">
        <f>ROUND(SUM(H532:H548),2)</f>
        <v>74.8</v>
      </c>
      <c r="I549" s="2"/>
    </row>
    <row r="550" spans="1:9" x14ac:dyDescent="0.25">
      <c r="B550" s="38" t="s">
        <v>1680</v>
      </c>
      <c r="C550" s="2"/>
      <c r="D550" s="3"/>
      <c r="E550" s="3"/>
      <c r="F550" s="3"/>
      <c r="G550" s="3"/>
      <c r="H550" s="56"/>
      <c r="I550" s="2"/>
    </row>
    <row r="551" spans="1:9" ht="25.5" x14ac:dyDescent="0.25">
      <c r="B551" s="64" t="s">
        <v>1409</v>
      </c>
      <c r="C551" s="65"/>
      <c r="D551" s="76"/>
      <c r="E551" s="66" t="s">
        <v>1408</v>
      </c>
      <c r="F551" s="66" t="s">
        <v>1679</v>
      </c>
      <c r="G551" s="66" t="s">
        <v>1676</v>
      </c>
      <c r="H551" s="68" t="s">
        <v>1675</v>
      </c>
      <c r="I551" s="2"/>
    </row>
    <row r="552" spans="1:9" x14ac:dyDescent="0.25">
      <c r="A552" s="103">
        <v>19019</v>
      </c>
      <c r="B552" s="51" t="str">
        <f>IF($A552=0,"",VLOOKUP($A552,'BASE EQUIPO'!$A:$D,2))</f>
        <v>TRANSPORTE DE MATERIAL</v>
      </c>
      <c r="C552" s="52"/>
      <c r="D552" s="82"/>
      <c r="E552" s="78" t="str">
        <f>IF($A552=0,"",VLOOKUP($A552,'BASE EQUIPO'!$A:$D,3))</f>
        <v>GLOBAL</v>
      </c>
      <c r="F552" s="55">
        <v>1</v>
      </c>
      <c r="G552" s="83">
        <f>IF($A552=0,"",VLOOKUP($A552,'BASE EQUIPO'!$A:$D,4)*H549)</f>
        <v>2.2439999999999998</v>
      </c>
      <c r="H552" s="56">
        <f>IF($A552=0,"",ROUND(F552*G552,2))</f>
        <v>2.2400000000000002</v>
      </c>
      <c r="I552" s="2"/>
    </row>
    <row r="553" spans="1:9" x14ac:dyDescent="0.25">
      <c r="B553" s="38" t="str">
        <f>IF($A553=0,"",VLOOKUP($A553,'BASE EQUIPO'!$A:$D,2))</f>
        <v/>
      </c>
      <c r="C553" s="2"/>
      <c r="D553" s="84"/>
      <c r="E553" s="78" t="str">
        <f>IF($A553=0,"",VLOOKUP($A553,'BASE EQUIPO'!$A:$D,3))</f>
        <v/>
      </c>
      <c r="F553" s="55"/>
      <c r="G553" s="55" t="str">
        <f>IF($A553=0,"",VLOOKUP($A553,'BASE EQUIPO'!$A:$D,4)*H550)</f>
        <v/>
      </c>
      <c r="H553" s="56" t="str">
        <f>IF($A553=0,"",ROUND(F553*G553,2))</f>
        <v/>
      </c>
      <c r="I553" s="2"/>
    </row>
    <row r="554" spans="1:9" x14ac:dyDescent="0.25">
      <c r="B554" s="57" t="str">
        <f>IF($A554=0,"",VLOOKUP($A554,'BASE EQUIPO'!$A:$D,2))</f>
        <v/>
      </c>
      <c r="C554" s="58"/>
      <c r="D554" s="85"/>
      <c r="E554" s="86" t="str">
        <f>IF($A554=0,"",VLOOKUP($A554,'BASE EQUIPO'!$A:$D,3))</f>
        <v/>
      </c>
      <c r="F554" s="59"/>
      <c r="G554" s="59" t="str">
        <f>IF($A554=0,"",VLOOKUP($A554,'BASE EQUIPO'!$A:$D,4)*H551)</f>
        <v/>
      </c>
      <c r="H554" s="60" t="str">
        <f>IF($A554=0,"",ROUND(F554*G554,2))</f>
        <v/>
      </c>
      <c r="I554" s="2"/>
    </row>
    <row r="555" spans="1:9" ht="15.75" thickBot="1" x14ac:dyDescent="0.3">
      <c r="B555" s="87" t="s">
        <v>1674</v>
      </c>
      <c r="C555" s="88"/>
      <c r="D555" s="89"/>
      <c r="E555" s="89"/>
      <c r="F555" s="89"/>
      <c r="G555" s="89"/>
      <c r="H555" s="90">
        <f>ROUND(SUM(H551:H554),2)</f>
        <v>2.2400000000000002</v>
      </c>
      <c r="I555" s="2"/>
    </row>
    <row r="556" spans="1:9" ht="15.75" x14ac:dyDescent="0.25">
      <c r="B556" s="2"/>
      <c r="C556" s="2"/>
      <c r="D556" s="91" t="s">
        <v>1673</v>
      </c>
      <c r="E556" s="47"/>
      <c r="F556" s="47"/>
      <c r="G556" s="47"/>
      <c r="H556" s="92">
        <f>ROUND(SUM(H555,H549,H530,H520),2)</f>
        <v>90.07</v>
      </c>
      <c r="I556" s="2"/>
    </row>
    <row r="557" spans="1:9" ht="15.75" x14ac:dyDescent="0.25">
      <c r="A557" s="103">
        <v>40002</v>
      </c>
      <c r="B557" s="2"/>
      <c r="C557" s="2"/>
      <c r="D557" s="93" t="s">
        <v>1672</v>
      </c>
      <c r="E557" s="65"/>
      <c r="F557" s="65"/>
      <c r="G557" s="94">
        <f>IF($A557=0,"",VLOOKUP($A557,'BASE MATERIAL'!$M:$P,4))</f>
        <v>0</v>
      </c>
      <c r="H557" s="95">
        <f>IF($A557=0,"",ROUND(G557*H556,2))</f>
        <v>0</v>
      </c>
      <c r="I557" s="2"/>
    </row>
    <row r="558" spans="1:9" ht="15.75" x14ac:dyDescent="0.25">
      <c r="A558" s="103">
        <v>40003</v>
      </c>
      <c r="B558" s="2"/>
      <c r="C558" s="2"/>
      <c r="D558" s="93" t="s">
        <v>1671</v>
      </c>
      <c r="E558" s="65"/>
      <c r="F558" s="65"/>
      <c r="G558" s="94">
        <f>IF($A558=0,"",VLOOKUP($A558,'BASE MATERIAL'!$M:$P,4))</f>
        <v>0</v>
      </c>
      <c r="H558" s="95">
        <f>IF($A558=0,"",ROUND(G558*H556,2))</f>
        <v>0</v>
      </c>
      <c r="I558" s="2"/>
    </row>
    <row r="559" spans="1:9" ht="15.75" x14ac:dyDescent="0.25">
      <c r="B559" s="2"/>
      <c r="C559" s="2"/>
      <c r="D559" s="93" t="s">
        <v>1670</v>
      </c>
      <c r="E559" s="65"/>
      <c r="F559" s="65"/>
      <c r="G559" s="65"/>
      <c r="H559" s="96">
        <f>ROUND(SUM(H556:H558),2)</f>
        <v>90.07</v>
      </c>
      <c r="I559" s="2"/>
    </row>
    <row r="560" spans="1:9" ht="16.5" thickBot="1" x14ac:dyDescent="0.3">
      <c r="B560" s="25"/>
      <c r="C560" s="2"/>
      <c r="D560" s="97" t="s">
        <v>1650</v>
      </c>
      <c r="E560" s="88"/>
      <c r="F560" s="88"/>
      <c r="G560" s="88"/>
      <c r="H560" s="98">
        <f>ROUND(H559,2)</f>
        <v>90.07</v>
      </c>
      <c r="I560" s="2"/>
    </row>
  </sheetData>
  <phoneticPr fontId="2" type="noConversion"/>
  <pageMargins left="0.75" right="0.75" top="1" bottom="1" header="0" footer="0"/>
  <pageSetup paperSize="9" scale="75" orientation="portrait" horizontalDpi="0" verticalDpi="0" r:id="rId1"/>
  <headerFooter alignWithMargins="0"/>
  <rowBreaks count="3" manualBreakCount="3">
    <brk id="168" max="16383" man="1"/>
    <brk id="336" min="1" max="7" man="1"/>
    <brk id="504" min="1" max="7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C81F9-A3CE-4CBD-ACB2-700A9DB43C29}">
  <sheetPr codeName="Hoja17"/>
  <dimension ref="A1:P784"/>
  <sheetViews>
    <sheetView workbookViewId="0"/>
  </sheetViews>
  <sheetFormatPr baseColWidth="10" defaultColWidth="11.42578125" defaultRowHeight="15" x14ac:dyDescent="0.25"/>
  <cols>
    <col min="1" max="1" width="7" style="103" bestFit="1" customWidth="1"/>
    <col min="2" max="2" width="12.140625" style="1" customWidth="1"/>
    <col min="3" max="3" width="26.28515625" style="1" customWidth="1"/>
    <col min="4" max="4" width="10.7109375" style="1" customWidth="1"/>
    <col min="5" max="5" width="12.140625" style="1" customWidth="1"/>
    <col min="6" max="6" width="13.28515625" style="1" customWidth="1"/>
    <col min="7" max="7" width="13.85546875" style="1" customWidth="1"/>
    <col min="8" max="8" width="12.42578125" style="1" customWidth="1"/>
    <col min="9" max="9" width="4.28515625" style="1" customWidth="1"/>
    <col min="10" max="10" width="7.42578125" style="1" customWidth="1"/>
    <col min="11" max="11" width="12" style="1" bestFit="1" customWidth="1"/>
    <col min="12" max="12" width="8.5703125" style="1" customWidth="1"/>
    <col min="13" max="13" width="12" style="1" customWidth="1"/>
    <col min="14" max="14" width="6" style="1" bestFit="1" customWidth="1"/>
    <col min="15" max="28" width="8.42578125" style="1" customWidth="1"/>
    <col min="29" max="16384" width="11.42578125" style="1"/>
  </cols>
  <sheetData>
    <row r="1" spans="1:15" ht="15.75" x14ac:dyDescent="0.25">
      <c r="B1" s="34" t="s">
        <v>1701</v>
      </c>
      <c r="C1" s="2"/>
      <c r="D1" s="3" t="str">
        <f>'1.1'!$D$1</f>
        <v>ESPOL</v>
      </c>
      <c r="E1" s="2"/>
      <c r="F1" s="2"/>
      <c r="H1" s="2" t="s">
        <v>108</v>
      </c>
      <c r="I1" s="2"/>
      <c r="L1" s="40">
        <f>A5</f>
        <v>1</v>
      </c>
      <c r="M1" s="1" t="str">
        <f>C6</f>
        <v>Puertas metálicas 2u(0.90m x 2. 10m). Código Pd2</v>
      </c>
      <c r="N1" s="2" t="str">
        <f>H5</f>
        <v>U</v>
      </c>
      <c r="O1" s="2">
        <f>H56</f>
        <v>771.32</v>
      </c>
    </row>
    <row r="2" spans="1:15" ht="15.75" x14ac:dyDescent="0.25">
      <c r="B2" s="34" t="s">
        <v>1700</v>
      </c>
      <c r="C2" s="3">
        <f>'1.1'!$C$2</f>
        <v>0</v>
      </c>
      <c r="D2" s="2"/>
      <c r="E2" s="2"/>
      <c r="F2" s="2"/>
      <c r="G2" s="41" t="s">
        <v>1699</v>
      </c>
      <c r="H2" s="42"/>
      <c r="I2" s="2" t="s">
        <v>1698</v>
      </c>
    </row>
    <row r="3" spans="1:15" ht="15.75" x14ac:dyDescent="0.25">
      <c r="B3" s="34"/>
      <c r="C3" s="3">
        <f>'1.1'!$C$3</f>
        <v>0</v>
      </c>
      <c r="D3" s="2"/>
      <c r="E3" s="2"/>
      <c r="F3" s="2"/>
      <c r="G3" s="2"/>
      <c r="H3" s="2"/>
      <c r="I3" s="2"/>
    </row>
    <row r="4" spans="1:15" ht="15.75" x14ac:dyDescent="0.25">
      <c r="B4" s="34" t="s">
        <v>1697</v>
      </c>
      <c r="C4" s="3"/>
      <c r="D4" s="2"/>
      <c r="E4" s="2"/>
      <c r="F4" s="2"/>
      <c r="G4" s="2"/>
      <c r="H4" s="2"/>
      <c r="I4" s="2"/>
    </row>
    <row r="5" spans="1:15" x14ac:dyDescent="0.25">
      <c r="A5" s="104">
        <v>1</v>
      </c>
      <c r="B5" s="2" t="s">
        <v>1586</v>
      </c>
      <c r="C5" s="36" t="s">
        <v>1536</v>
      </c>
      <c r="D5" s="2"/>
      <c r="G5" s="2" t="s">
        <v>1696</v>
      </c>
      <c r="H5" s="3" t="s">
        <v>744</v>
      </c>
      <c r="I5" s="2"/>
    </row>
    <row r="6" spans="1:15" x14ac:dyDescent="0.25">
      <c r="B6" s="1" t="s">
        <v>1585</v>
      </c>
      <c r="C6" s="36" t="s">
        <v>619</v>
      </c>
      <c r="D6" s="2"/>
      <c r="E6" s="2"/>
      <c r="F6" s="2"/>
      <c r="G6" s="2"/>
      <c r="H6" s="2"/>
      <c r="I6" s="2"/>
    </row>
    <row r="7" spans="1:15" ht="15.75" thickBot="1" x14ac:dyDescent="0.3">
      <c r="D7" s="2"/>
      <c r="E7" s="2"/>
      <c r="F7" s="2"/>
      <c r="G7" s="2"/>
      <c r="H7" s="2"/>
      <c r="I7" s="2"/>
    </row>
    <row r="8" spans="1:15" ht="15.75" thickBot="1" x14ac:dyDescent="0.3">
      <c r="B8" s="43" t="s">
        <v>1695</v>
      </c>
      <c r="C8" s="44"/>
      <c r="D8" s="44"/>
      <c r="E8" s="44"/>
      <c r="F8" s="44"/>
      <c r="G8" s="44"/>
      <c r="H8" s="45"/>
      <c r="I8" s="2"/>
    </row>
    <row r="9" spans="1:15" ht="25.5" x14ac:dyDescent="0.25">
      <c r="B9" s="46" t="s">
        <v>1409</v>
      </c>
      <c r="C9" s="47"/>
      <c r="D9" s="48" t="s">
        <v>1690</v>
      </c>
      <c r="E9" s="48" t="s">
        <v>1694</v>
      </c>
      <c r="F9" s="48" t="s">
        <v>1693</v>
      </c>
      <c r="G9" s="49" t="s">
        <v>1687</v>
      </c>
      <c r="H9" s="50" t="s">
        <v>1686</v>
      </c>
      <c r="I9" s="2"/>
    </row>
    <row r="10" spans="1:15" x14ac:dyDescent="0.25">
      <c r="A10" s="103">
        <v>19015</v>
      </c>
      <c r="B10" s="51" t="str">
        <f>IF($A10=0,"",VLOOKUP($A10,'BASE EQUIPO'!$A:$D,2))</f>
        <v>HERRAMIENTA MENOR</v>
      </c>
      <c r="C10" s="52"/>
      <c r="D10" s="53">
        <v>1</v>
      </c>
      <c r="E10" s="53">
        <f>IF($A10=0,"",VLOOKUP($A10,'BASE EQUIPO'!$A:$D,4)*H26)</f>
        <v>3.6416999999999997</v>
      </c>
      <c r="F10" s="53">
        <f t="shared" ref="F10:F15" si="0">IF($A10=0,"",ROUND(D10*E10,2))</f>
        <v>3.64</v>
      </c>
      <c r="G10" s="105">
        <v>1</v>
      </c>
      <c r="H10" s="54">
        <f t="shared" ref="H10:H15" si="1">IF($A10=0,"",ROUND(G10*F10,2))</f>
        <v>3.64</v>
      </c>
      <c r="I10" s="2"/>
    </row>
    <row r="11" spans="1:15" x14ac:dyDescent="0.25">
      <c r="A11" s="103">
        <v>19011</v>
      </c>
      <c r="B11" s="38" t="str">
        <f>IF($A11=0,"",VLOOKUP($A11,'BASE EQUIPO'!$A:$D,2))</f>
        <v>SOLDADORA</v>
      </c>
      <c r="C11" s="2"/>
      <c r="D11" s="55">
        <v>1</v>
      </c>
      <c r="E11" s="55">
        <f>IF($A11=0,"",VLOOKUP($A11,'BASE EQUIPO'!$A:$D,4))</f>
        <v>2.5</v>
      </c>
      <c r="F11" s="55">
        <f t="shared" si="0"/>
        <v>2.5</v>
      </c>
      <c r="G11" s="106">
        <f>ROUND(G20*0.25,3)</f>
        <v>3</v>
      </c>
      <c r="H11" s="56">
        <f t="shared" si="1"/>
        <v>7.5</v>
      </c>
      <c r="I11" s="2"/>
    </row>
    <row r="12" spans="1:15" x14ac:dyDescent="0.25">
      <c r="B12" s="38" t="str">
        <f>IF($A12=0,"",VLOOKUP($A12,'BASE EQUIPO'!$A:$D,2))</f>
        <v/>
      </c>
      <c r="C12" s="2"/>
      <c r="D12" s="55"/>
      <c r="E12" s="55" t="str">
        <f>IF($A12=0,"",VLOOKUP($A12,'BASE EQUIPO'!$A:$D,4))</f>
        <v/>
      </c>
      <c r="F12" s="55" t="str">
        <f t="shared" si="0"/>
        <v/>
      </c>
      <c r="G12" s="106"/>
      <c r="H12" s="56" t="str">
        <f t="shared" si="1"/>
        <v/>
      </c>
      <c r="I12" s="2"/>
    </row>
    <row r="13" spans="1:15" x14ac:dyDescent="0.25">
      <c r="B13" s="38" t="str">
        <f>IF($A13=0,"",VLOOKUP($A13,'BASE EQUIPO'!$A:$D,2))</f>
        <v/>
      </c>
      <c r="C13" s="2"/>
      <c r="D13" s="55"/>
      <c r="E13" s="55" t="str">
        <f>IF($A13=0,"",VLOOKUP($A13,'BASE EQUIPO'!$A:$D,4))</f>
        <v/>
      </c>
      <c r="F13" s="55" t="str">
        <f t="shared" si="0"/>
        <v/>
      </c>
      <c r="G13" s="106"/>
      <c r="H13" s="56" t="str">
        <f t="shared" si="1"/>
        <v/>
      </c>
      <c r="I13" s="2"/>
    </row>
    <row r="14" spans="1:15" x14ac:dyDescent="0.25">
      <c r="B14" s="38" t="str">
        <f>IF($A14=0,"",VLOOKUP($A14,'BASE EQUIPO'!$A:$D,2))</f>
        <v/>
      </c>
      <c r="C14" s="2"/>
      <c r="D14" s="55"/>
      <c r="E14" s="55" t="str">
        <f>IF($A14=0,"",VLOOKUP($A14,'BASE EQUIPO'!$A:$D,4))</f>
        <v/>
      </c>
      <c r="F14" s="55" t="str">
        <f t="shared" si="0"/>
        <v/>
      </c>
      <c r="G14" s="106"/>
      <c r="H14" s="56" t="str">
        <f t="shared" si="1"/>
        <v/>
      </c>
      <c r="I14" s="2"/>
    </row>
    <row r="15" spans="1:15" x14ac:dyDescent="0.25">
      <c r="B15" s="57" t="str">
        <f>IF($A15=0,"",VLOOKUP($A15,'BASE EQUIPO'!$A:$D,2))</f>
        <v/>
      </c>
      <c r="C15" s="58"/>
      <c r="D15" s="59"/>
      <c r="E15" s="59" t="str">
        <f>IF($A15=0,"",VLOOKUP($A15,'BASE EQUIPO'!$A:$D,4))</f>
        <v/>
      </c>
      <c r="F15" s="59" t="str">
        <f t="shared" si="0"/>
        <v/>
      </c>
      <c r="G15" s="107"/>
      <c r="H15" s="60" t="str">
        <f t="shared" si="1"/>
        <v/>
      </c>
      <c r="I15" s="2"/>
    </row>
    <row r="16" spans="1:15" x14ac:dyDescent="0.25">
      <c r="B16" s="57" t="s">
        <v>1692</v>
      </c>
      <c r="C16" s="58"/>
      <c r="D16" s="61"/>
      <c r="E16" s="61"/>
      <c r="F16" s="61"/>
      <c r="G16" s="62"/>
      <c r="H16" s="60">
        <f>ROUND(SUM(H9:H15),2)</f>
        <v>11.14</v>
      </c>
      <c r="I16" s="2"/>
    </row>
    <row r="17" spans="1:16" x14ac:dyDescent="0.25">
      <c r="B17" s="38" t="s">
        <v>1503</v>
      </c>
      <c r="C17" s="2"/>
      <c r="D17" s="3"/>
      <c r="E17" s="3"/>
      <c r="F17" s="3"/>
      <c r="G17" s="63"/>
      <c r="H17" s="56"/>
      <c r="I17" s="2"/>
    </row>
    <row r="18" spans="1:16" ht="25.5" x14ac:dyDescent="0.25">
      <c r="B18" s="64" t="s">
        <v>1691</v>
      </c>
      <c r="C18" s="65"/>
      <c r="D18" s="66" t="s">
        <v>1690</v>
      </c>
      <c r="E18" s="66" t="s">
        <v>1689</v>
      </c>
      <c r="F18" s="66" t="s">
        <v>1688</v>
      </c>
      <c r="G18" s="67" t="s">
        <v>1687</v>
      </c>
      <c r="H18" s="68" t="s">
        <v>1686</v>
      </c>
      <c r="I18" s="2"/>
    </row>
    <row r="19" spans="1:16" x14ac:dyDescent="0.25">
      <c r="A19" s="103">
        <v>20001</v>
      </c>
      <c r="B19" s="69" t="str">
        <f>IF($A19=0,"",VLOOKUP($A19,'BASE M-OBRA'!$A:$D,2))</f>
        <v>MAESTRO</v>
      </c>
      <c r="C19" s="2"/>
      <c r="D19" s="108">
        <v>1</v>
      </c>
      <c r="E19" s="70">
        <f>IF($A19=0,"",VLOOKUP($A19,'BASE M-OBRA'!$A:$D,4))</f>
        <v>3.02</v>
      </c>
      <c r="F19" s="55">
        <f t="shared" ref="F19:F25" si="2">IF($A19=0,"",ROUND(D19*E19,2))</f>
        <v>3.02</v>
      </c>
      <c r="G19" s="106">
        <f>IF($A19=0,"",ROUND(H19/F19,2))</f>
        <v>6.7</v>
      </c>
      <c r="H19" s="56">
        <f>IF($A19=0,"",ROUND(SUM(H20:H25)*'BASE M-OBRA'!$D$23,2))</f>
        <v>20.23</v>
      </c>
      <c r="I19" s="2"/>
    </row>
    <row r="20" spans="1:16" x14ac:dyDescent="0.25">
      <c r="A20" s="103">
        <v>20002</v>
      </c>
      <c r="B20" s="69" t="str">
        <f>IF($A20=0,"",VLOOKUP($A20,'BASE M-OBRA'!$A:$D,2))</f>
        <v>PEON</v>
      </c>
      <c r="C20" s="2"/>
      <c r="D20" s="108">
        <v>1</v>
      </c>
      <c r="E20" s="70">
        <f>IF($A20=0,"",VLOOKUP($A20,'BASE M-OBRA'!$A:$D,4))</f>
        <v>2.79</v>
      </c>
      <c r="F20" s="55">
        <f t="shared" si="2"/>
        <v>2.79</v>
      </c>
      <c r="G20" s="106">
        <v>12</v>
      </c>
      <c r="H20" s="56">
        <f t="shared" ref="H20:H25" si="3">IF($A20=0,"",ROUND(G20*F20,2))</f>
        <v>33.479999999999997</v>
      </c>
      <c r="I20" s="2"/>
    </row>
    <row r="21" spans="1:16" x14ac:dyDescent="0.25">
      <c r="A21" s="103">
        <v>20003</v>
      </c>
      <c r="B21" s="69" t="str">
        <f>IF($A21=0,"",VLOOKUP($A21,'BASE M-OBRA'!$A:$D,2))</f>
        <v>ALBAÑIL</v>
      </c>
      <c r="C21" s="2"/>
      <c r="D21" s="108">
        <v>2</v>
      </c>
      <c r="E21" s="70">
        <f>IF($A21=0,"",VLOOKUP($A21,'BASE M-OBRA'!$A:$D,4))</f>
        <v>2.82</v>
      </c>
      <c r="F21" s="55">
        <f t="shared" si="2"/>
        <v>5.64</v>
      </c>
      <c r="G21" s="106">
        <f>+G20</f>
        <v>12</v>
      </c>
      <c r="H21" s="56">
        <f t="shared" si="3"/>
        <v>67.680000000000007</v>
      </c>
      <c r="I21" s="2"/>
    </row>
    <row r="22" spans="1:16" x14ac:dyDescent="0.25">
      <c r="B22" s="71" t="str">
        <f>IF($A22=0,"",VLOOKUP($A22,'BASE M-OBRA'!$A:$D,2))</f>
        <v/>
      </c>
      <c r="C22" s="2"/>
      <c r="D22" s="108"/>
      <c r="E22" s="70" t="str">
        <f>IF($A22=0,"",VLOOKUP($A22,'BASE M-OBRA'!$A:$D,4))</f>
        <v/>
      </c>
      <c r="F22" s="55" t="str">
        <f t="shared" si="2"/>
        <v/>
      </c>
      <c r="G22" s="106"/>
      <c r="H22" s="56" t="str">
        <f t="shared" si="3"/>
        <v/>
      </c>
      <c r="I22" s="2"/>
    </row>
    <row r="23" spans="1:16" x14ac:dyDescent="0.25">
      <c r="B23" s="72" t="str">
        <f>IF($A23=0,"",VLOOKUP($A23,'BASE M-OBRA'!$A:$D,2))</f>
        <v/>
      </c>
      <c r="C23" s="2"/>
      <c r="D23" s="108"/>
      <c r="E23" s="70" t="str">
        <f>IF($A23=0,"",VLOOKUP($A23,'BASE M-OBRA'!$A:$D,4))</f>
        <v/>
      </c>
      <c r="F23" s="55" t="str">
        <f t="shared" si="2"/>
        <v/>
      </c>
      <c r="G23" s="106"/>
      <c r="H23" s="56" t="str">
        <f t="shared" si="3"/>
        <v/>
      </c>
      <c r="I23" s="2"/>
    </row>
    <row r="24" spans="1:16" x14ac:dyDescent="0.25">
      <c r="B24" s="38" t="str">
        <f>IF($A24=0,"",VLOOKUP($A24,'BASE M-OBRA'!$A:$D,2))</f>
        <v/>
      </c>
      <c r="C24" s="2"/>
      <c r="D24" s="55"/>
      <c r="E24" s="55" t="str">
        <f>IF($A24=0,"",VLOOKUP($A24,'BASE M-OBRA'!$A:$D,4))</f>
        <v/>
      </c>
      <c r="F24" s="55" t="str">
        <f t="shared" si="2"/>
        <v/>
      </c>
      <c r="G24" s="106"/>
      <c r="H24" s="56" t="str">
        <f t="shared" si="3"/>
        <v/>
      </c>
      <c r="I24" s="2"/>
    </row>
    <row r="25" spans="1:16" x14ac:dyDescent="0.25">
      <c r="B25" s="57" t="str">
        <f>IF($A25=0,"",VLOOKUP($A25,'BASE M-OBRA'!$A:$D,2))</f>
        <v/>
      </c>
      <c r="C25" s="58"/>
      <c r="D25" s="59"/>
      <c r="E25" s="59" t="str">
        <f>IF($A25=0,"",VLOOKUP($A25,'BASE M-OBRA'!$A:$D,4))</f>
        <v/>
      </c>
      <c r="F25" s="59" t="str">
        <f t="shared" si="2"/>
        <v/>
      </c>
      <c r="G25" s="107"/>
      <c r="H25" s="60" t="str">
        <f t="shared" si="3"/>
        <v/>
      </c>
      <c r="I25" s="2"/>
    </row>
    <row r="26" spans="1:16" x14ac:dyDescent="0.25">
      <c r="B26" s="73" t="s">
        <v>1685</v>
      </c>
      <c r="C26" s="65"/>
      <c r="D26" s="74"/>
      <c r="E26" s="74"/>
      <c r="F26" s="74"/>
      <c r="G26" s="74"/>
      <c r="H26" s="75">
        <f>ROUND(SUM(H18:H25),2)</f>
        <v>121.39</v>
      </c>
      <c r="I26" s="2"/>
    </row>
    <row r="27" spans="1:16" x14ac:dyDescent="0.25">
      <c r="B27" s="38" t="s">
        <v>1684</v>
      </c>
      <c r="C27" s="2"/>
      <c r="D27" s="3"/>
      <c r="E27" s="3"/>
      <c r="F27" s="3"/>
      <c r="G27" s="3"/>
      <c r="H27" s="56"/>
      <c r="I27" s="2"/>
    </row>
    <row r="28" spans="1:16" ht="25.5" x14ac:dyDescent="0.25">
      <c r="B28" s="64" t="s">
        <v>1409</v>
      </c>
      <c r="C28" s="65"/>
      <c r="D28" s="76"/>
      <c r="E28" s="66" t="s">
        <v>1408</v>
      </c>
      <c r="F28" s="66" t="s">
        <v>1679</v>
      </c>
      <c r="G28" s="66" t="s">
        <v>1683</v>
      </c>
      <c r="H28" s="68" t="s">
        <v>1675</v>
      </c>
      <c r="I28" s="2"/>
    </row>
    <row r="29" spans="1:16" x14ac:dyDescent="0.25">
      <c r="A29" s="103">
        <v>14002</v>
      </c>
      <c r="B29" s="37" t="str">
        <f>IF($A29=0,"",VLOOKUP($A29,'BASE MATERIAL'!$A:$D,2))</f>
        <v>SOLDADURA aga 60/11</v>
      </c>
      <c r="C29" s="2"/>
      <c r="D29" s="77"/>
      <c r="E29" s="78" t="str">
        <f>IF($A29=0,"",VLOOKUP($A29,'BASE MATERIAL'!$A:$D,3))</f>
        <v>KG</v>
      </c>
      <c r="F29" s="80">
        <f>ROUND(0.044*F30,4)</f>
        <v>3.08</v>
      </c>
      <c r="G29" s="55">
        <f>IF($A29=0,"",VLOOKUP($A29,'BASE MATERIAL'!$A:$D,4))</f>
        <v>3.65</v>
      </c>
      <c r="H29" s="56">
        <f t="shared" ref="H29:H43" si="4">IF($A29=0,"",ROUND(F29*G29,2))</f>
        <v>11.24</v>
      </c>
      <c r="I29" s="2"/>
      <c r="L29" s="2">
        <f>2*2</f>
        <v>4</v>
      </c>
      <c r="M29" s="2"/>
      <c r="N29" s="39"/>
      <c r="O29" s="2"/>
      <c r="P29" s="2"/>
    </row>
    <row r="30" spans="1:16" x14ac:dyDescent="0.25">
      <c r="A30" s="103">
        <v>1004</v>
      </c>
      <c r="B30" s="38" t="str">
        <f>IF($A30=0,"",VLOOKUP($A30,'BASE MATERIAL'!$A:$D,2))</f>
        <v>PERFILERIA METALICA</v>
      </c>
      <c r="C30" s="2"/>
      <c r="D30" s="77"/>
      <c r="E30" s="78" t="str">
        <f>IF($A30=0,"",VLOOKUP($A30,'BASE MATERIAL'!$A:$D,3))</f>
        <v>KG</v>
      </c>
      <c r="F30" s="80">
        <v>70</v>
      </c>
      <c r="G30" s="55">
        <f>IF($A30=0,"",VLOOKUP($A30,'BASE MATERIAL'!$A:$D,4))</f>
        <v>1.27</v>
      </c>
      <c r="H30" s="56">
        <f t="shared" si="4"/>
        <v>88.9</v>
      </c>
      <c r="I30" s="2"/>
      <c r="K30" s="1">
        <f>22*0.888*1.05</f>
        <v>20.512800000000002</v>
      </c>
      <c r="L30" s="2"/>
      <c r="M30" s="2"/>
      <c r="N30" s="39"/>
      <c r="O30" s="2"/>
      <c r="P30" s="2"/>
    </row>
    <row r="31" spans="1:16" x14ac:dyDescent="0.25">
      <c r="A31" s="103">
        <v>13001</v>
      </c>
      <c r="B31" s="38" t="str">
        <f>IF($A31=0,"",VLOOKUP($A31,'BASE MATERIAL'!$A:$D,2))</f>
        <v>PINTURA PARA PROTECCION METALICA</v>
      </c>
      <c r="C31" s="2"/>
      <c r="D31" s="77"/>
      <c r="E31" s="78" t="str">
        <f>IF($A31=0,"",VLOOKUP($A31,'BASE MATERIAL'!$A:$D,3))</f>
        <v>GL</v>
      </c>
      <c r="F31" s="80">
        <v>1</v>
      </c>
      <c r="G31" s="55">
        <f>IF($A31=0,"",VLOOKUP($A31,'BASE MATERIAL'!$A:$D,4))</f>
        <v>37.72</v>
      </c>
      <c r="H31" s="56">
        <f t="shared" si="4"/>
        <v>37.72</v>
      </c>
      <c r="I31" s="2"/>
      <c r="K31" s="1">
        <f>3.1416*0.025*7.85*2*7</f>
        <v>8.6315460000000002</v>
      </c>
      <c r="L31" s="2"/>
      <c r="M31" s="2"/>
      <c r="N31" s="39"/>
      <c r="O31" s="2"/>
      <c r="P31" s="2"/>
    </row>
    <row r="32" spans="1:16" x14ac:dyDescent="0.25">
      <c r="A32" s="103">
        <v>13002</v>
      </c>
      <c r="B32" s="38" t="str">
        <f>IF($A32=0,"",VLOOKUP($A32,'BASE MATERIAL'!$A:$D,2))</f>
        <v>PINTURA PARA ACABADO METALICO</v>
      </c>
      <c r="C32" s="2"/>
      <c r="D32" s="77"/>
      <c r="E32" s="78" t="str">
        <f>IF($A32=0,"",VLOOKUP($A32,'BASE MATERIAL'!$A:$D,3))</f>
        <v>GL</v>
      </c>
      <c r="F32" s="80">
        <v>1</v>
      </c>
      <c r="G32" s="55">
        <f>IF($A32=0,"",VLOOKUP($A32,'BASE MATERIAL'!$A:$D,4))</f>
        <v>38.520000000000003</v>
      </c>
      <c r="H32" s="56">
        <f t="shared" si="4"/>
        <v>38.520000000000003</v>
      </c>
      <c r="I32" s="2"/>
      <c r="L32" s="2"/>
      <c r="M32" s="2"/>
      <c r="N32" s="39"/>
      <c r="O32" s="2"/>
      <c r="P32" s="2"/>
    </row>
    <row r="33" spans="1:16" x14ac:dyDescent="0.25">
      <c r="A33" s="103">
        <v>13011</v>
      </c>
      <c r="B33" s="38" t="str">
        <f>IF($A33=0,"",VLOOKUP($A33,'BASE MATERIAL'!$A:$D,2))</f>
        <v>DESOXIDANTE</v>
      </c>
      <c r="C33" s="2"/>
      <c r="D33" s="77"/>
      <c r="E33" s="78" t="str">
        <f>IF($A33=0,"",VLOOKUP($A33,'BASE MATERIAL'!$A:$D,3))</f>
        <v>GL</v>
      </c>
      <c r="F33" s="80">
        <f>ROUND(0.2*(F31+F32),4)</f>
        <v>0.4</v>
      </c>
      <c r="G33" s="55">
        <f>IF($A33=0,"",VLOOKUP($A33,'BASE MATERIAL'!$A:$D,4))</f>
        <v>12</v>
      </c>
      <c r="H33" s="56">
        <f t="shared" si="4"/>
        <v>4.8</v>
      </c>
      <c r="I33" s="2"/>
      <c r="K33" s="1">
        <f>3.1416*0.05</f>
        <v>0.15708</v>
      </c>
      <c r="L33" s="2"/>
      <c r="M33" s="2"/>
      <c r="N33" s="39"/>
      <c r="O33" s="2"/>
      <c r="P33" s="2"/>
    </row>
    <row r="34" spans="1:16" x14ac:dyDescent="0.25">
      <c r="A34" s="103">
        <v>13010</v>
      </c>
      <c r="B34" s="38" t="str">
        <f>IF($A34=0,"",VLOOKUP($A34,'BASE MATERIAL'!$A:$D,2))</f>
        <v>DILUYENTE</v>
      </c>
      <c r="C34" s="2"/>
      <c r="D34" s="77"/>
      <c r="E34" s="78" t="str">
        <f>IF($A34=0,"",VLOOKUP($A34,'BASE MATERIAL'!$A:$D,3))</f>
        <v>GL</v>
      </c>
      <c r="F34" s="55">
        <f>+F31*0.5*2</f>
        <v>1</v>
      </c>
      <c r="G34" s="55">
        <f>IF($A34=0,"",VLOOKUP($A34,'BASE MATERIAL'!$A:$D,4))</f>
        <v>6</v>
      </c>
      <c r="H34" s="56">
        <f t="shared" si="4"/>
        <v>6</v>
      </c>
      <c r="I34" s="2"/>
      <c r="K34" s="1">
        <f>30/K33</f>
        <v>190.98548510313216</v>
      </c>
      <c r="L34" s="2"/>
      <c r="M34" s="2">
        <f>3.3/0.15</f>
        <v>22</v>
      </c>
      <c r="N34" s="39"/>
      <c r="O34" s="2"/>
      <c r="P34" s="2"/>
    </row>
    <row r="35" spans="1:16" x14ac:dyDescent="0.25">
      <c r="A35" s="103">
        <v>1</v>
      </c>
      <c r="B35" s="38" t="s">
        <v>904</v>
      </c>
      <c r="C35" s="2"/>
      <c r="D35" s="77"/>
      <c r="E35" s="78" t="s">
        <v>772</v>
      </c>
      <c r="F35" s="55">
        <f>(10*1)*2</f>
        <v>20</v>
      </c>
      <c r="G35" s="55">
        <v>15</v>
      </c>
      <c r="H35" s="56">
        <f t="shared" si="4"/>
        <v>300</v>
      </c>
      <c r="I35" s="2"/>
      <c r="K35" s="1">
        <f>3.1416*0.025</f>
        <v>7.8539999999999999E-2</v>
      </c>
      <c r="L35" s="2"/>
      <c r="M35" s="2">
        <f>+M34/3.3</f>
        <v>6.666666666666667</v>
      </c>
      <c r="N35" s="39"/>
      <c r="O35" s="2"/>
      <c r="P35" s="2"/>
    </row>
    <row r="36" spans="1:16" x14ac:dyDescent="0.25">
      <c r="B36" s="38" t="str">
        <f>IF($A36=0,"",VLOOKUP($A36,'BASE MATERIAL'!$A:$D,2))</f>
        <v/>
      </c>
      <c r="C36" s="2"/>
      <c r="D36" s="77"/>
      <c r="E36" s="78" t="str">
        <f>IF($A36=0,"",VLOOKUP($A36,'BASE MATERIAL'!$A:$D,3))</f>
        <v/>
      </c>
      <c r="F36" s="55"/>
      <c r="G36" s="55" t="str">
        <f>IF($A36=0,"",VLOOKUP($A36,'BASE MATERIAL'!$A:$D,4))</f>
        <v/>
      </c>
      <c r="H36" s="56" t="str">
        <f t="shared" si="4"/>
        <v/>
      </c>
      <c r="I36" s="2"/>
      <c r="K36" s="1">
        <f>+K34*K35</f>
        <v>15</v>
      </c>
      <c r="L36" s="2"/>
      <c r="M36" s="2"/>
      <c r="N36" s="39"/>
      <c r="O36" s="2"/>
      <c r="P36" s="2"/>
    </row>
    <row r="37" spans="1:16" x14ac:dyDescent="0.25">
      <c r="A37" s="103">
        <v>10029</v>
      </c>
      <c r="B37" s="38" t="str">
        <f>IF($A37=0,"",VLOOKUP($A37,'BASE MATERIAL'!$A:$D,2))</f>
        <v>CIERRAPUERTAS</v>
      </c>
      <c r="C37" s="2"/>
      <c r="D37" s="77"/>
      <c r="E37" s="78" t="str">
        <f>IF($A37=0,"",VLOOKUP($A37,'BASE MATERIAL'!$A:$D,3))</f>
        <v>U</v>
      </c>
      <c r="F37" s="55">
        <v>2</v>
      </c>
      <c r="G37" s="80">
        <f>IF($A37=0,"",VLOOKUP($A37,'BASE MATERIAL'!$A:$D,4))</f>
        <v>47</v>
      </c>
      <c r="H37" s="56">
        <f t="shared" si="4"/>
        <v>94</v>
      </c>
      <c r="I37" s="2"/>
      <c r="K37" s="1">
        <f>3.3+1*3</f>
        <v>6.3</v>
      </c>
      <c r="L37" s="1">
        <f>7.85*(0.1*2+0.05*2)*2</f>
        <v>4.7100000000000009</v>
      </c>
      <c r="M37" s="1">
        <f>+K37*L37</f>
        <v>29.673000000000005</v>
      </c>
    </row>
    <row r="38" spans="1:16" x14ac:dyDescent="0.25">
      <c r="A38" s="103">
        <v>10010</v>
      </c>
      <c r="B38" s="38" t="str">
        <f>IF($A38=0,"",VLOOKUP($A38,'BASE MATERIAL'!$A:$D,2))</f>
        <v>CERRADURA ENGRAPE</v>
      </c>
      <c r="C38" s="2"/>
      <c r="D38" s="77"/>
      <c r="E38" s="78" t="str">
        <f>IF($A38=0,"",VLOOKUP($A38,'BASE MATERIAL'!$A:$D,3))</f>
        <v>U</v>
      </c>
      <c r="F38" s="55">
        <v>1</v>
      </c>
      <c r="G38" s="80">
        <f>IF($A38=0,"",VLOOKUP($A38,'BASE MATERIAL'!$A:$D,4))</f>
        <v>30</v>
      </c>
      <c r="H38" s="56">
        <f t="shared" si="4"/>
        <v>30</v>
      </c>
      <c r="I38" s="2"/>
      <c r="K38" s="1">
        <v>3.3</v>
      </c>
      <c r="L38" s="1">
        <f>7.85*(0.1)*8</f>
        <v>6.28</v>
      </c>
      <c r="M38" s="1">
        <f>+K38*L38</f>
        <v>20.724</v>
      </c>
      <c r="N38" s="39"/>
      <c r="O38" s="2"/>
      <c r="P38" s="2"/>
    </row>
    <row r="39" spans="1:16" x14ac:dyDescent="0.25">
      <c r="A39" s="103">
        <v>10022</v>
      </c>
      <c r="B39" s="38" t="str">
        <f>IF($A39=0,"",VLOOKUP($A39,'BASE MATERIAL'!$A:$D,2))</f>
        <v>BISAGRAS DE ACERO</v>
      </c>
      <c r="C39" s="2"/>
      <c r="D39" s="77"/>
      <c r="E39" s="78" t="str">
        <f>IF($A39=0,"",VLOOKUP($A39,'BASE MATERIAL'!$A:$D,3))</f>
        <v>U</v>
      </c>
      <c r="F39" s="55">
        <f>3*2</f>
        <v>6</v>
      </c>
      <c r="G39" s="55">
        <f>IF($A39=0,"",VLOOKUP($A39,'BASE MATERIAL'!$A:$D,4))</f>
        <v>1.5</v>
      </c>
      <c r="H39" s="56">
        <f t="shared" si="4"/>
        <v>9</v>
      </c>
      <c r="I39" s="2"/>
      <c r="L39" s="2"/>
      <c r="M39" s="2">
        <f>+M37+M38</f>
        <v>50.397000000000006</v>
      </c>
      <c r="N39" s="39"/>
      <c r="O39" s="2"/>
      <c r="P39" s="2"/>
    </row>
    <row r="40" spans="1:16" x14ac:dyDescent="0.25">
      <c r="B40" s="38" t="str">
        <f>IF($A40=0,"",VLOOKUP($A40,'BASE MATERIAL'!$A:$D,2))</f>
        <v/>
      </c>
      <c r="C40" s="2"/>
      <c r="D40" s="77"/>
      <c r="E40" s="78" t="str">
        <f>IF($A40=0,"",VLOOKUP($A40,'BASE MATERIAL'!$A:$D,3))</f>
        <v/>
      </c>
      <c r="F40" s="55"/>
      <c r="G40" s="55" t="str">
        <f>IF($A40=0,"",VLOOKUP($A40,'BASE MATERIAL'!$A:$D,4))</f>
        <v/>
      </c>
      <c r="H40" s="56" t="str">
        <f t="shared" si="4"/>
        <v/>
      </c>
      <c r="I40" s="2"/>
      <c r="M40" s="1">
        <f>+M39/3.3</f>
        <v>15.271818181818185</v>
      </c>
    </row>
    <row r="41" spans="1:16" x14ac:dyDescent="0.25">
      <c r="B41" s="38" t="str">
        <f>IF($A41=0,"",VLOOKUP($A41,'BASE MATERIAL'!$A:$D,2))</f>
        <v/>
      </c>
      <c r="C41" s="2"/>
      <c r="D41" s="77"/>
      <c r="E41" s="78" t="str">
        <f>IF($A41=0,"",VLOOKUP($A41,'BASE MATERIAL'!$A:$D,3))</f>
        <v/>
      </c>
      <c r="F41" s="55"/>
      <c r="G41" s="55" t="str">
        <f>IF($A41=0,"",VLOOKUP($A41,'BASE MATERIAL'!$A:$D,4))</f>
        <v/>
      </c>
      <c r="H41" s="56" t="str">
        <f t="shared" si="4"/>
        <v/>
      </c>
      <c r="I41" s="2"/>
      <c r="M41" s="1">
        <f>+M40*1.05</f>
        <v>16.035409090909095</v>
      </c>
    </row>
    <row r="42" spans="1:16" x14ac:dyDescent="0.25">
      <c r="B42" s="38" t="str">
        <f>IF($A42=0,"",VLOOKUP($A42,'BASE MATERIAL'!$A:$D,2))</f>
        <v/>
      </c>
      <c r="C42" s="2"/>
      <c r="D42" s="77"/>
      <c r="E42" s="78" t="str">
        <f>IF($A42=0,"",VLOOKUP($A42,'BASE MATERIAL'!$A:$D,3))</f>
        <v/>
      </c>
      <c r="F42" s="55"/>
      <c r="G42" s="55" t="str">
        <f>IF($A42=0,"",VLOOKUP($A42,'BASE MATERIAL'!$A:$D,4))</f>
        <v/>
      </c>
      <c r="H42" s="56" t="str">
        <f t="shared" si="4"/>
        <v/>
      </c>
      <c r="I42" s="2"/>
      <c r="M42" s="1">
        <f>+M41*1*2*2</f>
        <v>64.14163636363638</v>
      </c>
    </row>
    <row r="43" spans="1:16" x14ac:dyDescent="0.25">
      <c r="B43" s="38" t="str">
        <f>IF($A43=0,"",VLOOKUP($A43,'BASE MATERIAL'!$A:$D,2))</f>
        <v/>
      </c>
      <c r="C43" s="2"/>
      <c r="D43" s="77"/>
      <c r="E43" s="78" t="str">
        <f>IF($A43=0,"",VLOOKUP($A43,'BASE MATERIAL'!$A:$D,3))</f>
        <v/>
      </c>
      <c r="F43" s="55"/>
      <c r="G43" s="55" t="str">
        <f>IF($A43=0,"",VLOOKUP($A43,'BASE MATERIAL'!$A:$D,4))</f>
        <v/>
      </c>
      <c r="H43" s="56" t="str">
        <f t="shared" si="4"/>
        <v/>
      </c>
      <c r="I43" s="2"/>
    </row>
    <row r="44" spans="1:16" x14ac:dyDescent="0.25">
      <c r="B44" s="38" t="str">
        <f>IF($A44=0,"",VLOOKUP($A44,'BASE MATERIAL'!$A:$D,2))</f>
        <v/>
      </c>
      <c r="C44" s="2"/>
      <c r="D44" s="81" t="s">
        <v>1682</v>
      </c>
      <c r="E44" s="55" t="str">
        <f>IF($A44=0,"",VLOOKUP($A44,'BASE MATERIAL'!$A:$D,3))</f>
        <v/>
      </c>
      <c r="F44" s="55" t="s">
        <v>1682</v>
      </c>
      <c r="G44" s="55" t="str">
        <f>IF($A44=0,"",VLOOKUP($A44,'BASE MATERIAL'!$A:$D,4))</f>
        <v/>
      </c>
      <c r="H44" s="56" t="str">
        <f>IF($A44=0,"",ROUND(E44*F44,2))</f>
        <v/>
      </c>
      <c r="I44" s="2"/>
    </row>
    <row r="45" spans="1:16" x14ac:dyDescent="0.25">
      <c r="B45" s="73" t="s">
        <v>1681</v>
      </c>
      <c r="C45" s="65"/>
      <c r="D45" s="74"/>
      <c r="E45" s="74"/>
      <c r="F45" s="74"/>
      <c r="G45" s="74"/>
      <c r="H45" s="75">
        <f>ROUND(SUM(H28:H44),2)</f>
        <v>620.17999999999995</v>
      </c>
      <c r="I45" s="2"/>
    </row>
    <row r="46" spans="1:16" x14ac:dyDescent="0.25">
      <c r="B46" s="38" t="s">
        <v>1680</v>
      </c>
      <c r="C46" s="2"/>
      <c r="D46" s="3"/>
      <c r="E46" s="3"/>
      <c r="F46" s="3"/>
      <c r="G46" s="3"/>
      <c r="H46" s="56"/>
      <c r="I46" s="2"/>
    </row>
    <row r="47" spans="1:16" ht="25.5" x14ac:dyDescent="0.25">
      <c r="B47" s="64" t="s">
        <v>1409</v>
      </c>
      <c r="C47" s="65"/>
      <c r="D47" s="76"/>
      <c r="E47" s="66" t="s">
        <v>1408</v>
      </c>
      <c r="F47" s="66" t="s">
        <v>1679</v>
      </c>
      <c r="G47" s="66" t="s">
        <v>1676</v>
      </c>
      <c r="H47" s="68" t="s">
        <v>1675</v>
      </c>
      <c r="I47" s="2"/>
    </row>
    <row r="48" spans="1:16" x14ac:dyDescent="0.25">
      <c r="A48" s="103">
        <v>19019</v>
      </c>
      <c r="B48" s="51" t="str">
        <f>IF($A48=0,"",VLOOKUP($A48,'BASE EQUIPO'!$A:$D,2))</f>
        <v>TRANSPORTE DE MATERIAL</v>
      </c>
      <c r="C48" s="52"/>
      <c r="D48" s="82"/>
      <c r="E48" s="78" t="str">
        <f>IF($A48=0,"",VLOOKUP($A48,'BASE EQUIPO'!$A:$D,3))</f>
        <v>GLOBAL</v>
      </c>
      <c r="F48" s="55">
        <v>1</v>
      </c>
      <c r="G48" s="83">
        <f>IF($A48=0,"",VLOOKUP($A48,'BASE EQUIPO'!$A:$D,4)*H45)</f>
        <v>18.605399999999999</v>
      </c>
      <c r="H48" s="56">
        <f>IF($A48=0,"",ROUND(F48*G48,2))</f>
        <v>18.61</v>
      </c>
      <c r="I48" s="2"/>
    </row>
    <row r="49" spans="1:15" x14ac:dyDescent="0.25">
      <c r="B49" s="38" t="str">
        <f>IF($A49=0,"",VLOOKUP($A49,'BASE EQUIPO'!$A:$D,2))</f>
        <v/>
      </c>
      <c r="C49" s="2"/>
      <c r="D49" s="84"/>
      <c r="E49" s="78" t="str">
        <f>IF($A49=0,"",VLOOKUP($A49,'BASE EQUIPO'!$A:$D,3))</f>
        <v/>
      </c>
      <c r="F49" s="55"/>
      <c r="G49" s="55" t="str">
        <f>IF($A49=0,"",VLOOKUP($A49,'BASE EQUIPO'!$A:$D,4)*H46)</f>
        <v/>
      </c>
      <c r="H49" s="56" t="str">
        <f>IF($A49=0,"",ROUND(F49*G49,2))</f>
        <v/>
      </c>
      <c r="I49" s="2"/>
    </row>
    <row r="50" spans="1:15" x14ac:dyDescent="0.25">
      <c r="B50" s="57" t="str">
        <f>IF($A50=0,"",VLOOKUP($A50,'BASE EQUIPO'!$A:$D,2))</f>
        <v/>
      </c>
      <c r="C50" s="58"/>
      <c r="D50" s="85"/>
      <c r="E50" s="86" t="str">
        <f>IF($A50=0,"",VLOOKUP($A50,'BASE EQUIPO'!$A:$D,3))</f>
        <v/>
      </c>
      <c r="F50" s="59"/>
      <c r="G50" s="59" t="str">
        <f>IF($A50=0,"",VLOOKUP($A50,'BASE EQUIPO'!$A:$D,4)*H47)</f>
        <v/>
      </c>
      <c r="H50" s="60" t="str">
        <f>IF($A50=0,"",ROUND(F50*G50,2))</f>
        <v/>
      </c>
      <c r="I50" s="2"/>
    </row>
    <row r="51" spans="1:15" ht="15.75" thickBot="1" x14ac:dyDescent="0.3">
      <c r="B51" s="87" t="s">
        <v>1674</v>
      </c>
      <c r="C51" s="88"/>
      <c r="D51" s="89"/>
      <c r="E51" s="89"/>
      <c r="F51" s="89"/>
      <c r="G51" s="89"/>
      <c r="H51" s="90">
        <f>ROUND(SUM(H47:H50),2)</f>
        <v>18.61</v>
      </c>
      <c r="I51" s="2"/>
    </row>
    <row r="52" spans="1:15" ht="15.75" x14ac:dyDescent="0.25">
      <c r="B52" s="2"/>
      <c r="C52" s="2"/>
      <c r="D52" s="91" t="s">
        <v>1673</v>
      </c>
      <c r="E52" s="47"/>
      <c r="F52" s="47"/>
      <c r="G52" s="47"/>
      <c r="H52" s="92">
        <f>ROUND(SUM(H51,H45,H26,H16),2)</f>
        <v>771.32</v>
      </c>
      <c r="I52" s="2"/>
    </row>
    <row r="53" spans="1:15" ht="15.75" x14ac:dyDescent="0.25">
      <c r="A53" s="103">
        <v>40002</v>
      </c>
      <c r="B53" s="2"/>
      <c r="C53" s="2"/>
      <c r="D53" s="93" t="s">
        <v>1672</v>
      </c>
      <c r="E53" s="65"/>
      <c r="F53" s="65"/>
      <c r="G53" s="94">
        <f>IF($A53=0,"",VLOOKUP($A53,'BASE MATERIAL'!$M:$P,4))</f>
        <v>0</v>
      </c>
      <c r="H53" s="95">
        <f>IF($A53=0,"",ROUND(G53*H52,2))</f>
        <v>0</v>
      </c>
      <c r="I53" s="2"/>
    </row>
    <row r="54" spans="1:15" ht="15.75" x14ac:dyDescent="0.25">
      <c r="A54" s="103">
        <v>40003</v>
      </c>
      <c r="B54" s="2"/>
      <c r="C54" s="2"/>
      <c r="D54" s="93" t="s">
        <v>1671</v>
      </c>
      <c r="E54" s="65"/>
      <c r="F54" s="65"/>
      <c r="G54" s="94">
        <f>IF($A54=0,"",VLOOKUP($A54,'BASE MATERIAL'!$M:$P,4))</f>
        <v>0</v>
      </c>
      <c r="H54" s="95">
        <f>IF($A54=0,"",ROUND(G54*H52,2))</f>
        <v>0</v>
      </c>
      <c r="I54" s="2"/>
    </row>
    <row r="55" spans="1:15" ht="15.75" x14ac:dyDescent="0.25">
      <c r="B55" s="2"/>
      <c r="C55" s="2"/>
      <c r="D55" s="93" t="s">
        <v>1670</v>
      </c>
      <c r="E55" s="65"/>
      <c r="F55" s="65"/>
      <c r="G55" s="65"/>
      <c r="H55" s="96">
        <f>ROUND(SUM(H52:H54),2)</f>
        <v>771.32</v>
      </c>
      <c r="I55" s="2"/>
    </row>
    <row r="56" spans="1:15" ht="16.5" thickBot="1" x14ac:dyDescent="0.3">
      <c r="B56" s="25"/>
      <c r="C56" s="2"/>
      <c r="D56" s="97" t="s">
        <v>1650</v>
      </c>
      <c r="E56" s="88"/>
      <c r="F56" s="88"/>
      <c r="G56" s="88"/>
      <c r="H56" s="98">
        <f>ROUND(H55,2)</f>
        <v>771.32</v>
      </c>
      <c r="I56" s="2"/>
    </row>
    <row r="57" spans="1:15" ht="15.75" x14ac:dyDescent="0.25">
      <c r="B57" s="34" t="s">
        <v>1701</v>
      </c>
      <c r="C57" s="2"/>
      <c r="D57" s="3" t="str">
        <f>'1.1'!$D$1</f>
        <v>ESPOL</v>
      </c>
      <c r="E57" s="2"/>
      <c r="F57" s="2"/>
      <c r="H57" s="2" t="s">
        <v>108</v>
      </c>
      <c r="I57" s="2"/>
      <c r="L57" s="40">
        <f>A61</f>
        <v>2</v>
      </c>
      <c r="M57" s="1" t="str">
        <f>C62</f>
        <v>Puertas metálicas 2u(0.90m x 2. 00m). Código Pd3</v>
      </c>
      <c r="N57" s="2" t="str">
        <f>H61</f>
        <v>U</v>
      </c>
      <c r="O57" s="2">
        <f>H112</f>
        <v>906.18</v>
      </c>
    </row>
    <row r="58" spans="1:15" ht="15.75" x14ac:dyDescent="0.25">
      <c r="B58" s="34" t="s">
        <v>1700</v>
      </c>
      <c r="C58" s="3">
        <f>'1.1'!$C$2</f>
        <v>0</v>
      </c>
      <c r="D58" s="2"/>
      <c r="E58" s="2"/>
      <c r="F58" s="2"/>
      <c r="G58" s="41" t="s">
        <v>1699</v>
      </c>
      <c r="H58" s="42"/>
      <c r="I58" s="2" t="s">
        <v>1698</v>
      </c>
    </row>
    <row r="59" spans="1:15" ht="15.75" x14ac:dyDescent="0.25">
      <c r="B59" s="34"/>
      <c r="C59" s="3">
        <f>'1.1'!$C$3</f>
        <v>0</v>
      </c>
      <c r="D59" s="2"/>
      <c r="E59" s="2"/>
      <c r="F59" s="2"/>
      <c r="G59" s="2"/>
      <c r="H59" s="2"/>
      <c r="I59" s="2"/>
    </row>
    <row r="60" spans="1:15" ht="15.75" x14ac:dyDescent="0.25">
      <c r="B60" s="34" t="s">
        <v>1697</v>
      </c>
      <c r="C60" s="3"/>
      <c r="D60" s="2"/>
      <c r="E60" s="2"/>
      <c r="F60" s="2"/>
      <c r="G60" s="2"/>
      <c r="H60" s="2"/>
      <c r="I60" s="2"/>
    </row>
    <row r="61" spans="1:15" x14ac:dyDescent="0.25">
      <c r="A61" s="104">
        <v>2</v>
      </c>
      <c r="B61" s="2" t="s">
        <v>1586</v>
      </c>
      <c r="C61" s="36" t="s">
        <v>1535</v>
      </c>
      <c r="D61" s="2"/>
      <c r="G61" s="2" t="s">
        <v>1696</v>
      </c>
      <c r="H61" s="3" t="s">
        <v>744</v>
      </c>
      <c r="I61" s="2"/>
    </row>
    <row r="62" spans="1:15" x14ac:dyDescent="0.25">
      <c r="B62" s="1" t="s">
        <v>1585</v>
      </c>
      <c r="C62" s="36" t="s">
        <v>201</v>
      </c>
      <c r="D62" s="2"/>
      <c r="E62" s="2"/>
      <c r="F62" s="2"/>
      <c r="G62" s="2"/>
      <c r="H62" s="2"/>
      <c r="I62" s="2"/>
    </row>
    <row r="63" spans="1:15" ht="15.75" thickBot="1" x14ac:dyDescent="0.3">
      <c r="D63" s="2"/>
      <c r="E63" s="2"/>
      <c r="F63" s="2"/>
      <c r="G63" s="2"/>
      <c r="H63" s="2"/>
      <c r="I63" s="2"/>
    </row>
    <row r="64" spans="1:15" ht="15.75" thickBot="1" x14ac:dyDescent="0.3">
      <c r="B64" s="43" t="s">
        <v>1695</v>
      </c>
      <c r="C64" s="44"/>
      <c r="D64" s="44"/>
      <c r="E64" s="44"/>
      <c r="F64" s="44"/>
      <c r="G64" s="44"/>
      <c r="H64" s="45"/>
      <c r="I64" s="2"/>
    </row>
    <row r="65" spans="1:9" ht="25.5" x14ac:dyDescent="0.25">
      <c r="B65" s="46" t="s">
        <v>1409</v>
      </c>
      <c r="C65" s="47"/>
      <c r="D65" s="48" t="s">
        <v>1690</v>
      </c>
      <c r="E65" s="48" t="s">
        <v>1694</v>
      </c>
      <c r="F65" s="48" t="s">
        <v>1693</v>
      </c>
      <c r="G65" s="49" t="s">
        <v>1687</v>
      </c>
      <c r="H65" s="50" t="s">
        <v>1686</v>
      </c>
      <c r="I65" s="2"/>
    </row>
    <row r="66" spans="1:9" x14ac:dyDescent="0.25">
      <c r="A66" s="103">
        <v>19015</v>
      </c>
      <c r="B66" s="51" t="str">
        <f>IF($A66=0,"",VLOOKUP($A66,'BASE EQUIPO'!$A:$D,2))</f>
        <v>HERRAMIENTA MENOR</v>
      </c>
      <c r="C66" s="52"/>
      <c r="D66" s="53">
        <v>1</v>
      </c>
      <c r="E66" s="53">
        <f>IF($A66=0,"",VLOOKUP($A66,'BASE EQUIPO'!$A:$D,4)*H82)</f>
        <v>2.4279000000000002</v>
      </c>
      <c r="F66" s="53">
        <f t="shared" ref="F66:F71" si="5">IF($A66=0,"",ROUND(D66*E66,2))</f>
        <v>2.4300000000000002</v>
      </c>
      <c r="G66" s="105">
        <v>1</v>
      </c>
      <c r="H66" s="54">
        <f t="shared" ref="H66:H71" si="6">IF($A66=0,"",ROUND(G66*F66,2))</f>
        <v>2.4300000000000002</v>
      </c>
      <c r="I66" s="2"/>
    </row>
    <row r="67" spans="1:9" x14ac:dyDescent="0.25">
      <c r="A67" s="103">
        <v>19011</v>
      </c>
      <c r="B67" s="38" t="str">
        <f>IF($A67=0,"",VLOOKUP($A67,'BASE EQUIPO'!$A:$D,2))</f>
        <v>SOLDADORA</v>
      </c>
      <c r="C67" s="2"/>
      <c r="D67" s="55">
        <v>1</v>
      </c>
      <c r="E67" s="55">
        <f>IF($A67=0,"",VLOOKUP($A67,'BASE EQUIPO'!$A:$D,4))</f>
        <v>2.5</v>
      </c>
      <c r="F67" s="55">
        <f t="shared" si="5"/>
        <v>2.5</v>
      </c>
      <c r="G67" s="106">
        <f>ROUND(G76*0.25,3)</f>
        <v>2</v>
      </c>
      <c r="H67" s="56">
        <f t="shared" si="6"/>
        <v>5</v>
      </c>
      <c r="I67" s="2"/>
    </row>
    <row r="68" spans="1:9" x14ac:dyDescent="0.25">
      <c r="B68" s="38" t="str">
        <f>IF($A68=0,"",VLOOKUP($A68,'BASE EQUIPO'!$A:$D,2))</f>
        <v/>
      </c>
      <c r="C68" s="2"/>
      <c r="D68" s="55"/>
      <c r="E68" s="55" t="str">
        <f>IF($A68=0,"",VLOOKUP($A68,'BASE EQUIPO'!$A:$D,4))</f>
        <v/>
      </c>
      <c r="F68" s="55" t="str">
        <f t="shared" si="5"/>
        <v/>
      </c>
      <c r="G68" s="106"/>
      <c r="H68" s="56" t="str">
        <f t="shared" si="6"/>
        <v/>
      </c>
      <c r="I68" s="2"/>
    </row>
    <row r="69" spans="1:9" x14ac:dyDescent="0.25">
      <c r="B69" s="38" t="str">
        <f>IF($A69=0,"",VLOOKUP($A69,'BASE EQUIPO'!$A:$D,2))</f>
        <v/>
      </c>
      <c r="C69" s="2"/>
      <c r="D69" s="55"/>
      <c r="E69" s="55" t="str">
        <f>IF($A69=0,"",VLOOKUP($A69,'BASE EQUIPO'!$A:$D,4))</f>
        <v/>
      </c>
      <c r="F69" s="55" t="str">
        <f t="shared" si="5"/>
        <v/>
      </c>
      <c r="G69" s="106"/>
      <c r="H69" s="56" t="str">
        <f t="shared" si="6"/>
        <v/>
      </c>
      <c r="I69" s="2"/>
    </row>
    <row r="70" spans="1:9" x14ac:dyDescent="0.25">
      <c r="B70" s="38" t="str">
        <f>IF($A70=0,"",VLOOKUP($A70,'BASE EQUIPO'!$A:$D,2))</f>
        <v/>
      </c>
      <c r="C70" s="2"/>
      <c r="D70" s="55"/>
      <c r="E70" s="55" t="str">
        <f>IF($A70=0,"",VLOOKUP($A70,'BASE EQUIPO'!$A:$D,4))</f>
        <v/>
      </c>
      <c r="F70" s="55" t="str">
        <f t="shared" si="5"/>
        <v/>
      </c>
      <c r="G70" s="106"/>
      <c r="H70" s="56" t="str">
        <f t="shared" si="6"/>
        <v/>
      </c>
      <c r="I70" s="2"/>
    </row>
    <row r="71" spans="1:9" x14ac:dyDescent="0.25">
      <c r="B71" s="57" t="str">
        <f>IF($A71=0,"",VLOOKUP($A71,'BASE EQUIPO'!$A:$D,2))</f>
        <v/>
      </c>
      <c r="C71" s="58"/>
      <c r="D71" s="59"/>
      <c r="E71" s="59" t="str">
        <f>IF($A71=0,"",VLOOKUP($A71,'BASE EQUIPO'!$A:$D,4))</f>
        <v/>
      </c>
      <c r="F71" s="59" t="str">
        <f t="shared" si="5"/>
        <v/>
      </c>
      <c r="G71" s="107"/>
      <c r="H71" s="60" t="str">
        <f t="shared" si="6"/>
        <v/>
      </c>
      <c r="I71" s="2"/>
    </row>
    <row r="72" spans="1:9" x14ac:dyDescent="0.25">
      <c r="B72" s="57" t="s">
        <v>1692</v>
      </c>
      <c r="C72" s="58"/>
      <c r="D72" s="61"/>
      <c r="E72" s="61"/>
      <c r="F72" s="61"/>
      <c r="G72" s="62"/>
      <c r="H72" s="60">
        <f>ROUND(SUM(H65:H71),2)</f>
        <v>7.43</v>
      </c>
      <c r="I72" s="2"/>
    </row>
    <row r="73" spans="1:9" x14ac:dyDescent="0.25">
      <c r="B73" s="38" t="s">
        <v>1503</v>
      </c>
      <c r="C73" s="2"/>
      <c r="D73" s="3"/>
      <c r="E73" s="3"/>
      <c r="F73" s="3"/>
      <c r="G73" s="63"/>
      <c r="H73" s="56"/>
      <c r="I73" s="2"/>
    </row>
    <row r="74" spans="1:9" ht="25.5" x14ac:dyDescent="0.25">
      <c r="B74" s="64" t="s">
        <v>1691</v>
      </c>
      <c r="C74" s="65"/>
      <c r="D74" s="66" t="s">
        <v>1690</v>
      </c>
      <c r="E74" s="66" t="s">
        <v>1689</v>
      </c>
      <c r="F74" s="66" t="s">
        <v>1688</v>
      </c>
      <c r="G74" s="67" t="s">
        <v>1687</v>
      </c>
      <c r="H74" s="68" t="s">
        <v>1686</v>
      </c>
      <c r="I74" s="2"/>
    </row>
    <row r="75" spans="1:9" x14ac:dyDescent="0.25">
      <c r="A75" s="103">
        <v>20001</v>
      </c>
      <c r="B75" s="69" t="str">
        <f>IF($A75=0,"",VLOOKUP($A75,'BASE M-OBRA'!$A:$D,2))</f>
        <v>MAESTRO</v>
      </c>
      <c r="C75" s="2"/>
      <c r="D75" s="108">
        <v>1</v>
      </c>
      <c r="E75" s="70">
        <f>IF($A75=0,"",VLOOKUP($A75,'BASE M-OBRA'!$A:$D,4))</f>
        <v>3.02</v>
      </c>
      <c r="F75" s="55">
        <f t="shared" ref="F75:F81" si="7">IF($A75=0,"",ROUND(D75*E75,2))</f>
        <v>3.02</v>
      </c>
      <c r="G75" s="106">
        <f>IF($A75=0,"",ROUND(H75/F75,2))</f>
        <v>4.47</v>
      </c>
      <c r="H75" s="56">
        <f>IF($A75=0,"",ROUND(SUM(H76:H81)*'BASE M-OBRA'!$D$23,2))</f>
        <v>13.49</v>
      </c>
      <c r="I75" s="2"/>
    </row>
    <row r="76" spans="1:9" x14ac:dyDescent="0.25">
      <c r="A76" s="103">
        <v>20002</v>
      </c>
      <c r="B76" s="69" t="str">
        <f>IF($A76=0,"",VLOOKUP($A76,'BASE M-OBRA'!$A:$D,2))</f>
        <v>PEON</v>
      </c>
      <c r="C76" s="2"/>
      <c r="D76" s="108">
        <v>1</v>
      </c>
      <c r="E76" s="70">
        <f>IF($A76=0,"",VLOOKUP($A76,'BASE M-OBRA'!$A:$D,4))</f>
        <v>2.79</v>
      </c>
      <c r="F76" s="55">
        <f t="shared" si="7"/>
        <v>2.79</v>
      </c>
      <c r="G76" s="106">
        <v>8</v>
      </c>
      <c r="H76" s="56">
        <f t="shared" ref="H76:H81" si="8">IF($A76=0,"",ROUND(G76*F76,2))</f>
        <v>22.32</v>
      </c>
      <c r="I76" s="2"/>
    </row>
    <row r="77" spans="1:9" x14ac:dyDescent="0.25">
      <c r="A77" s="103">
        <v>20003</v>
      </c>
      <c r="B77" s="69" t="str">
        <f>IF($A77=0,"",VLOOKUP($A77,'BASE M-OBRA'!$A:$D,2))</f>
        <v>ALBAÑIL</v>
      </c>
      <c r="C77" s="2"/>
      <c r="D77" s="108">
        <v>2</v>
      </c>
      <c r="E77" s="70">
        <f>IF($A77=0,"",VLOOKUP($A77,'BASE M-OBRA'!$A:$D,4))</f>
        <v>2.82</v>
      </c>
      <c r="F77" s="55">
        <f t="shared" si="7"/>
        <v>5.64</v>
      </c>
      <c r="G77" s="106">
        <f>+G76</f>
        <v>8</v>
      </c>
      <c r="H77" s="56">
        <f t="shared" si="8"/>
        <v>45.12</v>
      </c>
      <c r="I77" s="2"/>
    </row>
    <row r="78" spans="1:9" x14ac:dyDescent="0.25">
      <c r="B78" s="71" t="str">
        <f>IF($A78=0,"",VLOOKUP($A78,'BASE M-OBRA'!$A:$D,2))</f>
        <v/>
      </c>
      <c r="C78" s="2"/>
      <c r="D78" s="108"/>
      <c r="E78" s="70" t="str">
        <f>IF($A78=0,"",VLOOKUP($A78,'BASE M-OBRA'!$A:$D,4))</f>
        <v/>
      </c>
      <c r="F78" s="55" t="str">
        <f t="shared" si="7"/>
        <v/>
      </c>
      <c r="G78" s="106"/>
      <c r="H78" s="56" t="str">
        <f t="shared" si="8"/>
        <v/>
      </c>
      <c r="I78" s="2"/>
    </row>
    <row r="79" spans="1:9" x14ac:dyDescent="0.25">
      <c r="B79" s="72" t="str">
        <f>IF($A79=0,"",VLOOKUP($A79,'BASE M-OBRA'!$A:$D,2))</f>
        <v/>
      </c>
      <c r="C79" s="2"/>
      <c r="D79" s="108"/>
      <c r="E79" s="70" t="str">
        <f>IF($A79=0,"",VLOOKUP($A79,'BASE M-OBRA'!$A:$D,4))</f>
        <v/>
      </c>
      <c r="F79" s="55" t="str">
        <f t="shared" si="7"/>
        <v/>
      </c>
      <c r="G79" s="106"/>
      <c r="H79" s="56" t="str">
        <f t="shared" si="8"/>
        <v/>
      </c>
      <c r="I79" s="2"/>
    </row>
    <row r="80" spans="1:9" x14ac:dyDescent="0.25">
      <c r="B80" s="38" t="str">
        <f>IF($A80=0,"",VLOOKUP($A80,'BASE M-OBRA'!$A:$D,2))</f>
        <v/>
      </c>
      <c r="C80" s="2"/>
      <c r="D80" s="55"/>
      <c r="E80" s="55" t="str">
        <f>IF($A80=0,"",VLOOKUP($A80,'BASE M-OBRA'!$A:$D,4))</f>
        <v/>
      </c>
      <c r="F80" s="55" t="str">
        <f t="shared" si="7"/>
        <v/>
      </c>
      <c r="G80" s="106"/>
      <c r="H80" s="56" t="str">
        <f t="shared" si="8"/>
        <v/>
      </c>
      <c r="I80" s="2"/>
    </row>
    <row r="81" spans="1:16" x14ac:dyDescent="0.25">
      <c r="B81" s="57" t="str">
        <f>IF($A81=0,"",VLOOKUP($A81,'BASE M-OBRA'!$A:$D,2))</f>
        <v/>
      </c>
      <c r="C81" s="58"/>
      <c r="D81" s="59"/>
      <c r="E81" s="59" t="str">
        <f>IF($A81=0,"",VLOOKUP($A81,'BASE M-OBRA'!$A:$D,4))</f>
        <v/>
      </c>
      <c r="F81" s="59" t="str">
        <f t="shared" si="7"/>
        <v/>
      </c>
      <c r="G81" s="107"/>
      <c r="H81" s="60" t="str">
        <f t="shared" si="8"/>
        <v/>
      </c>
      <c r="I81" s="2"/>
    </row>
    <row r="82" spans="1:16" x14ac:dyDescent="0.25">
      <c r="B82" s="73" t="s">
        <v>1685</v>
      </c>
      <c r="C82" s="65"/>
      <c r="D82" s="74"/>
      <c r="E82" s="74"/>
      <c r="F82" s="74"/>
      <c r="G82" s="74"/>
      <c r="H82" s="75">
        <f>ROUND(SUM(H74:H81),2)</f>
        <v>80.930000000000007</v>
      </c>
      <c r="I82" s="2"/>
    </row>
    <row r="83" spans="1:16" x14ac:dyDescent="0.25">
      <c r="B83" s="38" t="s">
        <v>1684</v>
      </c>
      <c r="C83" s="2"/>
      <c r="D83" s="3"/>
      <c r="E83" s="3"/>
      <c r="F83" s="3"/>
      <c r="G83" s="3"/>
      <c r="H83" s="56"/>
      <c r="I83" s="2"/>
    </row>
    <row r="84" spans="1:16" ht="25.5" x14ac:dyDescent="0.25">
      <c r="B84" s="64" t="s">
        <v>1409</v>
      </c>
      <c r="C84" s="65"/>
      <c r="D84" s="76"/>
      <c r="E84" s="66" t="s">
        <v>1408</v>
      </c>
      <c r="F84" s="66" t="s">
        <v>1679</v>
      </c>
      <c r="G84" s="66" t="s">
        <v>1683</v>
      </c>
      <c r="H84" s="68" t="s">
        <v>1675</v>
      </c>
      <c r="I84" s="2"/>
    </row>
    <row r="85" spans="1:16" x14ac:dyDescent="0.25">
      <c r="A85" s="103">
        <v>1</v>
      </c>
      <c r="B85" s="37" t="s">
        <v>905</v>
      </c>
      <c r="C85" s="2"/>
      <c r="D85" s="77"/>
      <c r="E85" s="78" t="s">
        <v>744</v>
      </c>
      <c r="F85" s="113">
        <v>2</v>
      </c>
      <c r="G85" s="55">
        <v>350</v>
      </c>
      <c r="H85" s="56">
        <f t="shared" ref="H85:H99" si="9">IF($A85=0,"",ROUND(F85*G85,2))</f>
        <v>700</v>
      </c>
      <c r="I85" s="2"/>
      <c r="J85" s="1">
        <f>SUM(J87:J89)</f>
        <v>179.3536</v>
      </c>
      <c r="K85" s="1" t="s">
        <v>225</v>
      </c>
      <c r="L85" s="2"/>
      <c r="M85" s="2"/>
      <c r="N85" s="39"/>
      <c r="O85" s="2"/>
      <c r="P85" s="2"/>
    </row>
    <row r="86" spans="1:16" x14ac:dyDescent="0.25">
      <c r="B86" s="38" t="s">
        <v>906</v>
      </c>
      <c r="C86" s="2"/>
      <c r="D86" s="77"/>
      <c r="E86" s="78"/>
      <c r="F86" s="113"/>
      <c r="G86" s="55"/>
      <c r="H86" s="56" t="str">
        <f t="shared" si="9"/>
        <v/>
      </c>
      <c r="I86" s="2"/>
      <c r="L86" s="2"/>
      <c r="M86" s="2"/>
      <c r="N86" s="39"/>
      <c r="O86" s="2"/>
      <c r="P86" s="2"/>
    </row>
    <row r="87" spans="1:16" x14ac:dyDescent="0.25">
      <c r="A87" s="103">
        <v>10029</v>
      </c>
      <c r="B87" s="38" t="str">
        <f>IF($A87=0,"",VLOOKUP($A87,'BASE MATERIAL'!$A:$D,2))</f>
        <v>CIERRAPUERTAS</v>
      </c>
      <c r="C87" s="2"/>
      <c r="D87" s="77"/>
      <c r="E87" s="78" t="str">
        <f>IF($A87=0,"",VLOOKUP($A87,'BASE MATERIAL'!$A:$D,3))</f>
        <v>U</v>
      </c>
      <c r="F87" s="113">
        <v>2</v>
      </c>
      <c r="G87" s="55">
        <f>IF($A87=0,"",VLOOKUP($A87,'BASE MATERIAL'!$A:$D,4))</f>
        <v>47</v>
      </c>
      <c r="H87" s="56">
        <f t="shared" si="9"/>
        <v>94</v>
      </c>
      <c r="I87" s="2"/>
      <c r="J87" s="1">
        <f>((4*0.8+2*2)*0.04*4*7.82*3)*2</f>
        <v>54.051840000000013</v>
      </c>
      <c r="K87" s="1" t="s">
        <v>842</v>
      </c>
      <c r="L87" s="2"/>
      <c r="M87" s="2"/>
      <c r="N87" s="39"/>
      <c r="O87" s="2"/>
      <c r="P87" s="2"/>
    </row>
    <row r="88" spans="1:16" x14ac:dyDescent="0.25">
      <c r="B88" s="38" t="str">
        <f>IF($A88=0,"",VLOOKUP($A88,'BASE MATERIAL'!$A:$D,2))</f>
        <v/>
      </c>
      <c r="C88" s="2"/>
      <c r="D88" s="77"/>
      <c r="E88" s="78" t="str">
        <f>IF($A88=0,"",VLOOKUP($A88,'BASE MATERIAL'!$A:$D,3))</f>
        <v/>
      </c>
      <c r="F88" s="113"/>
      <c r="G88" s="55" t="str">
        <f>IF($A88=0,"",VLOOKUP($A88,'BASE MATERIAL'!$A:$D,4))</f>
        <v/>
      </c>
      <c r="H88" s="56" t="str">
        <f t="shared" si="9"/>
        <v/>
      </c>
      <c r="I88" s="2"/>
      <c r="J88" s="1">
        <f>((7.85*2)*0.9*2*2)*2</f>
        <v>113.03999999999999</v>
      </c>
      <c r="K88" s="1" t="s">
        <v>223</v>
      </c>
      <c r="L88" s="2"/>
      <c r="M88" s="2"/>
      <c r="N88" s="39"/>
      <c r="O88" s="2"/>
      <c r="P88" s="2"/>
    </row>
    <row r="89" spans="1:16" x14ac:dyDescent="0.25">
      <c r="B89" s="38" t="str">
        <f>IF($A89=0,"",VLOOKUP($A89,'BASE MATERIAL'!$A:$D,2))</f>
        <v/>
      </c>
      <c r="C89" s="2"/>
      <c r="D89" s="77"/>
      <c r="E89" s="78" t="str">
        <f>IF($A89=0,"",VLOOKUP($A89,'BASE MATERIAL'!$A:$D,3))</f>
        <v/>
      </c>
      <c r="F89" s="113"/>
      <c r="G89" s="55" t="str">
        <f>IF($A89=0,"",VLOOKUP($A89,'BASE MATERIAL'!$A:$D,4))</f>
        <v/>
      </c>
      <c r="H89" s="56" t="str">
        <f t="shared" si="9"/>
        <v/>
      </c>
      <c r="I89" s="2"/>
      <c r="J89" s="1">
        <f>((0.9+2*2)*(0.04+0.04)*7.82*2)*2</f>
        <v>12.261760000000001</v>
      </c>
      <c r="K89" s="1" t="s">
        <v>224</v>
      </c>
      <c r="L89" s="2"/>
      <c r="M89" s="2"/>
      <c r="N89" s="39"/>
      <c r="O89" s="2"/>
      <c r="P89" s="2"/>
    </row>
    <row r="90" spans="1:16" x14ac:dyDescent="0.25">
      <c r="B90" s="38" t="str">
        <f>IF($A90=0,"",VLOOKUP($A90,'BASE MATERIAL'!$A:$D,2))</f>
        <v/>
      </c>
      <c r="C90" s="2"/>
      <c r="D90" s="77"/>
      <c r="E90" s="78" t="str">
        <f>IF($A90=0,"",VLOOKUP($A90,'BASE MATERIAL'!$A:$D,3))</f>
        <v/>
      </c>
      <c r="F90" s="113"/>
      <c r="G90" s="55" t="str">
        <f>IF($A90=0,"",VLOOKUP($A90,'BASE MATERIAL'!$A:$D,4))</f>
        <v/>
      </c>
      <c r="H90" s="56" t="str">
        <f t="shared" si="9"/>
        <v/>
      </c>
      <c r="I90" s="2"/>
      <c r="J90" s="79"/>
      <c r="L90" s="2"/>
      <c r="M90" s="2"/>
      <c r="N90" s="39"/>
      <c r="O90" s="2"/>
      <c r="P90" s="2"/>
    </row>
    <row r="91" spans="1:16" x14ac:dyDescent="0.25">
      <c r="B91" s="38" t="str">
        <f>IF($A91=0,"",VLOOKUP($A91,'BASE MATERIAL'!$A:$D,2))</f>
        <v/>
      </c>
      <c r="C91" s="2"/>
      <c r="D91" s="77"/>
      <c r="E91" s="78" t="str">
        <f>IF($A91=0,"",VLOOKUP($A91,'BASE MATERIAL'!$A:$D,3))</f>
        <v/>
      </c>
      <c r="F91" s="55"/>
      <c r="G91" s="55" t="str">
        <f>IF($A91=0,"",VLOOKUP($A91,'BASE MATERIAL'!$A:$D,4))</f>
        <v/>
      </c>
      <c r="H91" s="56" t="str">
        <f t="shared" si="9"/>
        <v/>
      </c>
      <c r="I91" s="2"/>
      <c r="L91" s="2"/>
      <c r="M91" s="2"/>
      <c r="N91" s="39"/>
      <c r="O91" s="2"/>
      <c r="P91" s="2"/>
    </row>
    <row r="92" spans="1:16" x14ac:dyDescent="0.25">
      <c r="B92" s="38" t="str">
        <f>IF($A92=0,"",VLOOKUP($A92,'BASE MATERIAL'!$A:$D,2))</f>
        <v/>
      </c>
      <c r="C92" s="2"/>
      <c r="D92" s="77"/>
      <c r="E92" s="78" t="str">
        <f>IF($A92=0,"",VLOOKUP($A92,'BASE MATERIAL'!$A:$D,3))</f>
        <v/>
      </c>
      <c r="F92" s="55"/>
      <c r="G92" s="55" t="str">
        <f>IF($A92=0,"",VLOOKUP($A92,'BASE MATERIAL'!$A:$D,4))</f>
        <v/>
      </c>
      <c r="H92" s="56" t="str">
        <f t="shared" si="9"/>
        <v/>
      </c>
      <c r="I92" s="2"/>
      <c r="J92" s="79"/>
      <c r="L92" s="2"/>
      <c r="M92" s="2"/>
      <c r="N92" s="39"/>
      <c r="O92" s="2"/>
      <c r="P92" s="2"/>
    </row>
    <row r="93" spans="1:16" x14ac:dyDescent="0.25">
      <c r="B93" s="38" t="str">
        <f>IF($A93=0,"",VLOOKUP($A93,'BASE MATERIAL'!$A:$D,2))</f>
        <v/>
      </c>
      <c r="C93" s="2"/>
      <c r="D93" s="77"/>
      <c r="E93" s="78" t="str">
        <f>IF($A93=0,"",VLOOKUP($A93,'BASE MATERIAL'!$A:$D,3))</f>
        <v/>
      </c>
      <c r="F93" s="55"/>
      <c r="G93" s="55" t="str">
        <f>IF($A93=0,"",VLOOKUP($A93,'BASE MATERIAL'!$A:$D,4))</f>
        <v/>
      </c>
      <c r="H93" s="56" t="str">
        <f t="shared" si="9"/>
        <v/>
      </c>
      <c r="I93" s="2"/>
    </row>
    <row r="94" spans="1:16" x14ac:dyDescent="0.25">
      <c r="B94" s="38" t="str">
        <f>IF($A94=0,"",VLOOKUP($A94,'BASE MATERIAL'!$A:$D,2))</f>
        <v/>
      </c>
      <c r="C94" s="2"/>
      <c r="D94" s="77"/>
      <c r="E94" s="78" t="str">
        <f>IF($A94=0,"",VLOOKUP($A94,'BASE MATERIAL'!$A:$D,3))</f>
        <v/>
      </c>
      <c r="F94" s="55"/>
      <c r="G94" s="55" t="str">
        <f>IF($A94=0,"",VLOOKUP($A94,'BASE MATERIAL'!$A:$D,4))</f>
        <v/>
      </c>
      <c r="H94" s="56" t="str">
        <f t="shared" si="9"/>
        <v/>
      </c>
      <c r="I94" s="2"/>
      <c r="L94" s="2"/>
      <c r="M94" s="2"/>
      <c r="N94" s="39"/>
      <c r="O94" s="2"/>
      <c r="P94" s="2"/>
    </row>
    <row r="95" spans="1:16" x14ac:dyDescent="0.25">
      <c r="B95" s="38" t="str">
        <f>IF($A95=0,"",VLOOKUP($A95,'BASE MATERIAL'!$A:$D,2))</f>
        <v/>
      </c>
      <c r="C95" s="2"/>
      <c r="D95" s="77"/>
      <c r="E95" s="78" t="str">
        <f>IF($A95=0,"",VLOOKUP($A95,'BASE MATERIAL'!$A:$D,3))</f>
        <v/>
      </c>
      <c r="F95" s="55"/>
      <c r="G95" s="80" t="str">
        <f>IF($A95=0,"",VLOOKUP($A95,'BASE MATERIAL'!$A:$D,4))</f>
        <v/>
      </c>
      <c r="H95" s="56" t="str">
        <f t="shared" si="9"/>
        <v/>
      </c>
      <c r="I95" s="2"/>
      <c r="L95" s="2"/>
      <c r="M95" s="2"/>
      <c r="N95" s="39"/>
      <c r="O95" s="2"/>
      <c r="P95" s="2"/>
    </row>
    <row r="96" spans="1:16" x14ac:dyDescent="0.25">
      <c r="B96" s="38" t="str">
        <f>IF($A96=0,"",VLOOKUP($A96,'BASE MATERIAL'!$A:$D,2))</f>
        <v/>
      </c>
      <c r="C96" s="2"/>
      <c r="D96" s="77"/>
      <c r="E96" s="78" t="str">
        <f>IF($A96=0,"",VLOOKUP($A96,'BASE MATERIAL'!$A:$D,3))</f>
        <v/>
      </c>
      <c r="F96" s="55"/>
      <c r="G96" s="55"/>
      <c r="H96" s="56" t="str">
        <f t="shared" si="9"/>
        <v/>
      </c>
      <c r="I96" s="2"/>
    </row>
    <row r="97" spans="1:9" x14ac:dyDescent="0.25">
      <c r="B97" s="38" t="str">
        <f>IF($A97=0,"",VLOOKUP($A97,'BASE MATERIAL'!$A:$D,2))</f>
        <v/>
      </c>
      <c r="C97" s="2"/>
      <c r="D97" s="77"/>
      <c r="E97" s="78" t="str">
        <f>IF($A97=0,"",VLOOKUP($A97,'BASE MATERIAL'!$A:$D,3))</f>
        <v/>
      </c>
      <c r="F97" s="55"/>
      <c r="G97" s="55" t="str">
        <f>IF($A97=0,"",VLOOKUP($A97,'BASE MATERIAL'!$A:$D,4))</f>
        <v/>
      </c>
      <c r="H97" s="56" t="str">
        <f t="shared" si="9"/>
        <v/>
      </c>
      <c r="I97" s="2"/>
    </row>
    <row r="98" spans="1:9" x14ac:dyDescent="0.25">
      <c r="B98" s="38" t="str">
        <f>IF($A98=0,"",VLOOKUP($A98,'BASE MATERIAL'!$A:$D,2))</f>
        <v/>
      </c>
      <c r="C98" s="2"/>
      <c r="D98" s="77"/>
      <c r="E98" s="78" t="str">
        <f>IF($A98=0,"",VLOOKUP($A98,'BASE MATERIAL'!$A:$D,3))</f>
        <v/>
      </c>
      <c r="F98" s="55"/>
      <c r="G98" s="55" t="str">
        <f>IF($A98=0,"",VLOOKUP($A98,'BASE MATERIAL'!$A:$D,4))</f>
        <v/>
      </c>
      <c r="H98" s="56" t="str">
        <f t="shared" si="9"/>
        <v/>
      </c>
      <c r="I98" s="2"/>
    </row>
    <row r="99" spans="1:9" x14ac:dyDescent="0.25">
      <c r="B99" s="38" t="str">
        <f>IF($A99=0,"",VLOOKUP($A99,'BASE MATERIAL'!$A:$D,2))</f>
        <v/>
      </c>
      <c r="C99" s="2"/>
      <c r="D99" s="77"/>
      <c r="E99" s="78" t="str">
        <f>IF($A99=0,"",VLOOKUP($A99,'BASE MATERIAL'!$A:$D,3))</f>
        <v/>
      </c>
      <c r="F99" s="55"/>
      <c r="G99" s="55" t="str">
        <f>IF($A99=0,"",VLOOKUP($A99,'BASE MATERIAL'!$A:$D,4))</f>
        <v/>
      </c>
      <c r="H99" s="56" t="str">
        <f t="shared" si="9"/>
        <v/>
      </c>
      <c r="I99" s="2"/>
    </row>
    <row r="100" spans="1:9" x14ac:dyDescent="0.25">
      <c r="B100" s="38" t="str">
        <f>IF($A100=0,"",VLOOKUP($A100,'BASE MATERIAL'!$A:$D,2))</f>
        <v/>
      </c>
      <c r="C100" s="2"/>
      <c r="D100" s="81" t="s">
        <v>1682</v>
      </c>
      <c r="E100" s="55" t="str">
        <f>IF($A100=0,"",VLOOKUP($A100,'BASE MATERIAL'!$A:$D,3))</f>
        <v/>
      </c>
      <c r="F100" s="55" t="s">
        <v>1682</v>
      </c>
      <c r="G100" s="55" t="str">
        <f>IF($A100=0,"",VLOOKUP($A100,'BASE MATERIAL'!$A:$D,4))</f>
        <v/>
      </c>
      <c r="H100" s="56" t="str">
        <f>IF($A100=0,"",ROUND(E100*F100,2))</f>
        <v/>
      </c>
      <c r="I100" s="2"/>
    </row>
    <row r="101" spans="1:9" x14ac:dyDescent="0.25">
      <c r="B101" s="73" t="s">
        <v>1681</v>
      </c>
      <c r="C101" s="65"/>
      <c r="D101" s="74"/>
      <c r="E101" s="74"/>
      <c r="F101" s="74"/>
      <c r="G101" s="74"/>
      <c r="H101" s="75">
        <f>ROUND(SUM(H84:H100),2)</f>
        <v>794</v>
      </c>
      <c r="I101" s="2"/>
    </row>
    <row r="102" spans="1:9" x14ac:dyDescent="0.25">
      <c r="B102" s="38" t="s">
        <v>1680</v>
      </c>
      <c r="C102" s="2"/>
      <c r="D102" s="3"/>
      <c r="E102" s="3"/>
      <c r="F102" s="3"/>
      <c r="G102" s="3"/>
      <c r="H102" s="56"/>
      <c r="I102" s="2"/>
    </row>
    <row r="103" spans="1:9" ht="25.5" x14ac:dyDescent="0.25">
      <c r="B103" s="64" t="s">
        <v>1409</v>
      </c>
      <c r="C103" s="65"/>
      <c r="D103" s="76"/>
      <c r="E103" s="66" t="s">
        <v>1408</v>
      </c>
      <c r="F103" s="66" t="s">
        <v>1679</v>
      </c>
      <c r="G103" s="66" t="s">
        <v>1676</v>
      </c>
      <c r="H103" s="68" t="s">
        <v>1675</v>
      </c>
      <c r="I103" s="2"/>
    </row>
    <row r="104" spans="1:9" x14ac:dyDescent="0.25">
      <c r="A104" s="103">
        <v>19019</v>
      </c>
      <c r="B104" s="51" t="str">
        <f>IF($A104=0,"",VLOOKUP($A104,'BASE EQUIPO'!$A:$D,2))</f>
        <v>TRANSPORTE DE MATERIAL</v>
      </c>
      <c r="C104" s="52"/>
      <c r="D104" s="82"/>
      <c r="E104" s="78" t="str">
        <f>IF($A104=0,"",VLOOKUP($A104,'BASE EQUIPO'!$A:$D,3))</f>
        <v>GLOBAL</v>
      </c>
      <c r="F104" s="55">
        <v>1</v>
      </c>
      <c r="G104" s="83">
        <f>IF($A104=0,"",VLOOKUP($A104,'BASE EQUIPO'!$A:$D,4)*H101)</f>
        <v>23.82</v>
      </c>
      <c r="H104" s="56">
        <f>IF($A104=0,"",ROUND(F104*G104,2))</f>
        <v>23.82</v>
      </c>
      <c r="I104" s="2"/>
    </row>
    <row r="105" spans="1:9" x14ac:dyDescent="0.25">
      <c r="B105" s="38" t="str">
        <f>IF($A105=0,"",VLOOKUP($A105,'BASE EQUIPO'!$A:$D,2))</f>
        <v/>
      </c>
      <c r="C105" s="2"/>
      <c r="D105" s="84"/>
      <c r="E105" s="78" t="str">
        <f>IF($A105=0,"",VLOOKUP($A105,'BASE EQUIPO'!$A:$D,3))</f>
        <v/>
      </c>
      <c r="F105" s="55"/>
      <c r="G105" s="55" t="str">
        <f>IF($A105=0,"",VLOOKUP($A105,'BASE EQUIPO'!$A:$D,4)*H102)</f>
        <v/>
      </c>
      <c r="H105" s="56" t="str">
        <f>IF($A105=0,"",ROUND(F105*G105,2))</f>
        <v/>
      </c>
      <c r="I105" s="2"/>
    </row>
    <row r="106" spans="1:9" x14ac:dyDescent="0.25">
      <c r="B106" s="57" t="str">
        <f>IF($A106=0,"",VLOOKUP($A106,'BASE EQUIPO'!$A:$D,2))</f>
        <v/>
      </c>
      <c r="C106" s="58"/>
      <c r="D106" s="85"/>
      <c r="E106" s="86" t="str">
        <f>IF($A106=0,"",VLOOKUP($A106,'BASE EQUIPO'!$A:$D,3))</f>
        <v/>
      </c>
      <c r="F106" s="59"/>
      <c r="G106" s="59" t="str">
        <f>IF($A106=0,"",VLOOKUP($A106,'BASE EQUIPO'!$A:$D,4)*H103)</f>
        <v/>
      </c>
      <c r="H106" s="60" t="str">
        <f>IF($A106=0,"",ROUND(F106*G106,2))</f>
        <v/>
      </c>
      <c r="I106" s="2"/>
    </row>
    <row r="107" spans="1:9" ht="15.75" thickBot="1" x14ac:dyDescent="0.3">
      <c r="B107" s="87" t="s">
        <v>1674</v>
      </c>
      <c r="C107" s="88"/>
      <c r="D107" s="89"/>
      <c r="E107" s="89"/>
      <c r="F107" s="89"/>
      <c r="G107" s="89"/>
      <c r="H107" s="90">
        <f>ROUND(SUM(H103:H106),2)</f>
        <v>23.82</v>
      </c>
      <c r="I107" s="2"/>
    </row>
    <row r="108" spans="1:9" ht="15.75" x14ac:dyDescent="0.25">
      <c r="B108" s="2"/>
      <c r="C108" s="2"/>
      <c r="D108" s="91" t="s">
        <v>1673</v>
      </c>
      <c r="E108" s="47"/>
      <c r="F108" s="47"/>
      <c r="G108" s="47"/>
      <c r="H108" s="92">
        <f>ROUND(SUM(H107,H101,H82,H72),2)</f>
        <v>906.18</v>
      </c>
      <c r="I108" s="2"/>
    </row>
    <row r="109" spans="1:9" ht="15.75" x14ac:dyDescent="0.25">
      <c r="A109" s="103">
        <v>40002</v>
      </c>
      <c r="B109" s="2"/>
      <c r="C109" s="2"/>
      <c r="D109" s="93" t="s">
        <v>1672</v>
      </c>
      <c r="E109" s="65"/>
      <c r="F109" s="65"/>
      <c r="G109" s="94">
        <f>IF($A109=0,"",VLOOKUP($A109,'BASE MATERIAL'!$M:$P,4))</f>
        <v>0</v>
      </c>
      <c r="H109" s="95">
        <f>IF($A109=0,"",ROUND(G109*H108,2))</f>
        <v>0</v>
      </c>
      <c r="I109" s="2"/>
    </row>
    <row r="110" spans="1:9" ht="15.75" x14ac:dyDescent="0.25">
      <c r="A110" s="103">
        <v>40003</v>
      </c>
      <c r="B110" s="2"/>
      <c r="C110" s="2"/>
      <c r="D110" s="93" t="s">
        <v>1671</v>
      </c>
      <c r="E110" s="65"/>
      <c r="F110" s="65"/>
      <c r="G110" s="94">
        <f>IF($A110=0,"",VLOOKUP($A110,'BASE MATERIAL'!$M:$P,4))</f>
        <v>0</v>
      </c>
      <c r="H110" s="95">
        <f>IF($A110=0,"",ROUND(G110*H108,2))</f>
        <v>0</v>
      </c>
      <c r="I110" s="2"/>
    </row>
    <row r="111" spans="1:9" ht="15.75" x14ac:dyDescent="0.25">
      <c r="B111" s="2"/>
      <c r="C111" s="2"/>
      <c r="D111" s="93" t="s">
        <v>1670</v>
      </c>
      <c r="E111" s="65"/>
      <c r="F111" s="65"/>
      <c r="G111" s="65"/>
      <c r="H111" s="96">
        <f>ROUND(SUM(H108:H110),2)</f>
        <v>906.18</v>
      </c>
      <c r="I111" s="2"/>
    </row>
    <row r="112" spans="1:9" ht="16.5" thickBot="1" x14ac:dyDescent="0.3">
      <c r="B112" s="25"/>
      <c r="C112" s="2"/>
      <c r="D112" s="97" t="s">
        <v>1650</v>
      </c>
      <c r="E112" s="88"/>
      <c r="F112" s="88"/>
      <c r="G112" s="88"/>
      <c r="H112" s="98">
        <f>ROUND(H111,2)</f>
        <v>906.18</v>
      </c>
      <c r="I112" s="2"/>
    </row>
    <row r="113" spans="1:15" ht="15.75" x14ac:dyDescent="0.25">
      <c r="B113" s="34" t="s">
        <v>1701</v>
      </c>
      <c r="C113" s="2"/>
      <c r="D113" s="3" t="str">
        <f>'1.1'!$D$1</f>
        <v>ESPOL</v>
      </c>
      <c r="E113" s="2"/>
      <c r="F113" s="2"/>
      <c r="H113" s="2" t="s">
        <v>108</v>
      </c>
      <c r="I113" s="2"/>
      <c r="L113" s="40">
        <f>A117</f>
        <v>2</v>
      </c>
      <c r="M113" s="1" t="str">
        <f>C118</f>
        <v>Puertas metálicas 2u(0.60m x 2. 00m). Código Pd4</v>
      </c>
      <c r="N113" s="2" t="str">
        <f>H117</f>
        <v>U</v>
      </c>
      <c r="O113" s="2">
        <f>H168</f>
        <v>803.18</v>
      </c>
    </row>
    <row r="114" spans="1:15" ht="15.75" x14ac:dyDescent="0.25">
      <c r="B114" s="34" t="s">
        <v>1700</v>
      </c>
      <c r="C114" s="3">
        <f>'1.1'!$C$2</f>
        <v>0</v>
      </c>
      <c r="D114" s="2"/>
      <c r="E114" s="2"/>
      <c r="F114" s="2"/>
      <c r="G114" s="41" t="s">
        <v>1699</v>
      </c>
      <c r="H114" s="42"/>
      <c r="I114" s="2" t="s">
        <v>1698</v>
      </c>
    </row>
    <row r="115" spans="1:15" ht="15.75" x14ac:dyDescent="0.25">
      <c r="B115" s="34"/>
      <c r="C115" s="3">
        <f>'1.1'!$C$3</f>
        <v>0</v>
      </c>
      <c r="D115" s="2"/>
      <c r="E115" s="2"/>
      <c r="F115" s="2"/>
      <c r="G115" s="2"/>
      <c r="H115" s="2"/>
      <c r="I115" s="2"/>
    </row>
    <row r="116" spans="1:15" ht="15.75" x14ac:dyDescent="0.25">
      <c r="B116" s="34" t="s">
        <v>1697</v>
      </c>
      <c r="C116" s="3"/>
      <c r="D116" s="2"/>
      <c r="E116" s="2"/>
      <c r="F116" s="2"/>
      <c r="G116" s="2"/>
      <c r="H116" s="2"/>
      <c r="I116" s="2"/>
    </row>
    <row r="117" spans="1:15" x14ac:dyDescent="0.25">
      <c r="A117" s="104">
        <v>2</v>
      </c>
      <c r="B117" s="2" t="s">
        <v>1586</v>
      </c>
      <c r="C117" s="36" t="s">
        <v>1534</v>
      </c>
      <c r="D117" s="2"/>
      <c r="G117" s="2" t="s">
        <v>1696</v>
      </c>
      <c r="H117" s="3" t="s">
        <v>744</v>
      </c>
      <c r="I117" s="2"/>
    </row>
    <row r="118" spans="1:15" x14ac:dyDescent="0.25">
      <c r="B118" s="1" t="s">
        <v>1585</v>
      </c>
      <c r="C118" s="36" t="s">
        <v>202</v>
      </c>
      <c r="D118" s="2"/>
      <c r="E118" s="2"/>
      <c r="F118" s="2"/>
      <c r="G118" s="2"/>
      <c r="H118" s="2"/>
      <c r="I118" s="2"/>
    </row>
    <row r="119" spans="1:15" ht="15.75" thickBot="1" x14ac:dyDescent="0.3">
      <c r="D119" s="2"/>
      <c r="E119" s="2"/>
      <c r="F119" s="2"/>
      <c r="G119" s="2"/>
      <c r="H119" s="2"/>
      <c r="I119" s="2"/>
    </row>
    <row r="120" spans="1:15" ht="15.75" thickBot="1" x14ac:dyDescent="0.3">
      <c r="B120" s="43" t="s">
        <v>1695</v>
      </c>
      <c r="C120" s="44"/>
      <c r="D120" s="44"/>
      <c r="E120" s="44"/>
      <c r="F120" s="44"/>
      <c r="G120" s="44"/>
      <c r="H120" s="45"/>
      <c r="I120" s="2"/>
    </row>
    <row r="121" spans="1:15" ht="25.5" x14ac:dyDescent="0.25">
      <c r="B121" s="46" t="s">
        <v>1409</v>
      </c>
      <c r="C121" s="47"/>
      <c r="D121" s="48" t="s">
        <v>1690</v>
      </c>
      <c r="E121" s="48" t="s">
        <v>1694</v>
      </c>
      <c r="F121" s="48" t="s">
        <v>1693</v>
      </c>
      <c r="G121" s="49" t="s">
        <v>1687</v>
      </c>
      <c r="H121" s="50" t="s">
        <v>1686</v>
      </c>
      <c r="I121" s="2"/>
    </row>
    <row r="122" spans="1:15" x14ac:dyDescent="0.25">
      <c r="A122" s="103">
        <v>19015</v>
      </c>
      <c r="B122" s="51" t="str">
        <f>IF($A122=0,"",VLOOKUP($A122,'BASE EQUIPO'!$A:$D,2))</f>
        <v>HERRAMIENTA MENOR</v>
      </c>
      <c r="C122" s="52"/>
      <c r="D122" s="53">
        <v>1</v>
      </c>
      <c r="E122" s="53">
        <f>IF($A122=0,"",VLOOKUP($A122,'BASE EQUIPO'!$A:$D,4)*H138)</f>
        <v>2.4279000000000002</v>
      </c>
      <c r="F122" s="53">
        <f t="shared" ref="F122:F127" si="10">IF($A122=0,"",ROUND(D122*E122,2))</f>
        <v>2.4300000000000002</v>
      </c>
      <c r="G122" s="105">
        <v>1</v>
      </c>
      <c r="H122" s="54">
        <f t="shared" ref="H122:H127" si="11">IF($A122=0,"",ROUND(G122*F122,2))</f>
        <v>2.4300000000000002</v>
      </c>
      <c r="I122" s="2"/>
    </row>
    <row r="123" spans="1:15" x14ac:dyDescent="0.25">
      <c r="A123" s="103">
        <v>19011</v>
      </c>
      <c r="B123" s="38" t="str">
        <f>IF($A123=0,"",VLOOKUP($A123,'BASE EQUIPO'!$A:$D,2))</f>
        <v>SOLDADORA</v>
      </c>
      <c r="C123" s="2"/>
      <c r="D123" s="55">
        <v>1</v>
      </c>
      <c r="E123" s="55">
        <f>IF($A123=0,"",VLOOKUP($A123,'BASE EQUIPO'!$A:$D,4))</f>
        <v>2.5</v>
      </c>
      <c r="F123" s="55">
        <f t="shared" si="10"/>
        <v>2.5</v>
      </c>
      <c r="G123" s="106">
        <f>ROUND(G132*0.25,3)</f>
        <v>2</v>
      </c>
      <c r="H123" s="56">
        <f t="shared" si="11"/>
        <v>5</v>
      </c>
      <c r="I123" s="2"/>
    </row>
    <row r="124" spans="1:15" x14ac:dyDescent="0.25">
      <c r="B124" s="38" t="str">
        <f>IF($A124=0,"",VLOOKUP($A124,'BASE EQUIPO'!$A:$D,2))</f>
        <v/>
      </c>
      <c r="C124" s="2"/>
      <c r="D124" s="55"/>
      <c r="E124" s="55" t="str">
        <f>IF($A124=0,"",VLOOKUP($A124,'BASE EQUIPO'!$A:$D,4))</f>
        <v/>
      </c>
      <c r="F124" s="55" t="str">
        <f t="shared" si="10"/>
        <v/>
      </c>
      <c r="G124" s="106"/>
      <c r="H124" s="56" t="str">
        <f t="shared" si="11"/>
        <v/>
      </c>
      <c r="I124" s="2"/>
    </row>
    <row r="125" spans="1:15" x14ac:dyDescent="0.25">
      <c r="B125" s="38" t="str">
        <f>IF($A125=0,"",VLOOKUP($A125,'BASE EQUIPO'!$A:$D,2))</f>
        <v/>
      </c>
      <c r="C125" s="2"/>
      <c r="D125" s="55"/>
      <c r="E125" s="55" t="str">
        <f>IF($A125=0,"",VLOOKUP($A125,'BASE EQUIPO'!$A:$D,4))</f>
        <v/>
      </c>
      <c r="F125" s="55" t="str">
        <f t="shared" si="10"/>
        <v/>
      </c>
      <c r="G125" s="106"/>
      <c r="H125" s="56" t="str">
        <f t="shared" si="11"/>
        <v/>
      </c>
      <c r="I125" s="2"/>
    </row>
    <row r="126" spans="1:15" x14ac:dyDescent="0.25">
      <c r="B126" s="38" t="str">
        <f>IF($A126=0,"",VLOOKUP($A126,'BASE EQUIPO'!$A:$D,2))</f>
        <v/>
      </c>
      <c r="C126" s="2"/>
      <c r="D126" s="55"/>
      <c r="E126" s="55" t="str">
        <f>IF($A126=0,"",VLOOKUP($A126,'BASE EQUIPO'!$A:$D,4))</f>
        <v/>
      </c>
      <c r="F126" s="55" t="str">
        <f t="shared" si="10"/>
        <v/>
      </c>
      <c r="G126" s="106"/>
      <c r="H126" s="56" t="str">
        <f t="shared" si="11"/>
        <v/>
      </c>
      <c r="I126" s="2"/>
    </row>
    <row r="127" spans="1:15" x14ac:dyDescent="0.25">
      <c r="B127" s="57" t="str">
        <f>IF($A127=0,"",VLOOKUP($A127,'BASE EQUIPO'!$A:$D,2))</f>
        <v/>
      </c>
      <c r="C127" s="58"/>
      <c r="D127" s="59"/>
      <c r="E127" s="59" t="str">
        <f>IF($A127=0,"",VLOOKUP($A127,'BASE EQUIPO'!$A:$D,4))</f>
        <v/>
      </c>
      <c r="F127" s="59" t="str">
        <f t="shared" si="10"/>
        <v/>
      </c>
      <c r="G127" s="107"/>
      <c r="H127" s="60" t="str">
        <f t="shared" si="11"/>
        <v/>
      </c>
      <c r="I127" s="2"/>
    </row>
    <row r="128" spans="1:15" x14ac:dyDescent="0.25">
      <c r="B128" s="57" t="s">
        <v>1692</v>
      </c>
      <c r="C128" s="58"/>
      <c r="D128" s="61"/>
      <c r="E128" s="61"/>
      <c r="F128" s="61"/>
      <c r="G128" s="62"/>
      <c r="H128" s="60">
        <f>ROUND(SUM(H121:H127),2)</f>
        <v>7.43</v>
      </c>
      <c r="I128" s="2"/>
    </row>
    <row r="129" spans="1:16" x14ac:dyDescent="0.25">
      <c r="B129" s="38" t="s">
        <v>1503</v>
      </c>
      <c r="C129" s="2"/>
      <c r="D129" s="3"/>
      <c r="E129" s="3"/>
      <c r="F129" s="3"/>
      <c r="G129" s="63"/>
      <c r="H129" s="56"/>
      <c r="I129" s="2"/>
    </row>
    <row r="130" spans="1:16" ht="25.5" x14ac:dyDescent="0.25">
      <c r="B130" s="64" t="s">
        <v>1691</v>
      </c>
      <c r="C130" s="65"/>
      <c r="D130" s="66" t="s">
        <v>1690</v>
      </c>
      <c r="E130" s="66" t="s">
        <v>1689</v>
      </c>
      <c r="F130" s="66" t="s">
        <v>1688</v>
      </c>
      <c r="G130" s="67" t="s">
        <v>1687</v>
      </c>
      <c r="H130" s="68" t="s">
        <v>1686</v>
      </c>
      <c r="I130" s="2"/>
    </row>
    <row r="131" spans="1:16" x14ac:dyDescent="0.25">
      <c r="A131" s="103">
        <v>20001</v>
      </c>
      <c r="B131" s="69" t="str">
        <f>IF($A131=0,"",VLOOKUP($A131,'BASE M-OBRA'!$A:$D,2))</f>
        <v>MAESTRO</v>
      </c>
      <c r="C131" s="2"/>
      <c r="D131" s="108">
        <v>1</v>
      </c>
      <c r="E131" s="70">
        <f>IF($A131=0,"",VLOOKUP($A131,'BASE M-OBRA'!$A:$D,4))</f>
        <v>3.02</v>
      </c>
      <c r="F131" s="55">
        <f t="shared" ref="F131:F137" si="12">IF($A131=0,"",ROUND(D131*E131,2))</f>
        <v>3.02</v>
      </c>
      <c r="G131" s="106">
        <f>IF($A131=0,"",ROUND(H131/F131,2))</f>
        <v>4.47</v>
      </c>
      <c r="H131" s="56">
        <f>IF($A131=0,"",ROUND(SUM(H132:H137)*'BASE M-OBRA'!$D$23,2))</f>
        <v>13.49</v>
      </c>
      <c r="I131" s="2"/>
    </row>
    <row r="132" spans="1:16" x14ac:dyDescent="0.25">
      <c r="A132" s="103">
        <v>20002</v>
      </c>
      <c r="B132" s="69" t="str">
        <f>IF($A132=0,"",VLOOKUP($A132,'BASE M-OBRA'!$A:$D,2))</f>
        <v>PEON</v>
      </c>
      <c r="C132" s="2"/>
      <c r="D132" s="108">
        <v>1</v>
      </c>
      <c r="E132" s="70">
        <f>IF($A132=0,"",VLOOKUP($A132,'BASE M-OBRA'!$A:$D,4))</f>
        <v>2.79</v>
      </c>
      <c r="F132" s="55">
        <f t="shared" si="12"/>
        <v>2.79</v>
      </c>
      <c r="G132" s="106">
        <v>8</v>
      </c>
      <c r="H132" s="56">
        <f t="shared" ref="H132:H137" si="13">IF($A132=0,"",ROUND(G132*F132,2))</f>
        <v>22.32</v>
      </c>
      <c r="I132" s="2"/>
    </row>
    <row r="133" spans="1:16" x14ac:dyDescent="0.25">
      <c r="A133" s="103">
        <v>20003</v>
      </c>
      <c r="B133" s="69" t="str">
        <f>IF($A133=0,"",VLOOKUP($A133,'BASE M-OBRA'!$A:$D,2))</f>
        <v>ALBAÑIL</v>
      </c>
      <c r="C133" s="2"/>
      <c r="D133" s="108">
        <v>2</v>
      </c>
      <c r="E133" s="70">
        <f>IF($A133=0,"",VLOOKUP($A133,'BASE M-OBRA'!$A:$D,4))</f>
        <v>2.82</v>
      </c>
      <c r="F133" s="55">
        <f t="shared" si="12"/>
        <v>5.64</v>
      </c>
      <c r="G133" s="106">
        <f>+G132</f>
        <v>8</v>
      </c>
      <c r="H133" s="56">
        <f t="shared" si="13"/>
        <v>45.12</v>
      </c>
      <c r="I133" s="2"/>
    </row>
    <row r="134" spans="1:16" x14ac:dyDescent="0.25">
      <c r="B134" s="71" t="str">
        <f>IF($A134=0,"",VLOOKUP($A134,'BASE M-OBRA'!$A:$D,2))</f>
        <v/>
      </c>
      <c r="C134" s="2"/>
      <c r="D134" s="108"/>
      <c r="E134" s="70" t="str">
        <f>IF($A134=0,"",VLOOKUP($A134,'BASE M-OBRA'!$A:$D,4))</f>
        <v/>
      </c>
      <c r="F134" s="55" t="str">
        <f t="shared" si="12"/>
        <v/>
      </c>
      <c r="G134" s="106"/>
      <c r="H134" s="56" t="str">
        <f t="shared" si="13"/>
        <v/>
      </c>
      <c r="I134" s="2"/>
    </row>
    <row r="135" spans="1:16" x14ac:dyDescent="0.25">
      <c r="B135" s="72" t="str">
        <f>IF($A135=0,"",VLOOKUP($A135,'BASE M-OBRA'!$A:$D,2))</f>
        <v/>
      </c>
      <c r="C135" s="2"/>
      <c r="D135" s="108"/>
      <c r="E135" s="70" t="str">
        <f>IF($A135=0,"",VLOOKUP($A135,'BASE M-OBRA'!$A:$D,4))</f>
        <v/>
      </c>
      <c r="F135" s="55" t="str">
        <f t="shared" si="12"/>
        <v/>
      </c>
      <c r="G135" s="106"/>
      <c r="H135" s="56" t="str">
        <f t="shared" si="13"/>
        <v/>
      </c>
      <c r="I135" s="2"/>
    </row>
    <row r="136" spans="1:16" x14ac:dyDescent="0.25">
      <c r="B136" s="38" t="str">
        <f>IF($A136=0,"",VLOOKUP($A136,'BASE M-OBRA'!$A:$D,2))</f>
        <v/>
      </c>
      <c r="C136" s="2"/>
      <c r="D136" s="55"/>
      <c r="E136" s="55" t="str">
        <f>IF($A136=0,"",VLOOKUP($A136,'BASE M-OBRA'!$A:$D,4))</f>
        <v/>
      </c>
      <c r="F136" s="55" t="str">
        <f t="shared" si="12"/>
        <v/>
      </c>
      <c r="G136" s="106"/>
      <c r="H136" s="56" t="str">
        <f t="shared" si="13"/>
        <v/>
      </c>
      <c r="I136" s="2"/>
    </row>
    <row r="137" spans="1:16" x14ac:dyDescent="0.25">
      <c r="B137" s="57" t="str">
        <f>IF($A137=0,"",VLOOKUP($A137,'BASE M-OBRA'!$A:$D,2))</f>
        <v/>
      </c>
      <c r="C137" s="58"/>
      <c r="D137" s="59"/>
      <c r="E137" s="59" t="str">
        <f>IF($A137=0,"",VLOOKUP($A137,'BASE M-OBRA'!$A:$D,4))</f>
        <v/>
      </c>
      <c r="F137" s="59" t="str">
        <f t="shared" si="12"/>
        <v/>
      </c>
      <c r="G137" s="107"/>
      <c r="H137" s="60" t="str">
        <f t="shared" si="13"/>
        <v/>
      </c>
      <c r="I137" s="2"/>
    </row>
    <row r="138" spans="1:16" x14ac:dyDescent="0.25">
      <c r="B138" s="73" t="s">
        <v>1685</v>
      </c>
      <c r="C138" s="65"/>
      <c r="D138" s="74"/>
      <c r="E138" s="74"/>
      <c r="F138" s="74"/>
      <c r="G138" s="74"/>
      <c r="H138" s="75">
        <f>ROUND(SUM(H130:H137),2)</f>
        <v>80.930000000000007</v>
      </c>
      <c r="I138" s="2"/>
    </row>
    <row r="139" spans="1:16" x14ac:dyDescent="0.25">
      <c r="B139" s="38" t="s">
        <v>1684</v>
      </c>
      <c r="C139" s="2"/>
      <c r="D139" s="3"/>
      <c r="E139" s="3"/>
      <c r="F139" s="3"/>
      <c r="G139" s="3"/>
      <c r="H139" s="56"/>
      <c r="I139" s="2"/>
    </row>
    <row r="140" spans="1:16" ht="25.5" x14ac:dyDescent="0.25">
      <c r="B140" s="64" t="s">
        <v>1409</v>
      </c>
      <c r="C140" s="65"/>
      <c r="D140" s="76"/>
      <c r="E140" s="66" t="s">
        <v>1408</v>
      </c>
      <c r="F140" s="66" t="s">
        <v>1679</v>
      </c>
      <c r="G140" s="66" t="s">
        <v>1683</v>
      </c>
      <c r="H140" s="68" t="s">
        <v>1675</v>
      </c>
      <c r="I140" s="2"/>
    </row>
    <row r="141" spans="1:16" x14ac:dyDescent="0.25">
      <c r="A141" s="103">
        <v>1</v>
      </c>
      <c r="B141" s="37" t="s">
        <v>905</v>
      </c>
      <c r="C141" s="2"/>
      <c r="D141" s="77"/>
      <c r="E141" s="78" t="s">
        <v>744</v>
      </c>
      <c r="F141" s="113">
        <v>2</v>
      </c>
      <c r="G141" s="55">
        <v>300</v>
      </c>
      <c r="H141" s="56">
        <f t="shared" ref="H141:H155" si="14">IF($A141=0,"",ROUND(F141*G141,2))</f>
        <v>600</v>
      </c>
      <c r="I141" s="2"/>
      <c r="J141" s="1">
        <f>SUM(J143:J145)</f>
        <v>179.3536</v>
      </c>
      <c r="K141" s="1" t="s">
        <v>225</v>
      </c>
      <c r="L141" s="2"/>
      <c r="M141" s="2"/>
      <c r="N141" s="39"/>
      <c r="O141" s="2"/>
      <c r="P141" s="2"/>
    </row>
    <row r="142" spans="1:16" x14ac:dyDescent="0.25">
      <c r="B142" s="38" t="s">
        <v>906</v>
      </c>
      <c r="C142" s="2"/>
      <c r="D142" s="77"/>
      <c r="E142" s="78"/>
      <c r="F142" s="113"/>
      <c r="G142" s="55"/>
      <c r="H142" s="56" t="str">
        <f t="shared" si="14"/>
        <v/>
      </c>
      <c r="I142" s="2"/>
      <c r="L142" s="2"/>
      <c r="M142" s="2"/>
      <c r="N142" s="39"/>
      <c r="O142" s="2"/>
      <c r="P142" s="2"/>
    </row>
    <row r="143" spans="1:16" x14ac:dyDescent="0.25">
      <c r="A143" s="103">
        <v>10029</v>
      </c>
      <c r="B143" s="38" t="str">
        <f>IF($A143=0,"",VLOOKUP($A143,'BASE MATERIAL'!$A:$D,2))</f>
        <v>CIERRAPUERTAS</v>
      </c>
      <c r="C143" s="2"/>
      <c r="D143" s="77"/>
      <c r="E143" s="78" t="str">
        <f>IF($A143=0,"",VLOOKUP($A143,'BASE MATERIAL'!$A:$D,3))</f>
        <v>U</v>
      </c>
      <c r="F143" s="113">
        <v>2</v>
      </c>
      <c r="G143" s="55">
        <f>IF($A143=0,"",VLOOKUP($A143,'BASE MATERIAL'!$A:$D,4))</f>
        <v>47</v>
      </c>
      <c r="H143" s="56">
        <f t="shared" si="14"/>
        <v>94</v>
      </c>
      <c r="I143" s="2"/>
      <c r="J143" s="1">
        <f>((4*0.8+2*2)*0.04*4*7.82*3)*2</f>
        <v>54.051840000000013</v>
      </c>
      <c r="K143" s="1" t="s">
        <v>842</v>
      </c>
      <c r="L143" s="2"/>
      <c r="M143" s="2"/>
      <c r="N143" s="39"/>
      <c r="O143" s="2"/>
      <c r="P143" s="2"/>
    </row>
    <row r="144" spans="1:16" x14ac:dyDescent="0.25">
      <c r="B144" s="38" t="str">
        <f>IF($A144=0,"",VLOOKUP($A144,'BASE MATERIAL'!$A:$D,2))</f>
        <v/>
      </c>
      <c r="C144" s="2"/>
      <c r="D144" s="77"/>
      <c r="E144" s="78" t="str">
        <f>IF($A144=0,"",VLOOKUP($A144,'BASE MATERIAL'!$A:$D,3))</f>
        <v/>
      </c>
      <c r="F144" s="113"/>
      <c r="G144" s="55" t="str">
        <f>IF($A144=0,"",VLOOKUP($A144,'BASE MATERIAL'!$A:$D,4))</f>
        <v/>
      </c>
      <c r="H144" s="56" t="str">
        <f t="shared" si="14"/>
        <v/>
      </c>
      <c r="I144" s="2"/>
      <c r="J144" s="1">
        <f>((7.85*2)*0.9*2*2)*2</f>
        <v>113.03999999999999</v>
      </c>
      <c r="K144" s="1" t="s">
        <v>223</v>
      </c>
      <c r="L144" s="2"/>
      <c r="M144" s="2"/>
      <c r="N144" s="39"/>
      <c r="O144" s="2"/>
      <c r="P144" s="2"/>
    </row>
    <row r="145" spans="1:16" x14ac:dyDescent="0.25">
      <c r="B145" s="38" t="str">
        <f>IF($A145=0,"",VLOOKUP($A145,'BASE MATERIAL'!$A:$D,2))</f>
        <v/>
      </c>
      <c r="C145" s="2"/>
      <c r="D145" s="77"/>
      <c r="E145" s="78" t="str">
        <f>IF($A145=0,"",VLOOKUP($A145,'BASE MATERIAL'!$A:$D,3))</f>
        <v/>
      </c>
      <c r="F145" s="113"/>
      <c r="G145" s="55" t="str">
        <f>IF($A145=0,"",VLOOKUP($A145,'BASE MATERIAL'!$A:$D,4))</f>
        <v/>
      </c>
      <c r="H145" s="56" t="str">
        <f t="shared" si="14"/>
        <v/>
      </c>
      <c r="I145" s="2"/>
      <c r="J145" s="1">
        <f>((0.9+2*2)*(0.04+0.04)*7.82*2)*2</f>
        <v>12.261760000000001</v>
      </c>
      <c r="K145" s="1" t="s">
        <v>224</v>
      </c>
      <c r="L145" s="2"/>
      <c r="M145" s="2"/>
      <c r="N145" s="39"/>
      <c r="O145" s="2"/>
      <c r="P145" s="2"/>
    </row>
    <row r="146" spans="1:16" x14ac:dyDescent="0.25">
      <c r="B146" s="38" t="str">
        <f>IF($A146=0,"",VLOOKUP($A146,'BASE MATERIAL'!$A:$D,2))</f>
        <v/>
      </c>
      <c r="C146" s="2"/>
      <c r="D146" s="77"/>
      <c r="E146" s="78" t="str">
        <f>IF($A146=0,"",VLOOKUP($A146,'BASE MATERIAL'!$A:$D,3))</f>
        <v/>
      </c>
      <c r="F146" s="113"/>
      <c r="G146" s="55" t="str">
        <f>IF($A146=0,"",VLOOKUP($A146,'BASE MATERIAL'!$A:$D,4))</f>
        <v/>
      </c>
      <c r="H146" s="56" t="str">
        <f t="shared" si="14"/>
        <v/>
      </c>
      <c r="I146" s="2"/>
      <c r="J146" s="79"/>
      <c r="L146" s="2"/>
      <c r="M146" s="2"/>
      <c r="N146" s="39"/>
      <c r="O146" s="2"/>
      <c r="P146" s="2"/>
    </row>
    <row r="147" spans="1:16" x14ac:dyDescent="0.25">
      <c r="B147" s="38" t="str">
        <f>IF($A147=0,"",VLOOKUP($A147,'BASE MATERIAL'!$A:$D,2))</f>
        <v/>
      </c>
      <c r="C147" s="2"/>
      <c r="D147" s="77"/>
      <c r="E147" s="78" t="str">
        <f>IF($A147=0,"",VLOOKUP($A147,'BASE MATERIAL'!$A:$D,3))</f>
        <v/>
      </c>
      <c r="F147" s="55"/>
      <c r="G147" s="55" t="str">
        <f>IF($A147=0,"",VLOOKUP($A147,'BASE MATERIAL'!$A:$D,4))</f>
        <v/>
      </c>
      <c r="H147" s="56" t="str">
        <f t="shared" si="14"/>
        <v/>
      </c>
      <c r="I147" s="2"/>
      <c r="L147" s="2"/>
      <c r="M147" s="2"/>
      <c r="N147" s="39"/>
      <c r="O147" s="2"/>
      <c r="P147" s="2"/>
    </row>
    <row r="148" spans="1:16" x14ac:dyDescent="0.25">
      <c r="B148" s="38" t="str">
        <f>IF($A148=0,"",VLOOKUP($A148,'BASE MATERIAL'!$A:$D,2))</f>
        <v/>
      </c>
      <c r="C148" s="2"/>
      <c r="D148" s="77"/>
      <c r="E148" s="78" t="str">
        <f>IF($A148=0,"",VLOOKUP($A148,'BASE MATERIAL'!$A:$D,3))</f>
        <v/>
      </c>
      <c r="F148" s="55"/>
      <c r="G148" s="55" t="str">
        <f>IF($A148=0,"",VLOOKUP($A148,'BASE MATERIAL'!$A:$D,4))</f>
        <v/>
      </c>
      <c r="H148" s="56" t="str">
        <f t="shared" si="14"/>
        <v/>
      </c>
      <c r="I148" s="2"/>
      <c r="J148" s="79"/>
      <c r="L148" s="2"/>
      <c r="M148" s="2"/>
      <c r="N148" s="39"/>
      <c r="O148" s="2"/>
      <c r="P148" s="2"/>
    </row>
    <row r="149" spans="1:16" x14ac:dyDescent="0.25">
      <c r="B149" s="38" t="str">
        <f>IF($A149=0,"",VLOOKUP($A149,'BASE MATERIAL'!$A:$D,2))</f>
        <v/>
      </c>
      <c r="C149" s="2"/>
      <c r="D149" s="77"/>
      <c r="E149" s="78" t="str">
        <f>IF($A149=0,"",VLOOKUP($A149,'BASE MATERIAL'!$A:$D,3))</f>
        <v/>
      </c>
      <c r="F149" s="55"/>
      <c r="G149" s="55" t="str">
        <f>IF($A149=0,"",VLOOKUP($A149,'BASE MATERIAL'!$A:$D,4))</f>
        <v/>
      </c>
      <c r="H149" s="56" t="str">
        <f t="shared" si="14"/>
        <v/>
      </c>
      <c r="I149" s="2"/>
    </row>
    <row r="150" spans="1:16" x14ac:dyDescent="0.25">
      <c r="B150" s="38" t="str">
        <f>IF($A150=0,"",VLOOKUP($A150,'BASE MATERIAL'!$A:$D,2))</f>
        <v/>
      </c>
      <c r="C150" s="2"/>
      <c r="D150" s="77"/>
      <c r="E150" s="78" t="str">
        <f>IF($A150=0,"",VLOOKUP($A150,'BASE MATERIAL'!$A:$D,3))</f>
        <v/>
      </c>
      <c r="F150" s="55"/>
      <c r="G150" s="55" t="str">
        <f>IF($A150=0,"",VLOOKUP($A150,'BASE MATERIAL'!$A:$D,4))</f>
        <v/>
      </c>
      <c r="H150" s="56" t="str">
        <f t="shared" si="14"/>
        <v/>
      </c>
      <c r="I150" s="2"/>
      <c r="L150" s="2"/>
      <c r="M150" s="2"/>
      <c r="N150" s="39"/>
      <c r="O150" s="2"/>
      <c r="P150" s="2"/>
    </row>
    <row r="151" spans="1:16" x14ac:dyDescent="0.25">
      <c r="B151" s="38" t="str">
        <f>IF($A151=0,"",VLOOKUP($A151,'BASE MATERIAL'!$A:$D,2))</f>
        <v/>
      </c>
      <c r="C151" s="2"/>
      <c r="D151" s="77"/>
      <c r="E151" s="78" t="str">
        <f>IF($A151=0,"",VLOOKUP($A151,'BASE MATERIAL'!$A:$D,3))</f>
        <v/>
      </c>
      <c r="F151" s="55"/>
      <c r="G151" s="80" t="str">
        <f>IF($A151=0,"",VLOOKUP($A151,'BASE MATERIAL'!$A:$D,4))</f>
        <v/>
      </c>
      <c r="H151" s="56" t="str">
        <f t="shared" si="14"/>
        <v/>
      </c>
      <c r="I151" s="2"/>
      <c r="L151" s="2"/>
      <c r="M151" s="2"/>
      <c r="N151" s="39"/>
      <c r="O151" s="2"/>
      <c r="P151" s="2"/>
    </row>
    <row r="152" spans="1:16" x14ac:dyDescent="0.25">
      <c r="B152" s="38" t="str">
        <f>IF($A152=0,"",VLOOKUP($A152,'BASE MATERIAL'!$A:$D,2))</f>
        <v/>
      </c>
      <c r="C152" s="2"/>
      <c r="D152" s="77"/>
      <c r="E152" s="78" t="str">
        <f>IF($A152=0,"",VLOOKUP($A152,'BASE MATERIAL'!$A:$D,3))</f>
        <v/>
      </c>
      <c r="F152" s="55"/>
      <c r="G152" s="55"/>
      <c r="H152" s="56" t="str">
        <f t="shared" si="14"/>
        <v/>
      </c>
      <c r="I152" s="2"/>
    </row>
    <row r="153" spans="1:16" x14ac:dyDescent="0.25">
      <c r="B153" s="38" t="str">
        <f>IF($A153=0,"",VLOOKUP($A153,'BASE MATERIAL'!$A:$D,2))</f>
        <v/>
      </c>
      <c r="C153" s="2"/>
      <c r="D153" s="77"/>
      <c r="E153" s="78" t="str">
        <f>IF($A153=0,"",VLOOKUP($A153,'BASE MATERIAL'!$A:$D,3))</f>
        <v/>
      </c>
      <c r="F153" s="55"/>
      <c r="G153" s="55" t="str">
        <f>IF($A153=0,"",VLOOKUP($A153,'BASE MATERIAL'!$A:$D,4))</f>
        <v/>
      </c>
      <c r="H153" s="56" t="str">
        <f t="shared" si="14"/>
        <v/>
      </c>
      <c r="I153" s="2"/>
    </row>
    <row r="154" spans="1:16" x14ac:dyDescent="0.25">
      <c r="B154" s="38" t="str">
        <f>IF($A154=0,"",VLOOKUP($A154,'BASE MATERIAL'!$A:$D,2))</f>
        <v/>
      </c>
      <c r="C154" s="2"/>
      <c r="D154" s="77"/>
      <c r="E154" s="78" t="str">
        <f>IF($A154=0,"",VLOOKUP($A154,'BASE MATERIAL'!$A:$D,3))</f>
        <v/>
      </c>
      <c r="F154" s="55"/>
      <c r="G154" s="55" t="str">
        <f>IF($A154=0,"",VLOOKUP($A154,'BASE MATERIAL'!$A:$D,4))</f>
        <v/>
      </c>
      <c r="H154" s="56" t="str">
        <f t="shared" si="14"/>
        <v/>
      </c>
      <c r="I154" s="2"/>
    </row>
    <row r="155" spans="1:16" x14ac:dyDescent="0.25">
      <c r="B155" s="38" t="str">
        <f>IF($A155=0,"",VLOOKUP($A155,'BASE MATERIAL'!$A:$D,2))</f>
        <v/>
      </c>
      <c r="C155" s="2"/>
      <c r="D155" s="77"/>
      <c r="E155" s="78" t="str">
        <f>IF($A155=0,"",VLOOKUP($A155,'BASE MATERIAL'!$A:$D,3))</f>
        <v/>
      </c>
      <c r="F155" s="55"/>
      <c r="G155" s="55" t="str">
        <f>IF($A155=0,"",VLOOKUP($A155,'BASE MATERIAL'!$A:$D,4))</f>
        <v/>
      </c>
      <c r="H155" s="56" t="str">
        <f t="shared" si="14"/>
        <v/>
      </c>
      <c r="I155" s="2"/>
    </row>
    <row r="156" spans="1:16" x14ac:dyDescent="0.25">
      <c r="B156" s="38" t="str">
        <f>IF($A156=0,"",VLOOKUP($A156,'BASE MATERIAL'!$A:$D,2))</f>
        <v/>
      </c>
      <c r="C156" s="2"/>
      <c r="D156" s="81" t="s">
        <v>1682</v>
      </c>
      <c r="E156" s="55" t="str">
        <f>IF($A156=0,"",VLOOKUP($A156,'BASE MATERIAL'!$A:$D,3))</f>
        <v/>
      </c>
      <c r="F156" s="55" t="s">
        <v>1682</v>
      </c>
      <c r="G156" s="55" t="str">
        <f>IF($A156=0,"",VLOOKUP($A156,'BASE MATERIAL'!$A:$D,4))</f>
        <v/>
      </c>
      <c r="H156" s="56" t="str">
        <f>IF($A156=0,"",ROUND(E156*F156,2))</f>
        <v/>
      </c>
      <c r="I156" s="2"/>
    </row>
    <row r="157" spans="1:16" x14ac:dyDescent="0.25">
      <c r="B157" s="73" t="s">
        <v>1681</v>
      </c>
      <c r="C157" s="65"/>
      <c r="D157" s="74"/>
      <c r="E157" s="74"/>
      <c r="F157" s="74"/>
      <c r="G157" s="74"/>
      <c r="H157" s="75">
        <f>ROUND(SUM(H140:H156),2)</f>
        <v>694</v>
      </c>
      <c r="I157" s="2"/>
    </row>
    <row r="158" spans="1:16" x14ac:dyDescent="0.25">
      <c r="B158" s="38" t="s">
        <v>1680</v>
      </c>
      <c r="C158" s="2"/>
      <c r="D158" s="3"/>
      <c r="E158" s="3"/>
      <c r="F158" s="3"/>
      <c r="G158" s="3"/>
      <c r="H158" s="56"/>
      <c r="I158" s="2"/>
    </row>
    <row r="159" spans="1:16" ht="25.5" x14ac:dyDescent="0.25">
      <c r="B159" s="64" t="s">
        <v>1409</v>
      </c>
      <c r="C159" s="65"/>
      <c r="D159" s="76"/>
      <c r="E159" s="66" t="s">
        <v>1408</v>
      </c>
      <c r="F159" s="66" t="s">
        <v>1679</v>
      </c>
      <c r="G159" s="66" t="s">
        <v>1676</v>
      </c>
      <c r="H159" s="68" t="s">
        <v>1675</v>
      </c>
      <c r="I159" s="2"/>
    </row>
    <row r="160" spans="1:16" x14ac:dyDescent="0.25">
      <c r="A160" s="103">
        <v>19019</v>
      </c>
      <c r="B160" s="51" t="str">
        <f>IF($A160=0,"",VLOOKUP($A160,'BASE EQUIPO'!$A:$D,2))</f>
        <v>TRANSPORTE DE MATERIAL</v>
      </c>
      <c r="C160" s="52"/>
      <c r="D160" s="82"/>
      <c r="E160" s="78" t="str">
        <f>IF($A160=0,"",VLOOKUP($A160,'BASE EQUIPO'!$A:$D,3))</f>
        <v>GLOBAL</v>
      </c>
      <c r="F160" s="55">
        <v>1</v>
      </c>
      <c r="G160" s="83">
        <f>IF($A160=0,"",VLOOKUP($A160,'BASE EQUIPO'!$A:$D,4)*H157)</f>
        <v>20.82</v>
      </c>
      <c r="H160" s="56">
        <f>IF($A160=0,"",ROUND(F160*G160,2))</f>
        <v>20.82</v>
      </c>
      <c r="I160" s="2"/>
    </row>
    <row r="161" spans="1:15" x14ac:dyDescent="0.25">
      <c r="B161" s="38" t="str">
        <f>IF($A161=0,"",VLOOKUP($A161,'BASE EQUIPO'!$A:$D,2))</f>
        <v/>
      </c>
      <c r="C161" s="2"/>
      <c r="D161" s="84"/>
      <c r="E161" s="78" t="str">
        <f>IF($A161=0,"",VLOOKUP($A161,'BASE EQUIPO'!$A:$D,3))</f>
        <v/>
      </c>
      <c r="F161" s="55"/>
      <c r="G161" s="55" t="str">
        <f>IF($A161=0,"",VLOOKUP($A161,'BASE EQUIPO'!$A:$D,4)*H158)</f>
        <v/>
      </c>
      <c r="H161" s="56" t="str">
        <f>IF($A161=0,"",ROUND(F161*G161,2))</f>
        <v/>
      </c>
      <c r="I161" s="2"/>
    </row>
    <row r="162" spans="1:15" x14ac:dyDescent="0.25">
      <c r="B162" s="57" t="str">
        <f>IF($A162=0,"",VLOOKUP($A162,'BASE EQUIPO'!$A:$D,2))</f>
        <v/>
      </c>
      <c r="C162" s="58"/>
      <c r="D162" s="85"/>
      <c r="E162" s="86" t="str">
        <f>IF($A162=0,"",VLOOKUP($A162,'BASE EQUIPO'!$A:$D,3))</f>
        <v/>
      </c>
      <c r="F162" s="59"/>
      <c r="G162" s="59" t="str">
        <f>IF($A162=0,"",VLOOKUP($A162,'BASE EQUIPO'!$A:$D,4)*H159)</f>
        <v/>
      </c>
      <c r="H162" s="60" t="str">
        <f>IF($A162=0,"",ROUND(F162*G162,2))</f>
        <v/>
      </c>
      <c r="I162" s="2"/>
    </row>
    <row r="163" spans="1:15" ht="15.75" thickBot="1" x14ac:dyDescent="0.3">
      <c r="B163" s="87" t="s">
        <v>1674</v>
      </c>
      <c r="C163" s="88"/>
      <c r="D163" s="89"/>
      <c r="E163" s="89"/>
      <c r="F163" s="89"/>
      <c r="G163" s="89"/>
      <c r="H163" s="90">
        <f>ROUND(SUM(H159:H162),2)</f>
        <v>20.82</v>
      </c>
      <c r="I163" s="2"/>
    </row>
    <row r="164" spans="1:15" ht="15.75" x14ac:dyDescent="0.25">
      <c r="B164" s="2"/>
      <c r="C164" s="2"/>
      <c r="D164" s="91" t="s">
        <v>1673</v>
      </c>
      <c r="E164" s="47"/>
      <c r="F164" s="47"/>
      <c r="G164" s="47"/>
      <c r="H164" s="92">
        <f>ROUND(SUM(H163,H157,H138,H128),2)</f>
        <v>803.18</v>
      </c>
      <c r="I164" s="2"/>
    </row>
    <row r="165" spans="1:15" ht="15.75" x14ac:dyDescent="0.25">
      <c r="A165" s="103">
        <v>40002</v>
      </c>
      <c r="B165" s="2"/>
      <c r="C165" s="2"/>
      <c r="D165" s="93" t="s">
        <v>1672</v>
      </c>
      <c r="E165" s="65"/>
      <c r="F165" s="65"/>
      <c r="G165" s="94">
        <f>IF($A165=0,"",VLOOKUP($A165,'BASE MATERIAL'!$M:$P,4))</f>
        <v>0</v>
      </c>
      <c r="H165" s="95">
        <f>IF($A165=0,"",ROUND(G165*H164,2))</f>
        <v>0</v>
      </c>
      <c r="I165" s="2"/>
    </row>
    <row r="166" spans="1:15" ht="15.75" x14ac:dyDescent="0.25">
      <c r="A166" s="103">
        <v>40003</v>
      </c>
      <c r="B166" s="2"/>
      <c r="C166" s="2"/>
      <c r="D166" s="93" t="s">
        <v>1671</v>
      </c>
      <c r="E166" s="65"/>
      <c r="F166" s="65"/>
      <c r="G166" s="94">
        <f>IF($A166=0,"",VLOOKUP($A166,'BASE MATERIAL'!$M:$P,4))</f>
        <v>0</v>
      </c>
      <c r="H166" s="95">
        <f>IF($A166=0,"",ROUND(G166*H164,2))</f>
        <v>0</v>
      </c>
      <c r="I166" s="2"/>
    </row>
    <row r="167" spans="1:15" ht="15.75" x14ac:dyDescent="0.25">
      <c r="B167" s="2"/>
      <c r="C167" s="2"/>
      <c r="D167" s="93" t="s">
        <v>1670</v>
      </c>
      <c r="E167" s="65"/>
      <c r="F167" s="65"/>
      <c r="G167" s="65"/>
      <c r="H167" s="96">
        <f>ROUND(SUM(H164:H166),2)</f>
        <v>803.18</v>
      </c>
      <c r="I167" s="2"/>
    </row>
    <row r="168" spans="1:15" ht="16.5" thickBot="1" x14ac:dyDescent="0.3">
      <c r="B168" s="25"/>
      <c r="C168" s="2"/>
      <c r="D168" s="97" t="s">
        <v>1650</v>
      </c>
      <c r="E168" s="88"/>
      <c r="F168" s="88"/>
      <c r="G168" s="88"/>
      <c r="H168" s="98">
        <f>ROUND(H167,2)</f>
        <v>803.18</v>
      </c>
      <c r="I168" s="2"/>
    </row>
    <row r="169" spans="1:15" ht="15.75" x14ac:dyDescent="0.25">
      <c r="B169" s="34" t="s">
        <v>1701</v>
      </c>
      <c r="C169" s="2"/>
      <c r="D169" s="3" t="str">
        <f>'1.1'!$D$1</f>
        <v>ESPOL</v>
      </c>
      <c r="E169" s="2"/>
      <c r="F169" s="2"/>
      <c r="H169" s="2" t="s">
        <v>108</v>
      </c>
      <c r="I169" s="2"/>
      <c r="L169" s="40">
        <f>A173</f>
        <v>2</v>
      </c>
      <c r="M169" s="1" t="str">
        <f>C174</f>
        <v>Puertas metálicas (0.90m x 2. 00m). Código P1</v>
      </c>
      <c r="N169" s="2" t="str">
        <f>H173</f>
        <v>U</v>
      </c>
      <c r="O169" s="2">
        <f>H224</f>
        <v>291.89</v>
      </c>
    </row>
    <row r="170" spans="1:15" ht="15.75" x14ac:dyDescent="0.25">
      <c r="B170" s="34" t="s">
        <v>1700</v>
      </c>
      <c r="C170" s="3">
        <f>'1.1'!$C$2</f>
        <v>0</v>
      </c>
      <c r="D170" s="2"/>
      <c r="E170" s="2"/>
      <c r="F170" s="2"/>
      <c r="G170" s="41" t="s">
        <v>1699</v>
      </c>
      <c r="H170" s="42"/>
      <c r="I170" s="2" t="s">
        <v>1698</v>
      </c>
    </row>
    <row r="171" spans="1:15" ht="15.75" x14ac:dyDescent="0.25">
      <c r="B171" s="34"/>
      <c r="C171" s="3">
        <f>'1.1'!$C$3</f>
        <v>0</v>
      </c>
      <c r="D171" s="2"/>
      <c r="E171" s="2"/>
      <c r="F171" s="2"/>
      <c r="G171" s="2"/>
      <c r="H171" s="2"/>
      <c r="I171" s="2"/>
    </row>
    <row r="172" spans="1:15" ht="15.75" x14ac:dyDescent="0.25">
      <c r="B172" s="34" t="s">
        <v>1697</v>
      </c>
      <c r="C172" s="3"/>
      <c r="D172" s="2"/>
      <c r="E172" s="2"/>
      <c r="F172" s="2"/>
      <c r="G172" s="2"/>
      <c r="H172" s="2"/>
      <c r="I172" s="2"/>
    </row>
    <row r="173" spans="1:15" x14ac:dyDescent="0.25">
      <c r="A173" s="104">
        <v>2</v>
      </c>
      <c r="B173" s="2" t="s">
        <v>1586</v>
      </c>
      <c r="C173" s="36" t="s">
        <v>1677</v>
      </c>
      <c r="D173" s="2"/>
      <c r="G173" s="2" t="s">
        <v>1696</v>
      </c>
      <c r="H173" s="3" t="s">
        <v>744</v>
      </c>
      <c r="I173" s="2"/>
    </row>
    <row r="174" spans="1:15" x14ac:dyDescent="0.25">
      <c r="B174" s="1" t="s">
        <v>1585</v>
      </c>
      <c r="C174" s="36" t="s">
        <v>207</v>
      </c>
      <c r="D174" s="2"/>
      <c r="E174" s="2"/>
      <c r="F174" s="2"/>
      <c r="G174" s="2"/>
      <c r="H174" s="2"/>
      <c r="I174" s="2"/>
    </row>
    <row r="175" spans="1:15" ht="15.75" thickBot="1" x14ac:dyDescent="0.3">
      <c r="D175" s="2"/>
      <c r="E175" s="2"/>
      <c r="F175" s="2"/>
      <c r="G175" s="2"/>
      <c r="H175" s="2"/>
      <c r="I175" s="2"/>
    </row>
    <row r="176" spans="1:15" ht="15.75" thickBot="1" x14ac:dyDescent="0.3">
      <c r="B176" s="43" t="s">
        <v>1695</v>
      </c>
      <c r="C176" s="44"/>
      <c r="D176" s="44"/>
      <c r="E176" s="44"/>
      <c r="F176" s="44"/>
      <c r="G176" s="44"/>
      <c r="H176" s="45"/>
      <c r="I176" s="2"/>
    </row>
    <row r="177" spans="1:9" ht="25.5" x14ac:dyDescent="0.25">
      <c r="B177" s="46" t="s">
        <v>1409</v>
      </c>
      <c r="C177" s="47"/>
      <c r="D177" s="48" t="s">
        <v>1690</v>
      </c>
      <c r="E177" s="48" t="s">
        <v>1694</v>
      </c>
      <c r="F177" s="48" t="s">
        <v>1693</v>
      </c>
      <c r="G177" s="49" t="s">
        <v>1687</v>
      </c>
      <c r="H177" s="50" t="s">
        <v>1686</v>
      </c>
      <c r="I177" s="2"/>
    </row>
    <row r="178" spans="1:9" x14ac:dyDescent="0.25">
      <c r="A178" s="103">
        <v>19015</v>
      </c>
      <c r="B178" s="51" t="str">
        <f>IF($A178=0,"",VLOOKUP($A178,'BASE EQUIPO'!$A:$D,2))</f>
        <v>HERRAMIENTA MENOR</v>
      </c>
      <c r="C178" s="52"/>
      <c r="D178" s="53">
        <v>1</v>
      </c>
      <c r="E178" s="53">
        <f>IF($A178=0,"",VLOOKUP($A178,'BASE EQUIPO'!$A:$D,4)*H194)</f>
        <v>3.7073999999999998</v>
      </c>
      <c r="F178" s="53">
        <f t="shared" ref="F178:F183" si="15">IF($A178=0,"",ROUND(D178*E178,2))</f>
        <v>3.71</v>
      </c>
      <c r="G178" s="105">
        <v>1</v>
      </c>
      <c r="H178" s="54">
        <f t="shared" ref="H178:H183" si="16">IF($A178=0,"",ROUND(G178*F178,2))</f>
        <v>3.71</v>
      </c>
      <c r="I178" s="2"/>
    </row>
    <row r="179" spans="1:9" x14ac:dyDescent="0.25">
      <c r="A179" s="103">
        <v>19011</v>
      </c>
      <c r="B179" s="38" t="str">
        <f>IF($A179=0,"",VLOOKUP($A179,'BASE EQUIPO'!$A:$D,2))</f>
        <v>SOLDADORA</v>
      </c>
      <c r="C179" s="2"/>
      <c r="D179" s="55">
        <v>1</v>
      </c>
      <c r="E179" s="55">
        <f>IF($A179=0,"",VLOOKUP($A179,'BASE EQUIPO'!$A:$D,4))</f>
        <v>2.5</v>
      </c>
      <c r="F179" s="55">
        <f t="shared" si="15"/>
        <v>2.5</v>
      </c>
      <c r="G179" s="106">
        <f>ROUND(G188*0.25,3)</f>
        <v>2</v>
      </c>
      <c r="H179" s="56">
        <f t="shared" si="16"/>
        <v>5</v>
      </c>
      <c r="I179" s="2"/>
    </row>
    <row r="180" spans="1:9" x14ac:dyDescent="0.25">
      <c r="B180" s="38" t="str">
        <f>IF($A180=0,"",VLOOKUP($A180,'BASE EQUIPO'!$A:$D,2))</f>
        <v/>
      </c>
      <c r="C180" s="2"/>
      <c r="D180" s="55"/>
      <c r="E180" s="55" t="str">
        <f>IF($A180=0,"",VLOOKUP($A180,'BASE EQUIPO'!$A:$D,4))</f>
        <v/>
      </c>
      <c r="F180" s="55" t="str">
        <f t="shared" si="15"/>
        <v/>
      </c>
      <c r="G180" s="106"/>
      <c r="H180" s="56" t="str">
        <f t="shared" si="16"/>
        <v/>
      </c>
      <c r="I180" s="2"/>
    </row>
    <row r="181" spans="1:9" x14ac:dyDescent="0.25">
      <c r="B181" s="38" t="str">
        <f>IF($A181=0,"",VLOOKUP($A181,'BASE EQUIPO'!$A:$D,2))</f>
        <v/>
      </c>
      <c r="C181" s="2"/>
      <c r="D181" s="55"/>
      <c r="E181" s="55" t="str">
        <f>IF($A181=0,"",VLOOKUP($A181,'BASE EQUIPO'!$A:$D,4))</f>
        <v/>
      </c>
      <c r="F181" s="55" t="str">
        <f t="shared" si="15"/>
        <v/>
      </c>
      <c r="G181" s="106"/>
      <c r="H181" s="56" t="str">
        <f t="shared" si="16"/>
        <v/>
      </c>
      <c r="I181" s="2"/>
    </row>
    <row r="182" spans="1:9" x14ac:dyDescent="0.25">
      <c r="B182" s="38" t="str">
        <f>IF($A182=0,"",VLOOKUP($A182,'BASE EQUIPO'!$A:$D,2))</f>
        <v/>
      </c>
      <c r="C182" s="2"/>
      <c r="D182" s="55"/>
      <c r="E182" s="55" t="str">
        <f>IF($A182=0,"",VLOOKUP($A182,'BASE EQUIPO'!$A:$D,4))</f>
        <v/>
      </c>
      <c r="F182" s="55" t="str">
        <f t="shared" si="15"/>
        <v/>
      </c>
      <c r="G182" s="106"/>
      <c r="H182" s="56" t="str">
        <f t="shared" si="16"/>
        <v/>
      </c>
      <c r="I182" s="2"/>
    </row>
    <row r="183" spans="1:9" x14ac:dyDescent="0.25">
      <c r="B183" s="57" t="str">
        <f>IF($A183=0,"",VLOOKUP($A183,'BASE EQUIPO'!$A:$D,2))</f>
        <v/>
      </c>
      <c r="C183" s="58"/>
      <c r="D183" s="59"/>
      <c r="E183" s="59" t="str">
        <f>IF($A183=0,"",VLOOKUP($A183,'BASE EQUIPO'!$A:$D,4))</f>
        <v/>
      </c>
      <c r="F183" s="59" t="str">
        <f t="shared" si="15"/>
        <v/>
      </c>
      <c r="G183" s="107"/>
      <c r="H183" s="60" t="str">
        <f t="shared" si="16"/>
        <v/>
      </c>
      <c r="I183" s="2"/>
    </row>
    <row r="184" spans="1:9" x14ac:dyDescent="0.25">
      <c r="B184" s="57" t="s">
        <v>1692</v>
      </c>
      <c r="C184" s="58"/>
      <c r="D184" s="61"/>
      <c r="E184" s="61"/>
      <c r="F184" s="61"/>
      <c r="G184" s="62"/>
      <c r="H184" s="60">
        <f>ROUND(SUM(H177:H183),2)</f>
        <v>8.7100000000000009</v>
      </c>
      <c r="I184" s="2"/>
    </row>
    <row r="185" spans="1:9" x14ac:dyDescent="0.25">
      <c r="B185" s="38" t="s">
        <v>1503</v>
      </c>
      <c r="C185" s="2"/>
      <c r="D185" s="3"/>
      <c r="E185" s="3"/>
      <c r="F185" s="3"/>
      <c r="G185" s="63"/>
      <c r="H185" s="56"/>
      <c r="I185" s="2"/>
    </row>
    <row r="186" spans="1:9" ht="25.5" x14ac:dyDescent="0.25">
      <c r="B186" s="64" t="s">
        <v>1691</v>
      </c>
      <c r="C186" s="65"/>
      <c r="D186" s="66" t="s">
        <v>1690</v>
      </c>
      <c r="E186" s="66" t="s">
        <v>1689</v>
      </c>
      <c r="F186" s="66" t="s">
        <v>1688</v>
      </c>
      <c r="G186" s="67" t="s">
        <v>1687</v>
      </c>
      <c r="H186" s="68" t="s">
        <v>1686</v>
      </c>
      <c r="I186" s="2"/>
    </row>
    <row r="187" spans="1:9" x14ac:dyDescent="0.25">
      <c r="A187" s="103">
        <v>20001</v>
      </c>
      <c r="B187" s="69" t="str">
        <f>IF($A187=0,"",VLOOKUP($A187,'BASE M-OBRA'!$A:$D,2))</f>
        <v>MAESTRO</v>
      </c>
      <c r="C187" s="2"/>
      <c r="D187" s="108">
        <v>1</v>
      </c>
      <c r="E187" s="70">
        <f>IF($A187=0,"",VLOOKUP($A187,'BASE M-OBRA'!$A:$D,4))</f>
        <v>3.02</v>
      </c>
      <c r="F187" s="55">
        <f t="shared" ref="F187:F193" si="17">IF($A187=0,"",ROUND(D187*E187,2))</f>
        <v>3.02</v>
      </c>
      <c r="G187" s="106">
        <f>IF($A187=0,"",ROUND(H187/F187,2))</f>
        <v>6.82</v>
      </c>
      <c r="H187" s="56">
        <f>IF($A187=0,"",ROUND(SUM(H188:H193)*'BASE M-OBRA'!$D$23,2))</f>
        <v>20.6</v>
      </c>
      <c r="I187" s="2"/>
    </row>
    <row r="188" spans="1:9" x14ac:dyDescent="0.25">
      <c r="A188" s="103">
        <v>20002</v>
      </c>
      <c r="B188" s="69" t="str">
        <f>IF($A188=0,"",VLOOKUP($A188,'BASE M-OBRA'!$A:$D,2))</f>
        <v>PEON</v>
      </c>
      <c r="C188" s="2"/>
      <c r="D188" s="108">
        <v>1</v>
      </c>
      <c r="E188" s="70">
        <f>IF($A188=0,"",VLOOKUP($A188,'BASE M-OBRA'!$A:$D,4))</f>
        <v>2.79</v>
      </c>
      <c r="F188" s="55">
        <f t="shared" si="17"/>
        <v>2.79</v>
      </c>
      <c r="G188" s="106">
        <v>8</v>
      </c>
      <c r="H188" s="56">
        <f t="shared" ref="H188:H193" si="18">IF($A188=0,"",ROUND(G188*F188,2))</f>
        <v>22.32</v>
      </c>
      <c r="I188" s="2"/>
    </row>
    <row r="189" spans="1:9" x14ac:dyDescent="0.25">
      <c r="A189" s="103">
        <v>20003</v>
      </c>
      <c r="B189" s="69" t="str">
        <f>IF($A189=0,"",VLOOKUP($A189,'BASE M-OBRA'!$A:$D,2))</f>
        <v>ALBAÑIL</v>
      </c>
      <c r="C189" s="2"/>
      <c r="D189" s="108">
        <v>1</v>
      </c>
      <c r="E189" s="70">
        <f>IF($A189=0,"",VLOOKUP($A189,'BASE M-OBRA'!$A:$D,4))</f>
        <v>2.82</v>
      </c>
      <c r="F189" s="55">
        <f t="shared" si="17"/>
        <v>2.82</v>
      </c>
      <c r="G189" s="106">
        <f>+G188</f>
        <v>8</v>
      </c>
      <c r="H189" s="56">
        <f t="shared" si="18"/>
        <v>22.56</v>
      </c>
      <c r="I189" s="2"/>
    </row>
    <row r="190" spans="1:9" x14ac:dyDescent="0.25">
      <c r="B190" s="71" t="str">
        <f>IF($A190=0,"",VLOOKUP($A190,'BASE M-OBRA'!$A:$D,2))</f>
        <v/>
      </c>
      <c r="C190" s="2"/>
      <c r="D190" s="108"/>
      <c r="E190" s="70" t="str">
        <f>IF($A190=0,"",VLOOKUP($A190,'BASE M-OBRA'!$A:$D,4))</f>
        <v/>
      </c>
      <c r="F190" s="55" t="str">
        <f t="shared" si="17"/>
        <v/>
      </c>
      <c r="G190" s="106"/>
      <c r="H190" s="56" t="str">
        <f t="shared" si="18"/>
        <v/>
      </c>
      <c r="I190" s="2"/>
    </row>
    <row r="191" spans="1:9" x14ac:dyDescent="0.25">
      <c r="A191" s="103">
        <v>20006</v>
      </c>
      <c r="B191" s="69" t="str">
        <f>IF($A191=0,"",VLOOKUP($A191,'BASE M-OBRA'!$A:$D,2))</f>
        <v>MAESTRO  SOLDADOR</v>
      </c>
      <c r="C191" s="2"/>
      <c r="D191" s="108">
        <v>1</v>
      </c>
      <c r="E191" s="70">
        <f>IF($A191=0,"",VLOOKUP($A191,'BASE M-OBRA'!$A:$D,4))</f>
        <v>3.02</v>
      </c>
      <c r="F191" s="55">
        <f t="shared" si="17"/>
        <v>3.02</v>
      </c>
      <c r="G191" s="106">
        <v>10</v>
      </c>
      <c r="H191" s="56">
        <f t="shared" si="18"/>
        <v>30.2</v>
      </c>
      <c r="I191" s="2"/>
    </row>
    <row r="192" spans="1:9" x14ac:dyDescent="0.25">
      <c r="A192" s="103">
        <v>20011</v>
      </c>
      <c r="B192" s="69" t="str">
        <f>IF($A192=0,"",VLOOKUP($A192,'BASE M-OBRA'!$A:$D,2))</f>
        <v>AYUDANTE ESPECIALISTA</v>
      </c>
      <c r="C192" s="2"/>
      <c r="D192" s="108">
        <v>1</v>
      </c>
      <c r="E192" s="70">
        <f>IF($A192=0,"",VLOOKUP($A192,'BASE M-OBRA'!$A:$D,4))</f>
        <v>2.79</v>
      </c>
      <c r="F192" s="55">
        <f t="shared" si="17"/>
        <v>2.79</v>
      </c>
      <c r="G192" s="106">
        <f>+G191</f>
        <v>10</v>
      </c>
      <c r="H192" s="56">
        <f t="shared" si="18"/>
        <v>27.9</v>
      </c>
      <c r="I192" s="2"/>
    </row>
    <row r="193" spans="1:16" x14ac:dyDescent="0.25">
      <c r="B193" s="57" t="str">
        <f>IF($A193=0,"",VLOOKUP($A193,'BASE M-OBRA'!$A:$D,2))</f>
        <v/>
      </c>
      <c r="C193" s="58"/>
      <c r="D193" s="59"/>
      <c r="E193" s="59" t="str">
        <f>IF($A193=0,"",VLOOKUP($A193,'BASE M-OBRA'!$A:$D,4))</f>
        <v/>
      </c>
      <c r="F193" s="59" t="str">
        <f t="shared" si="17"/>
        <v/>
      </c>
      <c r="G193" s="107"/>
      <c r="H193" s="60" t="str">
        <f t="shared" si="18"/>
        <v/>
      </c>
      <c r="I193" s="2"/>
    </row>
    <row r="194" spans="1:16" x14ac:dyDescent="0.25">
      <c r="B194" s="73" t="s">
        <v>1685</v>
      </c>
      <c r="C194" s="65"/>
      <c r="D194" s="74"/>
      <c r="E194" s="74"/>
      <c r="F194" s="74"/>
      <c r="G194" s="74"/>
      <c r="H194" s="75">
        <f>ROUND(SUM(H186:H193),2)</f>
        <v>123.58</v>
      </c>
      <c r="I194" s="2"/>
    </row>
    <row r="195" spans="1:16" x14ac:dyDescent="0.25">
      <c r="B195" s="38" t="s">
        <v>1684</v>
      </c>
      <c r="C195" s="2"/>
      <c r="D195" s="3"/>
      <c r="E195" s="3"/>
      <c r="F195" s="3"/>
      <c r="G195" s="3"/>
      <c r="H195" s="56"/>
      <c r="I195" s="2"/>
    </row>
    <row r="196" spans="1:16" ht="25.5" x14ac:dyDescent="0.25">
      <c r="B196" s="64" t="s">
        <v>1409</v>
      </c>
      <c r="C196" s="65"/>
      <c r="D196" s="76"/>
      <c r="E196" s="66" t="s">
        <v>1408</v>
      </c>
      <c r="F196" s="66" t="s">
        <v>1679</v>
      </c>
      <c r="G196" s="66" t="s">
        <v>1683</v>
      </c>
      <c r="H196" s="68" t="s">
        <v>1675</v>
      </c>
      <c r="I196" s="2"/>
    </row>
    <row r="197" spans="1:16" x14ac:dyDescent="0.25">
      <c r="A197" s="103">
        <v>14002</v>
      </c>
      <c r="B197" s="37" t="str">
        <f>IF($A197=0,"",VLOOKUP($A197,'BASE MATERIAL'!$A:$D,2))</f>
        <v>SOLDADURA aga 60/11</v>
      </c>
      <c r="C197" s="2"/>
      <c r="D197" s="77"/>
      <c r="E197" s="78" t="str">
        <f>IF($A197=0,"",VLOOKUP($A197,'BASE MATERIAL'!$A:$D,3))</f>
        <v>KG</v>
      </c>
      <c r="F197" s="55">
        <f>ROUND(0.044*70,4)</f>
        <v>3.08</v>
      </c>
      <c r="G197" s="55">
        <f>IF($A197=0,"",VLOOKUP($A197,'BASE MATERIAL'!$A:$D,4))</f>
        <v>3.65</v>
      </c>
      <c r="H197" s="56">
        <f t="shared" ref="H197:H208" si="19">IF($A197=0,"",ROUND(F197*G197,2))</f>
        <v>11.24</v>
      </c>
      <c r="I197" s="2"/>
      <c r="J197" s="1">
        <f>SUM(J199:J201)</f>
        <v>70.712799999999987</v>
      </c>
      <c r="K197" s="1" t="s">
        <v>225</v>
      </c>
      <c r="L197" s="1">
        <f>SUM(L199:L201)</f>
        <v>5.6</v>
      </c>
      <c r="M197" s="2"/>
      <c r="N197" s="39"/>
      <c r="O197" s="2"/>
      <c r="P197" s="2"/>
    </row>
    <row r="198" spans="1:16" x14ac:dyDescent="0.25">
      <c r="B198" s="38" t="str">
        <f>IF($A198=0,"",VLOOKUP($A198,'BASE MATERIAL'!$A:$D,2))</f>
        <v/>
      </c>
      <c r="C198" s="2"/>
      <c r="D198" s="77"/>
      <c r="E198" s="78" t="str">
        <f>IF($A198=0,"",VLOOKUP($A198,'BASE MATERIAL'!$A:$D,3))</f>
        <v/>
      </c>
      <c r="F198" s="55"/>
      <c r="G198" s="55" t="str">
        <f>IF($A198=0,"",VLOOKUP($A198,'BASE MATERIAL'!$A:$D,4))</f>
        <v/>
      </c>
      <c r="H198" s="56" t="str">
        <f t="shared" si="19"/>
        <v/>
      </c>
      <c r="I198" s="2"/>
      <c r="L198" s="2"/>
      <c r="M198" s="2"/>
      <c r="N198" s="39"/>
      <c r="O198" s="2"/>
      <c r="P198" s="2"/>
    </row>
    <row r="199" spans="1:16" x14ac:dyDescent="0.25">
      <c r="A199" s="103">
        <v>13016</v>
      </c>
      <c r="B199" s="38" t="str">
        <f>IF($A199=0,"",VLOOKUP($A199,'BASE MATERIAL'!$A:$D,2))</f>
        <v>PINTURA ANTICORROSIVA</v>
      </c>
      <c r="C199" s="2"/>
      <c r="D199" s="77"/>
      <c r="E199" s="78" t="str">
        <f>IF($A199=0,"",VLOOKUP($A199,'BASE MATERIAL'!$A:$D,3))</f>
        <v>GL</v>
      </c>
      <c r="F199" s="55">
        <f>0.1*2*6</f>
        <v>1.2000000000000002</v>
      </c>
      <c r="G199" s="55">
        <f>IF($A199=0,"",VLOOKUP($A199,'BASE MATERIAL'!$A:$D,4))</f>
        <v>16</v>
      </c>
      <c r="H199" s="56">
        <f t="shared" si="19"/>
        <v>19.2</v>
      </c>
      <c r="I199" s="2"/>
      <c r="J199" s="1">
        <f>((4*0.9+2*2)*0.04*4*7.85*2)</f>
        <v>19.091199999999997</v>
      </c>
      <c r="K199" s="1" t="s">
        <v>842</v>
      </c>
      <c r="L199" s="1">
        <f>((4*0.9+2*2)*0.04*4)</f>
        <v>1.216</v>
      </c>
      <c r="M199" s="2"/>
      <c r="N199" s="39"/>
      <c r="O199" s="2"/>
      <c r="P199" s="2"/>
    </row>
    <row r="200" spans="1:16" x14ac:dyDescent="0.25">
      <c r="A200" s="103">
        <v>13017</v>
      </c>
      <c r="B200" s="38" t="str">
        <f>IF($A200=0,"",VLOOKUP($A200,'BASE MATERIAL'!$A:$D,2))</f>
        <v>PINTURA ACABADO METALICO</v>
      </c>
      <c r="C200" s="2"/>
      <c r="D200" s="77"/>
      <c r="E200" s="78" t="str">
        <f>IF($A200=0,"",VLOOKUP($A200,'BASE MATERIAL'!$A:$D,3))</f>
        <v>GL</v>
      </c>
      <c r="F200" s="55">
        <f>0.08*2*6</f>
        <v>0.96</v>
      </c>
      <c r="G200" s="55">
        <f>IF($A200=0,"",VLOOKUP($A200,'BASE MATERIAL'!$A:$D,4))</f>
        <v>17</v>
      </c>
      <c r="H200" s="56">
        <f t="shared" si="19"/>
        <v>16.32</v>
      </c>
      <c r="I200" s="2"/>
      <c r="J200" s="1">
        <f>((7.85*1.5)*0.9*2*2)</f>
        <v>42.389999999999993</v>
      </c>
      <c r="K200" s="1" t="s">
        <v>223</v>
      </c>
      <c r="L200" s="1">
        <f>(0.9*2*2)</f>
        <v>3.6</v>
      </c>
      <c r="M200" s="2"/>
      <c r="N200" s="39"/>
      <c r="O200" s="2"/>
      <c r="P200" s="2"/>
    </row>
    <row r="201" spans="1:16" x14ac:dyDescent="0.25">
      <c r="A201" s="103">
        <v>13011</v>
      </c>
      <c r="B201" s="38" t="str">
        <f>IF($A201=0,"",VLOOKUP($A201,'BASE MATERIAL'!$A:$D,2))</f>
        <v>DESOXIDANTE</v>
      </c>
      <c r="C201" s="2"/>
      <c r="D201" s="77"/>
      <c r="E201" s="78" t="str">
        <f>IF($A201=0,"",VLOOKUP($A201,'BASE MATERIAL'!$A:$D,3))</f>
        <v>GL</v>
      </c>
      <c r="F201" s="55">
        <f>ROUND(0.2*(F199+F200),4)</f>
        <v>0.432</v>
      </c>
      <c r="G201" s="55">
        <f>IF($A201=0,"",VLOOKUP($A201,'BASE MATERIAL'!$A:$D,4))</f>
        <v>12</v>
      </c>
      <c r="H201" s="56">
        <f t="shared" si="19"/>
        <v>5.18</v>
      </c>
      <c r="I201" s="2"/>
      <c r="J201" s="1">
        <f>((0.9+2*2)*(0.04+0.04)*7.85*3)</f>
        <v>9.2316000000000003</v>
      </c>
      <c r="K201" s="1" t="s">
        <v>224</v>
      </c>
      <c r="L201" s="1">
        <f>((0.9+2*2)*(0.04+0.04)*2)</f>
        <v>0.78400000000000003</v>
      </c>
      <c r="M201" s="2"/>
      <c r="N201" s="39"/>
      <c r="O201" s="2"/>
      <c r="P201" s="2"/>
    </row>
    <row r="202" spans="1:16" x14ac:dyDescent="0.25">
      <c r="A202" s="103">
        <v>13010</v>
      </c>
      <c r="B202" s="38" t="str">
        <f>IF($A202=0,"",VLOOKUP($A202,'BASE MATERIAL'!$A:$D,2))</f>
        <v>DILUYENTE</v>
      </c>
      <c r="C202" s="2"/>
      <c r="D202" s="77"/>
      <c r="E202" s="78" t="str">
        <f>IF($A202=0,"",VLOOKUP($A202,'BASE MATERIAL'!$A:$D,3))</f>
        <v>GL</v>
      </c>
      <c r="F202" s="55">
        <f>+F199*0.5*2</f>
        <v>1.2000000000000002</v>
      </c>
      <c r="G202" s="55">
        <f>IF($A202=0,"",VLOOKUP($A202,'BASE MATERIAL'!$A:$D,4))</f>
        <v>6</v>
      </c>
      <c r="H202" s="56">
        <f t="shared" si="19"/>
        <v>7.2</v>
      </c>
      <c r="I202" s="2"/>
      <c r="J202" s="79"/>
      <c r="L202" s="2"/>
      <c r="M202" s="2"/>
      <c r="N202" s="39"/>
      <c r="O202" s="2"/>
      <c r="P202" s="2"/>
    </row>
    <row r="203" spans="1:16" x14ac:dyDescent="0.25">
      <c r="A203" s="103">
        <v>10022</v>
      </c>
      <c r="B203" s="38" t="str">
        <f>IF($A203=0,"",VLOOKUP($A203,'BASE MATERIAL'!$A:$D,2))</f>
        <v>BISAGRAS DE ACERO</v>
      </c>
      <c r="C203" s="2"/>
      <c r="D203" s="77"/>
      <c r="E203" s="78" t="str">
        <f>IF($A203=0,"",VLOOKUP($A203,'BASE MATERIAL'!$A:$D,3))</f>
        <v>U</v>
      </c>
      <c r="F203" s="55">
        <v>4</v>
      </c>
      <c r="G203" s="55">
        <f>IF($A203=0,"",VLOOKUP($A203,'BASE MATERIAL'!$A:$D,4))</f>
        <v>1.5</v>
      </c>
      <c r="H203" s="56">
        <f t="shared" si="19"/>
        <v>6</v>
      </c>
      <c r="I203" s="2"/>
      <c r="L203" s="2"/>
      <c r="M203" s="2"/>
      <c r="N203" s="39"/>
      <c r="O203" s="2"/>
      <c r="P203" s="2"/>
    </row>
    <row r="204" spans="1:16" x14ac:dyDescent="0.25">
      <c r="B204" s="38" t="str">
        <f>IF($A204=0,"",VLOOKUP($A204,'BASE MATERIAL'!$A:$D,2))</f>
        <v/>
      </c>
      <c r="C204" s="2"/>
      <c r="D204" s="77"/>
      <c r="E204" s="78" t="str">
        <f>IF($A204=0,"",VLOOKUP($A204,'BASE MATERIAL'!$A:$D,3))</f>
        <v/>
      </c>
      <c r="F204" s="55"/>
      <c r="G204" s="55" t="str">
        <f>IF($A204=0,"",VLOOKUP($A204,'BASE MATERIAL'!$A:$D,4))</f>
        <v/>
      </c>
      <c r="H204" s="56" t="str">
        <f t="shared" si="19"/>
        <v/>
      </c>
      <c r="I204" s="2"/>
      <c r="J204" s="79"/>
      <c r="L204" s="2"/>
      <c r="M204" s="2"/>
      <c r="N204" s="39"/>
      <c r="O204" s="2"/>
      <c r="P204" s="2"/>
    </row>
    <row r="205" spans="1:16" x14ac:dyDescent="0.25">
      <c r="A205" s="103">
        <v>1004</v>
      </c>
      <c r="B205" s="38" t="s">
        <v>1831</v>
      </c>
      <c r="C205" s="2"/>
      <c r="D205" s="77"/>
      <c r="E205" s="78" t="s">
        <v>772</v>
      </c>
      <c r="F205" s="55">
        <f>((4*0.9+2*2))</f>
        <v>7.6</v>
      </c>
      <c r="G205" s="55">
        <f>IF($A205=0,"",VLOOKUP($A205,'BASE MATERIAL'!$A:$D,4))*(0.04*4*7.85*2)</f>
        <v>3.1902400000000002</v>
      </c>
      <c r="H205" s="56">
        <f t="shared" si="19"/>
        <v>24.25</v>
      </c>
      <c r="I205" s="2"/>
    </row>
    <row r="206" spans="1:16" x14ac:dyDescent="0.25">
      <c r="A206" s="103">
        <v>1004</v>
      </c>
      <c r="B206" s="38" t="s">
        <v>1832</v>
      </c>
      <c r="C206" s="2"/>
      <c r="D206" s="77"/>
      <c r="E206" s="78" t="s">
        <v>772</v>
      </c>
      <c r="F206" s="55">
        <f>((0.9+2*2))</f>
        <v>4.9000000000000004</v>
      </c>
      <c r="G206" s="55">
        <f>IF($A206=0,"",VLOOKUP($A206,'BASE MATERIAL'!$A:$D,4))*(0.04*2*7.85*3)</f>
        <v>2.3926799999999999</v>
      </c>
      <c r="H206" s="56">
        <f t="shared" si="19"/>
        <v>11.72</v>
      </c>
      <c r="I206" s="2"/>
      <c r="L206" s="2"/>
      <c r="M206" s="2"/>
      <c r="N206" s="39"/>
      <c r="O206" s="2"/>
      <c r="P206" s="2"/>
    </row>
    <row r="207" spans="1:16" x14ac:dyDescent="0.25">
      <c r="A207" s="103">
        <v>1004</v>
      </c>
      <c r="B207" s="38" t="s">
        <v>223</v>
      </c>
      <c r="C207" s="2"/>
      <c r="D207" s="77"/>
      <c r="E207" s="78" t="s">
        <v>915</v>
      </c>
      <c r="F207" s="55">
        <f>0.9*2*2</f>
        <v>3.6</v>
      </c>
      <c r="G207" s="55">
        <f>IF($A207=0,"",VLOOKUP($A207,'BASE MATERIAL'!$A:$D,4))*(7.85*1.5)</f>
        <v>14.954249999999998</v>
      </c>
      <c r="H207" s="56">
        <f t="shared" si="19"/>
        <v>53.84</v>
      </c>
      <c r="I207" s="2"/>
      <c r="L207" s="2"/>
      <c r="M207" s="2"/>
      <c r="N207" s="39"/>
      <c r="O207" s="2"/>
      <c r="P207" s="2"/>
    </row>
    <row r="208" spans="1:16" x14ac:dyDescent="0.25">
      <c r="B208" s="38" t="str">
        <f>IF($A208=0,"",VLOOKUP($A208,'BASE MATERIAL'!$A:$D,2))</f>
        <v/>
      </c>
      <c r="C208" s="2"/>
      <c r="D208" s="77"/>
      <c r="E208" s="78" t="str">
        <f>IF($A208=0,"",VLOOKUP($A208,'BASE MATERIAL'!$A:$D,3))</f>
        <v/>
      </c>
      <c r="F208" s="55"/>
      <c r="G208" s="55"/>
      <c r="H208" s="56" t="str">
        <f t="shared" si="19"/>
        <v/>
      </c>
      <c r="I208" s="2"/>
    </row>
    <row r="209" spans="1:9" x14ac:dyDescent="0.25">
      <c r="B209" s="38" t="str">
        <f>IF($A209=0,"",VLOOKUP($A209,'BASE MATERIAL'!$A:$D,2))</f>
        <v/>
      </c>
      <c r="C209" s="2"/>
      <c r="D209" s="77"/>
      <c r="E209" s="78" t="str">
        <f>IF($A209=0,"",VLOOKUP($A209,'BASE MATERIAL'!$A:$D,3))</f>
        <v/>
      </c>
      <c r="F209" s="55"/>
      <c r="G209" s="55" t="str">
        <f>IF($A209=0,"",VLOOKUP($A209,'BASE MATERIAL'!$A:$D,4))</f>
        <v/>
      </c>
      <c r="H209" s="56" t="str">
        <f>IF($A209=0,"",ROUND(F209*G209,2))</f>
        <v/>
      </c>
      <c r="I209" s="2"/>
    </row>
    <row r="210" spans="1:9" x14ac:dyDescent="0.25">
      <c r="B210" s="38" t="str">
        <f>IF($A210=0,"",VLOOKUP($A210,'BASE MATERIAL'!$A:$D,2))</f>
        <v/>
      </c>
      <c r="C210" s="2"/>
      <c r="D210" s="77"/>
      <c r="E210" s="78" t="str">
        <f>IF($A210=0,"",VLOOKUP($A210,'BASE MATERIAL'!$A:$D,3))</f>
        <v/>
      </c>
      <c r="F210" s="55"/>
      <c r="G210" s="55" t="str">
        <f>IF($A210=0,"",VLOOKUP($A210,'BASE MATERIAL'!$A:$D,4))</f>
        <v/>
      </c>
      <c r="H210" s="56" t="str">
        <f>IF($A210=0,"",ROUND(F210*G210,2))</f>
        <v/>
      </c>
      <c r="I210" s="2"/>
    </row>
    <row r="211" spans="1:9" x14ac:dyDescent="0.25">
      <c r="B211" s="38" t="str">
        <f>IF($A211=0,"",VLOOKUP($A211,'BASE MATERIAL'!$A:$D,2))</f>
        <v/>
      </c>
      <c r="C211" s="2"/>
      <c r="D211" s="77"/>
      <c r="E211" s="78" t="str">
        <f>IF($A211=0,"",VLOOKUP($A211,'BASE MATERIAL'!$A:$D,3))</f>
        <v/>
      </c>
      <c r="F211" s="55"/>
      <c r="G211" s="55" t="str">
        <f>IF($A211=0,"",VLOOKUP($A211,'BASE MATERIAL'!$A:$D,4))</f>
        <v/>
      </c>
      <c r="H211" s="56" t="str">
        <f>IF($A211=0,"",ROUND(F211*G211,2))</f>
        <v/>
      </c>
      <c r="I211" s="2"/>
    </row>
    <row r="212" spans="1:9" x14ac:dyDescent="0.25">
      <c r="B212" s="38" t="str">
        <f>IF($A212=0,"",VLOOKUP($A212,'BASE MATERIAL'!$A:$D,2))</f>
        <v/>
      </c>
      <c r="C212" s="2"/>
      <c r="D212" s="81" t="s">
        <v>1682</v>
      </c>
      <c r="E212" s="55" t="str">
        <f>IF($A212=0,"",VLOOKUP($A212,'BASE MATERIAL'!$A:$D,3))</f>
        <v/>
      </c>
      <c r="F212" s="55" t="s">
        <v>1682</v>
      </c>
      <c r="G212" s="55" t="str">
        <f>IF($A212=0,"",VLOOKUP($A212,'BASE MATERIAL'!$A:$D,4))</f>
        <v/>
      </c>
      <c r="H212" s="56" t="str">
        <f>IF($A212=0,"",ROUND(E212*F212,2))</f>
        <v/>
      </c>
      <c r="I212" s="2"/>
    </row>
    <row r="213" spans="1:9" x14ac:dyDescent="0.25">
      <c r="B213" s="73" t="s">
        <v>1681</v>
      </c>
      <c r="C213" s="65"/>
      <c r="D213" s="74"/>
      <c r="E213" s="74"/>
      <c r="F213" s="74"/>
      <c r="G213" s="74"/>
      <c r="H213" s="75">
        <f>ROUND(SUM(H196:H212),2)</f>
        <v>154.94999999999999</v>
      </c>
      <c r="I213" s="2"/>
    </row>
    <row r="214" spans="1:9" x14ac:dyDescent="0.25">
      <c r="B214" s="38" t="s">
        <v>1680</v>
      </c>
      <c r="C214" s="2"/>
      <c r="D214" s="3"/>
      <c r="E214" s="3"/>
      <c r="F214" s="3"/>
      <c r="G214" s="3"/>
      <c r="H214" s="56"/>
      <c r="I214" s="2"/>
    </row>
    <row r="215" spans="1:9" ht="25.5" x14ac:dyDescent="0.25">
      <c r="B215" s="64" t="s">
        <v>1409</v>
      </c>
      <c r="C215" s="65"/>
      <c r="D215" s="76"/>
      <c r="E215" s="66" t="s">
        <v>1408</v>
      </c>
      <c r="F215" s="66" t="s">
        <v>1679</v>
      </c>
      <c r="G215" s="66" t="s">
        <v>1676</v>
      </c>
      <c r="H215" s="68" t="s">
        <v>1675</v>
      </c>
      <c r="I215" s="2"/>
    </row>
    <row r="216" spans="1:9" x14ac:dyDescent="0.25">
      <c r="A216" s="103">
        <v>19019</v>
      </c>
      <c r="B216" s="51" t="str">
        <f>IF($A216=0,"",VLOOKUP($A216,'BASE EQUIPO'!$A:$D,2))</f>
        <v>TRANSPORTE DE MATERIAL</v>
      </c>
      <c r="C216" s="52"/>
      <c r="D216" s="82"/>
      <c r="E216" s="78" t="str">
        <f>IF($A216=0,"",VLOOKUP($A216,'BASE EQUIPO'!$A:$D,3))</f>
        <v>GLOBAL</v>
      </c>
      <c r="F216" s="55">
        <v>1</v>
      </c>
      <c r="G216" s="83">
        <f>IF($A216=0,"",VLOOKUP($A216,'BASE EQUIPO'!$A:$D,4)*H213)</f>
        <v>4.6484999999999994</v>
      </c>
      <c r="H216" s="56">
        <f>IF($A216=0,"",ROUND(F216*G216,2))</f>
        <v>4.6500000000000004</v>
      </c>
      <c r="I216" s="2"/>
    </row>
    <row r="217" spans="1:9" x14ac:dyDescent="0.25">
      <c r="B217" s="38" t="str">
        <f>IF($A217=0,"",VLOOKUP($A217,'BASE EQUIPO'!$A:$D,2))</f>
        <v/>
      </c>
      <c r="C217" s="2"/>
      <c r="D217" s="84"/>
      <c r="E217" s="78" t="str">
        <f>IF($A217=0,"",VLOOKUP($A217,'BASE EQUIPO'!$A:$D,3))</f>
        <v/>
      </c>
      <c r="F217" s="55"/>
      <c r="G217" s="55" t="str">
        <f>IF($A217=0,"",VLOOKUP($A217,'BASE EQUIPO'!$A:$D,4)*H214)</f>
        <v/>
      </c>
      <c r="H217" s="56" t="str">
        <f>IF($A217=0,"",ROUND(F217*G217,2))</f>
        <v/>
      </c>
      <c r="I217" s="2"/>
    </row>
    <row r="218" spans="1:9" x14ac:dyDescent="0.25">
      <c r="B218" s="57" t="str">
        <f>IF($A218=0,"",VLOOKUP($A218,'BASE EQUIPO'!$A:$D,2))</f>
        <v/>
      </c>
      <c r="C218" s="58"/>
      <c r="D218" s="85"/>
      <c r="E218" s="86" t="str">
        <f>IF($A218=0,"",VLOOKUP($A218,'BASE EQUIPO'!$A:$D,3))</f>
        <v/>
      </c>
      <c r="F218" s="59"/>
      <c r="G218" s="59" t="str">
        <f>IF($A218=0,"",VLOOKUP($A218,'BASE EQUIPO'!$A:$D,4)*H215)</f>
        <v/>
      </c>
      <c r="H218" s="60" t="str">
        <f>IF($A218=0,"",ROUND(F218*G218,2))</f>
        <v/>
      </c>
      <c r="I218" s="2"/>
    </row>
    <row r="219" spans="1:9" ht="15.75" thickBot="1" x14ac:dyDescent="0.3">
      <c r="B219" s="87" t="s">
        <v>1674</v>
      </c>
      <c r="C219" s="88"/>
      <c r="D219" s="89"/>
      <c r="E219" s="89"/>
      <c r="F219" s="89"/>
      <c r="G219" s="89"/>
      <c r="H219" s="90">
        <f>ROUND(SUM(H215:H218),2)</f>
        <v>4.6500000000000004</v>
      </c>
      <c r="I219" s="2"/>
    </row>
    <row r="220" spans="1:9" ht="15.75" x14ac:dyDescent="0.25">
      <c r="B220" s="2"/>
      <c r="C220" s="2"/>
      <c r="D220" s="91" t="s">
        <v>1673</v>
      </c>
      <c r="E220" s="47"/>
      <c r="F220" s="47"/>
      <c r="G220" s="47"/>
      <c r="H220" s="92">
        <f>ROUND(SUM(H219,H213,H194,H184),2)</f>
        <v>291.89</v>
      </c>
      <c r="I220" s="2"/>
    </row>
    <row r="221" spans="1:9" ht="15.75" x14ac:dyDescent="0.25">
      <c r="A221" s="103">
        <v>40002</v>
      </c>
      <c r="B221" s="2"/>
      <c r="C221" s="2"/>
      <c r="D221" s="93" t="s">
        <v>1672</v>
      </c>
      <c r="E221" s="65"/>
      <c r="F221" s="65"/>
      <c r="G221" s="94">
        <f>IF($A221=0,"",VLOOKUP($A221,'BASE MATERIAL'!$M:$P,4))</f>
        <v>0</v>
      </c>
      <c r="H221" s="95">
        <f>IF($A221=0,"",ROUND(G221*H220,2))</f>
        <v>0</v>
      </c>
      <c r="I221" s="2"/>
    </row>
    <row r="222" spans="1:9" ht="15.75" x14ac:dyDescent="0.25">
      <c r="A222" s="103">
        <v>40003</v>
      </c>
      <c r="B222" s="2"/>
      <c r="C222" s="2"/>
      <c r="D222" s="93" t="s">
        <v>1671</v>
      </c>
      <c r="E222" s="65"/>
      <c r="F222" s="65"/>
      <c r="G222" s="94">
        <f>IF($A222=0,"",VLOOKUP($A222,'BASE MATERIAL'!$M:$P,4))</f>
        <v>0</v>
      </c>
      <c r="H222" s="95">
        <f>IF($A222=0,"",ROUND(G222*H220,2))</f>
        <v>0</v>
      </c>
      <c r="I222" s="2"/>
    </row>
    <row r="223" spans="1:9" ht="15.75" x14ac:dyDescent="0.25">
      <c r="B223" s="2"/>
      <c r="C223" s="2"/>
      <c r="D223" s="93" t="s">
        <v>1670</v>
      </c>
      <c r="E223" s="65"/>
      <c r="F223" s="65"/>
      <c r="G223" s="65"/>
      <c r="H223" s="96">
        <f>ROUND(SUM(H220:H222),2)</f>
        <v>291.89</v>
      </c>
      <c r="I223" s="2"/>
    </row>
    <row r="224" spans="1:9" ht="16.5" thickBot="1" x14ac:dyDescent="0.3">
      <c r="B224" s="25"/>
      <c r="C224" s="2"/>
      <c r="D224" s="97" t="s">
        <v>1650</v>
      </c>
      <c r="E224" s="88"/>
      <c r="F224" s="88"/>
      <c r="G224" s="88"/>
      <c r="H224" s="98">
        <f>ROUND(H223,2)</f>
        <v>291.89</v>
      </c>
      <c r="I224" s="2"/>
    </row>
    <row r="225" spans="1:15" ht="15.75" x14ac:dyDescent="0.25">
      <c r="B225" s="34" t="s">
        <v>1701</v>
      </c>
      <c r="C225" s="2"/>
      <c r="D225" s="3" t="str">
        <f>'1.1'!$D$1</f>
        <v>ESPOL</v>
      </c>
      <c r="E225" s="2"/>
      <c r="F225" s="2"/>
      <c r="H225" s="2" t="s">
        <v>108</v>
      </c>
      <c r="I225" s="2"/>
      <c r="L225" s="40">
        <f>A229</f>
        <v>2</v>
      </c>
      <c r="M225" s="1" t="str">
        <f>C230</f>
        <v>Puertas metálicas (0.80m x 2. 00m). Código P1</v>
      </c>
      <c r="N225" s="2" t="str">
        <f>H229</f>
        <v>U</v>
      </c>
      <c r="O225" s="2">
        <f>H280</f>
        <v>260.74</v>
      </c>
    </row>
    <row r="226" spans="1:15" ht="15.75" x14ac:dyDescent="0.25">
      <c r="B226" s="34" t="s">
        <v>1700</v>
      </c>
      <c r="C226" s="3">
        <f>'1.1'!$C$2</f>
        <v>0</v>
      </c>
      <c r="D226" s="2"/>
      <c r="E226" s="2"/>
      <c r="F226" s="2"/>
      <c r="G226" s="41" t="s">
        <v>1699</v>
      </c>
      <c r="H226" s="42"/>
      <c r="I226" s="2" t="s">
        <v>1698</v>
      </c>
    </row>
    <row r="227" spans="1:15" ht="15.75" x14ac:dyDescent="0.25">
      <c r="B227" s="34"/>
      <c r="C227" s="3">
        <f>'1.1'!$C$3</f>
        <v>0</v>
      </c>
      <c r="D227" s="2"/>
      <c r="E227" s="2"/>
      <c r="F227" s="2"/>
      <c r="G227" s="2"/>
      <c r="H227" s="2"/>
      <c r="I227" s="2"/>
    </row>
    <row r="228" spans="1:15" ht="15.75" x14ac:dyDescent="0.25">
      <c r="B228" s="34" t="s">
        <v>1697</v>
      </c>
      <c r="C228" s="3"/>
      <c r="D228" s="2"/>
      <c r="E228" s="2"/>
      <c r="F228" s="2"/>
      <c r="G228" s="2"/>
      <c r="H228" s="2"/>
      <c r="I228" s="2"/>
    </row>
    <row r="229" spans="1:15" x14ac:dyDescent="0.25">
      <c r="A229" s="104">
        <v>2</v>
      </c>
      <c r="B229" s="2" t="s">
        <v>1586</v>
      </c>
      <c r="C229" s="36" t="s">
        <v>1677</v>
      </c>
      <c r="D229" s="2"/>
      <c r="G229" s="2" t="s">
        <v>1696</v>
      </c>
      <c r="H229" s="3" t="s">
        <v>744</v>
      </c>
      <c r="I229" s="2"/>
    </row>
    <row r="230" spans="1:15" x14ac:dyDescent="0.25">
      <c r="B230" s="1" t="s">
        <v>1585</v>
      </c>
      <c r="C230" s="36" t="s">
        <v>1850</v>
      </c>
      <c r="D230" s="2"/>
      <c r="E230" s="2"/>
      <c r="F230" s="2"/>
      <c r="G230" s="2"/>
      <c r="H230" s="2"/>
      <c r="I230" s="2"/>
    </row>
    <row r="231" spans="1:15" ht="15.75" thickBot="1" x14ac:dyDescent="0.3">
      <c r="D231" s="2"/>
      <c r="E231" s="2"/>
      <c r="F231" s="2"/>
      <c r="G231" s="2"/>
      <c r="H231" s="2"/>
      <c r="I231" s="2"/>
    </row>
    <row r="232" spans="1:15" ht="15.75" thickBot="1" x14ac:dyDescent="0.3">
      <c r="B232" s="43" t="s">
        <v>1695</v>
      </c>
      <c r="C232" s="44"/>
      <c r="D232" s="44"/>
      <c r="E232" s="44"/>
      <c r="F232" s="44"/>
      <c r="G232" s="44"/>
      <c r="H232" s="45"/>
      <c r="I232" s="2"/>
    </row>
    <row r="233" spans="1:15" ht="25.5" x14ac:dyDescent="0.25">
      <c r="B233" s="46" t="s">
        <v>1409</v>
      </c>
      <c r="C233" s="47"/>
      <c r="D233" s="48" t="s">
        <v>1690</v>
      </c>
      <c r="E233" s="48" t="s">
        <v>1694</v>
      </c>
      <c r="F233" s="48" t="s">
        <v>1693</v>
      </c>
      <c r="G233" s="49" t="s">
        <v>1687</v>
      </c>
      <c r="H233" s="50" t="s">
        <v>1686</v>
      </c>
      <c r="I233" s="2"/>
    </row>
    <row r="234" spans="1:15" x14ac:dyDescent="0.25">
      <c r="A234" s="103">
        <v>19015</v>
      </c>
      <c r="B234" s="51" t="str">
        <f>IF($A234=0,"",VLOOKUP($A234,'BASE EQUIPO'!$A:$D,2))</f>
        <v>HERRAMIENTA MENOR</v>
      </c>
      <c r="C234" s="52"/>
      <c r="D234" s="53">
        <v>1</v>
      </c>
      <c r="E234" s="53">
        <f>IF($A234=0,"",VLOOKUP($A234,'BASE EQUIPO'!$A:$D,4)*H250)</f>
        <v>3.2888999999999999</v>
      </c>
      <c r="F234" s="53">
        <f t="shared" ref="F234:F239" si="20">IF($A234=0,"",ROUND(D234*E234,2))</f>
        <v>3.29</v>
      </c>
      <c r="G234" s="105">
        <v>1</v>
      </c>
      <c r="H234" s="54">
        <f t="shared" ref="H234:H239" si="21">IF($A234=0,"",ROUND(G234*F234,2))</f>
        <v>3.29</v>
      </c>
      <c r="I234" s="2"/>
    </row>
    <row r="235" spans="1:15" x14ac:dyDescent="0.25">
      <c r="A235" s="103">
        <v>19011</v>
      </c>
      <c r="B235" s="38" t="str">
        <f>IF($A235=0,"",VLOOKUP($A235,'BASE EQUIPO'!$A:$D,2))</f>
        <v>SOLDADORA</v>
      </c>
      <c r="C235" s="2"/>
      <c r="D235" s="55">
        <v>1</v>
      </c>
      <c r="E235" s="55">
        <f>IF($A235=0,"",VLOOKUP($A235,'BASE EQUIPO'!$A:$D,4))</f>
        <v>2.5</v>
      </c>
      <c r="F235" s="55">
        <f t="shared" si="20"/>
        <v>2.5</v>
      </c>
      <c r="G235" s="106">
        <f>ROUND(G244*0.25,3)</f>
        <v>2</v>
      </c>
      <c r="H235" s="56">
        <f t="shared" si="21"/>
        <v>5</v>
      </c>
      <c r="I235" s="2"/>
    </row>
    <row r="236" spans="1:15" x14ac:dyDescent="0.25">
      <c r="B236" s="38" t="str">
        <f>IF($A236=0,"",VLOOKUP($A236,'BASE EQUIPO'!$A:$D,2))</f>
        <v/>
      </c>
      <c r="C236" s="2"/>
      <c r="D236" s="55"/>
      <c r="E236" s="55" t="str">
        <f>IF($A236=0,"",VLOOKUP($A236,'BASE EQUIPO'!$A:$D,4))</f>
        <v/>
      </c>
      <c r="F236" s="55" t="str">
        <f t="shared" si="20"/>
        <v/>
      </c>
      <c r="G236" s="106"/>
      <c r="H236" s="56" t="str">
        <f t="shared" si="21"/>
        <v/>
      </c>
      <c r="I236" s="2"/>
    </row>
    <row r="237" spans="1:15" x14ac:dyDescent="0.25">
      <c r="B237" s="38" t="str">
        <f>IF($A237=0,"",VLOOKUP($A237,'BASE EQUIPO'!$A:$D,2))</f>
        <v/>
      </c>
      <c r="C237" s="2"/>
      <c r="D237" s="55"/>
      <c r="E237" s="55" t="str">
        <f>IF($A237=0,"",VLOOKUP($A237,'BASE EQUIPO'!$A:$D,4))</f>
        <v/>
      </c>
      <c r="F237" s="55" t="str">
        <f t="shared" si="20"/>
        <v/>
      </c>
      <c r="G237" s="106"/>
      <c r="H237" s="56" t="str">
        <f t="shared" si="21"/>
        <v/>
      </c>
      <c r="I237" s="2"/>
    </row>
    <row r="238" spans="1:15" x14ac:dyDescent="0.25">
      <c r="B238" s="38" t="str">
        <f>IF($A238=0,"",VLOOKUP($A238,'BASE EQUIPO'!$A:$D,2))</f>
        <v/>
      </c>
      <c r="C238" s="2"/>
      <c r="D238" s="55"/>
      <c r="E238" s="55" t="str">
        <f>IF($A238=0,"",VLOOKUP($A238,'BASE EQUIPO'!$A:$D,4))</f>
        <v/>
      </c>
      <c r="F238" s="55" t="str">
        <f t="shared" si="20"/>
        <v/>
      </c>
      <c r="G238" s="106"/>
      <c r="H238" s="56" t="str">
        <f t="shared" si="21"/>
        <v/>
      </c>
      <c r="I238" s="2"/>
    </row>
    <row r="239" spans="1:15" x14ac:dyDescent="0.25">
      <c r="B239" s="57" t="str">
        <f>IF($A239=0,"",VLOOKUP($A239,'BASE EQUIPO'!$A:$D,2))</f>
        <v/>
      </c>
      <c r="C239" s="58"/>
      <c r="D239" s="59"/>
      <c r="E239" s="59" t="str">
        <f>IF($A239=0,"",VLOOKUP($A239,'BASE EQUIPO'!$A:$D,4))</f>
        <v/>
      </c>
      <c r="F239" s="59" t="str">
        <f t="shared" si="20"/>
        <v/>
      </c>
      <c r="G239" s="107"/>
      <c r="H239" s="60" t="str">
        <f t="shared" si="21"/>
        <v/>
      </c>
      <c r="I239" s="2"/>
    </row>
    <row r="240" spans="1:15" x14ac:dyDescent="0.25">
      <c r="B240" s="57" t="s">
        <v>1692</v>
      </c>
      <c r="C240" s="58"/>
      <c r="D240" s="61"/>
      <c r="E240" s="61"/>
      <c r="F240" s="61"/>
      <c r="G240" s="62"/>
      <c r="H240" s="60">
        <f>ROUND(SUM(H233:H239),2)</f>
        <v>8.2899999999999991</v>
      </c>
      <c r="I240" s="2"/>
    </row>
    <row r="241" spans="1:16" x14ac:dyDescent="0.25">
      <c r="B241" s="38" t="s">
        <v>1503</v>
      </c>
      <c r="C241" s="2"/>
      <c r="D241" s="3"/>
      <c r="E241" s="3"/>
      <c r="F241" s="3"/>
      <c r="G241" s="63"/>
      <c r="H241" s="56"/>
      <c r="I241" s="2"/>
    </row>
    <row r="242" spans="1:16" ht="25.5" x14ac:dyDescent="0.25">
      <c r="B242" s="64" t="s">
        <v>1691</v>
      </c>
      <c r="C242" s="65"/>
      <c r="D242" s="66" t="s">
        <v>1690</v>
      </c>
      <c r="E242" s="66" t="s">
        <v>1689</v>
      </c>
      <c r="F242" s="66" t="s">
        <v>1688</v>
      </c>
      <c r="G242" s="67" t="s">
        <v>1687</v>
      </c>
      <c r="H242" s="68" t="s">
        <v>1686</v>
      </c>
      <c r="I242" s="2"/>
    </row>
    <row r="243" spans="1:16" x14ac:dyDescent="0.25">
      <c r="A243" s="103">
        <v>20001</v>
      </c>
      <c r="B243" s="69" t="str">
        <f>IF($A243=0,"",VLOOKUP($A243,'BASE M-OBRA'!$A:$D,2))</f>
        <v>MAESTRO</v>
      </c>
      <c r="C243" s="2"/>
      <c r="D243" s="108">
        <v>1</v>
      </c>
      <c r="E243" s="70">
        <f>IF($A243=0,"",VLOOKUP($A243,'BASE M-OBRA'!$A:$D,4))</f>
        <v>3.02</v>
      </c>
      <c r="F243" s="55">
        <f t="shared" ref="F243:F249" si="22">IF($A243=0,"",ROUND(D243*E243,2))</f>
        <v>3.02</v>
      </c>
      <c r="G243" s="106">
        <f>IF($A243=0,"",ROUND(H243/F243,2))</f>
        <v>6.05</v>
      </c>
      <c r="H243" s="56">
        <f>IF($A243=0,"",ROUND(SUM(H244:H249)*'BASE M-OBRA'!$D$23,2))</f>
        <v>18.27</v>
      </c>
      <c r="I243" s="2"/>
    </row>
    <row r="244" spans="1:16" x14ac:dyDescent="0.25">
      <c r="A244" s="103">
        <v>20002</v>
      </c>
      <c r="B244" s="69" t="str">
        <f>IF($A244=0,"",VLOOKUP($A244,'BASE M-OBRA'!$A:$D,2))</f>
        <v>PEON</v>
      </c>
      <c r="C244" s="2"/>
      <c r="D244" s="108">
        <v>1</v>
      </c>
      <c r="E244" s="70">
        <f>IF($A244=0,"",VLOOKUP($A244,'BASE M-OBRA'!$A:$D,4))</f>
        <v>2.79</v>
      </c>
      <c r="F244" s="55">
        <f t="shared" si="22"/>
        <v>2.79</v>
      </c>
      <c r="G244" s="106">
        <v>8</v>
      </c>
      <c r="H244" s="56">
        <f t="shared" ref="H244:H249" si="23">IF($A244=0,"",ROUND(G244*F244,2))</f>
        <v>22.32</v>
      </c>
      <c r="I244" s="2"/>
    </row>
    <row r="245" spans="1:16" x14ac:dyDescent="0.25">
      <c r="A245" s="103">
        <v>20003</v>
      </c>
      <c r="B245" s="69" t="str">
        <f>IF($A245=0,"",VLOOKUP($A245,'BASE M-OBRA'!$A:$D,2))</f>
        <v>ALBAÑIL</v>
      </c>
      <c r="C245" s="2"/>
      <c r="D245" s="108">
        <v>1</v>
      </c>
      <c r="E245" s="70">
        <f>IF($A245=0,"",VLOOKUP($A245,'BASE M-OBRA'!$A:$D,4))</f>
        <v>2.82</v>
      </c>
      <c r="F245" s="55">
        <f t="shared" si="22"/>
        <v>2.82</v>
      </c>
      <c r="G245" s="106">
        <f>+G244</f>
        <v>8</v>
      </c>
      <c r="H245" s="56">
        <f t="shared" si="23"/>
        <v>22.56</v>
      </c>
      <c r="I245" s="2"/>
    </row>
    <row r="246" spans="1:16" x14ac:dyDescent="0.25">
      <c r="B246" s="71" t="str">
        <f>IF($A246=0,"",VLOOKUP($A246,'BASE M-OBRA'!$A:$D,2))</f>
        <v/>
      </c>
      <c r="C246" s="2"/>
      <c r="D246" s="108"/>
      <c r="E246" s="70" t="str">
        <f>IF($A246=0,"",VLOOKUP($A246,'BASE M-OBRA'!$A:$D,4))</f>
        <v/>
      </c>
      <c r="F246" s="55" t="str">
        <f t="shared" si="22"/>
        <v/>
      </c>
      <c r="G246" s="106"/>
      <c r="H246" s="56" t="str">
        <f t="shared" si="23"/>
        <v/>
      </c>
      <c r="I246" s="2"/>
    </row>
    <row r="247" spans="1:16" x14ac:dyDescent="0.25">
      <c r="A247" s="103">
        <v>20006</v>
      </c>
      <c r="B247" s="69" t="str">
        <f>IF($A247=0,"",VLOOKUP($A247,'BASE M-OBRA'!$A:$D,2))</f>
        <v>MAESTRO  SOLDADOR</v>
      </c>
      <c r="C247" s="2"/>
      <c r="D247" s="108">
        <v>1</v>
      </c>
      <c r="E247" s="70">
        <f>IF($A247=0,"",VLOOKUP($A247,'BASE M-OBRA'!$A:$D,4))</f>
        <v>3.02</v>
      </c>
      <c r="F247" s="55">
        <f t="shared" si="22"/>
        <v>3.02</v>
      </c>
      <c r="G247" s="106">
        <v>8</v>
      </c>
      <c r="H247" s="56">
        <f t="shared" si="23"/>
        <v>24.16</v>
      </c>
      <c r="I247" s="2"/>
    </row>
    <row r="248" spans="1:16" x14ac:dyDescent="0.25">
      <c r="A248" s="103">
        <v>20011</v>
      </c>
      <c r="B248" s="69" t="str">
        <f>IF($A248=0,"",VLOOKUP($A248,'BASE M-OBRA'!$A:$D,2))</f>
        <v>AYUDANTE ESPECIALISTA</v>
      </c>
      <c r="C248" s="2"/>
      <c r="D248" s="108">
        <v>1</v>
      </c>
      <c r="E248" s="70">
        <f>IF($A248=0,"",VLOOKUP($A248,'BASE M-OBRA'!$A:$D,4))</f>
        <v>2.79</v>
      </c>
      <c r="F248" s="55">
        <f t="shared" si="22"/>
        <v>2.79</v>
      </c>
      <c r="G248" s="106">
        <f>+G247</f>
        <v>8</v>
      </c>
      <c r="H248" s="56">
        <f t="shared" si="23"/>
        <v>22.32</v>
      </c>
      <c r="I248" s="2"/>
    </row>
    <row r="249" spans="1:16" x14ac:dyDescent="0.25">
      <c r="B249" s="57" t="str">
        <f>IF($A249=0,"",VLOOKUP($A249,'BASE M-OBRA'!$A:$D,2))</f>
        <v/>
      </c>
      <c r="C249" s="58"/>
      <c r="D249" s="59"/>
      <c r="E249" s="59" t="str">
        <f>IF($A249=0,"",VLOOKUP($A249,'BASE M-OBRA'!$A:$D,4))</f>
        <v/>
      </c>
      <c r="F249" s="59" t="str">
        <f t="shared" si="22"/>
        <v/>
      </c>
      <c r="G249" s="107"/>
      <c r="H249" s="60" t="str">
        <f t="shared" si="23"/>
        <v/>
      </c>
      <c r="I249" s="2"/>
    </row>
    <row r="250" spans="1:16" x14ac:dyDescent="0.25">
      <c r="B250" s="73" t="s">
        <v>1685</v>
      </c>
      <c r="C250" s="65"/>
      <c r="D250" s="74"/>
      <c r="E250" s="74"/>
      <c r="F250" s="74"/>
      <c r="G250" s="74"/>
      <c r="H250" s="75">
        <f>ROUND(SUM(H242:H249),2)</f>
        <v>109.63</v>
      </c>
      <c r="I250" s="2"/>
    </row>
    <row r="251" spans="1:16" x14ac:dyDescent="0.25">
      <c r="B251" s="38" t="s">
        <v>1684</v>
      </c>
      <c r="C251" s="2"/>
      <c r="D251" s="3"/>
      <c r="E251" s="3"/>
      <c r="F251" s="3"/>
      <c r="G251" s="3"/>
      <c r="H251" s="56"/>
      <c r="I251" s="2"/>
    </row>
    <row r="252" spans="1:16" ht="25.5" x14ac:dyDescent="0.25">
      <c r="B252" s="64" t="s">
        <v>1409</v>
      </c>
      <c r="C252" s="65"/>
      <c r="D252" s="76"/>
      <c r="E252" s="66" t="s">
        <v>1408</v>
      </c>
      <c r="F252" s="66" t="s">
        <v>1679</v>
      </c>
      <c r="G252" s="66" t="s">
        <v>1683</v>
      </c>
      <c r="H252" s="68" t="s">
        <v>1675</v>
      </c>
      <c r="I252" s="2"/>
    </row>
    <row r="253" spans="1:16" x14ac:dyDescent="0.25">
      <c r="A253" s="103">
        <v>14002</v>
      </c>
      <c r="B253" s="37" t="str">
        <f>IF($A253=0,"",VLOOKUP($A253,'BASE MATERIAL'!$A:$D,2))</f>
        <v>SOLDADURA aga 60/11</v>
      </c>
      <c r="C253" s="2"/>
      <c r="D253" s="77"/>
      <c r="E253" s="78" t="str">
        <f>IF($A253=0,"",VLOOKUP($A253,'BASE MATERIAL'!$A:$D,3))</f>
        <v>KG</v>
      </c>
      <c r="F253" s="55">
        <f>ROUND(0.044*65,4)</f>
        <v>2.86</v>
      </c>
      <c r="G253" s="55">
        <f>IF($A253=0,"",VLOOKUP($A253,'BASE MATERIAL'!$A:$D,4))</f>
        <v>3.65</v>
      </c>
      <c r="H253" s="56">
        <f t="shared" ref="H253:H264" si="24">IF($A253=0,"",ROUND(F253*G253,2))</f>
        <v>10.44</v>
      </c>
      <c r="I253" s="2"/>
      <c r="J253" s="1">
        <f>SUM(J255:J257)</f>
        <v>64.809600000000003</v>
      </c>
      <c r="K253" s="1" t="s">
        <v>225</v>
      </c>
      <c r="L253" s="1">
        <f>SUM(L255:L257)</f>
        <v>5.12</v>
      </c>
      <c r="M253" s="2"/>
      <c r="N253" s="39"/>
      <c r="O253" s="2"/>
      <c r="P253" s="2"/>
    </row>
    <row r="254" spans="1:16" x14ac:dyDescent="0.25">
      <c r="B254" s="38" t="str">
        <f>IF($A254=0,"",VLOOKUP($A254,'BASE MATERIAL'!$A:$D,2))</f>
        <v/>
      </c>
      <c r="C254" s="2"/>
      <c r="D254" s="77"/>
      <c r="E254" s="78" t="str">
        <f>IF($A254=0,"",VLOOKUP($A254,'BASE MATERIAL'!$A:$D,3))</f>
        <v/>
      </c>
      <c r="F254" s="55"/>
      <c r="G254" s="55" t="str">
        <f>IF($A254=0,"",VLOOKUP($A254,'BASE MATERIAL'!$A:$D,4))</f>
        <v/>
      </c>
      <c r="H254" s="56" t="str">
        <f t="shared" si="24"/>
        <v/>
      </c>
      <c r="I254" s="2"/>
      <c r="L254" s="2"/>
      <c r="M254" s="2"/>
      <c r="N254" s="39"/>
      <c r="O254" s="2"/>
      <c r="P254" s="2"/>
    </row>
    <row r="255" spans="1:16" x14ac:dyDescent="0.25">
      <c r="A255" s="103">
        <v>13016</v>
      </c>
      <c r="B255" s="38" t="str">
        <f>IF($A255=0,"",VLOOKUP($A255,'BASE MATERIAL'!$A:$D,2))</f>
        <v>PINTURA ANTICORROSIVA</v>
      </c>
      <c r="C255" s="2"/>
      <c r="D255" s="77"/>
      <c r="E255" s="78" t="str">
        <f>IF($A255=0,"",VLOOKUP($A255,'BASE MATERIAL'!$A:$D,3))</f>
        <v>GL</v>
      </c>
      <c r="F255" s="55">
        <f>0.1*2*5</f>
        <v>1</v>
      </c>
      <c r="G255" s="55">
        <f>IF($A255=0,"",VLOOKUP($A255,'BASE MATERIAL'!$A:$D,4))</f>
        <v>16</v>
      </c>
      <c r="H255" s="56">
        <f t="shared" si="24"/>
        <v>16</v>
      </c>
      <c r="I255" s="2"/>
      <c r="J255" s="1">
        <f>((4*0.8+2*2)*0.04*4*7.85*2)</f>
        <v>18.086400000000001</v>
      </c>
      <c r="K255" s="1" t="s">
        <v>842</v>
      </c>
      <c r="L255" s="1">
        <f>((4*0.8+2*2)*0.04*4)</f>
        <v>1.1520000000000001</v>
      </c>
      <c r="M255" s="2"/>
      <c r="N255" s="39"/>
      <c r="O255" s="2"/>
      <c r="P255" s="2"/>
    </row>
    <row r="256" spans="1:16" x14ac:dyDescent="0.25">
      <c r="A256" s="103">
        <v>13017</v>
      </c>
      <c r="B256" s="38" t="str">
        <f>IF($A256=0,"",VLOOKUP($A256,'BASE MATERIAL'!$A:$D,2))</f>
        <v>PINTURA ACABADO METALICO</v>
      </c>
      <c r="C256" s="2"/>
      <c r="D256" s="77"/>
      <c r="E256" s="78" t="str">
        <f>IF($A256=0,"",VLOOKUP($A256,'BASE MATERIAL'!$A:$D,3))</f>
        <v>GL</v>
      </c>
      <c r="F256" s="55">
        <f>0.08*2*5</f>
        <v>0.8</v>
      </c>
      <c r="G256" s="55">
        <f>IF($A256=0,"",VLOOKUP($A256,'BASE MATERIAL'!$A:$D,4))</f>
        <v>17</v>
      </c>
      <c r="H256" s="56">
        <f t="shared" si="24"/>
        <v>13.6</v>
      </c>
      <c r="I256" s="2"/>
      <c r="J256" s="1">
        <f>((7.85*1.5)*0.8*2*2)</f>
        <v>37.68</v>
      </c>
      <c r="K256" s="1" t="s">
        <v>223</v>
      </c>
      <c r="L256" s="1">
        <f>(0.8*2*2)</f>
        <v>3.2</v>
      </c>
      <c r="M256" s="2"/>
      <c r="N256" s="39"/>
      <c r="O256" s="2"/>
      <c r="P256" s="2"/>
    </row>
    <row r="257" spans="1:16" x14ac:dyDescent="0.25">
      <c r="A257" s="103">
        <v>13011</v>
      </c>
      <c r="B257" s="38" t="str">
        <f>IF($A257=0,"",VLOOKUP($A257,'BASE MATERIAL'!$A:$D,2))</f>
        <v>DESOXIDANTE</v>
      </c>
      <c r="C257" s="2"/>
      <c r="D257" s="77"/>
      <c r="E257" s="78" t="str">
        <f>IF($A257=0,"",VLOOKUP($A257,'BASE MATERIAL'!$A:$D,3))</f>
        <v>GL</v>
      </c>
      <c r="F257" s="55">
        <f>ROUND(0.2*(F255+F256),4)</f>
        <v>0.36</v>
      </c>
      <c r="G257" s="55">
        <f>IF($A257=0,"",VLOOKUP($A257,'BASE MATERIAL'!$A:$D,4))</f>
        <v>12</v>
      </c>
      <c r="H257" s="56">
        <f t="shared" si="24"/>
        <v>4.32</v>
      </c>
      <c r="I257" s="2"/>
      <c r="J257" s="1">
        <f>((0.8+2*2)*(0.04+0.04)*7.85*3)</f>
        <v>9.0431999999999988</v>
      </c>
      <c r="K257" s="1" t="s">
        <v>224</v>
      </c>
      <c r="L257" s="1">
        <f>((0.8+2*2)*(0.04+0.04)*2)</f>
        <v>0.76800000000000002</v>
      </c>
      <c r="M257" s="2"/>
      <c r="N257" s="39"/>
      <c r="O257" s="2"/>
      <c r="P257" s="2"/>
    </row>
    <row r="258" spans="1:16" x14ac:dyDescent="0.25">
      <c r="A258" s="103">
        <v>13010</v>
      </c>
      <c r="B258" s="38" t="str">
        <f>IF($A258=0,"",VLOOKUP($A258,'BASE MATERIAL'!$A:$D,2))</f>
        <v>DILUYENTE</v>
      </c>
      <c r="C258" s="2"/>
      <c r="D258" s="77"/>
      <c r="E258" s="78" t="str">
        <f>IF($A258=0,"",VLOOKUP($A258,'BASE MATERIAL'!$A:$D,3))</f>
        <v>GL</v>
      </c>
      <c r="F258" s="55">
        <f>+F255*0.5*2</f>
        <v>1</v>
      </c>
      <c r="G258" s="55">
        <f>IF($A258=0,"",VLOOKUP($A258,'BASE MATERIAL'!$A:$D,4))</f>
        <v>6</v>
      </c>
      <c r="H258" s="56">
        <f t="shared" si="24"/>
        <v>6</v>
      </c>
      <c r="I258" s="2"/>
      <c r="J258" s="79"/>
      <c r="L258" s="2"/>
      <c r="M258" s="2"/>
      <c r="N258" s="39"/>
      <c r="O258" s="2"/>
      <c r="P258" s="2"/>
    </row>
    <row r="259" spans="1:16" x14ac:dyDescent="0.25">
      <c r="A259" s="103">
        <v>10022</v>
      </c>
      <c r="B259" s="38" t="str">
        <f>IF($A259=0,"",VLOOKUP($A259,'BASE MATERIAL'!$A:$D,2))</f>
        <v>BISAGRAS DE ACERO</v>
      </c>
      <c r="C259" s="2"/>
      <c r="D259" s="77"/>
      <c r="E259" s="78" t="str">
        <f>IF($A259=0,"",VLOOKUP($A259,'BASE MATERIAL'!$A:$D,3))</f>
        <v>U</v>
      </c>
      <c r="F259" s="55">
        <v>4</v>
      </c>
      <c r="G259" s="55">
        <f>IF($A259=0,"",VLOOKUP($A259,'BASE MATERIAL'!$A:$D,4))</f>
        <v>1.5</v>
      </c>
      <c r="H259" s="56">
        <f t="shared" si="24"/>
        <v>6</v>
      </c>
      <c r="I259" s="2"/>
      <c r="L259" s="2"/>
      <c r="M259" s="2"/>
      <c r="N259" s="39"/>
      <c r="O259" s="2"/>
      <c r="P259" s="2"/>
    </row>
    <row r="260" spans="1:16" x14ac:dyDescent="0.25">
      <c r="B260" s="38" t="str">
        <f>IF($A260=0,"",VLOOKUP($A260,'BASE MATERIAL'!$A:$D,2))</f>
        <v/>
      </c>
      <c r="C260" s="2"/>
      <c r="D260" s="77"/>
      <c r="E260" s="78" t="str">
        <f>IF($A260=0,"",VLOOKUP($A260,'BASE MATERIAL'!$A:$D,3))</f>
        <v/>
      </c>
      <c r="F260" s="55"/>
      <c r="G260" s="55" t="str">
        <f>IF($A260=0,"",VLOOKUP($A260,'BASE MATERIAL'!$A:$D,4))</f>
        <v/>
      </c>
      <c r="H260" s="56" t="str">
        <f t="shared" si="24"/>
        <v/>
      </c>
      <c r="I260" s="2"/>
      <c r="J260" s="79"/>
      <c r="L260" s="2"/>
      <c r="M260" s="2"/>
      <c r="N260" s="39"/>
      <c r="O260" s="2"/>
      <c r="P260" s="2"/>
    </row>
    <row r="261" spans="1:16" x14ac:dyDescent="0.25">
      <c r="A261" s="103">
        <v>1004</v>
      </c>
      <c r="B261" s="38" t="s">
        <v>1831</v>
      </c>
      <c r="C261" s="2"/>
      <c r="D261" s="77"/>
      <c r="E261" s="78" t="s">
        <v>772</v>
      </c>
      <c r="F261" s="55">
        <f>((4*0.8+2*2))</f>
        <v>7.2</v>
      </c>
      <c r="G261" s="55">
        <f>IF($A261=0,"",VLOOKUP($A261,'BASE MATERIAL'!$A:$D,4))*(0.04*4*7.85*2)</f>
        <v>3.1902400000000002</v>
      </c>
      <c r="H261" s="56">
        <f t="shared" si="24"/>
        <v>22.97</v>
      </c>
      <c r="I261" s="2"/>
    </row>
    <row r="262" spans="1:16" x14ac:dyDescent="0.25">
      <c r="A262" s="103">
        <v>1004</v>
      </c>
      <c r="B262" s="38" t="s">
        <v>1832</v>
      </c>
      <c r="C262" s="2"/>
      <c r="D262" s="77"/>
      <c r="E262" s="78" t="s">
        <v>772</v>
      </c>
      <c r="F262" s="55">
        <f>((0.8+2*2))</f>
        <v>4.8</v>
      </c>
      <c r="G262" s="55">
        <f>IF($A262=0,"",VLOOKUP($A262,'BASE MATERIAL'!$A:$D,4))*(0.04*2*7.85*3)</f>
        <v>2.3926799999999999</v>
      </c>
      <c r="H262" s="56">
        <f t="shared" si="24"/>
        <v>11.48</v>
      </c>
      <c r="I262" s="2"/>
      <c r="L262" s="2"/>
      <c r="M262" s="2"/>
      <c r="N262" s="39"/>
      <c r="O262" s="2"/>
      <c r="P262" s="2"/>
    </row>
    <row r="263" spans="1:16" x14ac:dyDescent="0.25">
      <c r="A263" s="103">
        <v>1004</v>
      </c>
      <c r="B263" s="38" t="s">
        <v>223</v>
      </c>
      <c r="C263" s="2"/>
      <c r="D263" s="77"/>
      <c r="E263" s="78" t="s">
        <v>915</v>
      </c>
      <c r="F263" s="55">
        <f>0.8*2*2</f>
        <v>3.2</v>
      </c>
      <c r="G263" s="55">
        <f>IF($A263=0,"",VLOOKUP($A263,'BASE MATERIAL'!$A:$D,4))*(7.85*1.5)</f>
        <v>14.954249999999998</v>
      </c>
      <c r="H263" s="56">
        <f t="shared" si="24"/>
        <v>47.85</v>
      </c>
      <c r="I263" s="2"/>
      <c r="L263" s="2"/>
      <c r="M263" s="2"/>
      <c r="N263" s="39"/>
      <c r="O263" s="2"/>
      <c r="P263" s="2"/>
    </row>
    <row r="264" spans="1:16" x14ac:dyDescent="0.25">
      <c r="B264" s="38" t="str">
        <f>IF($A264=0,"",VLOOKUP($A264,'BASE MATERIAL'!$A:$D,2))</f>
        <v/>
      </c>
      <c r="C264" s="2"/>
      <c r="D264" s="77"/>
      <c r="E264" s="78" t="str">
        <f>IF($A264=0,"",VLOOKUP($A264,'BASE MATERIAL'!$A:$D,3))</f>
        <v/>
      </c>
      <c r="F264" s="55"/>
      <c r="G264" s="55"/>
      <c r="H264" s="56" t="str">
        <f t="shared" si="24"/>
        <v/>
      </c>
      <c r="I264" s="2"/>
    </row>
    <row r="265" spans="1:16" x14ac:dyDescent="0.25">
      <c r="B265" s="38" t="str">
        <f>IF($A265=0,"",VLOOKUP($A265,'BASE MATERIAL'!$A:$D,2))</f>
        <v/>
      </c>
      <c r="C265" s="2"/>
      <c r="D265" s="77"/>
      <c r="E265" s="78" t="str">
        <f>IF($A265=0,"",VLOOKUP($A265,'BASE MATERIAL'!$A:$D,3))</f>
        <v/>
      </c>
      <c r="F265" s="55"/>
      <c r="G265" s="55" t="str">
        <f>IF($A265=0,"",VLOOKUP($A265,'BASE MATERIAL'!$A:$D,4))</f>
        <v/>
      </c>
      <c r="H265" s="56" t="str">
        <f>IF($A265=0,"",ROUND(F265*G265,2))</f>
        <v/>
      </c>
      <c r="I265" s="2"/>
    </row>
    <row r="266" spans="1:16" x14ac:dyDescent="0.25">
      <c r="B266" s="38" t="str">
        <f>IF($A266=0,"",VLOOKUP($A266,'BASE MATERIAL'!$A:$D,2))</f>
        <v/>
      </c>
      <c r="C266" s="2"/>
      <c r="D266" s="77"/>
      <c r="E266" s="78" t="str">
        <f>IF($A266=0,"",VLOOKUP($A266,'BASE MATERIAL'!$A:$D,3))</f>
        <v/>
      </c>
      <c r="F266" s="55"/>
      <c r="G266" s="55" t="str">
        <f>IF($A266=0,"",VLOOKUP($A266,'BASE MATERIAL'!$A:$D,4))</f>
        <v/>
      </c>
      <c r="H266" s="56" t="str">
        <f>IF($A266=0,"",ROUND(F266*G266,2))</f>
        <v/>
      </c>
      <c r="I266" s="2"/>
    </row>
    <row r="267" spans="1:16" x14ac:dyDescent="0.25">
      <c r="B267" s="38" t="str">
        <f>IF($A267=0,"",VLOOKUP($A267,'BASE MATERIAL'!$A:$D,2))</f>
        <v/>
      </c>
      <c r="C267" s="2"/>
      <c r="D267" s="77"/>
      <c r="E267" s="78" t="str">
        <f>IF($A267=0,"",VLOOKUP($A267,'BASE MATERIAL'!$A:$D,3))</f>
        <v/>
      </c>
      <c r="F267" s="55"/>
      <c r="G267" s="55" t="str">
        <f>IF($A267=0,"",VLOOKUP($A267,'BASE MATERIAL'!$A:$D,4))</f>
        <v/>
      </c>
      <c r="H267" s="56" t="str">
        <f>IF($A267=0,"",ROUND(F267*G267,2))</f>
        <v/>
      </c>
      <c r="I267" s="2"/>
    </row>
    <row r="268" spans="1:16" x14ac:dyDescent="0.25">
      <c r="B268" s="38" t="str">
        <f>IF($A268=0,"",VLOOKUP($A268,'BASE MATERIAL'!$A:$D,2))</f>
        <v/>
      </c>
      <c r="C268" s="2"/>
      <c r="D268" s="81" t="s">
        <v>1682</v>
      </c>
      <c r="E268" s="55" t="str">
        <f>IF($A268=0,"",VLOOKUP($A268,'BASE MATERIAL'!$A:$D,3))</f>
        <v/>
      </c>
      <c r="F268" s="55" t="s">
        <v>1682</v>
      </c>
      <c r="G268" s="55" t="str">
        <f>IF($A268=0,"",VLOOKUP($A268,'BASE MATERIAL'!$A:$D,4))</f>
        <v/>
      </c>
      <c r="H268" s="56" t="str">
        <f>IF($A268=0,"",ROUND(E268*F268,2))</f>
        <v/>
      </c>
      <c r="I268" s="2"/>
    </row>
    <row r="269" spans="1:16" x14ac:dyDescent="0.25">
      <c r="B269" s="73" t="s">
        <v>1681</v>
      </c>
      <c r="C269" s="65"/>
      <c r="D269" s="74"/>
      <c r="E269" s="74"/>
      <c r="F269" s="74"/>
      <c r="G269" s="74"/>
      <c r="H269" s="75">
        <f>ROUND(SUM(H252:H268),2)</f>
        <v>138.66</v>
      </c>
      <c r="I269" s="2"/>
    </row>
    <row r="270" spans="1:16" x14ac:dyDescent="0.25">
      <c r="B270" s="38" t="s">
        <v>1680</v>
      </c>
      <c r="C270" s="2"/>
      <c r="D270" s="3"/>
      <c r="E270" s="3"/>
      <c r="F270" s="3"/>
      <c r="G270" s="3"/>
      <c r="H270" s="56"/>
      <c r="I270" s="2"/>
    </row>
    <row r="271" spans="1:16" ht="25.5" x14ac:dyDescent="0.25">
      <c r="B271" s="64" t="s">
        <v>1409</v>
      </c>
      <c r="C271" s="65"/>
      <c r="D271" s="76"/>
      <c r="E271" s="66" t="s">
        <v>1408</v>
      </c>
      <c r="F271" s="66" t="s">
        <v>1679</v>
      </c>
      <c r="G271" s="66" t="s">
        <v>1676</v>
      </c>
      <c r="H271" s="68" t="s">
        <v>1675</v>
      </c>
      <c r="I271" s="2"/>
    </row>
    <row r="272" spans="1:16" x14ac:dyDescent="0.25">
      <c r="A272" s="103">
        <v>19019</v>
      </c>
      <c r="B272" s="51" t="str">
        <f>IF($A272=0,"",VLOOKUP($A272,'BASE EQUIPO'!$A:$D,2))</f>
        <v>TRANSPORTE DE MATERIAL</v>
      </c>
      <c r="C272" s="52"/>
      <c r="D272" s="82"/>
      <c r="E272" s="78" t="str">
        <f>IF($A272=0,"",VLOOKUP($A272,'BASE EQUIPO'!$A:$D,3))</f>
        <v>GLOBAL</v>
      </c>
      <c r="F272" s="55">
        <v>1</v>
      </c>
      <c r="G272" s="83">
        <f>IF($A272=0,"",VLOOKUP($A272,'BASE EQUIPO'!$A:$D,4)*H269)</f>
        <v>4.1597999999999997</v>
      </c>
      <c r="H272" s="56">
        <f>IF($A272=0,"",ROUND(F272*G272,2))</f>
        <v>4.16</v>
      </c>
      <c r="I272" s="2"/>
    </row>
    <row r="273" spans="1:15" x14ac:dyDescent="0.25">
      <c r="B273" s="38" t="str">
        <f>IF($A273=0,"",VLOOKUP($A273,'BASE EQUIPO'!$A:$D,2))</f>
        <v/>
      </c>
      <c r="C273" s="2"/>
      <c r="D273" s="84"/>
      <c r="E273" s="78" t="str">
        <f>IF($A273=0,"",VLOOKUP($A273,'BASE EQUIPO'!$A:$D,3))</f>
        <v/>
      </c>
      <c r="F273" s="55"/>
      <c r="G273" s="55" t="str">
        <f>IF($A273=0,"",VLOOKUP($A273,'BASE EQUIPO'!$A:$D,4)*H270)</f>
        <v/>
      </c>
      <c r="H273" s="56" t="str">
        <f>IF($A273=0,"",ROUND(F273*G273,2))</f>
        <v/>
      </c>
      <c r="I273" s="2"/>
    </row>
    <row r="274" spans="1:15" x14ac:dyDescent="0.25">
      <c r="B274" s="57" t="str">
        <f>IF($A274=0,"",VLOOKUP($A274,'BASE EQUIPO'!$A:$D,2))</f>
        <v/>
      </c>
      <c r="C274" s="58"/>
      <c r="D274" s="85"/>
      <c r="E274" s="86" t="str">
        <f>IF($A274=0,"",VLOOKUP($A274,'BASE EQUIPO'!$A:$D,3))</f>
        <v/>
      </c>
      <c r="F274" s="59"/>
      <c r="G274" s="59" t="str">
        <f>IF($A274=0,"",VLOOKUP($A274,'BASE EQUIPO'!$A:$D,4)*H271)</f>
        <v/>
      </c>
      <c r="H274" s="60" t="str">
        <f>IF($A274=0,"",ROUND(F274*G274,2))</f>
        <v/>
      </c>
      <c r="I274" s="2"/>
    </row>
    <row r="275" spans="1:15" ht="15.75" thickBot="1" x14ac:dyDescent="0.3">
      <c r="B275" s="87" t="s">
        <v>1674</v>
      </c>
      <c r="C275" s="88"/>
      <c r="D275" s="89"/>
      <c r="E275" s="89"/>
      <c r="F275" s="89"/>
      <c r="G275" s="89"/>
      <c r="H275" s="90">
        <f>ROUND(SUM(H271:H274),2)</f>
        <v>4.16</v>
      </c>
      <c r="I275" s="2"/>
    </row>
    <row r="276" spans="1:15" ht="15.75" x14ac:dyDescent="0.25">
      <c r="B276" s="2"/>
      <c r="C276" s="2"/>
      <c r="D276" s="91" t="s">
        <v>1673</v>
      </c>
      <c r="E276" s="47"/>
      <c r="F276" s="47"/>
      <c r="G276" s="47"/>
      <c r="H276" s="92">
        <f>ROUND(SUM(H275,H269,H250,H240),2)</f>
        <v>260.74</v>
      </c>
      <c r="I276" s="2"/>
    </row>
    <row r="277" spans="1:15" ht="15.75" x14ac:dyDescent="0.25">
      <c r="A277" s="103">
        <v>40002</v>
      </c>
      <c r="B277" s="2"/>
      <c r="C277" s="2"/>
      <c r="D277" s="93" t="s">
        <v>1672</v>
      </c>
      <c r="E277" s="65"/>
      <c r="F277" s="65"/>
      <c r="G277" s="94">
        <f>IF($A277=0,"",VLOOKUP($A277,'BASE MATERIAL'!$M:$P,4))</f>
        <v>0</v>
      </c>
      <c r="H277" s="95">
        <f>IF($A277=0,"",ROUND(G277*H276,2))</f>
        <v>0</v>
      </c>
      <c r="I277" s="2"/>
    </row>
    <row r="278" spans="1:15" ht="15.75" x14ac:dyDescent="0.25">
      <c r="A278" s="103">
        <v>40003</v>
      </c>
      <c r="B278" s="2"/>
      <c r="C278" s="2"/>
      <c r="D278" s="93" t="s">
        <v>1671</v>
      </c>
      <c r="E278" s="65"/>
      <c r="F278" s="65"/>
      <c r="G278" s="94">
        <f>IF($A278=0,"",VLOOKUP($A278,'BASE MATERIAL'!$M:$P,4))</f>
        <v>0</v>
      </c>
      <c r="H278" s="95">
        <f>IF($A278=0,"",ROUND(G278*H276,2))</f>
        <v>0</v>
      </c>
      <c r="I278" s="2"/>
    </row>
    <row r="279" spans="1:15" ht="15.75" x14ac:dyDescent="0.25">
      <c r="B279" s="2"/>
      <c r="C279" s="2"/>
      <c r="D279" s="93" t="s">
        <v>1670</v>
      </c>
      <c r="E279" s="65"/>
      <c r="F279" s="65"/>
      <c r="G279" s="65"/>
      <c r="H279" s="96">
        <f>ROUND(SUM(H276:H278),2)</f>
        <v>260.74</v>
      </c>
      <c r="I279" s="2"/>
    </row>
    <row r="280" spans="1:15" ht="16.5" thickBot="1" x14ac:dyDescent="0.3">
      <c r="B280" s="25"/>
      <c r="C280" s="2"/>
      <c r="D280" s="97" t="s">
        <v>1650</v>
      </c>
      <c r="E280" s="88"/>
      <c r="F280" s="88"/>
      <c r="G280" s="88"/>
      <c r="H280" s="98">
        <f>ROUND(H279,2)</f>
        <v>260.74</v>
      </c>
      <c r="I280" s="2"/>
    </row>
    <row r="281" spans="1:15" ht="15.75" x14ac:dyDescent="0.25">
      <c r="B281" s="34" t="s">
        <v>1701</v>
      </c>
      <c r="C281" s="2"/>
      <c r="D281" s="3" t="str">
        <f>'1.1'!$D$1</f>
        <v>ESPOL</v>
      </c>
      <c r="E281" s="2"/>
      <c r="F281" s="2"/>
      <c r="H281" s="2" t="s">
        <v>108</v>
      </c>
      <c r="I281" s="2"/>
      <c r="L281" s="40">
        <f>A285</f>
        <v>2</v>
      </c>
      <c r="M281" s="1" t="str">
        <f>C286</f>
        <v>Puertas metálicas (0.80m x 1,20m). Código P1</v>
      </c>
      <c r="N281" s="2" t="str">
        <f>H285</f>
        <v>U</v>
      </c>
      <c r="O281" s="2">
        <f>H336</f>
        <v>153.81</v>
      </c>
    </row>
    <row r="282" spans="1:15" ht="15.75" x14ac:dyDescent="0.25">
      <c r="B282" s="34" t="s">
        <v>1700</v>
      </c>
      <c r="C282" s="3">
        <f>'1.1'!$C$2</f>
        <v>0</v>
      </c>
      <c r="D282" s="2"/>
      <c r="E282" s="2"/>
      <c r="F282" s="2"/>
      <c r="G282" s="41" t="s">
        <v>1699</v>
      </c>
      <c r="H282" s="42"/>
      <c r="I282" s="2" t="s">
        <v>1698</v>
      </c>
    </row>
    <row r="283" spans="1:15" ht="15.75" x14ac:dyDescent="0.25">
      <c r="B283" s="34"/>
      <c r="C283" s="3">
        <f>'1.1'!$C$3</f>
        <v>0</v>
      </c>
      <c r="D283" s="2"/>
      <c r="E283" s="2"/>
      <c r="F283" s="2"/>
      <c r="G283" s="2"/>
      <c r="H283" s="2"/>
      <c r="I283" s="2"/>
    </row>
    <row r="284" spans="1:15" ht="15.75" x14ac:dyDescent="0.25">
      <c r="B284" s="34" t="s">
        <v>1697</v>
      </c>
      <c r="C284" s="3"/>
      <c r="D284" s="2"/>
      <c r="E284" s="2"/>
      <c r="F284" s="2"/>
      <c r="G284" s="2"/>
      <c r="H284" s="2"/>
      <c r="I284" s="2"/>
    </row>
    <row r="285" spans="1:15" x14ac:dyDescent="0.25">
      <c r="A285" s="104">
        <v>2</v>
      </c>
      <c r="B285" s="2" t="s">
        <v>1586</v>
      </c>
      <c r="C285" s="36" t="s">
        <v>1677</v>
      </c>
      <c r="D285" s="2"/>
      <c r="G285" s="2" t="s">
        <v>1696</v>
      </c>
      <c r="H285" s="3" t="s">
        <v>744</v>
      </c>
      <c r="I285" s="2"/>
    </row>
    <row r="286" spans="1:15" x14ac:dyDescent="0.25">
      <c r="B286" s="1" t="s">
        <v>1585</v>
      </c>
      <c r="C286" s="36" t="s">
        <v>1851</v>
      </c>
      <c r="D286" s="2"/>
      <c r="E286" s="2"/>
      <c r="F286" s="2"/>
      <c r="G286" s="2"/>
      <c r="H286" s="2"/>
      <c r="I286" s="2"/>
    </row>
    <row r="287" spans="1:15" ht="15.75" thickBot="1" x14ac:dyDescent="0.3">
      <c r="D287" s="2"/>
      <c r="E287" s="2"/>
      <c r="F287" s="2"/>
      <c r="G287" s="2"/>
      <c r="H287" s="2"/>
      <c r="I287" s="2"/>
    </row>
    <row r="288" spans="1:15" ht="15.75" thickBot="1" x14ac:dyDescent="0.3">
      <c r="B288" s="43" t="s">
        <v>1695</v>
      </c>
      <c r="C288" s="44"/>
      <c r="D288" s="44"/>
      <c r="E288" s="44"/>
      <c r="F288" s="44"/>
      <c r="G288" s="44"/>
      <c r="H288" s="45"/>
      <c r="I288" s="2"/>
    </row>
    <row r="289" spans="1:9" ht="25.5" x14ac:dyDescent="0.25">
      <c r="B289" s="46" t="s">
        <v>1409</v>
      </c>
      <c r="C289" s="47"/>
      <c r="D289" s="48" t="s">
        <v>1690</v>
      </c>
      <c r="E289" s="48" t="s">
        <v>1694</v>
      </c>
      <c r="F289" s="48" t="s">
        <v>1693</v>
      </c>
      <c r="G289" s="49" t="s">
        <v>1687</v>
      </c>
      <c r="H289" s="50" t="s">
        <v>1686</v>
      </c>
      <c r="I289" s="2"/>
    </row>
    <row r="290" spans="1:9" x14ac:dyDescent="0.25">
      <c r="A290" s="103">
        <v>19015</v>
      </c>
      <c r="B290" s="51" t="str">
        <f>IF($A290=0,"",VLOOKUP($A290,'BASE EQUIPO'!$A:$D,2))</f>
        <v>HERRAMIENTA MENOR</v>
      </c>
      <c r="C290" s="52"/>
      <c r="D290" s="53">
        <v>1</v>
      </c>
      <c r="E290" s="53">
        <f>IF($A290=0,"",VLOOKUP($A290,'BASE EQUIPO'!$A:$D,4)*H306)</f>
        <v>1.6445999999999998</v>
      </c>
      <c r="F290" s="53">
        <f t="shared" ref="F290:F295" si="25">IF($A290=0,"",ROUND(D290*E290,2))</f>
        <v>1.64</v>
      </c>
      <c r="G290" s="105">
        <v>1</v>
      </c>
      <c r="H290" s="54">
        <f t="shared" ref="H290:H295" si="26">IF($A290=0,"",ROUND(G290*F290,2))</f>
        <v>1.64</v>
      </c>
      <c r="I290" s="2"/>
    </row>
    <row r="291" spans="1:9" x14ac:dyDescent="0.25">
      <c r="A291" s="103">
        <v>19011</v>
      </c>
      <c r="B291" s="38" t="str">
        <f>IF($A291=0,"",VLOOKUP($A291,'BASE EQUIPO'!$A:$D,2))</f>
        <v>SOLDADORA</v>
      </c>
      <c r="C291" s="2"/>
      <c r="D291" s="55">
        <v>1</v>
      </c>
      <c r="E291" s="55">
        <f>IF($A291=0,"",VLOOKUP($A291,'BASE EQUIPO'!$A:$D,4))</f>
        <v>2.5</v>
      </c>
      <c r="F291" s="55">
        <f t="shared" si="25"/>
        <v>2.5</v>
      </c>
      <c r="G291" s="106">
        <f>ROUND(G300*0.25,3)</f>
        <v>1</v>
      </c>
      <c r="H291" s="56">
        <f t="shared" si="26"/>
        <v>2.5</v>
      </c>
      <c r="I291" s="2"/>
    </row>
    <row r="292" spans="1:9" x14ac:dyDescent="0.25">
      <c r="B292" s="38" t="str">
        <f>IF($A292=0,"",VLOOKUP($A292,'BASE EQUIPO'!$A:$D,2))</f>
        <v/>
      </c>
      <c r="C292" s="2"/>
      <c r="D292" s="55"/>
      <c r="E292" s="55" t="str">
        <f>IF($A292=0,"",VLOOKUP($A292,'BASE EQUIPO'!$A:$D,4))</f>
        <v/>
      </c>
      <c r="F292" s="55" t="str">
        <f t="shared" si="25"/>
        <v/>
      </c>
      <c r="G292" s="106"/>
      <c r="H292" s="56" t="str">
        <f t="shared" si="26"/>
        <v/>
      </c>
      <c r="I292" s="2"/>
    </row>
    <row r="293" spans="1:9" x14ac:dyDescent="0.25">
      <c r="B293" s="38" t="str">
        <f>IF($A293=0,"",VLOOKUP($A293,'BASE EQUIPO'!$A:$D,2))</f>
        <v/>
      </c>
      <c r="C293" s="2"/>
      <c r="D293" s="55"/>
      <c r="E293" s="55" t="str">
        <f>IF($A293=0,"",VLOOKUP($A293,'BASE EQUIPO'!$A:$D,4))</f>
        <v/>
      </c>
      <c r="F293" s="55" t="str">
        <f t="shared" si="25"/>
        <v/>
      </c>
      <c r="G293" s="106"/>
      <c r="H293" s="56" t="str">
        <f t="shared" si="26"/>
        <v/>
      </c>
      <c r="I293" s="2"/>
    </row>
    <row r="294" spans="1:9" x14ac:dyDescent="0.25">
      <c r="B294" s="38" t="str">
        <f>IF($A294=0,"",VLOOKUP($A294,'BASE EQUIPO'!$A:$D,2))</f>
        <v/>
      </c>
      <c r="C294" s="2"/>
      <c r="D294" s="55"/>
      <c r="E294" s="55" t="str">
        <f>IF($A294=0,"",VLOOKUP($A294,'BASE EQUIPO'!$A:$D,4))</f>
        <v/>
      </c>
      <c r="F294" s="55" t="str">
        <f t="shared" si="25"/>
        <v/>
      </c>
      <c r="G294" s="106"/>
      <c r="H294" s="56" t="str">
        <f t="shared" si="26"/>
        <v/>
      </c>
      <c r="I294" s="2"/>
    </row>
    <row r="295" spans="1:9" x14ac:dyDescent="0.25">
      <c r="B295" s="57" t="str">
        <f>IF($A295=0,"",VLOOKUP($A295,'BASE EQUIPO'!$A:$D,2))</f>
        <v/>
      </c>
      <c r="C295" s="58"/>
      <c r="D295" s="59"/>
      <c r="E295" s="59" t="str">
        <f>IF($A295=0,"",VLOOKUP($A295,'BASE EQUIPO'!$A:$D,4))</f>
        <v/>
      </c>
      <c r="F295" s="59" t="str">
        <f t="shared" si="25"/>
        <v/>
      </c>
      <c r="G295" s="107"/>
      <c r="H295" s="60" t="str">
        <f t="shared" si="26"/>
        <v/>
      </c>
      <c r="I295" s="2"/>
    </row>
    <row r="296" spans="1:9" x14ac:dyDescent="0.25">
      <c r="B296" s="57" t="s">
        <v>1692</v>
      </c>
      <c r="C296" s="58"/>
      <c r="D296" s="61"/>
      <c r="E296" s="61"/>
      <c r="F296" s="61"/>
      <c r="G296" s="62"/>
      <c r="H296" s="60">
        <f>ROUND(SUM(H289:H295),2)</f>
        <v>4.1399999999999997</v>
      </c>
      <c r="I296" s="2"/>
    </row>
    <row r="297" spans="1:9" x14ac:dyDescent="0.25">
      <c r="B297" s="38" t="s">
        <v>1503</v>
      </c>
      <c r="C297" s="2"/>
      <c r="D297" s="3"/>
      <c r="E297" s="3"/>
      <c r="F297" s="3"/>
      <c r="G297" s="63"/>
      <c r="H297" s="56"/>
      <c r="I297" s="2"/>
    </row>
    <row r="298" spans="1:9" ht="25.5" x14ac:dyDescent="0.25">
      <c r="B298" s="64" t="s">
        <v>1691</v>
      </c>
      <c r="C298" s="65"/>
      <c r="D298" s="66" t="s">
        <v>1690</v>
      </c>
      <c r="E298" s="66" t="s">
        <v>1689</v>
      </c>
      <c r="F298" s="66" t="s">
        <v>1688</v>
      </c>
      <c r="G298" s="67" t="s">
        <v>1687</v>
      </c>
      <c r="H298" s="68" t="s">
        <v>1686</v>
      </c>
      <c r="I298" s="2"/>
    </row>
    <row r="299" spans="1:9" x14ac:dyDescent="0.25">
      <c r="A299" s="103">
        <v>20001</v>
      </c>
      <c r="B299" s="69" t="str">
        <f>IF($A299=0,"",VLOOKUP($A299,'BASE M-OBRA'!$A:$D,2))</f>
        <v>MAESTRO</v>
      </c>
      <c r="C299" s="2"/>
      <c r="D299" s="108">
        <v>1</v>
      </c>
      <c r="E299" s="70">
        <f>IF($A299=0,"",VLOOKUP($A299,'BASE M-OBRA'!$A:$D,4))</f>
        <v>3.02</v>
      </c>
      <c r="F299" s="55">
        <f t="shared" ref="F299:F305" si="27">IF($A299=0,"",ROUND(D299*E299,2))</f>
        <v>3.02</v>
      </c>
      <c r="G299" s="106">
        <f>IF($A299=0,"",ROUND(H299/F299,2))</f>
        <v>3.03</v>
      </c>
      <c r="H299" s="56">
        <f>IF($A299=0,"",ROUND(SUM(H300:H305)*'BASE M-OBRA'!$D$23,2))</f>
        <v>9.14</v>
      </c>
      <c r="I299" s="2"/>
    </row>
    <row r="300" spans="1:9" x14ac:dyDescent="0.25">
      <c r="A300" s="103">
        <v>20002</v>
      </c>
      <c r="B300" s="69" t="str">
        <f>IF($A300=0,"",VLOOKUP($A300,'BASE M-OBRA'!$A:$D,2))</f>
        <v>PEON</v>
      </c>
      <c r="C300" s="2"/>
      <c r="D300" s="108">
        <v>1</v>
      </c>
      <c r="E300" s="70">
        <f>IF($A300=0,"",VLOOKUP($A300,'BASE M-OBRA'!$A:$D,4))</f>
        <v>2.79</v>
      </c>
      <c r="F300" s="55">
        <f t="shared" si="27"/>
        <v>2.79</v>
      </c>
      <c r="G300" s="106">
        <v>4</v>
      </c>
      <c r="H300" s="56">
        <f t="shared" ref="H300:H305" si="28">IF($A300=0,"",ROUND(G300*F300,2))</f>
        <v>11.16</v>
      </c>
      <c r="I300" s="2"/>
    </row>
    <row r="301" spans="1:9" x14ac:dyDescent="0.25">
      <c r="A301" s="103">
        <v>20003</v>
      </c>
      <c r="B301" s="69" t="str">
        <f>IF($A301=0,"",VLOOKUP($A301,'BASE M-OBRA'!$A:$D,2))</f>
        <v>ALBAÑIL</v>
      </c>
      <c r="C301" s="2"/>
      <c r="D301" s="108">
        <v>1</v>
      </c>
      <c r="E301" s="70">
        <f>IF($A301=0,"",VLOOKUP($A301,'BASE M-OBRA'!$A:$D,4))</f>
        <v>2.82</v>
      </c>
      <c r="F301" s="55">
        <f t="shared" si="27"/>
        <v>2.82</v>
      </c>
      <c r="G301" s="106">
        <f>+G300</f>
        <v>4</v>
      </c>
      <c r="H301" s="56">
        <f t="shared" si="28"/>
        <v>11.28</v>
      </c>
      <c r="I301" s="2"/>
    </row>
    <row r="302" spans="1:9" x14ac:dyDescent="0.25">
      <c r="B302" s="71" t="str">
        <f>IF($A302=0,"",VLOOKUP($A302,'BASE M-OBRA'!$A:$D,2))</f>
        <v/>
      </c>
      <c r="C302" s="2"/>
      <c r="D302" s="108"/>
      <c r="E302" s="70" t="str">
        <f>IF($A302=0,"",VLOOKUP($A302,'BASE M-OBRA'!$A:$D,4))</f>
        <v/>
      </c>
      <c r="F302" s="55" t="str">
        <f t="shared" si="27"/>
        <v/>
      </c>
      <c r="G302" s="106"/>
      <c r="H302" s="56" t="str">
        <f t="shared" si="28"/>
        <v/>
      </c>
      <c r="I302" s="2"/>
    </row>
    <row r="303" spans="1:9" x14ac:dyDescent="0.25">
      <c r="A303" s="103">
        <v>20006</v>
      </c>
      <c r="B303" s="69" t="str">
        <f>IF($A303=0,"",VLOOKUP($A303,'BASE M-OBRA'!$A:$D,2))</f>
        <v>MAESTRO  SOLDADOR</v>
      </c>
      <c r="C303" s="2"/>
      <c r="D303" s="108">
        <v>1</v>
      </c>
      <c r="E303" s="70">
        <f>IF($A303=0,"",VLOOKUP($A303,'BASE M-OBRA'!$A:$D,4))</f>
        <v>3.02</v>
      </c>
      <c r="F303" s="55">
        <f t="shared" si="27"/>
        <v>3.02</v>
      </c>
      <c r="G303" s="106">
        <v>4</v>
      </c>
      <c r="H303" s="56">
        <f t="shared" si="28"/>
        <v>12.08</v>
      </c>
      <c r="I303" s="2"/>
    </row>
    <row r="304" spans="1:9" x14ac:dyDescent="0.25">
      <c r="A304" s="103">
        <v>20011</v>
      </c>
      <c r="B304" s="69" t="str">
        <f>IF($A304=0,"",VLOOKUP($A304,'BASE M-OBRA'!$A:$D,2))</f>
        <v>AYUDANTE ESPECIALISTA</v>
      </c>
      <c r="C304" s="2"/>
      <c r="D304" s="108">
        <v>1</v>
      </c>
      <c r="E304" s="70">
        <f>IF($A304=0,"",VLOOKUP($A304,'BASE M-OBRA'!$A:$D,4))</f>
        <v>2.79</v>
      </c>
      <c r="F304" s="55">
        <f t="shared" si="27"/>
        <v>2.79</v>
      </c>
      <c r="G304" s="106">
        <f>+G303</f>
        <v>4</v>
      </c>
      <c r="H304" s="56">
        <f t="shared" si="28"/>
        <v>11.16</v>
      </c>
      <c r="I304" s="2"/>
    </row>
    <row r="305" spans="1:16" x14ac:dyDescent="0.25">
      <c r="B305" s="57" t="str">
        <f>IF($A305=0,"",VLOOKUP($A305,'BASE M-OBRA'!$A:$D,2))</f>
        <v/>
      </c>
      <c r="C305" s="58"/>
      <c r="D305" s="59"/>
      <c r="E305" s="59" t="str">
        <f>IF($A305=0,"",VLOOKUP($A305,'BASE M-OBRA'!$A:$D,4))</f>
        <v/>
      </c>
      <c r="F305" s="59" t="str">
        <f t="shared" si="27"/>
        <v/>
      </c>
      <c r="G305" s="107"/>
      <c r="H305" s="60" t="str">
        <f t="shared" si="28"/>
        <v/>
      </c>
      <c r="I305" s="2"/>
    </row>
    <row r="306" spans="1:16" x14ac:dyDescent="0.25">
      <c r="B306" s="73" t="s">
        <v>1685</v>
      </c>
      <c r="C306" s="65"/>
      <c r="D306" s="74"/>
      <c r="E306" s="74"/>
      <c r="F306" s="74"/>
      <c r="G306" s="74"/>
      <c r="H306" s="75">
        <f>ROUND(SUM(H298:H305),2)</f>
        <v>54.82</v>
      </c>
      <c r="I306" s="2"/>
    </row>
    <row r="307" spans="1:16" x14ac:dyDescent="0.25">
      <c r="B307" s="38" t="s">
        <v>1684</v>
      </c>
      <c r="C307" s="2"/>
      <c r="D307" s="3"/>
      <c r="E307" s="3"/>
      <c r="F307" s="3"/>
      <c r="G307" s="3"/>
      <c r="H307" s="56"/>
      <c r="I307" s="2"/>
    </row>
    <row r="308" spans="1:16" ht="25.5" x14ac:dyDescent="0.25">
      <c r="B308" s="64" t="s">
        <v>1409</v>
      </c>
      <c r="C308" s="65"/>
      <c r="D308" s="76"/>
      <c r="E308" s="66" t="s">
        <v>1408</v>
      </c>
      <c r="F308" s="66" t="s">
        <v>1679</v>
      </c>
      <c r="G308" s="66" t="s">
        <v>1683</v>
      </c>
      <c r="H308" s="68" t="s">
        <v>1675</v>
      </c>
      <c r="I308" s="2"/>
    </row>
    <row r="309" spans="1:16" x14ac:dyDescent="0.25">
      <c r="A309" s="103">
        <v>14002</v>
      </c>
      <c r="B309" s="37" t="str">
        <f>IF($A309=0,"",VLOOKUP($A309,'BASE MATERIAL'!$A:$D,2))</f>
        <v>SOLDADURA aga 60/11</v>
      </c>
      <c r="C309" s="2"/>
      <c r="D309" s="77"/>
      <c r="E309" s="78" t="str">
        <f>IF($A309=0,"",VLOOKUP($A309,'BASE MATERIAL'!$A:$D,3))</f>
        <v>KG</v>
      </c>
      <c r="F309" s="55">
        <f>ROUND(0.044*43,4)</f>
        <v>1.8919999999999999</v>
      </c>
      <c r="G309" s="55">
        <f>IF($A309=0,"",VLOOKUP($A309,'BASE MATERIAL'!$A:$D,4))</f>
        <v>3.65</v>
      </c>
      <c r="H309" s="56">
        <f t="shared" ref="H309:H320" si="29">IF($A309=0,"",ROUND(F309*G309,2))</f>
        <v>6.91</v>
      </c>
      <c r="I309" s="2"/>
      <c r="J309" s="1">
        <f>SUM(J311:J313)</f>
        <v>42.703999999999994</v>
      </c>
      <c r="K309" s="1" t="s">
        <v>225</v>
      </c>
      <c r="L309" s="1">
        <f>SUM(L311:L313)</f>
        <v>3.3279999999999998</v>
      </c>
      <c r="M309" s="2"/>
      <c r="N309" s="39"/>
      <c r="O309" s="2"/>
      <c r="P309" s="2"/>
    </row>
    <row r="310" spans="1:16" x14ac:dyDescent="0.25">
      <c r="B310" s="38" t="str">
        <f>IF($A310=0,"",VLOOKUP($A310,'BASE MATERIAL'!$A:$D,2))</f>
        <v/>
      </c>
      <c r="C310" s="2"/>
      <c r="D310" s="77"/>
      <c r="E310" s="78" t="str">
        <f>IF($A310=0,"",VLOOKUP($A310,'BASE MATERIAL'!$A:$D,3))</f>
        <v/>
      </c>
      <c r="F310" s="55"/>
      <c r="G310" s="55" t="str">
        <f>IF($A310=0,"",VLOOKUP($A310,'BASE MATERIAL'!$A:$D,4))</f>
        <v/>
      </c>
      <c r="H310" s="56" t="str">
        <f t="shared" si="29"/>
        <v/>
      </c>
      <c r="I310" s="2"/>
      <c r="L310" s="2"/>
      <c r="M310" s="2"/>
      <c r="N310" s="39"/>
      <c r="O310" s="2"/>
      <c r="P310" s="2"/>
    </row>
    <row r="311" spans="1:16" x14ac:dyDescent="0.25">
      <c r="A311" s="103">
        <v>13016</v>
      </c>
      <c r="B311" s="38" t="str">
        <f>IF($A311=0,"",VLOOKUP($A311,'BASE MATERIAL'!$A:$D,2))</f>
        <v>PINTURA ANTICORROSIVA</v>
      </c>
      <c r="C311" s="2"/>
      <c r="D311" s="77"/>
      <c r="E311" s="78" t="str">
        <f>IF($A311=0,"",VLOOKUP($A311,'BASE MATERIAL'!$A:$D,3))</f>
        <v>GL</v>
      </c>
      <c r="F311" s="55">
        <f>0.1*2*3.5</f>
        <v>0.70000000000000007</v>
      </c>
      <c r="G311" s="55">
        <f>IF($A311=0,"",VLOOKUP($A311,'BASE MATERIAL'!$A:$D,4))</f>
        <v>16</v>
      </c>
      <c r="H311" s="56">
        <f t="shared" si="29"/>
        <v>11.2</v>
      </c>
      <c r="I311" s="2"/>
      <c r="J311" s="1">
        <f>((4*0.8+2*1.2)*0.04*4*7.85*2)</f>
        <v>14.067199999999998</v>
      </c>
      <c r="K311" s="1" t="s">
        <v>842</v>
      </c>
      <c r="L311" s="1">
        <f>((4*0.8+2*1.2)*0.04*4)</f>
        <v>0.89599999999999991</v>
      </c>
      <c r="M311" s="2"/>
      <c r="N311" s="39"/>
      <c r="O311" s="2"/>
      <c r="P311" s="2"/>
    </row>
    <row r="312" spans="1:16" x14ac:dyDescent="0.25">
      <c r="A312" s="103">
        <v>13017</v>
      </c>
      <c r="B312" s="38" t="str">
        <f>IF($A312=0,"",VLOOKUP($A312,'BASE MATERIAL'!$A:$D,2))</f>
        <v>PINTURA ACABADO METALICO</v>
      </c>
      <c r="C312" s="2"/>
      <c r="D312" s="77"/>
      <c r="E312" s="78" t="str">
        <f>IF($A312=0,"",VLOOKUP($A312,'BASE MATERIAL'!$A:$D,3))</f>
        <v>GL</v>
      </c>
      <c r="F312" s="55">
        <f>0.08*2*3.5</f>
        <v>0.56000000000000005</v>
      </c>
      <c r="G312" s="55">
        <f>IF($A312=0,"",VLOOKUP($A312,'BASE MATERIAL'!$A:$D,4))</f>
        <v>17</v>
      </c>
      <c r="H312" s="56">
        <f t="shared" si="29"/>
        <v>9.52</v>
      </c>
      <c r="I312" s="2"/>
      <c r="J312" s="1">
        <f>((7.85*1.5)*0.8*2*1.2)</f>
        <v>22.608000000000001</v>
      </c>
      <c r="K312" s="1" t="s">
        <v>223</v>
      </c>
      <c r="L312" s="1">
        <f>(0.8*2*1.2)</f>
        <v>1.92</v>
      </c>
      <c r="M312" s="2"/>
      <c r="N312" s="39"/>
      <c r="O312" s="2"/>
      <c r="P312" s="2"/>
    </row>
    <row r="313" spans="1:16" x14ac:dyDescent="0.25">
      <c r="A313" s="103">
        <v>13011</v>
      </c>
      <c r="B313" s="38" t="str">
        <f>IF($A313=0,"",VLOOKUP($A313,'BASE MATERIAL'!$A:$D,2))</f>
        <v>DESOXIDANTE</v>
      </c>
      <c r="C313" s="2"/>
      <c r="D313" s="77"/>
      <c r="E313" s="78" t="str">
        <f>IF($A313=0,"",VLOOKUP($A313,'BASE MATERIAL'!$A:$D,3))</f>
        <v>GL</v>
      </c>
      <c r="F313" s="55">
        <f>ROUND(0.2*(F311+F312),4)</f>
        <v>0.252</v>
      </c>
      <c r="G313" s="55">
        <f>IF($A313=0,"",VLOOKUP($A313,'BASE MATERIAL'!$A:$D,4))</f>
        <v>12</v>
      </c>
      <c r="H313" s="56">
        <f t="shared" si="29"/>
        <v>3.02</v>
      </c>
      <c r="I313" s="2"/>
      <c r="J313" s="1">
        <f>((0.8+2*1.2)*(0.04+0.04)*7.85*3)</f>
        <v>6.0287999999999995</v>
      </c>
      <c r="K313" s="1" t="s">
        <v>224</v>
      </c>
      <c r="L313" s="1">
        <f>((0.8+2*1.2)*(0.04+0.04)*2)</f>
        <v>0.51200000000000001</v>
      </c>
      <c r="M313" s="2"/>
      <c r="N313" s="39"/>
      <c r="O313" s="2"/>
      <c r="P313" s="2"/>
    </row>
    <row r="314" spans="1:16" x14ac:dyDescent="0.25">
      <c r="A314" s="103">
        <v>13010</v>
      </c>
      <c r="B314" s="38" t="str">
        <f>IF($A314=0,"",VLOOKUP($A314,'BASE MATERIAL'!$A:$D,2))</f>
        <v>DILUYENTE</v>
      </c>
      <c r="C314" s="2"/>
      <c r="D314" s="77"/>
      <c r="E314" s="78" t="str">
        <f>IF($A314=0,"",VLOOKUP($A314,'BASE MATERIAL'!$A:$D,3))</f>
        <v>GL</v>
      </c>
      <c r="F314" s="55">
        <f>+F311*0.5*2</f>
        <v>0.70000000000000007</v>
      </c>
      <c r="G314" s="55">
        <f>IF($A314=0,"",VLOOKUP($A314,'BASE MATERIAL'!$A:$D,4))</f>
        <v>6</v>
      </c>
      <c r="H314" s="56">
        <f t="shared" si="29"/>
        <v>4.2</v>
      </c>
      <c r="I314" s="2"/>
      <c r="J314" s="79"/>
      <c r="L314" s="2"/>
      <c r="M314" s="2"/>
      <c r="N314" s="39"/>
      <c r="O314" s="2"/>
      <c r="P314" s="2"/>
    </row>
    <row r="315" spans="1:16" x14ac:dyDescent="0.25">
      <c r="A315" s="103">
        <v>10022</v>
      </c>
      <c r="B315" s="38" t="str">
        <f>IF($A315=0,"",VLOOKUP($A315,'BASE MATERIAL'!$A:$D,2))</f>
        <v>BISAGRAS DE ACERO</v>
      </c>
      <c r="C315" s="2"/>
      <c r="D315" s="77"/>
      <c r="E315" s="78" t="str">
        <f>IF($A315=0,"",VLOOKUP($A315,'BASE MATERIAL'!$A:$D,3))</f>
        <v>U</v>
      </c>
      <c r="F315" s="55">
        <v>2</v>
      </c>
      <c r="G315" s="55">
        <f>IF($A315=0,"",VLOOKUP($A315,'BASE MATERIAL'!$A:$D,4))</f>
        <v>1.5</v>
      </c>
      <c r="H315" s="56">
        <f t="shared" si="29"/>
        <v>3</v>
      </c>
      <c r="I315" s="2"/>
      <c r="L315" s="2"/>
      <c r="M315" s="2"/>
      <c r="N315" s="39"/>
      <c r="O315" s="2"/>
      <c r="P315" s="2"/>
    </row>
    <row r="316" spans="1:16" x14ac:dyDescent="0.25">
      <c r="B316" s="38" t="str">
        <f>IF($A316=0,"",VLOOKUP($A316,'BASE MATERIAL'!$A:$D,2))</f>
        <v/>
      </c>
      <c r="C316" s="2"/>
      <c r="D316" s="77"/>
      <c r="E316" s="78" t="str">
        <f>IF($A316=0,"",VLOOKUP($A316,'BASE MATERIAL'!$A:$D,3))</f>
        <v/>
      </c>
      <c r="F316" s="55"/>
      <c r="G316" s="55" t="str">
        <f>IF($A316=0,"",VLOOKUP($A316,'BASE MATERIAL'!$A:$D,4))</f>
        <v/>
      </c>
      <c r="H316" s="56" t="str">
        <f t="shared" si="29"/>
        <v/>
      </c>
      <c r="I316" s="2"/>
      <c r="J316" s="79"/>
      <c r="L316" s="2"/>
      <c r="M316" s="2"/>
      <c r="N316" s="39"/>
      <c r="O316" s="2"/>
      <c r="P316" s="2"/>
    </row>
    <row r="317" spans="1:16" x14ac:dyDescent="0.25">
      <c r="A317" s="103">
        <v>1004</v>
      </c>
      <c r="B317" s="38" t="s">
        <v>1831</v>
      </c>
      <c r="C317" s="2"/>
      <c r="D317" s="77"/>
      <c r="E317" s="78" t="s">
        <v>772</v>
      </c>
      <c r="F317" s="55">
        <f>((4*0.8+2*1.2))</f>
        <v>5.6</v>
      </c>
      <c r="G317" s="55">
        <f>IF($A317=0,"",VLOOKUP($A317,'BASE MATERIAL'!$A:$D,4))*(0.04*4*7.85*2)</f>
        <v>3.1902400000000002</v>
      </c>
      <c r="H317" s="56">
        <f t="shared" si="29"/>
        <v>17.87</v>
      </c>
      <c r="I317" s="2"/>
    </row>
    <row r="318" spans="1:16" x14ac:dyDescent="0.25">
      <c r="A318" s="103">
        <v>1004</v>
      </c>
      <c r="B318" s="38" t="s">
        <v>1832</v>
      </c>
      <c r="C318" s="2"/>
      <c r="D318" s="77"/>
      <c r="E318" s="78" t="s">
        <v>772</v>
      </c>
      <c r="F318" s="55">
        <f>((0.8+2*1.2))</f>
        <v>3.2</v>
      </c>
      <c r="G318" s="55">
        <f>IF($A318=0,"",VLOOKUP($A318,'BASE MATERIAL'!$A:$D,4))*(0.04*2*7.85*3)</f>
        <v>2.3926799999999999</v>
      </c>
      <c r="H318" s="56">
        <f t="shared" si="29"/>
        <v>7.66</v>
      </c>
      <c r="I318" s="2"/>
      <c r="L318" s="2"/>
      <c r="M318" s="2"/>
      <c r="N318" s="39"/>
      <c r="O318" s="2"/>
      <c r="P318" s="2"/>
    </row>
    <row r="319" spans="1:16" x14ac:dyDescent="0.25">
      <c r="A319" s="103">
        <v>1004</v>
      </c>
      <c r="B319" s="38" t="s">
        <v>223</v>
      </c>
      <c r="C319" s="2"/>
      <c r="D319" s="77"/>
      <c r="E319" s="78" t="s">
        <v>915</v>
      </c>
      <c r="F319" s="55">
        <f>0.8*2*1.2</f>
        <v>1.92</v>
      </c>
      <c r="G319" s="55">
        <f>IF($A319=0,"",VLOOKUP($A319,'BASE MATERIAL'!$A:$D,4))*(7.85*1.5)</f>
        <v>14.954249999999998</v>
      </c>
      <c r="H319" s="56">
        <f t="shared" si="29"/>
        <v>28.71</v>
      </c>
      <c r="I319" s="2"/>
      <c r="L319" s="2"/>
      <c r="M319" s="2"/>
      <c r="N319" s="39"/>
      <c r="O319" s="2"/>
      <c r="P319" s="2"/>
    </row>
    <row r="320" spans="1:16" x14ac:dyDescent="0.25">
      <c r="B320" s="38" t="str">
        <f>IF($A320=0,"",VLOOKUP($A320,'BASE MATERIAL'!$A:$D,2))</f>
        <v/>
      </c>
      <c r="C320" s="2"/>
      <c r="D320" s="77"/>
      <c r="E320" s="78" t="str">
        <f>IF($A320=0,"",VLOOKUP($A320,'BASE MATERIAL'!$A:$D,3))</f>
        <v/>
      </c>
      <c r="F320" s="55"/>
      <c r="G320" s="55"/>
      <c r="H320" s="56" t="str">
        <f t="shared" si="29"/>
        <v/>
      </c>
      <c r="I320" s="2"/>
    </row>
    <row r="321" spans="1:9" x14ac:dyDescent="0.25">
      <c r="B321" s="38" t="str">
        <f>IF($A321=0,"",VLOOKUP($A321,'BASE MATERIAL'!$A:$D,2))</f>
        <v/>
      </c>
      <c r="C321" s="2"/>
      <c r="D321" s="77"/>
      <c r="E321" s="78" t="str">
        <f>IF($A321=0,"",VLOOKUP($A321,'BASE MATERIAL'!$A:$D,3))</f>
        <v/>
      </c>
      <c r="F321" s="55"/>
      <c r="G321" s="55" t="str">
        <f>IF($A321=0,"",VLOOKUP($A321,'BASE MATERIAL'!$A:$D,4))</f>
        <v/>
      </c>
      <c r="H321" s="56" t="str">
        <f>IF($A321=0,"",ROUND(F321*G321,2))</f>
        <v/>
      </c>
      <c r="I321" s="2"/>
    </row>
    <row r="322" spans="1:9" x14ac:dyDescent="0.25">
      <c r="B322" s="38" t="str">
        <f>IF($A322=0,"",VLOOKUP($A322,'BASE MATERIAL'!$A:$D,2))</f>
        <v/>
      </c>
      <c r="C322" s="2"/>
      <c r="D322" s="77"/>
      <c r="E322" s="78" t="str">
        <f>IF($A322=0,"",VLOOKUP($A322,'BASE MATERIAL'!$A:$D,3))</f>
        <v/>
      </c>
      <c r="F322" s="55"/>
      <c r="G322" s="55" t="str">
        <f>IF($A322=0,"",VLOOKUP($A322,'BASE MATERIAL'!$A:$D,4))</f>
        <v/>
      </c>
      <c r="H322" s="56" t="str">
        <f>IF($A322=0,"",ROUND(F322*G322,2))</f>
        <v/>
      </c>
      <c r="I322" s="2"/>
    </row>
    <row r="323" spans="1:9" x14ac:dyDescent="0.25">
      <c r="B323" s="38" t="str">
        <f>IF($A323=0,"",VLOOKUP($A323,'BASE MATERIAL'!$A:$D,2))</f>
        <v/>
      </c>
      <c r="C323" s="2"/>
      <c r="D323" s="77"/>
      <c r="E323" s="78" t="str">
        <f>IF($A323=0,"",VLOOKUP($A323,'BASE MATERIAL'!$A:$D,3))</f>
        <v/>
      </c>
      <c r="F323" s="55"/>
      <c r="G323" s="55" t="str">
        <f>IF($A323=0,"",VLOOKUP($A323,'BASE MATERIAL'!$A:$D,4))</f>
        <v/>
      </c>
      <c r="H323" s="56" t="str">
        <f>IF($A323=0,"",ROUND(F323*G323,2))</f>
        <v/>
      </c>
      <c r="I323" s="2"/>
    </row>
    <row r="324" spans="1:9" x14ac:dyDescent="0.25">
      <c r="B324" s="38" t="str">
        <f>IF($A324=0,"",VLOOKUP($A324,'BASE MATERIAL'!$A:$D,2))</f>
        <v/>
      </c>
      <c r="C324" s="2"/>
      <c r="D324" s="81" t="s">
        <v>1682</v>
      </c>
      <c r="E324" s="55" t="str">
        <f>IF($A324=0,"",VLOOKUP($A324,'BASE MATERIAL'!$A:$D,3))</f>
        <v/>
      </c>
      <c r="F324" s="55" t="s">
        <v>1682</v>
      </c>
      <c r="G324" s="55" t="str">
        <f>IF($A324=0,"",VLOOKUP($A324,'BASE MATERIAL'!$A:$D,4))</f>
        <v/>
      </c>
      <c r="H324" s="56" t="str">
        <f>IF($A324=0,"",ROUND(E324*F324,2))</f>
        <v/>
      </c>
      <c r="I324" s="2"/>
    </row>
    <row r="325" spans="1:9" x14ac:dyDescent="0.25">
      <c r="B325" s="73" t="s">
        <v>1681</v>
      </c>
      <c r="C325" s="65"/>
      <c r="D325" s="74"/>
      <c r="E325" s="74"/>
      <c r="F325" s="74"/>
      <c r="G325" s="74"/>
      <c r="H325" s="75">
        <f>ROUND(SUM(H308:H324),2)</f>
        <v>92.09</v>
      </c>
      <c r="I325" s="2"/>
    </row>
    <row r="326" spans="1:9" x14ac:dyDescent="0.25">
      <c r="B326" s="38" t="s">
        <v>1680</v>
      </c>
      <c r="C326" s="2"/>
      <c r="D326" s="3"/>
      <c r="E326" s="3"/>
      <c r="F326" s="3"/>
      <c r="G326" s="3"/>
      <c r="H326" s="56"/>
      <c r="I326" s="2"/>
    </row>
    <row r="327" spans="1:9" ht="25.5" x14ac:dyDescent="0.25">
      <c r="B327" s="64" t="s">
        <v>1409</v>
      </c>
      <c r="C327" s="65"/>
      <c r="D327" s="76"/>
      <c r="E327" s="66" t="s">
        <v>1408</v>
      </c>
      <c r="F327" s="66" t="s">
        <v>1679</v>
      </c>
      <c r="G327" s="66" t="s">
        <v>1676</v>
      </c>
      <c r="H327" s="68" t="s">
        <v>1675</v>
      </c>
      <c r="I327" s="2"/>
    </row>
    <row r="328" spans="1:9" x14ac:dyDescent="0.25">
      <c r="A328" s="103">
        <v>19019</v>
      </c>
      <c r="B328" s="51" t="str">
        <f>IF($A328=0,"",VLOOKUP($A328,'BASE EQUIPO'!$A:$D,2))</f>
        <v>TRANSPORTE DE MATERIAL</v>
      </c>
      <c r="C328" s="52"/>
      <c r="D328" s="82"/>
      <c r="E328" s="78" t="str">
        <f>IF($A328=0,"",VLOOKUP($A328,'BASE EQUIPO'!$A:$D,3))</f>
        <v>GLOBAL</v>
      </c>
      <c r="F328" s="55">
        <v>1</v>
      </c>
      <c r="G328" s="83">
        <f>IF($A328=0,"",VLOOKUP($A328,'BASE EQUIPO'!$A:$D,4)*H325)</f>
        <v>2.7627000000000002</v>
      </c>
      <c r="H328" s="56">
        <f>IF($A328=0,"",ROUND(F328*G328,2))</f>
        <v>2.76</v>
      </c>
      <c r="I328" s="2"/>
    </row>
    <row r="329" spans="1:9" x14ac:dyDescent="0.25">
      <c r="B329" s="38" t="str">
        <f>IF($A329=0,"",VLOOKUP($A329,'BASE EQUIPO'!$A:$D,2))</f>
        <v/>
      </c>
      <c r="C329" s="2"/>
      <c r="D329" s="84"/>
      <c r="E329" s="78" t="str">
        <f>IF($A329=0,"",VLOOKUP($A329,'BASE EQUIPO'!$A:$D,3))</f>
        <v/>
      </c>
      <c r="F329" s="55"/>
      <c r="G329" s="55" t="str">
        <f>IF($A329=0,"",VLOOKUP($A329,'BASE EQUIPO'!$A:$D,4)*H326)</f>
        <v/>
      </c>
      <c r="H329" s="56" t="str">
        <f>IF($A329=0,"",ROUND(F329*G329,2))</f>
        <v/>
      </c>
      <c r="I329" s="2"/>
    </row>
    <row r="330" spans="1:9" x14ac:dyDescent="0.25">
      <c r="B330" s="57" t="str">
        <f>IF($A330=0,"",VLOOKUP($A330,'BASE EQUIPO'!$A:$D,2))</f>
        <v/>
      </c>
      <c r="C330" s="58"/>
      <c r="D330" s="85"/>
      <c r="E330" s="86" t="str">
        <f>IF($A330=0,"",VLOOKUP($A330,'BASE EQUIPO'!$A:$D,3))</f>
        <v/>
      </c>
      <c r="F330" s="59"/>
      <c r="G330" s="59" t="str">
        <f>IF($A330=0,"",VLOOKUP($A330,'BASE EQUIPO'!$A:$D,4)*H327)</f>
        <v/>
      </c>
      <c r="H330" s="60" t="str">
        <f>IF($A330=0,"",ROUND(F330*G330,2))</f>
        <v/>
      </c>
      <c r="I330" s="2"/>
    </row>
    <row r="331" spans="1:9" ht="15.75" thickBot="1" x14ac:dyDescent="0.3">
      <c r="B331" s="87" t="s">
        <v>1674</v>
      </c>
      <c r="C331" s="88"/>
      <c r="D331" s="89"/>
      <c r="E331" s="89"/>
      <c r="F331" s="89"/>
      <c r="G331" s="89"/>
      <c r="H331" s="90">
        <f>ROUND(SUM(H327:H330),2)</f>
        <v>2.76</v>
      </c>
      <c r="I331" s="2"/>
    </row>
    <row r="332" spans="1:9" ht="15.75" x14ac:dyDescent="0.25">
      <c r="B332" s="2"/>
      <c r="C332" s="2"/>
      <c r="D332" s="91" t="s">
        <v>1673</v>
      </c>
      <c r="E332" s="47"/>
      <c r="F332" s="47"/>
      <c r="G332" s="47"/>
      <c r="H332" s="92">
        <f>ROUND(SUM(H331,H325,H306,H296),2)</f>
        <v>153.81</v>
      </c>
      <c r="I332" s="2"/>
    </row>
    <row r="333" spans="1:9" ht="15.75" x14ac:dyDescent="0.25">
      <c r="A333" s="103">
        <v>40002</v>
      </c>
      <c r="B333" s="2"/>
      <c r="C333" s="2"/>
      <c r="D333" s="93" t="s">
        <v>1672</v>
      </c>
      <c r="E333" s="65"/>
      <c r="F333" s="65"/>
      <c r="G333" s="94">
        <f>IF($A333=0,"",VLOOKUP($A333,'BASE MATERIAL'!$M:$P,4))</f>
        <v>0</v>
      </c>
      <c r="H333" s="95">
        <f>IF($A333=0,"",ROUND(G333*H332,2))</f>
        <v>0</v>
      </c>
      <c r="I333" s="2"/>
    </row>
    <row r="334" spans="1:9" ht="15.75" x14ac:dyDescent="0.25">
      <c r="A334" s="103">
        <v>40003</v>
      </c>
      <c r="B334" s="2"/>
      <c r="C334" s="2"/>
      <c r="D334" s="93" t="s">
        <v>1671</v>
      </c>
      <c r="E334" s="65"/>
      <c r="F334" s="65"/>
      <c r="G334" s="94">
        <f>IF($A334=0,"",VLOOKUP($A334,'BASE MATERIAL'!$M:$P,4))</f>
        <v>0</v>
      </c>
      <c r="H334" s="95">
        <f>IF($A334=0,"",ROUND(G334*H332,2))</f>
        <v>0</v>
      </c>
      <c r="I334" s="2"/>
    </row>
    <row r="335" spans="1:9" ht="15.75" x14ac:dyDescent="0.25">
      <c r="B335" s="2"/>
      <c r="C335" s="2"/>
      <c r="D335" s="93" t="s">
        <v>1670</v>
      </c>
      <c r="E335" s="65"/>
      <c r="F335" s="65"/>
      <c r="G335" s="65"/>
      <c r="H335" s="96">
        <f>ROUND(SUM(H332:H334),2)</f>
        <v>153.81</v>
      </c>
      <c r="I335" s="2"/>
    </row>
    <row r="336" spans="1:9" ht="16.5" thickBot="1" x14ac:dyDescent="0.3">
      <c r="B336" s="25"/>
      <c r="C336" s="2"/>
      <c r="D336" s="97" t="s">
        <v>1650</v>
      </c>
      <c r="E336" s="88"/>
      <c r="F336" s="88"/>
      <c r="G336" s="88"/>
      <c r="H336" s="98">
        <f>ROUND(H335,2)</f>
        <v>153.81</v>
      </c>
      <c r="I336" s="2"/>
    </row>
    <row r="337" spans="1:15" ht="15.75" x14ac:dyDescent="0.25">
      <c r="B337" s="34" t="s">
        <v>1701</v>
      </c>
      <c r="C337" s="2"/>
      <c r="D337" s="3" t="str">
        <f>'1.1'!$D$1</f>
        <v>ESPOL</v>
      </c>
      <c r="E337" s="2"/>
      <c r="F337" s="2"/>
      <c r="H337" s="2" t="s">
        <v>108</v>
      </c>
      <c r="I337" s="2"/>
      <c r="L337" s="40">
        <f>A341</f>
        <v>2</v>
      </c>
      <c r="M337" s="1" t="str">
        <f>C342</f>
        <v>Pasamanos metalico tipo PM1</v>
      </c>
      <c r="N337" s="2" t="str">
        <f>H341</f>
        <v>ml</v>
      </c>
      <c r="O337" s="2">
        <f>H392</f>
        <v>123.49</v>
      </c>
    </row>
    <row r="338" spans="1:15" ht="15.75" x14ac:dyDescent="0.25">
      <c r="B338" s="34" t="s">
        <v>1700</v>
      </c>
      <c r="C338" s="3">
        <f>'1.1'!$C$2</f>
        <v>0</v>
      </c>
      <c r="D338" s="2"/>
      <c r="E338" s="2"/>
      <c r="F338" s="2"/>
      <c r="G338" s="41" t="s">
        <v>1699</v>
      </c>
      <c r="H338" s="42"/>
      <c r="I338" s="2" t="s">
        <v>1698</v>
      </c>
    </row>
    <row r="339" spans="1:15" ht="15.75" x14ac:dyDescent="0.25">
      <c r="B339" s="34"/>
      <c r="C339" s="3">
        <f>'1.1'!$C$3</f>
        <v>0</v>
      </c>
      <c r="D339" s="2"/>
      <c r="E339" s="2"/>
      <c r="F339" s="2"/>
      <c r="G339" s="2"/>
      <c r="H339" s="2"/>
      <c r="I339" s="2"/>
    </row>
    <row r="340" spans="1:15" ht="15.75" x14ac:dyDescent="0.25">
      <c r="B340" s="34" t="s">
        <v>1697</v>
      </c>
      <c r="C340" s="3"/>
      <c r="D340" s="2"/>
      <c r="E340" s="2"/>
      <c r="F340" s="2"/>
      <c r="G340" s="2"/>
      <c r="H340" s="2"/>
      <c r="I340" s="2"/>
    </row>
    <row r="341" spans="1:15" x14ac:dyDescent="0.25">
      <c r="A341" s="104">
        <v>2</v>
      </c>
      <c r="B341" s="2" t="s">
        <v>1586</v>
      </c>
      <c r="C341" s="36" t="s">
        <v>1296</v>
      </c>
      <c r="D341" s="2"/>
      <c r="G341" s="2" t="s">
        <v>1696</v>
      </c>
      <c r="H341" s="3" t="s">
        <v>961</v>
      </c>
      <c r="I341" s="2"/>
    </row>
    <row r="342" spans="1:15" x14ac:dyDescent="0.25">
      <c r="B342" s="1" t="s">
        <v>1585</v>
      </c>
      <c r="C342" s="36" t="s">
        <v>907</v>
      </c>
      <c r="D342" s="2"/>
      <c r="E342" s="2"/>
      <c r="F342" s="2"/>
      <c r="G342" s="2"/>
      <c r="H342" s="2"/>
      <c r="I342" s="2"/>
    </row>
    <row r="343" spans="1:15" ht="15.75" thickBot="1" x14ac:dyDescent="0.3">
      <c r="D343" s="2"/>
      <c r="E343" s="2"/>
      <c r="F343" s="2"/>
      <c r="G343" s="2"/>
      <c r="H343" s="2"/>
      <c r="I343" s="2"/>
    </row>
    <row r="344" spans="1:15" ht="15.75" thickBot="1" x14ac:dyDescent="0.3">
      <c r="B344" s="43" t="s">
        <v>1695</v>
      </c>
      <c r="C344" s="44"/>
      <c r="D344" s="44"/>
      <c r="E344" s="44"/>
      <c r="F344" s="44"/>
      <c r="G344" s="44"/>
      <c r="H344" s="45"/>
      <c r="I344" s="2"/>
    </row>
    <row r="345" spans="1:15" ht="25.5" x14ac:dyDescent="0.25">
      <c r="B345" s="46" t="s">
        <v>1409</v>
      </c>
      <c r="C345" s="47"/>
      <c r="D345" s="48" t="s">
        <v>1690</v>
      </c>
      <c r="E345" s="48" t="s">
        <v>1694</v>
      </c>
      <c r="F345" s="48" t="s">
        <v>1693</v>
      </c>
      <c r="G345" s="49" t="s">
        <v>1687</v>
      </c>
      <c r="H345" s="50" t="s">
        <v>1686</v>
      </c>
      <c r="I345" s="2"/>
    </row>
    <row r="346" spans="1:15" x14ac:dyDescent="0.25">
      <c r="A346" s="103">
        <v>19015</v>
      </c>
      <c r="B346" s="51" t="str">
        <f>IF($A346=0,"",VLOOKUP($A346,'BASE EQUIPO'!$A:$D,2))</f>
        <v>HERRAMIENTA MENOR</v>
      </c>
      <c r="C346" s="52"/>
      <c r="D346" s="53">
        <v>1</v>
      </c>
      <c r="E346" s="53">
        <f>IF($A346=0,"",VLOOKUP($A346,'BASE EQUIPO'!$A:$D,4)*H362)</f>
        <v>1.3022999999999998</v>
      </c>
      <c r="F346" s="53">
        <f t="shared" ref="F346:F351" si="30">IF($A346=0,"",ROUND(D346*E346,2))</f>
        <v>1.3</v>
      </c>
      <c r="G346" s="105">
        <v>1</v>
      </c>
      <c r="H346" s="54">
        <f t="shared" ref="H346:H351" si="31">IF($A346=0,"",ROUND(G346*F346,2))</f>
        <v>1.3</v>
      </c>
      <c r="I346" s="2"/>
    </row>
    <row r="347" spans="1:15" x14ac:dyDescent="0.25">
      <c r="A347" s="103">
        <v>19011</v>
      </c>
      <c r="B347" s="38" t="str">
        <f>IF($A347=0,"",VLOOKUP($A347,'BASE EQUIPO'!$A:$D,2))</f>
        <v>SOLDADORA</v>
      </c>
      <c r="C347" s="2"/>
      <c r="D347" s="53">
        <v>1</v>
      </c>
      <c r="E347" s="55">
        <f>IF($A347=0,"",VLOOKUP($A347,'BASE EQUIPO'!$A:$D,4))</f>
        <v>2.5</v>
      </c>
      <c r="F347" s="55">
        <f t="shared" si="30"/>
        <v>2.5</v>
      </c>
      <c r="G347" s="106">
        <v>2</v>
      </c>
      <c r="H347" s="56">
        <f t="shared" si="31"/>
        <v>5</v>
      </c>
      <c r="I347" s="2"/>
    </row>
    <row r="348" spans="1:15" x14ac:dyDescent="0.25">
      <c r="A348" s="103">
        <v>19023</v>
      </c>
      <c r="B348" s="38" t="str">
        <f>IF($A348=0,"",VLOOKUP($A348,'BASE EQUIPO'!$A:$D,2))</f>
        <v>COMPRESOR Y PISTOLA</v>
      </c>
      <c r="C348" s="2"/>
      <c r="D348" s="53">
        <v>1</v>
      </c>
      <c r="E348" s="55">
        <f>IF($A348=0,"",VLOOKUP($A348,'BASE EQUIPO'!$A:$D,4))</f>
        <v>1.875</v>
      </c>
      <c r="F348" s="55">
        <f t="shared" si="30"/>
        <v>1.88</v>
      </c>
      <c r="G348" s="106">
        <f>+G347</f>
        <v>2</v>
      </c>
      <c r="H348" s="56">
        <f t="shared" si="31"/>
        <v>3.76</v>
      </c>
      <c r="I348" s="2"/>
    </row>
    <row r="349" spans="1:15" x14ac:dyDescent="0.25">
      <c r="B349" s="38" t="str">
        <f>IF($A349=0,"",VLOOKUP($A349,'BASE EQUIPO'!$A:$D,2))</f>
        <v/>
      </c>
      <c r="C349" s="2"/>
      <c r="D349" s="55"/>
      <c r="E349" s="55" t="str">
        <f>IF($A349=0,"",VLOOKUP($A349,'BASE EQUIPO'!$A:$D,4))</f>
        <v/>
      </c>
      <c r="F349" s="55" t="str">
        <f t="shared" si="30"/>
        <v/>
      </c>
      <c r="G349" s="106"/>
      <c r="H349" s="56" t="str">
        <f t="shared" si="31"/>
        <v/>
      </c>
      <c r="I349" s="2"/>
    </row>
    <row r="350" spans="1:15" x14ac:dyDescent="0.25">
      <c r="B350" s="38" t="str">
        <f>IF($A350=0,"",VLOOKUP($A350,'BASE EQUIPO'!$A:$D,2))</f>
        <v/>
      </c>
      <c r="C350" s="2"/>
      <c r="D350" s="55"/>
      <c r="E350" s="55" t="str">
        <f>IF($A350=0,"",VLOOKUP($A350,'BASE EQUIPO'!$A:$D,4))</f>
        <v/>
      </c>
      <c r="F350" s="55" t="str">
        <f t="shared" si="30"/>
        <v/>
      </c>
      <c r="G350" s="106"/>
      <c r="H350" s="56" t="str">
        <f t="shared" si="31"/>
        <v/>
      </c>
      <c r="I350" s="2"/>
    </row>
    <row r="351" spans="1:15" x14ac:dyDescent="0.25">
      <c r="B351" s="57" t="str">
        <f>IF($A351=0,"",VLOOKUP($A351,'BASE EQUIPO'!$A:$D,2))</f>
        <v/>
      </c>
      <c r="C351" s="58"/>
      <c r="D351" s="59"/>
      <c r="E351" s="59" t="str">
        <f>IF($A351=0,"",VLOOKUP($A351,'BASE EQUIPO'!$A:$D,4))</f>
        <v/>
      </c>
      <c r="F351" s="59" t="str">
        <f t="shared" si="30"/>
        <v/>
      </c>
      <c r="G351" s="107"/>
      <c r="H351" s="60" t="str">
        <f t="shared" si="31"/>
        <v/>
      </c>
      <c r="I351" s="2"/>
    </row>
    <row r="352" spans="1:15" x14ac:dyDescent="0.25">
      <c r="B352" s="57" t="s">
        <v>1692</v>
      </c>
      <c r="C352" s="58"/>
      <c r="D352" s="61"/>
      <c r="E352" s="61"/>
      <c r="F352" s="61"/>
      <c r="G352" s="62"/>
      <c r="H352" s="60">
        <f>ROUND(SUM(H345:H351),2)</f>
        <v>10.06</v>
      </c>
      <c r="I352" s="2"/>
    </row>
    <row r="353" spans="1:16" x14ac:dyDescent="0.25">
      <c r="B353" s="38" t="s">
        <v>1503</v>
      </c>
      <c r="C353" s="2"/>
      <c r="D353" s="3"/>
      <c r="E353" s="3"/>
      <c r="F353" s="3"/>
      <c r="G353" s="63"/>
      <c r="H353" s="56"/>
      <c r="I353" s="2"/>
    </row>
    <row r="354" spans="1:16" ht="25.5" x14ac:dyDescent="0.25">
      <c r="B354" s="64" t="s">
        <v>1691</v>
      </c>
      <c r="C354" s="65"/>
      <c r="D354" s="66" t="s">
        <v>1690</v>
      </c>
      <c r="E354" s="66" t="s">
        <v>1689</v>
      </c>
      <c r="F354" s="66" t="s">
        <v>1688</v>
      </c>
      <c r="G354" s="67" t="s">
        <v>1687</v>
      </c>
      <c r="H354" s="68" t="s">
        <v>1686</v>
      </c>
      <c r="I354" s="2"/>
    </row>
    <row r="355" spans="1:16" x14ac:dyDescent="0.25">
      <c r="B355" s="69" t="str">
        <f>IF($A355=0,"",VLOOKUP($A355,'BASE M-OBRA'!$A:$D,2))</f>
        <v/>
      </c>
      <c r="C355" s="2"/>
      <c r="D355" s="108"/>
      <c r="E355" s="70" t="str">
        <f>IF($A355=0,"",VLOOKUP($A355,'BASE M-OBRA'!$A:$D,4))</f>
        <v/>
      </c>
      <c r="F355" s="55" t="str">
        <f t="shared" ref="F355:F361" si="32">IF($A355=0,"",ROUND(D355*E355,2))</f>
        <v/>
      </c>
      <c r="G355" s="106" t="str">
        <f>IF($A355=0,"",ROUND(H355/F355,2))</f>
        <v/>
      </c>
      <c r="H355" s="56" t="str">
        <f>IF($A355=0,"",ROUND(SUM(H356:H361)*'BASE M-OBRA'!$D$23,2))</f>
        <v/>
      </c>
      <c r="I355" s="2"/>
    </row>
    <row r="356" spans="1:16" x14ac:dyDescent="0.25">
      <c r="A356" s="103">
        <v>20006</v>
      </c>
      <c r="B356" s="69" t="str">
        <f>IF($A356=0,"",VLOOKUP($A356,'BASE M-OBRA'!$A:$D,2))</f>
        <v>MAESTRO  SOLDADOR</v>
      </c>
      <c r="C356" s="2"/>
      <c r="D356" s="108">
        <v>2</v>
      </c>
      <c r="E356" s="70">
        <f>IF($A356=0,"",VLOOKUP($A356,'BASE M-OBRA'!$A:$D,4))</f>
        <v>3.02</v>
      </c>
      <c r="F356" s="55">
        <f t="shared" si="32"/>
        <v>6.04</v>
      </c>
      <c r="G356" s="106">
        <v>3</v>
      </c>
      <c r="H356" s="56">
        <f t="shared" ref="H356:H361" si="33">IF($A356=0,"",ROUND(G356*F356,2))</f>
        <v>18.12</v>
      </c>
      <c r="I356" s="2"/>
      <c r="K356" s="1">
        <f>320/8</f>
        <v>40</v>
      </c>
    </row>
    <row r="357" spans="1:16" x14ac:dyDescent="0.25">
      <c r="A357" s="103">
        <v>20011</v>
      </c>
      <c r="B357" s="69" t="str">
        <f>IF($A357=0,"",VLOOKUP($A357,'BASE M-OBRA'!$A:$D,2))</f>
        <v>AYUDANTE ESPECIALISTA</v>
      </c>
      <c r="C357" s="2"/>
      <c r="D357" s="108">
        <v>1</v>
      </c>
      <c r="E357" s="70">
        <f>IF($A357=0,"",VLOOKUP($A357,'BASE M-OBRA'!$A:$D,4))</f>
        <v>2.79</v>
      </c>
      <c r="F357" s="55">
        <f t="shared" si="32"/>
        <v>2.79</v>
      </c>
      <c r="G357" s="106">
        <f>+G356</f>
        <v>3</v>
      </c>
      <c r="H357" s="56">
        <f t="shared" si="33"/>
        <v>8.3699999999999992</v>
      </c>
      <c r="I357" s="2"/>
    </row>
    <row r="358" spans="1:16" x14ac:dyDescent="0.25">
      <c r="A358" s="103">
        <v>20018</v>
      </c>
      <c r="B358" s="71" t="str">
        <f>IF($A358=0,"",VLOOKUP($A358,'BASE M-OBRA'!$A:$D,2))</f>
        <v>PINTOR</v>
      </c>
      <c r="C358" s="2"/>
      <c r="D358" s="108">
        <v>2</v>
      </c>
      <c r="E358" s="70">
        <f>IF($A358=0,"",VLOOKUP($A358,'BASE M-OBRA'!$A:$D,4))</f>
        <v>2.82</v>
      </c>
      <c r="F358" s="55">
        <f t="shared" si="32"/>
        <v>5.64</v>
      </c>
      <c r="G358" s="106">
        <f>+G357</f>
        <v>3</v>
      </c>
      <c r="H358" s="56">
        <f t="shared" si="33"/>
        <v>16.920000000000002</v>
      </c>
      <c r="I358" s="2"/>
      <c r="J358" s="1">
        <f>0.25*30000</f>
        <v>7500</v>
      </c>
    </row>
    <row r="359" spans="1:16" x14ac:dyDescent="0.25">
      <c r="B359" s="72" t="str">
        <f>IF($A359=0,"",VLOOKUP($A359,'BASE M-OBRA'!$A:$D,2))</f>
        <v/>
      </c>
      <c r="C359" s="2"/>
      <c r="D359" s="108"/>
      <c r="E359" s="70" t="str">
        <f>IF($A359=0,"",VLOOKUP($A359,'BASE M-OBRA'!$A:$D,4))</f>
        <v/>
      </c>
      <c r="F359" s="55" t="str">
        <f t="shared" si="32"/>
        <v/>
      </c>
      <c r="G359" s="106"/>
      <c r="H359" s="56" t="str">
        <f t="shared" si="33"/>
        <v/>
      </c>
      <c r="I359" s="2"/>
    </row>
    <row r="360" spans="1:16" x14ac:dyDescent="0.25">
      <c r="B360" s="38" t="str">
        <f>IF($A360=0,"",VLOOKUP($A360,'BASE M-OBRA'!$A:$D,2))</f>
        <v/>
      </c>
      <c r="C360" s="2"/>
      <c r="D360" s="55"/>
      <c r="E360" s="55" t="str">
        <f>IF($A360=0,"",VLOOKUP($A360,'BASE M-OBRA'!$A:$D,4))</f>
        <v/>
      </c>
      <c r="F360" s="55" t="str">
        <f t="shared" si="32"/>
        <v/>
      </c>
      <c r="G360" s="106"/>
      <c r="H360" s="56" t="str">
        <f t="shared" si="33"/>
        <v/>
      </c>
      <c r="I360" s="2"/>
    </row>
    <row r="361" spans="1:16" x14ac:dyDescent="0.25">
      <c r="B361" s="57" t="str">
        <f>IF($A361=0,"",VLOOKUP($A361,'BASE M-OBRA'!$A:$D,2))</f>
        <v/>
      </c>
      <c r="C361" s="58"/>
      <c r="D361" s="59"/>
      <c r="E361" s="59" t="str">
        <f>IF($A361=0,"",VLOOKUP($A361,'BASE M-OBRA'!$A:$D,4))</f>
        <v/>
      </c>
      <c r="F361" s="59" t="str">
        <f t="shared" si="32"/>
        <v/>
      </c>
      <c r="G361" s="107"/>
      <c r="H361" s="60" t="str">
        <f t="shared" si="33"/>
        <v/>
      </c>
      <c r="I361" s="2"/>
    </row>
    <row r="362" spans="1:16" x14ac:dyDescent="0.25">
      <c r="B362" s="73" t="s">
        <v>1685</v>
      </c>
      <c r="C362" s="65"/>
      <c r="D362" s="74"/>
      <c r="E362" s="74"/>
      <c r="F362" s="74"/>
      <c r="G362" s="74"/>
      <c r="H362" s="75">
        <f>ROUND(SUM(H354:H361),2)</f>
        <v>43.41</v>
      </c>
      <c r="I362" s="2"/>
      <c r="J362" s="1">
        <f>13200*0.3</f>
        <v>3960</v>
      </c>
    </row>
    <row r="363" spans="1:16" x14ac:dyDescent="0.25">
      <c r="B363" s="38" t="s">
        <v>1684</v>
      </c>
      <c r="C363" s="2"/>
      <c r="D363" s="3"/>
      <c r="E363" s="3"/>
      <c r="F363" s="3"/>
      <c r="G363" s="3"/>
      <c r="H363" s="56"/>
      <c r="I363" s="2"/>
    </row>
    <row r="364" spans="1:16" ht="25.5" x14ac:dyDescent="0.25">
      <c r="B364" s="64" t="s">
        <v>1409</v>
      </c>
      <c r="C364" s="65"/>
      <c r="D364" s="76"/>
      <c r="E364" s="66" t="s">
        <v>1408</v>
      </c>
      <c r="F364" s="66" t="s">
        <v>1679</v>
      </c>
      <c r="G364" s="66" t="s">
        <v>1683</v>
      </c>
      <c r="H364" s="68" t="s">
        <v>1675</v>
      </c>
      <c r="I364" s="2"/>
    </row>
    <row r="365" spans="1:16" x14ac:dyDescent="0.25">
      <c r="A365" s="103">
        <v>14002</v>
      </c>
      <c r="B365" s="38" t="str">
        <f>IF($A365=0,"",VLOOKUP($A365,'BASE MATERIAL'!$A:$D,2))</f>
        <v>SOLDADURA aga 60/11</v>
      </c>
      <c r="C365" s="2"/>
      <c r="D365" s="77"/>
      <c r="E365" s="78" t="str">
        <f>IF($A365=0,"",VLOOKUP($A365,'BASE MATERIAL'!$A:$D,3))</f>
        <v>KG</v>
      </c>
      <c r="F365" s="113">
        <f>ROUND(0.044*J365,4)</f>
        <v>0.38679999999999998</v>
      </c>
      <c r="G365" s="55">
        <f>IF($A365=0,"",VLOOKUP($A365,'BASE MATERIAL'!$A:$D,4))</f>
        <v>3.65</v>
      </c>
      <c r="H365" s="56">
        <f t="shared" ref="H365:H379" si="34">IF($A365=0,"",ROUND(F365*G365,2))</f>
        <v>1.41</v>
      </c>
      <c r="I365" s="2"/>
      <c r="J365" s="1">
        <f>SUM(J367:J369)</f>
        <v>8.7919999999999998</v>
      </c>
      <c r="K365" s="1" t="s">
        <v>225</v>
      </c>
      <c r="L365" s="2"/>
      <c r="M365" s="2"/>
      <c r="N365" s="39"/>
      <c r="O365" s="2"/>
      <c r="P365" s="2"/>
    </row>
    <row r="366" spans="1:16" x14ac:dyDescent="0.25">
      <c r="B366" s="38" t="str">
        <f>IF($A366=0,"",VLOOKUP($A366,'BASE MATERIAL'!$A:$D,2))</f>
        <v/>
      </c>
      <c r="C366" s="2"/>
      <c r="D366" s="77"/>
      <c r="E366" s="78" t="str">
        <f>IF($A366=0,"",VLOOKUP($A366,'BASE MATERIAL'!$A:$D,3))</f>
        <v/>
      </c>
      <c r="F366" s="113"/>
      <c r="G366" s="55" t="str">
        <f>IF($A366=0,"",VLOOKUP($A366,'BASE MATERIAL'!$A:$D,4))</f>
        <v/>
      </c>
      <c r="H366" s="56" t="str">
        <f t="shared" si="34"/>
        <v/>
      </c>
      <c r="I366" s="2"/>
      <c r="L366" s="2"/>
      <c r="M366" s="2"/>
      <c r="N366" s="39"/>
      <c r="O366" s="2"/>
      <c r="P366" s="2"/>
    </row>
    <row r="367" spans="1:16" x14ac:dyDescent="0.25">
      <c r="A367" s="103">
        <v>13016</v>
      </c>
      <c r="B367" s="38" t="str">
        <f>IF($A367=0,"",VLOOKUP($A367,'BASE MATERIAL'!$A:$D,2))</f>
        <v>PINTURA ANTICORROSIVA</v>
      </c>
      <c r="C367" s="2"/>
      <c r="D367" s="77"/>
      <c r="E367" s="78" t="str">
        <f>IF($A367=0,"",VLOOKUP($A367,'BASE MATERIAL'!$A:$D,3))</f>
        <v>GL</v>
      </c>
      <c r="F367" s="113">
        <f>ROUND(0.6*0.08*1.5*2,4)</f>
        <v>0.14399999999999999</v>
      </c>
      <c r="G367" s="55">
        <f>IF($A367=0,"",VLOOKUP($A367,'BASE MATERIAL'!$A:$D,4))</f>
        <v>16</v>
      </c>
      <c r="H367" s="56">
        <f t="shared" si="34"/>
        <v>2.2999999999999998</v>
      </c>
      <c r="I367" s="2"/>
      <c r="J367" s="79">
        <f>7.85*2*0.12*3</f>
        <v>5.6519999999999992</v>
      </c>
      <c r="K367" s="1" t="s">
        <v>842</v>
      </c>
      <c r="L367" s="2"/>
      <c r="M367" s="2"/>
      <c r="N367" s="39"/>
      <c r="O367" s="2"/>
      <c r="P367" s="2"/>
    </row>
    <row r="368" spans="1:16" x14ac:dyDescent="0.25">
      <c r="A368" s="103">
        <v>13017</v>
      </c>
      <c r="B368" s="38" t="str">
        <f>IF($A368=0,"",VLOOKUP($A368,'BASE MATERIAL'!$A:$D,2))</f>
        <v>PINTURA ACABADO METALICO</v>
      </c>
      <c r="C368" s="2"/>
      <c r="D368" s="77"/>
      <c r="E368" s="78" t="str">
        <f>IF($A368=0,"",VLOOKUP($A368,'BASE MATERIAL'!$A:$D,3))</f>
        <v>GL</v>
      </c>
      <c r="F368" s="113">
        <f>ROUND(0.6*0.08*1.5*3,4)</f>
        <v>0.216</v>
      </c>
      <c r="G368" s="55">
        <f>IF($A368=0,"",VLOOKUP($A368,'BASE MATERIAL'!$A:$D,4))</f>
        <v>17</v>
      </c>
      <c r="H368" s="56">
        <f t="shared" si="34"/>
        <v>3.67</v>
      </c>
      <c r="I368" s="2"/>
      <c r="K368" s="1" t="s">
        <v>223</v>
      </c>
      <c r="L368" s="2"/>
      <c r="M368" s="2"/>
      <c r="N368" s="39"/>
      <c r="O368" s="2"/>
      <c r="P368" s="2"/>
    </row>
    <row r="369" spans="1:16" x14ac:dyDescent="0.25">
      <c r="A369" s="103">
        <v>13010</v>
      </c>
      <c r="B369" s="38" t="str">
        <f>IF($A369=0,"",VLOOKUP($A369,'BASE MATERIAL'!$A:$D,2))</f>
        <v>DILUYENTE</v>
      </c>
      <c r="C369" s="2"/>
      <c r="D369" s="77"/>
      <c r="E369" s="78" t="str">
        <f>IF($A369=0,"",VLOOKUP($A369,'BASE MATERIAL'!$A:$D,3))</f>
        <v>GL</v>
      </c>
      <c r="F369" s="113">
        <f>ROUND(0.25*(F367),4)</f>
        <v>3.5999999999999997E-2</v>
      </c>
      <c r="G369" s="55">
        <f>IF($A369=0,"",VLOOKUP($A369,'BASE MATERIAL'!$A:$D,4))</f>
        <v>6</v>
      </c>
      <c r="H369" s="56">
        <f t="shared" si="34"/>
        <v>0.22</v>
      </c>
      <c r="I369" s="2"/>
      <c r="J369" s="79">
        <f>7.85*2*0.1*2</f>
        <v>3.14</v>
      </c>
      <c r="K369" s="1" t="s">
        <v>224</v>
      </c>
      <c r="L369" s="2"/>
      <c r="M369" s="2"/>
      <c r="N369" s="39"/>
      <c r="O369" s="2"/>
      <c r="P369" s="2"/>
    </row>
    <row r="370" spans="1:16" x14ac:dyDescent="0.25">
      <c r="A370" s="103">
        <v>13011</v>
      </c>
      <c r="B370" s="38" t="str">
        <f>IF($A370=0,"",VLOOKUP($A370,'BASE MATERIAL'!$A:$D,2))</f>
        <v>DESOXIDANTE</v>
      </c>
      <c r="C370" s="2"/>
      <c r="D370" s="77"/>
      <c r="E370" s="78" t="str">
        <f>IF($A370=0,"",VLOOKUP($A370,'BASE MATERIAL'!$A:$D,3))</f>
        <v>GL</v>
      </c>
      <c r="F370" s="113">
        <f>ROUND(0.005*2*(J365),4)</f>
        <v>8.7900000000000006E-2</v>
      </c>
      <c r="G370" s="55">
        <f>IF($A370=0,"",VLOOKUP($A370,'BASE MATERIAL'!$A:$D,4))</f>
        <v>12</v>
      </c>
      <c r="H370" s="56">
        <f t="shared" si="34"/>
        <v>1.05</v>
      </c>
      <c r="I370" s="2"/>
      <c r="J370" s="79"/>
      <c r="L370" s="2"/>
      <c r="M370" s="2"/>
      <c r="N370" s="39"/>
      <c r="O370" s="2"/>
      <c r="P370" s="2"/>
    </row>
    <row r="371" spans="1:16" x14ac:dyDescent="0.25">
      <c r="B371" s="38" t="str">
        <f>IF($A371=0,"",VLOOKUP($A371,'BASE MATERIAL'!$A:$D,2))</f>
        <v/>
      </c>
      <c r="C371" s="2"/>
      <c r="D371" s="77"/>
      <c r="E371" s="78" t="str">
        <f>IF($A371=0,"",VLOOKUP($A371,'BASE MATERIAL'!$A:$D,3))</f>
        <v/>
      </c>
      <c r="F371" s="55"/>
      <c r="G371" s="55" t="str">
        <f>IF($A371=0,"",VLOOKUP($A371,'BASE MATERIAL'!$A:$D,4))</f>
        <v/>
      </c>
      <c r="H371" s="56" t="str">
        <f t="shared" si="34"/>
        <v/>
      </c>
      <c r="I371" s="2"/>
      <c r="L371" s="2"/>
      <c r="M371" s="2"/>
      <c r="N371" s="39"/>
      <c r="O371" s="2"/>
      <c r="P371" s="2"/>
    </row>
    <row r="372" spans="1:16" x14ac:dyDescent="0.25">
      <c r="A372" s="103">
        <v>1</v>
      </c>
      <c r="B372" s="38" t="s">
        <v>911</v>
      </c>
      <c r="C372" s="2"/>
      <c r="D372" s="77"/>
      <c r="E372" s="78" t="s">
        <v>961</v>
      </c>
      <c r="F372" s="55">
        <f>0.6*2/0.9</f>
        <v>1.3333333333333333</v>
      </c>
      <c r="G372" s="55">
        <f>3.77*1.1</f>
        <v>4.1470000000000002</v>
      </c>
      <c r="H372" s="56">
        <f t="shared" si="34"/>
        <v>5.53</v>
      </c>
      <c r="I372" s="2"/>
      <c r="J372" s="79">
        <f>7.85*2*0.12*1.2</f>
        <v>2.2607999999999997</v>
      </c>
      <c r="K372" s="1">
        <f>3.1416*0.0254*1.5</f>
        <v>0.11969496</v>
      </c>
      <c r="L372" s="2">
        <f>7.85*0.6*0.1*8</f>
        <v>3.7680000000000002</v>
      </c>
      <c r="M372" s="2"/>
      <c r="N372" s="39"/>
      <c r="O372" s="2"/>
      <c r="P372" s="2"/>
    </row>
    <row r="373" spans="1:16" x14ac:dyDescent="0.25">
      <c r="B373" s="38"/>
      <c r="C373" s="2"/>
      <c r="D373" s="77"/>
      <c r="E373" s="78"/>
      <c r="F373" s="55"/>
      <c r="G373" s="55"/>
      <c r="H373" s="56" t="str">
        <f t="shared" si="34"/>
        <v/>
      </c>
      <c r="I373" s="2"/>
      <c r="J373" s="79">
        <f>7.85*2*0.1*1.2</f>
        <v>1.8839999999999999</v>
      </c>
      <c r="K373" s="1">
        <f>0.0254*1.25*3.1416</f>
        <v>9.9745799999999996E-2</v>
      </c>
    </row>
    <row r="374" spans="1:16" x14ac:dyDescent="0.25">
      <c r="A374" s="103">
        <v>1</v>
      </c>
      <c r="B374" s="38" t="s">
        <v>1678</v>
      </c>
      <c r="C374" s="2"/>
      <c r="D374" s="77"/>
      <c r="E374" s="78" t="s">
        <v>1506</v>
      </c>
      <c r="F374" s="55">
        <v>4</v>
      </c>
      <c r="G374" s="55">
        <v>0.7</v>
      </c>
      <c r="H374" s="56">
        <f t="shared" si="34"/>
        <v>2.8</v>
      </c>
      <c r="I374" s="2"/>
      <c r="L374" s="2"/>
      <c r="M374" s="2"/>
      <c r="N374" s="39"/>
      <c r="O374" s="2"/>
      <c r="P374" s="2"/>
    </row>
    <row r="375" spans="1:16" x14ac:dyDescent="0.25">
      <c r="A375" s="103">
        <v>1</v>
      </c>
      <c r="B375" s="38" t="s">
        <v>912</v>
      </c>
      <c r="C375" s="2"/>
      <c r="D375" s="77"/>
      <c r="E375" s="78" t="s">
        <v>1506</v>
      </c>
      <c r="F375" s="55">
        <v>1</v>
      </c>
      <c r="G375" s="55">
        <v>6</v>
      </c>
      <c r="H375" s="56">
        <f t="shared" si="34"/>
        <v>6</v>
      </c>
      <c r="I375" s="2"/>
      <c r="J375" s="79">
        <f>0.13*3</f>
        <v>0.39</v>
      </c>
      <c r="K375" s="1">
        <f>7.85*0.1*0.2*12</f>
        <v>1.8840000000000003</v>
      </c>
      <c r="L375" s="2">
        <f>+K375*1.1</f>
        <v>2.0724000000000005</v>
      </c>
      <c r="M375" s="2"/>
      <c r="N375" s="39"/>
      <c r="O375" s="2"/>
      <c r="P375" s="2"/>
    </row>
    <row r="376" spans="1:16" x14ac:dyDescent="0.25">
      <c r="A376" s="103">
        <v>1</v>
      </c>
      <c r="B376" s="38" t="s">
        <v>909</v>
      </c>
      <c r="C376" s="2"/>
      <c r="D376" s="77"/>
      <c r="E376" s="78" t="s">
        <v>961</v>
      </c>
      <c r="F376" s="55">
        <v>1</v>
      </c>
      <c r="G376" s="55">
        <v>30</v>
      </c>
      <c r="H376" s="56">
        <f t="shared" si="34"/>
        <v>30</v>
      </c>
      <c r="I376" s="2"/>
      <c r="J376" s="79">
        <f>0.1*2</f>
        <v>0.2</v>
      </c>
    </row>
    <row r="377" spans="1:16" x14ac:dyDescent="0.25">
      <c r="A377" s="103">
        <v>1</v>
      </c>
      <c r="B377" s="38" t="s">
        <v>910</v>
      </c>
      <c r="C377" s="2"/>
      <c r="D377" s="77"/>
      <c r="E377" s="78" t="s">
        <v>961</v>
      </c>
      <c r="F377" s="55">
        <v>1</v>
      </c>
      <c r="G377" s="55">
        <v>15</v>
      </c>
      <c r="H377" s="56">
        <f t="shared" si="34"/>
        <v>15</v>
      </c>
      <c r="I377" s="2"/>
      <c r="J377" s="79">
        <f>SUM(J375:J376)</f>
        <v>0.59000000000000008</v>
      </c>
    </row>
    <row r="378" spans="1:16" x14ac:dyDescent="0.25">
      <c r="B378" s="38" t="str">
        <f>IF($A378=0,"",VLOOKUP($A378,'BASE MATERIAL'!$A:$D,2))</f>
        <v/>
      </c>
      <c r="C378" s="2"/>
      <c r="D378" s="77"/>
      <c r="E378" s="78" t="str">
        <f>IF($A378=0,"",VLOOKUP($A378,'BASE MATERIAL'!$A:$D,3))</f>
        <v/>
      </c>
      <c r="F378" s="55"/>
      <c r="G378" s="55" t="str">
        <f>IF($A378=0,"",VLOOKUP($A378,'BASE MATERIAL'!$A:$D,4))</f>
        <v/>
      </c>
      <c r="H378" s="56" t="str">
        <f t="shared" si="34"/>
        <v/>
      </c>
      <c r="I378" s="2"/>
    </row>
    <row r="379" spans="1:16" x14ac:dyDescent="0.25">
      <c r="B379" s="38" t="str">
        <f>IF($A379=0,"",VLOOKUP($A379,'BASE MATERIAL'!$A:$D,2))</f>
        <v/>
      </c>
      <c r="C379" s="2"/>
      <c r="D379" s="77"/>
      <c r="E379" s="78" t="str">
        <f>IF($A379=0,"",VLOOKUP($A379,'BASE MATERIAL'!$A:$D,3))</f>
        <v/>
      </c>
      <c r="F379" s="55"/>
      <c r="G379" s="55" t="str">
        <f>IF($A379=0,"",VLOOKUP($A379,'BASE MATERIAL'!$A:$D,4))</f>
        <v/>
      </c>
      <c r="H379" s="56" t="str">
        <f t="shared" si="34"/>
        <v/>
      </c>
      <c r="I379" s="2"/>
    </row>
    <row r="380" spans="1:16" x14ac:dyDescent="0.25">
      <c r="B380" s="38" t="str">
        <f>IF($A380=0,"",VLOOKUP($A380,'BASE MATERIAL'!$A:$D,2))</f>
        <v/>
      </c>
      <c r="C380" s="2"/>
      <c r="D380" s="81" t="s">
        <v>1682</v>
      </c>
      <c r="E380" s="55" t="str">
        <f>IF($A380=0,"",VLOOKUP($A380,'BASE MATERIAL'!$A:$D,3))</f>
        <v/>
      </c>
      <c r="F380" s="55" t="s">
        <v>1682</v>
      </c>
      <c r="G380" s="55" t="str">
        <f>IF($A380=0,"",VLOOKUP($A380,'BASE MATERIAL'!$A:$D,4))</f>
        <v/>
      </c>
      <c r="H380" s="56" t="str">
        <f>IF($A380=0,"",ROUND(E380*F380,2))</f>
        <v/>
      </c>
      <c r="I380" s="2"/>
    </row>
    <row r="381" spans="1:16" x14ac:dyDescent="0.25">
      <c r="B381" s="73" t="s">
        <v>1681</v>
      </c>
      <c r="C381" s="65"/>
      <c r="D381" s="74"/>
      <c r="E381" s="74"/>
      <c r="F381" s="74"/>
      <c r="G381" s="74"/>
      <c r="H381" s="75">
        <f>ROUND(SUM(H364:H380),2)</f>
        <v>67.98</v>
      </c>
      <c r="I381" s="2"/>
    </row>
    <row r="382" spans="1:16" x14ac:dyDescent="0.25">
      <c r="B382" s="38" t="s">
        <v>1680</v>
      </c>
      <c r="C382" s="2"/>
      <c r="D382" s="3"/>
      <c r="E382" s="3"/>
      <c r="F382" s="3"/>
      <c r="G382" s="3"/>
      <c r="H382" s="56"/>
      <c r="I382" s="2"/>
    </row>
    <row r="383" spans="1:16" ht="25.5" x14ac:dyDescent="0.25">
      <c r="B383" s="64" t="s">
        <v>1409</v>
      </c>
      <c r="C383" s="65"/>
      <c r="D383" s="76"/>
      <c r="E383" s="66" t="s">
        <v>1408</v>
      </c>
      <c r="F383" s="66" t="s">
        <v>1679</v>
      </c>
      <c r="G383" s="66" t="s">
        <v>1676</v>
      </c>
      <c r="H383" s="68" t="s">
        <v>1675</v>
      </c>
      <c r="I383" s="2"/>
    </row>
    <row r="384" spans="1:16" x14ac:dyDescent="0.25">
      <c r="A384" s="103">
        <v>19019</v>
      </c>
      <c r="B384" s="51" t="str">
        <f>IF($A384=0,"",VLOOKUP($A384,'BASE EQUIPO'!$A:$D,2))</f>
        <v>TRANSPORTE DE MATERIAL</v>
      </c>
      <c r="C384" s="52"/>
      <c r="D384" s="82"/>
      <c r="E384" s="78" t="str">
        <f>IF($A384=0,"",VLOOKUP($A384,'BASE EQUIPO'!$A:$D,3))</f>
        <v>GLOBAL</v>
      </c>
      <c r="F384" s="55">
        <v>1</v>
      </c>
      <c r="G384" s="83">
        <f>IF($A384=0,"",VLOOKUP($A384,'BASE EQUIPO'!$A:$D,4)*H381)</f>
        <v>2.0394000000000001</v>
      </c>
      <c r="H384" s="56">
        <f>IF($A384=0,"",ROUND(F384*G384,2))</f>
        <v>2.04</v>
      </c>
      <c r="I384" s="2"/>
    </row>
    <row r="385" spans="1:15" x14ac:dyDescent="0.25">
      <c r="B385" s="38" t="str">
        <f>IF($A385=0,"",VLOOKUP($A385,'BASE EQUIPO'!$A:$D,2))</f>
        <v/>
      </c>
      <c r="C385" s="2"/>
      <c r="D385" s="84"/>
      <c r="E385" s="78" t="str">
        <f>IF($A385=0,"",VLOOKUP($A385,'BASE EQUIPO'!$A:$D,3))</f>
        <v/>
      </c>
      <c r="F385" s="55"/>
      <c r="G385" s="55" t="str">
        <f>IF($A385=0,"",VLOOKUP($A385,'BASE EQUIPO'!$A:$D,4)*H382)</f>
        <v/>
      </c>
      <c r="H385" s="56" t="str">
        <f>IF($A385=0,"",ROUND(F385*G385,2))</f>
        <v/>
      </c>
      <c r="I385" s="2"/>
    </row>
    <row r="386" spans="1:15" x14ac:dyDescent="0.25">
      <c r="B386" s="57" t="str">
        <f>IF($A386=0,"",VLOOKUP($A386,'BASE EQUIPO'!$A:$D,2))</f>
        <v/>
      </c>
      <c r="C386" s="58"/>
      <c r="D386" s="85"/>
      <c r="E386" s="86" t="str">
        <f>IF($A386=0,"",VLOOKUP($A386,'BASE EQUIPO'!$A:$D,3))</f>
        <v/>
      </c>
      <c r="F386" s="59"/>
      <c r="G386" s="59" t="str">
        <f>IF($A386=0,"",VLOOKUP($A386,'BASE EQUIPO'!$A:$D,4)*H383)</f>
        <v/>
      </c>
      <c r="H386" s="60" t="str">
        <f>IF($A386=0,"",ROUND(F386*G386,2))</f>
        <v/>
      </c>
      <c r="I386" s="2"/>
    </row>
    <row r="387" spans="1:15" ht="15.75" thickBot="1" x14ac:dyDescent="0.3">
      <c r="B387" s="87" t="s">
        <v>1674</v>
      </c>
      <c r="C387" s="88"/>
      <c r="D387" s="89"/>
      <c r="E387" s="89"/>
      <c r="F387" s="89"/>
      <c r="G387" s="89"/>
      <c r="H387" s="90">
        <f>ROUND(SUM(H383:H386),2)</f>
        <v>2.04</v>
      </c>
      <c r="I387" s="2"/>
    </row>
    <row r="388" spans="1:15" ht="15.75" x14ac:dyDescent="0.25">
      <c r="B388" s="2"/>
      <c r="C388" s="2"/>
      <c r="D388" s="91" t="s">
        <v>1673</v>
      </c>
      <c r="E388" s="47"/>
      <c r="F388" s="47"/>
      <c r="G388" s="47"/>
      <c r="H388" s="92">
        <f>ROUND(SUM(H387,H381,H362,H352),2)</f>
        <v>123.49</v>
      </c>
      <c r="I388" s="2"/>
    </row>
    <row r="389" spans="1:15" ht="15.75" x14ac:dyDescent="0.25">
      <c r="A389" s="103">
        <v>40002</v>
      </c>
      <c r="B389" s="2"/>
      <c r="C389" s="2"/>
      <c r="D389" s="93" t="s">
        <v>1672</v>
      </c>
      <c r="E389" s="65"/>
      <c r="F389" s="65"/>
      <c r="G389" s="94">
        <f>IF($A389=0,"",VLOOKUP($A389,'BASE MATERIAL'!$M:$P,4))</f>
        <v>0</v>
      </c>
      <c r="H389" s="95">
        <f>IF($A389=0,"",ROUND(G389*H388,2))</f>
        <v>0</v>
      </c>
      <c r="I389" s="2"/>
    </row>
    <row r="390" spans="1:15" ht="15.75" x14ac:dyDescent="0.25">
      <c r="A390" s="103">
        <v>40003</v>
      </c>
      <c r="B390" s="2"/>
      <c r="C390" s="2"/>
      <c r="D390" s="93" t="s">
        <v>1671</v>
      </c>
      <c r="E390" s="65"/>
      <c r="F390" s="65"/>
      <c r="G390" s="94">
        <f>IF($A390=0,"",VLOOKUP($A390,'BASE MATERIAL'!$M:$P,4))</f>
        <v>0</v>
      </c>
      <c r="H390" s="95">
        <f>IF($A390=0,"",ROUND(G390*H388,2))</f>
        <v>0</v>
      </c>
      <c r="I390" s="2"/>
    </row>
    <row r="391" spans="1:15" ht="15.75" x14ac:dyDescent="0.25">
      <c r="B391" s="2"/>
      <c r="C391" s="2"/>
      <c r="D391" s="93" t="s">
        <v>1670</v>
      </c>
      <c r="E391" s="65"/>
      <c r="F391" s="65"/>
      <c r="G391" s="65"/>
      <c r="H391" s="96">
        <f>ROUND(SUM(H388:H390),2)</f>
        <v>123.49</v>
      </c>
      <c r="I391" s="2"/>
    </row>
    <row r="392" spans="1:15" ht="16.5" thickBot="1" x14ac:dyDescent="0.3">
      <c r="B392" s="25"/>
      <c r="C392" s="2"/>
      <c r="D392" s="97" t="s">
        <v>1650</v>
      </c>
      <c r="E392" s="88"/>
      <c r="F392" s="88"/>
      <c r="G392" s="88"/>
      <c r="H392" s="98">
        <f>ROUND(H391,2)</f>
        <v>123.49</v>
      </c>
      <c r="I392" s="2"/>
    </row>
    <row r="393" spans="1:15" ht="15.75" x14ac:dyDescent="0.25">
      <c r="B393" s="34" t="s">
        <v>1701</v>
      </c>
      <c r="C393" s="2"/>
      <c r="D393" s="3" t="str">
        <f>'1.1'!$D$1</f>
        <v>ESPOL</v>
      </c>
      <c r="E393" s="2"/>
      <c r="F393" s="2"/>
      <c r="H393" s="2" t="s">
        <v>108</v>
      </c>
      <c r="I393" s="2"/>
      <c r="L393" s="40">
        <f>A397</f>
        <v>2</v>
      </c>
      <c r="M393" s="1" t="str">
        <f>C398</f>
        <v>Pasamanos metalico tipo PM2</v>
      </c>
      <c r="N393" s="2" t="str">
        <f>H397</f>
        <v>ml</v>
      </c>
      <c r="O393" s="2">
        <f>H448</f>
        <v>187.92</v>
      </c>
    </row>
    <row r="394" spans="1:15" ht="15.75" x14ac:dyDescent="0.25">
      <c r="B394" s="34" t="s">
        <v>1700</v>
      </c>
      <c r="C394" s="3">
        <f>'1.1'!$C$2</f>
        <v>0</v>
      </c>
      <c r="D394" s="2"/>
      <c r="E394" s="2"/>
      <c r="F394" s="2"/>
      <c r="G394" s="41" t="s">
        <v>1699</v>
      </c>
      <c r="H394" s="42"/>
      <c r="I394" s="2" t="s">
        <v>1698</v>
      </c>
    </row>
    <row r="395" spans="1:15" ht="15.75" x14ac:dyDescent="0.25">
      <c r="B395" s="34"/>
      <c r="C395" s="3">
        <f>'1.1'!$C$3</f>
        <v>0</v>
      </c>
      <c r="D395" s="2"/>
      <c r="E395" s="2"/>
      <c r="F395" s="2"/>
      <c r="G395" s="2"/>
      <c r="H395" s="2"/>
      <c r="I395" s="2"/>
    </row>
    <row r="396" spans="1:15" ht="15.75" x14ac:dyDescent="0.25">
      <c r="B396" s="34" t="s">
        <v>1697</v>
      </c>
      <c r="C396" s="3"/>
      <c r="D396" s="2"/>
      <c r="E396" s="2"/>
      <c r="F396" s="2"/>
      <c r="G396" s="2"/>
      <c r="H396" s="2"/>
      <c r="I396" s="2"/>
    </row>
    <row r="397" spans="1:15" x14ac:dyDescent="0.25">
      <c r="A397" s="104">
        <v>2</v>
      </c>
      <c r="B397" s="2" t="s">
        <v>1586</v>
      </c>
      <c r="C397" s="36" t="s">
        <v>599</v>
      </c>
      <c r="D397" s="2"/>
      <c r="G397" s="2" t="s">
        <v>1696</v>
      </c>
      <c r="H397" s="3" t="s">
        <v>961</v>
      </c>
      <c r="I397" s="2"/>
    </row>
    <row r="398" spans="1:15" x14ac:dyDescent="0.25">
      <c r="B398" s="1" t="s">
        <v>1585</v>
      </c>
      <c r="C398" s="36" t="s">
        <v>908</v>
      </c>
      <c r="D398" s="2"/>
      <c r="E398" s="2"/>
      <c r="F398" s="2"/>
      <c r="G398" s="2"/>
      <c r="H398" s="2"/>
      <c r="I398" s="2"/>
    </row>
    <row r="399" spans="1:15" ht="15.75" thickBot="1" x14ac:dyDescent="0.3">
      <c r="D399" s="2"/>
      <c r="E399" s="2"/>
      <c r="F399" s="2"/>
      <c r="G399" s="2"/>
      <c r="H399" s="2"/>
      <c r="I399" s="2"/>
    </row>
    <row r="400" spans="1:15" ht="15.75" thickBot="1" x14ac:dyDescent="0.3">
      <c r="B400" s="43" t="s">
        <v>1695</v>
      </c>
      <c r="C400" s="44"/>
      <c r="D400" s="44"/>
      <c r="E400" s="44"/>
      <c r="F400" s="44"/>
      <c r="G400" s="44"/>
      <c r="H400" s="45"/>
      <c r="I400" s="2"/>
    </row>
    <row r="401" spans="1:11" ht="25.5" x14ac:dyDescent="0.25">
      <c r="B401" s="46" t="s">
        <v>1409</v>
      </c>
      <c r="C401" s="47"/>
      <c r="D401" s="48" t="s">
        <v>1690</v>
      </c>
      <c r="E401" s="48" t="s">
        <v>1694</v>
      </c>
      <c r="F401" s="48" t="s">
        <v>1693</v>
      </c>
      <c r="G401" s="49" t="s">
        <v>1687</v>
      </c>
      <c r="H401" s="50" t="s">
        <v>1686</v>
      </c>
      <c r="I401" s="2"/>
    </row>
    <row r="402" spans="1:11" x14ac:dyDescent="0.25">
      <c r="A402" s="103">
        <v>19015</v>
      </c>
      <c r="B402" s="51" t="str">
        <f>IF($A402=0,"",VLOOKUP($A402,'BASE EQUIPO'!$A:$D,2))</f>
        <v>HERRAMIENTA MENOR</v>
      </c>
      <c r="C402" s="52"/>
      <c r="D402" s="53">
        <v>1</v>
      </c>
      <c r="E402" s="53">
        <f>IF($A402=0,"",VLOOKUP($A402,'BASE EQUIPO'!$A:$D,4)*H418)</f>
        <v>2.6045999999999996</v>
      </c>
      <c r="F402" s="53">
        <f t="shared" ref="F402:F407" si="35">IF($A402=0,"",ROUND(D402*E402,2))</f>
        <v>2.6</v>
      </c>
      <c r="G402" s="105">
        <v>1</v>
      </c>
      <c r="H402" s="54">
        <f t="shared" ref="H402:H407" si="36">IF($A402=0,"",ROUND(G402*F402,2))</f>
        <v>2.6</v>
      </c>
      <c r="I402" s="2"/>
    </row>
    <row r="403" spans="1:11" x14ac:dyDescent="0.25">
      <c r="A403" s="103">
        <v>19011</v>
      </c>
      <c r="B403" s="38" t="str">
        <f>IF($A403=0,"",VLOOKUP($A403,'BASE EQUIPO'!$A:$D,2))</f>
        <v>SOLDADORA</v>
      </c>
      <c r="C403" s="2"/>
      <c r="D403" s="53">
        <v>1</v>
      </c>
      <c r="E403" s="55">
        <f>IF($A403=0,"",VLOOKUP($A403,'BASE EQUIPO'!$A:$D,4))</f>
        <v>2.5</v>
      </c>
      <c r="F403" s="55">
        <f t="shared" si="35"/>
        <v>2.5</v>
      </c>
      <c r="G403" s="106">
        <v>2</v>
      </c>
      <c r="H403" s="56">
        <f t="shared" si="36"/>
        <v>5</v>
      </c>
      <c r="I403" s="2"/>
    </row>
    <row r="404" spans="1:11" x14ac:dyDescent="0.25">
      <c r="A404" s="103">
        <v>19023</v>
      </c>
      <c r="B404" s="38" t="str">
        <f>IF($A404=0,"",VLOOKUP($A404,'BASE EQUIPO'!$A:$D,2))</f>
        <v>COMPRESOR Y PISTOLA</v>
      </c>
      <c r="C404" s="2"/>
      <c r="D404" s="53">
        <v>1</v>
      </c>
      <c r="E404" s="55">
        <f>IF($A404=0,"",VLOOKUP($A404,'BASE EQUIPO'!$A:$D,4))</f>
        <v>1.875</v>
      </c>
      <c r="F404" s="55">
        <f t="shared" si="35"/>
        <v>1.88</v>
      </c>
      <c r="G404" s="106">
        <f>+G403</f>
        <v>2</v>
      </c>
      <c r="H404" s="56">
        <f t="shared" si="36"/>
        <v>3.76</v>
      </c>
      <c r="I404" s="2"/>
    </row>
    <row r="405" spans="1:11" x14ac:dyDescent="0.25">
      <c r="B405" s="38" t="str">
        <f>IF($A405=0,"",VLOOKUP($A405,'BASE EQUIPO'!$A:$D,2))</f>
        <v/>
      </c>
      <c r="C405" s="2"/>
      <c r="D405" s="55"/>
      <c r="E405" s="55" t="str">
        <f>IF($A405=0,"",VLOOKUP($A405,'BASE EQUIPO'!$A:$D,4))</f>
        <v/>
      </c>
      <c r="F405" s="55" t="str">
        <f t="shared" si="35"/>
        <v/>
      </c>
      <c r="G405" s="106"/>
      <c r="H405" s="56" t="str">
        <f t="shared" si="36"/>
        <v/>
      </c>
      <c r="I405" s="2"/>
    </row>
    <row r="406" spans="1:11" x14ac:dyDescent="0.25">
      <c r="B406" s="38" t="str">
        <f>IF($A406=0,"",VLOOKUP($A406,'BASE EQUIPO'!$A:$D,2))</f>
        <v/>
      </c>
      <c r="C406" s="2"/>
      <c r="D406" s="55"/>
      <c r="E406" s="55" t="str">
        <f>IF($A406=0,"",VLOOKUP($A406,'BASE EQUIPO'!$A:$D,4))</f>
        <v/>
      </c>
      <c r="F406" s="55" t="str">
        <f t="shared" si="35"/>
        <v/>
      </c>
      <c r="G406" s="106"/>
      <c r="H406" s="56" t="str">
        <f t="shared" si="36"/>
        <v/>
      </c>
      <c r="I406" s="2"/>
    </row>
    <row r="407" spans="1:11" x14ac:dyDescent="0.25">
      <c r="B407" s="57" t="str">
        <f>IF($A407=0,"",VLOOKUP($A407,'BASE EQUIPO'!$A:$D,2))</f>
        <v/>
      </c>
      <c r="C407" s="58"/>
      <c r="D407" s="59"/>
      <c r="E407" s="59" t="str">
        <f>IF($A407=0,"",VLOOKUP($A407,'BASE EQUIPO'!$A:$D,4))</f>
        <v/>
      </c>
      <c r="F407" s="59" t="str">
        <f t="shared" si="35"/>
        <v/>
      </c>
      <c r="G407" s="107"/>
      <c r="H407" s="60" t="str">
        <f t="shared" si="36"/>
        <v/>
      </c>
      <c r="I407" s="2"/>
    </row>
    <row r="408" spans="1:11" x14ac:dyDescent="0.25">
      <c r="B408" s="57" t="s">
        <v>1692</v>
      </c>
      <c r="C408" s="58"/>
      <c r="D408" s="61"/>
      <c r="E408" s="61"/>
      <c r="F408" s="61"/>
      <c r="G408" s="62"/>
      <c r="H408" s="60">
        <f>ROUND(SUM(H401:H407),2)</f>
        <v>11.36</v>
      </c>
      <c r="I408" s="2"/>
    </row>
    <row r="409" spans="1:11" x14ac:dyDescent="0.25">
      <c r="B409" s="38" t="s">
        <v>1503</v>
      </c>
      <c r="C409" s="2"/>
      <c r="D409" s="3"/>
      <c r="E409" s="3"/>
      <c r="F409" s="3"/>
      <c r="G409" s="63"/>
      <c r="H409" s="56"/>
      <c r="I409" s="2"/>
    </row>
    <row r="410" spans="1:11" ht="25.5" x14ac:dyDescent="0.25">
      <c r="B410" s="64" t="s">
        <v>1691</v>
      </c>
      <c r="C410" s="65"/>
      <c r="D410" s="66" t="s">
        <v>1690</v>
      </c>
      <c r="E410" s="66" t="s">
        <v>1689</v>
      </c>
      <c r="F410" s="66" t="s">
        <v>1688</v>
      </c>
      <c r="G410" s="67" t="s">
        <v>1687</v>
      </c>
      <c r="H410" s="68" t="s">
        <v>1686</v>
      </c>
      <c r="I410" s="2"/>
    </row>
    <row r="411" spans="1:11" x14ac:dyDescent="0.25">
      <c r="B411" s="69" t="str">
        <f>IF($A411=0,"",VLOOKUP($A411,'BASE M-OBRA'!$A:$D,2))</f>
        <v/>
      </c>
      <c r="C411" s="2"/>
      <c r="D411" s="108"/>
      <c r="E411" s="70" t="str">
        <f>IF($A411=0,"",VLOOKUP($A411,'BASE M-OBRA'!$A:$D,4))</f>
        <v/>
      </c>
      <c r="F411" s="55" t="str">
        <f t="shared" ref="F411:F417" si="37">IF($A411=0,"",ROUND(D411*E411,2))</f>
        <v/>
      </c>
      <c r="G411" s="106" t="str">
        <f>IF($A411=0,"",ROUND(H411/F411,2))</f>
        <v/>
      </c>
      <c r="H411" s="56" t="str">
        <f>IF($A411=0,"",ROUND(SUM(H412:H417)*'BASE M-OBRA'!$D$23,2))</f>
        <v/>
      </c>
      <c r="I411" s="2"/>
    </row>
    <row r="412" spans="1:11" x14ac:dyDescent="0.25">
      <c r="A412" s="103">
        <v>20006</v>
      </c>
      <c r="B412" s="69" t="str">
        <f>IF($A412=0,"",VLOOKUP($A412,'BASE M-OBRA'!$A:$D,2))</f>
        <v>MAESTRO  SOLDADOR</v>
      </c>
      <c r="C412" s="2"/>
      <c r="D412" s="108">
        <v>2</v>
      </c>
      <c r="E412" s="70">
        <f>IF($A412=0,"",VLOOKUP($A412,'BASE M-OBRA'!$A:$D,4))</f>
        <v>3.02</v>
      </c>
      <c r="F412" s="55">
        <f t="shared" si="37"/>
        <v>6.04</v>
      </c>
      <c r="G412" s="106">
        <v>6</v>
      </c>
      <c r="H412" s="56">
        <f t="shared" ref="H412:H417" si="38">IF($A412=0,"",ROUND(G412*F412,2))</f>
        <v>36.24</v>
      </c>
      <c r="I412" s="2"/>
      <c r="K412" s="1">
        <f>320/8</f>
        <v>40</v>
      </c>
    </row>
    <row r="413" spans="1:11" x14ac:dyDescent="0.25">
      <c r="A413" s="103">
        <v>20011</v>
      </c>
      <c r="B413" s="69" t="str">
        <f>IF($A413=0,"",VLOOKUP($A413,'BASE M-OBRA'!$A:$D,2))</f>
        <v>AYUDANTE ESPECIALISTA</v>
      </c>
      <c r="C413" s="2"/>
      <c r="D413" s="108">
        <v>1</v>
      </c>
      <c r="E413" s="70">
        <f>IF($A413=0,"",VLOOKUP($A413,'BASE M-OBRA'!$A:$D,4))</f>
        <v>2.79</v>
      </c>
      <c r="F413" s="55">
        <f t="shared" si="37"/>
        <v>2.79</v>
      </c>
      <c r="G413" s="106">
        <f>+G412</f>
        <v>6</v>
      </c>
      <c r="H413" s="56">
        <f t="shared" si="38"/>
        <v>16.739999999999998</v>
      </c>
      <c r="I413" s="2"/>
    </row>
    <row r="414" spans="1:11" x14ac:dyDescent="0.25">
      <c r="A414" s="103">
        <v>20018</v>
      </c>
      <c r="B414" s="71" t="str">
        <f>IF($A414=0,"",VLOOKUP($A414,'BASE M-OBRA'!$A:$D,2))</f>
        <v>PINTOR</v>
      </c>
      <c r="C414" s="2"/>
      <c r="D414" s="108">
        <v>2</v>
      </c>
      <c r="E414" s="70">
        <f>IF($A414=0,"",VLOOKUP($A414,'BASE M-OBRA'!$A:$D,4))</f>
        <v>2.82</v>
      </c>
      <c r="F414" s="55">
        <f t="shared" si="37"/>
        <v>5.64</v>
      </c>
      <c r="G414" s="106">
        <f>+G413</f>
        <v>6</v>
      </c>
      <c r="H414" s="56">
        <f t="shared" si="38"/>
        <v>33.840000000000003</v>
      </c>
      <c r="I414" s="2"/>
      <c r="J414" s="1">
        <f>0.25*30000</f>
        <v>7500</v>
      </c>
    </row>
    <row r="415" spans="1:11" x14ac:dyDescent="0.25">
      <c r="B415" s="72" t="str">
        <f>IF($A415=0,"",VLOOKUP($A415,'BASE M-OBRA'!$A:$D,2))</f>
        <v/>
      </c>
      <c r="C415" s="2"/>
      <c r="D415" s="108"/>
      <c r="E415" s="70" t="str">
        <f>IF($A415=0,"",VLOOKUP($A415,'BASE M-OBRA'!$A:$D,4))</f>
        <v/>
      </c>
      <c r="F415" s="55" t="str">
        <f t="shared" si="37"/>
        <v/>
      </c>
      <c r="G415" s="106"/>
      <c r="H415" s="56" t="str">
        <f t="shared" si="38"/>
        <v/>
      </c>
      <c r="I415" s="2"/>
    </row>
    <row r="416" spans="1:11" x14ac:dyDescent="0.25">
      <c r="B416" s="38" t="str">
        <f>IF($A416=0,"",VLOOKUP($A416,'BASE M-OBRA'!$A:$D,2))</f>
        <v/>
      </c>
      <c r="C416" s="2"/>
      <c r="D416" s="55"/>
      <c r="E416" s="55" t="str">
        <f>IF($A416=0,"",VLOOKUP($A416,'BASE M-OBRA'!$A:$D,4))</f>
        <v/>
      </c>
      <c r="F416" s="55" t="str">
        <f t="shared" si="37"/>
        <v/>
      </c>
      <c r="G416" s="106"/>
      <c r="H416" s="56" t="str">
        <f t="shared" si="38"/>
        <v/>
      </c>
      <c r="I416" s="2"/>
    </row>
    <row r="417" spans="1:16" x14ac:dyDescent="0.25">
      <c r="B417" s="57" t="str">
        <f>IF($A417=0,"",VLOOKUP($A417,'BASE M-OBRA'!$A:$D,2))</f>
        <v/>
      </c>
      <c r="C417" s="58"/>
      <c r="D417" s="59"/>
      <c r="E417" s="59" t="str">
        <f>IF($A417=0,"",VLOOKUP($A417,'BASE M-OBRA'!$A:$D,4))</f>
        <v/>
      </c>
      <c r="F417" s="59" t="str">
        <f t="shared" si="37"/>
        <v/>
      </c>
      <c r="G417" s="107"/>
      <c r="H417" s="60" t="str">
        <f t="shared" si="38"/>
        <v/>
      </c>
      <c r="I417" s="2"/>
    </row>
    <row r="418" spans="1:16" x14ac:dyDescent="0.25">
      <c r="B418" s="73" t="s">
        <v>1685</v>
      </c>
      <c r="C418" s="65"/>
      <c r="D418" s="74"/>
      <c r="E418" s="74"/>
      <c r="F418" s="74"/>
      <c r="G418" s="74"/>
      <c r="H418" s="75">
        <f>ROUND(SUM(H410:H417),2)</f>
        <v>86.82</v>
      </c>
      <c r="I418" s="2"/>
      <c r="J418" s="1">
        <f>13200*0.3</f>
        <v>3960</v>
      </c>
    </row>
    <row r="419" spans="1:16" x14ac:dyDescent="0.25">
      <c r="B419" s="38" t="s">
        <v>1684</v>
      </c>
      <c r="C419" s="2"/>
      <c r="D419" s="3"/>
      <c r="E419" s="3"/>
      <c r="F419" s="3"/>
      <c r="G419" s="3"/>
      <c r="H419" s="56"/>
      <c r="I419" s="2"/>
    </row>
    <row r="420" spans="1:16" ht="25.5" x14ac:dyDescent="0.25">
      <c r="B420" s="64" t="s">
        <v>1409</v>
      </c>
      <c r="C420" s="65"/>
      <c r="D420" s="76"/>
      <c r="E420" s="66" t="s">
        <v>1408</v>
      </c>
      <c r="F420" s="66" t="s">
        <v>1679</v>
      </c>
      <c r="G420" s="66" t="s">
        <v>1683</v>
      </c>
      <c r="H420" s="68" t="s">
        <v>1675</v>
      </c>
      <c r="I420" s="2"/>
    </row>
    <row r="421" spans="1:16" x14ac:dyDescent="0.25">
      <c r="A421" s="103">
        <v>14002</v>
      </c>
      <c r="B421" s="38" t="str">
        <f>IF($A421=0,"",VLOOKUP($A421,'BASE MATERIAL'!$A:$D,2))</f>
        <v>SOLDADURA aga 60/11</v>
      </c>
      <c r="C421" s="2"/>
      <c r="D421" s="77"/>
      <c r="E421" s="78" t="str">
        <f>IF($A421=0,"",VLOOKUP($A421,'BASE MATERIAL'!$A:$D,3))</f>
        <v>KG</v>
      </c>
      <c r="F421" s="113">
        <f>ROUND(0.044*J421,4)</f>
        <v>0.38679999999999998</v>
      </c>
      <c r="G421" s="55">
        <f>IF($A421=0,"",VLOOKUP($A421,'BASE MATERIAL'!$A:$D,4))</f>
        <v>3.65</v>
      </c>
      <c r="H421" s="56">
        <f t="shared" ref="H421:H435" si="39">IF($A421=0,"",ROUND(F421*G421,2))</f>
        <v>1.41</v>
      </c>
      <c r="I421" s="2"/>
      <c r="J421" s="1">
        <f>SUM(J423:J425)</f>
        <v>8.7919999999999998</v>
      </c>
      <c r="K421" s="1" t="s">
        <v>225</v>
      </c>
      <c r="L421" s="2"/>
      <c r="M421" s="2"/>
      <c r="N421" s="39"/>
      <c r="O421" s="2"/>
      <c r="P421" s="2"/>
    </row>
    <row r="422" spans="1:16" x14ac:dyDescent="0.25">
      <c r="B422" s="38" t="str">
        <f>IF($A422=0,"",VLOOKUP($A422,'BASE MATERIAL'!$A:$D,2))</f>
        <v/>
      </c>
      <c r="C422" s="2"/>
      <c r="D422" s="77"/>
      <c r="E422" s="78" t="str">
        <f>IF($A422=0,"",VLOOKUP($A422,'BASE MATERIAL'!$A:$D,3))</f>
        <v/>
      </c>
      <c r="F422" s="113"/>
      <c r="G422" s="55" t="str">
        <f>IF($A422=0,"",VLOOKUP($A422,'BASE MATERIAL'!$A:$D,4))</f>
        <v/>
      </c>
      <c r="H422" s="56" t="str">
        <f t="shared" si="39"/>
        <v/>
      </c>
      <c r="I422" s="2"/>
      <c r="L422" s="2"/>
      <c r="M422" s="2"/>
      <c r="N422" s="39"/>
      <c r="O422" s="2"/>
      <c r="P422" s="2"/>
    </row>
    <row r="423" spans="1:16" x14ac:dyDescent="0.25">
      <c r="A423" s="103">
        <v>13016</v>
      </c>
      <c r="B423" s="38" t="str">
        <f>IF($A423=0,"",VLOOKUP($A423,'BASE MATERIAL'!$A:$D,2))</f>
        <v>PINTURA ANTICORROSIVA</v>
      </c>
      <c r="C423" s="2"/>
      <c r="D423" s="77"/>
      <c r="E423" s="78" t="str">
        <f>IF($A423=0,"",VLOOKUP($A423,'BASE MATERIAL'!$A:$D,3))</f>
        <v>GL</v>
      </c>
      <c r="F423" s="113">
        <f>ROUND(0.6*0.08*1.5*2,4)</f>
        <v>0.14399999999999999</v>
      </c>
      <c r="G423" s="55">
        <f>IF($A423=0,"",VLOOKUP($A423,'BASE MATERIAL'!$A:$D,4))</f>
        <v>16</v>
      </c>
      <c r="H423" s="56">
        <f t="shared" si="39"/>
        <v>2.2999999999999998</v>
      </c>
      <c r="I423" s="2"/>
      <c r="J423" s="79">
        <f>7.85*2*0.12*3</f>
        <v>5.6519999999999992</v>
      </c>
      <c r="K423" s="1" t="s">
        <v>842</v>
      </c>
      <c r="L423" s="2"/>
      <c r="M423" s="2"/>
      <c r="N423" s="39"/>
      <c r="O423" s="2"/>
      <c r="P423" s="2"/>
    </row>
    <row r="424" spans="1:16" x14ac:dyDescent="0.25">
      <c r="A424" s="103">
        <v>13017</v>
      </c>
      <c r="B424" s="38" t="str">
        <f>IF($A424=0,"",VLOOKUP($A424,'BASE MATERIAL'!$A:$D,2))</f>
        <v>PINTURA ACABADO METALICO</v>
      </c>
      <c r="C424" s="2"/>
      <c r="D424" s="77"/>
      <c r="E424" s="78" t="str">
        <f>IF($A424=0,"",VLOOKUP($A424,'BASE MATERIAL'!$A:$D,3))</f>
        <v>GL</v>
      </c>
      <c r="F424" s="113">
        <f>ROUND(0.6*0.08*1.5*3,4)</f>
        <v>0.216</v>
      </c>
      <c r="G424" s="55">
        <f>IF($A424=0,"",VLOOKUP($A424,'BASE MATERIAL'!$A:$D,4))</f>
        <v>17</v>
      </c>
      <c r="H424" s="56">
        <f t="shared" si="39"/>
        <v>3.67</v>
      </c>
      <c r="I424" s="2"/>
      <c r="K424" s="1" t="s">
        <v>223</v>
      </c>
      <c r="L424" s="2"/>
      <c r="M424" s="2"/>
      <c r="N424" s="39"/>
      <c r="O424" s="2"/>
      <c r="P424" s="2"/>
    </row>
    <row r="425" spans="1:16" x14ac:dyDescent="0.25">
      <c r="A425" s="103">
        <v>13010</v>
      </c>
      <c r="B425" s="38" t="str">
        <f>IF($A425=0,"",VLOOKUP($A425,'BASE MATERIAL'!$A:$D,2))</f>
        <v>DILUYENTE</v>
      </c>
      <c r="C425" s="2"/>
      <c r="D425" s="77"/>
      <c r="E425" s="78" t="str">
        <f>IF($A425=0,"",VLOOKUP($A425,'BASE MATERIAL'!$A:$D,3))</f>
        <v>GL</v>
      </c>
      <c r="F425" s="113">
        <f>ROUND(0.25*(F423),4)</f>
        <v>3.5999999999999997E-2</v>
      </c>
      <c r="G425" s="55">
        <f>IF($A425=0,"",VLOOKUP($A425,'BASE MATERIAL'!$A:$D,4))</f>
        <v>6</v>
      </c>
      <c r="H425" s="56">
        <f t="shared" si="39"/>
        <v>0.22</v>
      </c>
      <c r="I425" s="2"/>
      <c r="J425" s="79">
        <f>7.85*2*0.1*2</f>
        <v>3.14</v>
      </c>
      <c r="K425" s="1" t="s">
        <v>224</v>
      </c>
      <c r="L425" s="2"/>
      <c r="M425" s="2"/>
      <c r="N425" s="39"/>
      <c r="O425" s="2"/>
      <c r="P425" s="2"/>
    </row>
    <row r="426" spans="1:16" x14ac:dyDescent="0.25">
      <c r="A426" s="103">
        <v>13011</v>
      </c>
      <c r="B426" s="38" t="str">
        <f>IF($A426=0,"",VLOOKUP($A426,'BASE MATERIAL'!$A:$D,2))</f>
        <v>DESOXIDANTE</v>
      </c>
      <c r="C426" s="2"/>
      <c r="D426" s="77"/>
      <c r="E426" s="78" t="str">
        <f>IF($A426=0,"",VLOOKUP($A426,'BASE MATERIAL'!$A:$D,3))</f>
        <v>GL</v>
      </c>
      <c r="F426" s="113">
        <f>ROUND(0.005*2*(J421),4)</f>
        <v>8.7900000000000006E-2</v>
      </c>
      <c r="G426" s="55">
        <f>IF($A426=0,"",VLOOKUP($A426,'BASE MATERIAL'!$A:$D,4))</f>
        <v>12</v>
      </c>
      <c r="H426" s="56">
        <f t="shared" si="39"/>
        <v>1.05</v>
      </c>
      <c r="I426" s="2"/>
      <c r="J426" s="79"/>
      <c r="L426" s="2"/>
      <c r="M426" s="2"/>
      <c r="N426" s="39"/>
      <c r="O426" s="2"/>
      <c r="P426" s="2"/>
    </row>
    <row r="427" spans="1:16" x14ac:dyDescent="0.25">
      <c r="B427" s="38" t="str">
        <f>IF($A427=0,"",VLOOKUP($A427,'BASE MATERIAL'!$A:$D,2))</f>
        <v/>
      </c>
      <c r="C427" s="2"/>
      <c r="D427" s="77"/>
      <c r="E427" s="78" t="str">
        <f>IF($A427=0,"",VLOOKUP($A427,'BASE MATERIAL'!$A:$D,3))</f>
        <v/>
      </c>
      <c r="F427" s="55"/>
      <c r="G427" s="55" t="str">
        <f>IF($A427=0,"",VLOOKUP($A427,'BASE MATERIAL'!$A:$D,4))</f>
        <v/>
      </c>
      <c r="H427" s="56" t="str">
        <f t="shared" si="39"/>
        <v/>
      </c>
      <c r="I427" s="2"/>
      <c r="L427" s="2"/>
      <c r="M427" s="2"/>
      <c r="N427" s="39"/>
      <c r="O427" s="2"/>
      <c r="P427" s="2"/>
    </row>
    <row r="428" spans="1:16" x14ac:dyDescent="0.25">
      <c r="A428" s="103">
        <v>1</v>
      </c>
      <c r="B428" s="38" t="s">
        <v>911</v>
      </c>
      <c r="C428" s="2"/>
      <c r="D428" s="77"/>
      <c r="E428" s="78" t="s">
        <v>961</v>
      </c>
      <c r="F428" s="55">
        <f>1.05*2/0.9</f>
        <v>2.3333333333333335</v>
      </c>
      <c r="G428" s="55">
        <f>3.77*1.1</f>
        <v>4.1470000000000002</v>
      </c>
      <c r="H428" s="56">
        <f t="shared" si="39"/>
        <v>9.68</v>
      </c>
      <c r="I428" s="2"/>
      <c r="J428" s="79">
        <f>7.85*2*0.12*1.2</f>
        <v>2.2607999999999997</v>
      </c>
      <c r="K428" s="1">
        <f>3.1416*0.0254*1.5</f>
        <v>0.11969496</v>
      </c>
      <c r="L428" s="2">
        <f>7.85*0.6*0.1*8</f>
        <v>3.7680000000000002</v>
      </c>
      <c r="M428" s="2"/>
      <c r="N428" s="39"/>
      <c r="O428" s="2"/>
      <c r="P428" s="2"/>
    </row>
    <row r="429" spans="1:16" x14ac:dyDescent="0.25">
      <c r="B429" s="38"/>
      <c r="C429" s="2"/>
      <c r="D429" s="77"/>
      <c r="E429" s="78"/>
      <c r="F429" s="55"/>
      <c r="G429" s="55"/>
      <c r="H429" s="56" t="str">
        <f t="shared" si="39"/>
        <v/>
      </c>
      <c r="I429" s="2"/>
      <c r="J429" s="79">
        <f>7.85*2*0.1*1.2</f>
        <v>1.8839999999999999</v>
      </c>
      <c r="K429" s="1">
        <f>0.0254*1.25*3.1416</f>
        <v>9.9745799999999996E-2</v>
      </c>
    </row>
    <row r="430" spans="1:16" x14ac:dyDescent="0.25">
      <c r="A430" s="103">
        <v>1</v>
      </c>
      <c r="B430" s="38" t="s">
        <v>1678</v>
      </c>
      <c r="C430" s="2"/>
      <c r="D430" s="77"/>
      <c r="E430" s="78" t="s">
        <v>1506</v>
      </c>
      <c r="F430" s="55">
        <v>4</v>
      </c>
      <c r="G430" s="55">
        <v>0.7</v>
      </c>
      <c r="H430" s="56">
        <f t="shared" si="39"/>
        <v>2.8</v>
      </c>
      <c r="I430" s="2"/>
      <c r="L430" s="2"/>
      <c r="M430" s="2"/>
      <c r="N430" s="39"/>
      <c r="O430" s="2"/>
      <c r="P430" s="2"/>
    </row>
    <row r="431" spans="1:16" x14ac:dyDescent="0.25">
      <c r="A431" s="103">
        <v>1</v>
      </c>
      <c r="B431" s="38" t="s">
        <v>912</v>
      </c>
      <c r="C431" s="2"/>
      <c r="D431" s="77"/>
      <c r="E431" s="78" t="s">
        <v>1506</v>
      </c>
      <c r="F431" s="55">
        <v>1</v>
      </c>
      <c r="G431" s="55">
        <v>6</v>
      </c>
      <c r="H431" s="56">
        <f t="shared" si="39"/>
        <v>6</v>
      </c>
      <c r="I431" s="2"/>
      <c r="J431" s="79">
        <f>0.13*3</f>
        <v>0.39</v>
      </c>
      <c r="K431" s="1">
        <f>7.85*0.1*0.2*12</f>
        <v>1.8840000000000003</v>
      </c>
      <c r="L431" s="2">
        <f>+K431*1.1</f>
        <v>2.0724000000000005</v>
      </c>
      <c r="M431" s="2"/>
      <c r="N431" s="39"/>
      <c r="O431" s="2"/>
      <c r="P431" s="2"/>
    </row>
    <row r="432" spans="1:16" x14ac:dyDescent="0.25">
      <c r="A432" s="103">
        <v>1</v>
      </c>
      <c r="B432" s="38" t="s">
        <v>909</v>
      </c>
      <c r="C432" s="2"/>
      <c r="D432" s="77"/>
      <c r="E432" s="78" t="s">
        <v>961</v>
      </c>
      <c r="F432" s="55">
        <v>1</v>
      </c>
      <c r="G432" s="55">
        <v>30</v>
      </c>
      <c r="H432" s="56">
        <f t="shared" si="39"/>
        <v>30</v>
      </c>
      <c r="I432" s="2"/>
      <c r="J432" s="79">
        <f>0.1*2</f>
        <v>0.2</v>
      </c>
    </row>
    <row r="433" spans="1:10" x14ac:dyDescent="0.25">
      <c r="A433" s="103">
        <v>1</v>
      </c>
      <c r="B433" s="38" t="s">
        <v>910</v>
      </c>
      <c r="C433" s="2"/>
      <c r="D433" s="77"/>
      <c r="E433" s="78" t="s">
        <v>961</v>
      </c>
      <c r="F433" s="55">
        <v>2</v>
      </c>
      <c r="G433" s="55">
        <v>15</v>
      </c>
      <c r="H433" s="56">
        <f t="shared" si="39"/>
        <v>30</v>
      </c>
      <c r="I433" s="2"/>
      <c r="J433" s="79">
        <f>SUM(J431:J432)</f>
        <v>0.59000000000000008</v>
      </c>
    </row>
    <row r="434" spans="1:10" x14ac:dyDescent="0.25">
      <c r="B434" s="38" t="str">
        <f>IF($A434=0,"",VLOOKUP($A434,'BASE MATERIAL'!$A:$D,2))</f>
        <v/>
      </c>
      <c r="C434" s="2"/>
      <c r="D434" s="77"/>
      <c r="E434" s="78" t="str">
        <f>IF($A434=0,"",VLOOKUP($A434,'BASE MATERIAL'!$A:$D,3))</f>
        <v/>
      </c>
      <c r="F434" s="55"/>
      <c r="G434" s="55" t="str">
        <f>IF($A434=0,"",VLOOKUP($A434,'BASE MATERIAL'!$A:$D,4))</f>
        <v/>
      </c>
      <c r="H434" s="56" t="str">
        <f t="shared" si="39"/>
        <v/>
      </c>
      <c r="I434" s="2"/>
    </row>
    <row r="435" spans="1:10" x14ac:dyDescent="0.25">
      <c r="B435" s="38" t="str">
        <f>IF($A435=0,"",VLOOKUP($A435,'BASE MATERIAL'!$A:$D,2))</f>
        <v/>
      </c>
      <c r="C435" s="2"/>
      <c r="D435" s="77"/>
      <c r="E435" s="78" t="str">
        <f>IF($A435=0,"",VLOOKUP($A435,'BASE MATERIAL'!$A:$D,3))</f>
        <v/>
      </c>
      <c r="F435" s="55"/>
      <c r="G435" s="55" t="str">
        <f>IF($A435=0,"",VLOOKUP($A435,'BASE MATERIAL'!$A:$D,4))</f>
        <v/>
      </c>
      <c r="H435" s="56" t="str">
        <f t="shared" si="39"/>
        <v/>
      </c>
      <c r="I435" s="2"/>
    </row>
    <row r="436" spans="1:10" x14ac:dyDescent="0.25">
      <c r="B436" s="38" t="str">
        <f>IF($A436=0,"",VLOOKUP($A436,'BASE MATERIAL'!$A:$D,2))</f>
        <v/>
      </c>
      <c r="C436" s="2"/>
      <c r="D436" s="81" t="s">
        <v>1682</v>
      </c>
      <c r="E436" s="55" t="str">
        <f>IF($A436=0,"",VLOOKUP($A436,'BASE MATERIAL'!$A:$D,3))</f>
        <v/>
      </c>
      <c r="F436" s="55" t="s">
        <v>1682</v>
      </c>
      <c r="G436" s="55" t="str">
        <f>IF($A436=0,"",VLOOKUP($A436,'BASE MATERIAL'!$A:$D,4))</f>
        <v/>
      </c>
      <c r="H436" s="56" t="str">
        <f>IF($A436=0,"",ROUND(E436*F436,2))</f>
        <v/>
      </c>
      <c r="I436" s="2"/>
    </row>
    <row r="437" spans="1:10" x14ac:dyDescent="0.25">
      <c r="B437" s="73" t="s">
        <v>1681</v>
      </c>
      <c r="C437" s="65"/>
      <c r="D437" s="74"/>
      <c r="E437" s="74"/>
      <c r="F437" s="74"/>
      <c r="G437" s="74"/>
      <c r="H437" s="75">
        <f>ROUND(SUM(H420:H436),2)</f>
        <v>87.13</v>
      </c>
      <c r="I437" s="2"/>
    </row>
    <row r="438" spans="1:10" x14ac:dyDescent="0.25">
      <c r="B438" s="38" t="s">
        <v>1680</v>
      </c>
      <c r="C438" s="2"/>
      <c r="D438" s="3"/>
      <c r="E438" s="3"/>
      <c r="F438" s="3"/>
      <c r="G438" s="3"/>
      <c r="H438" s="56"/>
      <c r="I438" s="2"/>
    </row>
    <row r="439" spans="1:10" ht="25.5" x14ac:dyDescent="0.25">
      <c r="B439" s="64" t="s">
        <v>1409</v>
      </c>
      <c r="C439" s="65"/>
      <c r="D439" s="76"/>
      <c r="E439" s="66" t="s">
        <v>1408</v>
      </c>
      <c r="F439" s="66" t="s">
        <v>1679</v>
      </c>
      <c r="G439" s="66" t="s">
        <v>1676</v>
      </c>
      <c r="H439" s="68" t="s">
        <v>1675</v>
      </c>
      <c r="I439" s="2"/>
    </row>
    <row r="440" spans="1:10" x14ac:dyDescent="0.25">
      <c r="A440" s="103">
        <v>19019</v>
      </c>
      <c r="B440" s="51" t="str">
        <f>IF($A440=0,"",VLOOKUP($A440,'BASE EQUIPO'!$A:$D,2))</f>
        <v>TRANSPORTE DE MATERIAL</v>
      </c>
      <c r="C440" s="52"/>
      <c r="D440" s="82"/>
      <c r="E440" s="78" t="str">
        <f>IF($A440=0,"",VLOOKUP($A440,'BASE EQUIPO'!$A:$D,3))</f>
        <v>GLOBAL</v>
      </c>
      <c r="F440" s="55">
        <v>1</v>
      </c>
      <c r="G440" s="83">
        <f>IF($A440=0,"",VLOOKUP($A440,'BASE EQUIPO'!$A:$D,4)*H437)</f>
        <v>2.6138999999999997</v>
      </c>
      <c r="H440" s="56">
        <f>IF($A440=0,"",ROUND(F440*G440,2))</f>
        <v>2.61</v>
      </c>
      <c r="I440" s="2"/>
    </row>
    <row r="441" spans="1:10" x14ac:dyDescent="0.25">
      <c r="B441" s="38" t="str">
        <f>IF($A441=0,"",VLOOKUP($A441,'BASE EQUIPO'!$A:$D,2))</f>
        <v/>
      </c>
      <c r="C441" s="2"/>
      <c r="D441" s="84"/>
      <c r="E441" s="78" t="str">
        <f>IF($A441=0,"",VLOOKUP($A441,'BASE EQUIPO'!$A:$D,3))</f>
        <v/>
      </c>
      <c r="F441" s="55"/>
      <c r="G441" s="55" t="str">
        <f>IF($A441=0,"",VLOOKUP($A441,'BASE EQUIPO'!$A:$D,4)*H438)</f>
        <v/>
      </c>
      <c r="H441" s="56" t="str">
        <f>IF($A441=0,"",ROUND(F441*G441,2))</f>
        <v/>
      </c>
      <c r="I441" s="2"/>
    </row>
    <row r="442" spans="1:10" x14ac:dyDescent="0.25">
      <c r="B442" s="57" t="str">
        <f>IF($A442=0,"",VLOOKUP($A442,'BASE EQUIPO'!$A:$D,2))</f>
        <v/>
      </c>
      <c r="C442" s="58"/>
      <c r="D442" s="85"/>
      <c r="E442" s="86" t="str">
        <f>IF($A442=0,"",VLOOKUP($A442,'BASE EQUIPO'!$A:$D,3))</f>
        <v/>
      </c>
      <c r="F442" s="59"/>
      <c r="G442" s="59" t="str">
        <f>IF($A442=0,"",VLOOKUP($A442,'BASE EQUIPO'!$A:$D,4)*H439)</f>
        <v/>
      </c>
      <c r="H442" s="60" t="str">
        <f>IF($A442=0,"",ROUND(F442*G442,2))</f>
        <v/>
      </c>
      <c r="I442" s="2"/>
    </row>
    <row r="443" spans="1:10" ht="15.75" thickBot="1" x14ac:dyDescent="0.3">
      <c r="B443" s="87" t="s">
        <v>1674</v>
      </c>
      <c r="C443" s="88"/>
      <c r="D443" s="89"/>
      <c r="E443" s="89"/>
      <c r="F443" s="89"/>
      <c r="G443" s="89"/>
      <c r="H443" s="90">
        <f>ROUND(SUM(H439:H442),2)</f>
        <v>2.61</v>
      </c>
      <c r="I443" s="2"/>
    </row>
    <row r="444" spans="1:10" ht="15.75" x14ac:dyDescent="0.25">
      <c r="B444" s="2"/>
      <c r="C444" s="2"/>
      <c r="D444" s="91" t="s">
        <v>1673</v>
      </c>
      <c r="E444" s="47"/>
      <c r="F444" s="47"/>
      <c r="G444" s="47"/>
      <c r="H444" s="92">
        <f>ROUND(SUM(H443,H437,H418,H408),2)</f>
        <v>187.92</v>
      </c>
      <c r="I444" s="2"/>
    </row>
    <row r="445" spans="1:10" ht="15.75" x14ac:dyDescent="0.25">
      <c r="A445" s="103">
        <v>40002</v>
      </c>
      <c r="B445" s="2"/>
      <c r="C445" s="2"/>
      <c r="D445" s="93" t="s">
        <v>1672</v>
      </c>
      <c r="E445" s="65"/>
      <c r="F445" s="65"/>
      <c r="G445" s="94">
        <f>IF($A445=0,"",VLOOKUP($A445,'BASE MATERIAL'!$M:$P,4))</f>
        <v>0</v>
      </c>
      <c r="H445" s="95">
        <f>IF($A445=0,"",ROUND(G445*H444,2))</f>
        <v>0</v>
      </c>
      <c r="I445" s="2"/>
    </row>
    <row r="446" spans="1:10" ht="15.75" x14ac:dyDescent="0.25">
      <c r="A446" s="103">
        <v>40003</v>
      </c>
      <c r="B446" s="2"/>
      <c r="C446" s="2"/>
      <c r="D446" s="93" t="s">
        <v>1671</v>
      </c>
      <c r="E446" s="65"/>
      <c r="F446" s="65"/>
      <c r="G446" s="94">
        <f>IF($A446=0,"",VLOOKUP($A446,'BASE MATERIAL'!$M:$P,4))</f>
        <v>0</v>
      </c>
      <c r="H446" s="95">
        <f>IF($A446=0,"",ROUND(G446*H444,2))</f>
        <v>0</v>
      </c>
      <c r="I446" s="2"/>
    </row>
    <row r="447" spans="1:10" ht="15.75" x14ac:dyDescent="0.25">
      <c r="B447" s="2"/>
      <c r="C447" s="2"/>
      <c r="D447" s="93" t="s">
        <v>1670</v>
      </c>
      <c r="E447" s="65"/>
      <c r="F447" s="65"/>
      <c r="G447" s="65"/>
      <c r="H447" s="96">
        <f>ROUND(SUM(H444:H446),2)</f>
        <v>187.92</v>
      </c>
      <c r="I447" s="2"/>
    </row>
    <row r="448" spans="1:10" ht="16.5" thickBot="1" x14ac:dyDescent="0.3">
      <c r="B448" s="25"/>
      <c r="C448" s="2"/>
      <c r="D448" s="97" t="s">
        <v>1650</v>
      </c>
      <c r="E448" s="88"/>
      <c r="F448" s="88"/>
      <c r="G448" s="88"/>
      <c r="H448" s="98">
        <f>ROUND(H447,2)</f>
        <v>187.92</v>
      </c>
      <c r="I448" s="2"/>
    </row>
    <row r="449" spans="1:15" ht="15.75" x14ac:dyDescent="0.25">
      <c r="B449" s="34" t="s">
        <v>1701</v>
      </c>
      <c r="C449" s="2"/>
      <c r="D449" s="3" t="str">
        <f>'1.1'!$D$1</f>
        <v>ESPOL</v>
      </c>
      <c r="E449" s="2"/>
      <c r="F449" s="2"/>
      <c r="H449" s="2" t="s">
        <v>108</v>
      </c>
      <c r="I449" s="2"/>
      <c r="L449" s="40">
        <f>A453</f>
        <v>2</v>
      </c>
      <c r="M449" s="1" t="str">
        <f>C454</f>
        <v>Pasamanos metalico tipo PM3</v>
      </c>
      <c r="N449" s="2" t="str">
        <f>H453</f>
        <v>ml</v>
      </c>
      <c r="O449" s="2">
        <f>H504</f>
        <v>96.8</v>
      </c>
    </row>
    <row r="450" spans="1:15" ht="15.75" x14ac:dyDescent="0.25">
      <c r="B450" s="34" t="s">
        <v>1700</v>
      </c>
      <c r="C450" s="3">
        <f>'1.1'!$C$2</f>
        <v>0</v>
      </c>
      <c r="D450" s="2"/>
      <c r="E450" s="2"/>
      <c r="F450" s="2"/>
      <c r="G450" s="41" t="s">
        <v>1699</v>
      </c>
      <c r="H450" s="42"/>
      <c r="I450" s="2" t="s">
        <v>1698</v>
      </c>
    </row>
    <row r="451" spans="1:15" ht="15.75" x14ac:dyDescent="0.25">
      <c r="B451" s="34"/>
      <c r="C451" s="3">
        <f>'1.1'!$C$3</f>
        <v>0</v>
      </c>
      <c r="D451" s="2"/>
      <c r="E451" s="2"/>
      <c r="F451" s="2"/>
      <c r="G451" s="2"/>
      <c r="H451" s="2"/>
      <c r="I451" s="2"/>
    </row>
    <row r="452" spans="1:15" ht="15.75" x14ac:dyDescent="0.25">
      <c r="B452" s="34" t="s">
        <v>1697</v>
      </c>
      <c r="C452" s="3"/>
      <c r="D452" s="2"/>
      <c r="E452" s="2"/>
      <c r="F452" s="2"/>
      <c r="G452" s="2"/>
      <c r="H452" s="2"/>
      <c r="I452" s="2"/>
    </row>
    <row r="453" spans="1:15" x14ac:dyDescent="0.25">
      <c r="A453" s="104">
        <v>2</v>
      </c>
      <c r="B453" s="2" t="s">
        <v>1586</v>
      </c>
      <c r="C453" s="36" t="s">
        <v>599</v>
      </c>
      <c r="D453" s="2"/>
      <c r="G453" s="2" t="s">
        <v>1696</v>
      </c>
      <c r="H453" s="3" t="s">
        <v>961</v>
      </c>
      <c r="I453" s="2"/>
    </row>
    <row r="454" spans="1:15" x14ac:dyDescent="0.25">
      <c r="B454" s="1" t="s">
        <v>1585</v>
      </c>
      <c r="C454" s="36" t="s">
        <v>913</v>
      </c>
      <c r="D454" s="2"/>
      <c r="E454" s="2"/>
      <c r="F454" s="2"/>
      <c r="G454" s="2"/>
      <c r="H454" s="2"/>
      <c r="I454" s="2"/>
    </row>
    <row r="455" spans="1:15" ht="15.75" thickBot="1" x14ac:dyDescent="0.3">
      <c r="D455" s="2"/>
      <c r="E455" s="2"/>
      <c r="F455" s="2"/>
      <c r="G455" s="2"/>
      <c r="H455" s="2"/>
      <c r="I455" s="2"/>
    </row>
    <row r="456" spans="1:15" ht="15.75" thickBot="1" x14ac:dyDescent="0.3">
      <c r="B456" s="43" t="s">
        <v>1695</v>
      </c>
      <c r="C456" s="44"/>
      <c r="D456" s="44"/>
      <c r="E456" s="44"/>
      <c r="F456" s="44"/>
      <c r="G456" s="44"/>
      <c r="H456" s="45"/>
      <c r="I456" s="2"/>
    </row>
    <row r="457" spans="1:15" ht="25.5" x14ac:dyDescent="0.25">
      <c r="B457" s="46" t="s">
        <v>1409</v>
      </c>
      <c r="C457" s="47"/>
      <c r="D457" s="48" t="s">
        <v>1690</v>
      </c>
      <c r="E457" s="48" t="s">
        <v>1694</v>
      </c>
      <c r="F457" s="48" t="s">
        <v>1693</v>
      </c>
      <c r="G457" s="49" t="s">
        <v>1687</v>
      </c>
      <c r="H457" s="50" t="s">
        <v>1686</v>
      </c>
      <c r="I457" s="2"/>
    </row>
    <row r="458" spans="1:15" x14ac:dyDescent="0.25">
      <c r="A458" s="103">
        <v>19015</v>
      </c>
      <c r="B458" s="51" t="str">
        <f>IF($A458=0,"",VLOOKUP($A458,'BASE EQUIPO'!$A:$D,2))</f>
        <v>HERRAMIENTA MENOR</v>
      </c>
      <c r="C458" s="52"/>
      <c r="D458" s="55">
        <v>1</v>
      </c>
      <c r="E458" s="53">
        <f>IF($A458=0,"",VLOOKUP($A458,'BASE EQUIPO'!$A:$D,4)*H474)</f>
        <v>1.0853999999999999</v>
      </c>
      <c r="F458" s="53">
        <f t="shared" ref="F458:F463" si="40">IF($A458=0,"",ROUND(D458*E458,2))</f>
        <v>1.0900000000000001</v>
      </c>
      <c r="G458" s="105">
        <v>1</v>
      </c>
      <c r="H458" s="54">
        <f t="shared" ref="H458:H463" si="41">IF($A458=0,"",ROUND(G458*F458,2))</f>
        <v>1.0900000000000001</v>
      </c>
      <c r="I458" s="2"/>
    </row>
    <row r="459" spans="1:15" x14ac:dyDescent="0.25">
      <c r="A459" s="103">
        <v>19011</v>
      </c>
      <c r="B459" s="38" t="str">
        <f>IF($A459=0,"",VLOOKUP($A459,'BASE EQUIPO'!$A:$D,2))</f>
        <v>SOLDADORA</v>
      </c>
      <c r="C459" s="2"/>
      <c r="D459" s="55">
        <v>1</v>
      </c>
      <c r="E459" s="55">
        <f>IF($A459=0,"",VLOOKUP($A459,'BASE EQUIPO'!$A:$D,4))</f>
        <v>2.5</v>
      </c>
      <c r="F459" s="55">
        <f t="shared" si="40"/>
        <v>2.5</v>
      </c>
      <c r="G459" s="106">
        <v>2</v>
      </c>
      <c r="H459" s="56">
        <f t="shared" si="41"/>
        <v>5</v>
      </c>
      <c r="I459" s="2"/>
    </row>
    <row r="460" spans="1:15" x14ac:dyDescent="0.25">
      <c r="A460" s="103">
        <v>19023</v>
      </c>
      <c r="B460" s="38" t="str">
        <f>IF($A460=0,"",VLOOKUP($A460,'BASE EQUIPO'!$A:$D,2))</f>
        <v>COMPRESOR Y PISTOLA</v>
      </c>
      <c r="C460" s="2"/>
      <c r="D460" s="55">
        <v>1</v>
      </c>
      <c r="E460" s="55">
        <f>IF($A460=0,"",VLOOKUP($A460,'BASE EQUIPO'!$A:$D,4))</f>
        <v>1.875</v>
      </c>
      <c r="F460" s="55">
        <f t="shared" si="40"/>
        <v>1.88</v>
      </c>
      <c r="G460" s="106">
        <f>+G459</f>
        <v>2</v>
      </c>
      <c r="H460" s="56">
        <f t="shared" si="41"/>
        <v>3.76</v>
      </c>
      <c r="I460" s="2"/>
    </row>
    <row r="461" spans="1:15" x14ac:dyDescent="0.25">
      <c r="B461" s="38" t="str">
        <f>IF($A461=0,"",VLOOKUP($A461,'BASE EQUIPO'!$A:$D,2))</f>
        <v/>
      </c>
      <c r="C461" s="2"/>
      <c r="D461" s="55"/>
      <c r="E461" s="55" t="str">
        <f>IF($A461=0,"",VLOOKUP($A461,'BASE EQUIPO'!$A:$D,4))</f>
        <v/>
      </c>
      <c r="F461" s="55" t="str">
        <f t="shared" si="40"/>
        <v/>
      </c>
      <c r="G461" s="106"/>
      <c r="H461" s="56" t="str">
        <f t="shared" si="41"/>
        <v/>
      </c>
      <c r="I461" s="2"/>
    </row>
    <row r="462" spans="1:15" x14ac:dyDescent="0.25">
      <c r="B462" s="38" t="str">
        <f>IF($A462=0,"",VLOOKUP($A462,'BASE EQUIPO'!$A:$D,2))</f>
        <v/>
      </c>
      <c r="C462" s="2"/>
      <c r="D462" s="55"/>
      <c r="E462" s="55" t="str">
        <f>IF($A462=0,"",VLOOKUP($A462,'BASE EQUIPO'!$A:$D,4))</f>
        <v/>
      </c>
      <c r="F462" s="55" t="str">
        <f t="shared" si="40"/>
        <v/>
      </c>
      <c r="G462" s="106"/>
      <c r="H462" s="56" t="str">
        <f t="shared" si="41"/>
        <v/>
      </c>
      <c r="I462" s="2"/>
    </row>
    <row r="463" spans="1:15" x14ac:dyDescent="0.25">
      <c r="B463" s="57" t="str">
        <f>IF($A463=0,"",VLOOKUP($A463,'BASE EQUIPO'!$A:$D,2))</f>
        <v/>
      </c>
      <c r="C463" s="58"/>
      <c r="D463" s="59"/>
      <c r="E463" s="59" t="str">
        <f>IF($A463=0,"",VLOOKUP($A463,'BASE EQUIPO'!$A:$D,4))</f>
        <v/>
      </c>
      <c r="F463" s="59" t="str">
        <f t="shared" si="40"/>
        <v/>
      </c>
      <c r="G463" s="107"/>
      <c r="H463" s="60" t="str">
        <f t="shared" si="41"/>
        <v/>
      </c>
      <c r="I463" s="2"/>
    </row>
    <row r="464" spans="1:15" x14ac:dyDescent="0.25">
      <c r="B464" s="57" t="s">
        <v>1692</v>
      </c>
      <c r="C464" s="58"/>
      <c r="D464" s="61"/>
      <c r="E464" s="61"/>
      <c r="F464" s="61"/>
      <c r="G464" s="62"/>
      <c r="H464" s="60">
        <f>ROUND(SUM(H457:H463),2)</f>
        <v>9.85</v>
      </c>
      <c r="I464" s="2"/>
    </row>
    <row r="465" spans="1:16" x14ac:dyDescent="0.25">
      <c r="B465" s="38" t="s">
        <v>1503</v>
      </c>
      <c r="C465" s="2"/>
      <c r="D465" s="3"/>
      <c r="E465" s="3"/>
      <c r="F465" s="3"/>
      <c r="G465" s="63"/>
      <c r="H465" s="56"/>
      <c r="I465" s="2"/>
    </row>
    <row r="466" spans="1:16" ht="25.5" x14ac:dyDescent="0.25">
      <c r="B466" s="64" t="s">
        <v>1691</v>
      </c>
      <c r="C466" s="65"/>
      <c r="D466" s="66" t="s">
        <v>1690</v>
      </c>
      <c r="E466" s="66" t="s">
        <v>1689</v>
      </c>
      <c r="F466" s="66" t="s">
        <v>1688</v>
      </c>
      <c r="G466" s="67" t="s">
        <v>1687</v>
      </c>
      <c r="H466" s="68" t="s">
        <v>1686</v>
      </c>
      <c r="I466" s="2"/>
    </row>
    <row r="467" spans="1:16" x14ac:dyDescent="0.25">
      <c r="B467" s="69" t="str">
        <f>IF($A467=0,"",VLOOKUP($A467,'BASE M-OBRA'!$A:$D,2))</f>
        <v/>
      </c>
      <c r="C467" s="2"/>
      <c r="D467" s="108"/>
      <c r="E467" s="70" t="str">
        <f>IF($A467=0,"",VLOOKUP($A467,'BASE M-OBRA'!$A:$D,4))</f>
        <v/>
      </c>
      <c r="F467" s="55" t="str">
        <f t="shared" ref="F467:F473" si="42">IF($A467=0,"",ROUND(D467*E467,2))</f>
        <v/>
      </c>
      <c r="G467" s="106" t="str">
        <f>IF($A467=0,"",ROUND(H467/F467,2))</f>
        <v/>
      </c>
      <c r="H467" s="56" t="str">
        <f>IF($A467=0,"",ROUND(SUM(H468:H473)*'BASE M-OBRA'!$D$23,2))</f>
        <v/>
      </c>
      <c r="I467" s="2"/>
    </row>
    <row r="468" spans="1:16" x14ac:dyDescent="0.25">
      <c r="A468" s="103">
        <v>20006</v>
      </c>
      <c r="B468" s="69" t="str">
        <f>IF($A468=0,"",VLOOKUP($A468,'BASE M-OBRA'!$A:$D,2))</f>
        <v>MAESTRO  SOLDADOR</v>
      </c>
      <c r="C468" s="2"/>
      <c r="D468" s="108">
        <v>2</v>
      </c>
      <c r="E468" s="70">
        <f>IF($A468=0,"",VLOOKUP($A468,'BASE M-OBRA'!$A:$D,4))</f>
        <v>3.02</v>
      </c>
      <c r="F468" s="55">
        <f t="shared" si="42"/>
        <v>6.04</v>
      </c>
      <c r="G468" s="106">
        <v>2.5</v>
      </c>
      <c r="H468" s="56">
        <f t="shared" ref="H468:H473" si="43">IF($A468=0,"",ROUND(G468*F468,2))</f>
        <v>15.1</v>
      </c>
      <c r="I468" s="2"/>
      <c r="K468" s="1">
        <f>320/8</f>
        <v>40</v>
      </c>
    </row>
    <row r="469" spans="1:16" x14ac:dyDescent="0.25">
      <c r="A469" s="103">
        <v>20011</v>
      </c>
      <c r="B469" s="69" t="str">
        <f>IF($A469=0,"",VLOOKUP($A469,'BASE M-OBRA'!$A:$D,2))</f>
        <v>AYUDANTE ESPECIALISTA</v>
      </c>
      <c r="C469" s="2"/>
      <c r="D469" s="108">
        <v>1</v>
      </c>
      <c r="E469" s="70">
        <f>IF($A469=0,"",VLOOKUP($A469,'BASE M-OBRA'!$A:$D,4))</f>
        <v>2.79</v>
      </c>
      <c r="F469" s="55">
        <f t="shared" si="42"/>
        <v>2.79</v>
      </c>
      <c r="G469" s="106">
        <f>+G468</f>
        <v>2.5</v>
      </c>
      <c r="H469" s="56">
        <f t="shared" si="43"/>
        <v>6.98</v>
      </c>
      <c r="I469" s="2"/>
    </row>
    <row r="470" spans="1:16" x14ac:dyDescent="0.25">
      <c r="A470" s="103">
        <v>20018</v>
      </c>
      <c r="B470" s="71" t="str">
        <f>IF($A470=0,"",VLOOKUP($A470,'BASE M-OBRA'!$A:$D,2))</f>
        <v>PINTOR</v>
      </c>
      <c r="C470" s="2"/>
      <c r="D470" s="108">
        <v>2</v>
      </c>
      <c r="E470" s="70">
        <f>IF($A470=0,"",VLOOKUP($A470,'BASE M-OBRA'!$A:$D,4))</f>
        <v>2.82</v>
      </c>
      <c r="F470" s="55">
        <f t="shared" si="42"/>
        <v>5.64</v>
      </c>
      <c r="G470" s="106">
        <f>+G469</f>
        <v>2.5</v>
      </c>
      <c r="H470" s="56">
        <f t="shared" si="43"/>
        <v>14.1</v>
      </c>
      <c r="I470" s="2"/>
      <c r="J470" s="1">
        <f>0.25*30000</f>
        <v>7500</v>
      </c>
    </row>
    <row r="471" spans="1:16" x14ac:dyDescent="0.25">
      <c r="B471" s="72" t="str">
        <f>IF($A471=0,"",VLOOKUP($A471,'BASE M-OBRA'!$A:$D,2))</f>
        <v/>
      </c>
      <c r="C471" s="2"/>
      <c r="D471" s="108"/>
      <c r="E471" s="70" t="str">
        <f>IF($A471=0,"",VLOOKUP($A471,'BASE M-OBRA'!$A:$D,4))</f>
        <v/>
      </c>
      <c r="F471" s="55" t="str">
        <f t="shared" si="42"/>
        <v/>
      </c>
      <c r="G471" s="106"/>
      <c r="H471" s="56" t="str">
        <f t="shared" si="43"/>
        <v/>
      </c>
      <c r="I471" s="2"/>
    </row>
    <row r="472" spans="1:16" x14ac:dyDescent="0.25">
      <c r="B472" s="38" t="str">
        <f>IF($A472=0,"",VLOOKUP($A472,'BASE M-OBRA'!$A:$D,2))</f>
        <v/>
      </c>
      <c r="C472" s="2"/>
      <c r="D472" s="55"/>
      <c r="E472" s="55" t="str">
        <f>IF($A472=0,"",VLOOKUP($A472,'BASE M-OBRA'!$A:$D,4))</f>
        <v/>
      </c>
      <c r="F472" s="55" t="str">
        <f t="shared" si="42"/>
        <v/>
      </c>
      <c r="G472" s="106"/>
      <c r="H472" s="56" t="str">
        <f t="shared" si="43"/>
        <v/>
      </c>
      <c r="I472" s="2"/>
    </row>
    <row r="473" spans="1:16" x14ac:dyDescent="0.25">
      <c r="B473" s="57" t="str">
        <f>IF($A473=0,"",VLOOKUP($A473,'BASE M-OBRA'!$A:$D,2))</f>
        <v/>
      </c>
      <c r="C473" s="58"/>
      <c r="D473" s="59"/>
      <c r="E473" s="59" t="str">
        <f>IF($A473=0,"",VLOOKUP($A473,'BASE M-OBRA'!$A:$D,4))</f>
        <v/>
      </c>
      <c r="F473" s="59" t="str">
        <f t="shared" si="42"/>
        <v/>
      </c>
      <c r="G473" s="107"/>
      <c r="H473" s="60" t="str">
        <f t="shared" si="43"/>
        <v/>
      </c>
      <c r="I473" s="2"/>
    </row>
    <row r="474" spans="1:16" x14ac:dyDescent="0.25">
      <c r="B474" s="73" t="s">
        <v>1685</v>
      </c>
      <c r="C474" s="65"/>
      <c r="D474" s="74"/>
      <c r="E474" s="74"/>
      <c r="F474" s="74"/>
      <c r="G474" s="74"/>
      <c r="H474" s="75">
        <f>ROUND(SUM(H466:H473),2)</f>
        <v>36.18</v>
      </c>
      <c r="I474" s="2"/>
      <c r="J474" s="1">
        <f>13200*0.3</f>
        <v>3960</v>
      </c>
    </row>
    <row r="475" spans="1:16" x14ac:dyDescent="0.25">
      <c r="B475" s="38" t="s">
        <v>1684</v>
      </c>
      <c r="C475" s="2"/>
      <c r="D475" s="3"/>
      <c r="E475" s="3"/>
      <c r="F475" s="3"/>
      <c r="G475" s="3"/>
      <c r="H475" s="56"/>
      <c r="I475" s="2"/>
    </row>
    <row r="476" spans="1:16" ht="25.5" x14ac:dyDescent="0.25">
      <c r="B476" s="64" t="s">
        <v>1409</v>
      </c>
      <c r="C476" s="65"/>
      <c r="D476" s="76"/>
      <c r="E476" s="66" t="s">
        <v>1408</v>
      </c>
      <c r="F476" s="66" t="s">
        <v>1679</v>
      </c>
      <c r="G476" s="66" t="s">
        <v>1683</v>
      </c>
      <c r="H476" s="68" t="s">
        <v>1675</v>
      </c>
      <c r="I476" s="2"/>
    </row>
    <row r="477" spans="1:16" x14ac:dyDescent="0.25">
      <c r="A477" s="103">
        <v>14002</v>
      </c>
      <c r="B477" s="38" t="str">
        <f>IF($A477=0,"",VLOOKUP($A477,'BASE MATERIAL'!$A:$D,2))</f>
        <v>SOLDADURA aga 60/11</v>
      </c>
      <c r="C477" s="2"/>
      <c r="D477" s="77"/>
      <c r="E477" s="78" t="str">
        <f>IF($A477=0,"",VLOOKUP($A477,'BASE MATERIAL'!$A:$D,3))</f>
        <v>KG</v>
      </c>
      <c r="F477" s="113">
        <f>ROUND(0.044*J477,4)</f>
        <v>0.38679999999999998</v>
      </c>
      <c r="G477" s="55">
        <f>IF($A477=0,"",VLOOKUP($A477,'BASE MATERIAL'!$A:$D,4))</f>
        <v>3.65</v>
      </c>
      <c r="H477" s="56">
        <f t="shared" ref="H477:H491" si="44">IF($A477=0,"",ROUND(F477*G477,2))</f>
        <v>1.41</v>
      </c>
      <c r="I477" s="2"/>
      <c r="J477" s="1">
        <f>SUM(J479:J481)</f>
        <v>8.7919999999999998</v>
      </c>
      <c r="K477" s="1" t="s">
        <v>225</v>
      </c>
      <c r="L477" s="2"/>
      <c r="M477" s="2"/>
      <c r="N477" s="39"/>
      <c r="O477" s="2"/>
      <c r="P477" s="2"/>
    </row>
    <row r="478" spans="1:16" x14ac:dyDescent="0.25">
      <c r="B478" s="38" t="str">
        <f>IF($A478=0,"",VLOOKUP($A478,'BASE MATERIAL'!$A:$D,2))</f>
        <v/>
      </c>
      <c r="C478" s="2"/>
      <c r="D478" s="77"/>
      <c r="E478" s="78" t="str">
        <f>IF($A478=0,"",VLOOKUP($A478,'BASE MATERIAL'!$A:$D,3))</f>
        <v/>
      </c>
      <c r="F478" s="113"/>
      <c r="G478" s="55" t="str">
        <f>IF($A478=0,"",VLOOKUP($A478,'BASE MATERIAL'!$A:$D,4))</f>
        <v/>
      </c>
      <c r="H478" s="56" t="str">
        <f t="shared" si="44"/>
        <v/>
      </c>
      <c r="I478" s="2"/>
      <c r="L478" s="2"/>
      <c r="M478" s="2"/>
      <c r="N478" s="39"/>
      <c r="O478" s="2"/>
      <c r="P478" s="2"/>
    </row>
    <row r="479" spans="1:16" x14ac:dyDescent="0.25">
      <c r="A479" s="103">
        <v>13016</v>
      </c>
      <c r="B479" s="38" t="str">
        <f>IF($A479=0,"",VLOOKUP($A479,'BASE MATERIAL'!$A:$D,2))</f>
        <v>PINTURA ANTICORROSIVA</v>
      </c>
      <c r="C479" s="2"/>
      <c r="D479" s="77"/>
      <c r="E479" s="78" t="str">
        <f>IF($A479=0,"",VLOOKUP($A479,'BASE MATERIAL'!$A:$D,3))</f>
        <v>GL</v>
      </c>
      <c r="F479" s="113">
        <f>ROUND(0.6*0.08*1.5*2,4)</f>
        <v>0.14399999999999999</v>
      </c>
      <c r="G479" s="55">
        <f>IF($A479=0,"",VLOOKUP($A479,'BASE MATERIAL'!$A:$D,4))</f>
        <v>16</v>
      </c>
      <c r="H479" s="56">
        <f t="shared" si="44"/>
        <v>2.2999999999999998</v>
      </c>
      <c r="I479" s="2"/>
      <c r="J479" s="79">
        <f>7.85*2*0.12*3</f>
        <v>5.6519999999999992</v>
      </c>
      <c r="K479" s="1" t="s">
        <v>842</v>
      </c>
      <c r="L479" s="2"/>
      <c r="M479" s="2"/>
      <c r="N479" s="39"/>
      <c r="O479" s="2"/>
      <c r="P479" s="2"/>
    </row>
    <row r="480" spans="1:16" x14ac:dyDescent="0.25">
      <c r="A480" s="103">
        <v>13017</v>
      </c>
      <c r="B480" s="38" t="str">
        <f>IF($A480=0,"",VLOOKUP($A480,'BASE MATERIAL'!$A:$D,2))</f>
        <v>PINTURA ACABADO METALICO</v>
      </c>
      <c r="C480" s="2"/>
      <c r="D480" s="77"/>
      <c r="E480" s="78" t="str">
        <f>IF($A480=0,"",VLOOKUP($A480,'BASE MATERIAL'!$A:$D,3))</f>
        <v>GL</v>
      </c>
      <c r="F480" s="113">
        <f>ROUND(0.6*0.08*1.5*3,4)</f>
        <v>0.216</v>
      </c>
      <c r="G480" s="55">
        <f>IF($A480=0,"",VLOOKUP($A480,'BASE MATERIAL'!$A:$D,4))</f>
        <v>17</v>
      </c>
      <c r="H480" s="56">
        <f t="shared" si="44"/>
        <v>3.67</v>
      </c>
      <c r="I480" s="2"/>
      <c r="K480" s="1" t="s">
        <v>223</v>
      </c>
      <c r="L480" s="2"/>
      <c r="M480" s="2"/>
      <c r="N480" s="39"/>
      <c r="O480" s="2"/>
      <c r="P480" s="2"/>
    </row>
    <row r="481" spans="1:16" x14ac:dyDescent="0.25">
      <c r="A481" s="103">
        <v>13010</v>
      </c>
      <c r="B481" s="38" t="str">
        <f>IF($A481=0,"",VLOOKUP($A481,'BASE MATERIAL'!$A:$D,2))</f>
        <v>DILUYENTE</v>
      </c>
      <c r="C481" s="2"/>
      <c r="D481" s="77"/>
      <c r="E481" s="78" t="str">
        <f>IF($A481=0,"",VLOOKUP($A481,'BASE MATERIAL'!$A:$D,3))</f>
        <v>GL</v>
      </c>
      <c r="F481" s="113">
        <f>ROUND(0.25*(F479),4)</f>
        <v>3.5999999999999997E-2</v>
      </c>
      <c r="G481" s="55">
        <f>IF($A481=0,"",VLOOKUP($A481,'BASE MATERIAL'!$A:$D,4))</f>
        <v>6</v>
      </c>
      <c r="H481" s="56">
        <f t="shared" si="44"/>
        <v>0.22</v>
      </c>
      <c r="I481" s="2"/>
      <c r="J481" s="79">
        <f>7.85*2*0.1*2</f>
        <v>3.14</v>
      </c>
      <c r="K481" s="1" t="s">
        <v>224</v>
      </c>
      <c r="L481" s="2"/>
      <c r="M481" s="2"/>
      <c r="N481" s="39"/>
      <c r="O481" s="2"/>
      <c r="P481" s="2"/>
    </row>
    <row r="482" spans="1:16" x14ac:dyDescent="0.25">
      <c r="A482" s="103">
        <v>13011</v>
      </c>
      <c r="B482" s="38" t="str">
        <f>IF($A482=0,"",VLOOKUP($A482,'BASE MATERIAL'!$A:$D,2))</f>
        <v>DESOXIDANTE</v>
      </c>
      <c r="C482" s="2"/>
      <c r="D482" s="77"/>
      <c r="E482" s="78" t="str">
        <f>IF($A482=0,"",VLOOKUP($A482,'BASE MATERIAL'!$A:$D,3))</f>
        <v>GL</v>
      </c>
      <c r="F482" s="113">
        <f>ROUND(0.005*2*(J477),4)</f>
        <v>8.7900000000000006E-2</v>
      </c>
      <c r="G482" s="55">
        <f>IF($A482=0,"",VLOOKUP($A482,'BASE MATERIAL'!$A:$D,4))</f>
        <v>12</v>
      </c>
      <c r="H482" s="56">
        <f t="shared" si="44"/>
        <v>1.05</v>
      </c>
      <c r="I482" s="2"/>
      <c r="J482" s="79"/>
      <c r="L482" s="2"/>
      <c r="M482" s="2"/>
      <c r="N482" s="39"/>
      <c r="O482" s="2"/>
      <c r="P482" s="2"/>
    </row>
    <row r="483" spans="1:16" x14ac:dyDescent="0.25">
      <c r="B483" s="38" t="str">
        <f>IF($A483=0,"",VLOOKUP($A483,'BASE MATERIAL'!$A:$D,2))</f>
        <v/>
      </c>
      <c r="C483" s="2"/>
      <c r="D483" s="77"/>
      <c r="E483" s="78" t="str">
        <f>IF($A483=0,"",VLOOKUP($A483,'BASE MATERIAL'!$A:$D,3))</f>
        <v/>
      </c>
      <c r="F483" s="55"/>
      <c r="G483" s="55" t="str">
        <f>IF($A483=0,"",VLOOKUP($A483,'BASE MATERIAL'!$A:$D,4))</f>
        <v/>
      </c>
      <c r="H483" s="56" t="str">
        <f t="shared" si="44"/>
        <v/>
      </c>
      <c r="I483" s="2"/>
      <c r="L483" s="2"/>
      <c r="M483" s="2"/>
      <c r="N483" s="39"/>
      <c r="O483" s="2"/>
      <c r="P483" s="2"/>
    </row>
    <row r="484" spans="1:16" x14ac:dyDescent="0.25">
      <c r="A484" s="103">
        <v>1</v>
      </c>
      <c r="B484" s="38" t="s">
        <v>911</v>
      </c>
      <c r="C484" s="2"/>
      <c r="D484" s="77"/>
      <c r="E484" s="78" t="s">
        <v>961</v>
      </c>
      <c r="F484" s="55">
        <f>0.2*2/0.9</f>
        <v>0.44444444444444448</v>
      </c>
      <c r="G484" s="55">
        <f>3.77*1.1</f>
        <v>4.1470000000000002</v>
      </c>
      <c r="H484" s="56">
        <f t="shared" si="44"/>
        <v>1.84</v>
      </c>
      <c r="I484" s="2"/>
      <c r="J484" s="79">
        <f>7.85*2*0.12*1.2</f>
        <v>2.2607999999999997</v>
      </c>
      <c r="K484" s="1">
        <f>3.1416*0.0254*1.5</f>
        <v>0.11969496</v>
      </c>
      <c r="L484" s="2">
        <f>7.85*0.6*0.1*8</f>
        <v>3.7680000000000002</v>
      </c>
      <c r="M484" s="2"/>
      <c r="N484" s="39"/>
      <c r="O484" s="2"/>
      <c r="P484" s="2"/>
    </row>
    <row r="485" spans="1:16" x14ac:dyDescent="0.25">
      <c r="B485" s="38"/>
      <c r="C485" s="2"/>
      <c r="D485" s="77"/>
      <c r="E485" s="78"/>
      <c r="F485" s="55"/>
      <c r="G485" s="55"/>
      <c r="H485" s="56" t="str">
        <f t="shared" si="44"/>
        <v/>
      </c>
      <c r="I485" s="2"/>
      <c r="J485" s="79">
        <f>7.85*2*0.1*1.2</f>
        <v>1.8839999999999999</v>
      </c>
      <c r="K485" s="1">
        <f>0.0254*1.25*3.1416</f>
        <v>9.9745799999999996E-2</v>
      </c>
    </row>
    <row r="486" spans="1:16" x14ac:dyDescent="0.25">
      <c r="A486" s="103">
        <v>1</v>
      </c>
      <c r="B486" s="38" t="s">
        <v>1678</v>
      </c>
      <c r="C486" s="2"/>
      <c r="D486" s="77"/>
      <c r="E486" s="78" t="s">
        <v>1506</v>
      </c>
      <c r="F486" s="55">
        <v>4</v>
      </c>
      <c r="G486" s="55">
        <v>0.7</v>
      </c>
      <c r="H486" s="56">
        <f t="shared" si="44"/>
        <v>2.8</v>
      </c>
      <c r="I486" s="2"/>
      <c r="L486" s="2"/>
      <c r="M486" s="2"/>
      <c r="N486" s="39"/>
      <c r="O486" s="2"/>
      <c r="P486" s="2"/>
    </row>
    <row r="487" spans="1:16" x14ac:dyDescent="0.25">
      <c r="A487" s="103">
        <v>1</v>
      </c>
      <c r="B487" s="38" t="s">
        <v>912</v>
      </c>
      <c r="C487" s="2"/>
      <c r="D487" s="77"/>
      <c r="E487" s="78" t="s">
        <v>1506</v>
      </c>
      <c r="F487" s="55">
        <v>1</v>
      </c>
      <c r="G487" s="55">
        <v>6</v>
      </c>
      <c r="H487" s="56">
        <f t="shared" si="44"/>
        <v>6</v>
      </c>
      <c r="I487" s="2"/>
      <c r="J487" s="79">
        <f>0.13*3</f>
        <v>0.39</v>
      </c>
      <c r="K487" s="1">
        <f>7.85*0.1*0.2*12</f>
        <v>1.8840000000000003</v>
      </c>
      <c r="L487" s="2">
        <f>+K487*1.1</f>
        <v>2.0724000000000005</v>
      </c>
      <c r="M487" s="2"/>
      <c r="N487" s="39"/>
      <c r="O487" s="2"/>
      <c r="P487" s="2"/>
    </row>
    <row r="488" spans="1:16" x14ac:dyDescent="0.25">
      <c r="A488" s="103">
        <v>1</v>
      </c>
      <c r="B488" s="38" t="s">
        <v>909</v>
      </c>
      <c r="C488" s="2"/>
      <c r="D488" s="77"/>
      <c r="E488" s="78" t="s">
        <v>961</v>
      </c>
      <c r="F488" s="55">
        <v>1</v>
      </c>
      <c r="G488" s="55">
        <v>30</v>
      </c>
      <c r="H488" s="56">
        <f t="shared" si="44"/>
        <v>30</v>
      </c>
      <c r="I488" s="2"/>
      <c r="J488" s="79">
        <f>0.1*2</f>
        <v>0.2</v>
      </c>
    </row>
    <row r="489" spans="1:16" x14ac:dyDescent="0.25">
      <c r="B489" s="38"/>
      <c r="C489" s="2"/>
      <c r="D489" s="77"/>
      <c r="E489" s="78"/>
      <c r="F489" s="55"/>
      <c r="G489" s="55"/>
      <c r="H489" s="56" t="str">
        <f t="shared" si="44"/>
        <v/>
      </c>
      <c r="I489" s="2"/>
      <c r="J489" s="79">
        <f>SUM(J487:J488)</f>
        <v>0.59000000000000008</v>
      </c>
    </row>
    <row r="490" spans="1:16" x14ac:dyDescent="0.25">
      <c r="B490" s="38" t="str">
        <f>IF($A490=0,"",VLOOKUP($A490,'BASE MATERIAL'!$A:$D,2))</f>
        <v/>
      </c>
      <c r="C490" s="2"/>
      <c r="D490" s="77"/>
      <c r="E490" s="78" t="str">
        <f>IF($A490=0,"",VLOOKUP($A490,'BASE MATERIAL'!$A:$D,3))</f>
        <v/>
      </c>
      <c r="F490" s="55"/>
      <c r="G490" s="55" t="str">
        <f>IF($A490=0,"",VLOOKUP($A490,'BASE MATERIAL'!$A:$D,4))</f>
        <v/>
      </c>
      <c r="H490" s="56" t="str">
        <f t="shared" si="44"/>
        <v/>
      </c>
      <c r="I490" s="2"/>
    </row>
    <row r="491" spans="1:16" x14ac:dyDescent="0.25">
      <c r="B491" s="38" t="str">
        <f>IF($A491=0,"",VLOOKUP($A491,'BASE MATERIAL'!$A:$D,2))</f>
        <v/>
      </c>
      <c r="C491" s="2"/>
      <c r="D491" s="77"/>
      <c r="E491" s="78" t="str">
        <f>IF($A491=0,"",VLOOKUP($A491,'BASE MATERIAL'!$A:$D,3))</f>
        <v/>
      </c>
      <c r="F491" s="55"/>
      <c r="G491" s="55" t="str">
        <f>IF($A491=0,"",VLOOKUP($A491,'BASE MATERIAL'!$A:$D,4))</f>
        <v/>
      </c>
      <c r="H491" s="56" t="str">
        <f t="shared" si="44"/>
        <v/>
      </c>
      <c r="I491" s="2"/>
    </row>
    <row r="492" spans="1:16" x14ac:dyDescent="0.25">
      <c r="B492" s="38" t="str">
        <f>IF($A492=0,"",VLOOKUP($A492,'BASE MATERIAL'!$A:$D,2))</f>
        <v/>
      </c>
      <c r="C492" s="2"/>
      <c r="D492" s="81" t="s">
        <v>1682</v>
      </c>
      <c r="E492" s="55" t="str">
        <f>IF($A492=0,"",VLOOKUP($A492,'BASE MATERIAL'!$A:$D,3))</f>
        <v/>
      </c>
      <c r="F492" s="55" t="s">
        <v>1682</v>
      </c>
      <c r="G492" s="55" t="str">
        <f>IF($A492=0,"",VLOOKUP($A492,'BASE MATERIAL'!$A:$D,4))</f>
        <v/>
      </c>
      <c r="H492" s="56" t="str">
        <f>IF($A492=0,"",ROUND(E492*F492,2))</f>
        <v/>
      </c>
      <c r="I492" s="2"/>
    </row>
    <row r="493" spans="1:16" x14ac:dyDescent="0.25">
      <c r="B493" s="73" t="s">
        <v>1681</v>
      </c>
      <c r="C493" s="65"/>
      <c r="D493" s="74"/>
      <c r="E493" s="74"/>
      <c r="F493" s="74"/>
      <c r="G493" s="74"/>
      <c r="H493" s="75">
        <f>ROUND(SUM(H476:H492),2)</f>
        <v>49.29</v>
      </c>
      <c r="I493" s="2"/>
    </row>
    <row r="494" spans="1:16" x14ac:dyDescent="0.25">
      <c r="B494" s="38" t="s">
        <v>1680</v>
      </c>
      <c r="C494" s="2"/>
      <c r="D494" s="3"/>
      <c r="E494" s="3"/>
      <c r="F494" s="3"/>
      <c r="G494" s="3"/>
      <c r="H494" s="56"/>
      <c r="I494" s="2"/>
    </row>
    <row r="495" spans="1:16" ht="25.5" x14ac:dyDescent="0.25">
      <c r="B495" s="64" t="s">
        <v>1409</v>
      </c>
      <c r="C495" s="65"/>
      <c r="D495" s="76"/>
      <c r="E495" s="66" t="s">
        <v>1408</v>
      </c>
      <c r="F495" s="66" t="s">
        <v>1679</v>
      </c>
      <c r="G495" s="66" t="s">
        <v>1676</v>
      </c>
      <c r="H495" s="68" t="s">
        <v>1675</v>
      </c>
      <c r="I495" s="2"/>
    </row>
    <row r="496" spans="1:16" x14ac:dyDescent="0.25">
      <c r="A496" s="103">
        <v>19019</v>
      </c>
      <c r="B496" s="51" t="str">
        <f>IF($A496=0,"",VLOOKUP($A496,'BASE EQUIPO'!$A:$D,2))</f>
        <v>TRANSPORTE DE MATERIAL</v>
      </c>
      <c r="C496" s="52"/>
      <c r="D496" s="82"/>
      <c r="E496" s="78" t="str">
        <f>IF($A496=0,"",VLOOKUP($A496,'BASE EQUIPO'!$A:$D,3))</f>
        <v>GLOBAL</v>
      </c>
      <c r="F496" s="55">
        <v>1</v>
      </c>
      <c r="G496" s="83">
        <f>IF($A496=0,"",VLOOKUP($A496,'BASE EQUIPO'!$A:$D,4)*H493)</f>
        <v>1.4786999999999999</v>
      </c>
      <c r="H496" s="56">
        <f>IF($A496=0,"",ROUND(F496*G496,2))</f>
        <v>1.48</v>
      </c>
      <c r="I496" s="2"/>
    </row>
    <row r="497" spans="1:15" x14ac:dyDescent="0.25">
      <c r="B497" s="38" t="str">
        <f>IF($A497=0,"",VLOOKUP($A497,'BASE EQUIPO'!$A:$D,2))</f>
        <v/>
      </c>
      <c r="C497" s="2"/>
      <c r="D497" s="84"/>
      <c r="E497" s="78" t="str">
        <f>IF($A497=0,"",VLOOKUP($A497,'BASE EQUIPO'!$A:$D,3))</f>
        <v/>
      </c>
      <c r="F497" s="55"/>
      <c r="G497" s="55" t="str">
        <f>IF($A497=0,"",VLOOKUP($A497,'BASE EQUIPO'!$A:$D,4)*H494)</f>
        <v/>
      </c>
      <c r="H497" s="56" t="str">
        <f>IF($A497=0,"",ROUND(F497*G497,2))</f>
        <v/>
      </c>
      <c r="I497" s="2"/>
    </row>
    <row r="498" spans="1:15" x14ac:dyDescent="0.25">
      <c r="B498" s="57" t="str">
        <f>IF($A498=0,"",VLOOKUP($A498,'BASE EQUIPO'!$A:$D,2))</f>
        <v/>
      </c>
      <c r="C498" s="58"/>
      <c r="D498" s="85"/>
      <c r="E498" s="86" t="str">
        <f>IF($A498=0,"",VLOOKUP($A498,'BASE EQUIPO'!$A:$D,3))</f>
        <v/>
      </c>
      <c r="F498" s="59"/>
      <c r="G498" s="59" t="str">
        <f>IF($A498=0,"",VLOOKUP($A498,'BASE EQUIPO'!$A:$D,4)*H495)</f>
        <v/>
      </c>
      <c r="H498" s="60" t="str">
        <f>IF($A498=0,"",ROUND(F498*G498,2))</f>
        <v/>
      </c>
      <c r="I498" s="2"/>
    </row>
    <row r="499" spans="1:15" ht="15.75" thickBot="1" x14ac:dyDescent="0.3">
      <c r="B499" s="87" t="s">
        <v>1674</v>
      </c>
      <c r="C499" s="88"/>
      <c r="D499" s="89"/>
      <c r="E499" s="89"/>
      <c r="F499" s="89"/>
      <c r="G499" s="89"/>
      <c r="H499" s="90">
        <f>ROUND(SUM(H495:H498),2)</f>
        <v>1.48</v>
      </c>
      <c r="I499" s="2"/>
    </row>
    <row r="500" spans="1:15" ht="15.75" x14ac:dyDescent="0.25">
      <c r="B500" s="2"/>
      <c r="C500" s="2"/>
      <c r="D500" s="91" t="s">
        <v>1673</v>
      </c>
      <c r="E500" s="47"/>
      <c r="F500" s="47"/>
      <c r="G500" s="47"/>
      <c r="H500" s="92">
        <f>ROUND(SUM(H499,H493,H474,H464),2)</f>
        <v>96.8</v>
      </c>
      <c r="I500" s="2"/>
    </row>
    <row r="501" spans="1:15" ht="15.75" x14ac:dyDescent="0.25">
      <c r="A501" s="103">
        <v>40002</v>
      </c>
      <c r="B501" s="2"/>
      <c r="C501" s="2"/>
      <c r="D501" s="93" t="s">
        <v>1672</v>
      </c>
      <c r="E501" s="65"/>
      <c r="F501" s="65"/>
      <c r="G501" s="94">
        <f>IF($A501=0,"",VLOOKUP($A501,'BASE MATERIAL'!$M:$P,4))</f>
        <v>0</v>
      </c>
      <c r="H501" s="95">
        <f>IF($A501=0,"",ROUND(G501*H500,2))</f>
        <v>0</v>
      </c>
      <c r="I501" s="2"/>
    </row>
    <row r="502" spans="1:15" ht="15.75" x14ac:dyDescent="0.25">
      <c r="A502" s="103">
        <v>40003</v>
      </c>
      <c r="B502" s="2"/>
      <c r="C502" s="2"/>
      <c r="D502" s="93" t="s">
        <v>1671</v>
      </c>
      <c r="E502" s="65"/>
      <c r="F502" s="65"/>
      <c r="G502" s="94">
        <f>IF($A502=0,"",VLOOKUP($A502,'BASE MATERIAL'!$M:$P,4))</f>
        <v>0</v>
      </c>
      <c r="H502" s="95">
        <f>IF($A502=0,"",ROUND(G502*H500,2))</f>
        <v>0</v>
      </c>
      <c r="I502" s="2"/>
    </row>
    <row r="503" spans="1:15" ht="15.75" x14ac:dyDescent="0.25">
      <c r="B503" s="2"/>
      <c r="C503" s="2"/>
      <c r="D503" s="93" t="s">
        <v>1670</v>
      </c>
      <c r="E503" s="65"/>
      <c r="F503" s="65"/>
      <c r="G503" s="65"/>
      <c r="H503" s="96">
        <f>ROUND(SUM(H500:H502),2)</f>
        <v>96.8</v>
      </c>
      <c r="I503" s="2"/>
    </row>
    <row r="504" spans="1:15" ht="16.5" thickBot="1" x14ac:dyDescent="0.3">
      <c r="B504" s="25"/>
      <c r="C504" s="2"/>
      <c r="D504" s="97" t="s">
        <v>1650</v>
      </c>
      <c r="E504" s="88"/>
      <c r="F504" s="88"/>
      <c r="G504" s="88"/>
      <c r="H504" s="98">
        <f>ROUND(H503,2)</f>
        <v>96.8</v>
      </c>
      <c r="I504" s="2"/>
    </row>
    <row r="505" spans="1:15" ht="15.75" x14ac:dyDescent="0.25">
      <c r="B505" s="34" t="s">
        <v>1701</v>
      </c>
      <c r="C505" s="2"/>
      <c r="D505" s="3" t="str">
        <f>'1.1'!$D$1</f>
        <v>ESPOL</v>
      </c>
      <c r="E505" s="2"/>
      <c r="F505" s="2"/>
      <c r="H505" s="2" t="s">
        <v>108</v>
      </c>
      <c r="I505" s="2"/>
      <c r="L505" s="40">
        <f>A509</f>
        <v>2</v>
      </c>
      <c r="M505" s="1" t="str">
        <f>C510</f>
        <v>Canalon metalico</v>
      </c>
      <c r="N505" s="2" t="str">
        <f>H509</f>
        <v>ml</v>
      </c>
      <c r="O505" s="2">
        <f>H560</f>
        <v>38.58</v>
      </c>
    </row>
    <row r="506" spans="1:15" ht="15.75" x14ac:dyDescent="0.25">
      <c r="B506" s="34" t="s">
        <v>1700</v>
      </c>
      <c r="C506" s="3">
        <f>'1.1'!$C$2</f>
        <v>0</v>
      </c>
      <c r="D506" s="2"/>
      <c r="E506" s="2"/>
      <c r="F506" s="2"/>
      <c r="G506" s="41" t="s">
        <v>1699</v>
      </c>
      <c r="H506" s="42"/>
      <c r="I506" s="2" t="s">
        <v>1698</v>
      </c>
    </row>
    <row r="507" spans="1:15" ht="15.75" x14ac:dyDescent="0.25">
      <c r="B507" s="34"/>
      <c r="C507" s="3">
        <f>'1.1'!$C$3</f>
        <v>0</v>
      </c>
      <c r="D507" s="2"/>
      <c r="E507" s="2"/>
      <c r="F507" s="2"/>
      <c r="G507" s="2"/>
      <c r="H507" s="2"/>
      <c r="I507" s="2"/>
    </row>
    <row r="508" spans="1:15" ht="15.75" x14ac:dyDescent="0.25">
      <c r="B508" s="34" t="s">
        <v>1697</v>
      </c>
      <c r="C508" s="3"/>
      <c r="D508" s="2"/>
      <c r="E508" s="2"/>
      <c r="F508" s="2"/>
      <c r="G508" s="2"/>
      <c r="H508" s="2"/>
      <c r="I508" s="2"/>
    </row>
    <row r="509" spans="1:15" x14ac:dyDescent="0.25">
      <c r="A509" s="104">
        <v>2</v>
      </c>
      <c r="B509" s="2" t="s">
        <v>1586</v>
      </c>
      <c r="C509" s="36" t="s">
        <v>617</v>
      </c>
      <c r="D509" s="2"/>
      <c r="G509" s="2" t="s">
        <v>1696</v>
      </c>
      <c r="H509" s="3" t="s">
        <v>961</v>
      </c>
      <c r="I509" s="2"/>
    </row>
    <row r="510" spans="1:15" x14ac:dyDescent="0.25">
      <c r="B510" s="1" t="s">
        <v>1585</v>
      </c>
      <c r="C510" s="36" t="s">
        <v>1455</v>
      </c>
      <c r="D510" s="2"/>
      <c r="E510" s="2"/>
      <c r="F510" s="2"/>
      <c r="G510" s="2"/>
      <c r="H510" s="2"/>
      <c r="I510" s="2"/>
    </row>
    <row r="511" spans="1:15" ht="15.75" thickBot="1" x14ac:dyDescent="0.3">
      <c r="D511" s="2"/>
      <c r="E511" s="2"/>
      <c r="F511" s="2"/>
      <c r="G511" s="2"/>
      <c r="H511" s="2"/>
      <c r="I511" s="2"/>
    </row>
    <row r="512" spans="1:15" ht="15.75" thickBot="1" x14ac:dyDescent="0.3">
      <c r="B512" s="43" t="s">
        <v>1695</v>
      </c>
      <c r="C512" s="44"/>
      <c r="D512" s="44"/>
      <c r="E512" s="44"/>
      <c r="F512" s="44"/>
      <c r="G512" s="44"/>
      <c r="H512" s="45"/>
      <c r="I512" s="2"/>
    </row>
    <row r="513" spans="1:11" ht="25.5" x14ac:dyDescent="0.25">
      <c r="B513" s="46" t="s">
        <v>1409</v>
      </c>
      <c r="C513" s="47"/>
      <c r="D513" s="48" t="s">
        <v>1690</v>
      </c>
      <c r="E513" s="48" t="s">
        <v>1694</v>
      </c>
      <c r="F513" s="48" t="s">
        <v>1693</v>
      </c>
      <c r="G513" s="49" t="s">
        <v>1687</v>
      </c>
      <c r="H513" s="50" t="s">
        <v>1686</v>
      </c>
      <c r="I513" s="2"/>
    </row>
    <row r="514" spans="1:11" x14ac:dyDescent="0.25">
      <c r="A514" s="103">
        <v>19015</v>
      </c>
      <c r="B514" s="51" t="str">
        <f>IF($A514=0,"",VLOOKUP($A514,'BASE EQUIPO'!$A:$D,2))</f>
        <v>HERRAMIENTA MENOR</v>
      </c>
      <c r="C514" s="52"/>
      <c r="D514" s="53">
        <v>1</v>
      </c>
      <c r="E514" s="53">
        <f>IF($A514=0,"",VLOOKUP($A514,'BASE EQUIPO'!$A:$D,4)*H530)</f>
        <v>0.34859999999999997</v>
      </c>
      <c r="F514" s="53">
        <f t="shared" ref="F514:F519" si="45">IF($A514=0,"",ROUND(D514*E514,2))</f>
        <v>0.35</v>
      </c>
      <c r="G514" s="105">
        <v>1</v>
      </c>
      <c r="H514" s="54">
        <f t="shared" ref="H514:H519" si="46">IF($A514=0,"",ROUND(G514*F514,2))</f>
        <v>0.35</v>
      </c>
      <c r="I514" s="2"/>
    </row>
    <row r="515" spans="1:11" x14ac:dyDescent="0.25">
      <c r="A515" s="103">
        <v>19011</v>
      </c>
      <c r="B515" s="38" t="str">
        <f>IF($A515=0,"",VLOOKUP($A515,'BASE EQUIPO'!$A:$D,2))</f>
        <v>SOLDADORA</v>
      </c>
      <c r="C515" s="2"/>
      <c r="D515" s="55">
        <v>1</v>
      </c>
      <c r="E515" s="55">
        <f>IF($A515=0,"",VLOOKUP($A515,'BASE EQUIPO'!$A:$D,4))</f>
        <v>2.5</v>
      </c>
      <c r="F515" s="55">
        <f t="shared" si="45"/>
        <v>2.5</v>
      </c>
      <c r="G515" s="106">
        <v>0.5</v>
      </c>
      <c r="H515" s="56">
        <f t="shared" si="46"/>
        <v>1.25</v>
      </c>
      <c r="I515" s="2"/>
    </row>
    <row r="516" spans="1:11" x14ac:dyDescent="0.25">
      <c r="B516" s="38" t="str">
        <f>IF($A516=0,"",VLOOKUP($A516,'BASE EQUIPO'!$A:$D,2))</f>
        <v/>
      </c>
      <c r="C516" s="2"/>
      <c r="D516" s="55"/>
      <c r="E516" s="55" t="str">
        <f>IF($A516=0,"",VLOOKUP($A516,'BASE EQUIPO'!$A:$D,4))</f>
        <v/>
      </c>
      <c r="F516" s="55" t="str">
        <f t="shared" si="45"/>
        <v/>
      </c>
      <c r="G516" s="106"/>
      <c r="H516" s="56" t="str">
        <f t="shared" si="46"/>
        <v/>
      </c>
      <c r="I516" s="2"/>
    </row>
    <row r="517" spans="1:11" x14ac:dyDescent="0.25">
      <c r="B517" s="38" t="str">
        <f>IF($A517=0,"",VLOOKUP($A517,'BASE EQUIPO'!$A:$D,2))</f>
        <v/>
      </c>
      <c r="C517" s="2"/>
      <c r="D517" s="55"/>
      <c r="E517" s="55" t="str">
        <f>IF($A517=0,"",VLOOKUP($A517,'BASE EQUIPO'!$A:$D,4))</f>
        <v/>
      </c>
      <c r="F517" s="55" t="str">
        <f t="shared" si="45"/>
        <v/>
      </c>
      <c r="G517" s="106"/>
      <c r="H517" s="56" t="str">
        <f t="shared" si="46"/>
        <v/>
      </c>
      <c r="I517" s="2"/>
    </row>
    <row r="518" spans="1:11" x14ac:dyDescent="0.25">
      <c r="B518" s="38" t="str">
        <f>IF($A518=0,"",VLOOKUP($A518,'BASE EQUIPO'!$A:$D,2))</f>
        <v/>
      </c>
      <c r="C518" s="2"/>
      <c r="D518" s="55"/>
      <c r="E518" s="55" t="str">
        <f>IF($A518=0,"",VLOOKUP($A518,'BASE EQUIPO'!$A:$D,4))</f>
        <v/>
      </c>
      <c r="F518" s="55" t="str">
        <f t="shared" si="45"/>
        <v/>
      </c>
      <c r="G518" s="106"/>
      <c r="H518" s="56" t="str">
        <f t="shared" si="46"/>
        <v/>
      </c>
      <c r="I518" s="2"/>
    </row>
    <row r="519" spans="1:11" x14ac:dyDescent="0.25">
      <c r="B519" s="57" t="str">
        <f>IF($A519=0,"",VLOOKUP($A519,'BASE EQUIPO'!$A:$D,2))</f>
        <v/>
      </c>
      <c r="C519" s="58"/>
      <c r="D519" s="59"/>
      <c r="E519" s="59" t="str">
        <f>IF($A519=0,"",VLOOKUP($A519,'BASE EQUIPO'!$A:$D,4))</f>
        <v/>
      </c>
      <c r="F519" s="59" t="str">
        <f t="shared" si="45"/>
        <v/>
      </c>
      <c r="G519" s="107"/>
      <c r="H519" s="60" t="str">
        <f t="shared" si="46"/>
        <v/>
      </c>
      <c r="I519" s="2"/>
    </row>
    <row r="520" spans="1:11" x14ac:dyDescent="0.25">
      <c r="B520" s="57" t="s">
        <v>1692</v>
      </c>
      <c r="C520" s="58"/>
      <c r="D520" s="61"/>
      <c r="E520" s="61"/>
      <c r="F520" s="61"/>
      <c r="G520" s="62"/>
      <c r="H520" s="60">
        <f>ROUND(SUM(H513:H519),2)</f>
        <v>1.6</v>
      </c>
      <c r="I520" s="2"/>
    </row>
    <row r="521" spans="1:11" x14ac:dyDescent="0.25">
      <c r="B521" s="38" t="s">
        <v>1503</v>
      </c>
      <c r="C521" s="2"/>
      <c r="D521" s="3"/>
      <c r="E521" s="3"/>
      <c r="F521" s="3"/>
      <c r="G521" s="63"/>
      <c r="H521" s="56"/>
      <c r="I521" s="2"/>
    </row>
    <row r="522" spans="1:11" ht="25.5" x14ac:dyDescent="0.25">
      <c r="B522" s="64" t="s">
        <v>1691</v>
      </c>
      <c r="C522" s="65"/>
      <c r="D522" s="66" t="s">
        <v>1690</v>
      </c>
      <c r="E522" s="66" t="s">
        <v>1689</v>
      </c>
      <c r="F522" s="66" t="s">
        <v>1688</v>
      </c>
      <c r="G522" s="67" t="s">
        <v>1687</v>
      </c>
      <c r="H522" s="68" t="s">
        <v>1686</v>
      </c>
      <c r="I522" s="2"/>
    </row>
    <row r="523" spans="1:11" x14ac:dyDescent="0.25">
      <c r="B523" s="69" t="str">
        <f>IF($A523=0,"",VLOOKUP($A523,'BASE M-OBRA'!$A:$D,2))</f>
        <v/>
      </c>
      <c r="C523" s="2"/>
      <c r="D523" s="108"/>
      <c r="E523" s="70" t="str">
        <f>IF($A523=0,"",VLOOKUP($A523,'BASE M-OBRA'!$A:$D,4))</f>
        <v/>
      </c>
      <c r="F523" s="55" t="str">
        <f t="shared" ref="F523:F529" si="47">IF($A523=0,"",ROUND(D523*E523,2))</f>
        <v/>
      </c>
      <c r="G523" s="106" t="str">
        <f>IF($A523=0,"",ROUND(H523/F523,2))</f>
        <v/>
      </c>
      <c r="H523" s="56" t="str">
        <f>IF($A523=0,"",ROUND(SUM(H524:H529)*'BASE M-OBRA'!$D$23,2))</f>
        <v/>
      </c>
      <c r="I523" s="2"/>
    </row>
    <row r="524" spans="1:11" x14ac:dyDescent="0.25">
      <c r="A524" s="103">
        <v>20006</v>
      </c>
      <c r="B524" s="69" t="str">
        <f>IF($A524=0,"",VLOOKUP($A524,'BASE M-OBRA'!$A:$D,2))</f>
        <v>MAESTRO  SOLDADOR</v>
      </c>
      <c r="C524" s="2"/>
      <c r="D524" s="108">
        <v>1</v>
      </c>
      <c r="E524" s="70">
        <f>IF($A524=0,"",VLOOKUP($A524,'BASE M-OBRA'!$A:$D,4))</f>
        <v>3.02</v>
      </c>
      <c r="F524" s="55">
        <f t="shared" si="47"/>
        <v>3.02</v>
      </c>
      <c r="G524" s="106">
        <v>2</v>
      </c>
      <c r="H524" s="56">
        <f t="shared" ref="H524:H529" si="48">IF($A524=0,"",ROUND(G524*F524,2))</f>
        <v>6.04</v>
      </c>
      <c r="I524" s="2"/>
      <c r="K524" s="1">
        <f>320/8</f>
        <v>40</v>
      </c>
    </row>
    <row r="525" spans="1:11" x14ac:dyDescent="0.25">
      <c r="A525" s="103">
        <v>20011</v>
      </c>
      <c r="B525" s="69" t="str">
        <f>IF($A525=0,"",VLOOKUP($A525,'BASE M-OBRA'!$A:$D,2))</f>
        <v>AYUDANTE ESPECIALISTA</v>
      </c>
      <c r="C525" s="2"/>
      <c r="D525" s="108">
        <v>1</v>
      </c>
      <c r="E525" s="70">
        <f>IF($A525=0,"",VLOOKUP($A525,'BASE M-OBRA'!$A:$D,4))</f>
        <v>2.79</v>
      </c>
      <c r="F525" s="55">
        <f t="shared" si="47"/>
        <v>2.79</v>
      </c>
      <c r="G525" s="106">
        <f>+G524</f>
        <v>2</v>
      </c>
      <c r="H525" s="56">
        <f t="shared" si="48"/>
        <v>5.58</v>
      </c>
      <c r="I525" s="2"/>
    </row>
    <row r="526" spans="1:11" x14ac:dyDescent="0.25">
      <c r="B526" s="71" t="str">
        <f>IF($A526=0,"",VLOOKUP($A526,'BASE M-OBRA'!$A:$D,2))</f>
        <v/>
      </c>
      <c r="C526" s="2"/>
      <c r="D526" s="108"/>
      <c r="E526" s="70" t="str">
        <f>IF($A526=0,"",VLOOKUP($A526,'BASE M-OBRA'!$A:$D,4))</f>
        <v/>
      </c>
      <c r="F526" s="55" t="str">
        <f t="shared" si="47"/>
        <v/>
      </c>
      <c r="G526" s="106"/>
      <c r="H526" s="56" t="str">
        <f t="shared" si="48"/>
        <v/>
      </c>
      <c r="I526" s="2"/>
      <c r="J526" s="1">
        <f>0.25*30000</f>
        <v>7500</v>
      </c>
    </row>
    <row r="527" spans="1:11" x14ac:dyDescent="0.25">
      <c r="B527" s="72" t="str">
        <f>IF($A527=0,"",VLOOKUP($A527,'BASE M-OBRA'!$A:$D,2))</f>
        <v/>
      </c>
      <c r="C527" s="2"/>
      <c r="D527" s="108"/>
      <c r="E527" s="70" t="str">
        <f>IF($A527=0,"",VLOOKUP($A527,'BASE M-OBRA'!$A:$D,4))</f>
        <v/>
      </c>
      <c r="F527" s="55" t="str">
        <f t="shared" si="47"/>
        <v/>
      </c>
      <c r="G527" s="106"/>
      <c r="H527" s="56" t="str">
        <f t="shared" si="48"/>
        <v/>
      </c>
      <c r="I527" s="2"/>
    </row>
    <row r="528" spans="1:11" x14ac:dyDescent="0.25">
      <c r="B528" s="38" t="str">
        <f>IF($A528=0,"",VLOOKUP($A528,'BASE M-OBRA'!$A:$D,2))</f>
        <v/>
      </c>
      <c r="C528" s="2"/>
      <c r="D528" s="55"/>
      <c r="E528" s="55" t="str">
        <f>IF($A528=0,"",VLOOKUP($A528,'BASE M-OBRA'!$A:$D,4))</f>
        <v/>
      </c>
      <c r="F528" s="55" t="str">
        <f t="shared" si="47"/>
        <v/>
      </c>
      <c r="G528" s="106"/>
      <c r="H528" s="56" t="str">
        <f t="shared" si="48"/>
        <v/>
      </c>
      <c r="I528" s="2"/>
    </row>
    <row r="529" spans="1:16" x14ac:dyDescent="0.25">
      <c r="B529" s="57" t="str">
        <f>IF($A529=0,"",VLOOKUP($A529,'BASE M-OBRA'!$A:$D,2))</f>
        <v/>
      </c>
      <c r="C529" s="58"/>
      <c r="D529" s="59"/>
      <c r="E529" s="59" t="str">
        <f>IF($A529=0,"",VLOOKUP($A529,'BASE M-OBRA'!$A:$D,4))</f>
        <v/>
      </c>
      <c r="F529" s="59" t="str">
        <f t="shared" si="47"/>
        <v/>
      </c>
      <c r="G529" s="107"/>
      <c r="H529" s="60" t="str">
        <f t="shared" si="48"/>
        <v/>
      </c>
      <c r="I529" s="2"/>
    </row>
    <row r="530" spans="1:16" x14ac:dyDescent="0.25">
      <c r="B530" s="73" t="s">
        <v>1685</v>
      </c>
      <c r="C530" s="65"/>
      <c r="D530" s="74"/>
      <c r="E530" s="74"/>
      <c r="F530" s="74"/>
      <c r="G530" s="74"/>
      <c r="H530" s="75">
        <f>ROUND(SUM(H522:H529),2)</f>
        <v>11.62</v>
      </c>
      <c r="I530" s="2"/>
      <c r="J530" s="1">
        <f>13200*0.3</f>
        <v>3960</v>
      </c>
    </row>
    <row r="531" spans="1:16" x14ac:dyDescent="0.25">
      <c r="B531" s="38" t="s">
        <v>1684</v>
      </c>
      <c r="C531" s="2"/>
      <c r="D531" s="3"/>
      <c r="E531" s="3"/>
      <c r="F531" s="3"/>
      <c r="G531" s="3"/>
      <c r="H531" s="56"/>
      <c r="I531" s="2"/>
    </row>
    <row r="532" spans="1:16" ht="25.5" x14ac:dyDescent="0.25">
      <c r="B532" s="64" t="s">
        <v>1409</v>
      </c>
      <c r="C532" s="65"/>
      <c r="D532" s="76"/>
      <c r="E532" s="66" t="s">
        <v>1408</v>
      </c>
      <c r="F532" s="66" t="s">
        <v>1679</v>
      </c>
      <c r="G532" s="66" t="s">
        <v>1683</v>
      </c>
      <c r="H532" s="68" t="s">
        <v>1675</v>
      </c>
      <c r="I532" s="2"/>
    </row>
    <row r="533" spans="1:16" x14ac:dyDescent="0.25">
      <c r="A533" s="103">
        <v>14002</v>
      </c>
      <c r="B533" s="38" t="str">
        <f>IF($A533=0,"",VLOOKUP($A533,'BASE MATERIAL'!$A:$D,2))</f>
        <v>SOLDADURA aga 60/11</v>
      </c>
      <c r="C533" s="2"/>
      <c r="D533" s="77"/>
      <c r="E533" s="78" t="str">
        <f>IF($A533=0,"",VLOOKUP($A533,'BASE MATERIAL'!$A:$D,3))</f>
        <v>KG</v>
      </c>
      <c r="F533" s="113">
        <f>ROUND(0.044*J533,4)</f>
        <v>0.38679999999999998</v>
      </c>
      <c r="G533" s="55">
        <f>IF($A533=0,"",VLOOKUP($A533,'BASE MATERIAL'!$A:$D,4))</f>
        <v>3.65</v>
      </c>
      <c r="H533" s="56">
        <f t="shared" ref="H533:H547" si="49">IF($A533=0,"",ROUND(F533*G533,2))</f>
        <v>1.41</v>
      </c>
      <c r="I533" s="2"/>
      <c r="J533" s="1">
        <f>SUM(J535:J537)</f>
        <v>8.7919999999999998</v>
      </c>
      <c r="K533" s="1" t="s">
        <v>225</v>
      </c>
      <c r="L533" s="2"/>
      <c r="M533" s="2"/>
      <c r="N533" s="39"/>
      <c r="O533" s="2"/>
      <c r="P533" s="2"/>
    </row>
    <row r="534" spans="1:16" x14ac:dyDescent="0.25">
      <c r="A534" s="103">
        <v>12016</v>
      </c>
      <c r="B534" s="38" t="str">
        <f>IF($A534=0,"",VLOOKUP($A534,'BASE MATERIAL'!$A:$D,2))</f>
        <v>PLANCHA METALICA GALVANIZADA e= 0,70MM</v>
      </c>
      <c r="C534" s="2"/>
      <c r="D534" s="77"/>
      <c r="E534" s="78" t="str">
        <f>IF($A534=0,"",VLOOKUP($A534,'BASE MATERIAL'!$A:$D,3))</f>
        <v>M2</v>
      </c>
      <c r="F534" s="113">
        <v>1</v>
      </c>
      <c r="G534" s="55">
        <f>IF($A534=0,"",VLOOKUP($A534,'BASE MATERIAL'!$A:$D,4))</f>
        <v>16.8</v>
      </c>
      <c r="H534" s="56">
        <f t="shared" si="49"/>
        <v>16.8</v>
      </c>
      <c r="I534" s="2"/>
      <c r="L534" s="2"/>
      <c r="M534" s="2"/>
      <c r="N534" s="39"/>
      <c r="O534" s="2"/>
      <c r="P534" s="2"/>
    </row>
    <row r="535" spans="1:16" x14ac:dyDescent="0.25">
      <c r="A535" s="103">
        <v>1004</v>
      </c>
      <c r="B535" s="38" t="str">
        <f>IF($A535=0,"",VLOOKUP($A535,'BASE MATERIAL'!$A:$D,2))</f>
        <v>PERFILERIA METALICA</v>
      </c>
      <c r="C535" s="2"/>
      <c r="D535" s="77"/>
      <c r="E535" s="78" t="str">
        <f>IF($A535=0,"",VLOOKUP($A535,'BASE MATERIAL'!$A:$D,3))</f>
        <v>KG</v>
      </c>
      <c r="F535" s="113">
        <v>3</v>
      </c>
      <c r="G535" s="55">
        <f>IF($A535=0,"",VLOOKUP($A535,'BASE MATERIAL'!$A:$D,4))</f>
        <v>1.27</v>
      </c>
      <c r="H535" s="56">
        <f t="shared" si="49"/>
        <v>3.81</v>
      </c>
      <c r="I535" s="2"/>
      <c r="J535" s="79">
        <f>7.85*2*0.12*3</f>
        <v>5.6519999999999992</v>
      </c>
      <c r="K535" s="1" t="s">
        <v>842</v>
      </c>
      <c r="L535" s="2"/>
      <c r="M535" s="2"/>
      <c r="N535" s="39"/>
      <c r="O535" s="2"/>
      <c r="P535" s="2"/>
    </row>
    <row r="536" spans="1:16" x14ac:dyDescent="0.25">
      <c r="A536" s="103">
        <v>13017</v>
      </c>
      <c r="B536" s="38" t="str">
        <f>IF($A536=0,"",VLOOKUP($A536,'BASE MATERIAL'!$A:$D,2))</f>
        <v>PINTURA ACABADO METALICO</v>
      </c>
      <c r="C536" s="2"/>
      <c r="D536" s="77"/>
      <c r="E536" s="78" t="str">
        <f>IF($A536=0,"",VLOOKUP($A536,'BASE MATERIAL'!$A:$D,3))</f>
        <v>GL</v>
      </c>
      <c r="F536" s="113">
        <v>0.1</v>
      </c>
      <c r="G536" s="55">
        <f>IF($A536=0,"",VLOOKUP($A536,'BASE MATERIAL'!$A:$D,4))</f>
        <v>17</v>
      </c>
      <c r="H536" s="56">
        <f t="shared" si="49"/>
        <v>1.7</v>
      </c>
      <c r="I536" s="2"/>
      <c r="K536" s="1" t="s">
        <v>223</v>
      </c>
      <c r="L536" s="2"/>
      <c r="M536" s="2"/>
      <c r="N536" s="39"/>
      <c r="O536" s="2"/>
      <c r="P536" s="2"/>
    </row>
    <row r="537" spans="1:16" x14ac:dyDescent="0.25">
      <c r="A537" s="103">
        <v>13010</v>
      </c>
      <c r="B537" s="38" t="str">
        <f>IF($A537=0,"",VLOOKUP($A537,'BASE MATERIAL'!$A:$D,2))</f>
        <v>DILUYENTE</v>
      </c>
      <c r="C537" s="2"/>
      <c r="D537" s="77"/>
      <c r="E537" s="78" t="str">
        <f>IF($A537=0,"",VLOOKUP($A537,'BASE MATERIAL'!$A:$D,3))</f>
        <v>GL</v>
      </c>
      <c r="F537" s="113">
        <f>+F536*0.5</f>
        <v>0.05</v>
      </c>
      <c r="G537" s="55">
        <f>IF($A537=0,"",VLOOKUP($A537,'BASE MATERIAL'!$A:$D,4))</f>
        <v>6</v>
      </c>
      <c r="H537" s="56">
        <f t="shared" si="49"/>
        <v>0.3</v>
      </c>
      <c r="I537" s="2"/>
      <c r="J537" s="79">
        <f>7.85*2*0.1*2</f>
        <v>3.14</v>
      </c>
      <c r="K537" s="1" t="s">
        <v>224</v>
      </c>
      <c r="L537" s="2"/>
      <c r="M537" s="2"/>
      <c r="N537" s="39"/>
      <c r="O537" s="2"/>
      <c r="P537" s="2"/>
    </row>
    <row r="538" spans="1:16" x14ac:dyDescent="0.25">
      <c r="A538" s="103">
        <v>13011</v>
      </c>
      <c r="B538" s="38" t="str">
        <f>IF($A538=0,"",VLOOKUP($A538,'BASE MATERIAL'!$A:$D,2))</f>
        <v>DESOXIDANTE</v>
      </c>
      <c r="C538" s="2"/>
      <c r="D538" s="77"/>
      <c r="E538" s="78" t="str">
        <f>IF($A538=0,"",VLOOKUP($A538,'BASE MATERIAL'!$A:$D,3))</f>
        <v>GL</v>
      </c>
      <c r="F538" s="113">
        <f>+F537</f>
        <v>0.05</v>
      </c>
      <c r="G538" s="55">
        <f>IF($A538=0,"",VLOOKUP($A538,'BASE MATERIAL'!$A:$D,4))</f>
        <v>12</v>
      </c>
      <c r="H538" s="56">
        <f t="shared" si="49"/>
        <v>0.6</v>
      </c>
      <c r="I538" s="2"/>
      <c r="J538" s="79"/>
      <c r="L538" s="2"/>
      <c r="M538" s="2"/>
      <c r="N538" s="39"/>
      <c r="O538" s="2"/>
      <c r="P538" s="2"/>
    </row>
    <row r="539" spans="1:16" x14ac:dyDescent="0.25">
      <c r="B539" s="38" t="str">
        <f>IF($A539=0,"",VLOOKUP($A539,'BASE MATERIAL'!$A:$D,2))</f>
        <v/>
      </c>
      <c r="C539" s="2"/>
      <c r="D539" s="77"/>
      <c r="E539" s="78" t="str">
        <f>IF($A539=0,"",VLOOKUP($A539,'BASE MATERIAL'!$A:$D,3))</f>
        <v/>
      </c>
      <c r="F539" s="55"/>
      <c r="G539" s="55" t="str">
        <f>IF($A539=0,"",VLOOKUP($A539,'BASE MATERIAL'!$A:$D,4))</f>
        <v/>
      </c>
      <c r="H539" s="56" t="str">
        <f t="shared" si="49"/>
        <v/>
      </c>
      <c r="I539" s="2"/>
      <c r="L539" s="2"/>
      <c r="M539" s="2"/>
      <c r="N539" s="39"/>
      <c r="O539" s="2"/>
      <c r="P539" s="2"/>
    </row>
    <row r="540" spans="1:16" x14ac:dyDescent="0.25">
      <c r="B540" s="38"/>
      <c r="C540" s="2"/>
      <c r="D540" s="77"/>
      <c r="E540" s="78"/>
      <c r="F540" s="55"/>
      <c r="G540" s="55"/>
      <c r="H540" s="56" t="str">
        <f t="shared" si="49"/>
        <v/>
      </c>
      <c r="I540" s="2"/>
      <c r="J540" s="79">
        <f>7.85*2*0.12*1.2</f>
        <v>2.2607999999999997</v>
      </c>
      <c r="K540" s="1">
        <f>3.1416*0.0254*1.5</f>
        <v>0.11969496</v>
      </c>
      <c r="L540" s="2"/>
      <c r="M540" s="2"/>
      <c r="N540" s="39"/>
      <c r="O540" s="2"/>
      <c r="P540" s="2"/>
    </row>
    <row r="541" spans="1:16" x14ac:dyDescent="0.25">
      <c r="B541" s="38"/>
      <c r="C541" s="2"/>
      <c r="D541" s="77"/>
      <c r="E541" s="78"/>
      <c r="F541" s="55"/>
      <c r="G541" s="55"/>
      <c r="H541" s="56" t="str">
        <f t="shared" si="49"/>
        <v/>
      </c>
      <c r="I541" s="2"/>
      <c r="J541" s="79">
        <f>7.85*2*0.1*1.2</f>
        <v>1.8839999999999999</v>
      </c>
      <c r="K541" s="1">
        <f>0.0254*1.25*3.1416</f>
        <v>9.9745799999999996E-2</v>
      </c>
    </row>
    <row r="542" spans="1:16" x14ac:dyDescent="0.25">
      <c r="B542" s="38"/>
      <c r="C542" s="2"/>
      <c r="D542" s="77"/>
      <c r="E542" s="78"/>
      <c r="F542" s="55"/>
      <c r="G542" s="55"/>
      <c r="H542" s="56" t="str">
        <f t="shared" si="49"/>
        <v/>
      </c>
      <c r="I542" s="2"/>
      <c r="L542" s="2"/>
      <c r="M542" s="2"/>
      <c r="N542" s="39"/>
      <c r="O542" s="2"/>
      <c r="P542" s="2"/>
    </row>
    <row r="543" spans="1:16" x14ac:dyDescent="0.25">
      <c r="B543" s="38"/>
      <c r="C543" s="2"/>
      <c r="D543" s="77"/>
      <c r="E543" s="78"/>
      <c r="F543" s="55"/>
      <c r="G543" s="55"/>
      <c r="H543" s="56" t="str">
        <f t="shared" si="49"/>
        <v/>
      </c>
      <c r="I543" s="2"/>
      <c r="J543" s="79">
        <f>0.13*3</f>
        <v>0.39</v>
      </c>
      <c r="L543" s="2"/>
      <c r="M543" s="2"/>
      <c r="N543" s="39"/>
      <c r="O543" s="2"/>
      <c r="P543" s="2"/>
    </row>
    <row r="544" spans="1:16" x14ac:dyDescent="0.25">
      <c r="B544" s="38" t="str">
        <f>IF($A544=0,"",VLOOKUP($A544,'BASE MATERIAL'!$A:$D,2))</f>
        <v/>
      </c>
      <c r="C544" s="2"/>
      <c r="D544" s="77"/>
      <c r="E544" s="78" t="str">
        <f>IF($A544=0,"",VLOOKUP($A544,'BASE MATERIAL'!$A:$D,3))</f>
        <v/>
      </c>
      <c r="F544" s="55"/>
      <c r="G544" s="55" t="str">
        <f>IF($A544=0,"",VLOOKUP($A544,'BASE MATERIAL'!$A:$D,4))</f>
        <v/>
      </c>
      <c r="H544" s="56" t="str">
        <f t="shared" si="49"/>
        <v/>
      </c>
      <c r="I544" s="2"/>
      <c r="J544" s="79">
        <f>0.1*2</f>
        <v>0.2</v>
      </c>
    </row>
    <row r="545" spans="1:10" x14ac:dyDescent="0.25">
      <c r="B545" s="38" t="str">
        <f>IF($A545=0,"",VLOOKUP($A545,'BASE MATERIAL'!$A:$D,2))</f>
        <v/>
      </c>
      <c r="C545" s="2"/>
      <c r="D545" s="77"/>
      <c r="E545" s="78" t="str">
        <f>IF($A545=0,"",VLOOKUP($A545,'BASE MATERIAL'!$A:$D,3))</f>
        <v/>
      </c>
      <c r="F545" s="55"/>
      <c r="G545" s="55" t="str">
        <f>IF($A545=0,"",VLOOKUP($A545,'BASE MATERIAL'!$A:$D,4))</f>
        <v/>
      </c>
      <c r="H545" s="56" t="str">
        <f t="shared" si="49"/>
        <v/>
      </c>
      <c r="I545" s="2"/>
      <c r="J545" s="79">
        <f>SUM(J543:J544)</f>
        <v>0.59000000000000008</v>
      </c>
    </row>
    <row r="546" spans="1:10" x14ac:dyDescent="0.25">
      <c r="B546" s="38" t="str">
        <f>IF($A546=0,"",VLOOKUP($A546,'BASE MATERIAL'!$A:$D,2))</f>
        <v/>
      </c>
      <c r="C546" s="2"/>
      <c r="D546" s="77"/>
      <c r="E546" s="78" t="str">
        <f>IF($A546=0,"",VLOOKUP($A546,'BASE MATERIAL'!$A:$D,3))</f>
        <v/>
      </c>
      <c r="F546" s="55"/>
      <c r="G546" s="55" t="str">
        <f>IF($A546=0,"",VLOOKUP($A546,'BASE MATERIAL'!$A:$D,4))</f>
        <v/>
      </c>
      <c r="H546" s="56" t="str">
        <f t="shared" si="49"/>
        <v/>
      </c>
      <c r="I546" s="2"/>
    </row>
    <row r="547" spans="1:10" x14ac:dyDescent="0.25">
      <c r="B547" s="38" t="str">
        <f>IF($A547=0,"",VLOOKUP($A547,'BASE MATERIAL'!$A:$D,2))</f>
        <v/>
      </c>
      <c r="C547" s="2"/>
      <c r="D547" s="77"/>
      <c r="E547" s="78" t="str">
        <f>IF($A547=0,"",VLOOKUP($A547,'BASE MATERIAL'!$A:$D,3))</f>
        <v/>
      </c>
      <c r="F547" s="55"/>
      <c r="G547" s="55" t="str">
        <f>IF($A547=0,"",VLOOKUP($A547,'BASE MATERIAL'!$A:$D,4))</f>
        <v/>
      </c>
      <c r="H547" s="56" t="str">
        <f t="shared" si="49"/>
        <v/>
      </c>
      <c r="I547" s="2"/>
    </row>
    <row r="548" spans="1:10" x14ac:dyDescent="0.25">
      <c r="B548" s="38" t="str">
        <f>IF($A548=0,"",VLOOKUP($A548,'BASE MATERIAL'!$A:$D,2))</f>
        <v/>
      </c>
      <c r="C548" s="2"/>
      <c r="D548" s="81" t="s">
        <v>1682</v>
      </c>
      <c r="E548" s="55" t="str">
        <f>IF($A548=0,"",VLOOKUP($A548,'BASE MATERIAL'!$A:$D,3))</f>
        <v/>
      </c>
      <c r="F548" s="55" t="s">
        <v>1682</v>
      </c>
      <c r="G548" s="55" t="str">
        <f>IF($A548=0,"",VLOOKUP($A548,'BASE MATERIAL'!$A:$D,4))</f>
        <v/>
      </c>
      <c r="H548" s="56" t="str">
        <f>IF($A548=0,"",ROUND(E548*F548,2))</f>
        <v/>
      </c>
      <c r="I548" s="2"/>
    </row>
    <row r="549" spans="1:10" x14ac:dyDescent="0.25">
      <c r="B549" s="73" t="s">
        <v>1681</v>
      </c>
      <c r="C549" s="65"/>
      <c r="D549" s="74"/>
      <c r="E549" s="74"/>
      <c r="F549" s="74"/>
      <c r="G549" s="74"/>
      <c r="H549" s="75">
        <f>ROUND(SUM(H532:H548),2)</f>
        <v>24.62</v>
      </c>
      <c r="I549" s="2"/>
    </row>
    <row r="550" spans="1:10" x14ac:dyDescent="0.25">
      <c r="B550" s="38" t="s">
        <v>1680</v>
      </c>
      <c r="C550" s="2"/>
      <c r="D550" s="3"/>
      <c r="E550" s="3"/>
      <c r="F550" s="3"/>
      <c r="G550" s="3"/>
      <c r="H550" s="56"/>
      <c r="I550" s="2"/>
    </row>
    <row r="551" spans="1:10" ht="25.5" x14ac:dyDescent="0.25">
      <c r="B551" s="64" t="s">
        <v>1409</v>
      </c>
      <c r="C551" s="65"/>
      <c r="D551" s="76"/>
      <c r="E551" s="66" t="s">
        <v>1408</v>
      </c>
      <c r="F551" s="66" t="s">
        <v>1679</v>
      </c>
      <c r="G551" s="66" t="s">
        <v>1676</v>
      </c>
      <c r="H551" s="68" t="s">
        <v>1675</v>
      </c>
      <c r="I551" s="2"/>
    </row>
    <row r="552" spans="1:10" x14ac:dyDescent="0.25">
      <c r="A552" s="103">
        <v>19019</v>
      </c>
      <c r="B552" s="51" t="str">
        <f>IF($A552=0,"",VLOOKUP($A552,'BASE EQUIPO'!$A:$D,2))</f>
        <v>TRANSPORTE DE MATERIAL</v>
      </c>
      <c r="C552" s="52"/>
      <c r="D552" s="82"/>
      <c r="E552" s="78" t="str">
        <f>IF($A552=0,"",VLOOKUP($A552,'BASE EQUIPO'!$A:$D,3))</f>
        <v>GLOBAL</v>
      </c>
      <c r="F552" s="55">
        <v>1</v>
      </c>
      <c r="G552" s="83">
        <f>IF($A552=0,"",VLOOKUP($A552,'BASE EQUIPO'!$A:$D,4)*H549)</f>
        <v>0.73860000000000003</v>
      </c>
      <c r="H552" s="56">
        <f>IF($A552=0,"",ROUND(F552*G552,2))</f>
        <v>0.74</v>
      </c>
      <c r="I552" s="2"/>
    </row>
    <row r="553" spans="1:10" x14ac:dyDescent="0.25">
      <c r="B553" s="38" t="str">
        <f>IF($A553=0,"",VLOOKUP($A553,'BASE EQUIPO'!$A:$D,2))</f>
        <v/>
      </c>
      <c r="C553" s="2"/>
      <c r="D553" s="84"/>
      <c r="E553" s="78" t="str">
        <f>IF($A553=0,"",VLOOKUP($A553,'BASE EQUIPO'!$A:$D,3))</f>
        <v/>
      </c>
      <c r="F553" s="55"/>
      <c r="G553" s="55" t="str">
        <f>IF($A553=0,"",VLOOKUP($A553,'BASE EQUIPO'!$A:$D,4)*H550)</f>
        <v/>
      </c>
      <c r="H553" s="56" t="str">
        <f>IF($A553=0,"",ROUND(F553*G553,2))</f>
        <v/>
      </c>
      <c r="I553" s="2"/>
    </row>
    <row r="554" spans="1:10" x14ac:dyDescent="0.25">
      <c r="B554" s="57" t="str">
        <f>IF($A554=0,"",VLOOKUP($A554,'BASE EQUIPO'!$A:$D,2))</f>
        <v/>
      </c>
      <c r="C554" s="58"/>
      <c r="D554" s="85"/>
      <c r="E554" s="86" t="str">
        <f>IF($A554=0,"",VLOOKUP($A554,'BASE EQUIPO'!$A:$D,3))</f>
        <v/>
      </c>
      <c r="F554" s="59"/>
      <c r="G554" s="59" t="str">
        <f>IF($A554=0,"",VLOOKUP($A554,'BASE EQUIPO'!$A:$D,4)*H551)</f>
        <v/>
      </c>
      <c r="H554" s="60" t="str">
        <f>IF($A554=0,"",ROUND(F554*G554,2))</f>
        <v/>
      </c>
      <c r="I554" s="2"/>
    </row>
    <row r="555" spans="1:10" ht="15.75" thickBot="1" x14ac:dyDescent="0.3">
      <c r="B555" s="87" t="s">
        <v>1674</v>
      </c>
      <c r="C555" s="88"/>
      <c r="D555" s="89"/>
      <c r="E555" s="89"/>
      <c r="F555" s="89"/>
      <c r="G555" s="89"/>
      <c r="H555" s="90">
        <f>ROUND(SUM(H551:H554),2)</f>
        <v>0.74</v>
      </c>
      <c r="I555" s="2"/>
    </row>
    <row r="556" spans="1:10" ht="15.75" x14ac:dyDescent="0.25">
      <c r="B556" s="2"/>
      <c r="C556" s="2"/>
      <c r="D556" s="91" t="s">
        <v>1673</v>
      </c>
      <c r="E556" s="47"/>
      <c r="F556" s="47"/>
      <c r="G556" s="47"/>
      <c r="H556" s="92">
        <f>ROUND(SUM(H555,H549,H530,H520),2)</f>
        <v>38.58</v>
      </c>
      <c r="I556" s="2"/>
    </row>
    <row r="557" spans="1:10" ht="15.75" x14ac:dyDescent="0.25">
      <c r="A557" s="103">
        <v>40002</v>
      </c>
      <c r="B557" s="2"/>
      <c r="C557" s="2"/>
      <c r="D557" s="93" t="s">
        <v>1672</v>
      </c>
      <c r="E557" s="65"/>
      <c r="F557" s="65"/>
      <c r="G557" s="94">
        <f>IF($A557=0,"",VLOOKUP($A557,'BASE MATERIAL'!$M:$P,4))</f>
        <v>0</v>
      </c>
      <c r="H557" s="95">
        <f>IF($A557=0,"",ROUND(G557*H556,2))</f>
        <v>0</v>
      </c>
      <c r="I557" s="2"/>
    </row>
    <row r="558" spans="1:10" ht="15.75" x14ac:dyDescent="0.25">
      <c r="A558" s="103">
        <v>40003</v>
      </c>
      <c r="B558" s="2"/>
      <c r="C558" s="2"/>
      <c r="D558" s="93" t="s">
        <v>1671</v>
      </c>
      <c r="E558" s="65"/>
      <c r="F558" s="65"/>
      <c r="G558" s="94">
        <f>IF($A558=0,"",VLOOKUP($A558,'BASE MATERIAL'!$M:$P,4))</f>
        <v>0</v>
      </c>
      <c r="H558" s="95">
        <f>IF($A558=0,"",ROUND(G558*H556,2))</f>
        <v>0</v>
      </c>
      <c r="I558" s="2"/>
    </row>
    <row r="559" spans="1:10" ht="15.75" x14ac:dyDescent="0.25">
      <c r="B559" s="2"/>
      <c r="C559" s="2"/>
      <c r="D559" s="93" t="s">
        <v>1670</v>
      </c>
      <c r="E559" s="65"/>
      <c r="F559" s="65"/>
      <c r="G559" s="65"/>
      <c r="H559" s="96">
        <f>ROUND(SUM(H556:H558),2)</f>
        <v>38.58</v>
      </c>
      <c r="I559" s="2"/>
    </row>
    <row r="560" spans="1:10" ht="16.5" thickBot="1" x14ac:dyDescent="0.3">
      <c r="B560" s="25"/>
      <c r="C560" s="2"/>
      <c r="D560" s="97" t="s">
        <v>1650</v>
      </c>
      <c r="E560" s="88"/>
      <c r="F560" s="88"/>
      <c r="G560" s="88"/>
      <c r="H560" s="98">
        <f>ROUND(H559,2)</f>
        <v>38.58</v>
      </c>
      <c r="I560" s="2"/>
    </row>
    <row r="561" spans="1:15" ht="15.75" x14ac:dyDescent="0.25">
      <c r="B561" s="34" t="s">
        <v>1701</v>
      </c>
      <c r="C561" s="2"/>
      <c r="D561" s="3" t="str">
        <f>'1.1'!$D$1</f>
        <v>ESPOL</v>
      </c>
      <c r="E561" s="2"/>
      <c r="F561" s="2"/>
      <c r="H561" s="2" t="s">
        <v>108</v>
      </c>
      <c r="I561" s="2"/>
      <c r="L561" s="40">
        <f>A565</f>
        <v>2</v>
      </c>
      <c r="M561" s="1" t="str">
        <f>C566</f>
        <v>Estructura espacial de celosia de aluminio</v>
      </c>
      <c r="N561" s="2" t="str">
        <f>H565</f>
        <v>m2</v>
      </c>
      <c r="O561" s="2">
        <f>H616</f>
        <v>139.03</v>
      </c>
    </row>
    <row r="562" spans="1:15" ht="15.75" x14ac:dyDescent="0.25">
      <c r="B562" s="34" t="s">
        <v>1700</v>
      </c>
      <c r="C562" s="3">
        <f>'1.1'!$C$2</f>
        <v>0</v>
      </c>
      <c r="D562" s="2"/>
      <c r="E562" s="2"/>
      <c r="F562" s="2"/>
      <c r="G562" s="41" t="s">
        <v>1699</v>
      </c>
      <c r="H562" s="42"/>
      <c r="I562" s="2" t="s">
        <v>1698</v>
      </c>
    </row>
    <row r="563" spans="1:15" ht="15.75" x14ac:dyDescent="0.25">
      <c r="B563" s="34"/>
      <c r="C563" s="3">
        <f>'1.1'!$C$3</f>
        <v>0</v>
      </c>
      <c r="D563" s="2"/>
      <c r="E563" s="2"/>
      <c r="F563" s="2"/>
      <c r="G563" s="2"/>
      <c r="H563" s="2"/>
      <c r="I563" s="2"/>
    </row>
    <row r="564" spans="1:15" ht="15.75" x14ac:dyDescent="0.25">
      <c r="B564" s="34" t="s">
        <v>1697</v>
      </c>
      <c r="C564" s="3"/>
      <c r="D564" s="2"/>
      <c r="E564" s="2"/>
      <c r="F564" s="2"/>
      <c r="G564" s="2"/>
      <c r="H564" s="2"/>
      <c r="I564" s="2"/>
    </row>
    <row r="565" spans="1:15" x14ac:dyDescent="0.25">
      <c r="A565" s="104">
        <v>2</v>
      </c>
      <c r="B565" s="2" t="s">
        <v>1586</v>
      </c>
      <c r="C565" s="36" t="s">
        <v>203</v>
      </c>
      <c r="D565" s="2"/>
      <c r="G565" s="2" t="s">
        <v>1696</v>
      </c>
      <c r="H565" s="3" t="s">
        <v>1520</v>
      </c>
      <c r="I565" s="2"/>
    </row>
    <row r="566" spans="1:15" x14ac:dyDescent="0.25">
      <c r="B566" s="1" t="s">
        <v>1585</v>
      </c>
      <c r="C566" s="36" t="s">
        <v>612</v>
      </c>
      <c r="D566" s="2"/>
      <c r="E566" s="2"/>
      <c r="F566" s="2"/>
      <c r="G566" s="2"/>
      <c r="H566" s="2"/>
      <c r="I566" s="2"/>
    </row>
    <row r="567" spans="1:15" ht="15.75" thickBot="1" x14ac:dyDescent="0.3">
      <c r="D567" s="2"/>
      <c r="E567" s="2"/>
      <c r="F567" s="2"/>
      <c r="G567" s="2"/>
      <c r="H567" s="2"/>
      <c r="I567" s="2"/>
    </row>
    <row r="568" spans="1:15" ht="15.75" thickBot="1" x14ac:dyDescent="0.3">
      <c r="B568" s="43" t="s">
        <v>1695</v>
      </c>
      <c r="C568" s="44"/>
      <c r="D568" s="44"/>
      <c r="E568" s="44"/>
      <c r="F568" s="44"/>
      <c r="G568" s="44"/>
      <c r="H568" s="45"/>
      <c r="I568" s="2"/>
    </row>
    <row r="569" spans="1:15" ht="25.5" x14ac:dyDescent="0.25">
      <c r="B569" s="46" t="s">
        <v>1409</v>
      </c>
      <c r="C569" s="47"/>
      <c r="D569" s="48" t="s">
        <v>1690</v>
      </c>
      <c r="E569" s="48" t="s">
        <v>1694</v>
      </c>
      <c r="F569" s="48" t="s">
        <v>1693</v>
      </c>
      <c r="G569" s="49" t="s">
        <v>1687</v>
      </c>
      <c r="H569" s="50" t="s">
        <v>1686</v>
      </c>
      <c r="I569" s="2"/>
    </row>
    <row r="570" spans="1:15" x14ac:dyDescent="0.25">
      <c r="A570" s="103">
        <v>19015</v>
      </c>
      <c r="B570" s="51" t="str">
        <f>IF($A570=0,"",VLOOKUP($A570,'BASE EQUIPO'!$A:$D,2))</f>
        <v>HERRAMIENTA MENOR</v>
      </c>
      <c r="C570" s="52"/>
      <c r="D570" s="53">
        <v>1</v>
      </c>
      <c r="E570" s="53">
        <f>IF($A570=0,"",VLOOKUP($A570,'BASE EQUIPO'!$A:$D,4)*H586)</f>
        <v>1.0940999999999999</v>
      </c>
      <c r="F570" s="53">
        <f t="shared" ref="F570:F575" si="50">IF($A570=0,"",ROUND(D570*E570,2))</f>
        <v>1.0900000000000001</v>
      </c>
      <c r="G570" s="105">
        <v>1</v>
      </c>
      <c r="H570" s="54">
        <f t="shared" ref="H570:H575" si="51">IF($A570=0,"",ROUND(G570*F570,2))</f>
        <v>1.0900000000000001</v>
      </c>
      <c r="I570" s="2"/>
    </row>
    <row r="571" spans="1:15" x14ac:dyDescent="0.25">
      <c r="B571" s="38" t="str">
        <f>IF($A571=0,"",VLOOKUP($A571,'BASE EQUIPO'!$A:$D,2))</f>
        <v/>
      </c>
      <c r="C571" s="2"/>
      <c r="D571" s="55"/>
      <c r="E571" s="55" t="str">
        <f>IF($A571=0,"",VLOOKUP($A571,'BASE EQUIPO'!$A:$D,4))</f>
        <v/>
      </c>
      <c r="F571" s="55" t="str">
        <f t="shared" si="50"/>
        <v/>
      </c>
      <c r="G571" s="106"/>
      <c r="H571" s="56" t="str">
        <f t="shared" si="51"/>
        <v/>
      </c>
      <c r="I571" s="2"/>
    </row>
    <row r="572" spans="1:15" x14ac:dyDescent="0.25">
      <c r="B572" s="38" t="str">
        <f>IF($A572=0,"",VLOOKUP($A572,'BASE EQUIPO'!$A:$D,2))</f>
        <v/>
      </c>
      <c r="C572" s="2"/>
      <c r="D572" s="55"/>
      <c r="E572" s="55" t="str">
        <f>IF($A572=0,"",VLOOKUP($A572,'BASE EQUIPO'!$A:$D,4))</f>
        <v/>
      </c>
      <c r="F572" s="55" t="str">
        <f t="shared" si="50"/>
        <v/>
      </c>
      <c r="G572" s="106"/>
      <c r="H572" s="56" t="str">
        <f t="shared" si="51"/>
        <v/>
      </c>
      <c r="I572" s="2"/>
    </row>
    <row r="573" spans="1:15" x14ac:dyDescent="0.25">
      <c r="B573" s="38" t="str">
        <f>IF($A573=0,"",VLOOKUP($A573,'BASE EQUIPO'!$A:$D,2))</f>
        <v/>
      </c>
      <c r="C573" s="2"/>
      <c r="D573" s="55"/>
      <c r="E573" s="55" t="str">
        <f>IF($A573=0,"",VLOOKUP($A573,'BASE EQUIPO'!$A:$D,4))</f>
        <v/>
      </c>
      <c r="F573" s="55" t="str">
        <f t="shared" si="50"/>
        <v/>
      </c>
      <c r="G573" s="106"/>
      <c r="H573" s="56" t="str">
        <f t="shared" si="51"/>
        <v/>
      </c>
      <c r="I573" s="2"/>
    </row>
    <row r="574" spans="1:15" x14ac:dyDescent="0.25">
      <c r="B574" s="38" t="str">
        <f>IF($A574=0,"",VLOOKUP($A574,'BASE EQUIPO'!$A:$D,2))</f>
        <v/>
      </c>
      <c r="C574" s="2"/>
      <c r="D574" s="55"/>
      <c r="E574" s="55" t="str">
        <f>IF($A574=0,"",VLOOKUP($A574,'BASE EQUIPO'!$A:$D,4))</f>
        <v/>
      </c>
      <c r="F574" s="55" t="str">
        <f t="shared" si="50"/>
        <v/>
      </c>
      <c r="G574" s="106"/>
      <c r="H574" s="56" t="str">
        <f t="shared" si="51"/>
        <v/>
      </c>
      <c r="I574" s="2"/>
    </row>
    <row r="575" spans="1:15" x14ac:dyDescent="0.25">
      <c r="B575" s="57" t="str">
        <f>IF($A575=0,"",VLOOKUP($A575,'BASE EQUIPO'!$A:$D,2))</f>
        <v/>
      </c>
      <c r="C575" s="58"/>
      <c r="D575" s="59"/>
      <c r="E575" s="59" t="str">
        <f>IF($A575=0,"",VLOOKUP($A575,'BASE EQUIPO'!$A:$D,4))</f>
        <v/>
      </c>
      <c r="F575" s="59" t="str">
        <f t="shared" si="50"/>
        <v/>
      </c>
      <c r="G575" s="107"/>
      <c r="H575" s="60" t="str">
        <f t="shared" si="51"/>
        <v/>
      </c>
      <c r="I575" s="2"/>
    </row>
    <row r="576" spans="1:15" x14ac:dyDescent="0.25">
      <c r="B576" s="57" t="s">
        <v>1692</v>
      </c>
      <c r="C576" s="58"/>
      <c r="D576" s="61"/>
      <c r="E576" s="61"/>
      <c r="F576" s="61"/>
      <c r="G576" s="62"/>
      <c r="H576" s="60">
        <f>ROUND(SUM(H569:H575),2)</f>
        <v>1.0900000000000001</v>
      </c>
      <c r="I576" s="2"/>
    </row>
    <row r="577" spans="1:16" x14ac:dyDescent="0.25">
      <c r="B577" s="38" t="s">
        <v>1503</v>
      </c>
      <c r="C577" s="2"/>
      <c r="D577" s="3"/>
      <c r="E577" s="3"/>
      <c r="F577" s="3"/>
      <c r="G577" s="63"/>
      <c r="H577" s="56"/>
      <c r="I577" s="2"/>
    </row>
    <row r="578" spans="1:16" ht="25.5" x14ac:dyDescent="0.25">
      <c r="B578" s="64" t="s">
        <v>1691</v>
      </c>
      <c r="C578" s="65"/>
      <c r="D578" s="66" t="s">
        <v>1690</v>
      </c>
      <c r="E578" s="66" t="s">
        <v>1689</v>
      </c>
      <c r="F578" s="66" t="s">
        <v>1688</v>
      </c>
      <c r="G578" s="67" t="s">
        <v>1687</v>
      </c>
      <c r="H578" s="68" t="s">
        <v>1686</v>
      </c>
      <c r="I578" s="2"/>
    </row>
    <row r="579" spans="1:16" x14ac:dyDescent="0.25">
      <c r="B579" s="69" t="str">
        <f>IF($A579=0,"",VLOOKUP($A579,'BASE M-OBRA'!$A:$D,2))</f>
        <v/>
      </c>
      <c r="C579" s="2"/>
      <c r="D579" s="108"/>
      <c r="E579" s="70" t="str">
        <f>IF($A579=0,"",VLOOKUP($A579,'BASE M-OBRA'!$A:$D,4))</f>
        <v/>
      </c>
      <c r="F579" s="55" t="str">
        <f t="shared" ref="F579:F585" si="52">IF($A579=0,"",ROUND(D579*E579,2))</f>
        <v/>
      </c>
      <c r="G579" s="106" t="str">
        <f>IF($A579=0,"",ROUND(H579/F579,2))</f>
        <v/>
      </c>
      <c r="H579" s="56" t="str">
        <f>IF($A579=0,"",ROUND(SUM(H580:H585)*'BASE M-OBRA'!$D$23,2))</f>
        <v/>
      </c>
      <c r="I579" s="2"/>
    </row>
    <row r="580" spans="1:16" x14ac:dyDescent="0.25">
      <c r="A580" s="103">
        <v>20019</v>
      </c>
      <c r="B580" s="69" t="str">
        <f>IF($A580=0,"",VLOOKUP($A580,'BASE M-OBRA'!$A:$D,2))</f>
        <v>INSTALADOR</v>
      </c>
      <c r="C580" s="2"/>
      <c r="D580" s="108">
        <v>1</v>
      </c>
      <c r="E580" s="70">
        <f>IF($A580=0,"",VLOOKUP($A580,'BASE M-OBRA'!$A:$D,4))</f>
        <v>2.82</v>
      </c>
      <c r="F580" s="55">
        <f t="shared" si="52"/>
        <v>2.82</v>
      </c>
      <c r="G580" s="106">
        <v>6.5</v>
      </c>
      <c r="H580" s="56">
        <f t="shared" ref="H580:H585" si="53">IF($A580=0,"",ROUND(G580*F580,2))</f>
        <v>18.329999999999998</v>
      </c>
      <c r="I580" s="2"/>
      <c r="K580" s="1">
        <f>320/8</f>
        <v>40</v>
      </c>
    </row>
    <row r="581" spans="1:16" x14ac:dyDescent="0.25">
      <c r="A581" s="103">
        <v>20011</v>
      </c>
      <c r="B581" s="69" t="str">
        <f>IF($A581=0,"",VLOOKUP($A581,'BASE M-OBRA'!$A:$D,2))</f>
        <v>AYUDANTE ESPECIALISTA</v>
      </c>
      <c r="C581" s="2"/>
      <c r="D581" s="108">
        <v>1</v>
      </c>
      <c r="E581" s="70">
        <f>IF($A581=0,"",VLOOKUP($A581,'BASE M-OBRA'!$A:$D,4))</f>
        <v>2.79</v>
      </c>
      <c r="F581" s="55">
        <f t="shared" si="52"/>
        <v>2.79</v>
      </c>
      <c r="G581" s="106">
        <f>+G580</f>
        <v>6.5</v>
      </c>
      <c r="H581" s="56">
        <f t="shared" si="53"/>
        <v>18.14</v>
      </c>
      <c r="I581" s="2"/>
    </row>
    <row r="582" spans="1:16" x14ac:dyDescent="0.25">
      <c r="B582" s="71" t="str">
        <f>IF($A582=0,"",VLOOKUP($A582,'BASE M-OBRA'!$A:$D,2))</f>
        <v/>
      </c>
      <c r="C582" s="2"/>
      <c r="D582" s="108"/>
      <c r="E582" s="70" t="str">
        <f>IF($A582=0,"",VLOOKUP($A582,'BASE M-OBRA'!$A:$D,4))</f>
        <v/>
      </c>
      <c r="F582" s="55" t="str">
        <f t="shared" si="52"/>
        <v/>
      </c>
      <c r="G582" s="106"/>
      <c r="H582" s="56" t="str">
        <f t="shared" si="53"/>
        <v/>
      </c>
      <c r="I582" s="2"/>
      <c r="J582" s="1">
        <f>0.25*30000</f>
        <v>7500</v>
      </c>
    </row>
    <row r="583" spans="1:16" x14ac:dyDescent="0.25">
      <c r="B583" s="72" t="str">
        <f>IF($A583=0,"",VLOOKUP($A583,'BASE M-OBRA'!$A:$D,2))</f>
        <v/>
      </c>
      <c r="C583" s="2"/>
      <c r="D583" s="108"/>
      <c r="E583" s="70" t="str">
        <f>IF($A583=0,"",VLOOKUP($A583,'BASE M-OBRA'!$A:$D,4))</f>
        <v/>
      </c>
      <c r="F583" s="55" t="str">
        <f t="shared" si="52"/>
        <v/>
      </c>
      <c r="G583" s="106"/>
      <c r="H583" s="56" t="str">
        <f t="shared" si="53"/>
        <v/>
      </c>
      <c r="I583" s="2"/>
    </row>
    <row r="584" spans="1:16" x14ac:dyDescent="0.25">
      <c r="B584" s="38" t="str">
        <f>IF($A584=0,"",VLOOKUP($A584,'BASE M-OBRA'!$A:$D,2))</f>
        <v/>
      </c>
      <c r="C584" s="2"/>
      <c r="D584" s="55"/>
      <c r="E584" s="55" t="str">
        <f>IF($A584=0,"",VLOOKUP($A584,'BASE M-OBRA'!$A:$D,4))</f>
        <v/>
      </c>
      <c r="F584" s="55" t="str">
        <f t="shared" si="52"/>
        <v/>
      </c>
      <c r="G584" s="106"/>
      <c r="H584" s="56" t="str">
        <f t="shared" si="53"/>
        <v/>
      </c>
      <c r="I584" s="2"/>
    </row>
    <row r="585" spans="1:16" x14ac:dyDescent="0.25">
      <c r="B585" s="57" t="str">
        <f>IF($A585=0,"",VLOOKUP($A585,'BASE M-OBRA'!$A:$D,2))</f>
        <v/>
      </c>
      <c r="C585" s="58"/>
      <c r="D585" s="59"/>
      <c r="E585" s="59" t="str">
        <f>IF($A585=0,"",VLOOKUP($A585,'BASE M-OBRA'!$A:$D,4))</f>
        <v/>
      </c>
      <c r="F585" s="59" t="str">
        <f t="shared" si="52"/>
        <v/>
      </c>
      <c r="G585" s="107"/>
      <c r="H585" s="60" t="str">
        <f t="shared" si="53"/>
        <v/>
      </c>
      <c r="I585" s="2"/>
    </row>
    <row r="586" spans="1:16" x14ac:dyDescent="0.25">
      <c r="B586" s="73" t="s">
        <v>1685</v>
      </c>
      <c r="C586" s="65"/>
      <c r="D586" s="74"/>
      <c r="E586" s="74"/>
      <c r="F586" s="74"/>
      <c r="G586" s="74"/>
      <c r="H586" s="75">
        <f>ROUND(SUM(H578:H585),2)</f>
        <v>36.47</v>
      </c>
      <c r="I586" s="2"/>
      <c r="J586" s="1">
        <f>13200*0.3</f>
        <v>3960</v>
      </c>
    </row>
    <row r="587" spans="1:16" x14ac:dyDescent="0.25">
      <c r="B587" s="38" t="s">
        <v>1684</v>
      </c>
      <c r="C587" s="2"/>
      <c r="D587" s="3"/>
      <c r="E587" s="3"/>
      <c r="F587" s="3"/>
      <c r="G587" s="3"/>
      <c r="H587" s="56"/>
      <c r="I587" s="2"/>
    </row>
    <row r="588" spans="1:16" ht="25.5" x14ac:dyDescent="0.25">
      <c r="B588" s="64" t="s">
        <v>1409</v>
      </c>
      <c r="C588" s="65"/>
      <c r="D588" s="76"/>
      <c r="E588" s="66" t="s">
        <v>1408</v>
      </c>
      <c r="F588" s="66" t="s">
        <v>1679</v>
      </c>
      <c r="G588" s="66" t="s">
        <v>1683</v>
      </c>
      <c r="H588" s="68" t="s">
        <v>1675</v>
      </c>
      <c r="I588" s="2"/>
    </row>
    <row r="589" spans="1:16" x14ac:dyDescent="0.25">
      <c r="A589" s="103">
        <v>14002</v>
      </c>
      <c r="B589" s="38" t="s">
        <v>112</v>
      </c>
      <c r="C589" s="2"/>
      <c r="D589" s="77"/>
      <c r="E589" s="78" t="s">
        <v>915</v>
      </c>
      <c r="F589" s="113">
        <v>1</v>
      </c>
      <c r="G589" s="55">
        <v>98.5</v>
      </c>
      <c r="H589" s="56">
        <f t="shared" ref="H589:H603" si="54">IF($A589=0,"",ROUND(F589*G589,2))</f>
        <v>98.5</v>
      </c>
      <c r="I589" s="2"/>
      <c r="J589" s="1">
        <f>SUM(J591:J593)</f>
        <v>8.7919999999999998</v>
      </c>
      <c r="K589" s="1" t="s">
        <v>225</v>
      </c>
      <c r="L589" s="2"/>
      <c r="M589" s="2"/>
      <c r="N589" s="39"/>
      <c r="O589" s="2"/>
      <c r="P589" s="2"/>
    </row>
    <row r="590" spans="1:16" x14ac:dyDescent="0.25">
      <c r="B590" s="38"/>
      <c r="C590" s="2"/>
      <c r="D590" s="77"/>
      <c r="E590" s="78"/>
      <c r="F590" s="113"/>
      <c r="G590" s="55"/>
      <c r="H590" s="56" t="str">
        <f t="shared" si="54"/>
        <v/>
      </c>
      <c r="I590" s="2"/>
      <c r="L590" s="2"/>
      <c r="M590" s="2"/>
      <c r="N590" s="39"/>
      <c r="O590" s="2"/>
      <c r="P590" s="2"/>
    </row>
    <row r="591" spans="1:16" x14ac:dyDescent="0.25">
      <c r="B591" s="38"/>
      <c r="C591" s="2"/>
      <c r="D591" s="77"/>
      <c r="E591" s="78"/>
      <c r="F591" s="113"/>
      <c r="G591" s="55"/>
      <c r="H591" s="56" t="str">
        <f t="shared" si="54"/>
        <v/>
      </c>
      <c r="I591" s="2"/>
      <c r="J591" s="79">
        <f>7.85*2*0.12*3</f>
        <v>5.6519999999999992</v>
      </c>
      <c r="K591" s="1" t="s">
        <v>842</v>
      </c>
      <c r="L591" s="2"/>
      <c r="M591" s="2"/>
      <c r="N591" s="39"/>
      <c r="O591" s="2"/>
      <c r="P591" s="2"/>
    </row>
    <row r="592" spans="1:16" x14ac:dyDescent="0.25">
      <c r="B592" s="38"/>
      <c r="C592" s="2"/>
      <c r="D592" s="77"/>
      <c r="E592" s="78"/>
      <c r="F592" s="113"/>
      <c r="G592" s="55"/>
      <c r="H592" s="56" t="str">
        <f t="shared" si="54"/>
        <v/>
      </c>
      <c r="I592" s="2"/>
      <c r="K592" s="1" t="s">
        <v>223</v>
      </c>
      <c r="L592" s="2"/>
      <c r="M592" s="2"/>
      <c r="N592" s="39"/>
      <c r="O592" s="2"/>
      <c r="P592" s="2"/>
    </row>
    <row r="593" spans="1:16" x14ac:dyDescent="0.25">
      <c r="B593" s="38"/>
      <c r="C593" s="2"/>
      <c r="D593" s="77"/>
      <c r="E593" s="78"/>
      <c r="F593" s="113"/>
      <c r="G593" s="55"/>
      <c r="H593" s="56" t="str">
        <f t="shared" si="54"/>
        <v/>
      </c>
      <c r="I593" s="2"/>
      <c r="J593" s="79">
        <f>7.85*2*0.1*2</f>
        <v>3.14</v>
      </c>
      <c r="K593" s="1" t="s">
        <v>224</v>
      </c>
      <c r="L593" s="2"/>
      <c r="M593" s="2"/>
      <c r="N593" s="39"/>
      <c r="O593" s="2"/>
      <c r="P593" s="2"/>
    </row>
    <row r="594" spans="1:16" x14ac:dyDescent="0.25">
      <c r="B594" s="38"/>
      <c r="C594" s="2"/>
      <c r="D594" s="77"/>
      <c r="E594" s="78"/>
      <c r="F594" s="113"/>
      <c r="G594" s="55"/>
      <c r="H594" s="56" t="str">
        <f t="shared" si="54"/>
        <v/>
      </c>
      <c r="I594" s="2"/>
      <c r="J594" s="79"/>
      <c r="L594" s="2"/>
      <c r="M594" s="2"/>
      <c r="N594" s="39"/>
      <c r="O594" s="2"/>
      <c r="P594" s="2"/>
    </row>
    <row r="595" spans="1:16" x14ac:dyDescent="0.25">
      <c r="B595" s="38" t="str">
        <f>IF($A595=0,"",VLOOKUP($A595,'BASE MATERIAL'!$A:$D,2))</f>
        <v/>
      </c>
      <c r="C595" s="2"/>
      <c r="D595" s="77"/>
      <c r="E595" s="78" t="str">
        <f>IF($A595=0,"",VLOOKUP($A595,'BASE MATERIAL'!$A:$D,3))</f>
        <v/>
      </c>
      <c r="F595" s="55"/>
      <c r="G595" s="55" t="str">
        <f>IF($A595=0,"",VLOOKUP($A595,'BASE MATERIAL'!$A:$D,4))</f>
        <v/>
      </c>
      <c r="H595" s="56" t="str">
        <f t="shared" si="54"/>
        <v/>
      </c>
      <c r="I595" s="2"/>
      <c r="L595" s="2"/>
      <c r="M595" s="2"/>
      <c r="N595" s="39"/>
      <c r="O595" s="2"/>
      <c r="P595" s="2"/>
    </row>
    <row r="596" spans="1:16" x14ac:dyDescent="0.25">
      <c r="B596" s="38"/>
      <c r="C596" s="2"/>
      <c r="D596" s="77"/>
      <c r="E596" s="78"/>
      <c r="F596" s="55"/>
      <c r="G596" s="55"/>
      <c r="H596" s="56" t="str">
        <f t="shared" si="54"/>
        <v/>
      </c>
      <c r="I596" s="2"/>
      <c r="J596" s="79">
        <f>7.85*2*0.12*1.2</f>
        <v>2.2607999999999997</v>
      </c>
      <c r="K596" s="1">
        <f>3.1416*0.0254*1.5</f>
        <v>0.11969496</v>
      </c>
      <c r="L596" s="2"/>
      <c r="M596" s="2"/>
      <c r="N596" s="39"/>
      <c r="O596" s="2"/>
      <c r="P596" s="2"/>
    </row>
    <row r="597" spans="1:16" x14ac:dyDescent="0.25">
      <c r="B597" s="38"/>
      <c r="C597" s="2"/>
      <c r="D597" s="77"/>
      <c r="E597" s="78"/>
      <c r="F597" s="55"/>
      <c r="G597" s="55"/>
      <c r="H597" s="56" t="str">
        <f t="shared" si="54"/>
        <v/>
      </c>
      <c r="I597" s="2"/>
      <c r="J597" s="79">
        <f>7.85*2*0.1*1.2</f>
        <v>1.8839999999999999</v>
      </c>
      <c r="K597" s="1">
        <f>0.0254*1.25*3.1416</f>
        <v>9.9745799999999996E-2</v>
      </c>
    </row>
    <row r="598" spans="1:16" x14ac:dyDescent="0.25">
      <c r="B598" s="38"/>
      <c r="C598" s="2"/>
      <c r="D598" s="77"/>
      <c r="E598" s="78"/>
      <c r="F598" s="55"/>
      <c r="G598" s="55"/>
      <c r="H598" s="56" t="str">
        <f t="shared" si="54"/>
        <v/>
      </c>
      <c r="I598" s="2"/>
      <c r="L598" s="2"/>
      <c r="M598" s="2"/>
      <c r="N598" s="39"/>
      <c r="O598" s="2"/>
      <c r="P598" s="2"/>
    </row>
    <row r="599" spans="1:16" x14ac:dyDescent="0.25">
      <c r="B599" s="38"/>
      <c r="C599" s="2"/>
      <c r="D599" s="77"/>
      <c r="E599" s="78"/>
      <c r="F599" s="55"/>
      <c r="G599" s="55"/>
      <c r="H599" s="56" t="str">
        <f t="shared" si="54"/>
        <v/>
      </c>
      <c r="I599" s="2"/>
      <c r="J599" s="79">
        <f>0.13*3</f>
        <v>0.39</v>
      </c>
      <c r="L599" s="2"/>
      <c r="M599" s="2"/>
      <c r="N599" s="39"/>
      <c r="O599" s="2"/>
      <c r="P599" s="2"/>
    </row>
    <row r="600" spans="1:16" x14ac:dyDescent="0.25">
      <c r="B600" s="38" t="str">
        <f>IF($A600=0,"",VLOOKUP($A600,'BASE MATERIAL'!$A:$D,2))</f>
        <v/>
      </c>
      <c r="C600" s="2"/>
      <c r="D600" s="77"/>
      <c r="E600" s="78" t="str">
        <f>IF($A600=0,"",VLOOKUP($A600,'BASE MATERIAL'!$A:$D,3))</f>
        <v/>
      </c>
      <c r="F600" s="55"/>
      <c r="G600" s="55" t="str">
        <f>IF($A600=0,"",VLOOKUP($A600,'BASE MATERIAL'!$A:$D,4))</f>
        <v/>
      </c>
      <c r="H600" s="56" t="str">
        <f t="shared" si="54"/>
        <v/>
      </c>
      <c r="I600" s="2"/>
      <c r="J600" s="79">
        <f>0.1*2</f>
        <v>0.2</v>
      </c>
    </row>
    <row r="601" spans="1:16" x14ac:dyDescent="0.25">
      <c r="B601" s="38" t="str">
        <f>IF($A601=0,"",VLOOKUP($A601,'BASE MATERIAL'!$A:$D,2))</f>
        <v/>
      </c>
      <c r="C601" s="2"/>
      <c r="D601" s="77"/>
      <c r="E601" s="78" t="str">
        <f>IF($A601=0,"",VLOOKUP($A601,'BASE MATERIAL'!$A:$D,3))</f>
        <v/>
      </c>
      <c r="F601" s="55"/>
      <c r="G601" s="55" t="str">
        <f>IF($A601=0,"",VLOOKUP($A601,'BASE MATERIAL'!$A:$D,4))</f>
        <v/>
      </c>
      <c r="H601" s="56" t="str">
        <f t="shared" si="54"/>
        <v/>
      </c>
      <c r="I601" s="2"/>
      <c r="J601" s="79">
        <f>SUM(J599:J600)</f>
        <v>0.59000000000000008</v>
      </c>
    </row>
    <row r="602" spans="1:16" x14ac:dyDescent="0.25">
      <c r="B602" s="38" t="str">
        <f>IF($A602=0,"",VLOOKUP($A602,'BASE MATERIAL'!$A:$D,2))</f>
        <v/>
      </c>
      <c r="C602" s="2"/>
      <c r="D602" s="77"/>
      <c r="E602" s="78" t="str">
        <f>IF($A602=0,"",VLOOKUP($A602,'BASE MATERIAL'!$A:$D,3))</f>
        <v/>
      </c>
      <c r="F602" s="55"/>
      <c r="G602" s="55" t="str">
        <f>IF($A602=0,"",VLOOKUP($A602,'BASE MATERIAL'!$A:$D,4))</f>
        <v/>
      </c>
      <c r="H602" s="56" t="str">
        <f t="shared" si="54"/>
        <v/>
      </c>
      <c r="I602" s="2"/>
    </row>
    <row r="603" spans="1:16" x14ac:dyDescent="0.25">
      <c r="B603" s="38" t="str">
        <f>IF($A603=0,"",VLOOKUP($A603,'BASE MATERIAL'!$A:$D,2))</f>
        <v/>
      </c>
      <c r="C603" s="2"/>
      <c r="D603" s="77"/>
      <c r="E603" s="78" t="str">
        <f>IF($A603=0,"",VLOOKUP($A603,'BASE MATERIAL'!$A:$D,3))</f>
        <v/>
      </c>
      <c r="F603" s="55"/>
      <c r="G603" s="55" t="str">
        <f>IF($A603=0,"",VLOOKUP($A603,'BASE MATERIAL'!$A:$D,4))</f>
        <v/>
      </c>
      <c r="H603" s="56" t="str">
        <f t="shared" si="54"/>
        <v/>
      </c>
      <c r="I603" s="2"/>
    </row>
    <row r="604" spans="1:16" x14ac:dyDescent="0.25">
      <c r="B604" s="38" t="str">
        <f>IF($A604=0,"",VLOOKUP($A604,'BASE MATERIAL'!$A:$D,2))</f>
        <v/>
      </c>
      <c r="C604" s="2"/>
      <c r="D604" s="81" t="s">
        <v>1682</v>
      </c>
      <c r="E604" s="55" t="str">
        <f>IF($A604=0,"",VLOOKUP($A604,'BASE MATERIAL'!$A:$D,3))</f>
        <v/>
      </c>
      <c r="F604" s="55" t="s">
        <v>1682</v>
      </c>
      <c r="G604" s="55" t="str">
        <f>IF($A604=0,"",VLOOKUP($A604,'BASE MATERIAL'!$A:$D,4))</f>
        <v/>
      </c>
      <c r="H604" s="56" t="str">
        <f>IF($A604=0,"",ROUND(E604*F604,2))</f>
        <v/>
      </c>
      <c r="I604" s="2"/>
    </row>
    <row r="605" spans="1:16" x14ac:dyDescent="0.25">
      <c r="B605" s="73" t="s">
        <v>1681</v>
      </c>
      <c r="C605" s="65"/>
      <c r="D605" s="74"/>
      <c r="E605" s="74"/>
      <c r="F605" s="74"/>
      <c r="G605" s="74"/>
      <c r="H605" s="75">
        <f>ROUND(SUM(H588:H604),2)</f>
        <v>98.5</v>
      </c>
      <c r="I605" s="2"/>
    </row>
    <row r="606" spans="1:16" x14ac:dyDescent="0.25">
      <c r="B606" s="38" t="s">
        <v>1680</v>
      </c>
      <c r="C606" s="2"/>
      <c r="D606" s="3"/>
      <c r="E606" s="3"/>
      <c r="F606" s="3"/>
      <c r="G606" s="3"/>
      <c r="H606" s="56"/>
      <c r="I606" s="2"/>
    </row>
    <row r="607" spans="1:16" ht="25.5" x14ac:dyDescent="0.25">
      <c r="B607" s="64" t="s">
        <v>1409</v>
      </c>
      <c r="C607" s="65"/>
      <c r="D607" s="76"/>
      <c r="E607" s="66" t="s">
        <v>1408</v>
      </c>
      <c r="F607" s="66" t="s">
        <v>1679</v>
      </c>
      <c r="G607" s="66" t="s">
        <v>1676</v>
      </c>
      <c r="H607" s="68" t="s">
        <v>1675</v>
      </c>
      <c r="I607" s="2"/>
    </row>
    <row r="608" spans="1:16" x14ac:dyDescent="0.25">
      <c r="A608" s="103">
        <v>19019</v>
      </c>
      <c r="B608" s="51" t="str">
        <f>IF($A608=0,"",VLOOKUP($A608,'BASE EQUIPO'!$A:$D,2))</f>
        <v>TRANSPORTE DE MATERIAL</v>
      </c>
      <c r="C608" s="52"/>
      <c r="D608" s="82"/>
      <c r="E608" s="78" t="str">
        <f>IF($A608=0,"",VLOOKUP($A608,'BASE EQUIPO'!$A:$D,3))</f>
        <v>GLOBAL</v>
      </c>
      <c r="F608" s="55">
        <v>1</v>
      </c>
      <c r="G608" s="83">
        <f>IF($A608=0,"",VLOOKUP($A608,'BASE EQUIPO'!$A:$D,4)*H605)+0.01</f>
        <v>2.9649999999999999</v>
      </c>
      <c r="H608" s="56">
        <f>IF($A608=0,"",ROUND(F608*G608,2))</f>
        <v>2.97</v>
      </c>
      <c r="I608" s="2"/>
    </row>
    <row r="609" spans="1:15" x14ac:dyDescent="0.25">
      <c r="B609" s="38" t="str">
        <f>IF($A609=0,"",VLOOKUP($A609,'BASE EQUIPO'!$A:$D,2))</f>
        <v/>
      </c>
      <c r="C609" s="2"/>
      <c r="D609" s="84"/>
      <c r="E609" s="78" t="str">
        <f>IF($A609=0,"",VLOOKUP($A609,'BASE EQUIPO'!$A:$D,3))</f>
        <v/>
      </c>
      <c r="F609" s="55"/>
      <c r="G609" s="55" t="str">
        <f>IF($A609=0,"",VLOOKUP($A609,'BASE EQUIPO'!$A:$D,4)*H606)</f>
        <v/>
      </c>
      <c r="H609" s="56" t="str">
        <f>IF($A609=0,"",ROUND(F609*G609,2))</f>
        <v/>
      </c>
      <c r="I609" s="2"/>
    </row>
    <row r="610" spans="1:15" x14ac:dyDescent="0.25">
      <c r="B610" s="57" t="str">
        <f>IF($A610=0,"",VLOOKUP($A610,'BASE EQUIPO'!$A:$D,2))</f>
        <v/>
      </c>
      <c r="C610" s="58"/>
      <c r="D610" s="85"/>
      <c r="E610" s="86" t="str">
        <f>IF($A610=0,"",VLOOKUP($A610,'BASE EQUIPO'!$A:$D,3))</f>
        <v/>
      </c>
      <c r="F610" s="59"/>
      <c r="G610" s="59" t="str">
        <f>IF($A610=0,"",VLOOKUP($A610,'BASE EQUIPO'!$A:$D,4)*H607)</f>
        <v/>
      </c>
      <c r="H610" s="60" t="str">
        <f>IF($A610=0,"",ROUND(F610*G610,2))</f>
        <v/>
      </c>
      <c r="I610" s="2"/>
    </row>
    <row r="611" spans="1:15" ht="15.75" thickBot="1" x14ac:dyDescent="0.3">
      <c r="B611" s="87" t="s">
        <v>1674</v>
      </c>
      <c r="C611" s="88"/>
      <c r="D611" s="89"/>
      <c r="E611" s="89"/>
      <c r="F611" s="89"/>
      <c r="G611" s="89"/>
      <c r="H611" s="90">
        <f>ROUND(SUM(H607:H610),2)</f>
        <v>2.97</v>
      </c>
      <c r="I611" s="2"/>
    </row>
    <row r="612" spans="1:15" ht="15.75" x14ac:dyDescent="0.25">
      <c r="B612" s="2"/>
      <c r="C612" s="2"/>
      <c r="D612" s="91" t="s">
        <v>1673</v>
      </c>
      <c r="E612" s="47"/>
      <c r="F612" s="47"/>
      <c r="G612" s="47"/>
      <c r="H612" s="92">
        <f>ROUND(SUM(H611,H605,H586,H576),2)</f>
        <v>139.03</v>
      </c>
      <c r="I612" s="2"/>
    </row>
    <row r="613" spans="1:15" ht="15.75" x14ac:dyDescent="0.25">
      <c r="A613" s="103">
        <v>40002</v>
      </c>
      <c r="B613" s="2"/>
      <c r="C613" s="2"/>
      <c r="D613" s="93" t="s">
        <v>1672</v>
      </c>
      <c r="E613" s="65"/>
      <c r="F613" s="65"/>
      <c r="G613" s="94">
        <f>IF($A613=0,"",VLOOKUP($A613,'BASE MATERIAL'!$M:$P,4))</f>
        <v>0</v>
      </c>
      <c r="H613" s="95">
        <f>IF($A613=0,"",ROUND(G613*H612,2))</f>
        <v>0</v>
      </c>
      <c r="I613" s="2"/>
    </row>
    <row r="614" spans="1:15" ht="15.75" x14ac:dyDescent="0.25">
      <c r="A614" s="103">
        <v>40003</v>
      </c>
      <c r="B614" s="2"/>
      <c r="C614" s="2"/>
      <c r="D614" s="93" t="s">
        <v>1671</v>
      </c>
      <c r="E614" s="65"/>
      <c r="F614" s="65"/>
      <c r="G614" s="94">
        <f>IF($A614=0,"",VLOOKUP($A614,'BASE MATERIAL'!$M:$P,4))</f>
        <v>0</v>
      </c>
      <c r="H614" s="95">
        <f>IF($A614=0,"",ROUND(G614*H612,2))</f>
        <v>0</v>
      </c>
      <c r="I614" s="2"/>
    </row>
    <row r="615" spans="1:15" ht="15.75" x14ac:dyDescent="0.25">
      <c r="B615" s="2"/>
      <c r="C615" s="2"/>
      <c r="D615" s="93" t="s">
        <v>1670</v>
      </c>
      <c r="E615" s="65"/>
      <c r="F615" s="65"/>
      <c r="G615" s="65"/>
      <c r="H615" s="96">
        <f>ROUND(SUM(H612:H614),2)</f>
        <v>139.03</v>
      </c>
      <c r="I615" s="2"/>
    </row>
    <row r="616" spans="1:15" ht="16.5" thickBot="1" x14ac:dyDescent="0.3">
      <c r="B616" s="25"/>
      <c r="C616" s="2"/>
      <c r="D616" s="97" t="s">
        <v>1650</v>
      </c>
      <c r="E616" s="88"/>
      <c r="F616" s="88"/>
      <c r="G616" s="88"/>
      <c r="H616" s="98">
        <f>ROUND(H615,2)</f>
        <v>139.03</v>
      </c>
      <c r="I616" s="2"/>
    </row>
    <row r="617" spans="1:15" ht="15.75" x14ac:dyDescent="0.25">
      <c r="B617" s="34" t="s">
        <v>1701</v>
      </c>
      <c r="C617" s="2"/>
      <c r="D617" s="3" t="str">
        <f>'1.1'!$D$1</f>
        <v>ESPOL</v>
      </c>
      <c r="E617" s="2"/>
      <c r="F617" s="2"/>
      <c r="H617" s="2" t="s">
        <v>108</v>
      </c>
      <c r="I617" s="2"/>
      <c r="L617" s="40">
        <f>A621</f>
        <v>2</v>
      </c>
      <c r="M617" s="1" t="str">
        <f>C622</f>
        <v>Sobre estructura de aluminio para cubierta de steel panel</v>
      </c>
      <c r="N617" s="2" t="str">
        <f>H621</f>
        <v>m2</v>
      </c>
      <c r="O617" s="2">
        <f>H672</f>
        <v>69.17</v>
      </c>
    </row>
    <row r="618" spans="1:15" ht="15.75" x14ac:dyDescent="0.25">
      <c r="B618" s="34" t="s">
        <v>1700</v>
      </c>
      <c r="C618" s="3">
        <f>'1.1'!$C$2</f>
        <v>0</v>
      </c>
      <c r="D618" s="2"/>
      <c r="E618" s="2"/>
      <c r="F618" s="2"/>
      <c r="G618" s="41" t="s">
        <v>1699</v>
      </c>
      <c r="H618" s="42"/>
      <c r="I618" s="2" t="s">
        <v>1698</v>
      </c>
    </row>
    <row r="619" spans="1:15" ht="15.75" x14ac:dyDescent="0.25">
      <c r="B619" s="34"/>
      <c r="C619" s="3">
        <f>'1.1'!$C$3</f>
        <v>0</v>
      </c>
      <c r="D619" s="2"/>
      <c r="E619" s="2"/>
      <c r="F619" s="2"/>
      <c r="G619" s="2"/>
      <c r="H619" s="2"/>
      <c r="I619" s="2"/>
    </row>
    <row r="620" spans="1:15" ht="15.75" x14ac:dyDescent="0.25">
      <c r="B620" s="34" t="s">
        <v>1697</v>
      </c>
      <c r="C620" s="3"/>
      <c r="D620" s="2"/>
      <c r="E620" s="2"/>
      <c r="F620" s="2"/>
      <c r="G620" s="2"/>
      <c r="H620" s="2"/>
      <c r="I620" s="2"/>
    </row>
    <row r="621" spans="1:15" x14ac:dyDescent="0.25">
      <c r="A621" s="104">
        <v>2</v>
      </c>
      <c r="B621" s="2" t="s">
        <v>1586</v>
      </c>
      <c r="C621" s="36" t="s">
        <v>204</v>
      </c>
      <c r="D621" s="2"/>
      <c r="G621" s="2" t="s">
        <v>1696</v>
      </c>
      <c r="H621" s="3" t="s">
        <v>1520</v>
      </c>
      <c r="I621" s="2"/>
    </row>
    <row r="622" spans="1:15" x14ac:dyDescent="0.25">
      <c r="B622" s="1" t="s">
        <v>1585</v>
      </c>
      <c r="C622" s="36" t="s">
        <v>613</v>
      </c>
      <c r="D622" s="2"/>
      <c r="E622" s="2"/>
      <c r="F622" s="2"/>
      <c r="G622" s="2"/>
      <c r="H622" s="2"/>
      <c r="I622" s="2"/>
    </row>
    <row r="623" spans="1:15" ht="15.75" thickBot="1" x14ac:dyDescent="0.3">
      <c r="D623" s="2"/>
      <c r="E623" s="2"/>
      <c r="F623" s="2"/>
      <c r="G623" s="2"/>
      <c r="H623" s="2"/>
      <c r="I623" s="2"/>
    </row>
    <row r="624" spans="1:15" ht="15.75" thickBot="1" x14ac:dyDescent="0.3">
      <c r="B624" s="43" t="s">
        <v>1695</v>
      </c>
      <c r="C624" s="44"/>
      <c r="D624" s="44"/>
      <c r="E624" s="44"/>
      <c r="F624" s="44"/>
      <c r="G624" s="44"/>
      <c r="H624" s="45"/>
      <c r="I624" s="2"/>
    </row>
    <row r="625" spans="1:11" ht="25.5" x14ac:dyDescent="0.25">
      <c r="B625" s="46" t="s">
        <v>1409</v>
      </c>
      <c r="C625" s="47"/>
      <c r="D625" s="48" t="s">
        <v>1690</v>
      </c>
      <c r="E625" s="48" t="s">
        <v>1694</v>
      </c>
      <c r="F625" s="48" t="s">
        <v>1693</v>
      </c>
      <c r="G625" s="49" t="s">
        <v>1687</v>
      </c>
      <c r="H625" s="50" t="s">
        <v>1686</v>
      </c>
      <c r="I625" s="2"/>
    </row>
    <row r="626" spans="1:11" x14ac:dyDescent="0.25">
      <c r="A626" s="103">
        <v>19015</v>
      </c>
      <c r="B626" s="51" t="str">
        <f>IF($A626=0,"",VLOOKUP($A626,'BASE EQUIPO'!$A:$D,2))</f>
        <v>HERRAMIENTA MENOR</v>
      </c>
      <c r="C626" s="52"/>
      <c r="D626" s="53">
        <v>1</v>
      </c>
      <c r="E626" s="53">
        <f>IF($A626=0,"",VLOOKUP($A626,'BASE EQUIPO'!$A:$D,4)*H642)</f>
        <v>0.5048999999999999</v>
      </c>
      <c r="F626" s="53">
        <f t="shared" ref="F626:F631" si="55">IF($A626=0,"",ROUND(D626*E626,2))</f>
        <v>0.5</v>
      </c>
      <c r="G626" s="105">
        <v>1</v>
      </c>
      <c r="H626" s="54">
        <f t="shared" ref="H626:H631" si="56">IF($A626=0,"",ROUND(G626*F626,2))</f>
        <v>0.5</v>
      </c>
      <c r="I626" s="2"/>
    </row>
    <row r="627" spans="1:11" x14ac:dyDescent="0.25">
      <c r="B627" s="38" t="str">
        <f>IF($A627=0,"",VLOOKUP($A627,'BASE EQUIPO'!$A:$D,2))</f>
        <v/>
      </c>
      <c r="C627" s="2"/>
      <c r="D627" s="55"/>
      <c r="E627" s="55" t="str">
        <f>IF($A627=0,"",VLOOKUP($A627,'BASE EQUIPO'!$A:$D,4))</f>
        <v/>
      </c>
      <c r="F627" s="55" t="str">
        <f t="shared" si="55"/>
        <v/>
      </c>
      <c r="G627" s="106"/>
      <c r="H627" s="56" t="str">
        <f t="shared" si="56"/>
        <v/>
      </c>
      <c r="I627" s="2"/>
    </row>
    <row r="628" spans="1:11" x14ac:dyDescent="0.25">
      <c r="B628" s="38" t="str">
        <f>IF($A628=0,"",VLOOKUP($A628,'BASE EQUIPO'!$A:$D,2))</f>
        <v/>
      </c>
      <c r="C628" s="2"/>
      <c r="D628" s="55"/>
      <c r="E628" s="55" t="str">
        <f>IF($A628=0,"",VLOOKUP($A628,'BASE EQUIPO'!$A:$D,4))</f>
        <v/>
      </c>
      <c r="F628" s="55" t="str">
        <f t="shared" si="55"/>
        <v/>
      </c>
      <c r="G628" s="106"/>
      <c r="H628" s="56" t="str">
        <f t="shared" si="56"/>
        <v/>
      </c>
      <c r="I628" s="2"/>
    </row>
    <row r="629" spans="1:11" x14ac:dyDescent="0.25">
      <c r="B629" s="38" t="str">
        <f>IF($A629=0,"",VLOOKUP($A629,'BASE EQUIPO'!$A:$D,2))</f>
        <v/>
      </c>
      <c r="C629" s="2"/>
      <c r="D629" s="55"/>
      <c r="E629" s="55" t="str">
        <f>IF($A629=0,"",VLOOKUP($A629,'BASE EQUIPO'!$A:$D,4))</f>
        <v/>
      </c>
      <c r="F629" s="55" t="str">
        <f t="shared" si="55"/>
        <v/>
      </c>
      <c r="G629" s="106"/>
      <c r="H629" s="56" t="str">
        <f t="shared" si="56"/>
        <v/>
      </c>
      <c r="I629" s="2"/>
    </row>
    <row r="630" spans="1:11" x14ac:dyDescent="0.25">
      <c r="B630" s="38" t="str">
        <f>IF($A630=0,"",VLOOKUP($A630,'BASE EQUIPO'!$A:$D,2))</f>
        <v/>
      </c>
      <c r="C630" s="2"/>
      <c r="D630" s="55"/>
      <c r="E630" s="55" t="str">
        <f>IF($A630=0,"",VLOOKUP($A630,'BASE EQUIPO'!$A:$D,4))</f>
        <v/>
      </c>
      <c r="F630" s="55" t="str">
        <f t="shared" si="55"/>
        <v/>
      </c>
      <c r="G630" s="106"/>
      <c r="H630" s="56" t="str">
        <f t="shared" si="56"/>
        <v/>
      </c>
      <c r="I630" s="2"/>
    </row>
    <row r="631" spans="1:11" x14ac:dyDescent="0.25">
      <c r="B631" s="57" t="str">
        <f>IF($A631=0,"",VLOOKUP($A631,'BASE EQUIPO'!$A:$D,2))</f>
        <v/>
      </c>
      <c r="C631" s="58"/>
      <c r="D631" s="59"/>
      <c r="E631" s="59" t="str">
        <f>IF($A631=0,"",VLOOKUP($A631,'BASE EQUIPO'!$A:$D,4))</f>
        <v/>
      </c>
      <c r="F631" s="59" t="str">
        <f t="shared" si="55"/>
        <v/>
      </c>
      <c r="G631" s="107"/>
      <c r="H631" s="60" t="str">
        <f t="shared" si="56"/>
        <v/>
      </c>
      <c r="I631" s="2"/>
    </row>
    <row r="632" spans="1:11" x14ac:dyDescent="0.25">
      <c r="B632" s="57" t="s">
        <v>1692</v>
      </c>
      <c r="C632" s="58"/>
      <c r="D632" s="61"/>
      <c r="E632" s="61"/>
      <c r="F632" s="61"/>
      <c r="G632" s="62"/>
      <c r="H632" s="60">
        <f>ROUND(SUM(H625:H631),2)</f>
        <v>0.5</v>
      </c>
      <c r="I632" s="2"/>
    </row>
    <row r="633" spans="1:11" x14ac:dyDescent="0.25">
      <c r="B633" s="38" t="s">
        <v>1503</v>
      </c>
      <c r="C633" s="2"/>
      <c r="D633" s="3"/>
      <c r="E633" s="3"/>
      <c r="F633" s="3"/>
      <c r="G633" s="63"/>
      <c r="H633" s="56"/>
      <c r="I633" s="2"/>
    </row>
    <row r="634" spans="1:11" ht="25.5" x14ac:dyDescent="0.25">
      <c r="B634" s="64" t="s">
        <v>1691</v>
      </c>
      <c r="C634" s="65"/>
      <c r="D634" s="66" t="s">
        <v>1690</v>
      </c>
      <c r="E634" s="66" t="s">
        <v>1689</v>
      </c>
      <c r="F634" s="66" t="s">
        <v>1688</v>
      </c>
      <c r="G634" s="67" t="s">
        <v>1687</v>
      </c>
      <c r="H634" s="68" t="s">
        <v>1686</v>
      </c>
      <c r="I634" s="2"/>
    </row>
    <row r="635" spans="1:11" x14ac:dyDescent="0.25">
      <c r="B635" s="69" t="str">
        <f>IF($A635=0,"",VLOOKUP($A635,'BASE M-OBRA'!$A:$D,2))</f>
        <v/>
      </c>
      <c r="C635" s="2"/>
      <c r="D635" s="108"/>
      <c r="E635" s="70" t="str">
        <f>IF($A635=0,"",VLOOKUP($A635,'BASE M-OBRA'!$A:$D,4))</f>
        <v/>
      </c>
      <c r="F635" s="55" t="str">
        <f t="shared" ref="F635:F641" si="57">IF($A635=0,"",ROUND(D635*E635,2))</f>
        <v/>
      </c>
      <c r="G635" s="106" t="str">
        <f>IF($A635=0,"",ROUND(H635/F635,2))</f>
        <v/>
      </c>
      <c r="H635" s="56" t="str">
        <f>IF($A635=0,"",ROUND(SUM(H636:H641)*'BASE M-OBRA'!$D$23,2))</f>
        <v/>
      </c>
      <c r="I635" s="2"/>
    </row>
    <row r="636" spans="1:11" x14ac:dyDescent="0.25">
      <c r="A636" s="103">
        <v>20019</v>
      </c>
      <c r="B636" s="69" t="str">
        <f>IF($A636=0,"",VLOOKUP($A636,'BASE M-OBRA'!$A:$D,2))</f>
        <v>INSTALADOR</v>
      </c>
      <c r="C636" s="2"/>
      <c r="D636" s="108">
        <v>1</v>
      </c>
      <c r="E636" s="70">
        <f>IF($A636=0,"",VLOOKUP($A636,'BASE M-OBRA'!$A:$D,4))</f>
        <v>2.82</v>
      </c>
      <c r="F636" s="55">
        <f t="shared" si="57"/>
        <v>2.82</v>
      </c>
      <c r="G636" s="106">
        <v>3</v>
      </c>
      <c r="H636" s="56">
        <f t="shared" ref="H636:H641" si="58">IF($A636=0,"",ROUND(G636*F636,2))</f>
        <v>8.4600000000000009</v>
      </c>
      <c r="I636" s="2"/>
      <c r="K636" s="1">
        <f>320/8</f>
        <v>40</v>
      </c>
    </row>
    <row r="637" spans="1:11" x14ac:dyDescent="0.25">
      <c r="A637" s="103">
        <v>20011</v>
      </c>
      <c r="B637" s="69" t="str">
        <f>IF($A637=0,"",VLOOKUP($A637,'BASE M-OBRA'!$A:$D,2))</f>
        <v>AYUDANTE ESPECIALISTA</v>
      </c>
      <c r="C637" s="2"/>
      <c r="D637" s="108">
        <v>1</v>
      </c>
      <c r="E637" s="70">
        <f>IF($A637=0,"",VLOOKUP($A637,'BASE M-OBRA'!$A:$D,4))</f>
        <v>2.79</v>
      </c>
      <c r="F637" s="55">
        <f t="shared" si="57"/>
        <v>2.79</v>
      </c>
      <c r="G637" s="106">
        <f>+G636</f>
        <v>3</v>
      </c>
      <c r="H637" s="56">
        <f t="shared" si="58"/>
        <v>8.3699999999999992</v>
      </c>
      <c r="I637" s="2"/>
    </row>
    <row r="638" spans="1:11" x14ac:dyDescent="0.25">
      <c r="B638" s="71" t="str">
        <f>IF($A638=0,"",VLOOKUP($A638,'BASE M-OBRA'!$A:$D,2))</f>
        <v/>
      </c>
      <c r="C638" s="2"/>
      <c r="D638" s="108"/>
      <c r="E638" s="70" t="str">
        <f>IF($A638=0,"",VLOOKUP($A638,'BASE M-OBRA'!$A:$D,4))</f>
        <v/>
      </c>
      <c r="F638" s="55" t="str">
        <f t="shared" si="57"/>
        <v/>
      </c>
      <c r="G638" s="106"/>
      <c r="H638" s="56" t="str">
        <f t="shared" si="58"/>
        <v/>
      </c>
      <c r="I638" s="2"/>
      <c r="J638" s="1">
        <f>0.25*30000</f>
        <v>7500</v>
      </c>
    </row>
    <row r="639" spans="1:11" x14ac:dyDescent="0.25">
      <c r="B639" s="72" t="str">
        <f>IF($A639=0,"",VLOOKUP($A639,'BASE M-OBRA'!$A:$D,2))</f>
        <v/>
      </c>
      <c r="C639" s="2"/>
      <c r="D639" s="108"/>
      <c r="E639" s="70" t="str">
        <f>IF($A639=0,"",VLOOKUP($A639,'BASE M-OBRA'!$A:$D,4))</f>
        <v/>
      </c>
      <c r="F639" s="55" t="str">
        <f t="shared" si="57"/>
        <v/>
      </c>
      <c r="G639" s="106"/>
      <c r="H639" s="56" t="str">
        <f t="shared" si="58"/>
        <v/>
      </c>
      <c r="I639" s="2"/>
    </row>
    <row r="640" spans="1:11" x14ac:dyDescent="0.25">
      <c r="B640" s="38" t="str">
        <f>IF($A640=0,"",VLOOKUP($A640,'BASE M-OBRA'!$A:$D,2))</f>
        <v/>
      </c>
      <c r="C640" s="2"/>
      <c r="D640" s="55"/>
      <c r="E640" s="55" t="str">
        <f>IF($A640=0,"",VLOOKUP($A640,'BASE M-OBRA'!$A:$D,4))</f>
        <v/>
      </c>
      <c r="F640" s="55" t="str">
        <f t="shared" si="57"/>
        <v/>
      </c>
      <c r="G640" s="106"/>
      <c r="H640" s="56" t="str">
        <f t="shared" si="58"/>
        <v/>
      </c>
      <c r="I640" s="2"/>
    </row>
    <row r="641" spans="1:16" x14ac:dyDescent="0.25">
      <c r="B641" s="57" t="str">
        <f>IF($A641=0,"",VLOOKUP($A641,'BASE M-OBRA'!$A:$D,2))</f>
        <v/>
      </c>
      <c r="C641" s="58"/>
      <c r="D641" s="59"/>
      <c r="E641" s="59" t="str">
        <f>IF($A641=0,"",VLOOKUP($A641,'BASE M-OBRA'!$A:$D,4))</f>
        <v/>
      </c>
      <c r="F641" s="59" t="str">
        <f t="shared" si="57"/>
        <v/>
      </c>
      <c r="G641" s="107"/>
      <c r="H641" s="60" t="str">
        <f t="shared" si="58"/>
        <v/>
      </c>
      <c r="I641" s="2"/>
    </row>
    <row r="642" spans="1:16" x14ac:dyDescent="0.25">
      <c r="B642" s="73" t="s">
        <v>1685</v>
      </c>
      <c r="C642" s="65"/>
      <c r="D642" s="74"/>
      <c r="E642" s="74"/>
      <c r="F642" s="74"/>
      <c r="G642" s="74"/>
      <c r="H642" s="75">
        <f>ROUND(SUM(H634:H641),2)</f>
        <v>16.829999999999998</v>
      </c>
      <c r="I642" s="2"/>
      <c r="J642" s="1">
        <f>13200*0.3</f>
        <v>3960</v>
      </c>
    </row>
    <row r="643" spans="1:16" x14ac:dyDescent="0.25">
      <c r="B643" s="38" t="s">
        <v>1684</v>
      </c>
      <c r="C643" s="2"/>
      <c r="D643" s="3"/>
      <c r="E643" s="3"/>
      <c r="F643" s="3"/>
      <c r="G643" s="3"/>
      <c r="H643" s="56"/>
      <c r="I643" s="2"/>
    </row>
    <row r="644" spans="1:16" ht="25.5" x14ac:dyDescent="0.25">
      <c r="B644" s="64" t="s">
        <v>1409</v>
      </c>
      <c r="C644" s="65"/>
      <c r="D644" s="76"/>
      <c r="E644" s="66" t="s">
        <v>1408</v>
      </c>
      <c r="F644" s="66" t="s">
        <v>1679</v>
      </c>
      <c r="G644" s="66" t="s">
        <v>1683</v>
      </c>
      <c r="H644" s="68" t="s">
        <v>1675</v>
      </c>
      <c r="I644" s="2"/>
    </row>
    <row r="645" spans="1:16" x14ac:dyDescent="0.25">
      <c r="A645" s="103">
        <v>14002</v>
      </c>
      <c r="B645" s="38" t="s">
        <v>613</v>
      </c>
      <c r="C645" s="2"/>
      <c r="D645" s="77"/>
      <c r="E645" s="78" t="s">
        <v>915</v>
      </c>
      <c r="F645" s="113">
        <v>1</v>
      </c>
      <c r="G645" s="55">
        <v>50.33</v>
      </c>
      <c r="H645" s="56">
        <f t="shared" ref="H645:H659" si="59">IF($A645=0,"",ROUND(F645*G645,2))</f>
        <v>50.33</v>
      </c>
      <c r="I645" s="2"/>
      <c r="J645" s="1">
        <f>SUM(J647:J649)</f>
        <v>8.7919999999999998</v>
      </c>
      <c r="K645" s="1" t="s">
        <v>225</v>
      </c>
      <c r="L645" s="2"/>
      <c r="M645" s="2"/>
      <c r="N645" s="39"/>
      <c r="O645" s="2"/>
      <c r="P645" s="2"/>
    </row>
    <row r="646" spans="1:16" x14ac:dyDescent="0.25">
      <c r="B646" s="38"/>
      <c r="C646" s="2"/>
      <c r="D646" s="77"/>
      <c r="E646" s="78"/>
      <c r="F646" s="113"/>
      <c r="G646" s="55"/>
      <c r="H646" s="56" t="str">
        <f t="shared" si="59"/>
        <v/>
      </c>
      <c r="I646" s="2"/>
      <c r="L646" s="2"/>
      <c r="M646" s="2"/>
      <c r="N646" s="39"/>
      <c r="O646" s="2"/>
      <c r="P646" s="2"/>
    </row>
    <row r="647" spans="1:16" x14ac:dyDescent="0.25">
      <c r="B647" s="38"/>
      <c r="C647" s="2"/>
      <c r="D647" s="77"/>
      <c r="E647" s="78"/>
      <c r="F647" s="113"/>
      <c r="G647" s="55"/>
      <c r="H647" s="56" t="str">
        <f t="shared" si="59"/>
        <v/>
      </c>
      <c r="I647" s="2"/>
      <c r="J647" s="79">
        <f>7.85*2*0.12*3</f>
        <v>5.6519999999999992</v>
      </c>
      <c r="K647" s="1" t="s">
        <v>842</v>
      </c>
      <c r="L647" s="2"/>
      <c r="M647" s="2"/>
      <c r="N647" s="39"/>
      <c r="O647" s="2"/>
      <c r="P647" s="2"/>
    </row>
    <row r="648" spans="1:16" x14ac:dyDescent="0.25">
      <c r="B648" s="38"/>
      <c r="C648" s="2"/>
      <c r="D648" s="77"/>
      <c r="E648" s="78"/>
      <c r="F648" s="113"/>
      <c r="G648" s="55"/>
      <c r="H648" s="56" t="str">
        <f t="shared" si="59"/>
        <v/>
      </c>
      <c r="I648" s="2"/>
      <c r="K648" s="1" t="s">
        <v>223</v>
      </c>
      <c r="L648" s="2"/>
      <c r="M648" s="2"/>
      <c r="N648" s="39"/>
      <c r="O648" s="2"/>
      <c r="P648" s="2"/>
    </row>
    <row r="649" spans="1:16" x14ac:dyDescent="0.25">
      <c r="B649" s="38"/>
      <c r="C649" s="2"/>
      <c r="D649" s="77"/>
      <c r="E649" s="78"/>
      <c r="F649" s="113"/>
      <c r="G649" s="55"/>
      <c r="H649" s="56" t="str">
        <f t="shared" si="59"/>
        <v/>
      </c>
      <c r="I649" s="2"/>
      <c r="J649" s="79">
        <f>7.85*2*0.1*2</f>
        <v>3.14</v>
      </c>
      <c r="K649" s="1" t="s">
        <v>224</v>
      </c>
      <c r="L649" s="2"/>
      <c r="M649" s="2"/>
      <c r="N649" s="39"/>
      <c r="O649" s="2"/>
      <c r="P649" s="2"/>
    </row>
    <row r="650" spans="1:16" x14ac:dyDescent="0.25">
      <c r="B650" s="38"/>
      <c r="C650" s="2"/>
      <c r="D650" s="77"/>
      <c r="E650" s="78"/>
      <c r="F650" s="113"/>
      <c r="G650" s="55"/>
      <c r="H650" s="56" t="str">
        <f t="shared" si="59"/>
        <v/>
      </c>
      <c r="I650" s="2"/>
      <c r="J650" s="79"/>
      <c r="L650" s="2"/>
      <c r="M650" s="2"/>
      <c r="N650" s="39"/>
      <c r="O650" s="2"/>
      <c r="P650" s="2"/>
    </row>
    <row r="651" spans="1:16" x14ac:dyDescent="0.25">
      <c r="B651" s="38" t="str">
        <f>IF($A651=0,"",VLOOKUP($A651,'BASE MATERIAL'!$A:$D,2))</f>
        <v/>
      </c>
      <c r="C651" s="2"/>
      <c r="D651" s="77"/>
      <c r="E651" s="78" t="str">
        <f>IF($A651=0,"",VLOOKUP($A651,'BASE MATERIAL'!$A:$D,3))</f>
        <v/>
      </c>
      <c r="F651" s="55"/>
      <c r="G651" s="55" t="str">
        <f>IF($A651=0,"",VLOOKUP($A651,'BASE MATERIAL'!$A:$D,4))</f>
        <v/>
      </c>
      <c r="H651" s="56" t="str">
        <f t="shared" si="59"/>
        <v/>
      </c>
      <c r="I651" s="2"/>
      <c r="L651" s="2"/>
      <c r="M651" s="2"/>
      <c r="N651" s="39"/>
      <c r="O651" s="2"/>
      <c r="P651" s="2"/>
    </row>
    <row r="652" spans="1:16" x14ac:dyDescent="0.25">
      <c r="B652" s="38"/>
      <c r="C652" s="2"/>
      <c r="D652" s="77"/>
      <c r="E652" s="78"/>
      <c r="F652" s="55"/>
      <c r="G652" s="55"/>
      <c r="H652" s="56" t="str">
        <f t="shared" si="59"/>
        <v/>
      </c>
      <c r="I652" s="2"/>
      <c r="J652" s="79">
        <f>7.85*2*0.12*1.2</f>
        <v>2.2607999999999997</v>
      </c>
      <c r="K652" s="1">
        <f>3.1416*0.0254*1.5</f>
        <v>0.11969496</v>
      </c>
      <c r="L652" s="2"/>
      <c r="M652" s="2"/>
      <c r="N652" s="39"/>
      <c r="O652" s="2"/>
      <c r="P652" s="2"/>
    </row>
    <row r="653" spans="1:16" x14ac:dyDescent="0.25">
      <c r="B653" s="38"/>
      <c r="C653" s="2"/>
      <c r="D653" s="77"/>
      <c r="E653" s="78"/>
      <c r="F653" s="55"/>
      <c r="G653" s="55"/>
      <c r="H653" s="56" t="str">
        <f t="shared" si="59"/>
        <v/>
      </c>
      <c r="I653" s="2"/>
      <c r="J653" s="79">
        <f>7.85*2*0.1*1.2</f>
        <v>1.8839999999999999</v>
      </c>
      <c r="K653" s="1">
        <f>0.0254*1.25*3.1416</f>
        <v>9.9745799999999996E-2</v>
      </c>
    </row>
    <row r="654" spans="1:16" x14ac:dyDescent="0.25">
      <c r="B654" s="38"/>
      <c r="C654" s="2"/>
      <c r="D654" s="77"/>
      <c r="E654" s="78"/>
      <c r="F654" s="55"/>
      <c r="G654" s="55"/>
      <c r="H654" s="56" t="str">
        <f t="shared" si="59"/>
        <v/>
      </c>
      <c r="I654" s="2"/>
      <c r="L654" s="2"/>
      <c r="M654" s="2"/>
      <c r="N654" s="39"/>
      <c r="O654" s="2"/>
      <c r="P654" s="2"/>
    </row>
    <row r="655" spans="1:16" x14ac:dyDescent="0.25">
      <c r="B655" s="38"/>
      <c r="C655" s="2"/>
      <c r="D655" s="77"/>
      <c r="E655" s="78"/>
      <c r="F655" s="55"/>
      <c r="G655" s="55"/>
      <c r="H655" s="56" t="str">
        <f t="shared" si="59"/>
        <v/>
      </c>
      <c r="I655" s="2"/>
      <c r="J655" s="79">
        <f>0.13*3</f>
        <v>0.39</v>
      </c>
      <c r="L655" s="2"/>
      <c r="M655" s="2"/>
      <c r="N655" s="39"/>
      <c r="O655" s="2"/>
      <c r="P655" s="2"/>
    </row>
    <row r="656" spans="1:16" x14ac:dyDescent="0.25">
      <c r="B656" s="38" t="str">
        <f>IF($A656=0,"",VLOOKUP($A656,'BASE MATERIAL'!$A:$D,2))</f>
        <v/>
      </c>
      <c r="C656" s="2"/>
      <c r="D656" s="77"/>
      <c r="E656" s="78" t="str">
        <f>IF($A656=0,"",VLOOKUP($A656,'BASE MATERIAL'!$A:$D,3))</f>
        <v/>
      </c>
      <c r="F656" s="55"/>
      <c r="G656" s="55" t="str">
        <f>IF($A656=0,"",VLOOKUP($A656,'BASE MATERIAL'!$A:$D,4))</f>
        <v/>
      </c>
      <c r="H656" s="56" t="str">
        <f t="shared" si="59"/>
        <v/>
      </c>
      <c r="I656" s="2"/>
      <c r="J656" s="79">
        <f>0.1*2</f>
        <v>0.2</v>
      </c>
    </row>
    <row r="657" spans="1:10" x14ac:dyDescent="0.25">
      <c r="B657" s="38" t="str">
        <f>IF($A657=0,"",VLOOKUP($A657,'BASE MATERIAL'!$A:$D,2))</f>
        <v/>
      </c>
      <c r="C657" s="2"/>
      <c r="D657" s="77"/>
      <c r="E657" s="78" t="str">
        <f>IF($A657=0,"",VLOOKUP($A657,'BASE MATERIAL'!$A:$D,3))</f>
        <v/>
      </c>
      <c r="F657" s="55"/>
      <c r="G657" s="55" t="str">
        <f>IF($A657=0,"",VLOOKUP($A657,'BASE MATERIAL'!$A:$D,4))</f>
        <v/>
      </c>
      <c r="H657" s="56" t="str">
        <f t="shared" si="59"/>
        <v/>
      </c>
      <c r="I657" s="2"/>
      <c r="J657" s="79">
        <f>SUM(J655:J656)</f>
        <v>0.59000000000000008</v>
      </c>
    </row>
    <row r="658" spans="1:10" x14ac:dyDescent="0.25">
      <c r="B658" s="38" t="str">
        <f>IF($A658=0,"",VLOOKUP($A658,'BASE MATERIAL'!$A:$D,2))</f>
        <v/>
      </c>
      <c r="C658" s="2"/>
      <c r="D658" s="77"/>
      <c r="E658" s="78" t="str">
        <f>IF($A658=0,"",VLOOKUP($A658,'BASE MATERIAL'!$A:$D,3))</f>
        <v/>
      </c>
      <c r="F658" s="55"/>
      <c r="G658" s="55" t="str">
        <f>IF($A658=0,"",VLOOKUP($A658,'BASE MATERIAL'!$A:$D,4))</f>
        <v/>
      </c>
      <c r="H658" s="56" t="str">
        <f t="shared" si="59"/>
        <v/>
      </c>
      <c r="I658" s="2"/>
    </row>
    <row r="659" spans="1:10" x14ac:dyDescent="0.25">
      <c r="B659" s="38" t="str">
        <f>IF($A659=0,"",VLOOKUP($A659,'BASE MATERIAL'!$A:$D,2))</f>
        <v/>
      </c>
      <c r="C659" s="2"/>
      <c r="D659" s="77"/>
      <c r="E659" s="78" t="str">
        <f>IF($A659=0,"",VLOOKUP($A659,'BASE MATERIAL'!$A:$D,3))</f>
        <v/>
      </c>
      <c r="F659" s="55"/>
      <c r="G659" s="55" t="str">
        <f>IF($A659=0,"",VLOOKUP($A659,'BASE MATERIAL'!$A:$D,4))</f>
        <v/>
      </c>
      <c r="H659" s="56" t="str">
        <f t="shared" si="59"/>
        <v/>
      </c>
      <c r="I659" s="2"/>
    </row>
    <row r="660" spans="1:10" x14ac:dyDescent="0.25">
      <c r="B660" s="38" t="str">
        <f>IF($A660=0,"",VLOOKUP($A660,'BASE MATERIAL'!$A:$D,2))</f>
        <v/>
      </c>
      <c r="C660" s="2"/>
      <c r="D660" s="81" t="s">
        <v>1682</v>
      </c>
      <c r="E660" s="55" t="str">
        <f>IF($A660=0,"",VLOOKUP($A660,'BASE MATERIAL'!$A:$D,3))</f>
        <v/>
      </c>
      <c r="F660" s="55" t="s">
        <v>1682</v>
      </c>
      <c r="G660" s="55" t="str">
        <f>IF($A660=0,"",VLOOKUP($A660,'BASE MATERIAL'!$A:$D,4))</f>
        <v/>
      </c>
      <c r="H660" s="56" t="str">
        <f>IF($A660=0,"",ROUND(E660*F660,2))</f>
        <v/>
      </c>
      <c r="I660" s="2"/>
    </row>
    <row r="661" spans="1:10" x14ac:dyDescent="0.25">
      <c r="B661" s="73" t="s">
        <v>1681</v>
      </c>
      <c r="C661" s="65"/>
      <c r="D661" s="74"/>
      <c r="E661" s="74"/>
      <c r="F661" s="74"/>
      <c r="G661" s="74"/>
      <c r="H661" s="75">
        <f>ROUND(SUM(H644:H660),2)</f>
        <v>50.33</v>
      </c>
      <c r="I661" s="2"/>
    </row>
    <row r="662" spans="1:10" x14ac:dyDescent="0.25">
      <c r="B662" s="38" t="s">
        <v>1680</v>
      </c>
      <c r="C662" s="2"/>
      <c r="D662" s="3"/>
      <c r="E662" s="3"/>
      <c r="F662" s="3"/>
      <c r="G662" s="3"/>
      <c r="H662" s="56"/>
      <c r="I662" s="2"/>
    </row>
    <row r="663" spans="1:10" ht="25.5" x14ac:dyDescent="0.25">
      <c r="B663" s="64" t="s">
        <v>1409</v>
      </c>
      <c r="C663" s="65"/>
      <c r="D663" s="76"/>
      <c r="E663" s="66" t="s">
        <v>1408</v>
      </c>
      <c r="F663" s="66" t="s">
        <v>1679</v>
      </c>
      <c r="G663" s="66" t="s">
        <v>1676</v>
      </c>
      <c r="H663" s="68" t="s">
        <v>1675</v>
      </c>
      <c r="I663" s="2"/>
    </row>
    <row r="664" spans="1:10" x14ac:dyDescent="0.25">
      <c r="A664" s="103">
        <v>19019</v>
      </c>
      <c r="B664" s="51" t="str">
        <f>IF($A664=0,"",VLOOKUP($A664,'BASE EQUIPO'!$A:$D,2))</f>
        <v>TRANSPORTE DE MATERIAL</v>
      </c>
      <c r="C664" s="52"/>
      <c r="D664" s="82"/>
      <c r="E664" s="78" t="str">
        <f>IF($A664=0,"",VLOOKUP($A664,'BASE EQUIPO'!$A:$D,3))</f>
        <v>GLOBAL</v>
      </c>
      <c r="F664" s="55">
        <v>1</v>
      </c>
      <c r="G664" s="83">
        <f>IF($A664=0,"",VLOOKUP($A664,'BASE EQUIPO'!$A:$D,4)*H661)</f>
        <v>1.5098999999999998</v>
      </c>
      <c r="H664" s="56">
        <f>IF($A664=0,"",ROUND(F664*G664,2))</f>
        <v>1.51</v>
      </c>
      <c r="I664" s="2"/>
    </row>
    <row r="665" spans="1:10" x14ac:dyDescent="0.25">
      <c r="B665" s="38" t="str">
        <f>IF($A665=0,"",VLOOKUP($A665,'BASE EQUIPO'!$A:$D,2))</f>
        <v/>
      </c>
      <c r="C665" s="2"/>
      <c r="D665" s="84"/>
      <c r="E665" s="78" t="str">
        <f>IF($A665=0,"",VLOOKUP($A665,'BASE EQUIPO'!$A:$D,3))</f>
        <v/>
      </c>
      <c r="F665" s="55"/>
      <c r="G665" s="55" t="str">
        <f>IF($A665=0,"",VLOOKUP($A665,'BASE EQUIPO'!$A:$D,4)*H662)</f>
        <v/>
      </c>
      <c r="H665" s="56" t="str">
        <f>IF($A665=0,"",ROUND(F665*G665,2))</f>
        <v/>
      </c>
      <c r="I665" s="2"/>
    </row>
    <row r="666" spans="1:10" x14ac:dyDescent="0.25">
      <c r="B666" s="57" t="str">
        <f>IF($A666=0,"",VLOOKUP($A666,'BASE EQUIPO'!$A:$D,2))</f>
        <v/>
      </c>
      <c r="C666" s="58"/>
      <c r="D666" s="85"/>
      <c r="E666" s="86" t="str">
        <f>IF($A666=0,"",VLOOKUP($A666,'BASE EQUIPO'!$A:$D,3))</f>
        <v/>
      </c>
      <c r="F666" s="59"/>
      <c r="G666" s="59" t="str">
        <f>IF($A666=0,"",VLOOKUP($A666,'BASE EQUIPO'!$A:$D,4)*H663)</f>
        <v/>
      </c>
      <c r="H666" s="60" t="str">
        <f>IF($A666=0,"",ROUND(F666*G666,2))</f>
        <v/>
      </c>
      <c r="I666" s="2"/>
    </row>
    <row r="667" spans="1:10" ht="15.75" thickBot="1" x14ac:dyDescent="0.3">
      <c r="B667" s="87" t="s">
        <v>1674</v>
      </c>
      <c r="C667" s="88"/>
      <c r="D667" s="89"/>
      <c r="E667" s="89"/>
      <c r="F667" s="89"/>
      <c r="G667" s="89"/>
      <c r="H667" s="90">
        <f>ROUND(SUM(H663:H666),2)</f>
        <v>1.51</v>
      </c>
      <c r="I667" s="2"/>
    </row>
    <row r="668" spans="1:10" ht="15.75" x14ac:dyDescent="0.25">
      <c r="B668" s="2"/>
      <c r="C668" s="2"/>
      <c r="D668" s="91" t="s">
        <v>1673</v>
      </c>
      <c r="E668" s="47"/>
      <c r="F668" s="47"/>
      <c r="G668" s="47"/>
      <c r="H668" s="92">
        <f>ROUND(SUM(H667,H661,H642,H632),2)</f>
        <v>69.17</v>
      </c>
      <c r="I668" s="2"/>
    </row>
    <row r="669" spans="1:10" ht="15.75" x14ac:dyDescent="0.25">
      <c r="A669" s="103">
        <v>40002</v>
      </c>
      <c r="B669" s="2"/>
      <c r="C669" s="2"/>
      <c r="D669" s="93" t="s">
        <v>1672</v>
      </c>
      <c r="E669" s="65"/>
      <c r="F669" s="65"/>
      <c r="G669" s="94">
        <f>IF($A669=0,"",VLOOKUP($A669,'BASE MATERIAL'!$M:$P,4))</f>
        <v>0</v>
      </c>
      <c r="H669" s="95">
        <f>IF($A669=0,"",ROUND(G669*H668,2))</f>
        <v>0</v>
      </c>
      <c r="I669" s="2"/>
    </row>
    <row r="670" spans="1:10" ht="15.75" x14ac:dyDescent="0.25">
      <c r="A670" s="103">
        <v>40003</v>
      </c>
      <c r="B670" s="2"/>
      <c r="C670" s="2"/>
      <c r="D670" s="93" t="s">
        <v>1671</v>
      </c>
      <c r="E670" s="65"/>
      <c r="F670" s="65"/>
      <c r="G670" s="94">
        <f>IF($A670=0,"",VLOOKUP($A670,'BASE MATERIAL'!$M:$P,4))</f>
        <v>0</v>
      </c>
      <c r="H670" s="95">
        <f>IF($A670=0,"",ROUND(G670*H668,2))</f>
        <v>0</v>
      </c>
      <c r="I670" s="2"/>
    </row>
    <row r="671" spans="1:10" ht="15.75" x14ac:dyDescent="0.25">
      <c r="B671" s="2"/>
      <c r="C671" s="2"/>
      <c r="D671" s="93" t="s">
        <v>1670</v>
      </c>
      <c r="E671" s="65"/>
      <c r="F671" s="65"/>
      <c r="G671" s="65"/>
      <c r="H671" s="96">
        <f>ROUND(SUM(H668:H670),2)</f>
        <v>69.17</v>
      </c>
      <c r="I671" s="2"/>
    </row>
    <row r="672" spans="1:10" ht="16.5" thickBot="1" x14ac:dyDescent="0.3">
      <c r="B672" s="25"/>
      <c r="C672" s="2"/>
      <c r="D672" s="97" t="s">
        <v>1650</v>
      </c>
      <c r="E672" s="88"/>
      <c r="F672" s="88"/>
      <c r="G672" s="88"/>
      <c r="H672" s="98">
        <f>ROUND(H671,2)</f>
        <v>69.17</v>
      </c>
      <c r="I672" s="2"/>
    </row>
    <row r="673" spans="1:15" ht="15.75" x14ac:dyDescent="0.25">
      <c r="B673" s="34" t="s">
        <v>1701</v>
      </c>
      <c r="C673" s="2"/>
      <c r="D673" s="3" t="str">
        <f>'1.1'!$D$1</f>
        <v>ESPOL</v>
      </c>
      <c r="E673" s="2"/>
      <c r="F673" s="2"/>
      <c r="H673" s="2" t="s">
        <v>108</v>
      </c>
      <c r="I673" s="2"/>
      <c r="L673" s="40">
        <f>A677</f>
        <v>2</v>
      </c>
      <c r="M673" s="1" t="str">
        <f>C678</f>
        <v>Rejas de seguridad</v>
      </c>
      <c r="N673" s="2" t="str">
        <f>H677</f>
        <v>m2</v>
      </c>
      <c r="O673" s="2">
        <f>H728</f>
        <v>65.47</v>
      </c>
    </row>
    <row r="674" spans="1:15" ht="15.75" x14ac:dyDescent="0.25">
      <c r="B674" s="34" t="s">
        <v>1700</v>
      </c>
      <c r="C674" s="3">
        <f>'1.1'!$C$2</f>
        <v>0</v>
      </c>
      <c r="D674" s="2"/>
      <c r="E674" s="2"/>
      <c r="F674" s="2"/>
      <c r="G674" s="41" t="s">
        <v>1699</v>
      </c>
      <c r="H674" s="42"/>
      <c r="I674" s="2" t="s">
        <v>1698</v>
      </c>
    </row>
    <row r="675" spans="1:15" ht="15.75" x14ac:dyDescent="0.25">
      <c r="B675" s="34"/>
      <c r="C675" s="3">
        <f>'1.1'!$C$3</f>
        <v>0</v>
      </c>
      <c r="D675" s="2"/>
      <c r="E675" s="2"/>
      <c r="F675" s="2"/>
      <c r="G675" s="2"/>
      <c r="H675" s="2"/>
      <c r="I675" s="2"/>
    </row>
    <row r="676" spans="1:15" ht="15.75" x14ac:dyDescent="0.25">
      <c r="B676" s="34" t="s">
        <v>1697</v>
      </c>
      <c r="C676" s="3"/>
      <c r="D676" s="2"/>
      <c r="E676" s="2"/>
      <c r="F676" s="2"/>
      <c r="G676" s="2"/>
      <c r="H676" s="2"/>
      <c r="I676" s="2"/>
    </row>
    <row r="677" spans="1:15" x14ac:dyDescent="0.25">
      <c r="A677" s="104">
        <v>2</v>
      </c>
      <c r="B677" s="2" t="s">
        <v>1586</v>
      </c>
      <c r="C677" s="36" t="s">
        <v>206</v>
      </c>
      <c r="D677" s="2"/>
      <c r="G677" s="2" t="s">
        <v>1696</v>
      </c>
      <c r="H677" s="3" t="s">
        <v>1520</v>
      </c>
      <c r="I677" s="2"/>
    </row>
    <row r="678" spans="1:15" x14ac:dyDescent="0.25">
      <c r="B678" s="1" t="s">
        <v>1585</v>
      </c>
      <c r="C678" s="36" t="s">
        <v>655</v>
      </c>
      <c r="D678" s="2"/>
      <c r="E678" s="2"/>
      <c r="F678" s="2"/>
      <c r="G678" s="2"/>
      <c r="H678" s="2"/>
      <c r="I678" s="2"/>
    </row>
    <row r="679" spans="1:15" ht="15.75" thickBot="1" x14ac:dyDescent="0.3">
      <c r="D679" s="2"/>
      <c r="E679" s="2"/>
      <c r="F679" s="2"/>
      <c r="G679" s="2"/>
      <c r="H679" s="2"/>
      <c r="I679" s="2"/>
    </row>
    <row r="680" spans="1:15" ht="15.75" thickBot="1" x14ac:dyDescent="0.3">
      <c r="B680" s="43" t="s">
        <v>1695</v>
      </c>
      <c r="C680" s="44"/>
      <c r="D680" s="44"/>
      <c r="E680" s="44"/>
      <c r="F680" s="44"/>
      <c r="G680" s="44"/>
      <c r="H680" s="45"/>
      <c r="I680" s="2"/>
    </row>
    <row r="681" spans="1:15" ht="25.5" x14ac:dyDescent="0.25">
      <c r="B681" s="46" t="s">
        <v>1409</v>
      </c>
      <c r="C681" s="47"/>
      <c r="D681" s="48" t="s">
        <v>1690</v>
      </c>
      <c r="E681" s="48" t="s">
        <v>1694</v>
      </c>
      <c r="F681" s="48" t="s">
        <v>1693</v>
      </c>
      <c r="G681" s="49" t="s">
        <v>1687</v>
      </c>
      <c r="H681" s="50" t="s">
        <v>1686</v>
      </c>
      <c r="I681" s="2"/>
    </row>
    <row r="682" spans="1:15" x14ac:dyDescent="0.25">
      <c r="A682" s="103">
        <v>19015</v>
      </c>
      <c r="B682" s="51" t="str">
        <f>IF($A682=0,"",VLOOKUP($A682,'BASE EQUIPO'!$A:$D,2))</f>
        <v>HERRAMIENTA MENOR</v>
      </c>
      <c r="C682" s="52"/>
      <c r="D682" s="53">
        <v>1</v>
      </c>
      <c r="E682" s="53">
        <f>IF($A682=0,"",VLOOKUP($A682,'BASE EQUIPO'!$A:$D,4)*H698)</f>
        <v>0.68519999999999992</v>
      </c>
      <c r="F682" s="53">
        <f t="shared" ref="F682:F687" si="60">IF($A682=0,"",ROUND(D682*E682,2))</f>
        <v>0.69</v>
      </c>
      <c r="G682" s="105">
        <v>1</v>
      </c>
      <c r="H682" s="54">
        <f t="shared" ref="H682:H687" si="61">IF($A682=0,"",ROUND(G682*F682,2))</f>
        <v>0.69</v>
      </c>
      <c r="I682" s="2"/>
    </row>
    <row r="683" spans="1:15" x14ac:dyDescent="0.25">
      <c r="A683" s="103">
        <v>19011</v>
      </c>
      <c r="B683" s="38" t="str">
        <f>IF($A683=0,"",VLOOKUP($A683,'BASE EQUIPO'!$A:$D,2))</f>
        <v>SOLDADORA</v>
      </c>
      <c r="C683" s="2"/>
      <c r="D683" s="55">
        <v>1</v>
      </c>
      <c r="E683" s="55">
        <f>IF($A683=0,"",VLOOKUP($A683,'BASE EQUIPO'!$A:$D,4))</f>
        <v>2.5</v>
      </c>
      <c r="F683" s="55">
        <f t="shared" si="60"/>
        <v>2.5</v>
      </c>
      <c r="G683" s="106">
        <f>ROUND(G692*0.25,3)</f>
        <v>0.5</v>
      </c>
      <c r="H683" s="56">
        <f t="shared" si="61"/>
        <v>1.25</v>
      </c>
      <c r="I683" s="2"/>
    </row>
    <row r="684" spans="1:15" x14ac:dyDescent="0.25">
      <c r="A684" s="103">
        <v>19023</v>
      </c>
      <c r="B684" s="38" t="str">
        <f>IF($A684=0,"",VLOOKUP($A684,'BASE EQUIPO'!$A:$D,2))</f>
        <v>COMPRESOR Y PISTOLA</v>
      </c>
      <c r="C684" s="2"/>
      <c r="D684" s="55">
        <v>1</v>
      </c>
      <c r="E684" s="55">
        <f>IF($A684=0,"",VLOOKUP($A684,'BASE EQUIPO'!$A:$D,4))</f>
        <v>1.875</v>
      </c>
      <c r="F684" s="55">
        <f t="shared" si="60"/>
        <v>1.88</v>
      </c>
      <c r="G684" s="106">
        <f>+G683</f>
        <v>0.5</v>
      </c>
      <c r="H684" s="56">
        <f t="shared" si="61"/>
        <v>0.94</v>
      </c>
      <c r="I684" s="2"/>
    </row>
    <row r="685" spans="1:15" x14ac:dyDescent="0.25">
      <c r="B685" s="38" t="str">
        <f>IF($A685=0,"",VLOOKUP($A685,'BASE EQUIPO'!$A:$D,2))</f>
        <v/>
      </c>
      <c r="C685" s="2"/>
      <c r="D685" s="55"/>
      <c r="E685" s="55" t="str">
        <f>IF($A685=0,"",VLOOKUP($A685,'BASE EQUIPO'!$A:$D,4))</f>
        <v/>
      </c>
      <c r="F685" s="55" t="str">
        <f t="shared" si="60"/>
        <v/>
      </c>
      <c r="G685" s="106"/>
      <c r="H685" s="56" t="str">
        <f t="shared" si="61"/>
        <v/>
      </c>
      <c r="I685" s="2"/>
    </row>
    <row r="686" spans="1:15" x14ac:dyDescent="0.25">
      <c r="B686" s="38" t="str">
        <f>IF($A686=0,"",VLOOKUP($A686,'BASE EQUIPO'!$A:$D,2))</f>
        <v/>
      </c>
      <c r="C686" s="2"/>
      <c r="D686" s="55"/>
      <c r="E686" s="55" t="str">
        <f>IF($A686=0,"",VLOOKUP($A686,'BASE EQUIPO'!$A:$D,4))</f>
        <v/>
      </c>
      <c r="F686" s="55" t="str">
        <f t="shared" si="60"/>
        <v/>
      </c>
      <c r="G686" s="106"/>
      <c r="H686" s="56" t="str">
        <f t="shared" si="61"/>
        <v/>
      </c>
      <c r="I686" s="2"/>
    </row>
    <row r="687" spans="1:15" x14ac:dyDescent="0.25">
      <c r="B687" s="57" t="str">
        <f>IF($A687=0,"",VLOOKUP($A687,'BASE EQUIPO'!$A:$D,2))</f>
        <v/>
      </c>
      <c r="C687" s="58"/>
      <c r="D687" s="59"/>
      <c r="E687" s="59" t="str">
        <f>IF($A687=0,"",VLOOKUP($A687,'BASE EQUIPO'!$A:$D,4))</f>
        <v/>
      </c>
      <c r="F687" s="59" t="str">
        <f t="shared" si="60"/>
        <v/>
      </c>
      <c r="G687" s="107"/>
      <c r="H687" s="60" t="str">
        <f t="shared" si="61"/>
        <v/>
      </c>
      <c r="I687" s="2"/>
    </row>
    <row r="688" spans="1:15" x14ac:dyDescent="0.25">
      <c r="B688" s="57" t="s">
        <v>1692</v>
      </c>
      <c r="C688" s="58"/>
      <c r="D688" s="61"/>
      <c r="E688" s="61"/>
      <c r="F688" s="61"/>
      <c r="G688" s="62"/>
      <c r="H688" s="60">
        <f>ROUND(SUM(H681:H687),2)</f>
        <v>2.88</v>
      </c>
      <c r="I688" s="2"/>
    </row>
    <row r="689" spans="1:16" x14ac:dyDescent="0.25">
      <c r="B689" s="38" t="s">
        <v>1503</v>
      </c>
      <c r="C689" s="2"/>
      <c r="D689" s="3"/>
      <c r="E689" s="3"/>
      <c r="F689" s="3"/>
      <c r="G689" s="63"/>
      <c r="H689" s="56"/>
      <c r="I689" s="2"/>
    </row>
    <row r="690" spans="1:16" ht="25.5" x14ac:dyDescent="0.25">
      <c r="B690" s="64" t="s">
        <v>1691</v>
      </c>
      <c r="C690" s="65"/>
      <c r="D690" s="66" t="s">
        <v>1690</v>
      </c>
      <c r="E690" s="66" t="s">
        <v>1689</v>
      </c>
      <c r="F690" s="66" t="s">
        <v>1688</v>
      </c>
      <c r="G690" s="67" t="s">
        <v>1687</v>
      </c>
      <c r="H690" s="68" t="s">
        <v>1686</v>
      </c>
      <c r="I690" s="2"/>
    </row>
    <row r="691" spans="1:16" x14ac:dyDescent="0.25">
      <c r="B691" s="69" t="str">
        <f>IF($A691=0,"",VLOOKUP($A691,'BASE M-OBRA'!$A:$D,2))</f>
        <v/>
      </c>
      <c r="C691" s="2"/>
      <c r="D691" s="108"/>
      <c r="E691" s="70" t="str">
        <f>IF($A691=0,"",VLOOKUP($A691,'BASE M-OBRA'!$A:$D,4))</f>
        <v/>
      </c>
      <c r="F691" s="55" t="str">
        <f t="shared" ref="F691:F697" si="62">IF($A691=0,"",ROUND(D691*E691,2))</f>
        <v/>
      </c>
      <c r="G691" s="106" t="str">
        <f>IF($A691=0,"",ROUND(H691/F691,2))</f>
        <v/>
      </c>
      <c r="H691" s="56" t="str">
        <f>IF($A691=0,"",ROUND(SUM(H692:H697)*'BASE M-OBRA'!$D$23,2))</f>
        <v/>
      </c>
      <c r="I691" s="2"/>
    </row>
    <row r="692" spans="1:16" x14ac:dyDescent="0.25">
      <c r="A692" s="103">
        <v>20006</v>
      </c>
      <c r="B692" s="69" t="str">
        <f>IF($A692=0,"",VLOOKUP($A692,'BASE M-OBRA'!$A:$D,2))</f>
        <v>MAESTRO  SOLDADOR</v>
      </c>
      <c r="C692" s="2"/>
      <c r="D692" s="108">
        <v>1</v>
      </c>
      <c r="E692" s="70">
        <f>IF($A692=0,"",VLOOKUP($A692,'BASE M-OBRA'!$A:$D,4))</f>
        <v>3.02</v>
      </c>
      <c r="F692" s="55">
        <f t="shared" si="62"/>
        <v>3.02</v>
      </c>
      <c r="G692" s="106">
        <v>2</v>
      </c>
      <c r="H692" s="56">
        <f t="shared" ref="H692:H697" si="63">IF($A692=0,"",ROUND(G692*F692,2))</f>
        <v>6.04</v>
      </c>
      <c r="I692" s="2"/>
    </row>
    <row r="693" spans="1:16" x14ac:dyDescent="0.25">
      <c r="A693" s="103">
        <v>20011</v>
      </c>
      <c r="B693" s="69" t="str">
        <f>IF($A693=0,"",VLOOKUP($A693,'BASE M-OBRA'!$A:$D,2))</f>
        <v>AYUDANTE ESPECIALISTA</v>
      </c>
      <c r="C693" s="2"/>
      <c r="D693" s="108">
        <v>1</v>
      </c>
      <c r="E693" s="70">
        <f>IF($A693=0,"",VLOOKUP($A693,'BASE M-OBRA'!$A:$D,4))</f>
        <v>2.79</v>
      </c>
      <c r="F693" s="55">
        <f t="shared" si="62"/>
        <v>2.79</v>
      </c>
      <c r="G693" s="106">
        <f>+G692</f>
        <v>2</v>
      </c>
      <c r="H693" s="56">
        <f t="shared" si="63"/>
        <v>5.58</v>
      </c>
      <c r="I693" s="2"/>
    </row>
    <row r="694" spans="1:16" x14ac:dyDescent="0.25">
      <c r="A694" s="103">
        <v>20018</v>
      </c>
      <c r="B694" s="71" t="str">
        <f>IF($A694=0,"",VLOOKUP($A694,'BASE M-OBRA'!$A:$D,2))</f>
        <v>PINTOR</v>
      </c>
      <c r="C694" s="2"/>
      <c r="D694" s="108">
        <v>1</v>
      </c>
      <c r="E694" s="70">
        <f>IF($A694=0,"",VLOOKUP($A694,'BASE M-OBRA'!$A:$D,4))</f>
        <v>2.82</v>
      </c>
      <c r="F694" s="55">
        <f t="shared" si="62"/>
        <v>2.82</v>
      </c>
      <c r="G694" s="106">
        <f>+G693</f>
        <v>2</v>
      </c>
      <c r="H694" s="56">
        <f t="shared" si="63"/>
        <v>5.64</v>
      </c>
      <c r="I694" s="2"/>
      <c r="K694" s="1">
        <f>3*2.9</f>
        <v>8.6999999999999993</v>
      </c>
    </row>
    <row r="695" spans="1:16" x14ac:dyDescent="0.25">
      <c r="A695" s="103">
        <v>20011</v>
      </c>
      <c r="B695" s="72" t="str">
        <f>IF($A695=0,"",VLOOKUP($A695,'BASE M-OBRA'!$A:$D,2))</f>
        <v>AYUDANTE ESPECIALISTA</v>
      </c>
      <c r="C695" s="2"/>
      <c r="D695" s="108">
        <v>1</v>
      </c>
      <c r="E695" s="70">
        <f>IF($A695=0,"",VLOOKUP($A695,'BASE M-OBRA'!$A:$D,4))</f>
        <v>2.79</v>
      </c>
      <c r="F695" s="55">
        <f t="shared" si="62"/>
        <v>2.79</v>
      </c>
      <c r="G695" s="106">
        <f>+G694</f>
        <v>2</v>
      </c>
      <c r="H695" s="56">
        <f t="shared" si="63"/>
        <v>5.58</v>
      </c>
      <c r="I695" s="2"/>
      <c r="K695" s="1">
        <f>70*0.15</f>
        <v>10.5</v>
      </c>
    </row>
    <row r="696" spans="1:16" x14ac:dyDescent="0.25">
      <c r="B696" s="38" t="str">
        <f>IF($A696=0,"",VLOOKUP($A696,'BASE M-OBRA'!$A:$D,2))</f>
        <v/>
      </c>
      <c r="C696" s="2"/>
      <c r="D696" s="55"/>
      <c r="E696" s="55" t="str">
        <f>IF($A696=0,"",VLOOKUP($A696,'BASE M-OBRA'!$A:$D,4))</f>
        <v/>
      </c>
      <c r="F696" s="55" t="str">
        <f t="shared" si="62"/>
        <v/>
      </c>
      <c r="G696" s="106"/>
      <c r="H696" s="56" t="str">
        <f t="shared" si="63"/>
        <v/>
      </c>
      <c r="I696" s="2"/>
    </row>
    <row r="697" spans="1:16" x14ac:dyDescent="0.25">
      <c r="B697" s="57" t="str">
        <f>IF($A697=0,"",VLOOKUP($A697,'BASE M-OBRA'!$A:$D,2))</f>
        <v/>
      </c>
      <c r="C697" s="58"/>
      <c r="D697" s="59"/>
      <c r="E697" s="59" t="str">
        <f>IF($A697=0,"",VLOOKUP($A697,'BASE M-OBRA'!$A:$D,4))</f>
        <v/>
      </c>
      <c r="F697" s="59" t="str">
        <f t="shared" si="62"/>
        <v/>
      </c>
      <c r="G697" s="107"/>
      <c r="H697" s="60" t="str">
        <f t="shared" si="63"/>
        <v/>
      </c>
      <c r="I697" s="2"/>
    </row>
    <row r="698" spans="1:16" x14ac:dyDescent="0.25">
      <c r="B698" s="73" t="s">
        <v>1685</v>
      </c>
      <c r="C698" s="65"/>
      <c r="D698" s="74"/>
      <c r="E698" s="74"/>
      <c r="F698" s="74"/>
      <c r="G698" s="74"/>
      <c r="H698" s="75">
        <f>ROUND(SUM(H690:H697),2)</f>
        <v>22.84</v>
      </c>
      <c r="I698" s="2"/>
      <c r="K698" s="1">
        <f>25*0.5</f>
        <v>12.5</v>
      </c>
    </row>
    <row r="699" spans="1:16" x14ac:dyDescent="0.25">
      <c r="B699" s="38" t="s">
        <v>1684</v>
      </c>
      <c r="C699" s="2"/>
      <c r="D699" s="3"/>
      <c r="E699" s="3"/>
      <c r="F699" s="3"/>
      <c r="G699" s="3"/>
      <c r="H699" s="56"/>
      <c r="I699" s="2"/>
    </row>
    <row r="700" spans="1:16" ht="25.5" x14ac:dyDescent="0.25">
      <c r="B700" s="64" t="s">
        <v>1409</v>
      </c>
      <c r="C700" s="65"/>
      <c r="D700" s="76"/>
      <c r="E700" s="66" t="s">
        <v>1408</v>
      </c>
      <c r="F700" s="66" t="s">
        <v>1679</v>
      </c>
      <c r="G700" s="66" t="s">
        <v>1683</v>
      </c>
      <c r="H700" s="68" t="s">
        <v>1675</v>
      </c>
      <c r="I700" s="2"/>
    </row>
    <row r="701" spans="1:16" x14ac:dyDescent="0.25">
      <c r="A701" s="103">
        <v>14002</v>
      </c>
      <c r="B701" s="37" t="str">
        <f>IF($A701=0,"",VLOOKUP($A701,'BASE MATERIAL'!$A:$D,2))</f>
        <v>SOLDADURA aga 60/11</v>
      </c>
      <c r="C701" s="2"/>
      <c r="D701" s="77"/>
      <c r="E701" s="78" t="str">
        <f>IF($A701=0,"",VLOOKUP($A701,'BASE MATERIAL'!$A:$D,3))</f>
        <v>KG</v>
      </c>
      <c r="F701" s="80">
        <f>ROUND(0.044*F702,4)</f>
        <v>0.90259999999999996</v>
      </c>
      <c r="G701" s="55">
        <f>IF($A701=0,"",VLOOKUP($A701,'BASE MATERIAL'!$A:$D,4))</f>
        <v>3.65</v>
      </c>
      <c r="H701" s="56">
        <f t="shared" ref="H701:H715" si="64">IF($A701=0,"",ROUND(F701*G701,2))</f>
        <v>3.29</v>
      </c>
      <c r="I701" s="2"/>
      <c r="L701" s="2"/>
      <c r="M701" s="2"/>
      <c r="N701" s="39"/>
      <c r="O701" s="2"/>
      <c r="P701" s="2"/>
    </row>
    <row r="702" spans="1:16" x14ac:dyDescent="0.25">
      <c r="A702" s="103">
        <v>1004</v>
      </c>
      <c r="B702" s="38" t="str">
        <f>IF($A702=0,"",VLOOKUP($A702,'BASE MATERIAL'!$A:$D,2))</f>
        <v>PERFILERIA METALICA</v>
      </c>
      <c r="C702" s="2"/>
      <c r="D702" s="77"/>
      <c r="E702" s="78" t="str">
        <f>IF($A702=0,"",VLOOKUP($A702,'BASE MATERIAL'!$A:$D,3))</f>
        <v>KG</v>
      </c>
      <c r="F702" s="80">
        <f>K702</f>
        <v>20.512800000000002</v>
      </c>
      <c r="G702" s="55">
        <f>IF($A702=0,"",VLOOKUP($A702,'BASE MATERIAL'!$A:$D,4))</f>
        <v>1.27</v>
      </c>
      <c r="H702" s="56">
        <f t="shared" si="64"/>
        <v>26.05</v>
      </c>
      <c r="I702" s="2"/>
      <c r="K702" s="1">
        <f>22*0.888*1.05</f>
        <v>20.512800000000002</v>
      </c>
      <c r="L702" s="1">
        <f>22*0.012*4</f>
        <v>1.056</v>
      </c>
      <c r="M702" s="2"/>
      <c r="N702" s="39"/>
      <c r="O702" s="2"/>
      <c r="P702" s="2"/>
    </row>
    <row r="703" spans="1:16" x14ac:dyDescent="0.25">
      <c r="A703" s="103">
        <v>13016</v>
      </c>
      <c r="B703" s="38" t="str">
        <f>IF($A703=0,"",VLOOKUP($A703,'BASE MATERIAL'!$A:$D,2))</f>
        <v>PINTURA ANTICORROSIVA</v>
      </c>
      <c r="C703" s="2"/>
      <c r="D703" s="77"/>
      <c r="E703" s="78" t="str">
        <f>IF($A703=0,"",VLOOKUP($A703,'BASE MATERIAL'!$A:$D,3))</f>
        <v>GL</v>
      </c>
      <c r="F703" s="80">
        <f>L702*0.1*2</f>
        <v>0.21120000000000003</v>
      </c>
      <c r="G703" s="55">
        <f>IF($A703=0,"",VLOOKUP($A703,'BASE MATERIAL'!$A:$D,4))</f>
        <v>16</v>
      </c>
      <c r="H703" s="56">
        <f t="shared" si="64"/>
        <v>3.38</v>
      </c>
      <c r="I703" s="2"/>
      <c r="L703" s="2"/>
      <c r="M703" s="2"/>
      <c r="N703" s="39"/>
      <c r="O703" s="2"/>
      <c r="P703" s="2"/>
    </row>
    <row r="704" spans="1:16" x14ac:dyDescent="0.25">
      <c r="A704" s="103">
        <v>13017</v>
      </c>
      <c r="B704" s="38" t="str">
        <f>IF($A704=0,"",VLOOKUP($A704,'BASE MATERIAL'!$A:$D,2))</f>
        <v>PINTURA ACABADO METALICO</v>
      </c>
      <c r="C704" s="2"/>
      <c r="D704" s="77"/>
      <c r="E704" s="78" t="str">
        <f>IF($A704=0,"",VLOOKUP($A704,'BASE MATERIAL'!$A:$D,3))</f>
        <v>GL</v>
      </c>
      <c r="F704" s="80">
        <f>L702*0.1*2</f>
        <v>0.21120000000000003</v>
      </c>
      <c r="G704" s="55">
        <f>IF($A704=0,"",VLOOKUP($A704,'BASE MATERIAL'!$A:$D,4))</f>
        <v>17</v>
      </c>
      <c r="H704" s="56">
        <f t="shared" si="64"/>
        <v>3.59</v>
      </c>
      <c r="I704" s="2"/>
      <c r="L704" s="2"/>
      <c r="M704" s="2"/>
      <c r="N704" s="39"/>
      <c r="O704" s="2"/>
      <c r="P704" s="2"/>
    </row>
    <row r="705" spans="1:16" x14ac:dyDescent="0.25">
      <c r="A705" s="103">
        <v>13011</v>
      </c>
      <c r="B705" s="38" t="str">
        <f>IF($A705=0,"",VLOOKUP($A705,'BASE MATERIAL'!$A:$D,2))</f>
        <v>DESOXIDANTE</v>
      </c>
      <c r="C705" s="2"/>
      <c r="D705" s="77"/>
      <c r="E705" s="78" t="str">
        <f>IF($A705=0,"",VLOOKUP($A705,'BASE MATERIAL'!$A:$D,3))</f>
        <v>GL</v>
      </c>
      <c r="F705" s="80">
        <f>ROUND(0.2*(F703+F704),4)</f>
        <v>8.4500000000000006E-2</v>
      </c>
      <c r="G705" s="55">
        <f>IF($A705=0,"",VLOOKUP($A705,'BASE MATERIAL'!$A:$D,4))</f>
        <v>12</v>
      </c>
      <c r="H705" s="56">
        <f t="shared" si="64"/>
        <v>1.01</v>
      </c>
      <c r="I705" s="2"/>
      <c r="L705" s="2"/>
      <c r="M705" s="2"/>
      <c r="N705" s="39"/>
      <c r="O705" s="2"/>
      <c r="P705" s="2"/>
    </row>
    <row r="706" spans="1:16" x14ac:dyDescent="0.25">
      <c r="A706" s="103">
        <v>13010</v>
      </c>
      <c r="B706" s="38" t="str">
        <f>IF($A706=0,"",VLOOKUP($A706,'BASE MATERIAL'!$A:$D,2))</f>
        <v>DILUYENTE</v>
      </c>
      <c r="C706" s="2"/>
      <c r="D706" s="77"/>
      <c r="E706" s="78" t="str">
        <f>IF($A706=0,"",VLOOKUP($A706,'BASE MATERIAL'!$A:$D,3))</f>
        <v>GL</v>
      </c>
      <c r="F706" s="55">
        <f>(F703+F704)*0.5</f>
        <v>0.21120000000000003</v>
      </c>
      <c r="G706" s="55">
        <f>IF($A706=0,"",VLOOKUP($A706,'BASE MATERIAL'!$A:$D,4))</f>
        <v>6</v>
      </c>
      <c r="H706" s="56">
        <f t="shared" si="64"/>
        <v>1.27</v>
      </c>
      <c r="I706" s="2"/>
      <c r="L706" s="2"/>
      <c r="M706" s="2"/>
      <c r="N706" s="39"/>
      <c r="O706" s="2"/>
      <c r="P706" s="2"/>
    </row>
    <row r="707" spans="1:16" x14ac:dyDescent="0.25">
      <c r="B707" s="38" t="str">
        <f>IF($A707=0,"",VLOOKUP($A707,'BASE MATERIAL'!$A:$D,2))</f>
        <v/>
      </c>
      <c r="C707" s="2"/>
      <c r="D707" s="77"/>
      <c r="E707" s="78" t="str">
        <f>IF($A707=0,"",VLOOKUP($A707,'BASE MATERIAL'!$A:$D,3))</f>
        <v/>
      </c>
      <c r="F707" s="55"/>
      <c r="G707" s="55" t="str">
        <f>IF($A707=0,"",VLOOKUP($A707,'BASE MATERIAL'!$A:$D,4))</f>
        <v/>
      </c>
      <c r="H707" s="56" t="str">
        <f>IF($A707=0,"",ROUND(F707*G707,2))</f>
        <v/>
      </c>
      <c r="I707" s="2"/>
      <c r="L707" s="2"/>
      <c r="M707" s="2"/>
      <c r="N707" s="39"/>
      <c r="O707" s="2"/>
      <c r="P707" s="2"/>
    </row>
    <row r="708" spans="1:16" x14ac:dyDescent="0.25">
      <c r="B708" s="38" t="str">
        <f>IF($A708=0,"",VLOOKUP($A708,'BASE MATERIAL'!$A:$D,2))</f>
        <v/>
      </c>
      <c r="C708" s="2"/>
      <c r="D708" s="77"/>
      <c r="E708" s="78" t="str">
        <f>IF($A708=0,"",VLOOKUP($A708,'BASE MATERIAL'!$A:$D,3))</f>
        <v/>
      </c>
      <c r="F708" s="55"/>
      <c r="G708" s="55" t="str">
        <f>IF($A708=0,"",VLOOKUP($A708,'BASE MATERIAL'!$A:$D,4))</f>
        <v/>
      </c>
      <c r="H708" s="56" t="str">
        <f t="shared" si="64"/>
        <v/>
      </c>
      <c r="I708" s="2"/>
      <c r="L708" s="2"/>
      <c r="M708" s="2"/>
      <c r="N708" s="39"/>
      <c r="O708" s="2"/>
      <c r="P708" s="2"/>
    </row>
    <row r="709" spans="1:16" x14ac:dyDescent="0.25">
      <c r="B709" s="38" t="str">
        <f>IF($A709=0,"",VLOOKUP($A709,'BASE MATERIAL'!$A:$D,2))</f>
        <v/>
      </c>
      <c r="C709" s="2"/>
      <c r="D709" s="77"/>
      <c r="E709" s="78" t="str">
        <f>IF($A709=0,"",VLOOKUP($A709,'BASE MATERIAL'!$A:$D,3))</f>
        <v/>
      </c>
      <c r="F709" s="55"/>
      <c r="G709" s="80" t="str">
        <f>IF($A709=0,"",VLOOKUP($A709,'BASE MATERIAL'!$A:$D,4))</f>
        <v/>
      </c>
      <c r="H709" s="56" t="str">
        <f t="shared" si="64"/>
        <v/>
      </c>
      <c r="I709" s="2"/>
    </row>
    <row r="710" spans="1:16" x14ac:dyDescent="0.25">
      <c r="B710" s="38" t="str">
        <f>IF($A710=0,"",VLOOKUP($A710,'BASE MATERIAL'!$A:$D,2))</f>
        <v/>
      </c>
      <c r="C710" s="2"/>
      <c r="D710" s="77"/>
      <c r="E710" s="78" t="str">
        <f>IF($A710=0,"",VLOOKUP($A710,'BASE MATERIAL'!$A:$D,3))</f>
        <v/>
      </c>
      <c r="F710" s="55"/>
      <c r="G710" s="80" t="str">
        <f>IF($A710=0,"",VLOOKUP($A710,'BASE MATERIAL'!$A:$D,4))</f>
        <v/>
      </c>
      <c r="H710" s="56" t="str">
        <f t="shared" si="64"/>
        <v/>
      </c>
      <c r="I710" s="2"/>
      <c r="N710" s="39"/>
      <c r="O710" s="2"/>
      <c r="P710" s="2"/>
    </row>
    <row r="711" spans="1:16" x14ac:dyDescent="0.25">
      <c r="B711" s="38" t="str">
        <f>IF($A711=0,"",VLOOKUP($A711,'BASE MATERIAL'!$A:$D,2))</f>
        <v/>
      </c>
      <c r="C711" s="2"/>
      <c r="D711" s="77"/>
      <c r="E711" s="78" t="str">
        <f>IF($A711=0,"",VLOOKUP($A711,'BASE MATERIAL'!$A:$D,3))</f>
        <v/>
      </c>
      <c r="F711" s="55"/>
      <c r="G711" s="55" t="str">
        <f>IF($A711=0,"",VLOOKUP($A711,'BASE MATERIAL'!$A:$D,4))</f>
        <v/>
      </c>
      <c r="H711" s="56" t="str">
        <f t="shared" si="64"/>
        <v/>
      </c>
      <c r="I711" s="2"/>
      <c r="L711" s="2"/>
      <c r="M711" s="2"/>
      <c r="N711" s="39"/>
      <c r="O711" s="2"/>
      <c r="P711" s="2"/>
    </row>
    <row r="712" spans="1:16" x14ac:dyDescent="0.25">
      <c r="B712" s="38" t="str">
        <f>IF($A712=0,"",VLOOKUP($A712,'BASE MATERIAL'!$A:$D,2))</f>
        <v/>
      </c>
      <c r="C712" s="2"/>
      <c r="D712" s="77"/>
      <c r="E712" s="78" t="str">
        <f>IF($A712=0,"",VLOOKUP($A712,'BASE MATERIAL'!$A:$D,3))</f>
        <v/>
      </c>
      <c r="F712" s="55"/>
      <c r="G712" s="55" t="str">
        <f>IF($A712=0,"",VLOOKUP($A712,'BASE MATERIAL'!$A:$D,4))</f>
        <v/>
      </c>
      <c r="H712" s="56" t="str">
        <f t="shared" si="64"/>
        <v/>
      </c>
      <c r="I712" s="2"/>
    </row>
    <row r="713" spans="1:16" x14ac:dyDescent="0.25">
      <c r="B713" s="38" t="str">
        <f>IF($A713=0,"",VLOOKUP($A713,'BASE MATERIAL'!$A:$D,2))</f>
        <v/>
      </c>
      <c r="C713" s="2"/>
      <c r="D713" s="77"/>
      <c r="E713" s="78" t="str">
        <f>IF($A713=0,"",VLOOKUP($A713,'BASE MATERIAL'!$A:$D,3))</f>
        <v/>
      </c>
      <c r="F713" s="55"/>
      <c r="G713" s="55" t="str">
        <f>IF($A713=0,"",VLOOKUP($A713,'BASE MATERIAL'!$A:$D,4))</f>
        <v/>
      </c>
      <c r="H713" s="56" t="str">
        <f t="shared" si="64"/>
        <v/>
      </c>
      <c r="I713" s="2"/>
    </row>
    <row r="714" spans="1:16" x14ac:dyDescent="0.25">
      <c r="B714" s="38" t="str">
        <f>IF($A714=0,"",VLOOKUP($A714,'BASE MATERIAL'!$A:$D,2))</f>
        <v/>
      </c>
      <c r="C714" s="2"/>
      <c r="D714" s="77"/>
      <c r="E714" s="78" t="str">
        <f>IF($A714=0,"",VLOOKUP($A714,'BASE MATERIAL'!$A:$D,3))</f>
        <v/>
      </c>
      <c r="F714" s="55"/>
      <c r="G714" s="55" t="str">
        <f>IF($A714=0,"",VLOOKUP($A714,'BASE MATERIAL'!$A:$D,4))</f>
        <v/>
      </c>
      <c r="H714" s="56" t="str">
        <f t="shared" si="64"/>
        <v/>
      </c>
      <c r="I714" s="2"/>
    </row>
    <row r="715" spans="1:16" x14ac:dyDescent="0.25">
      <c r="B715" s="38" t="str">
        <f>IF($A715=0,"",VLOOKUP($A715,'BASE MATERIAL'!$A:$D,2))</f>
        <v/>
      </c>
      <c r="C715" s="2"/>
      <c r="D715" s="77"/>
      <c r="E715" s="78" t="str">
        <f>IF($A715=0,"",VLOOKUP($A715,'BASE MATERIAL'!$A:$D,3))</f>
        <v/>
      </c>
      <c r="F715" s="55"/>
      <c r="G715" s="55" t="str">
        <f>IF($A715=0,"",VLOOKUP($A715,'BASE MATERIAL'!$A:$D,4))</f>
        <v/>
      </c>
      <c r="H715" s="56" t="str">
        <f t="shared" si="64"/>
        <v/>
      </c>
      <c r="I715" s="2"/>
    </row>
    <row r="716" spans="1:16" x14ac:dyDescent="0.25">
      <c r="B716" s="38" t="str">
        <f>IF($A716=0,"",VLOOKUP($A716,'BASE MATERIAL'!$A:$D,2))</f>
        <v/>
      </c>
      <c r="C716" s="2"/>
      <c r="D716" s="81" t="s">
        <v>1682</v>
      </c>
      <c r="E716" s="55" t="str">
        <f>IF($A716=0,"",VLOOKUP($A716,'BASE MATERIAL'!$A:$D,3))</f>
        <v/>
      </c>
      <c r="F716" s="55" t="s">
        <v>1682</v>
      </c>
      <c r="G716" s="55" t="str">
        <f>IF($A716=0,"",VLOOKUP($A716,'BASE MATERIAL'!$A:$D,4))</f>
        <v/>
      </c>
      <c r="H716" s="56" t="str">
        <f>IF($A716=0,"",ROUND(E716*F716,2))</f>
        <v/>
      </c>
      <c r="I716" s="2"/>
    </row>
    <row r="717" spans="1:16" x14ac:dyDescent="0.25">
      <c r="B717" s="73" t="s">
        <v>1681</v>
      </c>
      <c r="C717" s="65"/>
      <c r="D717" s="74"/>
      <c r="E717" s="74"/>
      <c r="F717" s="74"/>
      <c r="G717" s="74"/>
      <c r="H717" s="75">
        <f>ROUND(SUM(H700:H716),2)</f>
        <v>38.590000000000003</v>
      </c>
      <c r="I717" s="2"/>
    </row>
    <row r="718" spans="1:16" x14ac:dyDescent="0.25">
      <c r="B718" s="38" t="s">
        <v>1680</v>
      </c>
      <c r="C718" s="2"/>
      <c r="D718" s="3"/>
      <c r="E718" s="3"/>
      <c r="F718" s="3"/>
      <c r="G718" s="3"/>
      <c r="H718" s="56"/>
      <c r="I718" s="2"/>
    </row>
    <row r="719" spans="1:16" ht="25.5" x14ac:dyDescent="0.25">
      <c r="B719" s="64" t="s">
        <v>1409</v>
      </c>
      <c r="C719" s="65"/>
      <c r="D719" s="76"/>
      <c r="E719" s="66" t="s">
        <v>1408</v>
      </c>
      <c r="F719" s="66" t="s">
        <v>1679</v>
      </c>
      <c r="G719" s="66" t="s">
        <v>1676</v>
      </c>
      <c r="H719" s="68" t="s">
        <v>1675</v>
      </c>
      <c r="I719" s="2"/>
    </row>
    <row r="720" spans="1:16" x14ac:dyDescent="0.25">
      <c r="A720" s="103">
        <v>19019</v>
      </c>
      <c r="B720" s="51" t="str">
        <f>IF($A720=0,"",VLOOKUP($A720,'BASE EQUIPO'!$A:$D,2))</f>
        <v>TRANSPORTE DE MATERIAL</v>
      </c>
      <c r="C720" s="52"/>
      <c r="D720" s="82"/>
      <c r="E720" s="78" t="str">
        <f>IF($A720=0,"",VLOOKUP($A720,'BASE EQUIPO'!$A:$D,3))</f>
        <v>GLOBAL</v>
      </c>
      <c r="F720" s="55">
        <v>1</v>
      </c>
      <c r="G720" s="83">
        <f>IF($A720=0,"",VLOOKUP($A720,'BASE EQUIPO'!$A:$D,4)*H717)</f>
        <v>1.1577</v>
      </c>
      <c r="H720" s="56">
        <f>IF($A720=0,"",ROUND(F720*G720,2))</f>
        <v>1.1599999999999999</v>
      </c>
      <c r="I720" s="2"/>
    </row>
    <row r="721" spans="1:15" x14ac:dyDescent="0.25">
      <c r="B721" s="38" t="str">
        <f>IF($A721=0,"",VLOOKUP($A721,'BASE EQUIPO'!$A:$D,2))</f>
        <v/>
      </c>
      <c r="C721" s="2"/>
      <c r="D721" s="84"/>
      <c r="E721" s="78" t="str">
        <f>IF($A721=0,"",VLOOKUP($A721,'BASE EQUIPO'!$A:$D,3))</f>
        <v/>
      </c>
      <c r="F721" s="55"/>
      <c r="G721" s="55" t="str">
        <f>IF($A721=0,"",VLOOKUP($A721,'BASE EQUIPO'!$A:$D,4)*H718)</f>
        <v/>
      </c>
      <c r="H721" s="56" t="str">
        <f>IF($A721=0,"",ROUND(F721*G721,2))</f>
        <v/>
      </c>
      <c r="I721" s="2"/>
    </row>
    <row r="722" spans="1:15" x14ac:dyDescent="0.25">
      <c r="B722" s="57" t="str">
        <f>IF($A722=0,"",VLOOKUP($A722,'BASE EQUIPO'!$A:$D,2))</f>
        <v/>
      </c>
      <c r="C722" s="58"/>
      <c r="D722" s="85"/>
      <c r="E722" s="86" t="str">
        <f>IF($A722=0,"",VLOOKUP($A722,'BASE EQUIPO'!$A:$D,3))</f>
        <v/>
      </c>
      <c r="F722" s="59"/>
      <c r="G722" s="59" t="str">
        <f>IF($A722=0,"",VLOOKUP($A722,'BASE EQUIPO'!$A:$D,4)*H719)</f>
        <v/>
      </c>
      <c r="H722" s="60" t="str">
        <f>IF($A722=0,"",ROUND(F722*G722,2))</f>
        <v/>
      </c>
      <c r="I722" s="2"/>
    </row>
    <row r="723" spans="1:15" ht="15.75" thickBot="1" x14ac:dyDescent="0.3">
      <c r="B723" s="87" t="s">
        <v>1674</v>
      </c>
      <c r="C723" s="88"/>
      <c r="D723" s="89"/>
      <c r="E723" s="89"/>
      <c r="F723" s="89"/>
      <c r="G723" s="89"/>
      <c r="H723" s="90">
        <f>ROUND(SUM(H719:H722),2)</f>
        <v>1.1599999999999999</v>
      </c>
      <c r="I723" s="2"/>
    </row>
    <row r="724" spans="1:15" ht="15.75" x14ac:dyDescent="0.25">
      <c r="B724" s="2"/>
      <c r="C724" s="2"/>
      <c r="D724" s="91" t="s">
        <v>1673</v>
      </c>
      <c r="E724" s="47"/>
      <c r="F724" s="47"/>
      <c r="G724" s="47"/>
      <c r="H724" s="92">
        <f>ROUND(SUM(H723,H717,H698,H688),2)</f>
        <v>65.47</v>
      </c>
      <c r="I724" s="2"/>
    </row>
    <row r="725" spans="1:15" ht="15.75" x14ac:dyDescent="0.25">
      <c r="A725" s="103">
        <v>40002</v>
      </c>
      <c r="B725" s="2"/>
      <c r="C725" s="2"/>
      <c r="D725" s="93" t="s">
        <v>1672</v>
      </c>
      <c r="E725" s="65"/>
      <c r="F725" s="65"/>
      <c r="G725" s="94">
        <f>IF($A725=0,"",VLOOKUP($A725,'BASE MATERIAL'!$M:$P,4))</f>
        <v>0</v>
      </c>
      <c r="H725" s="95">
        <f>IF($A725=0,"",ROUND(G725*H724,2))</f>
        <v>0</v>
      </c>
      <c r="I725" s="2"/>
    </row>
    <row r="726" spans="1:15" ht="15.75" x14ac:dyDescent="0.25">
      <c r="A726" s="103">
        <v>40003</v>
      </c>
      <c r="B726" s="2"/>
      <c r="C726" s="2"/>
      <c r="D726" s="93" t="s">
        <v>1671</v>
      </c>
      <c r="E726" s="65"/>
      <c r="F726" s="65"/>
      <c r="G726" s="94">
        <f>IF($A726=0,"",VLOOKUP($A726,'BASE MATERIAL'!$M:$P,4))</f>
        <v>0</v>
      </c>
      <c r="H726" s="95">
        <f>IF($A726=0,"",ROUND(G726*H724,2))</f>
        <v>0</v>
      </c>
      <c r="I726" s="2"/>
    </row>
    <row r="727" spans="1:15" ht="15.75" x14ac:dyDescent="0.25">
      <c r="B727" s="2"/>
      <c r="C727" s="2"/>
      <c r="D727" s="93" t="s">
        <v>1670</v>
      </c>
      <c r="E727" s="65"/>
      <c r="F727" s="65"/>
      <c r="G727" s="65"/>
      <c r="H727" s="96">
        <f>ROUND(SUM(H724:H726),2)</f>
        <v>65.47</v>
      </c>
      <c r="I727" s="2"/>
    </row>
    <row r="728" spans="1:15" ht="16.5" thickBot="1" x14ac:dyDescent="0.3">
      <c r="B728" s="25"/>
      <c r="C728" s="2"/>
      <c r="D728" s="97" t="s">
        <v>1650</v>
      </c>
      <c r="E728" s="88"/>
      <c r="F728" s="88"/>
      <c r="G728" s="88"/>
      <c r="H728" s="98">
        <f>ROUND(H727,2)</f>
        <v>65.47</v>
      </c>
      <c r="I728" s="2"/>
    </row>
    <row r="729" spans="1:15" ht="15.75" x14ac:dyDescent="0.25">
      <c r="B729" s="34" t="s">
        <v>1701</v>
      </c>
      <c r="C729" s="2"/>
      <c r="D729" s="3" t="str">
        <f>'1.1'!$D$1</f>
        <v>ESPOL</v>
      </c>
      <c r="E729" s="2"/>
      <c r="F729" s="2"/>
      <c r="H729" s="2" t="s">
        <v>108</v>
      </c>
      <c r="I729" s="2"/>
      <c r="L729" s="40">
        <f>A733</f>
        <v>2</v>
      </c>
      <c r="M729" s="1" t="str">
        <f>C734</f>
        <v>Flashing de pared</v>
      </c>
      <c r="N729" s="2" t="str">
        <f>H733</f>
        <v>ml</v>
      </c>
      <c r="O729" s="2">
        <f>H784</f>
        <v>11.71</v>
      </c>
    </row>
    <row r="730" spans="1:15" ht="15.75" x14ac:dyDescent="0.25">
      <c r="B730" s="34" t="s">
        <v>1700</v>
      </c>
      <c r="C730" s="3">
        <f>'1.1'!$C$2</f>
        <v>0</v>
      </c>
      <c r="D730" s="2"/>
      <c r="E730" s="2"/>
      <c r="F730" s="2"/>
      <c r="G730" s="41" t="s">
        <v>1699</v>
      </c>
      <c r="H730" s="42"/>
      <c r="I730" s="2" t="s">
        <v>1698</v>
      </c>
    </row>
    <row r="731" spans="1:15" ht="15.75" x14ac:dyDescent="0.25">
      <c r="B731" s="34"/>
      <c r="C731" s="3">
        <f>'1.1'!$C$3</f>
        <v>0</v>
      </c>
      <c r="D731" s="2"/>
      <c r="E731" s="2"/>
      <c r="F731" s="2"/>
      <c r="G731" s="2"/>
      <c r="H731" s="2"/>
      <c r="I731" s="2"/>
    </row>
    <row r="732" spans="1:15" ht="15.75" x14ac:dyDescent="0.25">
      <c r="B732" s="34" t="s">
        <v>1697</v>
      </c>
      <c r="C732" s="3"/>
      <c r="D732" s="2"/>
      <c r="E732" s="2"/>
      <c r="F732" s="2"/>
      <c r="G732" s="2"/>
      <c r="H732" s="2"/>
      <c r="I732" s="2"/>
    </row>
    <row r="733" spans="1:15" x14ac:dyDescent="0.25">
      <c r="A733" s="104">
        <v>2</v>
      </c>
      <c r="B733" s="2" t="s">
        <v>1586</v>
      </c>
      <c r="C733" s="36" t="s">
        <v>120</v>
      </c>
      <c r="D733" s="2"/>
      <c r="G733" s="2" t="s">
        <v>1696</v>
      </c>
      <c r="H733" s="3" t="s">
        <v>961</v>
      </c>
      <c r="I733" s="2"/>
    </row>
    <row r="734" spans="1:15" x14ac:dyDescent="0.25">
      <c r="B734" s="1" t="s">
        <v>1585</v>
      </c>
      <c r="C734" s="36" t="s">
        <v>121</v>
      </c>
      <c r="D734" s="2"/>
      <c r="E734" s="2"/>
      <c r="F734" s="2"/>
      <c r="G734" s="2"/>
      <c r="H734" s="2"/>
      <c r="I734" s="2"/>
    </row>
    <row r="735" spans="1:15" ht="15.75" thickBot="1" x14ac:dyDescent="0.3">
      <c r="D735" s="2"/>
      <c r="E735" s="2"/>
      <c r="F735" s="2"/>
      <c r="G735" s="2"/>
      <c r="H735" s="2"/>
      <c r="I735" s="2"/>
    </row>
    <row r="736" spans="1:15" ht="15.75" thickBot="1" x14ac:dyDescent="0.3">
      <c r="B736" s="43" t="s">
        <v>1695</v>
      </c>
      <c r="C736" s="44"/>
      <c r="D736" s="44"/>
      <c r="E736" s="44"/>
      <c r="F736" s="44"/>
      <c r="G736" s="44"/>
      <c r="H736" s="45"/>
      <c r="I736" s="2"/>
    </row>
    <row r="737" spans="1:11" ht="25.5" x14ac:dyDescent="0.25">
      <c r="B737" s="46" t="s">
        <v>1409</v>
      </c>
      <c r="C737" s="47"/>
      <c r="D737" s="48" t="s">
        <v>1690</v>
      </c>
      <c r="E737" s="48" t="s">
        <v>1694</v>
      </c>
      <c r="F737" s="48" t="s">
        <v>1693</v>
      </c>
      <c r="G737" s="49" t="s">
        <v>1687</v>
      </c>
      <c r="H737" s="50" t="s">
        <v>1686</v>
      </c>
      <c r="I737" s="2"/>
    </row>
    <row r="738" spans="1:11" x14ac:dyDescent="0.25">
      <c r="A738" s="103">
        <v>19015</v>
      </c>
      <c r="B738" s="51" t="str">
        <f>IF($A738=0,"",VLOOKUP($A738,'BASE EQUIPO'!$A:$D,2))</f>
        <v>HERRAMIENTA MENOR</v>
      </c>
      <c r="C738" s="52"/>
      <c r="D738" s="53">
        <v>1</v>
      </c>
      <c r="E738" s="53">
        <f>IF($A738=0,"",VLOOKUP($A738,'BASE EQUIPO'!$A:$D,4)*H754)</f>
        <v>5.91E-2</v>
      </c>
      <c r="F738" s="53">
        <f t="shared" ref="F738:F743" si="65">IF($A738=0,"",ROUND(D738*E738,2))</f>
        <v>0.06</v>
      </c>
      <c r="G738" s="105">
        <v>1</v>
      </c>
      <c r="H738" s="54">
        <f t="shared" ref="H738:H743" si="66">IF($A738=0,"",ROUND(G738*F738,2))</f>
        <v>0.06</v>
      </c>
      <c r="I738" s="2"/>
    </row>
    <row r="739" spans="1:11" x14ac:dyDescent="0.25">
      <c r="B739" s="38" t="str">
        <f>IF($A739=0,"",VLOOKUP($A739,'BASE EQUIPO'!$A:$D,2))</f>
        <v/>
      </c>
      <c r="C739" s="2"/>
      <c r="D739" s="55"/>
      <c r="E739" s="55" t="str">
        <f>IF($A739=0,"",VLOOKUP($A739,'BASE EQUIPO'!$A:$D,4))</f>
        <v/>
      </c>
      <c r="F739" s="55" t="str">
        <f t="shared" si="65"/>
        <v/>
      </c>
      <c r="G739" s="106"/>
      <c r="H739" s="56" t="str">
        <f t="shared" si="66"/>
        <v/>
      </c>
      <c r="I739" s="2"/>
    </row>
    <row r="740" spans="1:11" x14ac:dyDescent="0.25">
      <c r="B740" s="38" t="str">
        <f>IF($A740=0,"",VLOOKUP($A740,'BASE EQUIPO'!$A:$D,2))</f>
        <v/>
      </c>
      <c r="C740" s="2"/>
      <c r="D740" s="55"/>
      <c r="E740" s="55" t="str">
        <f>IF($A740=0,"",VLOOKUP($A740,'BASE EQUIPO'!$A:$D,4))</f>
        <v/>
      </c>
      <c r="F740" s="55" t="str">
        <f t="shared" si="65"/>
        <v/>
      </c>
      <c r="G740" s="106"/>
      <c r="H740" s="56" t="str">
        <f t="shared" si="66"/>
        <v/>
      </c>
      <c r="I740" s="2"/>
    </row>
    <row r="741" spans="1:11" x14ac:dyDescent="0.25">
      <c r="B741" s="38" t="str">
        <f>IF($A741=0,"",VLOOKUP($A741,'BASE EQUIPO'!$A:$D,2))</f>
        <v/>
      </c>
      <c r="C741" s="2"/>
      <c r="D741" s="55"/>
      <c r="E741" s="55" t="str">
        <f>IF($A741=0,"",VLOOKUP($A741,'BASE EQUIPO'!$A:$D,4))</f>
        <v/>
      </c>
      <c r="F741" s="55" t="str">
        <f t="shared" si="65"/>
        <v/>
      </c>
      <c r="G741" s="106"/>
      <c r="H741" s="56" t="str">
        <f t="shared" si="66"/>
        <v/>
      </c>
      <c r="I741" s="2"/>
    </row>
    <row r="742" spans="1:11" x14ac:dyDescent="0.25">
      <c r="B742" s="38" t="str">
        <f>IF($A742=0,"",VLOOKUP($A742,'BASE EQUIPO'!$A:$D,2))</f>
        <v/>
      </c>
      <c r="C742" s="2"/>
      <c r="D742" s="55"/>
      <c r="E742" s="55" t="str">
        <f>IF($A742=0,"",VLOOKUP($A742,'BASE EQUIPO'!$A:$D,4))</f>
        <v/>
      </c>
      <c r="F742" s="55" t="str">
        <f t="shared" si="65"/>
        <v/>
      </c>
      <c r="G742" s="106"/>
      <c r="H742" s="56" t="str">
        <f t="shared" si="66"/>
        <v/>
      </c>
      <c r="I742" s="2"/>
    </row>
    <row r="743" spans="1:11" x14ac:dyDescent="0.25">
      <c r="B743" s="57" t="str">
        <f>IF($A743=0,"",VLOOKUP($A743,'BASE EQUIPO'!$A:$D,2))</f>
        <v/>
      </c>
      <c r="C743" s="58"/>
      <c r="D743" s="59"/>
      <c r="E743" s="59" t="str">
        <f>IF($A743=0,"",VLOOKUP($A743,'BASE EQUIPO'!$A:$D,4))</f>
        <v/>
      </c>
      <c r="F743" s="59" t="str">
        <f t="shared" si="65"/>
        <v/>
      </c>
      <c r="G743" s="107"/>
      <c r="H743" s="60" t="str">
        <f t="shared" si="66"/>
        <v/>
      </c>
      <c r="I743" s="2"/>
    </row>
    <row r="744" spans="1:11" x14ac:dyDescent="0.25">
      <c r="B744" s="57" t="s">
        <v>1692</v>
      </c>
      <c r="C744" s="58"/>
      <c r="D744" s="61"/>
      <c r="E744" s="61"/>
      <c r="F744" s="61"/>
      <c r="G744" s="62"/>
      <c r="H744" s="60">
        <f>ROUND(SUM(H737:H743),2)</f>
        <v>0.06</v>
      </c>
      <c r="I744" s="2"/>
    </row>
    <row r="745" spans="1:11" x14ac:dyDescent="0.25">
      <c r="B745" s="38" t="s">
        <v>1503</v>
      </c>
      <c r="C745" s="2"/>
      <c r="D745" s="3"/>
      <c r="E745" s="3"/>
      <c r="F745" s="3"/>
      <c r="G745" s="63"/>
      <c r="H745" s="56"/>
      <c r="I745" s="2"/>
    </row>
    <row r="746" spans="1:11" ht="25.5" x14ac:dyDescent="0.25">
      <c r="B746" s="64" t="s">
        <v>1691</v>
      </c>
      <c r="C746" s="65"/>
      <c r="D746" s="66" t="s">
        <v>1690</v>
      </c>
      <c r="E746" s="66" t="s">
        <v>1689</v>
      </c>
      <c r="F746" s="66" t="s">
        <v>1688</v>
      </c>
      <c r="G746" s="67" t="s">
        <v>1687</v>
      </c>
      <c r="H746" s="68" t="s">
        <v>1686</v>
      </c>
      <c r="I746" s="2"/>
    </row>
    <row r="747" spans="1:11" x14ac:dyDescent="0.25">
      <c r="B747" s="69" t="str">
        <f>IF($A747=0,"",VLOOKUP($A747,'BASE M-OBRA'!$A:$D,2))</f>
        <v/>
      </c>
      <c r="C747" s="2"/>
      <c r="D747" s="108"/>
      <c r="E747" s="70" t="str">
        <f>IF($A747=0,"",VLOOKUP($A747,'BASE M-OBRA'!$A:$D,4))</f>
        <v/>
      </c>
      <c r="F747" s="55" t="str">
        <f t="shared" ref="F747:F753" si="67">IF($A747=0,"",ROUND(D747*E747,2))</f>
        <v/>
      </c>
      <c r="G747" s="106" t="str">
        <f>IF($A747=0,"",ROUND(H747/F747,2))</f>
        <v/>
      </c>
      <c r="H747" s="56" t="str">
        <f>IF($A747=0,"",ROUND(SUM(H748:H753)*'BASE M-OBRA'!$D$23,2))</f>
        <v/>
      </c>
      <c r="I747" s="2"/>
    </row>
    <row r="748" spans="1:11" x14ac:dyDescent="0.25">
      <c r="A748" s="103">
        <v>20019</v>
      </c>
      <c r="B748" s="69" t="str">
        <f>IF($A748=0,"",VLOOKUP($A748,'BASE M-OBRA'!$A:$D,2))</f>
        <v>INSTALADOR</v>
      </c>
      <c r="C748" s="2"/>
      <c r="D748" s="108">
        <v>1</v>
      </c>
      <c r="E748" s="70">
        <f>IF($A748=0,"",VLOOKUP($A748,'BASE M-OBRA'!$A:$D,4))</f>
        <v>2.82</v>
      </c>
      <c r="F748" s="55">
        <f t="shared" si="67"/>
        <v>2.82</v>
      </c>
      <c r="G748" s="106">
        <v>0.35</v>
      </c>
      <c r="H748" s="56">
        <f t="shared" ref="H748:H753" si="68">IF($A748=0,"",ROUND(G748*F748,2))</f>
        <v>0.99</v>
      </c>
      <c r="I748" s="2"/>
      <c r="K748" s="1">
        <f>320/8</f>
        <v>40</v>
      </c>
    </row>
    <row r="749" spans="1:11" x14ac:dyDescent="0.25">
      <c r="A749" s="103">
        <v>20011</v>
      </c>
      <c r="B749" s="69" t="str">
        <f>IF($A749=0,"",VLOOKUP($A749,'BASE M-OBRA'!$A:$D,2))</f>
        <v>AYUDANTE ESPECIALISTA</v>
      </c>
      <c r="C749" s="2"/>
      <c r="D749" s="108">
        <v>1</v>
      </c>
      <c r="E749" s="70">
        <f>IF($A749=0,"",VLOOKUP($A749,'BASE M-OBRA'!$A:$D,4))</f>
        <v>2.79</v>
      </c>
      <c r="F749" s="55">
        <f t="shared" si="67"/>
        <v>2.79</v>
      </c>
      <c r="G749" s="106">
        <f>+G748</f>
        <v>0.35</v>
      </c>
      <c r="H749" s="56">
        <f t="shared" si="68"/>
        <v>0.98</v>
      </c>
      <c r="I749" s="2"/>
    </row>
    <row r="750" spans="1:11" x14ac:dyDescent="0.25">
      <c r="B750" s="71" t="str">
        <f>IF($A750=0,"",VLOOKUP($A750,'BASE M-OBRA'!$A:$D,2))</f>
        <v/>
      </c>
      <c r="C750" s="2"/>
      <c r="D750" s="108"/>
      <c r="E750" s="70" t="str">
        <f>IF($A750=0,"",VLOOKUP($A750,'BASE M-OBRA'!$A:$D,4))</f>
        <v/>
      </c>
      <c r="F750" s="55" t="str">
        <f t="shared" si="67"/>
        <v/>
      </c>
      <c r="G750" s="106"/>
      <c r="H750" s="56" t="str">
        <f t="shared" si="68"/>
        <v/>
      </c>
      <c r="I750" s="2"/>
      <c r="J750" s="1">
        <f>0.25*30000</f>
        <v>7500</v>
      </c>
    </row>
    <row r="751" spans="1:11" x14ac:dyDescent="0.25">
      <c r="B751" s="72" t="str">
        <f>IF($A751=0,"",VLOOKUP($A751,'BASE M-OBRA'!$A:$D,2))</f>
        <v/>
      </c>
      <c r="C751" s="2"/>
      <c r="D751" s="108"/>
      <c r="E751" s="70" t="str">
        <f>IF($A751=0,"",VLOOKUP($A751,'BASE M-OBRA'!$A:$D,4))</f>
        <v/>
      </c>
      <c r="F751" s="55" t="str">
        <f t="shared" si="67"/>
        <v/>
      </c>
      <c r="G751" s="106"/>
      <c r="H751" s="56" t="str">
        <f t="shared" si="68"/>
        <v/>
      </c>
      <c r="I751" s="2"/>
    </row>
    <row r="752" spans="1:11" x14ac:dyDescent="0.25">
      <c r="B752" s="38" t="str">
        <f>IF($A752=0,"",VLOOKUP($A752,'BASE M-OBRA'!$A:$D,2))</f>
        <v/>
      </c>
      <c r="C752" s="2"/>
      <c r="D752" s="55"/>
      <c r="E752" s="55" t="str">
        <f>IF($A752=0,"",VLOOKUP($A752,'BASE M-OBRA'!$A:$D,4))</f>
        <v/>
      </c>
      <c r="F752" s="55" t="str">
        <f t="shared" si="67"/>
        <v/>
      </c>
      <c r="G752" s="106"/>
      <c r="H752" s="56" t="str">
        <f t="shared" si="68"/>
        <v/>
      </c>
      <c r="I752" s="2"/>
    </row>
    <row r="753" spans="1:16" x14ac:dyDescent="0.25">
      <c r="B753" s="57" t="str">
        <f>IF($A753=0,"",VLOOKUP($A753,'BASE M-OBRA'!$A:$D,2))</f>
        <v/>
      </c>
      <c r="C753" s="58"/>
      <c r="D753" s="59"/>
      <c r="E753" s="59" t="str">
        <f>IF($A753=0,"",VLOOKUP($A753,'BASE M-OBRA'!$A:$D,4))</f>
        <v/>
      </c>
      <c r="F753" s="59" t="str">
        <f t="shared" si="67"/>
        <v/>
      </c>
      <c r="G753" s="107"/>
      <c r="H753" s="60" t="str">
        <f t="shared" si="68"/>
        <v/>
      </c>
      <c r="I753" s="2"/>
    </row>
    <row r="754" spans="1:16" x14ac:dyDescent="0.25">
      <c r="B754" s="73" t="s">
        <v>1685</v>
      </c>
      <c r="C754" s="65"/>
      <c r="D754" s="74"/>
      <c r="E754" s="74"/>
      <c r="F754" s="74"/>
      <c r="G754" s="74"/>
      <c r="H754" s="75">
        <f>ROUND(SUM(H746:H753),2)</f>
        <v>1.97</v>
      </c>
      <c r="I754" s="2"/>
      <c r="J754" s="1">
        <f>13200*0.3</f>
        <v>3960</v>
      </c>
    </row>
    <row r="755" spans="1:16" x14ac:dyDescent="0.25">
      <c r="B755" s="38" t="s">
        <v>1684</v>
      </c>
      <c r="C755" s="2"/>
      <c r="D755" s="3"/>
      <c r="E755" s="3"/>
      <c r="F755" s="3"/>
      <c r="G755" s="3"/>
      <c r="H755" s="56"/>
      <c r="I755" s="2"/>
    </row>
    <row r="756" spans="1:16" ht="25.5" x14ac:dyDescent="0.25">
      <c r="B756" s="64" t="s">
        <v>1409</v>
      </c>
      <c r="C756" s="65"/>
      <c r="D756" s="76"/>
      <c r="E756" s="66" t="s">
        <v>1408</v>
      </c>
      <c r="F756" s="66" t="s">
        <v>1679</v>
      </c>
      <c r="G756" s="66" t="s">
        <v>1683</v>
      </c>
      <c r="H756" s="68" t="s">
        <v>1675</v>
      </c>
      <c r="I756" s="2"/>
    </row>
    <row r="757" spans="1:16" x14ac:dyDescent="0.25">
      <c r="A757" s="103">
        <v>1</v>
      </c>
      <c r="B757" s="38" t="s">
        <v>125</v>
      </c>
      <c r="C757" s="2"/>
      <c r="D757" s="77"/>
      <c r="E757" s="78" t="s">
        <v>961</v>
      </c>
      <c r="F757" s="113">
        <v>1</v>
      </c>
      <c r="G757" s="55">
        <v>9.4</v>
      </c>
      <c r="H757" s="56">
        <f t="shared" ref="H757:H771" si="69">IF($A757=0,"",ROUND(F757*G757,2))</f>
        <v>9.4</v>
      </c>
      <c r="I757" s="2"/>
      <c r="J757" s="1">
        <f>SUM(J759:J761)</f>
        <v>8.7919999999999998</v>
      </c>
      <c r="K757" s="1" t="s">
        <v>225</v>
      </c>
      <c r="L757" s="2"/>
      <c r="M757" s="2"/>
      <c r="N757" s="39"/>
      <c r="O757" s="2"/>
      <c r="P757" s="2"/>
    </row>
    <row r="758" spans="1:16" x14ac:dyDescent="0.25">
      <c r="B758" s="38"/>
      <c r="C758" s="2"/>
      <c r="D758" s="77"/>
      <c r="E758" s="78"/>
      <c r="F758" s="113"/>
      <c r="G758" s="55"/>
      <c r="H758" s="56" t="str">
        <f t="shared" si="69"/>
        <v/>
      </c>
      <c r="I758" s="2"/>
      <c r="L758" s="2"/>
      <c r="M758" s="2"/>
      <c r="N758" s="39"/>
      <c r="O758" s="2"/>
      <c r="P758" s="2"/>
    </row>
    <row r="759" spans="1:16" x14ac:dyDescent="0.25">
      <c r="B759" s="38"/>
      <c r="C759" s="2"/>
      <c r="D759" s="77"/>
      <c r="E759" s="78"/>
      <c r="F759" s="113"/>
      <c r="G759" s="55"/>
      <c r="H759" s="56" t="str">
        <f t="shared" si="69"/>
        <v/>
      </c>
      <c r="I759" s="2"/>
      <c r="J759" s="79">
        <f>7.85*2*0.12*3</f>
        <v>5.6519999999999992</v>
      </c>
      <c r="K759" s="1" t="s">
        <v>842</v>
      </c>
      <c r="L759" s="2"/>
      <c r="M759" s="2"/>
      <c r="N759" s="39"/>
      <c r="O759" s="2"/>
      <c r="P759" s="2"/>
    </row>
    <row r="760" spans="1:16" x14ac:dyDescent="0.25">
      <c r="B760" s="38"/>
      <c r="C760" s="2"/>
      <c r="D760" s="77"/>
      <c r="E760" s="78"/>
      <c r="F760" s="113"/>
      <c r="G760" s="55"/>
      <c r="H760" s="56" t="str">
        <f t="shared" si="69"/>
        <v/>
      </c>
      <c r="I760" s="2"/>
      <c r="K760" s="1" t="s">
        <v>223</v>
      </c>
      <c r="L760" s="2"/>
      <c r="M760" s="2"/>
      <c r="N760" s="39"/>
      <c r="O760" s="2"/>
      <c r="P760" s="2"/>
    </row>
    <row r="761" spans="1:16" x14ac:dyDescent="0.25">
      <c r="B761" s="38"/>
      <c r="C761" s="2"/>
      <c r="D761" s="77"/>
      <c r="E761" s="78"/>
      <c r="F761" s="113"/>
      <c r="G761" s="55"/>
      <c r="H761" s="56" t="str">
        <f t="shared" si="69"/>
        <v/>
      </c>
      <c r="I761" s="2"/>
      <c r="J761" s="79">
        <f>7.85*2*0.1*2</f>
        <v>3.14</v>
      </c>
      <c r="K761" s="1" t="s">
        <v>224</v>
      </c>
      <c r="L761" s="2"/>
      <c r="M761" s="2"/>
      <c r="N761" s="39"/>
      <c r="O761" s="2"/>
      <c r="P761" s="2"/>
    </row>
    <row r="762" spans="1:16" x14ac:dyDescent="0.25">
      <c r="B762" s="38"/>
      <c r="C762" s="2"/>
      <c r="D762" s="77"/>
      <c r="E762" s="78"/>
      <c r="F762" s="113"/>
      <c r="G762" s="55"/>
      <c r="H762" s="56" t="str">
        <f t="shared" si="69"/>
        <v/>
      </c>
      <c r="I762" s="2"/>
      <c r="J762" s="79"/>
      <c r="L762" s="2"/>
      <c r="M762" s="2"/>
      <c r="N762" s="39"/>
      <c r="O762" s="2"/>
      <c r="P762" s="2"/>
    </row>
    <row r="763" spans="1:16" x14ac:dyDescent="0.25">
      <c r="B763" s="38" t="str">
        <f>IF($A763=0,"",VLOOKUP($A763,'BASE MATERIAL'!$A:$D,2))</f>
        <v/>
      </c>
      <c r="C763" s="2"/>
      <c r="D763" s="77"/>
      <c r="E763" s="78" t="str">
        <f>IF($A763=0,"",VLOOKUP($A763,'BASE MATERIAL'!$A:$D,3))</f>
        <v/>
      </c>
      <c r="F763" s="55"/>
      <c r="G763" s="55" t="str">
        <f>IF($A763=0,"",VLOOKUP($A763,'BASE MATERIAL'!$A:$D,4))</f>
        <v/>
      </c>
      <c r="H763" s="56" t="str">
        <f t="shared" si="69"/>
        <v/>
      </c>
      <c r="I763" s="2"/>
      <c r="L763" s="2"/>
      <c r="M763" s="2"/>
      <c r="N763" s="39"/>
      <c r="O763" s="2"/>
      <c r="P763" s="2"/>
    </row>
    <row r="764" spans="1:16" x14ac:dyDescent="0.25">
      <c r="B764" s="38"/>
      <c r="C764" s="2"/>
      <c r="D764" s="77"/>
      <c r="E764" s="78"/>
      <c r="F764" s="55"/>
      <c r="G764" s="55"/>
      <c r="H764" s="56" t="str">
        <f t="shared" si="69"/>
        <v/>
      </c>
      <c r="I764" s="2"/>
      <c r="J764" s="79">
        <f>7.85*2*0.12*1.2</f>
        <v>2.2607999999999997</v>
      </c>
      <c r="K764" s="1">
        <f>3.1416*0.0254*1.5</f>
        <v>0.11969496</v>
      </c>
      <c r="L764" s="2"/>
      <c r="M764" s="2"/>
      <c r="N764" s="39"/>
      <c r="O764" s="2"/>
      <c r="P764" s="2"/>
    </row>
    <row r="765" spans="1:16" x14ac:dyDescent="0.25">
      <c r="B765" s="38"/>
      <c r="C765" s="2"/>
      <c r="D765" s="77"/>
      <c r="E765" s="78"/>
      <c r="F765" s="55"/>
      <c r="G765" s="55"/>
      <c r="H765" s="56" t="str">
        <f t="shared" si="69"/>
        <v/>
      </c>
      <c r="I765" s="2"/>
      <c r="J765" s="79">
        <f>7.85*2*0.1*1.2</f>
        <v>1.8839999999999999</v>
      </c>
      <c r="K765" s="1">
        <f>0.0254*1.25*3.1416</f>
        <v>9.9745799999999996E-2</v>
      </c>
    </row>
    <row r="766" spans="1:16" x14ac:dyDescent="0.25">
      <c r="B766" s="38"/>
      <c r="C766" s="2"/>
      <c r="D766" s="77"/>
      <c r="E766" s="78"/>
      <c r="F766" s="55"/>
      <c r="G766" s="55"/>
      <c r="H766" s="56" t="str">
        <f t="shared" si="69"/>
        <v/>
      </c>
      <c r="I766" s="2"/>
      <c r="L766" s="2"/>
      <c r="M766" s="2"/>
      <c r="N766" s="39"/>
      <c r="O766" s="2"/>
      <c r="P766" s="2"/>
    </row>
    <row r="767" spans="1:16" x14ac:dyDescent="0.25">
      <c r="B767" s="38"/>
      <c r="C767" s="2"/>
      <c r="D767" s="77"/>
      <c r="E767" s="78"/>
      <c r="F767" s="55"/>
      <c r="G767" s="55"/>
      <c r="H767" s="56" t="str">
        <f t="shared" si="69"/>
        <v/>
      </c>
      <c r="I767" s="2"/>
      <c r="J767" s="79">
        <f>0.13*3</f>
        <v>0.39</v>
      </c>
      <c r="L767" s="2"/>
      <c r="M767" s="2"/>
      <c r="N767" s="39"/>
      <c r="O767" s="2"/>
      <c r="P767" s="2"/>
    </row>
    <row r="768" spans="1:16" x14ac:dyDescent="0.25">
      <c r="B768" s="38" t="str">
        <f>IF($A768=0,"",VLOOKUP($A768,'BASE MATERIAL'!$A:$D,2))</f>
        <v/>
      </c>
      <c r="C768" s="2"/>
      <c r="D768" s="77"/>
      <c r="E768" s="78" t="str">
        <f>IF($A768=0,"",VLOOKUP($A768,'BASE MATERIAL'!$A:$D,3))</f>
        <v/>
      </c>
      <c r="F768" s="55"/>
      <c r="G768" s="55" t="str">
        <f>IF($A768=0,"",VLOOKUP($A768,'BASE MATERIAL'!$A:$D,4))</f>
        <v/>
      </c>
      <c r="H768" s="56" t="str">
        <f t="shared" si="69"/>
        <v/>
      </c>
      <c r="I768" s="2"/>
      <c r="J768" s="79">
        <f>0.1*2</f>
        <v>0.2</v>
      </c>
    </row>
    <row r="769" spans="1:10" x14ac:dyDescent="0.25">
      <c r="B769" s="38" t="str">
        <f>IF($A769=0,"",VLOOKUP($A769,'BASE MATERIAL'!$A:$D,2))</f>
        <v/>
      </c>
      <c r="C769" s="2"/>
      <c r="D769" s="77"/>
      <c r="E769" s="78" t="str">
        <f>IF($A769=0,"",VLOOKUP($A769,'BASE MATERIAL'!$A:$D,3))</f>
        <v/>
      </c>
      <c r="F769" s="55"/>
      <c r="G769" s="55" t="str">
        <f>IF($A769=0,"",VLOOKUP($A769,'BASE MATERIAL'!$A:$D,4))</f>
        <v/>
      </c>
      <c r="H769" s="56" t="str">
        <f t="shared" si="69"/>
        <v/>
      </c>
      <c r="I769" s="2"/>
      <c r="J769" s="79">
        <f>SUM(J767:J768)</f>
        <v>0.59000000000000008</v>
      </c>
    </row>
    <row r="770" spans="1:10" x14ac:dyDescent="0.25">
      <c r="B770" s="38" t="str">
        <f>IF($A770=0,"",VLOOKUP($A770,'BASE MATERIAL'!$A:$D,2))</f>
        <v/>
      </c>
      <c r="C770" s="2"/>
      <c r="D770" s="77"/>
      <c r="E770" s="78" t="str">
        <f>IF($A770=0,"",VLOOKUP($A770,'BASE MATERIAL'!$A:$D,3))</f>
        <v/>
      </c>
      <c r="F770" s="55"/>
      <c r="G770" s="55" t="str">
        <f>IF($A770=0,"",VLOOKUP($A770,'BASE MATERIAL'!$A:$D,4))</f>
        <v/>
      </c>
      <c r="H770" s="56" t="str">
        <f t="shared" si="69"/>
        <v/>
      </c>
      <c r="I770" s="2"/>
    </row>
    <row r="771" spans="1:10" x14ac:dyDescent="0.25">
      <c r="B771" s="38" t="str">
        <f>IF($A771=0,"",VLOOKUP($A771,'BASE MATERIAL'!$A:$D,2))</f>
        <v/>
      </c>
      <c r="C771" s="2"/>
      <c r="D771" s="77"/>
      <c r="E771" s="78" t="str">
        <f>IF($A771=0,"",VLOOKUP($A771,'BASE MATERIAL'!$A:$D,3))</f>
        <v/>
      </c>
      <c r="F771" s="55"/>
      <c r="G771" s="55" t="str">
        <f>IF($A771=0,"",VLOOKUP($A771,'BASE MATERIAL'!$A:$D,4))</f>
        <v/>
      </c>
      <c r="H771" s="56" t="str">
        <f t="shared" si="69"/>
        <v/>
      </c>
      <c r="I771" s="2"/>
    </row>
    <row r="772" spans="1:10" x14ac:dyDescent="0.25">
      <c r="B772" s="38" t="str">
        <f>IF($A772=0,"",VLOOKUP($A772,'BASE MATERIAL'!$A:$D,2))</f>
        <v/>
      </c>
      <c r="C772" s="2"/>
      <c r="D772" s="81" t="s">
        <v>1682</v>
      </c>
      <c r="E772" s="55" t="str">
        <f>IF($A772=0,"",VLOOKUP($A772,'BASE MATERIAL'!$A:$D,3))</f>
        <v/>
      </c>
      <c r="F772" s="55" t="s">
        <v>1682</v>
      </c>
      <c r="G772" s="55" t="str">
        <f>IF($A772=0,"",VLOOKUP($A772,'BASE MATERIAL'!$A:$D,4))</f>
        <v/>
      </c>
      <c r="H772" s="56" t="str">
        <f>IF($A772=0,"",ROUND(E772*F772,2))</f>
        <v/>
      </c>
      <c r="I772" s="2"/>
    </row>
    <row r="773" spans="1:10" x14ac:dyDescent="0.25">
      <c r="B773" s="73" t="s">
        <v>1681</v>
      </c>
      <c r="C773" s="65"/>
      <c r="D773" s="74"/>
      <c r="E773" s="74"/>
      <c r="F773" s="74"/>
      <c r="G773" s="74"/>
      <c r="H773" s="75">
        <f>ROUND(SUM(H756:H772),2)</f>
        <v>9.4</v>
      </c>
      <c r="I773" s="2"/>
    </row>
    <row r="774" spans="1:10" x14ac:dyDescent="0.25">
      <c r="B774" s="38" t="s">
        <v>1680</v>
      </c>
      <c r="C774" s="2"/>
      <c r="D774" s="3"/>
      <c r="E774" s="3"/>
      <c r="F774" s="3"/>
      <c r="G774" s="3"/>
      <c r="H774" s="56"/>
      <c r="I774" s="2"/>
    </row>
    <row r="775" spans="1:10" ht="25.5" x14ac:dyDescent="0.25">
      <c r="B775" s="64" t="s">
        <v>1409</v>
      </c>
      <c r="C775" s="65"/>
      <c r="D775" s="76"/>
      <c r="E775" s="66" t="s">
        <v>1408</v>
      </c>
      <c r="F775" s="66" t="s">
        <v>1679</v>
      </c>
      <c r="G775" s="66" t="s">
        <v>1676</v>
      </c>
      <c r="H775" s="68" t="s">
        <v>1675</v>
      </c>
      <c r="I775" s="2"/>
    </row>
    <row r="776" spans="1:10" x14ac:dyDescent="0.25">
      <c r="A776" s="103">
        <v>19019</v>
      </c>
      <c r="B776" s="51" t="str">
        <f>IF($A776=0,"",VLOOKUP($A776,'BASE EQUIPO'!$A:$D,2))</f>
        <v>TRANSPORTE DE MATERIAL</v>
      </c>
      <c r="C776" s="52"/>
      <c r="D776" s="82"/>
      <c r="E776" s="78" t="str">
        <f>IF($A776=0,"",VLOOKUP($A776,'BASE EQUIPO'!$A:$D,3))</f>
        <v>GLOBAL</v>
      </c>
      <c r="F776" s="55">
        <v>1</v>
      </c>
      <c r="G776" s="83">
        <f>IF($A776=0,"",VLOOKUP($A776,'BASE EQUIPO'!$A:$D,4)*H773)</f>
        <v>0.28199999999999997</v>
      </c>
      <c r="H776" s="56">
        <f>IF($A776=0,"",ROUND(F776*G776,2))</f>
        <v>0.28000000000000003</v>
      </c>
      <c r="I776" s="2"/>
    </row>
    <row r="777" spans="1:10" x14ac:dyDescent="0.25">
      <c r="B777" s="38" t="str">
        <f>IF($A777=0,"",VLOOKUP($A777,'BASE EQUIPO'!$A:$D,2))</f>
        <v/>
      </c>
      <c r="C777" s="2"/>
      <c r="D777" s="84"/>
      <c r="E777" s="78" t="str">
        <f>IF($A777=0,"",VLOOKUP($A777,'BASE EQUIPO'!$A:$D,3))</f>
        <v/>
      </c>
      <c r="F777" s="55"/>
      <c r="G777" s="55" t="str">
        <f>IF($A777=0,"",VLOOKUP($A777,'BASE EQUIPO'!$A:$D,4)*H774)</f>
        <v/>
      </c>
      <c r="H777" s="56" t="str">
        <f>IF($A777=0,"",ROUND(F777*G777,2))</f>
        <v/>
      </c>
      <c r="I777" s="2"/>
    </row>
    <row r="778" spans="1:10" x14ac:dyDescent="0.25">
      <c r="B778" s="57" t="str">
        <f>IF($A778=0,"",VLOOKUP($A778,'BASE EQUIPO'!$A:$D,2))</f>
        <v/>
      </c>
      <c r="C778" s="58"/>
      <c r="D778" s="85"/>
      <c r="E778" s="86" t="str">
        <f>IF($A778=0,"",VLOOKUP($A778,'BASE EQUIPO'!$A:$D,3))</f>
        <v/>
      </c>
      <c r="F778" s="59"/>
      <c r="G778" s="59" t="str">
        <f>IF($A778=0,"",VLOOKUP($A778,'BASE EQUIPO'!$A:$D,4)*H775)</f>
        <v/>
      </c>
      <c r="H778" s="60" t="str">
        <f>IF($A778=0,"",ROUND(F778*G778,2))</f>
        <v/>
      </c>
      <c r="I778" s="2"/>
    </row>
    <row r="779" spans="1:10" ht="15.75" thickBot="1" x14ac:dyDescent="0.3">
      <c r="B779" s="87" t="s">
        <v>1674</v>
      </c>
      <c r="C779" s="88"/>
      <c r="D779" s="89"/>
      <c r="E779" s="89"/>
      <c r="F779" s="89"/>
      <c r="G779" s="89"/>
      <c r="H779" s="90">
        <f>ROUND(SUM(H775:H778),2)</f>
        <v>0.28000000000000003</v>
      </c>
      <c r="I779" s="2"/>
    </row>
    <row r="780" spans="1:10" ht="15.75" x14ac:dyDescent="0.25">
      <c r="B780" s="2"/>
      <c r="C780" s="2"/>
      <c r="D780" s="91" t="s">
        <v>1673</v>
      </c>
      <c r="E780" s="47"/>
      <c r="F780" s="47"/>
      <c r="G780" s="47"/>
      <c r="H780" s="92">
        <f>ROUND(SUM(H779,H773,H754,H744),2)</f>
        <v>11.71</v>
      </c>
      <c r="I780" s="2"/>
    </row>
    <row r="781" spans="1:10" ht="15.75" x14ac:dyDescent="0.25">
      <c r="A781" s="103">
        <v>40002</v>
      </c>
      <c r="B781" s="2"/>
      <c r="C781" s="2"/>
      <c r="D781" s="93" t="s">
        <v>1672</v>
      </c>
      <c r="E781" s="65"/>
      <c r="F781" s="65"/>
      <c r="G781" s="94">
        <f>IF($A781=0,"",VLOOKUP($A781,'BASE MATERIAL'!$M:$P,4))</f>
        <v>0</v>
      </c>
      <c r="H781" s="95">
        <f>IF($A781=0,"",ROUND(G781*H780,2))</f>
        <v>0</v>
      </c>
      <c r="I781" s="2"/>
    </row>
    <row r="782" spans="1:10" ht="15.75" x14ac:dyDescent="0.25">
      <c r="A782" s="103">
        <v>40003</v>
      </c>
      <c r="B782" s="2"/>
      <c r="C782" s="2"/>
      <c r="D782" s="93" t="s">
        <v>1671</v>
      </c>
      <c r="E782" s="65"/>
      <c r="F782" s="65"/>
      <c r="G782" s="94">
        <f>IF($A782=0,"",VLOOKUP($A782,'BASE MATERIAL'!$M:$P,4))</f>
        <v>0</v>
      </c>
      <c r="H782" s="95">
        <f>IF($A782=0,"",ROUND(G782*H780,2))</f>
        <v>0</v>
      </c>
      <c r="I782" s="2"/>
    </row>
    <row r="783" spans="1:10" ht="15.75" x14ac:dyDescent="0.25">
      <c r="B783" s="2"/>
      <c r="C783" s="2"/>
      <c r="D783" s="93" t="s">
        <v>1670</v>
      </c>
      <c r="E783" s="65"/>
      <c r="F783" s="65"/>
      <c r="G783" s="65"/>
      <c r="H783" s="96">
        <f>ROUND(SUM(H780:H782),2)</f>
        <v>11.71</v>
      </c>
      <c r="I783" s="2"/>
    </row>
    <row r="784" spans="1:10" ht="16.5" thickBot="1" x14ac:dyDescent="0.3">
      <c r="B784" s="25"/>
      <c r="C784" s="2"/>
      <c r="D784" s="97" t="s">
        <v>1650</v>
      </c>
      <c r="E784" s="88"/>
      <c r="F784" s="88"/>
      <c r="G784" s="88"/>
      <c r="H784" s="98">
        <f>ROUND(H783,2)</f>
        <v>11.71</v>
      </c>
      <c r="I784" s="2"/>
    </row>
  </sheetData>
  <phoneticPr fontId="2" type="noConversion"/>
  <pageMargins left="0.78740157480314965" right="0.78740157480314965" top="0.78740157480314965" bottom="0.78740157480314965" header="0" footer="0"/>
  <pageSetup paperSize="9" scale="85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6AF71-98BF-43D4-B651-32F601A4CDAB}">
  <sheetPr codeName="Hoja18"/>
  <dimension ref="A1:P280"/>
  <sheetViews>
    <sheetView workbookViewId="0">
      <selection activeCell="A229" sqref="A229"/>
    </sheetView>
  </sheetViews>
  <sheetFormatPr baseColWidth="10" defaultColWidth="11.42578125" defaultRowHeight="12.75" x14ac:dyDescent="0.2"/>
  <cols>
    <col min="3" max="3" width="25.7109375" customWidth="1"/>
    <col min="4" max="8" width="13.7109375" customWidth="1"/>
  </cols>
  <sheetData>
    <row r="1" spans="1:15" s="1" customFormat="1" ht="15.75" x14ac:dyDescent="0.25">
      <c r="A1" s="103"/>
      <c r="B1" s="34" t="s">
        <v>1701</v>
      </c>
      <c r="C1" s="2"/>
      <c r="D1" s="3" t="str">
        <f>'1.1'!$D$1</f>
        <v>ESPOL</v>
      </c>
      <c r="E1" s="2"/>
      <c r="F1" s="2"/>
      <c r="H1" s="2" t="s">
        <v>108</v>
      </c>
      <c r="I1" s="2"/>
      <c r="L1" s="40">
        <f>A5</f>
        <v>2</v>
      </c>
      <c r="M1" s="1" t="str">
        <f>C6</f>
        <v xml:space="preserve">Puertas madera (0.90m x 2. 00m). </v>
      </c>
      <c r="N1" s="2" t="str">
        <f>H5</f>
        <v>u</v>
      </c>
      <c r="O1" s="2">
        <f>H56</f>
        <v>281.60000000000002</v>
      </c>
    </row>
    <row r="2" spans="1:15" s="1" customFormat="1" ht="15.75" x14ac:dyDescent="0.25">
      <c r="A2" s="103"/>
      <c r="B2" s="34" t="s">
        <v>1700</v>
      </c>
      <c r="C2" s="3">
        <f>'1.1'!$C$2</f>
        <v>0</v>
      </c>
      <c r="D2" s="2"/>
      <c r="E2" s="2"/>
      <c r="F2" s="2"/>
      <c r="G2" s="41" t="s">
        <v>1699</v>
      </c>
      <c r="H2" s="42"/>
      <c r="I2" s="2" t="s">
        <v>1698</v>
      </c>
    </row>
    <row r="3" spans="1:15" s="1" customFormat="1" ht="15.75" x14ac:dyDescent="0.25">
      <c r="A3" s="103"/>
      <c r="B3" s="34"/>
      <c r="C3" s="3">
        <f>'1.1'!$C$3</f>
        <v>0</v>
      </c>
      <c r="D3" s="2"/>
      <c r="E3" s="2"/>
      <c r="F3" s="2"/>
      <c r="G3" s="2"/>
      <c r="H3" s="2"/>
      <c r="I3" s="2"/>
    </row>
    <row r="4" spans="1:15" s="1" customFormat="1" ht="15.75" x14ac:dyDescent="0.25">
      <c r="A4" s="103"/>
      <c r="B4" s="34" t="s">
        <v>1697</v>
      </c>
      <c r="C4" s="3"/>
      <c r="D4" s="2"/>
      <c r="E4" s="2"/>
      <c r="F4" s="2"/>
      <c r="G4" s="2"/>
      <c r="H4" s="2"/>
      <c r="I4" s="2"/>
    </row>
    <row r="5" spans="1:15" s="1" customFormat="1" ht="15" x14ac:dyDescent="0.25">
      <c r="A5" s="104">
        <v>2</v>
      </c>
      <c r="B5" s="2" t="s">
        <v>1586</v>
      </c>
      <c r="C5" s="36" t="s">
        <v>654</v>
      </c>
      <c r="D5" s="2"/>
      <c r="G5" s="2" t="s">
        <v>1696</v>
      </c>
      <c r="H5" s="3" t="s">
        <v>1506</v>
      </c>
      <c r="I5" s="2"/>
    </row>
    <row r="6" spans="1:15" s="1" customFormat="1" ht="15" x14ac:dyDescent="0.25">
      <c r="A6" s="103"/>
      <c r="B6" s="1" t="s">
        <v>1585</v>
      </c>
      <c r="C6" s="36" t="s">
        <v>67</v>
      </c>
      <c r="D6" s="2"/>
      <c r="E6" s="2"/>
      <c r="F6" s="2"/>
      <c r="G6" s="2"/>
      <c r="H6" s="2"/>
      <c r="I6" s="2"/>
    </row>
    <row r="7" spans="1:15" s="1" customFormat="1" ht="15.75" thickBot="1" x14ac:dyDescent="0.3">
      <c r="A7" s="103"/>
      <c r="D7" s="2"/>
      <c r="E7" s="2"/>
      <c r="F7" s="2"/>
      <c r="G7" s="2"/>
      <c r="H7" s="2"/>
      <c r="I7" s="2"/>
    </row>
    <row r="8" spans="1:15" s="1" customFormat="1" ht="15.75" thickBot="1" x14ac:dyDescent="0.3">
      <c r="A8" s="103"/>
      <c r="B8" s="43" t="s">
        <v>1695</v>
      </c>
      <c r="C8" s="44"/>
      <c r="D8" s="44"/>
      <c r="E8" s="44"/>
      <c r="F8" s="44"/>
      <c r="G8" s="44"/>
      <c r="H8" s="45"/>
      <c r="I8" s="2"/>
    </row>
    <row r="9" spans="1:15" s="1" customFormat="1" ht="25.5" x14ac:dyDescent="0.25">
      <c r="A9" s="103"/>
      <c r="B9" s="46" t="s">
        <v>1409</v>
      </c>
      <c r="C9" s="47"/>
      <c r="D9" s="48" t="s">
        <v>1690</v>
      </c>
      <c r="E9" s="48" t="s">
        <v>1694</v>
      </c>
      <c r="F9" s="48" t="s">
        <v>1693</v>
      </c>
      <c r="G9" s="49" t="s">
        <v>1687</v>
      </c>
      <c r="H9" s="50" t="s">
        <v>1686</v>
      </c>
      <c r="I9" s="2"/>
    </row>
    <row r="10" spans="1:15" s="1" customFormat="1" ht="15" x14ac:dyDescent="0.25">
      <c r="A10" s="103">
        <v>19015</v>
      </c>
      <c r="B10" s="51" t="str">
        <f>IF($A10=0,"",VLOOKUP($A10,'BASE EQUIPO'!$A:$D,2))</f>
        <v>HERRAMIENTA MENOR</v>
      </c>
      <c r="C10" s="52"/>
      <c r="D10" s="53">
        <v>1</v>
      </c>
      <c r="E10" s="53">
        <f>IF($A10=0,"",VLOOKUP($A10,'BASE EQUIPO'!$A:$D,4)*H26)</f>
        <v>1.5173999999999999</v>
      </c>
      <c r="F10" s="53">
        <f t="shared" ref="F10:F15" si="0">IF($A10=0,"",ROUND(D10*E10,2))</f>
        <v>1.52</v>
      </c>
      <c r="G10" s="105">
        <v>1</v>
      </c>
      <c r="H10" s="54">
        <f t="shared" ref="H10:H15" si="1">IF($A10=0,"",ROUND(G10*F10,2))</f>
        <v>1.52</v>
      </c>
      <c r="I10" s="2"/>
    </row>
    <row r="11" spans="1:15" s="1" customFormat="1" ht="15" x14ac:dyDescent="0.25">
      <c r="A11" s="103"/>
      <c r="B11" s="38" t="str">
        <f>IF($A11=0,"",VLOOKUP($A11,'BASE EQUIPO'!$A:$D,2))</f>
        <v/>
      </c>
      <c r="C11" s="2"/>
      <c r="D11" s="55"/>
      <c r="E11" s="55" t="str">
        <f>IF($A11=0,"",VLOOKUP($A11,'BASE EQUIPO'!$A:$D,4))</f>
        <v/>
      </c>
      <c r="F11" s="55" t="str">
        <f t="shared" si="0"/>
        <v/>
      </c>
      <c r="G11" s="106"/>
      <c r="H11" s="56" t="str">
        <f t="shared" si="1"/>
        <v/>
      </c>
      <c r="I11" s="2"/>
    </row>
    <row r="12" spans="1:15" s="1" customFormat="1" ht="15" x14ac:dyDescent="0.25">
      <c r="A12" s="103"/>
      <c r="B12" s="38" t="str">
        <f>IF($A12=0,"",VLOOKUP($A12,'BASE EQUIPO'!$A:$D,2))</f>
        <v/>
      </c>
      <c r="C12" s="2"/>
      <c r="D12" s="55"/>
      <c r="E12" s="55" t="str">
        <f>IF($A12=0,"",VLOOKUP($A12,'BASE EQUIPO'!$A:$D,4))</f>
        <v/>
      </c>
      <c r="F12" s="55" t="str">
        <f t="shared" si="0"/>
        <v/>
      </c>
      <c r="G12" s="106"/>
      <c r="H12" s="56" t="str">
        <f t="shared" si="1"/>
        <v/>
      </c>
      <c r="I12" s="2"/>
    </row>
    <row r="13" spans="1:15" s="1" customFormat="1" ht="15" x14ac:dyDescent="0.25">
      <c r="A13" s="103"/>
      <c r="B13" s="38" t="str">
        <f>IF($A13=0,"",VLOOKUP($A13,'BASE EQUIPO'!$A:$D,2))</f>
        <v/>
      </c>
      <c r="C13" s="2"/>
      <c r="D13" s="55"/>
      <c r="E13" s="55" t="str">
        <f>IF($A13=0,"",VLOOKUP($A13,'BASE EQUIPO'!$A:$D,4))</f>
        <v/>
      </c>
      <c r="F13" s="55" t="str">
        <f t="shared" si="0"/>
        <v/>
      </c>
      <c r="G13" s="106"/>
      <c r="H13" s="56" t="str">
        <f t="shared" si="1"/>
        <v/>
      </c>
      <c r="I13" s="2"/>
    </row>
    <row r="14" spans="1:15" s="1" customFormat="1" ht="15" x14ac:dyDescent="0.25">
      <c r="A14" s="103"/>
      <c r="B14" s="38" t="str">
        <f>IF($A14=0,"",VLOOKUP($A14,'BASE EQUIPO'!$A:$D,2))</f>
        <v/>
      </c>
      <c r="C14" s="2"/>
      <c r="D14" s="55"/>
      <c r="E14" s="55" t="str">
        <f>IF($A14=0,"",VLOOKUP($A14,'BASE EQUIPO'!$A:$D,4))</f>
        <v/>
      </c>
      <c r="F14" s="55" t="str">
        <f t="shared" si="0"/>
        <v/>
      </c>
      <c r="G14" s="106"/>
      <c r="H14" s="56" t="str">
        <f t="shared" si="1"/>
        <v/>
      </c>
      <c r="I14" s="2"/>
    </row>
    <row r="15" spans="1:15" s="1" customFormat="1" ht="15" x14ac:dyDescent="0.25">
      <c r="A15" s="103"/>
      <c r="B15" s="57" t="str">
        <f>IF($A15=0,"",VLOOKUP($A15,'BASE EQUIPO'!$A:$D,2))</f>
        <v/>
      </c>
      <c r="C15" s="58"/>
      <c r="D15" s="59"/>
      <c r="E15" s="59" t="str">
        <f>IF($A15=0,"",VLOOKUP($A15,'BASE EQUIPO'!$A:$D,4))</f>
        <v/>
      </c>
      <c r="F15" s="59" t="str">
        <f t="shared" si="0"/>
        <v/>
      </c>
      <c r="G15" s="107"/>
      <c r="H15" s="60" t="str">
        <f t="shared" si="1"/>
        <v/>
      </c>
      <c r="I15" s="2"/>
    </row>
    <row r="16" spans="1:15" s="1" customFormat="1" ht="15" x14ac:dyDescent="0.25">
      <c r="A16" s="103"/>
      <c r="B16" s="57" t="s">
        <v>1692</v>
      </c>
      <c r="C16" s="58"/>
      <c r="D16" s="61"/>
      <c r="E16" s="61"/>
      <c r="F16" s="61"/>
      <c r="G16" s="62"/>
      <c r="H16" s="60">
        <f>ROUND(SUM(H9:H15),2)</f>
        <v>1.52</v>
      </c>
      <c r="I16" s="2"/>
    </row>
    <row r="17" spans="1:11" s="1" customFormat="1" ht="15" x14ac:dyDescent="0.25">
      <c r="A17" s="103"/>
      <c r="B17" s="38" t="s">
        <v>1503</v>
      </c>
      <c r="C17" s="2"/>
      <c r="D17" s="3"/>
      <c r="E17" s="3"/>
      <c r="F17" s="3"/>
      <c r="G17" s="63"/>
      <c r="H17" s="56"/>
      <c r="I17" s="2"/>
    </row>
    <row r="18" spans="1:11" s="1" customFormat="1" ht="25.5" x14ac:dyDescent="0.25">
      <c r="A18" s="103"/>
      <c r="B18" s="64" t="s">
        <v>1691</v>
      </c>
      <c r="C18" s="65"/>
      <c r="D18" s="66" t="s">
        <v>1690</v>
      </c>
      <c r="E18" s="66" t="s">
        <v>1689</v>
      </c>
      <c r="F18" s="66" t="s">
        <v>1688</v>
      </c>
      <c r="G18" s="67" t="s">
        <v>1687</v>
      </c>
      <c r="H18" s="68" t="s">
        <v>1686</v>
      </c>
      <c r="I18" s="2"/>
    </row>
    <row r="19" spans="1:11" s="1" customFormat="1" ht="15" x14ac:dyDescent="0.25">
      <c r="A19" s="103"/>
      <c r="B19" s="69" t="str">
        <f>IF($A19=0,"",VLOOKUP($A19,'BASE M-OBRA'!$A:$D,2))</f>
        <v/>
      </c>
      <c r="C19" s="2"/>
      <c r="D19" s="108"/>
      <c r="E19" s="70" t="str">
        <f>IF($A19=0,"",VLOOKUP($A19,'BASE M-OBRA'!$A:$D,4))</f>
        <v/>
      </c>
      <c r="F19" s="55" t="str">
        <f t="shared" ref="F19:F25" si="2">IF($A19=0,"",ROUND(D19*E19,2))</f>
        <v/>
      </c>
      <c r="G19" s="106" t="str">
        <f>IF($A19=0,"",ROUND(H19/F19,2))</f>
        <v/>
      </c>
      <c r="H19" s="56" t="str">
        <f>IF($A19=0,"",ROUND(SUM(H20:H25)*'BASE M-OBRA'!$D$23,2))</f>
        <v/>
      </c>
      <c r="I19" s="2"/>
    </row>
    <row r="20" spans="1:11" s="1" customFormat="1" ht="15" x14ac:dyDescent="0.25">
      <c r="A20" s="103">
        <v>20019</v>
      </c>
      <c r="B20" s="69" t="str">
        <f>IF($A20=0,"",VLOOKUP($A20,'BASE M-OBRA'!$A:$D,2))</f>
        <v>INSTALADOR</v>
      </c>
      <c r="C20" s="2"/>
      <c r="D20" s="108">
        <v>1</v>
      </c>
      <c r="E20" s="70">
        <f>IF($A20=0,"",VLOOKUP($A20,'BASE M-OBRA'!$A:$D,4))</f>
        <v>2.82</v>
      </c>
      <c r="F20" s="55">
        <f t="shared" si="2"/>
        <v>2.82</v>
      </c>
      <c r="G20" s="106">
        <v>6</v>
      </c>
      <c r="H20" s="56">
        <f t="shared" ref="H20:H25" si="3">IF($A20=0,"",ROUND(G20*F20,2))</f>
        <v>16.920000000000002</v>
      </c>
      <c r="I20" s="2"/>
      <c r="K20" s="1">
        <f>320/8</f>
        <v>40</v>
      </c>
    </row>
    <row r="21" spans="1:11" s="1" customFormat="1" ht="15" x14ac:dyDescent="0.25">
      <c r="A21" s="103">
        <v>20011</v>
      </c>
      <c r="B21" s="69" t="str">
        <f>IF($A21=0,"",VLOOKUP($A21,'BASE M-OBRA'!$A:$D,2))</f>
        <v>AYUDANTE ESPECIALISTA</v>
      </c>
      <c r="C21" s="2"/>
      <c r="D21" s="108">
        <v>1</v>
      </c>
      <c r="E21" s="70">
        <f>IF($A21=0,"",VLOOKUP($A21,'BASE M-OBRA'!$A:$D,4))</f>
        <v>2.79</v>
      </c>
      <c r="F21" s="55">
        <f t="shared" si="2"/>
        <v>2.79</v>
      </c>
      <c r="G21" s="106">
        <f>+G20</f>
        <v>6</v>
      </c>
      <c r="H21" s="56">
        <f t="shared" si="3"/>
        <v>16.739999999999998</v>
      </c>
      <c r="I21" s="2"/>
    </row>
    <row r="22" spans="1:11" s="1" customFormat="1" ht="15" x14ac:dyDescent="0.25">
      <c r="A22" s="103">
        <v>20020</v>
      </c>
      <c r="B22" s="71" t="str">
        <f>IF($A22=0,"",VLOOKUP($A22,'BASE M-OBRA'!$A:$D,2))</f>
        <v>EBANISTA</v>
      </c>
      <c r="C22" s="2"/>
      <c r="D22" s="108">
        <v>1</v>
      </c>
      <c r="E22" s="70">
        <f>IF($A22=0,"",VLOOKUP($A22,'BASE M-OBRA'!$A:$D,4))</f>
        <v>2.82</v>
      </c>
      <c r="F22" s="55">
        <f t="shared" si="2"/>
        <v>2.82</v>
      </c>
      <c r="G22" s="106">
        <f>+G21</f>
        <v>6</v>
      </c>
      <c r="H22" s="56">
        <f t="shared" si="3"/>
        <v>16.920000000000002</v>
      </c>
      <c r="I22" s="2"/>
      <c r="J22" s="1">
        <f>0.25*30000</f>
        <v>7500</v>
      </c>
    </row>
    <row r="23" spans="1:11" s="1" customFormat="1" ht="15" x14ac:dyDescent="0.25">
      <c r="A23" s="103"/>
      <c r="B23" s="72" t="str">
        <f>IF($A23=0,"",VLOOKUP($A23,'BASE M-OBRA'!$A:$D,2))</f>
        <v/>
      </c>
      <c r="C23" s="2"/>
      <c r="D23" s="108"/>
      <c r="E23" s="70" t="str">
        <f>IF($A23=0,"",VLOOKUP($A23,'BASE M-OBRA'!$A:$D,4))</f>
        <v/>
      </c>
      <c r="F23" s="55" t="str">
        <f t="shared" si="2"/>
        <v/>
      </c>
      <c r="G23" s="106"/>
      <c r="H23" s="56" t="str">
        <f t="shared" si="3"/>
        <v/>
      </c>
      <c r="I23" s="2"/>
    </row>
    <row r="24" spans="1:11" s="1" customFormat="1" ht="15" x14ac:dyDescent="0.25">
      <c r="A24" s="103"/>
      <c r="B24" s="38" t="str">
        <f>IF($A24=0,"",VLOOKUP($A24,'BASE M-OBRA'!$A:$D,2))</f>
        <v/>
      </c>
      <c r="C24" s="2"/>
      <c r="D24" s="55"/>
      <c r="E24" s="55" t="str">
        <f>IF($A24=0,"",VLOOKUP($A24,'BASE M-OBRA'!$A:$D,4))</f>
        <v/>
      </c>
      <c r="F24" s="55" t="str">
        <f t="shared" si="2"/>
        <v/>
      </c>
      <c r="G24" s="106"/>
      <c r="H24" s="56" t="str">
        <f t="shared" si="3"/>
        <v/>
      </c>
      <c r="I24" s="2"/>
    </row>
    <row r="25" spans="1:11" s="1" customFormat="1" ht="15" x14ac:dyDescent="0.25">
      <c r="A25" s="103"/>
      <c r="B25" s="57" t="str">
        <f>IF($A25=0,"",VLOOKUP($A25,'BASE M-OBRA'!$A:$D,2))</f>
        <v/>
      </c>
      <c r="C25" s="58"/>
      <c r="D25" s="59"/>
      <c r="E25" s="59" t="str">
        <f>IF($A25=0,"",VLOOKUP($A25,'BASE M-OBRA'!$A:$D,4))</f>
        <v/>
      </c>
      <c r="F25" s="59" t="str">
        <f t="shared" si="2"/>
        <v/>
      </c>
      <c r="G25" s="107"/>
      <c r="H25" s="60" t="str">
        <f t="shared" si="3"/>
        <v/>
      </c>
      <c r="I25" s="2"/>
    </row>
    <row r="26" spans="1:11" s="1" customFormat="1" ht="15" x14ac:dyDescent="0.25">
      <c r="A26" s="103"/>
      <c r="B26" s="73" t="s">
        <v>1685</v>
      </c>
      <c r="C26" s="65"/>
      <c r="D26" s="74"/>
      <c r="E26" s="74"/>
      <c r="F26" s="74"/>
      <c r="G26" s="74"/>
      <c r="H26" s="75">
        <f>ROUND(SUM(H18:H25),2)</f>
        <v>50.58</v>
      </c>
      <c r="I26" s="2"/>
      <c r="J26" s="1">
        <f>13200*0.3</f>
        <v>3960</v>
      </c>
    </row>
    <row r="27" spans="1:11" s="1" customFormat="1" ht="15" x14ac:dyDescent="0.25">
      <c r="A27" s="103"/>
      <c r="B27" s="38" t="s">
        <v>1684</v>
      </c>
      <c r="C27" s="2"/>
      <c r="D27" s="3"/>
      <c r="E27" s="3"/>
      <c r="F27" s="3"/>
      <c r="G27" s="3"/>
      <c r="H27" s="56"/>
      <c r="I27" s="2"/>
    </row>
    <row r="28" spans="1:11" s="1" customFormat="1" ht="25.5" x14ac:dyDescent="0.25">
      <c r="A28" s="103"/>
      <c r="B28" s="64" t="s">
        <v>1409</v>
      </c>
      <c r="C28" s="65"/>
      <c r="D28" s="76"/>
      <c r="E28" s="66" t="s">
        <v>1408</v>
      </c>
      <c r="F28" s="66" t="s">
        <v>1679</v>
      </c>
      <c r="G28" s="66" t="s">
        <v>1683</v>
      </c>
      <c r="H28" s="68" t="s">
        <v>1675</v>
      </c>
      <c r="I28" s="2"/>
    </row>
    <row r="29" spans="1:11" s="1" customFormat="1" ht="15" x14ac:dyDescent="0.25">
      <c r="A29" s="103">
        <v>10002</v>
      </c>
      <c r="B29" s="38" t="str">
        <f>IF($A29=0,"",VLOOKUP($A29,'BASE MATERIAL'!$A:$D,2))</f>
        <v>PUERTA MADERA DURA 90x200</v>
      </c>
      <c r="C29" s="2"/>
      <c r="D29" s="77"/>
      <c r="E29" s="78" t="str">
        <f>IF($A29=0,"",VLOOKUP($A29,'BASE MATERIAL'!$A:$D,3))</f>
        <v>U</v>
      </c>
      <c r="F29" s="55">
        <v>1</v>
      </c>
      <c r="G29" s="55">
        <f>IF($A29=0,"",VLOOKUP($A29,'BASE MATERIAL'!$A:$D,4))</f>
        <v>110</v>
      </c>
      <c r="H29" s="56">
        <f t="shared" ref="H29:H44" si="4">IF($A29=0,"",ROUND(F29*G29,2))</f>
        <v>110</v>
      </c>
      <c r="I29" s="2"/>
    </row>
    <row r="30" spans="1:11" s="1" customFormat="1" ht="15" x14ac:dyDescent="0.25">
      <c r="A30" s="103">
        <v>10006</v>
      </c>
      <c r="B30" s="38" t="str">
        <f>IF($A30=0,"",VLOOKUP($A30,'BASE MATERIAL'!$A:$D,2))</f>
        <v>BATIENTE MADERA DURA</v>
      </c>
      <c r="C30" s="2"/>
      <c r="D30" s="77"/>
      <c r="E30" s="78" t="str">
        <f>IF($A30=0,"",VLOOKUP($A30,'BASE MATERIAL'!$A:$D,3))</f>
        <v>JUEGO</v>
      </c>
      <c r="F30" s="55">
        <v>1</v>
      </c>
      <c r="G30" s="55">
        <f>IF($A30=0,"",VLOOKUP($A30,'BASE MATERIAL'!$A:$D,4))</f>
        <v>36</v>
      </c>
      <c r="H30" s="56">
        <f t="shared" si="4"/>
        <v>36</v>
      </c>
      <c r="I30" s="2"/>
    </row>
    <row r="31" spans="1:11" s="1" customFormat="1" ht="15" x14ac:dyDescent="0.25">
      <c r="A31" s="103">
        <v>10008</v>
      </c>
      <c r="B31" s="38" t="str">
        <f>IF($A31=0,"",VLOOKUP($A31,'BASE MATERIAL'!$A:$D,2))</f>
        <v>JAMBA MADERA DURA</v>
      </c>
      <c r="C31" s="2"/>
      <c r="D31" s="77"/>
      <c r="E31" s="78" t="str">
        <f>IF($A31=0,"",VLOOKUP($A31,'BASE MATERIAL'!$A:$D,3))</f>
        <v>JUEGO</v>
      </c>
      <c r="F31" s="55">
        <v>2</v>
      </c>
      <c r="G31" s="55">
        <f>IF($A31=0,"",VLOOKUP($A31,'BASE MATERIAL'!$A:$D,4))</f>
        <v>12</v>
      </c>
      <c r="H31" s="56">
        <f t="shared" si="4"/>
        <v>24</v>
      </c>
      <c r="I31" s="2"/>
    </row>
    <row r="32" spans="1:11" s="1" customFormat="1" ht="15" x14ac:dyDescent="0.25">
      <c r="A32" s="103"/>
      <c r="B32" s="38" t="str">
        <f>IF($A32=0,"",VLOOKUP($A32,'BASE MATERIAL'!$A:$D,2))</f>
        <v/>
      </c>
      <c r="C32" s="2"/>
      <c r="D32" s="77"/>
      <c r="E32" s="78" t="str">
        <f>IF($A32=0,"",VLOOKUP($A32,'BASE MATERIAL'!$A:$D,3))</f>
        <v/>
      </c>
      <c r="F32" s="55"/>
      <c r="G32" s="55" t="str">
        <f>IF($A32=0,"",VLOOKUP($A32,'BASE MATERIAL'!$A:$D,4))</f>
        <v/>
      </c>
      <c r="H32" s="56" t="str">
        <f t="shared" si="4"/>
        <v/>
      </c>
      <c r="I32" s="2"/>
    </row>
    <row r="33" spans="1:9" s="1" customFormat="1" ht="15" x14ac:dyDescent="0.25">
      <c r="A33" s="103">
        <v>10012</v>
      </c>
      <c r="B33" s="38" t="str">
        <f>IF($A33=0,"",VLOOKUP($A33,'BASE MATERIAL'!$A:$D,2))</f>
        <v>CERRADURA  POMO</v>
      </c>
      <c r="C33" s="2"/>
      <c r="D33" s="77"/>
      <c r="E33" s="78" t="str">
        <f>IF($A33=0,"",VLOOKUP($A33,'BASE MATERIAL'!$A:$D,3))</f>
        <v>U</v>
      </c>
      <c r="F33" s="55">
        <v>1</v>
      </c>
      <c r="G33" s="55">
        <f>IF($A33=0,"",VLOOKUP($A33,'BASE MATERIAL'!$A:$D,4))</f>
        <v>16</v>
      </c>
      <c r="H33" s="56">
        <f t="shared" si="4"/>
        <v>16</v>
      </c>
      <c r="I33" s="2"/>
    </row>
    <row r="34" spans="1:9" s="1" customFormat="1" ht="15" x14ac:dyDescent="0.25">
      <c r="A34" s="103">
        <v>10016</v>
      </c>
      <c r="B34" s="38" t="str">
        <f>IF($A34=0,"",VLOOKUP($A34,'BASE MATERIAL'!$A:$D,2))</f>
        <v>BISAGRA CROMADA</v>
      </c>
      <c r="C34" s="2"/>
      <c r="D34" s="77"/>
      <c r="E34" s="78" t="str">
        <f>IF($A34=0,"",VLOOKUP($A34,'BASE MATERIAL'!$A:$D,3))</f>
        <v>U</v>
      </c>
      <c r="F34" s="55">
        <v>4</v>
      </c>
      <c r="G34" s="55">
        <f>IF($A34=0,"",VLOOKUP($A34,'BASE MATERIAL'!$A:$D,4))</f>
        <v>1.2</v>
      </c>
      <c r="H34" s="56">
        <f t="shared" si="4"/>
        <v>4.8</v>
      </c>
      <c r="I34" s="2"/>
    </row>
    <row r="35" spans="1:9" s="1" customFormat="1" ht="15" x14ac:dyDescent="0.25">
      <c r="A35" s="103">
        <v>13008</v>
      </c>
      <c r="B35" s="38" t="str">
        <f>IF($A35=0,"",VLOOKUP($A35,'BASE MATERIAL'!$A:$D,2))</f>
        <v>LACA</v>
      </c>
      <c r="C35" s="2"/>
      <c r="D35" s="77"/>
      <c r="E35" s="78" t="str">
        <f>IF($A35=0,"",VLOOKUP($A35,'BASE MATERIAL'!$A:$D,3))</f>
        <v>GL</v>
      </c>
      <c r="F35" s="55">
        <f>((1/12)*3)*0.9*2*2</f>
        <v>0.9</v>
      </c>
      <c r="G35" s="55">
        <f>IF($A35=0,"",VLOOKUP($A35,'BASE MATERIAL'!$A:$D,4))</f>
        <v>24.04</v>
      </c>
      <c r="H35" s="56">
        <f t="shared" si="4"/>
        <v>21.64</v>
      </c>
      <c r="I35" s="2"/>
    </row>
    <row r="36" spans="1:9" s="1" customFormat="1" ht="15" x14ac:dyDescent="0.25">
      <c r="A36" s="103">
        <v>13009</v>
      </c>
      <c r="B36" s="38" t="str">
        <f>IF($A36=0,"",VLOOKUP($A36,'BASE MATERIAL'!$A:$D,2))</f>
        <v>SELLADOR DE MADERA</v>
      </c>
      <c r="C36" s="2"/>
      <c r="D36" s="77"/>
      <c r="E36" s="78" t="str">
        <f>IF($A36=0,"",VLOOKUP($A36,'BASE MATERIAL'!$A:$D,3))</f>
        <v>GL</v>
      </c>
      <c r="F36" s="55">
        <f>((1/20)*2)*0.9*2*2</f>
        <v>0.36000000000000004</v>
      </c>
      <c r="G36" s="55">
        <f>IF($A36=0,"",VLOOKUP($A36,'BASE MATERIAL'!$A:$D,4))</f>
        <v>18.329999999999998</v>
      </c>
      <c r="H36" s="56">
        <f t="shared" si="4"/>
        <v>6.6</v>
      </c>
      <c r="I36" s="2"/>
    </row>
    <row r="37" spans="1:9" s="1" customFormat="1" ht="15" x14ac:dyDescent="0.25">
      <c r="A37" s="103">
        <v>13010</v>
      </c>
      <c r="B37" s="38" t="str">
        <f>IF($A37=0,"",VLOOKUP($A37,'BASE MATERIAL'!$A:$D,2))</f>
        <v>DILUYENTE</v>
      </c>
      <c r="C37" s="2"/>
      <c r="D37" s="77"/>
      <c r="E37" s="78" t="str">
        <f>IF($A37=0,"",VLOOKUP($A37,'BASE MATERIAL'!$A:$D,3))</f>
        <v>GL</v>
      </c>
      <c r="F37" s="55">
        <f>(F35+F36)*0.5</f>
        <v>0.63</v>
      </c>
      <c r="G37" s="55">
        <f>IF($A37=0,"",VLOOKUP($A37,'BASE MATERIAL'!$A:$D,4))</f>
        <v>6</v>
      </c>
      <c r="H37" s="56">
        <f t="shared" si="4"/>
        <v>3.78</v>
      </c>
      <c r="I37" s="2"/>
    </row>
    <row r="38" spans="1:9" s="1" customFormat="1" ht="15" x14ac:dyDescent="0.25">
      <c r="A38" s="103"/>
      <c r="B38" s="38" t="str">
        <f>IF($A38=0,"",VLOOKUP($A38,'BASE MATERIAL'!$A:$D,2))</f>
        <v/>
      </c>
      <c r="C38" s="2"/>
      <c r="D38" s="77"/>
      <c r="E38" s="78" t="str">
        <f>IF($A38=0,"",VLOOKUP($A38,'BASE MATERIAL'!$A:$D,3))</f>
        <v/>
      </c>
      <c r="F38" s="55"/>
      <c r="G38" s="55" t="str">
        <f>IF($A38=0,"",VLOOKUP($A38,'BASE MATERIAL'!$A:$D,4))</f>
        <v/>
      </c>
      <c r="H38" s="56" t="str">
        <f t="shared" si="4"/>
        <v/>
      </c>
      <c r="I38" s="2"/>
    </row>
    <row r="39" spans="1:9" s="1" customFormat="1" ht="15" x14ac:dyDescent="0.25">
      <c r="A39" s="103"/>
      <c r="B39" s="38" t="str">
        <f>IF($A39=0,"",VLOOKUP($A39,'BASE MATERIAL'!$A:$D,2))</f>
        <v/>
      </c>
      <c r="C39" s="2"/>
      <c r="D39" s="77"/>
      <c r="E39" s="78" t="str">
        <f>IF($A39=0,"",VLOOKUP($A39,'BASE MATERIAL'!$A:$D,3))</f>
        <v/>
      </c>
      <c r="F39" s="55"/>
      <c r="G39" s="55" t="str">
        <f>IF($A39=0,"",VLOOKUP($A39,'BASE MATERIAL'!$A:$D,4))</f>
        <v/>
      </c>
      <c r="H39" s="56" t="str">
        <f t="shared" si="4"/>
        <v/>
      </c>
      <c r="I39" s="2"/>
    </row>
    <row r="40" spans="1:9" s="1" customFormat="1" ht="15" x14ac:dyDescent="0.25">
      <c r="A40" s="103"/>
      <c r="B40" s="38" t="str">
        <f>IF($A40=0,"",VLOOKUP($A40,'BASE MATERIAL'!$A:$D,2))</f>
        <v/>
      </c>
      <c r="C40" s="2"/>
      <c r="D40" s="77"/>
      <c r="E40" s="78" t="str">
        <f>IF($A40=0,"",VLOOKUP($A40,'BASE MATERIAL'!$A:$D,3))</f>
        <v/>
      </c>
      <c r="F40" s="55"/>
      <c r="G40" s="55" t="str">
        <f>IF($A40=0,"",VLOOKUP($A40,'BASE MATERIAL'!$A:$D,4))</f>
        <v/>
      </c>
      <c r="H40" s="56" t="str">
        <f t="shared" si="4"/>
        <v/>
      </c>
      <c r="I40" s="2"/>
    </row>
    <row r="41" spans="1:9" s="1" customFormat="1" ht="15" x14ac:dyDescent="0.25">
      <c r="A41" s="103"/>
      <c r="B41" s="38" t="str">
        <f>IF($A41=0,"",VLOOKUP($A41,'BASE MATERIAL'!$A:$D,2))</f>
        <v/>
      </c>
      <c r="C41" s="2"/>
      <c r="D41" s="77"/>
      <c r="E41" s="78" t="str">
        <f>IF($A41=0,"",VLOOKUP($A41,'BASE MATERIAL'!$A:$D,3))</f>
        <v/>
      </c>
      <c r="F41" s="55"/>
      <c r="G41" s="55" t="str">
        <f>IF($A41=0,"",VLOOKUP($A41,'BASE MATERIAL'!$A:$D,4))</f>
        <v/>
      </c>
      <c r="H41" s="56" t="str">
        <f t="shared" si="4"/>
        <v/>
      </c>
      <c r="I41" s="2"/>
    </row>
    <row r="42" spans="1:9" s="1" customFormat="1" ht="15" x14ac:dyDescent="0.25">
      <c r="A42" s="103"/>
      <c r="B42" s="38" t="str">
        <f>IF($A42=0,"",VLOOKUP($A42,'BASE MATERIAL'!$A:$D,2))</f>
        <v/>
      </c>
      <c r="C42" s="2"/>
      <c r="D42" s="77"/>
      <c r="E42" s="78" t="str">
        <f>IF($A42=0,"",VLOOKUP($A42,'BASE MATERIAL'!$A:$D,3))</f>
        <v/>
      </c>
      <c r="F42" s="55"/>
      <c r="G42" s="55" t="str">
        <f>IF($A42=0,"",VLOOKUP($A42,'BASE MATERIAL'!$A:$D,4))</f>
        <v/>
      </c>
      <c r="H42" s="56" t="str">
        <f t="shared" si="4"/>
        <v/>
      </c>
      <c r="I42" s="2"/>
    </row>
    <row r="43" spans="1:9" s="1" customFormat="1" ht="15" x14ac:dyDescent="0.25">
      <c r="A43" s="103"/>
      <c r="B43" s="38" t="str">
        <f>IF($A43=0,"",VLOOKUP($A43,'BASE MATERIAL'!$A:$D,2))</f>
        <v/>
      </c>
      <c r="C43" s="2"/>
      <c r="D43" s="77"/>
      <c r="E43" s="78" t="str">
        <f>IF($A43=0,"",VLOOKUP($A43,'BASE MATERIAL'!$A:$D,3))</f>
        <v/>
      </c>
      <c r="F43" s="55"/>
      <c r="G43" s="55" t="str">
        <f>IF($A43=0,"",VLOOKUP($A43,'BASE MATERIAL'!$A:$D,4))</f>
        <v/>
      </c>
      <c r="H43" s="56" t="str">
        <f t="shared" si="4"/>
        <v/>
      </c>
      <c r="I43" s="2"/>
    </row>
    <row r="44" spans="1:9" s="1" customFormat="1" ht="15" x14ac:dyDescent="0.25">
      <c r="A44" s="103"/>
      <c r="B44" s="38" t="str">
        <f>IF($A44=0,"",VLOOKUP($A44,'BASE MATERIAL'!$A:$D,2))</f>
        <v/>
      </c>
      <c r="C44" s="2"/>
      <c r="D44" s="77"/>
      <c r="E44" s="78" t="str">
        <f>IF($A44=0,"",VLOOKUP($A44,'BASE MATERIAL'!$A:$D,3))</f>
        <v/>
      </c>
      <c r="F44" s="55"/>
      <c r="G44" s="55" t="str">
        <f>IF($A44=0,"",VLOOKUP($A44,'BASE MATERIAL'!$A:$D,4))</f>
        <v/>
      </c>
      <c r="H44" s="56" t="str">
        <f t="shared" si="4"/>
        <v/>
      </c>
      <c r="I44" s="2"/>
    </row>
    <row r="45" spans="1:9" s="1" customFormat="1" ht="15" x14ac:dyDescent="0.25">
      <c r="A45" s="103"/>
      <c r="B45" s="73" t="s">
        <v>1681</v>
      </c>
      <c r="C45" s="65"/>
      <c r="D45" s="74"/>
      <c r="E45" s="74"/>
      <c r="F45" s="74"/>
      <c r="G45" s="74"/>
      <c r="H45" s="75">
        <f>ROUND(SUM(H28:H44),2)</f>
        <v>222.82</v>
      </c>
      <c r="I45" s="2"/>
    </row>
    <row r="46" spans="1:9" s="1" customFormat="1" ht="15" x14ac:dyDescent="0.25">
      <c r="A46" s="103"/>
      <c r="B46" s="38" t="s">
        <v>1680</v>
      </c>
      <c r="C46" s="2"/>
      <c r="D46" s="3"/>
      <c r="E46" s="3"/>
      <c r="F46" s="3"/>
      <c r="G46" s="3"/>
      <c r="H46" s="56"/>
      <c r="I46" s="2"/>
    </row>
    <row r="47" spans="1:9" s="1" customFormat="1" ht="25.5" x14ac:dyDescent="0.25">
      <c r="A47" s="103"/>
      <c r="B47" s="64" t="s">
        <v>1409</v>
      </c>
      <c r="C47" s="65"/>
      <c r="D47" s="76"/>
      <c r="E47" s="66" t="s">
        <v>1408</v>
      </c>
      <c r="F47" s="66" t="s">
        <v>1679</v>
      </c>
      <c r="G47" s="66" t="s">
        <v>1676</v>
      </c>
      <c r="H47" s="68" t="s">
        <v>1675</v>
      </c>
      <c r="I47" s="2"/>
    </row>
    <row r="48" spans="1:9" s="1" customFormat="1" ht="15" x14ac:dyDescent="0.25">
      <c r="A48" s="103">
        <v>19019</v>
      </c>
      <c r="B48" s="51" t="str">
        <f>IF($A48=0,"",VLOOKUP($A48,'BASE EQUIPO'!$A:$D,2))</f>
        <v>TRANSPORTE DE MATERIAL</v>
      </c>
      <c r="C48" s="52"/>
      <c r="D48" s="82"/>
      <c r="E48" s="78" t="str">
        <f>IF($A48=0,"",VLOOKUP($A48,'BASE EQUIPO'!$A:$D,3))</f>
        <v>GLOBAL</v>
      </c>
      <c r="F48" s="55">
        <v>1</v>
      </c>
      <c r="G48" s="83">
        <f>IF($A48=0,"",VLOOKUP($A48,'BASE EQUIPO'!$A:$D,4)*H45)</f>
        <v>6.6845999999999997</v>
      </c>
      <c r="H48" s="56">
        <f>IF($A48=0,"",ROUND(F48*G48,2))</f>
        <v>6.68</v>
      </c>
      <c r="I48" s="2"/>
    </row>
    <row r="49" spans="1:15" s="1" customFormat="1" ht="15" x14ac:dyDescent="0.25">
      <c r="A49" s="103"/>
      <c r="B49" s="38" t="str">
        <f>IF($A49=0,"",VLOOKUP($A49,'BASE EQUIPO'!$A:$D,2))</f>
        <v/>
      </c>
      <c r="C49" s="2"/>
      <c r="D49" s="84"/>
      <c r="E49" s="78" t="str">
        <f>IF($A49=0,"",VLOOKUP($A49,'BASE EQUIPO'!$A:$D,3))</f>
        <v/>
      </c>
      <c r="F49" s="55"/>
      <c r="G49" s="55" t="str">
        <f>IF($A49=0,"",VLOOKUP($A49,'BASE EQUIPO'!$A:$D,4)*H46)</f>
        <v/>
      </c>
      <c r="H49" s="56" t="str">
        <f>IF($A49=0,"",ROUND(F49*G49,2))</f>
        <v/>
      </c>
      <c r="I49" s="2"/>
    </row>
    <row r="50" spans="1:15" s="1" customFormat="1" ht="15" x14ac:dyDescent="0.25">
      <c r="A50" s="103"/>
      <c r="B50" s="57" t="str">
        <f>IF($A50=0,"",VLOOKUP($A50,'BASE EQUIPO'!$A:$D,2))</f>
        <v/>
      </c>
      <c r="C50" s="58"/>
      <c r="D50" s="85"/>
      <c r="E50" s="86" t="str">
        <f>IF($A50=0,"",VLOOKUP($A50,'BASE EQUIPO'!$A:$D,3))</f>
        <v/>
      </c>
      <c r="F50" s="59"/>
      <c r="G50" s="59" t="str">
        <f>IF($A50=0,"",VLOOKUP($A50,'BASE EQUIPO'!$A:$D,4)*H47)</f>
        <v/>
      </c>
      <c r="H50" s="60" t="str">
        <f>IF($A50=0,"",ROUND(F50*G50,2))</f>
        <v/>
      </c>
      <c r="I50" s="2"/>
    </row>
    <row r="51" spans="1:15" s="1" customFormat="1" ht="15.75" thickBot="1" x14ac:dyDescent="0.3">
      <c r="A51" s="103"/>
      <c r="B51" s="87" t="s">
        <v>1674</v>
      </c>
      <c r="C51" s="88"/>
      <c r="D51" s="89"/>
      <c r="E51" s="89"/>
      <c r="F51" s="89"/>
      <c r="G51" s="89"/>
      <c r="H51" s="90">
        <f>ROUND(SUM(H47:H50),2)</f>
        <v>6.68</v>
      </c>
      <c r="I51" s="2"/>
    </row>
    <row r="52" spans="1:15" s="1" customFormat="1" ht="15.75" x14ac:dyDescent="0.25">
      <c r="A52" s="103"/>
      <c r="B52" s="2"/>
      <c r="C52" s="2"/>
      <c r="D52" s="91" t="s">
        <v>1673</v>
      </c>
      <c r="E52" s="47"/>
      <c r="F52" s="47"/>
      <c r="G52" s="47"/>
      <c r="H52" s="92">
        <f>ROUND(SUM(H51,H45,H26,H16),2)</f>
        <v>281.60000000000002</v>
      </c>
      <c r="I52" s="2"/>
    </row>
    <row r="53" spans="1:15" s="1" customFormat="1" ht="15.75" x14ac:dyDescent="0.25">
      <c r="A53" s="103">
        <v>40002</v>
      </c>
      <c r="B53" s="2"/>
      <c r="C53" s="2"/>
      <c r="D53" s="93" t="s">
        <v>1672</v>
      </c>
      <c r="E53" s="65"/>
      <c r="F53" s="65"/>
      <c r="G53" s="94">
        <f>IF($A53=0,"",VLOOKUP($A53,'BASE MATERIAL'!$M:$P,4))</f>
        <v>0</v>
      </c>
      <c r="H53" s="95">
        <f>IF($A53=0,"",ROUND(G53*H52,2))</f>
        <v>0</v>
      </c>
      <c r="I53" s="2"/>
    </row>
    <row r="54" spans="1:15" s="1" customFormat="1" ht="15.75" x14ac:dyDescent="0.25">
      <c r="A54" s="103">
        <v>40003</v>
      </c>
      <c r="B54" s="2"/>
      <c r="C54" s="2"/>
      <c r="D54" s="93" t="s">
        <v>1671</v>
      </c>
      <c r="E54" s="65"/>
      <c r="F54" s="65"/>
      <c r="G54" s="94">
        <f>IF($A54=0,"",VLOOKUP($A54,'BASE MATERIAL'!$M:$P,4))</f>
        <v>0</v>
      </c>
      <c r="H54" s="95">
        <f>IF($A54=0,"",ROUND(G54*H52,2))</f>
        <v>0</v>
      </c>
      <c r="I54" s="2"/>
    </row>
    <row r="55" spans="1:15" s="1" customFormat="1" ht="15.75" x14ac:dyDescent="0.25">
      <c r="A55" s="103"/>
      <c r="B55" s="2"/>
      <c r="C55" s="2"/>
      <c r="D55" s="93" t="s">
        <v>1670</v>
      </c>
      <c r="E55" s="65"/>
      <c r="F55" s="65"/>
      <c r="G55" s="65"/>
      <c r="H55" s="96">
        <f>ROUND(SUM(H52:H54),2)</f>
        <v>281.60000000000002</v>
      </c>
      <c r="I55" s="2"/>
    </row>
    <row r="56" spans="1:15" s="1" customFormat="1" ht="16.5" thickBot="1" x14ac:dyDescent="0.3">
      <c r="A56" s="103"/>
      <c r="B56" s="25"/>
      <c r="C56" s="2"/>
      <c r="D56" s="97" t="s">
        <v>1650</v>
      </c>
      <c r="E56" s="88"/>
      <c r="F56" s="88"/>
      <c r="G56" s="88"/>
      <c r="H56" s="98">
        <f>ROUND(H55,2)</f>
        <v>281.60000000000002</v>
      </c>
      <c r="I56" s="2"/>
    </row>
    <row r="57" spans="1:15" s="1" customFormat="1" ht="15.75" x14ac:dyDescent="0.25">
      <c r="A57" s="103"/>
      <c r="B57" s="34" t="s">
        <v>1701</v>
      </c>
      <c r="C57" s="2"/>
      <c r="D57" s="3" t="str">
        <f>'1.1'!$D$1</f>
        <v>ESPOL</v>
      </c>
      <c r="E57" s="2"/>
      <c r="F57" s="2"/>
      <c r="H57" s="2" t="s">
        <v>108</v>
      </c>
      <c r="I57" s="2"/>
      <c r="L57" s="40">
        <f>A61</f>
        <v>2</v>
      </c>
      <c r="M57" s="1" t="str">
        <f>C62</f>
        <v xml:space="preserve">Puertas madera (0.80m x 2,00m). </v>
      </c>
      <c r="N57" s="2" t="str">
        <f>H61</f>
        <v>u</v>
      </c>
      <c r="O57" s="2">
        <f>H112</f>
        <v>266.39999999999998</v>
      </c>
    </row>
    <row r="58" spans="1:15" s="1" customFormat="1" ht="15.75" x14ac:dyDescent="0.25">
      <c r="A58" s="103"/>
      <c r="B58" s="34" t="s">
        <v>1700</v>
      </c>
      <c r="C58" s="3">
        <f>'1.1'!$C$2</f>
        <v>0</v>
      </c>
      <c r="D58" s="2"/>
      <c r="E58" s="2"/>
      <c r="F58" s="2"/>
      <c r="G58" s="41" t="s">
        <v>1699</v>
      </c>
      <c r="H58" s="42"/>
      <c r="I58" s="2" t="s">
        <v>1698</v>
      </c>
    </row>
    <row r="59" spans="1:15" s="1" customFormat="1" ht="15.75" x14ac:dyDescent="0.25">
      <c r="A59" s="103"/>
      <c r="B59" s="34"/>
      <c r="C59" s="3">
        <f>'1.1'!$C$3</f>
        <v>0</v>
      </c>
      <c r="D59" s="2"/>
      <c r="E59" s="2"/>
      <c r="F59" s="2"/>
      <c r="G59" s="2"/>
      <c r="H59" s="2"/>
      <c r="I59" s="2"/>
    </row>
    <row r="60" spans="1:15" s="1" customFormat="1" ht="15.75" x14ac:dyDescent="0.25">
      <c r="A60" s="103"/>
      <c r="B60" s="34" t="s">
        <v>1697</v>
      </c>
      <c r="C60" s="3"/>
      <c r="D60" s="2"/>
      <c r="E60" s="2"/>
      <c r="F60" s="2"/>
      <c r="G60" s="2"/>
      <c r="H60" s="2"/>
      <c r="I60" s="2"/>
    </row>
    <row r="61" spans="1:15" s="1" customFormat="1" ht="15" x14ac:dyDescent="0.25">
      <c r="A61" s="104">
        <v>2</v>
      </c>
      <c r="B61" s="2" t="s">
        <v>1586</v>
      </c>
      <c r="C61" s="36" t="s">
        <v>654</v>
      </c>
      <c r="D61" s="2"/>
      <c r="G61" s="2" t="s">
        <v>1696</v>
      </c>
      <c r="H61" s="3" t="s">
        <v>1506</v>
      </c>
      <c r="I61" s="2"/>
    </row>
    <row r="62" spans="1:15" s="1" customFormat="1" ht="15" x14ac:dyDescent="0.25">
      <c r="A62" s="103"/>
      <c r="B62" s="1" t="s">
        <v>1585</v>
      </c>
      <c r="C62" s="36" t="s">
        <v>70</v>
      </c>
      <c r="D62" s="2"/>
      <c r="E62" s="2"/>
      <c r="F62" s="2"/>
      <c r="G62" s="2"/>
      <c r="H62" s="2"/>
      <c r="I62" s="2"/>
    </row>
    <row r="63" spans="1:15" s="1" customFormat="1" ht="15.75" thickBot="1" x14ac:dyDescent="0.3">
      <c r="A63" s="103"/>
      <c r="D63" s="2"/>
      <c r="E63" s="2"/>
      <c r="F63" s="2"/>
      <c r="G63" s="2"/>
      <c r="H63" s="2"/>
      <c r="I63" s="2"/>
    </row>
    <row r="64" spans="1:15" s="1" customFormat="1" ht="15.75" thickBot="1" x14ac:dyDescent="0.3">
      <c r="A64" s="103"/>
      <c r="B64" s="43" t="s">
        <v>1695</v>
      </c>
      <c r="C64" s="44"/>
      <c r="D64" s="44"/>
      <c r="E64" s="44"/>
      <c r="F64" s="44"/>
      <c r="G64" s="44"/>
      <c r="H64" s="45"/>
      <c r="I64" s="2"/>
    </row>
    <row r="65" spans="1:11" s="1" customFormat="1" ht="25.5" x14ac:dyDescent="0.25">
      <c r="A65" s="103"/>
      <c r="B65" s="46" t="s">
        <v>1409</v>
      </c>
      <c r="C65" s="47"/>
      <c r="D65" s="48" t="s">
        <v>1690</v>
      </c>
      <c r="E65" s="48" t="s">
        <v>1694</v>
      </c>
      <c r="F65" s="48" t="s">
        <v>1693</v>
      </c>
      <c r="G65" s="49" t="s">
        <v>1687</v>
      </c>
      <c r="H65" s="50" t="s">
        <v>1686</v>
      </c>
      <c r="I65" s="2"/>
    </row>
    <row r="66" spans="1:11" s="1" customFormat="1" ht="15" x14ac:dyDescent="0.25">
      <c r="A66" s="103">
        <v>19015</v>
      </c>
      <c r="B66" s="51" t="str">
        <f>IF($A66=0,"",VLOOKUP($A66,'BASE EQUIPO'!$A:$D,2))</f>
        <v>HERRAMIENTA MENOR</v>
      </c>
      <c r="C66" s="52"/>
      <c r="D66" s="53">
        <v>1</v>
      </c>
      <c r="E66" s="53">
        <f>IF($A66=0,"",VLOOKUP($A66,'BASE EQUIPO'!$A:$D,4)*H82)</f>
        <v>1.5173999999999999</v>
      </c>
      <c r="F66" s="53">
        <f t="shared" ref="F66:F71" si="5">IF($A66=0,"",ROUND(D66*E66,2))</f>
        <v>1.52</v>
      </c>
      <c r="G66" s="105">
        <v>1</v>
      </c>
      <c r="H66" s="54">
        <f t="shared" ref="H66:H71" si="6">IF($A66=0,"",ROUND(G66*F66,2))</f>
        <v>1.52</v>
      </c>
      <c r="I66" s="2"/>
    </row>
    <row r="67" spans="1:11" s="1" customFormat="1" ht="15" x14ac:dyDescent="0.25">
      <c r="A67" s="103"/>
      <c r="B67" s="38" t="str">
        <f>IF($A67=0,"",VLOOKUP($A67,'BASE EQUIPO'!$A:$D,2))</f>
        <v/>
      </c>
      <c r="C67" s="2"/>
      <c r="D67" s="55"/>
      <c r="E67" s="55" t="str">
        <f>IF($A67=0,"",VLOOKUP($A67,'BASE EQUIPO'!$A:$D,4))</f>
        <v/>
      </c>
      <c r="F67" s="55" t="str">
        <f t="shared" si="5"/>
        <v/>
      </c>
      <c r="G67" s="106"/>
      <c r="H67" s="56" t="str">
        <f t="shared" si="6"/>
        <v/>
      </c>
      <c r="I67" s="2"/>
    </row>
    <row r="68" spans="1:11" s="1" customFormat="1" ht="15" x14ac:dyDescent="0.25">
      <c r="A68" s="103"/>
      <c r="B68" s="38" t="str">
        <f>IF($A68=0,"",VLOOKUP($A68,'BASE EQUIPO'!$A:$D,2))</f>
        <v/>
      </c>
      <c r="C68" s="2"/>
      <c r="D68" s="55"/>
      <c r="E68" s="55" t="str">
        <f>IF($A68=0,"",VLOOKUP($A68,'BASE EQUIPO'!$A:$D,4))</f>
        <v/>
      </c>
      <c r="F68" s="55" t="str">
        <f t="shared" si="5"/>
        <v/>
      </c>
      <c r="G68" s="106"/>
      <c r="H68" s="56" t="str">
        <f t="shared" si="6"/>
        <v/>
      </c>
      <c r="I68" s="2"/>
    </row>
    <row r="69" spans="1:11" s="1" customFormat="1" ht="15" x14ac:dyDescent="0.25">
      <c r="A69" s="103"/>
      <c r="B69" s="38" t="str">
        <f>IF($A69=0,"",VLOOKUP($A69,'BASE EQUIPO'!$A:$D,2))</f>
        <v/>
      </c>
      <c r="C69" s="2"/>
      <c r="D69" s="55"/>
      <c r="E69" s="55" t="str">
        <f>IF($A69=0,"",VLOOKUP($A69,'BASE EQUIPO'!$A:$D,4))</f>
        <v/>
      </c>
      <c r="F69" s="55" t="str">
        <f t="shared" si="5"/>
        <v/>
      </c>
      <c r="G69" s="106"/>
      <c r="H69" s="56" t="str">
        <f t="shared" si="6"/>
        <v/>
      </c>
      <c r="I69" s="2"/>
    </row>
    <row r="70" spans="1:11" s="1" customFormat="1" ht="15" x14ac:dyDescent="0.25">
      <c r="A70" s="103"/>
      <c r="B70" s="38" t="str">
        <f>IF($A70=0,"",VLOOKUP($A70,'BASE EQUIPO'!$A:$D,2))</f>
        <v/>
      </c>
      <c r="C70" s="2"/>
      <c r="D70" s="55"/>
      <c r="E70" s="55" t="str">
        <f>IF($A70=0,"",VLOOKUP($A70,'BASE EQUIPO'!$A:$D,4))</f>
        <v/>
      </c>
      <c r="F70" s="55" t="str">
        <f t="shared" si="5"/>
        <v/>
      </c>
      <c r="G70" s="106"/>
      <c r="H70" s="56" t="str">
        <f t="shared" si="6"/>
        <v/>
      </c>
      <c r="I70" s="2"/>
    </row>
    <row r="71" spans="1:11" s="1" customFormat="1" ht="15" x14ac:dyDescent="0.25">
      <c r="A71" s="103"/>
      <c r="B71" s="57" t="str">
        <f>IF($A71=0,"",VLOOKUP($A71,'BASE EQUIPO'!$A:$D,2))</f>
        <v/>
      </c>
      <c r="C71" s="58"/>
      <c r="D71" s="59"/>
      <c r="E71" s="59" t="str">
        <f>IF($A71=0,"",VLOOKUP($A71,'BASE EQUIPO'!$A:$D,4))</f>
        <v/>
      </c>
      <c r="F71" s="59" t="str">
        <f t="shared" si="5"/>
        <v/>
      </c>
      <c r="G71" s="107"/>
      <c r="H71" s="60" t="str">
        <f t="shared" si="6"/>
        <v/>
      </c>
      <c r="I71" s="2"/>
    </row>
    <row r="72" spans="1:11" s="1" customFormat="1" ht="15" x14ac:dyDescent="0.25">
      <c r="A72" s="103"/>
      <c r="B72" s="57" t="s">
        <v>1692</v>
      </c>
      <c r="C72" s="58"/>
      <c r="D72" s="61"/>
      <c r="E72" s="61"/>
      <c r="F72" s="61"/>
      <c r="G72" s="62"/>
      <c r="H72" s="60">
        <f>ROUND(SUM(H65:H71),2)</f>
        <v>1.52</v>
      </c>
      <c r="I72" s="2"/>
    </row>
    <row r="73" spans="1:11" s="1" customFormat="1" ht="15" x14ac:dyDescent="0.25">
      <c r="A73" s="103"/>
      <c r="B73" s="38" t="s">
        <v>1503</v>
      </c>
      <c r="C73" s="2"/>
      <c r="D73" s="3"/>
      <c r="E73" s="3"/>
      <c r="F73" s="3"/>
      <c r="G73" s="63"/>
      <c r="H73" s="56"/>
      <c r="I73" s="2"/>
    </row>
    <row r="74" spans="1:11" s="1" customFormat="1" ht="25.5" x14ac:dyDescent="0.25">
      <c r="A74" s="103"/>
      <c r="B74" s="64" t="s">
        <v>1691</v>
      </c>
      <c r="C74" s="65"/>
      <c r="D74" s="66" t="s">
        <v>1690</v>
      </c>
      <c r="E74" s="66" t="s">
        <v>1689</v>
      </c>
      <c r="F74" s="66" t="s">
        <v>1688</v>
      </c>
      <c r="G74" s="67" t="s">
        <v>1687</v>
      </c>
      <c r="H74" s="68" t="s">
        <v>1686</v>
      </c>
      <c r="I74" s="2"/>
    </row>
    <row r="75" spans="1:11" s="1" customFormat="1" ht="15" x14ac:dyDescent="0.25">
      <c r="A75" s="103"/>
      <c r="B75" s="69" t="str">
        <f>IF($A75=0,"",VLOOKUP($A75,'BASE M-OBRA'!$A:$D,2))</f>
        <v/>
      </c>
      <c r="C75" s="2"/>
      <c r="D75" s="108"/>
      <c r="E75" s="70" t="str">
        <f>IF($A75=0,"",VLOOKUP($A75,'BASE M-OBRA'!$A:$D,4))</f>
        <v/>
      </c>
      <c r="F75" s="55" t="str">
        <f t="shared" ref="F75:F81" si="7">IF($A75=0,"",ROUND(D75*E75,2))</f>
        <v/>
      </c>
      <c r="G75" s="106" t="str">
        <f>IF($A75=0,"",ROUND(H75/F75,2))</f>
        <v/>
      </c>
      <c r="H75" s="56" t="str">
        <f>IF($A75=0,"",ROUND(SUM(H76:H81)*'BASE M-OBRA'!$D$23,2))</f>
        <v/>
      </c>
      <c r="I75" s="2"/>
    </row>
    <row r="76" spans="1:11" s="1" customFormat="1" ht="15" x14ac:dyDescent="0.25">
      <c r="A76" s="103">
        <v>20019</v>
      </c>
      <c r="B76" s="69" t="str">
        <f>IF($A76=0,"",VLOOKUP($A76,'BASE M-OBRA'!$A:$D,2))</f>
        <v>INSTALADOR</v>
      </c>
      <c r="C76" s="2"/>
      <c r="D76" s="108">
        <v>1</v>
      </c>
      <c r="E76" s="70">
        <f>IF($A76=0,"",VLOOKUP($A76,'BASE M-OBRA'!$A:$D,4))</f>
        <v>2.82</v>
      </c>
      <c r="F76" s="55">
        <f t="shared" si="7"/>
        <v>2.82</v>
      </c>
      <c r="G76" s="106">
        <v>6</v>
      </c>
      <c r="H76" s="56">
        <f t="shared" ref="H76:H81" si="8">IF($A76=0,"",ROUND(G76*F76,2))</f>
        <v>16.920000000000002</v>
      </c>
      <c r="I76" s="2"/>
      <c r="K76" s="1">
        <f>320/8</f>
        <v>40</v>
      </c>
    </row>
    <row r="77" spans="1:11" s="1" customFormat="1" ht="15" x14ac:dyDescent="0.25">
      <c r="A77" s="103">
        <v>20011</v>
      </c>
      <c r="B77" s="69" t="str">
        <f>IF($A77=0,"",VLOOKUP($A77,'BASE M-OBRA'!$A:$D,2))</f>
        <v>AYUDANTE ESPECIALISTA</v>
      </c>
      <c r="C77" s="2"/>
      <c r="D77" s="108">
        <v>1</v>
      </c>
      <c r="E77" s="70">
        <f>IF($A77=0,"",VLOOKUP($A77,'BASE M-OBRA'!$A:$D,4))</f>
        <v>2.79</v>
      </c>
      <c r="F77" s="55">
        <f t="shared" si="7"/>
        <v>2.79</v>
      </c>
      <c r="G77" s="106">
        <f>+G76</f>
        <v>6</v>
      </c>
      <c r="H77" s="56">
        <f t="shared" si="8"/>
        <v>16.739999999999998</v>
      </c>
      <c r="I77" s="2"/>
    </row>
    <row r="78" spans="1:11" s="1" customFormat="1" ht="15" x14ac:dyDescent="0.25">
      <c r="A78" s="103">
        <v>20020</v>
      </c>
      <c r="B78" s="71" t="str">
        <f>IF($A78=0,"",VLOOKUP($A78,'BASE M-OBRA'!$A:$D,2))</f>
        <v>EBANISTA</v>
      </c>
      <c r="C78" s="2"/>
      <c r="D78" s="108">
        <v>1</v>
      </c>
      <c r="E78" s="70">
        <f>IF($A78=0,"",VLOOKUP($A78,'BASE M-OBRA'!$A:$D,4))</f>
        <v>2.82</v>
      </c>
      <c r="F78" s="55">
        <f t="shared" si="7"/>
        <v>2.82</v>
      </c>
      <c r="G78" s="106">
        <f>+G77</f>
        <v>6</v>
      </c>
      <c r="H78" s="56">
        <f t="shared" si="8"/>
        <v>16.920000000000002</v>
      </c>
      <c r="I78" s="2"/>
      <c r="J78" s="1">
        <f>0.25*30000</f>
        <v>7500</v>
      </c>
    </row>
    <row r="79" spans="1:11" s="1" customFormat="1" ht="15" x14ac:dyDescent="0.25">
      <c r="A79" s="103"/>
      <c r="B79" s="72" t="str">
        <f>IF($A79=0,"",VLOOKUP($A79,'BASE M-OBRA'!$A:$D,2))</f>
        <v/>
      </c>
      <c r="C79" s="2"/>
      <c r="D79" s="108"/>
      <c r="E79" s="70" t="str">
        <f>IF($A79=0,"",VLOOKUP($A79,'BASE M-OBRA'!$A:$D,4))</f>
        <v/>
      </c>
      <c r="F79" s="55" t="str">
        <f t="shared" si="7"/>
        <v/>
      </c>
      <c r="G79" s="106"/>
      <c r="H79" s="56" t="str">
        <f t="shared" si="8"/>
        <v/>
      </c>
      <c r="I79" s="2"/>
    </row>
    <row r="80" spans="1:11" s="1" customFormat="1" ht="15" x14ac:dyDescent="0.25">
      <c r="A80" s="103"/>
      <c r="B80" s="38" t="str">
        <f>IF($A80=0,"",VLOOKUP($A80,'BASE M-OBRA'!$A:$D,2))</f>
        <v/>
      </c>
      <c r="C80" s="2"/>
      <c r="D80" s="55"/>
      <c r="E80" s="55" t="str">
        <f>IF($A80=0,"",VLOOKUP($A80,'BASE M-OBRA'!$A:$D,4))</f>
        <v/>
      </c>
      <c r="F80" s="55" t="str">
        <f t="shared" si="7"/>
        <v/>
      </c>
      <c r="G80" s="106"/>
      <c r="H80" s="56" t="str">
        <f t="shared" si="8"/>
        <v/>
      </c>
      <c r="I80" s="2"/>
    </row>
    <row r="81" spans="1:16" s="1" customFormat="1" ht="15" x14ac:dyDescent="0.25">
      <c r="A81" s="103"/>
      <c r="B81" s="57" t="str">
        <f>IF($A81=0,"",VLOOKUP($A81,'BASE M-OBRA'!$A:$D,2))</f>
        <v/>
      </c>
      <c r="C81" s="58"/>
      <c r="D81" s="59"/>
      <c r="E81" s="59" t="str">
        <f>IF($A81=0,"",VLOOKUP($A81,'BASE M-OBRA'!$A:$D,4))</f>
        <v/>
      </c>
      <c r="F81" s="59" t="str">
        <f t="shared" si="7"/>
        <v/>
      </c>
      <c r="G81" s="107"/>
      <c r="H81" s="60" t="str">
        <f t="shared" si="8"/>
        <v/>
      </c>
      <c r="I81" s="2"/>
    </row>
    <row r="82" spans="1:16" s="1" customFormat="1" ht="15" x14ac:dyDescent="0.25">
      <c r="A82" s="103"/>
      <c r="B82" s="73" t="s">
        <v>1685</v>
      </c>
      <c r="C82" s="65"/>
      <c r="D82" s="74"/>
      <c r="E82" s="74"/>
      <c r="F82" s="74"/>
      <c r="G82" s="74"/>
      <c r="H82" s="75">
        <f>ROUND(SUM(H74:H81),2)</f>
        <v>50.58</v>
      </c>
      <c r="I82" s="2"/>
      <c r="J82" s="1">
        <f>13200*0.3</f>
        <v>3960</v>
      </c>
    </row>
    <row r="83" spans="1:16" s="1" customFormat="1" ht="15" x14ac:dyDescent="0.25">
      <c r="A83" s="103"/>
      <c r="B83" s="38" t="s">
        <v>1684</v>
      </c>
      <c r="C83" s="2"/>
      <c r="D83" s="3"/>
      <c r="E83" s="3"/>
      <c r="F83" s="3"/>
      <c r="G83" s="3"/>
      <c r="H83" s="56"/>
      <c r="I83" s="2"/>
    </row>
    <row r="84" spans="1:16" s="1" customFormat="1" ht="25.5" x14ac:dyDescent="0.25">
      <c r="A84" s="103"/>
      <c r="B84" s="64" t="s">
        <v>1409</v>
      </c>
      <c r="C84" s="65"/>
      <c r="D84" s="76"/>
      <c r="E84" s="66" t="s">
        <v>1408</v>
      </c>
      <c r="F84" s="66" t="s">
        <v>1679</v>
      </c>
      <c r="G84" s="66" t="s">
        <v>1683</v>
      </c>
      <c r="H84" s="68" t="s">
        <v>1675</v>
      </c>
      <c r="I84" s="2"/>
    </row>
    <row r="85" spans="1:16" s="1" customFormat="1" ht="15" x14ac:dyDescent="0.25">
      <c r="A85" s="103">
        <v>10003</v>
      </c>
      <c r="B85" s="38" t="str">
        <f>IF($A85=0,"",VLOOKUP($A85,'BASE MATERIAL'!$A:$D,2))</f>
        <v>PUERTA MADERA DURA 80x200</v>
      </c>
      <c r="C85" s="2"/>
      <c r="D85" s="77"/>
      <c r="E85" s="78" t="str">
        <f>IF($A85=0,"",VLOOKUP($A85,'BASE MATERIAL'!$A:$D,3))</f>
        <v>U</v>
      </c>
      <c r="F85" s="55">
        <v>1</v>
      </c>
      <c r="G85" s="55">
        <f>IF($A85=0,"",VLOOKUP($A85,'BASE MATERIAL'!$A:$D,4))</f>
        <v>100</v>
      </c>
      <c r="H85" s="56">
        <f t="shared" ref="H85:H99" si="9">IF($A85=0,"",ROUND(F85*G85,2))</f>
        <v>100</v>
      </c>
      <c r="I85" s="2"/>
    </row>
    <row r="86" spans="1:16" s="1" customFormat="1" ht="15" x14ac:dyDescent="0.25">
      <c r="A86" s="103">
        <v>10006</v>
      </c>
      <c r="B86" s="38" t="str">
        <f>IF($A86=0,"",VLOOKUP($A86,'BASE MATERIAL'!$A:$D,2))</f>
        <v>BATIENTE MADERA DURA</v>
      </c>
      <c r="C86" s="2"/>
      <c r="D86" s="77"/>
      <c r="E86" s="78" t="str">
        <f>IF($A86=0,"",VLOOKUP($A86,'BASE MATERIAL'!$A:$D,3))</f>
        <v>JUEGO</v>
      </c>
      <c r="F86" s="55">
        <v>1</v>
      </c>
      <c r="G86" s="55">
        <f>IF($A86=0,"",VLOOKUP($A86,'BASE MATERIAL'!$A:$D,4))</f>
        <v>36</v>
      </c>
      <c r="H86" s="56">
        <f t="shared" si="9"/>
        <v>36</v>
      </c>
      <c r="I86" s="2"/>
    </row>
    <row r="87" spans="1:16" s="1" customFormat="1" ht="15" x14ac:dyDescent="0.25">
      <c r="A87" s="103">
        <v>10008</v>
      </c>
      <c r="B87" s="38" t="str">
        <f>IF($A87=0,"",VLOOKUP($A87,'BASE MATERIAL'!$A:$D,2))</f>
        <v>JAMBA MADERA DURA</v>
      </c>
      <c r="C87" s="2"/>
      <c r="D87" s="77"/>
      <c r="E87" s="78" t="str">
        <f>IF($A87=0,"",VLOOKUP($A87,'BASE MATERIAL'!$A:$D,3))</f>
        <v>JUEGO</v>
      </c>
      <c r="F87" s="55">
        <v>2</v>
      </c>
      <c r="G87" s="55">
        <f>IF($A87=0,"",VLOOKUP($A87,'BASE MATERIAL'!$A:$D,4))</f>
        <v>12</v>
      </c>
      <c r="H87" s="56">
        <f t="shared" si="9"/>
        <v>24</v>
      </c>
      <c r="I87" s="2"/>
    </row>
    <row r="88" spans="1:16" s="1" customFormat="1" ht="15" x14ac:dyDescent="0.25">
      <c r="A88" s="103"/>
      <c r="B88" s="38" t="str">
        <f>IF($A88=0,"",VLOOKUP($A88,'BASE MATERIAL'!$A:$D,2))</f>
        <v/>
      </c>
      <c r="C88" s="2"/>
      <c r="D88" s="77"/>
      <c r="E88" s="78" t="str">
        <f>IF($A88=0,"",VLOOKUP($A88,'BASE MATERIAL'!$A:$D,3))</f>
        <v/>
      </c>
      <c r="F88" s="55"/>
      <c r="G88" s="55" t="str">
        <f>IF($A88=0,"",VLOOKUP($A88,'BASE MATERIAL'!$A:$D,4))</f>
        <v/>
      </c>
      <c r="H88" s="56" t="str">
        <f t="shared" si="9"/>
        <v/>
      </c>
      <c r="I88" s="2"/>
    </row>
    <row r="89" spans="1:16" s="1" customFormat="1" ht="15" x14ac:dyDescent="0.25">
      <c r="A89" s="103">
        <v>10012</v>
      </c>
      <c r="B89" s="38" t="str">
        <f>IF($A89=0,"",VLOOKUP($A89,'BASE MATERIAL'!$A:$D,2))</f>
        <v>CERRADURA  POMO</v>
      </c>
      <c r="C89" s="2"/>
      <c r="D89" s="77"/>
      <c r="E89" s="78" t="str">
        <f>IF($A89=0,"",VLOOKUP($A89,'BASE MATERIAL'!$A:$D,3))</f>
        <v>U</v>
      </c>
      <c r="F89" s="55">
        <v>1</v>
      </c>
      <c r="G89" s="55">
        <f>IF($A89=0,"",VLOOKUP($A89,'BASE MATERIAL'!$A:$D,4))</f>
        <v>16</v>
      </c>
      <c r="H89" s="56">
        <f t="shared" si="9"/>
        <v>16</v>
      </c>
      <c r="I89" s="2"/>
    </row>
    <row r="90" spans="1:16" s="1" customFormat="1" ht="15" x14ac:dyDescent="0.25">
      <c r="A90" s="103">
        <v>10016</v>
      </c>
      <c r="B90" s="38" t="str">
        <f>IF($A90=0,"",VLOOKUP($A90,'BASE MATERIAL'!$A:$D,2))</f>
        <v>BISAGRA CROMADA</v>
      </c>
      <c r="C90" s="2"/>
      <c r="D90" s="77"/>
      <c r="E90" s="78" t="str">
        <f>IF($A90=0,"",VLOOKUP($A90,'BASE MATERIAL'!$A:$D,3))</f>
        <v>U</v>
      </c>
      <c r="F90" s="55">
        <v>3</v>
      </c>
      <c r="G90" s="55">
        <f>IF($A90=0,"",VLOOKUP($A90,'BASE MATERIAL'!$A:$D,4))</f>
        <v>1.2</v>
      </c>
      <c r="H90" s="56">
        <f t="shared" si="9"/>
        <v>3.6</v>
      </c>
      <c r="I90" s="2"/>
    </row>
    <row r="91" spans="1:16" s="1" customFormat="1" ht="15" x14ac:dyDescent="0.25">
      <c r="A91" s="103">
        <v>13008</v>
      </c>
      <c r="B91" s="38" t="str">
        <f>IF($A91=0,"",VLOOKUP($A91,'BASE MATERIAL'!$A:$D,2))</f>
        <v>LACA</v>
      </c>
      <c r="C91" s="2"/>
      <c r="D91" s="77"/>
      <c r="E91" s="78" t="str">
        <f>IF($A91=0,"",VLOOKUP($A91,'BASE MATERIAL'!$A:$D,3))</f>
        <v>GL</v>
      </c>
      <c r="F91" s="55">
        <f>((1/12)*3)*0.8*2*2</f>
        <v>0.8</v>
      </c>
      <c r="G91" s="55">
        <f>IF($A91=0,"",VLOOKUP($A91,'BASE MATERIAL'!$A:$D,4))</f>
        <v>24.04</v>
      </c>
      <c r="H91" s="56">
        <f t="shared" si="9"/>
        <v>19.23</v>
      </c>
      <c r="I91" s="2"/>
    </row>
    <row r="92" spans="1:16" s="1" customFormat="1" ht="15" x14ac:dyDescent="0.25">
      <c r="A92" s="103">
        <v>13009</v>
      </c>
      <c r="B92" s="38" t="str">
        <f>IF($A92=0,"",VLOOKUP($A92,'BASE MATERIAL'!$A:$D,2))</f>
        <v>SELLADOR DE MADERA</v>
      </c>
      <c r="C92" s="2"/>
      <c r="D92" s="77"/>
      <c r="E92" s="78" t="str">
        <f>IF($A92=0,"",VLOOKUP($A92,'BASE MATERIAL'!$A:$D,3))</f>
        <v>GL</v>
      </c>
      <c r="F92" s="55">
        <f>((1/20)*2)*0.8*2*2</f>
        <v>0.32000000000000006</v>
      </c>
      <c r="G92" s="55">
        <f>IF($A92=0,"",VLOOKUP($A92,'BASE MATERIAL'!$A:$D,4))</f>
        <v>18.329999999999998</v>
      </c>
      <c r="H92" s="56">
        <f t="shared" si="9"/>
        <v>5.87</v>
      </c>
      <c r="I92" s="2"/>
    </row>
    <row r="93" spans="1:16" s="1" customFormat="1" ht="15" x14ac:dyDescent="0.25">
      <c r="A93" s="103">
        <v>13010</v>
      </c>
      <c r="B93" s="38" t="str">
        <f>IF($A93=0,"",VLOOKUP($A93,'BASE MATERIAL'!$A:$D,2))</f>
        <v>DILUYENTE</v>
      </c>
      <c r="C93" s="2"/>
      <c r="D93" s="77"/>
      <c r="E93" s="78" t="str">
        <f>IF($A93=0,"",VLOOKUP($A93,'BASE MATERIAL'!$A:$D,3))</f>
        <v>GL</v>
      </c>
      <c r="F93" s="55">
        <f>(F91+F92)*0.5</f>
        <v>0.56000000000000005</v>
      </c>
      <c r="G93" s="55">
        <f>IF($A93=0,"",VLOOKUP($A93,'BASE MATERIAL'!$A:$D,4))</f>
        <v>6</v>
      </c>
      <c r="H93" s="56">
        <f t="shared" si="9"/>
        <v>3.36</v>
      </c>
      <c r="I93" s="2"/>
    </row>
    <row r="94" spans="1:16" s="1" customFormat="1" ht="15" x14ac:dyDescent="0.25">
      <c r="A94" s="103"/>
      <c r="B94" s="38" t="str">
        <f>IF($A94=0,"",VLOOKUP($A94,'BASE MATERIAL'!$A:$D,2))</f>
        <v/>
      </c>
      <c r="C94" s="2"/>
      <c r="D94" s="77"/>
      <c r="E94" s="78" t="str">
        <f>IF($A94=0,"",VLOOKUP($A94,'BASE MATERIAL'!$A:$D,3))</f>
        <v/>
      </c>
      <c r="F94" s="55"/>
      <c r="G94" s="55" t="str">
        <f>IF($A94=0,"",VLOOKUP($A94,'BASE MATERIAL'!$A:$D,4))</f>
        <v/>
      </c>
      <c r="H94" s="56" t="str">
        <f t="shared" si="9"/>
        <v/>
      </c>
      <c r="I94" s="2"/>
      <c r="L94" s="2"/>
      <c r="M94" s="2"/>
      <c r="N94" s="39"/>
      <c r="O94" s="2"/>
      <c r="P94" s="2"/>
    </row>
    <row r="95" spans="1:16" s="1" customFormat="1" ht="15" x14ac:dyDescent="0.25">
      <c r="A95" s="103"/>
      <c r="B95" s="38" t="str">
        <f>IF($A95=0,"",VLOOKUP($A95,'BASE MATERIAL'!$A:$D,2))</f>
        <v/>
      </c>
      <c r="C95" s="2"/>
      <c r="D95" s="77"/>
      <c r="E95" s="78" t="str">
        <f>IF($A95=0,"",VLOOKUP($A95,'BASE MATERIAL'!$A:$D,3))</f>
        <v/>
      </c>
      <c r="F95" s="55"/>
      <c r="G95" s="55" t="str">
        <f>IF($A95=0,"",VLOOKUP($A95,'BASE MATERIAL'!$A:$D,4))</f>
        <v/>
      </c>
      <c r="H95" s="56" t="str">
        <f t="shared" si="9"/>
        <v/>
      </c>
      <c r="I95" s="2"/>
      <c r="L95" s="2"/>
      <c r="M95" s="2"/>
      <c r="N95" s="39"/>
      <c r="O95" s="2"/>
      <c r="P95" s="2"/>
    </row>
    <row r="96" spans="1:16" s="1" customFormat="1" ht="15" x14ac:dyDescent="0.25">
      <c r="A96" s="103"/>
      <c r="B96" s="38" t="str">
        <f>IF($A96=0,"",VLOOKUP($A96,'BASE MATERIAL'!$A:$D,2))</f>
        <v/>
      </c>
      <c r="C96" s="2"/>
      <c r="D96" s="77"/>
      <c r="E96" s="78" t="str">
        <f>IF($A96=0,"",VLOOKUP($A96,'BASE MATERIAL'!$A:$D,3))</f>
        <v/>
      </c>
      <c r="F96" s="55"/>
      <c r="G96" s="55" t="str">
        <f>IF($A96=0,"",VLOOKUP($A96,'BASE MATERIAL'!$A:$D,4))</f>
        <v/>
      </c>
      <c r="H96" s="56" t="str">
        <f t="shared" si="9"/>
        <v/>
      </c>
      <c r="I96" s="2"/>
      <c r="L96" s="2"/>
      <c r="M96" s="2"/>
      <c r="N96" s="39"/>
      <c r="O96" s="2"/>
      <c r="P96" s="2"/>
    </row>
    <row r="97" spans="1:16" s="1" customFormat="1" ht="15" x14ac:dyDescent="0.25">
      <c r="A97" s="103"/>
      <c r="B97" s="38" t="str">
        <f>IF($A97=0,"",VLOOKUP($A97,'BASE MATERIAL'!$A:$D,2))</f>
        <v/>
      </c>
      <c r="C97" s="2"/>
      <c r="D97" s="77"/>
      <c r="E97" s="78" t="str">
        <f>IF($A97=0,"",VLOOKUP($A97,'BASE MATERIAL'!$A:$D,3))</f>
        <v/>
      </c>
      <c r="F97" s="55"/>
      <c r="G97" s="55" t="str">
        <f>IF($A97=0,"",VLOOKUP($A97,'BASE MATERIAL'!$A:$D,4))</f>
        <v/>
      </c>
      <c r="H97" s="56" t="str">
        <f t="shared" si="9"/>
        <v/>
      </c>
      <c r="I97" s="2"/>
      <c r="L97" s="2"/>
      <c r="M97" s="2"/>
      <c r="N97" s="39"/>
      <c r="O97" s="2"/>
      <c r="P97" s="2"/>
    </row>
    <row r="98" spans="1:16" s="1" customFormat="1" ht="15" x14ac:dyDescent="0.25">
      <c r="A98" s="103"/>
      <c r="B98" s="38" t="str">
        <f>IF($A98=0,"",VLOOKUP($A98,'BASE MATERIAL'!$A:$D,2))</f>
        <v/>
      </c>
      <c r="C98" s="2"/>
      <c r="D98" s="77"/>
      <c r="E98" s="78" t="str">
        <f>IF($A98=0,"",VLOOKUP($A98,'BASE MATERIAL'!$A:$D,3))</f>
        <v/>
      </c>
      <c r="F98" s="55"/>
      <c r="G98" s="55" t="str">
        <f>IF($A98=0,"",VLOOKUP($A98,'BASE MATERIAL'!$A:$D,4))</f>
        <v/>
      </c>
      <c r="H98" s="56" t="str">
        <f t="shared" si="9"/>
        <v/>
      </c>
      <c r="I98" s="2"/>
      <c r="L98" s="2"/>
      <c r="M98" s="2"/>
      <c r="N98" s="39"/>
      <c r="O98" s="2"/>
      <c r="P98" s="2"/>
    </row>
    <row r="99" spans="1:16" s="1" customFormat="1" ht="15" x14ac:dyDescent="0.25">
      <c r="A99" s="103"/>
      <c r="B99" s="38" t="str">
        <f>IF($A99=0,"",VLOOKUP($A99,'BASE MATERIAL'!$A:$D,2))</f>
        <v/>
      </c>
      <c r="C99" s="2"/>
      <c r="D99" s="77"/>
      <c r="E99" s="78" t="str">
        <f>IF($A99=0,"",VLOOKUP($A99,'BASE MATERIAL'!$A:$D,3))</f>
        <v/>
      </c>
      <c r="F99" s="55"/>
      <c r="G99" s="55" t="str">
        <f>IF($A99=0,"",VLOOKUP($A99,'BASE MATERIAL'!$A:$D,4))</f>
        <v/>
      </c>
      <c r="H99" s="56" t="str">
        <f t="shared" si="9"/>
        <v/>
      </c>
      <c r="I99" s="2"/>
      <c r="L99" s="2"/>
      <c r="M99" s="2"/>
      <c r="N99" s="39"/>
      <c r="O99" s="2"/>
      <c r="P99" s="2"/>
    </row>
    <row r="100" spans="1:16" s="1" customFormat="1" ht="15" x14ac:dyDescent="0.25">
      <c r="A100" s="103"/>
      <c r="B100" s="38" t="str">
        <f>IF($A100=0,"",VLOOKUP($A100,'BASE MATERIAL'!$A:$D,2))</f>
        <v/>
      </c>
      <c r="C100" s="2"/>
      <c r="D100" s="81" t="s">
        <v>1682</v>
      </c>
      <c r="E100" s="55" t="str">
        <f>IF($A100=0,"",VLOOKUP($A100,'BASE MATERIAL'!$A:$D,3))</f>
        <v/>
      </c>
      <c r="F100" s="55" t="s">
        <v>1682</v>
      </c>
      <c r="G100" s="55" t="str">
        <f>IF($A100=0,"",VLOOKUP($A100,'BASE MATERIAL'!$A:$D,4))</f>
        <v/>
      </c>
      <c r="H100" s="56" t="str">
        <f>IF($A100=0,"",ROUND(E100*F100,2))</f>
        <v/>
      </c>
      <c r="I100" s="2"/>
    </row>
    <row r="101" spans="1:16" s="1" customFormat="1" ht="15" x14ac:dyDescent="0.25">
      <c r="A101" s="103"/>
      <c r="B101" s="73" t="s">
        <v>1681</v>
      </c>
      <c r="C101" s="65"/>
      <c r="D101" s="74"/>
      <c r="E101" s="74"/>
      <c r="F101" s="74"/>
      <c r="G101" s="74"/>
      <c r="H101" s="75">
        <f>ROUND(SUM(H84:H100),2)</f>
        <v>208.06</v>
      </c>
      <c r="I101" s="2"/>
    </row>
    <row r="102" spans="1:16" s="1" customFormat="1" ht="15" x14ac:dyDescent="0.25">
      <c r="A102" s="103"/>
      <c r="B102" s="38" t="s">
        <v>1680</v>
      </c>
      <c r="C102" s="2"/>
      <c r="D102" s="3"/>
      <c r="E102" s="3"/>
      <c r="F102" s="3"/>
      <c r="G102" s="3"/>
      <c r="H102" s="56"/>
      <c r="I102" s="2"/>
    </row>
    <row r="103" spans="1:16" s="1" customFormat="1" ht="25.5" x14ac:dyDescent="0.25">
      <c r="A103" s="103"/>
      <c r="B103" s="64" t="s">
        <v>1409</v>
      </c>
      <c r="C103" s="65"/>
      <c r="D103" s="76"/>
      <c r="E103" s="66" t="s">
        <v>1408</v>
      </c>
      <c r="F103" s="66" t="s">
        <v>1679</v>
      </c>
      <c r="G103" s="66" t="s">
        <v>1676</v>
      </c>
      <c r="H103" s="68" t="s">
        <v>1675</v>
      </c>
      <c r="I103" s="2"/>
    </row>
    <row r="104" spans="1:16" s="1" customFormat="1" ht="15" x14ac:dyDescent="0.25">
      <c r="A104" s="103">
        <v>19019</v>
      </c>
      <c r="B104" s="51" t="str">
        <f>IF($A104=0,"",VLOOKUP($A104,'BASE EQUIPO'!$A:$D,2))</f>
        <v>TRANSPORTE DE MATERIAL</v>
      </c>
      <c r="C104" s="52"/>
      <c r="D104" s="82"/>
      <c r="E104" s="78" t="str">
        <f>IF($A104=0,"",VLOOKUP($A104,'BASE EQUIPO'!$A:$D,3))</f>
        <v>GLOBAL</v>
      </c>
      <c r="F104" s="55">
        <v>1</v>
      </c>
      <c r="G104" s="83">
        <f>IF($A104=0,"",VLOOKUP($A104,'BASE EQUIPO'!$A:$D,4)*H101)</f>
        <v>6.2417999999999996</v>
      </c>
      <c r="H104" s="56">
        <f>IF($A104=0,"",ROUND(F104*G104,2))</f>
        <v>6.24</v>
      </c>
      <c r="I104" s="2"/>
    </row>
    <row r="105" spans="1:16" s="1" customFormat="1" ht="15" x14ac:dyDescent="0.25">
      <c r="A105" s="103"/>
      <c r="B105" s="38" t="str">
        <f>IF($A105=0,"",VLOOKUP($A105,'BASE EQUIPO'!$A:$D,2))</f>
        <v/>
      </c>
      <c r="C105" s="2"/>
      <c r="D105" s="84"/>
      <c r="E105" s="78" t="str">
        <f>IF($A105=0,"",VLOOKUP($A105,'BASE EQUIPO'!$A:$D,3))</f>
        <v/>
      </c>
      <c r="F105" s="55"/>
      <c r="G105" s="55" t="str">
        <f>IF($A105=0,"",VLOOKUP($A105,'BASE EQUIPO'!$A:$D,4)*H102)</f>
        <v/>
      </c>
      <c r="H105" s="56" t="str">
        <f>IF($A105=0,"",ROUND(F105*G105,2))</f>
        <v/>
      </c>
      <c r="I105" s="2"/>
    </row>
    <row r="106" spans="1:16" s="1" customFormat="1" ht="15" x14ac:dyDescent="0.25">
      <c r="A106" s="103"/>
      <c r="B106" s="57" t="str">
        <f>IF($A106=0,"",VLOOKUP($A106,'BASE EQUIPO'!$A:$D,2))</f>
        <v/>
      </c>
      <c r="C106" s="58"/>
      <c r="D106" s="85"/>
      <c r="E106" s="86" t="str">
        <f>IF($A106=0,"",VLOOKUP($A106,'BASE EQUIPO'!$A:$D,3))</f>
        <v/>
      </c>
      <c r="F106" s="59"/>
      <c r="G106" s="59" t="str">
        <f>IF($A106=0,"",VLOOKUP($A106,'BASE EQUIPO'!$A:$D,4)*H103)</f>
        <v/>
      </c>
      <c r="H106" s="60" t="str">
        <f>IF($A106=0,"",ROUND(F106*G106,2))</f>
        <v/>
      </c>
      <c r="I106" s="2"/>
    </row>
    <row r="107" spans="1:16" s="1" customFormat="1" ht="15.75" thickBot="1" x14ac:dyDescent="0.3">
      <c r="A107" s="103"/>
      <c r="B107" s="87" t="s">
        <v>1674</v>
      </c>
      <c r="C107" s="88"/>
      <c r="D107" s="89"/>
      <c r="E107" s="89"/>
      <c r="F107" s="89"/>
      <c r="G107" s="89"/>
      <c r="H107" s="90">
        <f>ROUND(SUM(H103:H106),2)</f>
        <v>6.24</v>
      </c>
      <c r="I107" s="2"/>
    </row>
    <row r="108" spans="1:16" s="1" customFormat="1" ht="15.75" x14ac:dyDescent="0.25">
      <c r="A108" s="103"/>
      <c r="B108" s="2"/>
      <c r="C108" s="2"/>
      <c r="D108" s="91" t="s">
        <v>1673</v>
      </c>
      <c r="E108" s="47"/>
      <c r="F108" s="47"/>
      <c r="G108" s="47"/>
      <c r="H108" s="92">
        <f>ROUND(SUM(H107,H101,H82,H72),2)</f>
        <v>266.39999999999998</v>
      </c>
      <c r="I108" s="2"/>
    </row>
    <row r="109" spans="1:16" s="1" customFormat="1" ht="15.75" x14ac:dyDescent="0.25">
      <c r="A109" s="103">
        <v>40002</v>
      </c>
      <c r="B109" s="2"/>
      <c r="C109" s="2"/>
      <c r="D109" s="93" t="s">
        <v>1672</v>
      </c>
      <c r="E109" s="65"/>
      <c r="F109" s="65"/>
      <c r="G109" s="94">
        <f>IF($A109=0,"",VLOOKUP($A109,'BASE MATERIAL'!$M:$P,4))</f>
        <v>0</v>
      </c>
      <c r="H109" s="95">
        <f>IF($A109=0,"",ROUND(G109*H108,2))</f>
        <v>0</v>
      </c>
      <c r="I109" s="2"/>
    </row>
    <row r="110" spans="1:16" s="1" customFormat="1" ht="15.75" x14ac:dyDescent="0.25">
      <c r="A110" s="103">
        <v>40003</v>
      </c>
      <c r="B110" s="2"/>
      <c r="C110" s="2"/>
      <c r="D110" s="93" t="s">
        <v>1671</v>
      </c>
      <c r="E110" s="65"/>
      <c r="F110" s="65"/>
      <c r="G110" s="94">
        <f>IF($A110=0,"",VLOOKUP($A110,'BASE MATERIAL'!$M:$P,4))</f>
        <v>0</v>
      </c>
      <c r="H110" s="95">
        <f>IF($A110=0,"",ROUND(G110*H108,2))</f>
        <v>0</v>
      </c>
      <c r="I110" s="2"/>
    </row>
    <row r="111" spans="1:16" s="1" customFormat="1" ht="15.75" x14ac:dyDescent="0.25">
      <c r="A111" s="103"/>
      <c r="B111" s="2"/>
      <c r="C111" s="2"/>
      <c r="D111" s="93" t="s">
        <v>1670</v>
      </c>
      <c r="E111" s="65"/>
      <c r="F111" s="65"/>
      <c r="G111" s="65"/>
      <c r="H111" s="96">
        <f>ROUND(SUM(H108:H110),2)</f>
        <v>266.39999999999998</v>
      </c>
      <c r="I111" s="2"/>
    </row>
    <row r="112" spans="1:16" s="1" customFormat="1" ht="16.5" thickBot="1" x14ac:dyDescent="0.3">
      <c r="A112" s="103"/>
      <c r="B112" s="25"/>
      <c r="C112" s="2"/>
      <c r="D112" s="97" t="s">
        <v>1650</v>
      </c>
      <c r="E112" s="88"/>
      <c r="F112" s="88"/>
      <c r="G112" s="88"/>
      <c r="H112" s="98">
        <f>ROUND(H111,2)</f>
        <v>266.39999999999998</v>
      </c>
      <c r="I112" s="2"/>
    </row>
    <row r="113" spans="1:15" s="1" customFormat="1" ht="15.75" x14ac:dyDescent="0.25">
      <c r="A113" s="103"/>
      <c r="B113" s="34" t="s">
        <v>1701</v>
      </c>
      <c r="C113" s="2"/>
      <c r="D113" s="3" t="str">
        <f>'1.1'!$D$1</f>
        <v>ESPOL</v>
      </c>
      <c r="E113" s="2"/>
      <c r="F113" s="2"/>
      <c r="H113" s="2" t="s">
        <v>108</v>
      </c>
      <c r="I113" s="2"/>
      <c r="L113" s="40">
        <f>A117</f>
        <v>2</v>
      </c>
      <c r="M113" s="1" t="str">
        <f>C118</f>
        <v xml:space="preserve">Puertas madera (0.70m x 2,00m). </v>
      </c>
      <c r="N113" s="2" t="str">
        <f>H117</f>
        <v>u</v>
      </c>
      <c r="O113" s="2">
        <f>H168</f>
        <v>258.47000000000003</v>
      </c>
    </row>
    <row r="114" spans="1:15" s="1" customFormat="1" ht="15.75" x14ac:dyDescent="0.25">
      <c r="A114" s="103"/>
      <c r="B114" s="34" t="s">
        <v>1700</v>
      </c>
      <c r="C114" s="3">
        <f>'1.1'!$C$2</f>
        <v>0</v>
      </c>
      <c r="D114" s="2"/>
      <c r="E114" s="2"/>
      <c r="F114" s="2"/>
      <c r="G114" s="41" t="s">
        <v>1699</v>
      </c>
      <c r="H114" s="42"/>
      <c r="I114" s="2" t="s">
        <v>1698</v>
      </c>
    </row>
    <row r="115" spans="1:15" s="1" customFormat="1" ht="15.75" x14ac:dyDescent="0.25">
      <c r="A115" s="103"/>
      <c r="B115" s="34"/>
      <c r="C115" s="3">
        <f>'1.1'!$C$3</f>
        <v>0</v>
      </c>
      <c r="D115" s="2"/>
      <c r="E115" s="2"/>
      <c r="F115" s="2"/>
      <c r="G115" s="2"/>
      <c r="H115" s="2"/>
      <c r="I115" s="2"/>
    </row>
    <row r="116" spans="1:15" s="1" customFormat="1" ht="15.75" x14ac:dyDescent="0.25">
      <c r="A116" s="103"/>
      <c r="B116" s="34" t="s">
        <v>1697</v>
      </c>
      <c r="C116" s="3"/>
      <c r="D116" s="2"/>
      <c r="E116" s="2"/>
      <c r="F116" s="2"/>
      <c r="G116" s="2"/>
      <c r="H116" s="2"/>
      <c r="I116" s="2"/>
    </row>
    <row r="117" spans="1:15" s="1" customFormat="1" ht="15" x14ac:dyDescent="0.25">
      <c r="A117" s="104">
        <v>2</v>
      </c>
      <c r="B117" s="2" t="s">
        <v>1586</v>
      </c>
      <c r="C117" s="36" t="s">
        <v>203</v>
      </c>
      <c r="D117" s="2"/>
      <c r="G117" s="2" t="s">
        <v>1696</v>
      </c>
      <c r="H117" s="3" t="s">
        <v>1506</v>
      </c>
      <c r="I117" s="2"/>
    </row>
    <row r="118" spans="1:15" s="1" customFormat="1" ht="15" x14ac:dyDescent="0.25">
      <c r="A118" s="103"/>
      <c r="B118" s="1" t="s">
        <v>1585</v>
      </c>
      <c r="C118" s="36" t="s">
        <v>71</v>
      </c>
      <c r="D118" s="2"/>
      <c r="E118" s="2"/>
      <c r="F118" s="2"/>
      <c r="G118" s="2"/>
      <c r="H118" s="2"/>
      <c r="I118" s="2"/>
    </row>
    <row r="119" spans="1:15" s="1" customFormat="1" ht="15.75" thickBot="1" x14ac:dyDescent="0.3">
      <c r="A119" s="103"/>
      <c r="D119" s="2"/>
      <c r="E119" s="2"/>
      <c r="F119" s="2"/>
      <c r="G119" s="2"/>
      <c r="H119" s="2"/>
      <c r="I119" s="2"/>
    </row>
    <row r="120" spans="1:15" s="1" customFormat="1" ht="15.75" thickBot="1" x14ac:dyDescent="0.3">
      <c r="A120" s="103"/>
      <c r="B120" s="43" t="s">
        <v>1695</v>
      </c>
      <c r="C120" s="44"/>
      <c r="D120" s="44"/>
      <c r="E120" s="44"/>
      <c r="F120" s="44"/>
      <c r="G120" s="44"/>
      <c r="H120" s="45"/>
      <c r="I120" s="2"/>
    </row>
    <row r="121" spans="1:15" s="1" customFormat="1" ht="25.5" x14ac:dyDescent="0.25">
      <c r="A121" s="103"/>
      <c r="B121" s="46" t="s">
        <v>1409</v>
      </c>
      <c r="C121" s="47"/>
      <c r="D121" s="48" t="s">
        <v>1690</v>
      </c>
      <c r="E121" s="48" t="s">
        <v>1694</v>
      </c>
      <c r="F121" s="48" t="s">
        <v>1693</v>
      </c>
      <c r="G121" s="49" t="s">
        <v>1687</v>
      </c>
      <c r="H121" s="50" t="s">
        <v>1686</v>
      </c>
      <c r="I121" s="2"/>
    </row>
    <row r="122" spans="1:15" s="1" customFormat="1" ht="15" x14ac:dyDescent="0.25">
      <c r="A122" s="103">
        <v>19015</v>
      </c>
      <c r="B122" s="51" t="str">
        <f>IF($A122=0,"",VLOOKUP($A122,'BASE EQUIPO'!$A:$D,2))</f>
        <v>HERRAMIENTA MENOR</v>
      </c>
      <c r="C122" s="52"/>
      <c r="D122" s="53">
        <v>1</v>
      </c>
      <c r="E122" s="53">
        <f>IF($A122=0,"",VLOOKUP($A122,'BASE EQUIPO'!$A:$D,4)*H138)</f>
        <v>1.5173999999999999</v>
      </c>
      <c r="F122" s="53">
        <f t="shared" ref="F122:F127" si="10">IF($A122=0,"",ROUND(D122*E122,2))</f>
        <v>1.52</v>
      </c>
      <c r="G122" s="105">
        <v>1</v>
      </c>
      <c r="H122" s="54">
        <f t="shared" ref="H122:H127" si="11">IF($A122=0,"",ROUND(G122*F122,2))</f>
        <v>1.52</v>
      </c>
      <c r="I122" s="2"/>
    </row>
    <row r="123" spans="1:15" s="1" customFormat="1" ht="15" x14ac:dyDescent="0.25">
      <c r="A123" s="103"/>
      <c r="B123" s="38" t="str">
        <f>IF($A123=0,"",VLOOKUP($A123,'BASE EQUIPO'!$A:$D,2))</f>
        <v/>
      </c>
      <c r="C123" s="2"/>
      <c r="D123" s="55"/>
      <c r="E123" s="55" t="str">
        <f>IF($A123=0,"",VLOOKUP($A123,'BASE EQUIPO'!$A:$D,4))</f>
        <v/>
      </c>
      <c r="F123" s="55" t="str">
        <f t="shared" si="10"/>
        <v/>
      </c>
      <c r="G123" s="106"/>
      <c r="H123" s="56" t="str">
        <f t="shared" si="11"/>
        <v/>
      </c>
      <c r="I123" s="2"/>
    </row>
    <row r="124" spans="1:15" s="1" customFormat="1" ht="15" x14ac:dyDescent="0.25">
      <c r="A124" s="103"/>
      <c r="B124" s="38" t="str">
        <f>IF($A124=0,"",VLOOKUP($A124,'BASE EQUIPO'!$A:$D,2))</f>
        <v/>
      </c>
      <c r="C124" s="2"/>
      <c r="D124" s="55"/>
      <c r="E124" s="55" t="str">
        <f>IF($A124=0,"",VLOOKUP($A124,'BASE EQUIPO'!$A:$D,4))</f>
        <v/>
      </c>
      <c r="F124" s="55" t="str">
        <f t="shared" si="10"/>
        <v/>
      </c>
      <c r="G124" s="106"/>
      <c r="H124" s="56" t="str">
        <f t="shared" si="11"/>
        <v/>
      </c>
      <c r="I124" s="2"/>
    </row>
    <row r="125" spans="1:15" s="1" customFormat="1" ht="15" x14ac:dyDescent="0.25">
      <c r="A125" s="103"/>
      <c r="B125" s="38" t="str">
        <f>IF($A125=0,"",VLOOKUP($A125,'BASE EQUIPO'!$A:$D,2))</f>
        <v/>
      </c>
      <c r="C125" s="2"/>
      <c r="D125" s="55"/>
      <c r="E125" s="55" t="str">
        <f>IF($A125=0,"",VLOOKUP($A125,'BASE EQUIPO'!$A:$D,4))</f>
        <v/>
      </c>
      <c r="F125" s="55" t="str">
        <f t="shared" si="10"/>
        <v/>
      </c>
      <c r="G125" s="106"/>
      <c r="H125" s="56" t="str">
        <f t="shared" si="11"/>
        <v/>
      </c>
      <c r="I125" s="2"/>
    </row>
    <row r="126" spans="1:15" s="1" customFormat="1" ht="15" x14ac:dyDescent="0.25">
      <c r="A126" s="103"/>
      <c r="B126" s="38" t="str">
        <f>IF($A126=0,"",VLOOKUP($A126,'BASE EQUIPO'!$A:$D,2))</f>
        <v/>
      </c>
      <c r="C126" s="2"/>
      <c r="D126" s="55"/>
      <c r="E126" s="55" t="str">
        <f>IF($A126=0,"",VLOOKUP($A126,'BASE EQUIPO'!$A:$D,4))</f>
        <v/>
      </c>
      <c r="F126" s="55" t="str">
        <f t="shared" si="10"/>
        <v/>
      </c>
      <c r="G126" s="106"/>
      <c r="H126" s="56" t="str">
        <f t="shared" si="11"/>
        <v/>
      </c>
      <c r="I126" s="2"/>
    </row>
    <row r="127" spans="1:15" s="1" customFormat="1" ht="15" x14ac:dyDescent="0.25">
      <c r="A127" s="103"/>
      <c r="B127" s="57" t="str">
        <f>IF($A127=0,"",VLOOKUP($A127,'BASE EQUIPO'!$A:$D,2))</f>
        <v/>
      </c>
      <c r="C127" s="58"/>
      <c r="D127" s="59"/>
      <c r="E127" s="59" t="str">
        <f>IF($A127=0,"",VLOOKUP($A127,'BASE EQUIPO'!$A:$D,4))</f>
        <v/>
      </c>
      <c r="F127" s="59" t="str">
        <f t="shared" si="10"/>
        <v/>
      </c>
      <c r="G127" s="107"/>
      <c r="H127" s="60" t="str">
        <f t="shared" si="11"/>
        <v/>
      </c>
      <c r="I127" s="2"/>
    </row>
    <row r="128" spans="1:15" s="1" customFormat="1" ht="15" x14ac:dyDescent="0.25">
      <c r="A128" s="103"/>
      <c r="B128" s="57" t="s">
        <v>1692</v>
      </c>
      <c r="C128" s="58"/>
      <c r="D128" s="61"/>
      <c r="E128" s="61"/>
      <c r="F128" s="61"/>
      <c r="G128" s="62"/>
      <c r="H128" s="60">
        <f>ROUND(SUM(H121:H127),2)</f>
        <v>1.52</v>
      </c>
      <c r="I128" s="2"/>
    </row>
    <row r="129" spans="1:11" s="1" customFormat="1" ht="15" x14ac:dyDescent="0.25">
      <c r="A129" s="103"/>
      <c r="B129" s="38" t="s">
        <v>1503</v>
      </c>
      <c r="C129" s="2"/>
      <c r="D129" s="3"/>
      <c r="E129" s="3"/>
      <c r="F129" s="3"/>
      <c r="G129" s="63"/>
      <c r="H129" s="56"/>
      <c r="I129" s="2"/>
    </row>
    <row r="130" spans="1:11" s="1" customFormat="1" ht="25.5" x14ac:dyDescent="0.25">
      <c r="A130" s="103"/>
      <c r="B130" s="64" t="s">
        <v>1691</v>
      </c>
      <c r="C130" s="65"/>
      <c r="D130" s="66" t="s">
        <v>1690</v>
      </c>
      <c r="E130" s="66" t="s">
        <v>1689</v>
      </c>
      <c r="F130" s="66" t="s">
        <v>1688</v>
      </c>
      <c r="G130" s="67" t="s">
        <v>1687</v>
      </c>
      <c r="H130" s="68" t="s">
        <v>1686</v>
      </c>
      <c r="I130" s="2"/>
    </row>
    <row r="131" spans="1:11" s="1" customFormat="1" ht="15" x14ac:dyDescent="0.25">
      <c r="A131" s="103"/>
      <c r="B131" s="69" t="str">
        <f>IF($A131=0,"",VLOOKUP($A131,'BASE M-OBRA'!$A:$D,2))</f>
        <v/>
      </c>
      <c r="C131" s="2"/>
      <c r="D131" s="108"/>
      <c r="E131" s="70" t="str">
        <f>IF($A131=0,"",VLOOKUP($A131,'BASE M-OBRA'!$A:$D,4))</f>
        <v/>
      </c>
      <c r="F131" s="55" t="str">
        <f t="shared" ref="F131:F137" si="12">IF($A131=0,"",ROUND(D131*E131,2))</f>
        <v/>
      </c>
      <c r="G131" s="106" t="str">
        <f>IF($A131=0,"",ROUND(H131/F131,2))</f>
        <v/>
      </c>
      <c r="H131" s="56" t="str">
        <f>IF($A131=0,"",ROUND(SUM(H132:H137)*'BASE M-OBRA'!$D$23,2))</f>
        <v/>
      </c>
      <c r="I131" s="2"/>
    </row>
    <row r="132" spans="1:11" s="1" customFormat="1" ht="15" x14ac:dyDescent="0.25">
      <c r="A132" s="103">
        <v>20019</v>
      </c>
      <c r="B132" s="69" t="str">
        <f>IF($A132=0,"",VLOOKUP($A132,'BASE M-OBRA'!$A:$D,2))</f>
        <v>INSTALADOR</v>
      </c>
      <c r="C132" s="2"/>
      <c r="D132" s="108">
        <v>1</v>
      </c>
      <c r="E132" s="70">
        <f>IF($A132=0,"",VLOOKUP($A132,'BASE M-OBRA'!$A:$D,4))</f>
        <v>2.82</v>
      </c>
      <c r="F132" s="55">
        <f t="shared" si="12"/>
        <v>2.82</v>
      </c>
      <c r="G132" s="106">
        <v>6</v>
      </c>
      <c r="H132" s="56">
        <f t="shared" ref="H132:H137" si="13">IF($A132=0,"",ROUND(G132*F132,2))</f>
        <v>16.920000000000002</v>
      </c>
      <c r="I132" s="2"/>
      <c r="K132" s="1">
        <f>320/8</f>
        <v>40</v>
      </c>
    </row>
    <row r="133" spans="1:11" s="1" customFormat="1" ht="15" x14ac:dyDescent="0.25">
      <c r="A133" s="103">
        <v>20011</v>
      </c>
      <c r="B133" s="69" t="str">
        <f>IF($A133=0,"",VLOOKUP($A133,'BASE M-OBRA'!$A:$D,2))</f>
        <v>AYUDANTE ESPECIALISTA</v>
      </c>
      <c r="C133" s="2"/>
      <c r="D133" s="108">
        <v>1</v>
      </c>
      <c r="E133" s="70">
        <f>IF($A133=0,"",VLOOKUP($A133,'BASE M-OBRA'!$A:$D,4))</f>
        <v>2.79</v>
      </c>
      <c r="F133" s="55">
        <f t="shared" si="12"/>
        <v>2.79</v>
      </c>
      <c r="G133" s="106">
        <f>+G132</f>
        <v>6</v>
      </c>
      <c r="H133" s="56">
        <f t="shared" si="13"/>
        <v>16.739999999999998</v>
      </c>
      <c r="I133" s="2"/>
    </row>
    <row r="134" spans="1:11" s="1" customFormat="1" ht="15" x14ac:dyDescent="0.25">
      <c r="A134" s="103">
        <v>20020</v>
      </c>
      <c r="B134" s="71" t="str">
        <f>IF($A134=0,"",VLOOKUP($A134,'BASE M-OBRA'!$A:$D,2))</f>
        <v>EBANISTA</v>
      </c>
      <c r="C134" s="2"/>
      <c r="D134" s="108">
        <v>1</v>
      </c>
      <c r="E134" s="70">
        <f>IF($A134=0,"",VLOOKUP($A134,'BASE M-OBRA'!$A:$D,4))</f>
        <v>2.82</v>
      </c>
      <c r="F134" s="55">
        <f t="shared" si="12"/>
        <v>2.82</v>
      </c>
      <c r="G134" s="106">
        <f>+G133</f>
        <v>6</v>
      </c>
      <c r="H134" s="56">
        <f t="shared" si="13"/>
        <v>16.920000000000002</v>
      </c>
      <c r="I134" s="2"/>
      <c r="J134" s="1">
        <f>0.25*30000</f>
        <v>7500</v>
      </c>
    </row>
    <row r="135" spans="1:11" s="1" customFormat="1" ht="15" x14ac:dyDescent="0.25">
      <c r="A135" s="103"/>
      <c r="B135" s="72" t="str">
        <f>IF($A135=0,"",VLOOKUP($A135,'BASE M-OBRA'!$A:$D,2))</f>
        <v/>
      </c>
      <c r="C135" s="2"/>
      <c r="D135" s="108"/>
      <c r="E135" s="70" t="str">
        <f>IF($A135=0,"",VLOOKUP($A135,'BASE M-OBRA'!$A:$D,4))</f>
        <v/>
      </c>
      <c r="F135" s="55" t="str">
        <f t="shared" si="12"/>
        <v/>
      </c>
      <c r="G135" s="106"/>
      <c r="H135" s="56" t="str">
        <f t="shared" si="13"/>
        <v/>
      </c>
      <c r="I135" s="2"/>
    </row>
    <row r="136" spans="1:11" s="1" customFormat="1" ht="15" x14ac:dyDescent="0.25">
      <c r="A136" s="103"/>
      <c r="B136" s="38" t="str">
        <f>IF($A136=0,"",VLOOKUP($A136,'BASE M-OBRA'!$A:$D,2))</f>
        <v/>
      </c>
      <c r="C136" s="2"/>
      <c r="D136" s="55"/>
      <c r="E136" s="55" t="str">
        <f>IF($A136=0,"",VLOOKUP($A136,'BASE M-OBRA'!$A:$D,4))</f>
        <v/>
      </c>
      <c r="F136" s="55" t="str">
        <f t="shared" si="12"/>
        <v/>
      </c>
      <c r="G136" s="106"/>
      <c r="H136" s="56" t="str">
        <f t="shared" si="13"/>
        <v/>
      </c>
      <c r="I136" s="2"/>
    </row>
    <row r="137" spans="1:11" s="1" customFormat="1" ht="15" x14ac:dyDescent="0.25">
      <c r="A137" s="103"/>
      <c r="B137" s="57" t="str">
        <f>IF($A137=0,"",VLOOKUP($A137,'BASE M-OBRA'!$A:$D,2))</f>
        <v/>
      </c>
      <c r="C137" s="58"/>
      <c r="D137" s="59"/>
      <c r="E137" s="59" t="str">
        <f>IF($A137=0,"",VLOOKUP($A137,'BASE M-OBRA'!$A:$D,4))</f>
        <v/>
      </c>
      <c r="F137" s="59" t="str">
        <f t="shared" si="12"/>
        <v/>
      </c>
      <c r="G137" s="107"/>
      <c r="H137" s="60" t="str">
        <f t="shared" si="13"/>
        <v/>
      </c>
      <c r="I137" s="2"/>
    </row>
    <row r="138" spans="1:11" s="1" customFormat="1" ht="15" x14ac:dyDescent="0.25">
      <c r="A138" s="103"/>
      <c r="B138" s="73" t="s">
        <v>1685</v>
      </c>
      <c r="C138" s="65"/>
      <c r="D138" s="74"/>
      <c r="E138" s="74"/>
      <c r="F138" s="74"/>
      <c r="G138" s="74"/>
      <c r="H138" s="75">
        <f>ROUND(SUM(H130:H137),2)</f>
        <v>50.58</v>
      </c>
      <c r="I138" s="2"/>
      <c r="J138" s="1">
        <f>13200*0.3</f>
        <v>3960</v>
      </c>
    </row>
    <row r="139" spans="1:11" s="1" customFormat="1" ht="15" x14ac:dyDescent="0.25">
      <c r="A139" s="103"/>
      <c r="B139" s="38" t="s">
        <v>1684</v>
      </c>
      <c r="C139" s="2"/>
      <c r="D139" s="3"/>
      <c r="E139" s="3"/>
      <c r="F139" s="3"/>
      <c r="G139" s="3"/>
      <c r="H139" s="56"/>
      <c r="I139" s="2"/>
    </row>
    <row r="140" spans="1:11" s="1" customFormat="1" ht="25.5" x14ac:dyDescent="0.25">
      <c r="A140" s="103"/>
      <c r="B140" s="64" t="s">
        <v>1409</v>
      </c>
      <c r="C140" s="65"/>
      <c r="D140" s="76"/>
      <c r="E140" s="66" t="s">
        <v>1408</v>
      </c>
      <c r="F140" s="66" t="s">
        <v>1679</v>
      </c>
      <c r="G140" s="66" t="s">
        <v>1683</v>
      </c>
      <c r="H140" s="68" t="s">
        <v>1675</v>
      </c>
      <c r="I140" s="2"/>
    </row>
    <row r="141" spans="1:11" s="1" customFormat="1" ht="15" x14ac:dyDescent="0.25">
      <c r="A141" s="103">
        <v>10004</v>
      </c>
      <c r="B141" s="38" t="str">
        <f>IF($A141=0,"",VLOOKUP($A141,'BASE MATERIAL'!$A:$D,2))</f>
        <v>PUERTA MADERA DURA  70x200</v>
      </c>
      <c r="C141" s="2"/>
      <c r="D141" s="77"/>
      <c r="E141" s="78" t="str">
        <f>IF($A141=0,"",VLOOKUP($A141,'BASE MATERIAL'!$A:$D,3))</f>
        <v>U</v>
      </c>
      <c r="F141" s="55">
        <v>1</v>
      </c>
      <c r="G141" s="55">
        <f>IF($A141=0,"",VLOOKUP($A141,'BASE MATERIAL'!$A:$D,4))</f>
        <v>95</v>
      </c>
      <c r="H141" s="56">
        <f t="shared" ref="H141:H155" si="14">IF($A141=0,"",ROUND(F141*G141,2))</f>
        <v>95</v>
      </c>
      <c r="I141" s="2"/>
    </row>
    <row r="142" spans="1:11" s="1" customFormat="1" ht="15" x14ac:dyDescent="0.25">
      <c r="A142" s="103">
        <v>10006</v>
      </c>
      <c r="B142" s="38" t="str">
        <f>IF($A142=0,"",VLOOKUP($A142,'BASE MATERIAL'!$A:$D,2))</f>
        <v>BATIENTE MADERA DURA</v>
      </c>
      <c r="C142" s="2"/>
      <c r="D142" s="77"/>
      <c r="E142" s="78" t="str">
        <f>IF($A142=0,"",VLOOKUP($A142,'BASE MATERIAL'!$A:$D,3))</f>
        <v>JUEGO</v>
      </c>
      <c r="F142" s="55">
        <v>1</v>
      </c>
      <c r="G142" s="55">
        <f>IF($A142=0,"",VLOOKUP($A142,'BASE MATERIAL'!$A:$D,4))</f>
        <v>36</v>
      </c>
      <c r="H142" s="56">
        <f t="shared" si="14"/>
        <v>36</v>
      </c>
      <c r="I142" s="2"/>
    </row>
    <row r="143" spans="1:11" s="1" customFormat="1" ht="15" x14ac:dyDescent="0.25">
      <c r="A143" s="103">
        <v>10008</v>
      </c>
      <c r="B143" s="38" t="str">
        <f>IF($A143=0,"",VLOOKUP($A143,'BASE MATERIAL'!$A:$D,2))</f>
        <v>JAMBA MADERA DURA</v>
      </c>
      <c r="C143" s="2"/>
      <c r="D143" s="77"/>
      <c r="E143" s="78" t="str">
        <f>IF($A143=0,"",VLOOKUP($A143,'BASE MATERIAL'!$A:$D,3))</f>
        <v>JUEGO</v>
      </c>
      <c r="F143" s="55">
        <v>2</v>
      </c>
      <c r="G143" s="55">
        <f>IF($A143=0,"",VLOOKUP($A143,'BASE MATERIAL'!$A:$D,4))</f>
        <v>12</v>
      </c>
      <c r="H143" s="56">
        <f t="shared" si="14"/>
        <v>24</v>
      </c>
      <c r="I143" s="2"/>
    </row>
    <row r="144" spans="1:11" s="1" customFormat="1" ht="15" x14ac:dyDescent="0.25">
      <c r="A144" s="103"/>
      <c r="B144" s="38" t="str">
        <f>IF($A144=0,"",VLOOKUP($A144,'BASE MATERIAL'!$A:$D,2))</f>
        <v/>
      </c>
      <c r="C144" s="2"/>
      <c r="D144" s="77"/>
      <c r="E144" s="78" t="str">
        <f>IF($A144=0,"",VLOOKUP($A144,'BASE MATERIAL'!$A:$D,3))</f>
        <v/>
      </c>
      <c r="F144" s="55"/>
      <c r="G144" s="55" t="str">
        <f>IF($A144=0,"",VLOOKUP($A144,'BASE MATERIAL'!$A:$D,4))</f>
        <v/>
      </c>
      <c r="H144" s="56" t="str">
        <f t="shared" si="14"/>
        <v/>
      </c>
      <c r="I144" s="2"/>
    </row>
    <row r="145" spans="1:16" s="1" customFormat="1" ht="15" x14ac:dyDescent="0.25">
      <c r="A145" s="103">
        <v>10012</v>
      </c>
      <c r="B145" s="38" t="str">
        <f>IF($A145=0,"",VLOOKUP($A145,'BASE MATERIAL'!$A:$D,2))</f>
        <v>CERRADURA  POMO</v>
      </c>
      <c r="C145" s="2"/>
      <c r="D145" s="77"/>
      <c r="E145" s="78" t="str">
        <f>IF($A145=0,"",VLOOKUP($A145,'BASE MATERIAL'!$A:$D,3))</f>
        <v>U</v>
      </c>
      <c r="F145" s="55">
        <v>1</v>
      </c>
      <c r="G145" s="55">
        <f>IF($A145=0,"",VLOOKUP($A145,'BASE MATERIAL'!$A:$D,4))</f>
        <v>16</v>
      </c>
      <c r="H145" s="56">
        <f t="shared" si="14"/>
        <v>16</v>
      </c>
      <c r="I145" s="2"/>
    </row>
    <row r="146" spans="1:16" s="1" customFormat="1" ht="15" x14ac:dyDescent="0.25">
      <c r="A146" s="103">
        <v>10016</v>
      </c>
      <c r="B146" s="38" t="str">
        <f>IF($A146=0,"",VLOOKUP($A146,'BASE MATERIAL'!$A:$D,2))</f>
        <v>BISAGRA CROMADA</v>
      </c>
      <c r="C146" s="2"/>
      <c r="D146" s="77"/>
      <c r="E146" s="78" t="str">
        <f>IF($A146=0,"",VLOOKUP($A146,'BASE MATERIAL'!$A:$D,3))</f>
        <v>U</v>
      </c>
      <c r="F146" s="55">
        <v>3</v>
      </c>
      <c r="G146" s="55">
        <f>IF($A146=0,"",VLOOKUP($A146,'BASE MATERIAL'!$A:$D,4))</f>
        <v>1.2</v>
      </c>
      <c r="H146" s="56">
        <f t="shared" si="14"/>
        <v>3.6</v>
      </c>
      <c r="I146" s="2"/>
    </row>
    <row r="147" spans="1:16" s="1" customFormat="1" ht="15" x14ac:dyDescent="0.25">
      <c r="A147" s="103">
        <v>13008</v>
      </c>
      <c r="B147" s="38" t="str">
        <f>IF($A147=0,"",VLOOKUP($A147,'BASE MATERIAL'!$A:$D,2))</f>
        <v>LACA</v>
      </c>
      <c r="C147" s="2"/>
      <c r="D147" s="77"/>
      <c r="E147" s="78" t="str">
        <f>IF($A147=0,"",VLOOKUP($A147,'BASE MATERIAL'!$A:$D,3))</f>
        <v>GL</v>
      </c>
      <c r="F147" s="55">
        <f>((1/12)*3)*0.7*2*2</f>
        <v>0.7</v>
      </c>
      <c r="G147" s="55">
        <f>IF($A147=0,"",VLOOKUP($A147,'BASE MATERIAL'!$A:$D,4))</f>
        <v>24.04</v>
      </c>
      <c r="H147" s="56">
        <f t="shared" si="14"/>
        <v>16.829999999999998</v>
      </c>
      <c r="I147" s="2"/>
    </row>
    <row r="148" spans="1:16" s="1" customFormat="1" ht="15" x14ac:dyDescent="0.25">
      <c r="A148" s="103">
        <v>13009</v>
      </c>
      <c r="B148" s="38" t="str">
        <f>IF($A148=0,"",VLOOKUP($A148,'BASE MATERIAL'!$A:$D,2))</f>
        <v>SELLADOR DE MADERA</v>
      </c>
      <c r="C148" s="2"/>
      <c r="D148" s="77"/>
      <c r="E148" s="78" t="str">
        <f>IF($A148=0,"",VLOOKUP($A148,'BASE MATERIAL'!$A:$D,3))</f>
        <v>GL</v>
      </c>
      <c r="F148" s="55">
        <f>((1/20)*2)*0.8*2*2</f>
        <v>0.32000000000000006</v>
      </c>
      <c r="G148" s="55">
        <f>IF($A148=0,"",VLOOKUP($A148,'BASE MATERIAL'!$A:$D,4))</f>
        <v>18.329999999999998</v>
      </c>
      <c r="H148" s="56">
        <f t="shared" si="14"/>
        <v>5.87</v>
      </c>
      <c r="I148" s="2"/>
    </row>
    <row r="149" spans="1:16" s="1" customFormat="1" ht="15" x14ac:dyDescent="0.25">
      <c r="A149" s="103">
        <v>13010</v>
      </c>
      <c r="B149" s="38" t="str">
        <f>IF($A149=0,"",VLOOKUP($A149,'BASE MATERIAL'!$A:$D,2))</f>
        <v>DILUYENTE</v>
      </c>
      <c r="C149" s="2"/>
      <c r="D149" s="77"/>
      <c r="E149" s="78" t="str">
        <f>IF($A149=0,"",VLOOKUP($A149,'BASE MATERIAL'!$A:$D,3))</f>
        <v>GL</v>
      </c>
      <c r="F149" s="55">
        <f>(F147+F148)*0.5</f>
        <v>0.51</v>
      </c>
      <c r="G149" s="55">
        <f>IF($A149=0,"",VLOOKUP($A149,'BASE MATERIAL'!$A:$D,4))</f>
        <v>6</v>
      </c>
      <c r="H149" s="56">
        <f t="shared" si="14"/>
        <v>3.06</v>
      </c>
      <c r="I149" s="2"/>
    </row>
    <row r="150" spans="1:16" s="1" customFormat="1" ht="15" x14ac:dyDescent="0.25">
      <c r="A150" s="103"/>
      <c r="B150" s="38" t="str">
        <f>IF($A150=0,"",VLOOKUP($A150,'BASE MATERIAL'!$A:$D,2))</f>
        <v/>
      </c>
      <c r="C150" s="2"/>
      <c r="D150" s="77"/>
      <c r="E150" s="78" t="str">
        <f>IF($A150=0,"",VLOOKUP($A150,'BASE MATERIAL'!$A:$D,3))</f>
        <v/>
      </c>
      <c r="F150" s="55"/>
      <c r="G150" s="55" t="str">
        <f>IF($A150=0,"",VLOOKUP($A150,'BASE MATERIAL'!$A:$D,4))</f>
        <v/>
      </c>
      <c r="H150" s="56" t="str">
        <f t="shared" si="14"/>
        <v/>
      </c>
      <c r="I150" s="2"/>
      <c r="L150" s="2"/>
      <c r="M150" s="2"/>
      <c r="N150" s="39"/>
      <c r="O150" s="2"/>
      <c r="P150" s="2"/>
    </row>
    <row r="151" spans="1:16" s="1" customFormat="1" ht="15" x14ac:dyDescent="0.25">
      <c r="A151" s="103"/>
      <c r="B151" s="38" t="str">
        <f>IF($A151=0,"",VLOOKUP($A151,'BASE MATERIAL'!$A:$D,2))</f>
        <v/>
      </c>
      <c r="C151" s="2"/>
      <c r="D151" s="77"/>
      <c r="E151" s="78" t="str">
        <f>IF($A151=0,"",VLOOKUP($A151,'BASE MATERIAL'!$A:$D,3))</f>
        <v/>
      </c>
      <c r="F151" s="55"/>
      <c r="G151" s="55" t="str">
        <f>IF($A151=0,"",VLOOKUP($A151,'BASE MATERIAL'!$A:$D,4))</f>
        <v/>
      </c>
      <c r="H151" s="56" t="str">
        <f t="shared" si="14"/>
        <v/>
      </c>
      <c r="I151" s="2"/>
      <c r="L151" s="2"/>
      <c r="M151" s="2"/>
      <c r="N151" s="39"/>
      <c r="O151" s="2"/>
      <c r="P151" s="2"/>
    </row>
    <row r="152" spans="1:16" s="1" customFormat="1" ht="15" x14ac:dyDescent="0.25">
      <c r="A152" s="103"/>
      <c r="B152" s="38" t="str">
        <f>IF($A152=0,"",VLOOKUP($A152,'BASE MATERIAL'!$A:$D,2))</f>
        <v/>
      </c>
      <c r="C152" s="2"/>
      <c r="D152" s="77"/>
      <c r="E152" s="78" t="str">
        <f>IF($A152=0,"",VLOOKUP($A152,'BASE MATERIAL'!$A:$D,3))</f>
        <v/>
      </c>
      <c r="F152" s="55"/>
      <c r="G152" s="55" t="str">
        <f>IF($A152=0,"",VLOOKUP($A152,'BASE MATERIAL'!$A:$D,4))</f>
        <v/>
      </c>
      <c r="H152" s="56" t="str">
        <f t="shared" si="14"/>
        <v/>
      </c>
      <c r="I152" s="2"/>
      <c r="L152" s="2"/>
      <c r="M152" s="2"/>
      <c r="N152" s="39"/>
      <c r="O152" s="2"/>
      <c r="P152" s="2"/>
    </row>
    <row r="153" spans="1:16" s="1" customFormat="1" ht="15" x14ac:dyDescent="0.25">
      <c r="A153" s="103"/>
      <c r="B153" s="38" t="str">
        <f>IF($A153=0,"",VLOOKUP($A153,'BASE MATERIAL'!$A:$D,2))</f>
        <v/>
      </c>
      <c r="C153" s="2"/>
      <c r="D153" s="77"/>
      <c r="E153" s="78" t="str">
        <f>IF($A153=0,"",VLOOKUP($A153,'BASE MATERIAL'!$A:$D,3))</f>
        <v/>
      </c>
      <c r="F153" s="55"/>
      <c r="G153" s="55" t="str">
        <f>IF($A153=0,"",VLOOKUP($A153,'BASE MATERIAL'!$A:$D,4))</f>
        <v/>
      </c>
      <c r="H153" s="56" t="str">
        <f t="shared" si="14"/>
        <v/>
      </c>
      <c r="I153" s="2"/>
      <c r="L153" s="2"/>
      <c r="M153" s="2"/>
      <c r="N153" s="39"/>
      <c r="O153" s="2"/>
      <c r="P153" s="2"/>
    </row>
    <row r="154" spans="1:16" s="1" customFormat="1" ht="15" x14ac:dyDescent="0.25">
      <c r="A154" s="103"/>
      <c r="B154" s="38" t="str">
        <f>IF($A154=0,"",VLOOKUP($A154,'BASE MATERIAL'!$A:$D,2))</f>
        <v/>
      </c>
      <c r="C154" s="2"/>
      <c r="D154" s="77"/>
      <c r="E154" s="78" t="str">
        <f>IF($A154=0,"",VLOOKUP($A154,'BASE MATERIAL'!$A:$D,3))</f>
        <v/>
      </c>
      <c r="F154" s="55"/>
      <c r="G154" s="55" t="str">
        <f>IF($A154=0,"",VLOOKUP($A154,'BASE MATERIAL'!$A:$D,4))</f>
        <v/>
      </c>
      <c r="H154" s="56" t="str">
        <f t="shared" si="14"/>
        <v/>
      </c>
      <c r="I154" s="2"/>
      <c r="L154" s="2"/>
      <c r="M154" s="2"/>
      <c r="N154" s="39"/>
      <c r="O154" s="2"/>
      <c r="P154" s="2"/>
    </row>
    <row r="155" spans="1:16" s="1" customFormat="1" ht="15" x14ac:dyDescent="0.25">
      <c r="A155" s="103"/>
      <c r="B155" s="38" t="str">
        <f>IF($A155=0,"",VLOOKUP($A155,'BASE MATERIAL'!$A:$D,2))</f>
        <v/>
      </c>
      <c r="C155" s="2"/>
      <c r="D155" s="77"/>
      <c r="E155" s="78" t="str">
        <f>IF($A155=0,"",VLOOKUP($A155,'BASE MATERIAL'!$A:$D,3))</f>
        <v/>
      </c>
      <c r="F155" s="55"/>
      <c r="G155" s="55" t="str">
        <f>IF($A155=0,"",VLOOKUP($A155,'BASE MATERIAL'!$A:$D,4))</f>
        <v/>
      </c>
      <c r="H155" s="56" t="str">
        <f t="shared" si="14"/>
        <v/>
      </c>
      <c r="I155" s="2"/>
      <c r="L155" s="2"/>
      <c r="M155" s="2"/>
      <c r="N155" s="39"/>
      <c r="O155" s="2"/>
      <c r="P155" s="2"/>
    </row>
    <row r="156" spans="1:16" s="1" customFormat="1" ht="15" x14ac:dyDescent="0.25">
      <c r="A156" s="103"/>
      <c r="B156" s="38" t="str">
        <f>IF($A156=0,"",VLOOKUP($A156,'BASE MATERIAL'!$A:$D,2))</f>
        <v/>
      </c>
      <c r="C156" s="2"/>
      <c r="D156" s="81" t="s">
        <v>1682</v>
      </c>
      <c r="E156" s="55" t="str">
        <f>IF($A156=0,"",VLOOKUP($A156,'BASE MATERIAL'!$A:$D,3))</f>
        <v/>
      </c>
      <c r="F156" s="55" t="s">
        <v>1682</v>
      </c>
      <c r="G156" s="55" t="str">
        <f>IF($A156=0,"",VLOOKUP($A156,'BASE MATERIAL'!$A:$D,4))</f>
        <v/>
      </c>
      <c r="H156" s="56" t="str">
        <f>IF($A156=0,"",ROUND(E156*F156,2))</f>
        <v/>
      </c>
      <c r="I156" s="2"/>
    </row>
    <row r="157" spans="1:16" s="1" customFormat="1" ht="15" x14ac:dyDescent="0.25">
      <c r="A157" s="103"/>
      <c r="B157" s="73" t="s">
        <v>1681</v>
      </c>
      <c r="C157" s="65"/>
      <c r="D157" s="74"/>
      <c r="E157" s="74"/>
      <c r="F157" s="74"/>
      <c r="G157" s="74"/>
      <c r="H157" s="75">
        <f>ROUND(SUM(H140:H156),2)</f>
        <v>200.36</v>
      </c>
      <c r="I157" s="2"/>
    </row>
    <row r="158" spans="1:16" s="1" customFormat="1" ht="15" x14ac:dyDescent="0.25">
      <c r="A158" s="103"/>
      <c r="B158" s="38" t="s">
        <v>1680</v>
      </c>
      <c r="C158" s="2"/>
      <c r="D158" s="3"/>
      <c r="E158" s="3"/>
      <c r="F158" s="3"/>
      <c r="G158" s="3"/>
      <c r="H158" s="56"/>
      <c r="I158" s="2"/>
    </row>
    <row r="159" spans="1:16" s="1" customFormat="1" ht="25.5" x14ac:dyDescent="0.25">
      <c r="A159" s="103"/>
      <c r="B159" s="64" t="s">
        <v>1409</v>
      </c>
      <c r="C159" s="65"/>
      <c r="D159" s="76"/>
      <c r="E159" s="66" t="s">
        <v>1408</v>
      </c>
      <c r="F159" s="66" t="s">
        <v>1679</v>
      </c>
      <c r="G159" s="66" t="s">
        <v>1676</v>
      </c>
      <c r="H159" s="68" t="s">
        <v>1675</v>
      </c>
      <c r="I159" s="2"/>
    </row>
    <row r="160" spans="1:16" s="1" customFormat="1" ht="15" x14ac:dyDescent="0.25">
      <c r="A160" s="103">
        <v>19019</v>
      </c>
      <c r="B160" s="51" t="str">
        <f>IF($A160=0,"",VLOOKUP($A160,'BASE EQUIPO'!$A:$D,2))</f>
        <v>TRANSPORTE DE MATERIAL</v>
      </c>
      <c r="C160" s="52"/>
      <c r="D160" s="82"/>
      <c r="E160" s="78" t="str">
        <f>IF($A160=0,"",VLOOKUP($A160,'BASE EQUIPO'!$A:$D,3))</f>
        <v>GLOBAL</v>
      </c>
      <c r="F160" s="55">
        <v>1</v>
      </c>
      <c r="G160" s="83">
        <f>IF($A160=0,"",VLOOKUP($A160,'BASE EQUIPO'!$A:$D,4)*H157)</f>
        <v>6.0108000000000006</v>
      </c>
      <c r="H160" s="56">
        <f>IF($A160=0,"",ROUND(F160*G160,2))</f>
        <v>6.01</v>
      </c>
      <c r="I160" s="2"/>
    </row>
    <row r="161" spans="1:15" s="1" customFormat="1" ht="15" x14ac:dyDescent="0.25">
      <c r="A161" s="103"/>
      <c r="B161" s="38" t="str">
        <f>IF($A161=0,"",VLOOKUP($A161,'BASE EQUIPO'!$A:$D,2))</f>
        <v/>
      </c>
      <c r="C161" s="2"/>
      <c r="D161" s="84"/>
      <c r="E161" s="78" t="str">
        <f>IF($A161=0,"",VLOOKUP($A161,'BASE EQUIPO'!$A:$D,3))</f>
        <v/>
      </c>
      <c r="F161" s="55"/>
      <c r="G161" s="55" t="str">
        <f>IF($A161=0,"",VLOOKUP($A161,'BASE EQUIPO'!$A:$D,4)*H158)</f>
        <v/>
      </c>
      <c r="H161" s="56" t="str">
        <f>IF($A161=0,"",ROUND(F161*G161,2))</f>
        <v/>
      </c>
      <c r="I161" s="2"/>
    </row>
    <row r="162" spans="1:15" s="1" customFormat="1" ht="15" x14ac:dyDescent="0.25">
      <c r="A162" s="103"/>
      <c r="B162" s="57" t="str">
        <f>IF($A162=0,"",VLOOKUP($A162,'BASE EQUIPO'!$A:$D,2))</f>
        <v/>
      </c>
      <c r="C162" s="58"/>
      <c r="D162" s="85"/>
      <c r="E162" s="86" t="str">
        <f>IF($A162=0,"",VLOOKUP($A162,'BASE EQUIPO'!$A:$D,3))</f>
        <v/>
      </c>
      <c r="F162" s="59"/>
      <c r="G162" s="59" t="str">
        <f>IF($A162=0,"",VLOOKUP($A162,'BASE EQUIPO'!$A:$D,4)*H159)</f>
        <v/>
      </c>
      <c r="H162" s="60" t="str">
        <f>IF($A162=0,"",ROUND(F162*G162,2))</f>
        <v/>
      </c>
      <c r="I162" s="2"/>
    </row>
    <row r="163" spans="1:15" s="1" customFormat="1" ht="15.75" thickBot="1" x14ac:dyDescent="0.3">
      <c r="A163" s="103"/>
      <c r="B163" s="87" t="s">
        <v>1674</v>
      </c>
      <c r="C163" s="88"/>
      <c r="D163" s="89"/>
      <c r="E163" s="89"/>
      <c r="F163" s="89"/>
      <c r="G163" s="89"/>
      <c r="H163" s="90">
        <f>ROUND(SUM(H159:H162),2)</f>
        <v>6.01</v>
      </c>
      <c r="I163" s="2"/>
    </row>
    <row r="164" spans="1:15" s="1" customFormat="1" ht="15.75" x14ac:dyDescent="0.25">
      <c r="A164" s="103"/>
      <c r="B164" s="2"/>
      <c r="C164" s="2"/>
      <c r="D164" s="91" t="s">
        <v>1673</v>
      </c>
      <c r="E164" s="47"/>
      <c r="F164" s="47"/>
      <c r="G164" s="47"/>
      <c r="H164" s="92">
        <f>ROUND(SUM(H163,H157,H138,H128),2)</f>
        <v>258.47000000000003</v>
      </c>
      <c r="I164" s="2"/>
    </row>
    <row r="165" spans="1:15" s="1" customFormat="1" ht="15.75" x14ac:dyDescent="0.25">
      <c r="A165" s="103">
        <v>40002</v>
      </c>
      <c r="B165" s="2"/>
      <c r="C165" s="2"/>
      <c r="D165" s="93" t="s">
        <v>1672</v>
      </c>
      <c r="E165" s="65"/>
      <c r="F165" s="65"/>
      <c r="G165" s="94">
        <f>IF($A165=0,"",VLOOKUP($A165,'BASE MATERIAL'!$M:$P,4))</f>
        <v>0</v>
      </c>
      <c r="H165" s="95">
        <f>IF($A165=0,"",ROUND(G165*H164,2))</f>
        <v>0</v>
      </c>
      <c r="I165" s="2"/>
    </row>
    <row r="166" spans="1:15" s="1" customFormat="1" ht="15.75" x14ac:dyDescent="0.25">
      <c r="A166" s="103">
        <v>40003</v>
      </c>
      <c r="B166" s="2"/>
      <c r="C166" s="2"/>
      <c r="D166" s="93" t="s">
        <v>1671</v>
      </c>
      <c r="E166" s="65"/>
      <c r="F166" s="65"/>
      <c r="G166" s="94">
        <f>IF($A166=0,"",VLOOKUP($A166,'BASE MATERIAL'!$M:$P,4))</f>
        <v>0</v>
      </c>
      <c r="H166" s="95">
        <f>IF($A166=0,"",ROUND(G166*H164,2))</f>
        <v>0</v>
      </c>
      <c r="I166" s="2"/>
    </row>
    <row r="167" spans="1:15" s="1" customFormat="1" ht="15.75" x14ac:dyDescent="0.25">
      <c r="A167" s="103"/>
      <c r="B167" s="2"/>
      <c r="C167" s="2"/>
      <c r="D167" s="93" t="s">
        <v>1670</v>
      </c>
      <c r="E167" s="65"/>
      <c r="F167" s="65"/>
      <c r="G167" s="65"/>
      <c r="H167" s="96">
        <f>ROUND(SUM(H164:H166),2)</f>
        <v>258.47000000000003</v>
      </c>
      <c r="I167" s="2"/>
    </row>
    <row r="168" spans="1:15" s="1" customFormat="1" ht="16.5" thickBot="1" x14ac:dyDescent="0.3">
      <c r="A168" s="103"/>
      <c r="B168" s="25"/>
      <c r="C168" s="2"/>
      <c r="D168" s="97" t="s">
        <v>1650</v>
      </c>
      <c r="E168" s="88"/>
      <c r="F168" s="88"/>
      <c r="G168" s="88"/>
      <c r="H168" s="98">
        <f>ROUND(H167,2)</f>
        <v>258.47000000000003</v>
      </c>
      <c r="I168" s="2"/>
    </row>
    <row r="169" spans="1:15" s="1" customFormat="1" ht="15.75" x14ac:dyDescent="0.25">
      <c r="A169" s="103"/>
      <c r="B169" s="34" t="s">
        <v>1701</v>
      </c>
      <c r="C169" s="2"/>
      <c r="D169" s="3" t="str">
        <f>'1.1'!$D$1</f>
        <v>ESPOL</v>
      </c>
      <c r="E169" s="2"/>
      <c r="F169" s="2"/>
      <c r="H169" s="2" t="s">
        <v>108</v>
      </c>
      <c r="I169" s="2"/>
      <c r="L169" s="40">
        <f>A173</f>
        <v>2</v>
      </c>
      <c r="M169" s="1" t="str">
        <f>C174</f>
        <v xml:space="preserve">Puertas madera (0.60m x 2,00m). </v>
      </c>
      <c r="N169" s="2" t="str">
        <f>H173</f>
        <v>u</v>
      </c>
      <c r="O169" s="2">
        <f>H224</f>
        <v>253.32</v>
      </c>
    </row>
    <row r="170" spans="1:15" s="1" customFormat="1" ht="15.75" x14ac:dyDescent="0.25">
      <c r="A170" s="103"/>
      <c r="B170" s="34" t="s">
        <v>1700</v>
      </c>
      <c r="C170" s="3">
        <f>'1.1'!$C$2</f>
        <v>0</v>
      </c>
      <c r="D170" s="2"/>
      <c r="E170" s="2"/>
      <c r="F170" s="2"/>
      <c r="G170" s="41" t="s">
        <v>1699</v>
      </c>
      <c r="H170" s="42"/>
      <c r="I170" s="2" t="s">
        <v>1698</v>
      </c>
    </row>
    <row r="171" spans="1:15" s="1" customFormat="1" ht="15.75" x14ac:dyDescent="0.25">
      <c r="A171" s="103"/>
      <c r="B171" s="34"/>
      <c r="C171" s="3">
        <f>'1.1'!$C$3</f>
        <v>0</v>
      </c>
      <c r="D171" s="2"/>
      <c r="E171" s="2"/>
      <c r="F171" s="2"/>
      <c r="G171" s="2"/>
      <c r="H171" s="2"/>
      <c r="I171" s="2"/>
    </row>
    <row r="172" spans="1:15" s="1" customFormat="1" ht="15.75" x14ac:dyDescent="0.25">
      <c r="A172" s="103"/>
      <c r="B172" s="34" t="s">
        <v>1697</v>
      </c>
      <c r="C172" s="3"/>
      <c r="D172" s="2"/>
      <c r="E172" s="2"/>
      <c r="F172" s="2"/>
      <c r="G172" s="2"/>
      <c r="H172" s="2"/>
      <c r="I172" s="2"/>
    </row>
    <row r="173" spans="1:15" s="1" customFormat="1" ht="15" x14ac:dyDescent="0.25">
      <c r="A173" s="104">
        <v>2</v>
      </c>
      <c r="B173" s="2" t="s">
        <v>1586</v>
      </c>
      <c r="C173" s="36" t="s">
        <v>203</v>
      </c>
      <c r="D173" s="2"/>
      <c r="G173" s="2" t="s">
        <v>1696</v>
      </c>
      <c r="H173" s="3" t="s">
        <v>1506</v>
      </c>
      <c r="I173" s="2"/>
    </row>
    <row r="174" spans="1:15" s="1" customFormat="1" ht="15" x14ac:dyDescent="0.25">
      <c r="A174" s="103"/>
      <c r="B174" s="1" t="s">
        <v>1585</v>
      </c>
      <c r="C174" s="36" t="s">
        <v>72</v>
      </c>
      <c r="D174" s="2"/>
      <c r="E174" s="2"/>
      <c r="F174" s="2"/>
      <c r="G174" s="2"/>
      <c r="H174" s="2"/>
      <c r="I174" s="2"/>
    </row>
    <row r="175" spans="1:15" s="1" customFormat="1" ht="15.75" thickBot="1" x14ac:dyDescent="0.3">
      <c r="A175" s="103"/>
      <c r="D175" s="2"/>
      <c r="E175" s="2"/>
      <c r="F175" s="2"/>
      <c r="G175" s="2"/>
      <c r="H175" s="2"/>
      <c r="I175" s="2"/>
    </row>
    <row r="176" spans="1:15" s="1" customFormat="1" ht="15.75" thickBot="1" x14ac:dyDescent="0.3">
      <c r="A176" s="103"/>
      <c r="B176" s="43" t="s">
        <v>1695</v>
      </c>
      <c r="C176" s="44"/>
      <c r="D176" s="44"/>
      <c r="E176" s="44"/>
      <c r="F176" s="44"/>
      <c r="G176" s="44"/>
      <c r="H176" s="45"/>
      <c r="I176" s="2"/>
    </row>
    <row r="177" spans="1:11" s="1" customFormat="1" ht="25.5" x14ac:dyDescent="0.25">
      <c r="A177" s="103"/>
      <c r="B177" s="46" t="s">
        <v>1409</v>
      </c>
      <c r="C177" s="47"/>
      <c r="D177" s="48" t="s">
        <v>1690</v>
      </c>
      <c r="E177" s="48" t="s">
        <v>1694</v>
      </c>
      <c r="F177" s="48" t="s">
        <v>1693</v>
      </c>
      <c r="G177" s="49" t="s">
        <v>1687</v>
      </c>
      <c r="H177" s="50" t="s">
        <v>1686</v>
      </c>
      <c r="I177" s="2"/>
    </row>
    <row r="178" spans="1:11" s="1" customFormat="1" ht="15" x14ac:dyDescent="0.25">
      <c r="A178" s="103">
        <v>19015</v>
      </c>
      <c r="B178" s="51" t="str">
        <f>IF($A178=0,"",VLOOKUP($A178,'BASE EQUIPO'!$A:$D,2))</f>
        <v>HERRAMIENTA MENOR</v>
      </c>
      <c r="C178" s="52"/>
      <c r="D178" s="53">
        <v>1</v>
      </c>
      <c r="E178" s="53">
        <f>IF($A178=0,"",VLOOKUP($A178,'BASE EQUIPO'!$A:$D,4)*H194)</f>
        <v>1.5173999999999999</v>
      </c>
      <c r="F178" s="53">
        <f t="shared" ref="F178:F183" si="15">IF($A178=0,"",ROUND(D178*E178,2))</f>
        <v>1.52</v>
      </c>
      <c r="G178" s="105">
        <v>1</v>
      </c>
      <c r="H178" s="54">
        <f t="shared" ref="H178:H183" si="16">IF($A178=0,"",ROUND(G178*F178,2))</f>
        <v>1.52</v>
      </c>
      <c r="I178" s="2"/>
    </row>
    <row r="179" spans="1:11" s="1" customFormat="1" ht="15" x14ac:dyDescent="0.25">
      <c r="A179" s="103"/>
      <c r="B179" s="38" t="str">
        <f>IF($A179=0,"",VLOOKUP($A179,'BASE EQUIPO'!$A:$D,2))</f>
        <v/>
      </c>
      <c r="C179" s="2"/>
      <c r="D179" s="55"/>
      <c r="E179" s="55" t="str">
        <f>IF($A179=0,"",VLOOKUP($A179,'BASE EQUIPO'!$A:$D,4))</f>
        <v/>
      </c>
      <c r="F179" s="55" t="str">
        <f t="shared" si="15"/>
        <v/>
      </c>
      <c r="G179" s="106"/>
      <c r="H179" s="56" t="str">
        <f t="shared" si="16"/>
        <v/>
      </c>
      <c r="I179" s="2"/>
    </row>
    <row r="180" spans="1:11" s="1" customFormat="1" ht="15" x14ac:dyDescent="0.25">
      <c r="A180" s="103"/>
      <c r="B180" s="38" t="str">
        <f>IF($A180=0,"",VLOOKUP($A180,'BASE EQUIPO'!$A:$D,2))</f>
        <v/>
      </c>
      <c r="C180" s="2"/>
      <c r="D180" s="55"/>
      <c r="E180" s="55" t="str">
        <f>IF($A180=0,"",VLOOKUP($A180,'BASE EQUIPO'!$A:$D,4))</f>
        <v/>
      </c>
      <c r="F180" s="55" t="str">
        <f t="shared" si="15"/>
        <v/>
      </c>
      <c r="G180" s="106"/>
      <c r="H180" s="56" t="str">
        <f t="shared" si="16"/>
        <v/>
      </c>
      <c r="I180" s="2"/>
    </row>
    <row r="181" spans="1:11" s="1" customFormat="1" ht="15" x14ac:dyDescent="0.25">
      <c r="A181" s="103"/>
      <c r="B181" s="38" t="str">
        <f>IF($A181=0,"",VLOOKUP($A181,'BASE EQUIPO'!$A:$D,2))</f>
        <v/>
      </c>
      <c r="C181" s="2"/>
      <c r="D181" s="55"/>
      <c r="E181" s="55" t="str">
        <f>IF($A181=0,"",VLOOKUP($A181,'BASE EQUIPO'!$A:$D,4))</f>
        <v/>
      </c>
      <c r="F181" s="55" t="str">
        <f t="shared" si="15"/>
        <v/>
      </c>
      <c r="G181" s="106"/>
      <c r="H181" s="56" t="str">
        <f t="shared" si="16"/>
        <v/>
      </c>
      <c r="I181" s="2"/>
    </row>
    <row r="182" spans="1:11" s="1" customFormat="1" ht="15" x14ac:dyDescent="0.25">
      <c r="A182" s="103"/>
      <c r="B182" s="38" t="str">
        <f>IF($A182=0,"",VLOOKUP($A182,'BASE EQUIPO'!$A:$D,2))</f>
        <v/>
      </c>
      <c r="C182" s="2"/>
      <c r="D182" s="55"/>
      <c r="E182" s="55" t="str">
        <f>IF($A182=0,"",VLOOKUP($A182,'BASE EQUIPO'!$A:$D,4))</f>
        <v/>
      </c>
      <c r="F182" s="55" t="str">
        <f t="shared" si="15"/>
        <v/>
      </c>
      <c r="G182" s="106"/>
      <c r="H182" s="56" t="str">
        <f t="shared" si="16"/>
        <v/>
      </c>
      <c r="I182" s="2"/>
    </row>
    <row r="183" spans="1:11" s="1" customFormat="1" ht="15" x14ac:dyDescent="0.25">
      <c r="A183" s="103"/>
      <c r="B183" s="57" t="str">
        <f>IF($A183=0,"",VLOOKUP($A183,'BASE EQUIPO'!$A:$D,2))</f>
        <v/>
      </c>
      <c r="C183" s="58"/>
      <c r="D183" s="59"/>
      <c r="E183" s="59" t="str">
        <f>IF($A183=0,"",VLOOKUP($A183,'BASE EQUIPO'!$A:$D,4))</f>
        <v/>
      </c>
      <c r="F183" s="59" t="str">
        <f t="shared" si="15"/>
        <v/>
      </c>
      <c r="G183" s="107"/>
      <c r="H183" s="60" t="str">
        <f t="shared" si="16"/>
        <v/>
      </c>
      <c r="I183" s="2"/>
    </row>
    <row r="184" spans="1:11" s="1" customFormat="1" ht="15" x14ac:dyDescent="0.25">
      <c r="A184" s="103"/>
      <c r="B184" s="57" t="s">
        <v>1692</v>
      </c>
      <c r="C184" s="58"/>
      <c r="D184" s="61"/>
      <c r="E184" s="61"/>
      <c r="F184" s="61"/>
      <c r="G184" s="62"/>
      <c r="H184" s="60">
        <f>ROUND(SUM(H177:H183),2)</f>
        <v>1.52</v>
      </c>
      <c r="I184" s="2"/>
    </row>
    <row r="185" spans="1:11" s="1" customFormat="1" ht="15" x14ac:dyDescent="0.25">
      <c r="A185" s="103"/>
      <c r="B185" s="38" t="s">
        <v>1503</v>
      </c>
      <c r="C185" s="2"/>
      <c r="D185" s="3"/>
      <c r="E185" s="3"/>
      <c r="F185" s="3"/>
      <c r="G185" s="63"/>
      <c r="H185" s="56"/>
      <c r="I185" s="2"/>
    </row>
    <row r="186" spans="1:11" s="1" customFormat="1" ht="25.5" x14ac:dyDescent="0.25">
      <c r="A186" s="103"/>
      <c r="B186" s="64" t="s">
        <v>1691</v>
      </c>
      <c r="C186" s="65"/>
      <c r="D186" s="66" t="s">
        <v>1690</v>
      </c>
      <c r="E186" s="66" t="s">
        <v>1689</v>
      </c>
      <c r="F186" s="66" t="s">
        <v>1688</v>
      </c>
      <c r="G186" s="67" t="s">
        <v>1687</v>
      </c>
      <c r="H186" s="68" t="s">
        <v>1686</v>
      </c>
      <c r="I186" s="2"/>
    </row>
    <row r="187" spans="1:11" s="1" customFormat="1" ht="15" x14ac:dyDescent="0.25">
      <c r="A187" s="103"/>
      <c r="B187" s="69" t="str">
        <f>IF($A187=0,"",VLOOKUP($A187,'BASE M-OBRA'!$A:$D,2))</f>
        <v/>
      </c>
      <c r="C187" s="2"/>
      <c r="D187" s="108"/>
      <c r="E187" s="70" t="str">
        <f>IF($A187=0,"",VLOOKUP($A187,'BASE M-OBRA'!$A:$D,4))</f>
        <v/>
      </c>
      <c r="F187" s="55" t="str">
        <f t="shared" ref="F187:F193" si="17">IF($A187=0,"",ROUND(D187*E187,2))</f>
        <v/>
      </c>
      <c r="G187" s="106" t="str">
        <f>IF($A187=0,"",ROUND(H187/F187,2))</f>
        <v/>
      </c>
      <c r="H187" s="56" t="str">
        <f>IF($A187=0,"",ROUND(SUM(H188:H193)*'BASE M-OBRA'!$D$23,2))</f>
        <v/>
      </c>
      <c r="I187" s="2"/>
    </row>
    <row r="188" spans="1:11" s="1" customFormat="1" ht="15" x14ac:dyDescent="0.25">
      <c r="A188" s="103">
        <v>20019</v>
      </c>
      <c r="B188" s="69" t="str">
        <f>IF($A188=0,"",VLOOKUP($A188,'BASE M-OBRA'!$A:$D,2))</f>
        <v>INSTALADOR</v>
      </c>
      <c r="C188" s="2"/>
      <c r="D188" s="108">
        <v>1</v>
      </c>
      <c r="E188" s="70">
        <f>IF($A188=0,"",VLOOKUP($A188,'BASE M-OBRA'!$A:$D,4))</f>
        <v>2.82</v>
      </c>
      <c r="F188" s="55">
        <f t="shared" si="17"/>
        <v>2.82</v>
      </c>
      <c r="G188" s="106">
        <v>6</v>
      </c>
      <c r="H188" s="56">
        <f t="shared" ref="H188:H193" si="18">IF($A188=0,"",ROUND(G188*F188,2))</f>
        <v>16.920000000000002</v>
      </c>
      <c r="I188" s="2"/>
      <c r="K188" s="1">
        <f>320/8</f>
        <v>40</v>
      </c>
    </row>
    <row r="189" spans="1:11" s="1" customFormat="1" ht="15" x14ac:dyDescent="0.25">
      <c r="A189" s="103">
        <v>20011</v>
      </c>
      <c r="B189" s="69" t="str">
        <f>IF($A189=0,"",VLOOKUP($A189,'BASE M-OBRA'!$A:$D,2))</f>
        <v>AYUDANTE ESPECIALISTA</v>
      </c>
      <c r="C189" s="2"/>
      <c r="D189" s="108">
        <v>1</v>
      </c>
      <c r="E189" s="70">
        <f>IF($A189=0,"",VLOOKUP($A189,'BASE M-OBRA'!$A:$D,4))</f>
        <v>2.79</v>
      </c>
      <c r="F189" s="55">
        <f t="shared" si="17"/>
        <v>2.79</v>
      </c>
      <c r="G189" s="106">
        <f>+G188</f>
        <v>6</v>
      </c>
      <c r="H189" s="56">
        <f t="shared" si="18"/>
        <v>16.739999999999998</v>
      </c>
      <c r="I189" s="2"/>
    </row>
    <row r="190" spans="1:11" s="1" customFormat="1" ht="15" x14ac:dyDescent="0.25">
      <c r="A190" s="103">
        <v>20020</v>
      </c>
      <c r="B190" s="71" t="str">
        <f>IF($A190=0,"",VLOOKUP($A190,'BASE M-OBRA'!$A:$D,2))</f>
        <v>EBANISTA</v>
      </c>
      <c r="C190" s="2"/>
      <c r="D190" s="108">
        <v>1</v>
      </c>
      <c r="E190" s="70">
        <f>IF($A190=0,"",VLOOKUP($A190,'BASE M-OBRA'!$A:$D,4))</f>
        <v>2.82</v>
      </c>
      <c r="F190" s="55">
        <f t="shared" si="17"/>
        <v>2.82</v>
      </c>
      <c r="G190" s="106">
        <f>+G189</f>
        <v>6</v>
      </c>
      <c r="H190" s="56">
        <f t="shared" si="18"/>
        <v>16.920000000000002</v>
      </c>
      <c r="I190" s="2"/>
      <c r="J190" s="1">
        <f>0.25*30000</f>
        <v>7500</v>
      </c>
    </row>
    <row r="191" spans="1:11" s="1" customFormat="1" ht="15" x14ac:dyDescent="0.25">
      <c r="A191" s="103"/>
      <c r="B191" s="72" t="str">
        <f>IF($A191=0,"",VLOOKUP($A191,'BASE M-OBRA'!$A:$D,2))</f>
        <v/>
      </c>
      <c r="C191" s="2"/>
      <c r="D191" s="108"/>
      <c r="E191" s="70" t="str">
        <f>IF($A191=0,"",VLOOKUP($A191,'BASE M-OBRA'!$A:$D,4))</f>
        <v/>
      </c>
      <c r="F191" s="55" t="str">
        <f t="shared" si="17"/>
        <v/>
      </c>
      <c r="G191" s="106"/>
      <c r="H191" s="56" t="str">
        <f t="shared" si="18"/>
        <v/>
      </c>
      <c r="I191" s="2"/>
    </row>
    <row r="192" spans="1:11" s="1" customFormat="1" ht="15" x14ac:dyDescent="0.25">
      <c r="A192" s="103"/>
      <c r="B192" s="38" t="str">
        <f>IF($A192=0,"",VLOOKUP($A192,'BASE M-OBRA'!$A:$D,2))</f>
        <v/>
      </c>
      <c r="C192" s="2"/>
      <c r="D192" s="55"/>
      <c r="E192" s="55" t="str">
        <f>IF($A192=0,"",VLOOKUP($A192,'BASE M-OBRA'!$A:$D,4))</f>
        <v/>
      </c>
      <c r="F192" s="55" t="str">
        <f t="shared" si="17"/>
        <v/>
      </c>
      <c r="G192" s="106"/>
      <c r="H192" s="56" t="str">
        <f t="shared" si="18"/>
        <v/>
      </c>
      <c r="I192" s="2"/>
    </row>
    <row r="193" spans="1:16" s="1" customFormat="1" ht="15" x14ac:dyDescent="0.25">
      <c r="A193" s="103"/>
      <c r="B193" s="57" t="str">
        <f>IF($A193=0,"",VLOOKUP($A193,'BASE M-OBRA'!$A:$D,2))</f>
        <v/>
      </c>
      <c r="C193" s="58"/>
      <c r="D193" s="59"/>
      <c r="E193" s="59" t="str">
        <f>IF($A193=0,"",VLOOKUP($A193,'BASE M-OBRA'!$A:$D,4))</f>
        <v/>
      </c>
      <c r="F193" s="59" t="str">
        <f t="shared" si="17"/>
        <v/>
      </c>
      <c r="G193" s="107"/>
      <c r="H193" s="60" t="str">
        <f t="shared" si="18"/>
        <v/>
      </c>
      <c r="I193" s="2"/>
    </row>
    <row r="194" spans="1:16" s="1" customFormat="1" ht="15" x14ac:dyDescent="0.25">
      <c r="A194" s="103"/>
      <c r="B194" s="73" t="s">
        <v>1685</v>
      </c>
      <c r="C194" s="65"/>
      <c r="D194" s="74"/>
      <c r="E194" s="74"/>
      <c r="F194" s="74"/>
      <c r="G194" s="74"/>
      <c r="H194" s="75">
        <f>ROUND(SUM(H186:H193),2)</f>
        <v>50.58</v>
      </c>
      <c r="I194" s="2"/>
      <c r="J194" s="1">
        <f>13200*0.3</f>
        <v>3960</v>
      </c>
    </row>
    <row r="195" spans="1:16" s="1" customFormat="1" ht="15" x14ac:dyDescent="0.25">
      <c r="A195" s="103"/>
      <c r="B195" s="38" t="s">
        <v>1684</v>
      </c>
      <c r="C195" s="2"/>
      <c r="D195" s="3"/>
      <c r="E195" s="3"/>
      <c r="F195" s="3"/>
      <c r="G195" s="3"/>
      <c r="H195" s="56"/>
      <c r="I195" s="2"/>
    </row>
    <row r="196" spans="1:16" s="1" customFormat="1" ht="25.5" x14ac:dyDescent="0.25">
      <c r="A196" s="103"/>
      <c r="B196" s="64" t="s">
        <v>1409</v>
      </c>
      <c r="C196" s="65"/>
      <c r="D196" s="76"/>
      <c r="E196" s="66" t="s">
        <v>1408</v>
      </c>
      <c r="F196" s="66" t="s">
        <v>1679</v>
      </c>
      <c r="G196" s="66" t="s">
        <v>1683</v>
      </c>
      <c r="H196" s="68" t="s">
        <v>1675</v>
      </c>
      <c r="I196" s="2"/>
    </row>
    <row r="197" spans="1:16" s="1" customFormat="1" ht="15" x14ac:dyDescent="0.25">
      <c r="A197" s="103">
        <v>10005</v>
      </c>
      <c r="B197" s="38" t="str">
        <f>IF($A197=0,"",VLOOKUP($A197,'BASE MATERIAL'!$A:$D,2))</f>
        <v>PUERTA MADERA DURA  60x200</v>
      </c>
      <c r="C197" s="2"/>
      <c r="D197" s="77"/>
      <c r="E197" s="78" t="str">
        <f>IF($A197=0,"",VLOOKUP($A197,'BASE MATERIAL'!$A:$D,3))</f>
        <v>U</v>
      </c>
      <c r="F197" s="55">
        <v>1</v>
      </c>
      <c r="G197" s="55">
        <f>IF($A197=0,"",VLOOKUP($A197,'BASE MATERIAL'!$A:$D,4))</f>
        <v>90</v>
      </c>
      <c r="H197" s="56">
        <f t="shared" ref="H197:H211" si="19">IF($A197=0,"",ROUND(F197*G197,2))</f>
        <v>90</v>
      </c>
      <c r="I197" s="2"/>
    </row>
    <row r="198" spans="1:16" s="1" customFormat="1" ht="15" x14ac:dyDescent="0.25">
      <c r="A198" s="103">
        <v>10006</v>
      </c>
      <c r="B198" s="38" t="str">
        <f>IF($A198=0,"",VLOOKUP($A198,'BASE MATERIAL'!$A:$D,2))</f>
        <v>BATIENTE MADERA DURA</v>
      </c>
      <c r="C198" s="2"/>
      <c r="D198" s="77"/>
      <c r="E198" s="78" t="str">
        <f>IF($A198=0,"",VLOOKUP($A198,'BASE MATERIAL'!$A:$D,3))</f>
        <v>JUEGO</v>
      </c>
      <c r="F198" s="55">
        <v>1</v>
      </c>
      <c r="G198" s="55">
        <f>IF($A198=0,"",VLOOKUP($A198,'BASE MATERIAL'!$A:$D,4))</f>
        <v>36</v>
      </c>
      <c r="H198" s="56">
        <f t="shared" si="19"/>
        <v>36</v>
      </c>
      <c r="I198" s="2"/>
    </row>
    <row r="199" spans="1:16" s="1" customFormat="1" ht="15" x14ac:dyDescent="0.25">
      <c r="A199" s="103">
        <v>10008</v>
      </c>
      <c r="B199" s="38" t="str">
        <f>IF($A199=0,"",VLOOKUP($A199,'BASE MATERIAL'!$A:$D,2))</f>
        <v>JAMBA MADERA DURA</v>
      </c>
      <c r="C199" s="2"/>
      <c r="D199" s="77"/>
      <c r="E199" s="78" t="str">
        <f>IF($A199=0,"",VLOOKUP($A199,'BASE MATERIAL'!$A:$D,3))</f>
        <v>JUEGO</v>
      </c>
      <c r="F199" s="55">
        <v>2</v>
      </c>
      <c r="G199" s="55">
        <f>IF($A199=0,"",VLOOKUP($A199,'BASE MATERIAL'!$A:$D,4))</f>
        <v>12</v>
      </c>
      <c r="H199" s="56">
        <f t="shared" si="19"/>
        <v>24</v>
      </c>
      <c r="I199" s="2"/>
    </row>
    <row r="200" spans="1:16" s="1" customFormat="1" ht="15" x14ac:dyDescent="0.25">
      <c r="A200" s="103"/>
      <c r="B200" s="38" t="str">
        <f>IF($A200=0,"",VLOOKUP($A200,'BASE MATERIAL'!$A:$D,2))</f>
        <v/>
      </c>
      <c r="C200" s="2"/>
      <c r="D200" s="77"/>
      <c r="E200" s="78" t="str">
        <f>IF($A200=0,"",VLOOKUP($A200,'BASE MATERIAL'!$A:$D,3))</f>
        <v/>
      </c>
      <c r="F200" s="55"/>
      <c r="G200" s="55" t="str">
        <f>IF($A200=0,"",VLOOKUP($A200,'BASE MATERIAL'!$A:$D,4))</f>
        <v/>
      </c>
      <c r="H200" s="56" t="str">
        <f t="shared" si="19"/>
        <v/>
      </c>
      <c r="I200" s="2"/>
    </row>
    <row r="201" spans="1:16" s="1" customFormat="1" ht="15" x14ac:dyDescent="0.25">
      <c r="A201" s="103">
        <v>10012</v>
      </c>
      <c r="B201" s="38" t="str">
        <f>IF($A201=0,"",VLOOKUP($A201,'BASE MATERIAL'!$A:$D,2))</f>
        <v>CERRADURA  POMO</v>
      </c>
      <c r="C201" s="2"/>
      <c r="D201" s="77"/>
      <c r="E201" s="78" t="str">
        <f>IF($A201=0,"",VLOOKUP($A201,'BASE MATERIAL'!$A:$D,3))</f>
        <v>U</v>
      </c>
      <c r="F201" s="55">
        <v>1</v>
      </c>
      <c r="G201" s="55">
        <f>IF($A201=0,"",VLOOKUP($A201,'BASE MATERIAL'!$A:$D,4))</f>
        <v>16</v>
      </c>
      <c r="H201" s="56">
        <f t="shared" si="19"/>
        <v>16</v>
      </c>
      <c r="I201" s="2"/>
    </row>
    <row r="202" spans="1:16" s="1" customFormat="1" ht="15" x14ac:dyDescent="0.25">
      <c r="A202" s="103">
        <v>10016</v>
      </c>
      <c r="B202" s="38" t="str">
        <f>IF($A202=0,"",VLOOKUP($A202,'BASE MATERIAL'!$A:$D,2))</f>
        <v>BISAGRA CROMADA</v>
      </c>
      <c r="C202" s="2"/>
      <c r="D202" s="77"/>
      <c r="E202" s="78" t="str">
        <f>IF($A202=0,"",VLOOKUP($A202,'BASE MATERIAL'!$A:$D,3))</f>
        <v>U</v>
      </c>
      <c r="F202" s="55">
        <v>3</v>
      </c>
      <c r="G202" s="55">
        <f>IF($A202=0,"",VLOOKUP($A202,'BASE MATERIAL'!$A:$D,4))</f>
        <v>1.2</v>
      </c>
      <c r="H202" s="56">
        <f t="shared" si="19"/>
        <v>3.6</v>
      </c>
      <c r="I202" s="2"/>
    </row>
    <row r="203" spans="1:16" s="1" customFormat="1" ht="15" x14ac:dyDescent="0.25">
      <c r="A203" s="103">
        <v>13008</v>
      </c>
      <c r="B203" s="38" t="str">
        <f>IF($A203=0,"",VLOOKUP($A203,'BASE MATERIAL'!$A:$D,2))</f>
        <v>LACA</v>
      </c>
      <c r="C203" s="2"/>
      <c r="D203" s="77"/>
      <c r="E203" s="78" t="str">
        <f>IF($A203=0,"",VLOOKUP($A203,'BASE MATERIAL'!$A:$D,3))</f>
        <v>GL</v>
      </c>
      <c r="F203" s="55">
        <f>((1/12)*3)*0.7*2*2</f>
        <v>0.7</v>
      </c>
      <c r="G203" s="55">
        <f>IF($A203=0,"",VLOOKUP($A203,'BASE MATERIAL'!$A:$D,4))</f>
        <v>24.04</v>
      </c>
      <c r="H203" s="56">
        <f t="shared" si="19"/>
        <v>16.829999999999998</v>
      </c>
      <c r="I203" s="2"/>
    </row>
    <row r="204" spans="1:16" s="1" customFormat="1" ht="15" x14ac:dyDescent="0.25">
      <c r="A204" s="103">
        <v>13009</v>
      </c>
      <c r="B204" s="38" t="str">
        <f>IF($A204=0,"",VLOOKUP($A204,'BASE MATERIAL'!$A:$D,2))</f>
        <v>SELLADOR DE MADERA</v>
      </c>
      <c r="C204" s="2"/>
      <c r="D204" s="77"/>
      <c r="E204" s="78" t="str">
        <f>IF($A204=0,"",VLOOKUP($A204,'BASE MATERIAL'!$A:$D,3))</f>
        <v>GL</v>
      </c>
      <c r="F204" s="55">
        <f>((1/20)*2)*0.8*2*2</f>
        <v>0.32000000000000006</v>
      </c>
      <c r="G204" s="55">
        <f>IF($A204=0,"",VLOOKUP($A204,'BASE MATERIAL'!$A:$D,4))</f>
        <v>18.329999999999998</v>
      </c>
      <c r="H204" s="56">
        <f t="shared" si="19"/>
        <v>5.87</v>
      </c>
      <c r="I204" s="2"/>
    </row>
    <row r="205" spans="1:16" s="1" customFormat="1" ht="15" x14ac:dyDescent="0.25">
      <c r="A205" s="103">
        <v>13010</v>
      </c>
      <c r="B205" s="38" t="str">
        <f>IF($A205=0,"",VLOOKUP($A205,'BASE MATERIAL'!$A:$D,2))</f>
        <v>DILUYENTE</v>
      </c>
      <c r="C205" s="2"/>
      <c r="D205" s="77"/>
      <c r="E205" s="78" t="str">
        <f>IF($A205=0,"",VLOOKUP($A205,'BASE MATERIAL'!$A:$D,3))</f>
        <v>GL</v>
      </c>
      <c r="F205" s="55">
        <f>(F203+F204)*0.5</f>
        <v>0.51</v>
      </c>
      <c r="G205" s="55">
        <f>IF($A205=0,"",VLOOKUP($A205,'BASE MATERIAL'!$A:$D,4))</f>
        <v>6</v>
      </c>
      <c r="H205" s="56">
        <f t="shared" si="19"/>
        <v>3.06</v>
      </c>
      <c r="I205" s="2"/>
    </row>
    <row r="206" spans="1:16" s="1" customFormat="1" ht="15" x14ac:dyDescent="0.25">
      <c r="A206" s="103"/>
      <c r="B206" s="38" t="str">
        <f>IF($A206=0,"",VLOOKUP($A206,'BASE MATERIAL'!$A:$D,2))</f>
        <v/>
      </c>
      <c r="C206" s="2"/>
      <c r="D206" s="77"/>
      <c r="E206" s="78" t="str">
        <f>IF($A206=0,"",VLOOKUP($A206,'BASE MATERIAL'!$A:$D,3))</f>
        <v/>
      </c>
      <c r="F206" s="55"/>
      <c r="G206" s="55" t="str">
        <f>IF($A206=0,"",VLOOKUP($A206,'BASE MATERIAL'!$A:$D,4))</f>
        <v/>
      </c>
      <c r="H206" s="56" t="str">
        <f t="shared" si="19"/>
        <v/>
      </c>
      <c r="I206" s="2"/>
      <c r="L206" s="2"/>
      <c r="M206" s="2"/>
      <c r="N206" s="39"/>
      <c r="O206" s="2"/>
      <c r="P206" s="2"/>
    </row>
    <row r="207" spans="1:16" s="1" customFormat="1" ht="15" x14ac:dyDescent="0.25">
      <c r="A207" s="103"/>
      <c r="B207" s="38" t="str">
        <f>IF($A207=0,"",VLOOKUP($A207,'BASE MATERIAL'!$A:$D,2))</f>
        <v/>
      </c>
      <c r="C207" s="2"/>
      <c r="D207" s="77"/>
      <c r="E207" s="78" t="str">
        <f>IF($A207=0,"",VLOOKUP($A207,'BASE MATERIAL'!$A:$D,3))</f>
        <v/>
      </c>
      <c r="F207" s="55"/>
      <c r="G207" s="55" t="str">
        <f>IF($A207=0,"",VLOOKUP($A207,'BASE MATERIAL'!$A:$D,4))</f>
        <v/>
      </c>
      <c r="H207" s="56" t="str">
        <f t="shared" si="19"/>
        <v/>
      </c>
      <c r="I207" s="2"/>
      <c r="L207" s="2"/>
      <c r="M207" s="2"/>
      <c r="N207" s="39"/>
      <c r="O207" s="2"/>
      <c r="P207" s="2"/>
    </row>
    <row r="208" spans="1:16" s="1" customFormat="1" ht="15" x14ac:dyDescent="0.25">
      <c r="A208" s="103"/>
      <c r="B208" s="38" t="str">
        <f>IF($A208=0,"",VLOOKUP($A208,'BASE MATERIAL'!$A:$D,2))</f>
        <v/>
      </c>
      <c r="C208" s="2"/>
      <c r="D208" s="77"/>
      <c r="E208" s="78" t="str">
        <f>IF($A208=0,"",VLOOKUP($A208,'BASE MATERIAL'!$A:$D,3))</f>
        <v/>
      </c>
      <c r="F208" s="55"/>
      <c r="G208" s="55" t="str">
        <f>IF($A208=0,"",VLOOKUP($A208,'BASE MATERIAL'!$A:$D,4))</f>
        <v/>
      </c>
      <c r="H208" s="56" t="str">
        <f t="shared" si="19"/>
        <v/>
      </c>
      <c r="I208" s="2"/>
      <c r="L208" s="2"/>
      <c r="M208" s="2"/>
      <c r="N208" s="39"/>
      <c r="O208" s="2"/>
      <c r="P208" s="2"/>
    </row>
    <row r="209" spans="1:16" s="1" customFormat="1" ht="15" x14ac:dyDescent="0.25">
      <c r="A209" s="103"/>
      <c r="B209" s="38" t="str">
        <f>IF($A209=0,"",VLOOKUP($A209,'BASE MATERIAL'!$A:$D,2))</f>
        <v/>
      </c>
      <c r="C209" s="2"/>
      <c r="D209" s="77"/>
      <c r="E209" s="78" t="str">
        <f>IF($A209=0,"",VLOOKUP($A209,'BASE MATERIAL'!$A:$D,3))</f>
        <v/>
      </c>
      <c r="F209" s="55"/>
      <c r="G209" s="55" t="str">
        <f>IF($A209=0,"",VLOOKUP($A209,'BASE MATERIAL'!$A:$D,4))</f>
        <v/>
      </c>
      <c r="H209" s="56" t="str">
        <f t="shared" si="19"/>
        <v/>
      </c>
      <c r="I209" s="2"/>
      <c r="L209" s="2"/>
      <c r="M209" s="2"/>
      <c r="N209" s="39"/>
      <c r="O209" s="2"/>
      <c r="P209" s="2"/>
    </row>
    <row r="210" spans="1:16" s="1" customFormat="1" ht="15" x14ac:dyDescent="0.25">
      <c r="A210" s="103"/>
      <c r="B210" s="38" t="str">
        <f>IF($A210=0,"",VLOOKUP($A210,'BASE MATERIAL'!$A:$D,2))</f>
        <v/>
      </c>
      <c r="C210" s="2"/>
      <c r="D210" s="77"/>
      <c r="E210" s="78" t="str">
        <f>IF($A210=0,"",VLOOKUP($A210,'BASE MATERIAL'!$A:$D,3))</f>
        <v/>
      </c>
      <c r="F210" s="55"/>
      <c r="G210" s="55" t="str">
        <f>IF($A210=0,"",VLOOKUP($A210,'BASE MATERIAL'!$A:$D,4))</f>
        <v/>
      </c>
      <c r="H210" s="56" t="str">
        <f t="shared" si="19"/>
        <v/>
      </c>
      <c r="I210" s="2"/>
      <c r="L210" s="2"/>
      <c r="M210" s="2"/>
      <c r="N210" s="39"/>
      <c r="O210" s="2"/>
      <c r="P210" s="2"/>
    </row>
    <row r="211" spans="1:16" s="1" customFormat="1" ht="15" x14ac:dyDescent="0.25">
      <c r="A211" s="103"/>
      <c r="B211" s="38" t="str">
        <f>IF($A211=0,"",VLOOKUP($A211,'BASE MATERIAL'!$A:$D,2))</f>
        <v/>
      </c>
      <c r="C211" s="2"/>
      <c r="D211" s="77"/>
      <c r="E211" s="78" t="str">
        <f>IF($A211=0,"",VLOOKUP($A211,'BASE MATERIAL'!$A:$D,3))</f>
        <v/>
      </c>
      <c r="F211" s="55"/>
      <c r="G211" s="55" t="str">
        <f>IF($A211=0,"",VLOOKUP($A211,'BASE MATERIAL'!$A:$D,4))</f>
        <v/>
      </c>
      <c r="H211" s="56" t="str">
        <f t="shared" si="19"/>
        <v/>
      </c>
      <c r="I211" s="2"/>
      <c r="L211" s="2"/>
      <c r="M211" s="2"/>
      <c r="N211" s="39"/>
      <c r="O211" s="2"/>
      <c r="P211" s="2"/>
    </row>
    <row r="212" spans="1:16" s="1" customFormat="1" ht="15" x14ac:dyDescent="0.25">
      <c r="A212" s="103"/>
      <c r="B212" s="38" t="str">
        <f>IF($A212=0,"",VLOOKUP($A212,'BASE MATERIAL'!$A:$D,2))</f>
        <v/>
      </c>
      <c r="C212" s="2"/>
      <c r="D212" s="81" t="s">
        <v>1682</v>
      </c>
      <c r="E212" s="55" t="str">
        <f>IF($A212=0,"",VLOOKUP($A212,'BASE MATERIAL'!$A:$D,3))</f>
        <v/>
      </c>
      <c r="F212" s="55" t="s">
        <v>1682</v>
      </c>
      <c r="G212" s="55" t="str">
        <f>IF($A212=0,"",VLOOKUP($A212,'BASE MATERIAL'!$A:$D,4))</f>
        <v/>
      </c>
      <c r="H212" s="56" t="str">
        <f>IF($A212=0,"",ROUND(E212*F212,2))</f>
        <v/>
      </c>
      <c r="I212" s="2"/>
    </row>
    <row r="213" spans="1:16" s="1" customFormat="1" ht="15" x14ac:dyDescent="0.25">
      <c r="A213" s="103"/>
      <c r="B213" s="73" t="s">
        <v>1681</v>
      </c>
      <c r="C213" s="65"/>
      <c r="D213" s="74"/>
      <c r="E213" s="74"/>
      <c r="F213" s="74"/>
      <c r="G213" s="74"/>
      <c r="H213" s="75">
        <f>ROUND(SUM(H196:H212),2)</f>
        <v>195.36</v>
      </c>
      <c r="I213" s="2"/>
    </row>
    <row r="214" spans="1:16" s="1" customFormat="1" ht="15" x14ac:dyDescent="0.25">
      <c r="A214" s="103"/>
      <c r="B214" s="38" t="s">
        <v>1680</v>
      </c>
      <c r="C214" s="2"/>
      <c r="D214" s="3"/>
      <c r="E214" s="3"/>
      <c r="F214" s="3"/>
      <c r="G214" s="3"/>
      <c r="H214" s="56"/>
      <c r="I214" s="2"/>
    </row>
    <row r="215" spans="1:16" s="1" customFormat="1" ht="25.5" x14ac:dyDescent="0.25">
      <c r="A215" s="103"/>
      <c r="B215" s="64" t="s">
        <v>1409</v>
      </c>
      <c r="C215" s="65"/>
      <c r="D215" s="76"/>
      <c r="E215" s="66" t="s">
        <v>1408</v>
      </c>
      <c r="F215" s="66" t="s">
        <v>1679</v>
      </c>
      <c r="G215" s="66" t="s">
        <v>1676</v>
      </c>
      <c r="H215" s="68" t="s">
        <v>1675</v>
      </c>
      <c r="I215" s="2"/>
    </row>
    <row r="216" spans="1:16" s="1" customFormat="1" ht="15" x14ac:dyDescent="0.25">
      <c r="A216" s="103">
        <v>19019</v>
      </c>
      <c r="B216" s="51" t="str">
        <f>IF($A216=0,"",VLOOKUP($A216,'BASE EQUIPO'!$A:$D,2))</f>
        <v>TRANSPORTE DE MATERIAL</v>
      </c>
      <c r="C216" s="52"/>
      <c r="D216" s="82"/>
      <c r="E216" s="78" t="str">
        <f>IF($A216=0,"",VLOOKUP($A216,'BASE EQUIPO'!$A:$D,3))</f>
        <v>GLOBAL</v>
      </c>
      <c r="F216" s="55">
        <v>1</v>
      </c>
      <c r="G216" s="83">
        <f>IF($A216=0,"",VLOOKUP($A216,'BASE EQUIPO'!$A:$D,4)*H213)</f>
        <v>5.8608000000000002</v>
      </c>
      <c r="H216" s="56">
        <f>IF($A216=0,"",ROUND(F216*G216,2))</f>
        <v>5.86</v>
      </c>
      <c r="I216" s="2"/>
    </row>
    <row r="217" spans="1:16" s="1" customFormat="1" ht="15" x14ac:dyDescent="0.25">
      <c r="A217" s="103"/>
      <c r="B217" s="38" t="str">
        <f>IF($A217=0,"",VLOOKUP($A217,'BASE EQUIPO'!$A:$D,2))</f>
        <v/>
      </c>
      <c r="C217" s="2"/>
      <c r="D217" s="84"/>
      <c r="E217" s="78" t="str">
        <f>IF($A217=0,"",VLOOKUP($A217,'BASE EQUIPO'!$A:$D,3))</f>
        <v/>
      </c>
      <c r="F217" s="55"/>
      <c r="G217" s="55" t="str">
        <f>IF($A217=0,"",VLOOKUP($A217,'BASE EQUIPO'!$A:$D,4)*H214)</f>
        <v/>
      </c>
      <c r="H217" s="56" t="str">
        <f>IF($A217=0,"",ROUND(F217*G217,2))</f>
        <v/>
      </c>
      <c r="I217" s="2"/>
    </row>
    <row r="218" spans="1:16" s="1" customFormat="1" ht="15" x14ac:dyDescent="0.25">
      <c r="A218" s="103"/>
      <c r="B218" s="57" t="str">
        <f>IF($A218=0,"",VLOOKUP($A218,'BASE EQUIPO'!$A:$D,2))</f>
        <v/>
      </c>
      <c r="C218" s="58"/>
      <c r="D218" s="85"/>
      <c r="E218" s="86" t="str">
        <f>IF($A218=0,"",VLOOKUP($A218,'BASE EQUIPO'!$A:$D,3))</f>
        <v/>
      </c>
      <c r="F218" s="59"/>
      <c r="G218" s="59" t="str">
        <f>IF($A218=0,"",VLOOKUP($A218,'BASE EQUIPO'!$A:$D,4)*H215)</f>
        <v/>
      </c>
      <c r="H218" s="60" t="str">
        <f>IF($A218=0,"",ROUND(F218*G218,2))</f>
        <v/>
      </c>
      <c r="I218" s="2"/>
    </row>
    <row r="219" spans="1:16" s="1" customFormat="1" ht="15.75" thickBot="1" x14ac:dyDescent="0.3">
      <c r="A219" s="103"/>
      <c r="B219" s="87" t="s">
        <v>1674</v>
      </c>
      <c r="C219" s="88"/>
      <c r="D219" s="89"/>
      <c r="E219" s="89"/>
      <c r="F219" s="89"/>
      <c r="G219" s="89"/>
      <c r="H219" s="90">
        <f>ROUND(SUM(H215:H218),2)</f>
        <v>5.86</v>
      </c>
      <c r="I219" s="2"/>
    </row>
    <row r="220" spans="1:16" s="1" customFormat="1" ht="15.75" x14ac:dyDescent="0.25">
      <c r="A220" s="103"/>
      <c r="B220" s="2"/>
      <c r="C220" s="2"/>
      <c r="D220" s="91" t="s">
        <v>1673</v>
      </c>
      <c r="E220" s="47"/>
      <c r="F220" s="47"/>
      <c r="G220" s="47"/>
      <c r="H220" s="92">
        <f>ROUND(SUM(H219,H213,H194,H184),2)</f>
        <v>253.32</v>
      </c>
      <c r="I220" s="2"/>
    </row>
    <row r="221" spans="1:16" s="1" customFormat="1" ht="15.75" x14ac:dyDescent="0.25">
      <c r="A221" s="103">
        <v>40002</v>
      </c>
      <c r="B221" s="2"/>
      <c r="C221" s="2"/>
      <c r="D221" s="93" t="s">
        <v>1672</v>
      </c>
      <c r="E221" s="65"/>
      <c r="F221" s="65"/>
      <c r="G221" s="94">
        <f>IF($A221=0,"",VLOOKUP($A221,'BASE MATERIAL'!$M:$P,4))</f>
        <v>0</v>
      </c>
      <c r="H221" s="95">
        <f>IF($A221=0,"",ROUND(G221*H220,2))</f>
        <v>0</v>
      </c>
      <c r="I221" s="2"/>
    </row>
    <row r="222" spans="1:16" s="1" customFormat="1" ht="15.75" x14ac:dyDescent="0.25">
      <c r="A222" s="103">
        <v>40003</v>
      </c>
      <c r="B222" s="2"/>
      <c r="C222" s="2"/>
      <c r="D222" s="93" t="s">
        <v>1671</v>
      </c>
      <c r="E222" s="65"/>
      <c r="F222" s="65"/>
      <c r="G222" s="94">
        <f>IF($A222=0,"",VLOOKUP($A222,'BASE MATERIAL'!$M:$P,4))</f>
        <v>0</v>
      </c>
      <c r="H222" s="95">
        <f>IF($A222=0,"",ROUND(G222*H220,2))</f>
        <v>0</v>
      </c>
      <c r="I222" s="2"/>
    </row>
    <row r="223" spans="1:16" s="1" customFormat="1" ht="15.75" x14ac:dyDescent="0.25">
      <c r="A223" s="103"/>
      <c r="B223" s="2"/>
      <c r="C223" s="2"/>
      <c r="D223" s="93" t="s">
        <v>1670</v>
      </c>
      <c r="E223" s="65"/>
      <c r="F223" s="65"/>
      <c r="G223" s="65"/>
      <c r="H223" s="96">
        <f>ROUND(SUM(H220:H222),2)</f>
        <v>253.32</v>
      </c>
      <c r="I223" s="2"/>
    </row>
    <row r="224" spans="1:16" s="1" customFormat="1" ht="16.5" thickBot="1" x14ac:dyDescent="0.3">
      <c r="A224" s="103"/>
      <c r="B224" s="25"/>
      <c r="C224" s="2"/>
      <c r="D224" s="97" t="s">
        <v>1650</v>
      </c>
      <c r="E224" s="88"/>
      <c r="F224" s="88"/>
      <c r="G224" s="88"/>
      <c r="H224" s="98">
        <f>ROUND(H223,2)</f>
        <v>253.32</v>
      </c>
      <c r="I224" s="2"/>
    </row>
    <row r="225" spans="1:15" s="1" customFormat="1" ht="15.75" x14ac:dyDescent="0.25">
      <c r="A225" s="103"/>
      <c r="B225" s="34" t="s">
        <v>1701</v>
      </c>
      <c r="C225" s="2"/>
      <c r="D225" s="3" t="str">
        <f>'1.1'!$D$1</f>
        <v>ESPOL</v>
      </c>
      <c r="E225" s="2"/>
      <c r="F225" s="2"/>
      <c r="H225" s="2" t="s">
        <v>108</v>
      </c>
      <c r="I225" s="2"/>
      <c r="L225" s="40">
        <f>A229</f>
        <v>2</v>
      </c>
      <c r="M225" s="1" t="str">
        <f>C230</f>
        <v>Puertas madera (0.80m x 2,00m). Cocina</v>
      </c>
      <c r="N225" s="2" t="str">
        <f>H229</f>
        <v>u</v>
      </c>
      <c r="O225" s="2">
        <f>H280</f>
        <v>305.95</v>
      </c>
    </row>
    <row r="226" spans="1:15" s="1" customFormat="1" ht="15.75" x14ac:dyDescent="0.25">
      <c r="A226" s="103"/>
      <c r="B226" s="34" t="s">
        <v>1700</v>
      </c>
      <c r="C226" s="3">
        <f>'1.1'!$C$2</f>
        <v>0</v>
      </c>
      <c r="D226" s="2"/>
      <c r="E226" s="2"/>
      <c r="F226" s="2"/>
      <c r="G226" s="41" t="s">
        <v>1699</v>
      </c>
      <c r="H226" s="42"/>
      <c r="I226" s="2" t="s">
        <v>1698</v>
      </c>
    </row>
    <row r="227" spans="1:15" s="1" customFormat="1" ht="15.75" x14ac:dyDescent="0.25">
      <c r="A227" s="103"/>
      <c r="B227" s="34"/>
      <c r="C227" s="3">
        <f>'1.1'!$C$3</f>
        <v>0</v>
      </c>
      <c r="D227" s="2"/>
      <c r="E227" s="2"/>
      <c r="F227" s="2"/>
      <c r="G227" s="2"/>
      <c r="H227" s="2"/>
      <c r="I227" s="2"/>
    </row>
    <row r="228" spans="1:15" s="1" customFormat="1" ht="15.75" x14ac:dyDescent="0.25">
      <c r="A228" s="103"/>
      <c r="B228" s="34" t="s">
        <v>1697</v>
      </c>
      <c r="C228" s="3"/>
      <c r="D228" s="2"/>
      <c r="E228" s="2"/>
      <c r="F228" s="2"/>
      <c r="G228" s="2"/>
      <c r="H228" s="2"/>
      <c r="I228" s="2"/>
    </row>
    <row r="229" spans="1:15" s="1" customFormat="1" ht="15" x14ac:dyDescent="0.25">
      <c r="A229" s="104">
        <v>2</v>
      </c>
      <c r="B229" s="2" t="s">
        <v>1586</v>
      </c>
      <c r="C229" s="36" t="s">
        <v>654</v>
      </c>
      <c r="D229" s="2"/>
      <c r="G229" s="2" t="s">
        <v>1696</v>
      </c>
      <c r="H229" s="3" t="s">
        <v>1506</v>
      </c>
      <c r="I229" s="2"/>
    </row>
    <row r="230" spans="1:15" s="1" customFormat="1" ht="15" x14ac:dyDescent="0.25">
      <c r="A230" s="103"/>
      <c r="B230" s="1" t="s">
        <v>1585</v>
      </c>
      <c r="C230" s="36" t="s">
        <v>2182</v>
      </c>
      <c r="D230" s="2"/>
      <c r="E230" s="2"/>
      <c r="F230" s="2"/>
      <c r="G230" s="2"/>
      <c r="H230" s="2"/>
      <c r="I230" s="2"/>
    </row>
    <row r="231" spans="1:15" s="1" customFormat="1" ht="15.75" thickBot="1" x14ac:dyDescent="0.3">
      <c r="A231" s="103"/>
      <c r="D231" s="2"/>
      <c r="E231" s="2"/>
      <c r="F231" s="2"/>
      <c r="G231" s="2"/>
      <c r="H231" s="2"/>
      <c r="I231" s="2"/>
    </row>
    <row r="232" spans="1:15" s="1" customFormat="1" ht="15.75" thickBot="1" x14ac:dyDescent="0.3">
      <c r="A232" s="103"/>
      <c r="B232" s="43" t="s">
        <v>1695</v>
      </c>
      <c r="C232" s="44"/>
      <c r="D232" s="44"/>
      <c r="E232" s="44"/>
      <c r="F232" s="44"/>
      <c r="G232" s="44"/>
      <c r="H232" s="45"/>
      <c r="I232" s="2"/>
    </row>
    <row r="233" spans="1:15" s="1" customFormat="1" ht="25.5" x14ac:dyDescent="0.25">
      <c r="A233" s="103"/>
      <c r="B233" s="46" t="s">
        <v>1409</v>
      </c>
      <c r="C233" s="47"/>
      <c r="D233" s="48" t="s">
        <v>1690</v>
      </c>
      <c r="E233" s="48" t="s">
        <v>1694</v>
      </c>
      <c r="F233" s="48" t="s">
        <v>1693</v>
      </c>
      <c r="G233" s="49" t="s">
        <v>1687</v>
      </c>
      <c r="H233" s="50" t="s">
        <v>1686</v>
      </c>
      <c r="I233" s="2"/>
    </row>
    <row r="234" spans="1:15" s="1" customFormat="1" ht="15" x14ac:dyDescent="0.25">
      <c r="A234" s="103">
        <v>19015</v>
      </c>
      <c r="B234" s="51" t="str">
        <f>IF($A234=0,"",VLOOKUP($A234,'BASE EQUIPO'!$A:$D,2))</f>
        <v>HERRAMIENTA MENOR</v>
      </c>
      <c r="C234" s="52"/>
      <c r="D234" s="53">
        <v>1</v>
      </c>
      <c r="E234" s="53">
        <f>IF($A234=0,"",VLOOKUP($A234,'BASE EQUIPO'!$A:$D,4)*H250)</f>
        <v>1.5173999999999999</v>
      </c>
      <c r="F234" s="53">
        <f t="shared" ref="F234:F239" si="20">IF($A234=0,"",ROUND(D234*E234,2))</f>
        <v>1.52</v>
      </c>
      <c r="G234" s="105">
        <v>1</v>
      </c>
      <c r="H234" s="54">
        <f t="shared" ref="H234:H239" si="21">IF($A234=0,"",ROUND(G234*F234,2))</f>
        <v>1.52</v>
      </c>
      <c r="I234" s="2"/>
    </row>
    <row r="235" spans="1:15" s="1" customFormat="1" ht="15" x14ac:dyDescent="0.25">
      <c r="A235" s="103"/>
      <c r="B235" s="38" t="str">
        <f>IF($A235=0,"",VLOOKUP($A235,'BASE EQUIPO'!$A:$D,2))</f>
        <v/>
      </c>
      <c r="C235" s="2"/>
      <c r="D235" s="55"/>
      <c r="E235" s="55" t="str">
        <f>IF($A235=0,"",VLOOKUP($A235,'BASE EQUIPO'!$A:$D,4))</f>
        <v/>
      </c>
      <c r="F235" s="55" t="str">
        <f t="shared" si="20"/>
        <v/>
      </c>
      <c r="G235" s="106"/>
      <c r="H235" s="56" t="str">
        <f t="shared" si="21"/>
        <v/>
      </c>
      <c r="I235" s="2"/>
    </row>
    <row r="236" spans="1:15" s="1" customFormat="1" ht="15" x14ac:dyDescent="0.25">
      <c r="A236" s="103"/>
      <c r="B236" s="38" t="str">
        <f>IF($A236=0,"",VLOOKUP($A236,'BASE EQUIPO'!$A:$D,2))</f>
        <v/>
      </c>
      <c r="C236" s="2"/>
      <c r="D236" s="55"/>
      <c r="E236" s="55" t="str">
        <f>IF($A236=0,"",VLOOKUP($A236,'BASE EQUIPO'!$A:$D,4))</f>
        <v/>
      </c>
      <c r="F236" s="55" t="str">
        <f t="shared" si="20"/>
        <v/>
      </c>
      <c r="G236" s="106"/>
      <c r="H236" s="56" t="str">
        <f t="shared" si="21"/>
        <v/>
      </c>
      <c r="I236" s="2"/>
    </row>
    <row r="237" spans="1:15" s="1" customFormat="1" ht="15" x14ac:dyDescent="0.25">
      <c r="A237" s="103"/>
      <c r="B237" s="38" t="str">
        <f>IF($A237=0,"",VLOOKUP($A237,'BASE EQUIPO'!$A:$D,2))</f>
        <v/>
      </c>
      <c r="C237" s="2"/>
      <c r="D237" s="55"/>
      <c r="E237" s="55" t="str">
        <f>IF($A237=0,"",VLOOKUP($A237,'BASE EQUIPO'!$A:$D,4))</f>
        <v/>
      </c>
      <c r="F237" s="55" t="str">
        <f t="shared" si="20"/>
        <v/>
      </c>
      <c r="G237" s="106"/>
      <c r="H237" s="56" t="str">
        <f t="shared" si="21"/>
        <v/>
      </c>
      <c r="I237" s="2"/>
    </row>
    <row r="238" spans="1:15" s="1" customFormat="1" ht="15" x14ac:dyDescent="0.25">
      <c r="A238" s="103"/>
      <c r="B238" s="38" t="str">
        <f>IF($A238=0,"",VLOOKUP($A238,'BASE EQUIPO'!$A:$D,2))</f>
        <v/>
      </c>
      <c r="C238" s="2"/>
      <c r="D238" s="55"/>
      <c r="E238" s="55" t="str">
        <f>IF($A238=0,"",VLOOKUP($A238,'BASE EQUIPO'!$A:$D,4))</f>
        <v/>
      </c>
      <c r="F238" s="55" t="str">
        <f t="shared" si="20"/>
        <v/>
      </c>
      <c r="G238" s="106"/>
      <c r="H238" s="56" t="str">
        <f t="shared" si="21"/>
        <v/>
      </c>
      <c r="I238" s="2"/>
    </row>
    <row r="239" spans="1:15" s="1" customFormat="1" ht="15" x14ac:dyDescent="0.25">
      <c r="A239" s="103"/>
      <c r="B239" s="57" t="str">
        <f>IF($A239=0,"",VLOOKUP($A239,'BASE EQUIPO'!$A:$D,2))</f>
        <v/>
      </c>
      <c r="C239" s="58"/>
      <c r="D239" s="59"/>
      <c r="E239" s="59" t="str">
        <f>IF($A239=0,"",VLOOKUP($A239,'BASE EQUIPO'!$A:$D,4))</f>
        <v/>
      </c>
      <c r="F239" s="59" t="str">
        <f t="shared" si="20"/>
        <v/>
      </c>
      <c r="G239" s="107"/>
      <c r="H239" s="60" t="str">
        <f t="shared" si="21"/>
        <v/>
      </c>
      <c r="I239" s="2"/>
    </row>
    <row r="240" spans="1:15" s="1" customFormat="1" ht="15" x14ac:dyDescent="0.25">
      <c r="A240" s="103"/>
      <c r="B240" s="57" t="s">
        <v>1692</v>
      </c>
      <c r="C240" s="58"/>
      <c r="D240" s="61"/>
      <c r="E240" s="61"/>
      <c r="F240" s="61"/>
      <c r="G240" s="62"/>
      <c r="H240" s="60">
        <f>ROUND(SUM(H233:H239),2)</f>
        <v>1.52</v>
      </c>
      <c r="I240" s="2"/>
    </row>
    <row r="241" spans="1:11" s="1" customFormat="1" ht="15" x14ac:dyDescent="0.25">
      <c r="A241" s="103"/>
      <c r="B241" s="38" t="s">
        <v>1503</v>
      </c>
      <c r="C241" s="2"/>
      <c r="D241" s="3"/>
      <c r="E241" s="3"/>
      <c r="F241" s="3"/>
      <c r="G241" s="63"/>
      <c r="H241" s="56"/>
      <c r="I241" s="2"/>
    </row>
    <row r="242" spans="1:11" s="1" customFormat="1" ht="25.5" x14ac:dyDescent="0.25">
      <c r="A242" s="103"/>
      <c r="B242" s="64" t="s">
        <v>1691</v>
      </c>
      <c r="C242" s="65"/>
      <c r="D242" s="66" t="s">
        <v>1690</v>
      </c>
      <c r="E242" s="66" t="s">
        <v>1689</v>
      </c>
      <c r="F242" s="66" t="s">
        <v>1688</v>
      </c>
      <c r="G242" s="67" t="s">
        <v>1687</v>
      </c>
      <c r="H242" s="68" t="s">
        <v>1686</v>
      </c>
      <c r="I242" s="2"/>
    </row>
    <row r="243" spans="1:11" s="1" customFormat="1" ht="15" x14ac:dyDescent="0.25">
      <c r="A243" s="103"/>
      <c r="B243" s="69" t="str">
        <f>IF($A243=0,"",VLOOKUP($A243,'BASE M-OBRA'!$A:$D,2))</f>
        <v/>
      </c>
      <c r="C243" s="2"/>
      <c r="D243" s="108"/>
      <c r="E243" s="70" t="str">
        <f>IF($A243=0,"",VLOOKUP($A243,'BASE M-OBRA'!$A:$D,4))</f>
        <v/>
      </c>
      <c r="F243" s="55" t="str">
        <f t="shared" ref="F243:F249" si="22">IF($A243=0,"",ROUND(D243*E243,2))</f>
        <v/>
      </c>
      <c r="G243" s="106" t="str">
        <f>IF($A243=0,"",ROUND(H243/F243,2))</f>
        <v/>
      </c>
      <c r="H243" s="56" t="str">
        <f>IF($A243=0,"",ROUND(SUM(H244:H249)*'BASE M-OBRA'!$D$23,2))</f>
        <v/>
      </c>
      <c r="I243" s="2"/>
    </row>
    <row r="244" spans="1:11" s="1" customFormat="1" ht="15" x14ac:dyDescent="0.25">
      <c r="A244" s="103">
        <v>20019</v>
      </c>
      <c r="B244" s="69" t="str">
        <f>IF($A244=0,"",VLOOKUP($A244,'BASE M-OBRA'!$A:$D,2))</f>
        <v>INSTALADOR</v>
      </c>
      <c r="C244" s="2"/>
      <c r="D244" s="108">
        <v>1</v>
      </c>
      <c r="E244" s="70">
        <f>IF($A244=0,"",VLOOKUP($A244,'BASE M-OBRA'!$A:$D,4))</f>
        <v>2.82</v>
      </c>
      <c r="F244" s="55">
        <f t="shared" si="22"/>
        <v>2.82</v>
      </c>
      <c r="G244" s="106">
        <v>6</v>
      </c>
      <c r="H244" s="56">
        <f t="shared" ref="H244:H249" si="23">IF($A244=0,"",ROUND(G244*F244,2))</f>
        <v>16.920000000000002</v>
      </c>
      <c r="I244" s="2"/>
      <c r="K244" s="1">
        <f>320/8</f>
        <v>40</v>
      </c>
    </row>
    <row r="245" spans="1:11" s="1" customFormat="1" ht="15" x14ac:dyDescent="0.25">
      <c r="A245" s="103">
        <v>20011</v>
      </c>
      <c r="B245" s="69" t="str">
        <f>IF($A245=0,"",VLOOKUP($A245,'BASE M-OBRA'!$A:$D,2))</f>
        <v>AYUDANTE ESPECIALISTA</v>
      </c>
      <c r="C245" s="2"/>
      <c r="D245" s="108">
        <v>1</v>
      </c>
      <c r="E245" s="70">
        <f>IF($A245=0,"",VLOOKUP($A245,'BASE M-OBRA'!$A:$D,4))</f>
        <v>2.79</v>
      </c>
      <c r="F245" s="55">
        <f t="shared" si="22"/>
        <v>2.79</v>
      </c>
      <c r="G245" s="106">
        <f>+G244</f>
        <v>6</v>
      </c>
      <c r="H245" s="56">
        <f t="shared" si="23"/>
        <v>16.739999999999998</v>
      </c>
      <c r="I245" s="2"/>
    </row>
    <row r="246" spans="1:11" s="1" customFormat="1" ht="15" x14ac:dyDescent="0.25">
      <c r="A246" s="103">
        <v>20020</v>
      </c>
      <c r="B246" s="71" t="str">
        <f>IF($A246=0,"",VLOOKUP($A246,'BASE M-OBRA'!$A:$D,2))</f>
        <v>EBANISTA</v>
      </c>
      <c r="C246" s="2"/>
      <c r="D246" s="108">
        <v>1</v>
      </c>
      <c r="E246" s="70">
        <f>IF($A246=0,"",VLOOKUP($A246,'BASE M-OBRA'!$A:$D,4))</f>
        <v>2.82</v>
      </c>
      <c r="F246" s="55">
        <f t="shared" si="22"/>
        <v>2.82</v>
      </c>
      <c r="G246" s="106">
        <f>+G245</f>
        <v>6</v>
      </c>
      <c r="H246" s="56">
        <f t="shared" si="23"/>
        <v>16.920000000000002</v>
      </c>
      <c r="I246" s="2"/>
      <c r="J246" s="1">
        <f>0.25*30000</f>
        <v>7500</v>
      </c>
    </row>
    <row r="247" spans="1:11" s="1" customFormat="1" ht="15" x14ac:dyDescent="0.25">
      <c r="A247" s="103"/>
      <c r="B247" s="72" t="str">
        <f>IF($A247=0,"",VLOOKUP($A247,'BASE M-OBRA'!$A:$D,2))</f>
        <v/>
      </c>
      <c r="C247" s="2"/>
      <c r="D247" s="108"/>
      <c r="E247" s="70" t="str">
        <f>IF($A247=0,"",VLOOKUP($A247,'BASE M-OBRA'!$A:$D,4))</f>
        <v/>
      </c>
      <c r="F247" s="55" t="str">
        <f t="shared" si="22"/>
        <v/>
      </c>
      <c r="G247" s="106"/>
      <c r="H247" s="56" t="str">
        <f t="shared" si="23"/>
        <v/>
      </c>
      <c r="I247" s="2"/>
    </row>
    <row r="248" spans="1:11" s="1" customFormat="1" ht="15" x14ac:dyDescent="0.25">
      <c r="A248" s="103"/>
      <c r="B248" s="38" t="str">
        <f>IF($A248=0,"",VLOOKUP($A248,'BASE M-OBRA'!$A:$D,2))</f>
        <v/>
      </c>
      <c r="C248" s="2"/>
      <c r="D248" s="55"/>
      <c r="E248" s="55" t="str">
        <f>IF($A248=0,"",VLOOKUP($A248,'BASE M-OBRA'!$A:$D,4))</f>
        <v/>
      </c>
      <c r="F248" s="55" t="str">
        <f t="shared" si="22"/>
        <v/>
      </c>
      <c r="G248" s="106"/>
      <c r="H248" s="56" t="str">
        <f t="shared" si="23"/>
        <v/>
      </c>
      <c r="I248" s="2"/>
    </row>
    <row r="249" spans="1:11" s="1" customFormat="1" ht="15" x14ac:dyDescent="0.25">
      <c r="A249" s="103"/>
      <c r="B249" s="57" t="str">
        <f>IF($A249=0,"",VLOOKUP($A249,'BASE M-OBRA'!$A:$D,2))</f>
        <v/>
      </c>
      <c r="C249" s="58"/>
      <c r="D249" s="59"/>
      <c r="E249" s="59" t="str">
        <f>IF($A249=0,"",VLOOKUP($A249,'BASE M-OBRA'!$A:$D,4))</f>
        <v/>
      </c>
      <c r="F249" s="59" t="str">
        <f t="shared" si="22"/>
        <v/>
      </c>
      <c r="G249" s="107"/>
      <c r="H249" s="60" t="str">
        <f t="shared" si="23"/>
        <v/>
      </c>
      <c r="I249" s="2"/>
    </row>
    <row r="250" spans="1:11" s="1" customFormat="1" ht="15" x14ac:dyDescent="0.25">
      <c r="A250" s="103"/>
      <c r="B250" s="73" t="s">
        <v>1685</v>
      </c>
      <c r="C250" s="65"/>
      <c r="D250" s="74"/>
      <c r="E250" s="74"/>
      <c r="F250" s="74"/>
      <c r="G250" s="74"/>
      <c r="H250" s="75">
        <f>ROUND(SUM(H242:H249),2)</f>
        <v>50.58</v>
      </c>
      <c r="I250" s="2"/>
      <c r="J250" s="1">
        <f>13200*0.3</f>
        <v>3960</v>
      </c>
    </row>
    <row r="251" spans="1:11" s="1" customFormat="1" ht="15" x14ac:dyDescent="0.25">
      <c r="A251" s="103"/>
      <c r="B251" s="38" t="s">
        <v>1684</v>
      </c>
      <c r="C251" s="2"/>
      <c r="D251" s="3"/>
      <c r="E251" s="3"/>
      <c r="F251" s="3"/>
      <c r="G251" s="3"/>
      <c r="H251" s="56"/>
      <c r="I251" s="2"/>
    </row>
    <row r="252" spans="1:11" s="1" customFormat="1" ht="25.5" x14ac:dyDescent="0.25">
      <c r="A252" s="103"/>
      <c r="B252" s="64" t="s">
        <v>1409</v>
      </c>
      <c r="C252" s="65"/>
      <c r="D252" s="76"/>
      <c r="E252" s="66" t="s">
        <v>1408</v>
      </c>
      <c r="F252" s="66" t="s">
        <v>1679</v>
      </c>
      <c r="G252" s="66" t="s">
        <v>1683</v>
      </c>
      <c r="H252" s="68" t="s">
        <v>1675</v>
      </c>
      <c r="I252" s="2"/>
    </row>
    <row r="253" spans="1:11" s="1" customFormat="1" ht="15" x14ac:dyDescent="0.25">
      <c r="A253" s="103">
        <v>10003</v>
      </c>
      <c r="B253" s="38" t="str">
        <f>IF($A253=0,"",VLOOKUP($A253,'BASE MATERIAL'!$A:$D,2))</f>
        <v>PUERTA MADERA DURA 80x200</v>
      </c>
      <c r="C253" s="2"/>
      <c r="D253" s="77"/>
      <c r="E253" s="78" t="str">
        <f>IF($A253=0,"",VLOOKUP($A253,'BASE MATERIAL'!$A:$D,3))</f>
        <v>U</v>
      </c>
      <c r="F253" s="55">
        <v>1</v>
      </c>
      <c r="G253" s="55">
        <f>IF($A253=0,"",VLOOKUP($A253,'BASE MATERIAL'!$A:$D,4))</f>
        <v>100</v>
      </c>
      <c r="H253" s="56">
        <f t="shared" ref="H253:H267" si="24">IF($A253=0,"",ROUND(F253*G253,2))</f>
        <v>100</v>
      </c>
      <c r="I253" s="2"/>
    </row>
    <row r="254" spans="1:11" s="1" customFormat="1" ht="15" x14ac:dyDescent="0.25">
      <c r="A254" s="103">
        <v>10006</v>
      </c>
      <c r="B254" s="38" t="str">
        <f>IF($A254=0,"",VLOOKUP($A254,'BASE MATERIAL'!$A:$D,2))</f>
        <v>BATIENTE MADERA DURA</v>
      </c>
      <c r="C254" s="2"/>
      <c r="D254" s="77"/>
      <c r="E254" s="78" t="str">
        <f>IF($A254=0,"",VLOOKUP($A254,'BASE MATERIAL'!$A:$D,3))</f>
        <v>JUEGO</v>
      </c>
      <c r="F254" s="55">
        <v>1</v>
      </c>
      <c r="G254" s="55">
        <f>IF($A254=0,"",VLOOKUP($A254,'BASE MATERIAL'!$A:$D,4))</f>
        <v>36</v>
      </c>
      <c r="H254" s="56">
        <f t="shared" si="24"/>
        <v>36</v>
      </c>
      <c r="I254" s="2"/>
    </row>
    <row r="255" spans="1:11" s="1" customFormat="1" ht="15" x14ac:dyDescent="0.25">
      <c r="A255" s="103">
        <v>10008</v>
      </c>
      <c r="B255" s="38" t="str">
        <f>IF($A255=0,"",VLOOKUP($A255,'BASE MATERIAL'!$A:$D,2))</f>
        <v>JAMBA MADERA DURA</v>
      </c>
      <c r="C255" s="2"/>
      <c r="D255" s="77"/>
      <c r="E255" s="78" t="str">
        <f>IF($A255=0,"",VLOOKUP($A255,'BASE MATERIAL'!$A:$D,3))</f>
        <v>JUEGO</v>
      </c>
      <c r="F255" s="55">
        <v>2</v>
      </c>
      <c r="G255" s="55">
        <f>IF($A255=0,"",VLOOKUP($A255,'BASE MATERIAL'!$A:$D,4))</f>
        <v>12</v>
      </c>
      <c r="H255" s="56">
        <f t="shared" si="24"/>
        <v>24</v>
      </c>
      <c r="I255" s="2"/>
    </row>
    <row r="256" spans="1:11" s="1" customFormat="1" ht="15" x14ac:dyDescent="0.25">
      <c r="A256" s="103"/>
      <c r="B256" s="38" t="str">
        <f>IF($A256=0,"",VLOOKUP($A256,'BASE MATERIAL'!$A:$D,2))</f>
        <v/>
      </c>
      <c r="C256" s="2"/>
      <c r="D256" s="77"/>
      <c r="E256" s="78" t="str">
        <f>IF($A256=0,"",VLOOKUP($A256,'BASE MATERIAL'!$A:$D,3))</f>
        <v/>
      </c>
      <c r="F256" s="55"/>
      <c r="G256" s="55" t="str">
        <f>IF($A256=0,"",VLOOKUP($A256,'BASE MATERIAL'!$A:$D,4))</f>
        <v/>
      </c>
      <c r="H256" s="56" t="str">
        <f t="shared" si="24"/>
        <v/>
      </c>
      <c r="I256" s="2"/>
    </row>
    <row r="257" spans="1:16" s="1" customFormat="1" ht="15" x14ac:dyDescent="0.25">
      <c r="A257" s="103">
        <v>10012</v>
      </c>
      <c r="B257" s="38" t="str">
        <f>IF($A257=0,"",VLOOKUP($A257,'BASE MATERIAL'!$A:$D,2))</f>
        <v>CERRADURA  POMO</v>
      </c>
      <c r="C257" s="2"/>
      <c r="D257" s="77"/>
      <c r="E257" s="78" t="str">
        <f>IF($A257=0,"",VLOOKUP($A257,'BASE MATERIAL'!$A:$D,3))</f>
        <v>U</v>
      </c>
      <c r="F257" s="55">
        <v>1</v>
      </c>
      <c r="G257" s="55">
        <f>IF($A257=0,"",VLOOKUP($A257,'BASE MATERIAL'!$A:$D,4))</f>
        <v>16</v>
      </c>
      <c r="H257" s="56">
        <f t="shared" si="24"/>
        <v>16</v>
      </c>
      <c r="I257" s="2"/>
    </row>
    <row r="258" spans="1:16" s="1" customFormat="1" ht="15" x14ac:dyDescent="0.25">
      <c r="A258" s="103">
        <v>10020</v>
      </c>
      <c r="B258" s="38" t="str">
        <f>IF($A258=0,"",VLOOKUP($A258,'BASE MATERIAL'!$A:$D,2))</f>
        <v>BISAGRAS DE VAIVEN</v>
      </c>
      <c r="C258" s="2"/>
      <c r="D258" s="77"/>
      <c r="E258" s="78" t="str">
        <f>IF($A258=0,"",VLOOKUP($A258,'BASE MATERIAL'!$A:$D,3))</f>
        <v>U</v>
      </c>
      <c r="F258" s="55">
        <v>2</v>
      </c>
      <c r="G258" s="55">
        <f>IF($A258=0,"",VLOOKUP($A258,'BASE MATERIAL'!$A:$D,4))</f>
        <v>21</v>
      </c>
      <c r="H258" s="56">
        <f t="shared" si="24"/>
        <v>42</v>
      </c>
      <c r="I258" s="2"/>
    </row>
    <row r="259" spans="1:16" s="1" customFormat="1" ht="15" x14ac:dyDescent="0.25">
      <c r="A259" s="103">
        <v>13008</v>
      </c>
      <c r="B259" s="38" t="str">
        <f>IF($A259=0,"",VLOOKUP($A259,'BASE MATERIAL'!$A:$D,2))</f>
        <v>LACA</v>
      </c>
      <c r="C259" s="2"/>
      <c r="D259" s="77"/>
      <c r="E259" s="78" t="str">
        <f>IF($A259=0,"",VLOOKUP($A259,'BASE MATERIAL'!$A:$D,3))</f>
        <v>GL</v>
      </c>
      <c r="F259" s="55">
        <f>((1/12)*3)*0.8*2*2</f>
        <v>0.8</v>
      </c>
      <c r="G259" s="55">
        <f>IF($A259=0,"",VLOOKUP($A259,'BASE MATERIAL'!$A:$D,4))</f>
        <v>24.04</v>
      </c>
      <c r="H259" s="56">
        <f t="shared" si="24"/>
        <v>19.23</v>
      </c>
      <c r="I259" s="2"/>
    </row>
    <row r="260" spans="1:16" s="1" customFormat="1" ht="15" x14ac:dyDescent="0.25">
      <c r="A260" s="103">
        <v>13009</v>
      </c>
      <c r="B260" s="38" t="str">
        <f>IF($A260=0,"",VLOOKUP($A260,'BASE MATERIAL'!$A:$D,2))</f>
        <v>SELLADOR DE MADERA</v>
      </c>
      <c r="C260" s="2"/>
      <c r="D260" s="77"/>
      <c r="E260" s="78" t="str">
        <f>IF($A260=0,"",VLOOKUP($A260,'BASE MATERIAL'!$A:$D,3))</f>
        <v>GL</v>
      </c>
      <c r="F260" s="55">
        <f>((1/20)*2)*0.8*2*2</f>
        <v>0.32000000000000006</v>
      </c>
      <c r="G260" s="55">
        <f>IF($A260=0,"",VLOOKUP($A260,'BASE MATERIAL'!$A:$D,4))</f>
        <v>18.329999999999998</v>
      </c>
      <c r="H260" s="56">
        <f t="shared" si="24"/>
        <v>5.87</v>
      </c>
      <c r="I260" s="2"/>
    </row>
    <row r="261" spans="1:16" s="1" customFormat="1" ht="15" x14ac:dyDescent="0.25">
      <c r="A261" s="103">
        <v>13010</v>
      </c>
      <c r="B261" s="38" t="str">
        <f>IF($A261=0,"",VLOOKUP($A261,'BASE MATERIAL'!$A:$D,2))</f>
        <v>DILUYENTE</v>
      </c>
      <c r="C261" s="2"/>
      <c r="D261" s="77"/>
      <c r="E261" s="78" t="str">
        <f>IF($A261=0,"",VLOOKUP($A261,'BASE MATERIAL'!$A:$D,3))</f>
        <v>GL</v>
      </c>
      <c r="F261" s="55">
        <f>(F259+F260)*0.5</f>
        <v>0.56000000000000005</v>
      </c>
      <c r="G261" s="55">
        <f>IF($A261=0,"",VLOOKUP($A261,'BASE MATERIAL'!$A:$D,4))</f>
        <v>6</v>
      </c>
      <c r="H261" s="56">
        <f t="shared" si="24"/>
        <v>3.36</v>
      </c>
      <c r="I261" s="2"/>
    </row>
    <row r="262" spans="1:16" s="1" customFormat="1" ht="15" x14ac:dyDescent="0.25">
      <c r="A262" s="103"/>
      <c r="B262" s="38" t="str">
        <f>IF($A262=0,"",VLOOKUP($A262,'BASE MATERIAL'!$A:$D,2))</f>
        <v/>
      </c>
      <c r="C262" s="2"/>
      <c r="D262" s="77"/>
      <c r="E262" s="78" t="str">
        <f>IF($A262=0,"",VLOOKUP($A262,'BASE MATERIAL'!$A:$D,3))</f>
        <v/>
      </c>
      <c r="F262" s="55"/>
      <c r="G262" s="55" t="str">
        <f>IF($A262=0,"",VLOOKUP($A262,'BASE MATERIAL'!$A:$D,4))</f>
        <v/>
      </c>
      <c r="H262" s="56" t="str">
        <f t="shared" si="24"/>
        <v/>
      </c>
      <c r="I262" s="2"/>
      <c r="L262" s="2"/>
      <c r="M262" s="2"/>
      <c r="N262" s="39"/>
      <c r="O262" s="2"/>
      <c r="P262" s="2"/>
    </row>
    <row r="263" spans="1:16" s="1" customFormat="1" ht="15" x14ac:dyDescent="0.25">
      <c r="A263" s="103"/>
      <c r="B263" s="38" t="str">
        <f>IF($A263=0,"",VLOOKUP($A263,'BASE MATERIAL'!$A:$D,2))</f>
        <v/>
      </c>
      <c r="C263" s="2"/>
      <c r="D263" s="77"/>
      <c r="E263" s="78" t="str">
        <f>IF($A263=0,"",VLOOKUP($A263,'BASE MATERIAL'!$A:$D,3))</f>
        <v/>
      </c>
      <c r="F263" s="55"/>
      <c r="G263" s="55" t="str">
        <f>IF($A263=0,"",VLOOKUP($A263,'BASE MATERIAL'!$A:$D,4))</f>
        <v/>
      </c>
      <c r="H263" s="56" t="str">
        <f t="shared" si="24"/>
        <v/>
      </c>
      <c r="I263" s="2"/>
      <c r="L263" s="2"/>
      <c r="M263" s="2"/>
      <c r="N263" s="39"/>
      <c r="O263" s="2"/>
      <c r="P263" s="2"/>
    </row>
    <row r="264" spans="1:16" s="1" customFormat="1" ht="15" x14ac:dyDescent="0.25">
      <c r="A264" s="103"/>
      <c r="B264" s="38" t="str">
        <f>IF($A264=0,"",VLOOKUP($A264,'BASE MATERIAL'!$A:$D,2))</f>
        <v/>
      </c>
      <c r="C264" s="2"/>
      <c r="D264" s="77"/>
      <c r="E264" s="78" t="str">
        <f>IF($A264=0,"",VLOOKUP($A264,'BASE MATERIAL'!$A:$D,3))</f>
        <v/>
      </c>
      <c r="F264" s="55"/>
      <c r="G264" s="55" t="str">
        <f>IF($A264=0,"",VLOOKUP($A264,'BASE MATERIAL'!$A:$D,4))</f>
        <v/>
      </c>
      <c r="H264" s="56" t="str">
        <f t="shared" si="24"/>
        <v/>
      </c>
      <c r="I264" s="2"/>
      <c r="L264" s="2"/>
      <c r="M264" s="2"/>
      <c r="N264" s="39"/>
      <c r="O264" s="2"/>
      <c r="P264" s="2"/>
    </row>
    <row r="265" spans="1:16" s="1" customFormat="1" ht="15" x14ac:dyDescent="0.25">
      <c r="A265" s="103"/>
      <c r="B265" s="38" t="str">
        <f>IF($A265=0,"",VLOOKUP($A265,'BASE MATERIAL'!$A:$D,2))</f>
        <v/>
      </c>
      <c r="C265" s="2"/>
      <c r="D265" s="77"/>
      <c r="E265" s="78" t="str">
        <f>IF($A265=0,"",VLOOKUP($A265,'BASE MATERIAL'!$A:$D,3))</f>
        <v/>
      </c>
      <c r="F265" s="55"/>
      <c r="G265" s="55" t="str">
        <f>IF($A265=0,"",VLOOKUP($A265,'BASE MATERIAL'!$A:$D,4))</f>
        <v/>
      </c>
      <c r="H265" s="56" t="str">
        <f t="shared" si="24"/>
        <v/>
      </c>
      <c r="I265" s="2"/>
      <c r="L265" s="2"/>
      <c r="M265" s="2"/>
      <c r="N265" s="39"/>
      <c r="O265" s="2"/>
      <c r="P265" s="2"/>
    </row>
    <row r="266" spans="1:16" s="1" customFormat="1" ht="15" x14ac:dyDescent="0.25">
      <c r="A266" s="103"/>
      <c r="B266" s="38" t="str">
        <f>IF($A266=0,"",VLOOKUP($A266,'BASE MATERIAL'!$A:$D,2))</f>
        <v/>
      </c>
      <c r="C266" s="2"/>
      <c r="D266" s="77"/>
      <c r="E266" s="78" t="str">
        <f>IF($A266=0,"",VLOOKUP($A266,'BASE MATERIAL'!$A:$D,3))</f>
        <v/>
      </c>
      <c r="F266" s="55"/>
      <c r="G266" s="55" t="str">
        <f>IF($A266=0,"",VLOOKUP($A266,'BASE MATERIAL'!$A:$D,4))</f>
        <v/>
      </c>
      <c r="H266" s="56" t="str">
        <f t="shared" si="24"/>
        <v/>
      </c>
      <c r="I266" s="2"/>
      <c r="L266" s="2"/>
      <c r="M266" s="2"/>
      <c r="N266" s="39"/>
      <c r="O266" s="2"/>
      <c r="P266" s="2"/>
    </row>
    <row r="267" spans="1:16" s="1" customFormat="1" ht="15" x14ac:dyDescent="0.25">
      <c r="A267" s="103"/>
      <c r="B267" s="38" t="str">
        <f>IF($A267=0,"",VLOOKUP($A267,'BASE MATERIAL'!$A:$D,2))</f>
        <v/>
      </c>
      <c r="C267" s="2"/>
      <c r="D267" s="77"/>
      <c r="E267" s="78" t="str">
        <f>IF($A267=0,"",VLOOKUP($A267,'BASE MATERIAL'!$A:$D,3))</f>
        <v/>
      </c>
      <c r="F267" s="55"/>
      <c r="G267" s="55" t="str">
        <f>IF($A267=0,"",VLOOKUP($A267,'BASE MATERIAL'!$A:$D,4))</f>
        <v/>
      </c>
      <c r="H267" s="56" t="str">
        <f t="shared" si="24"/>
        <v/>
      </c>
      <c r="I267" s="2"/>
      <c r="L267" s="2"/>
      <c r="M267" s="2"/>
      <c r="N267" s="39"/>
      <c r="O267" s="2"/>
      <c r="P267" s="2"/>
    </row>
    <row r="268" spans="1:16" s="1" customFormat="1" ht="15" x14ac:dyDescent="0.25">
      <c r="A268" s="103"/>
      <c r="B268" s="38" t="str">
        <f>IF($A268=0,"",VLOOKUP($A268,'BASE MATERIAL'!$A:$D,2))</f>
        <v/>
      </c>
      <c r="C268" s="2"/>
      <c r="D268" s="81" t="s">
        <v>1682</v>
      </c>
      <c r="E268" s="55" t="str">
        <f>IF($A268=0,"",VLOOKUP($A268,'BASE MATERIAL'!$A:$D,3))</f>
        <v/>
      </c>
      <c r="F268" s="55" t="s">
        <v>1682</v>
      </c>
      <c r="G268" s="55" t="str">
        <f>IF($A268=0,"",VLOOKUP($A268,'BASE MATERIAL'!$A:$D,4))</f>
        <v/>
      </c>
      <c r="H268" s="56" t="str">
        <f>IF($A268=0,"",ROUND(E268*F268,2))</f>
        <v/>
      </c>
      <c r="I268" s="2"/>
    </row>
    <row r="269" spans="1:16" s="1" customFormat="1" ht="15" x14ac:dyDescent="0.25">
      <c r="A269" s="103"/>
      <c r="B269" s="73" t="s">
        <v>1681</v>
      </c>
      <c r="C269" s="65"/>
      <c r="D269" s="74"/>
      <c r="E269" s="74"/>
      <c r="F269" s="74"/>
      <c r="G269" s="74"/>
      <c r="H269" s="75">
        <f>ROUND(SUM(H252:H268),2)</f>
        <v>246.46</v>
      </c>
      <c r="I269" s="2"/>
    </row>
    <row r="270" spans="1:16" s="1" customFormat="1" ht="15" x14ac:dyDescent="0.25">
      <c r="A270" s="103"/>
      <c r="B270" s="38" t="s">
        <v>1680</v>
      </c>
      <c r="C270" s="2"/>
      <c r="D270" s="3"/>
      <c r="E270" s="3"/>
      <c r="F270" s="3"/>
      <c r="G270" s="3"/>
      <c r="H270" s="56"/>
      <c r="I270" s="2"/>
    </row>
    <row r="271" spans="1:16" s="1" customFormat="1" ht="25.5" x14ac:dyDescent="0.25">
      <c r="A271" s="103"/>
      <c r="B271" s="64" t="s">
        <v>1409</v>
      </c>
      <c r="C271" s="65"/>
      <c r="D271" s="76"/>
      <c r="E271" s="66" t="s">
        <v>1408</v>
      </c>
      <c r="F271" s="66" t="s">
        <v>1679</v>
      </c>
      <c r="G271" s="66" t="s">
        <v>1676</v>
      </c>
      <c r="H271" s="68" t="s">
        <v>1675</v>
      </c>
      <c r="I271" s="2"/>
    </row>
    <row r="272" spans="1:16" s="1" customFormat="1" ht="15" x14ac:dyDescent="0.25">
      <c r="A272" s="103">
        <v>19019</v>
      </c>
      <c r="B272" s="51" t="str">
        <f>IF($A272=0,"",VLOOKUP($A272,'BASE EQUIPO'!$A:$D,2))</f>
        <v>TRANSPORTE DE MATERIAL</v>
      </c>
      <c r="C272" s="52"/>
      <c r="D272" s="82"/>
      <c r="E272" s="78" t="str">
        <f>IF($A272=0,"",VLOOKUP($A272,'BASE EQUIPO'!$A:$D,3))</f>
        <v>GLOBAL</v>
      </c>
      <c r="F272" s="55">
        <v>1</v>
      </c>
      <c r="G272" s="83">
        <f>IF($A272=0,"",VLOOKUP($A272,'BASE EQUIPO'!$A:$D,4)*H269)</f>
        <v>7.3937999999999997</v>
      </c>
      <c r="H272" s="56">
        <f>IF($A272=0,"",ROUND(F272*G272,2))</f>
        <v>7.39</v>
      </c>
      <c r="I272" s="2"/>
    </row>
    <row r="273" spans="1:9" s="1" customFormat="1" ht="15" x14ac:dyDescent="0.25">
      <c r="A273" s="103"/>
      <c r="B273" s="38" t="str">
        <f>IF($A273=0,"",VLOOKUP($A273,'BASE EQUIPO'!$A:$D,2))</f>
        <v/>
      </c>
      <c r="C273" s="2"/>
      <c r="D273" s="84"/>
      <c r="E273" s="78" t="str">
        <f>IF($A273=0,"",VLOOKUP($A273,'BASE EQUIPO'!$A:$D,3))</f>
        <v/>
      </c>
      <c r="F273" s="55"/>
      <c r="G273" s="55" t="str">
        <f>IF($A273=0,"",VLOOKUP($A273,'BASE EQUIPO'!$A:$D,4)*H270)</f>
        <v/>
      </c>
      <c r="H273" s="56" t="str">
        <f>IF($A273=0,"",ROUND(F273*G273,2))</f>
        <v/>
      </c>
      <c r="I273" s="2"/>
    </row>
    <row r="274" spans="1:9" s="1" customFormat="1" ht="15" x14ac:dyDescent="0.25">
      <c r="A274" s="103"/>
      <c r="B274" s="57" t="str">
        <f>IF($A274=0,"",VLOOKUP($A274,'BASE EQUIPO'!$A:$D,2))</f>
        <v/>
      </c>
      <c r="C274" s="58"/>
      <c r="D274" s="85"/>
      <c r="E274" s="86" t="str">
        <f>IF($A274=0,"",VLOOKUP($A274,'BASE EQUIPO'!$A:$D,3))</f>
        <v/>
      </c>
      <c r="F274" s="59"/>
      <c r="G274" s="59" t="str">
        <f>IF($A274=0,"",VLOOKUP($A274,'BASE EQUIPO'!$A:$D,4)*H271)</f>
        <v/>
      </c>
      <c r="H274" s="60" t="str">
        <f>IF($A274=0,"",ROUND(F274*G274,2))</f>
        <v/>
      </c>
      <c r="I274" s="2"/>
    </row>
    <row r="275" spans="1:9" s="1" customFormat="1" ht="15.75" thickBot="1" x14ac:dyDescent="0.3">
      <c r="A275" s="103"/>
      <c r="B275" s="87" t="s">
        <v>1674</v>
      </c>
      <c r="C275" s="88"/>
      <c r="D275" s="89"/>
      <c r="E275" s="89"/>
      <c r="F275" s="89"/>
      <c r="G275" s="89"/>
      <c r="H275" s="90">
        <f>ROUND(SUM(H271:H274),2)</f>
        <v>7.39</v>
      </c>
      <c r="I275" s="2"/>
    </row>
    <row r="276" spans="1:9" s="1" customFormat="1" ht="15.75" x14ac:dyDescent="0.25">
      <c r="A276" s="103"/>
      <c r="B276" s="2"/>
      <c r="C276" s="2"/>
      <c r="D276" s="91" t="s">
        <v>1673</v>
      </c>
      <c r="E276" s="47"/>
      <c r="F276" s="47"/>
      <c r="G276" s="47"/>
      <c r="H276" s="92">
        <f>ROUND(SUM(H275,H269,H250,H240),2)</f>
        <v>305.95</v>
      </c>
      <c r="I276" s="2"/>
    </row>
    <row r="277" spans="1:9" s="1" customFormat="1" ht="15.75" x14ac:dyDescent="0.25">
      <c r="A277" s="103">
        <v>40002</v>
      </c>
      <c r="B277" s="2"/>
      <c r="C277" s="2"/>
      <c r="D277" s="93" t="s">
        <v>1672</v>
      </c>
      <c r="E277" s="65"/>
      <c r="F277" s="65"/>
      <c r="G277" s="94">
        <f>IF($A277=0,"",VLOOKUP($A277,'BASE MATERIAL'!$M:$P,4))</f>
        <v>0</v>
      </c>
      <c r="H277" s="95">
        <f>IF($A277=0,"",ROUND(G277*H276,2))</f>
        <v>0</v>
      </c>
      <c r="I277" s="2"/>
    </row>
    <row r="278" spans="1:9" s="1" customFormat="1" ht="15.75" x14ac:dyDescent="0.25">
      <c r="A278" s="103">
        <v>40003</v>
      </c>
      <c r="B278" s="2"/>
      <c r="C278" s="2"/>
      <c r="D278" s="93" t="s">
        <v>1671</v>
      </c>
      <c r="E278" s="65"/>
      <c r="F278" s="65"/>
      <c r="G278" s="94">
        <f>IF($A278=0,"",VLOOKUP($A278,'BASE MATERIAL'!$M:$P,4))</f>
        <v>0</v>
      </c>
      <c r="H278" s="95">
        <f>IF($A278=0,"",ROUND(G278*H276,2))</f>
        <v>0</v>
      </c>
      <c r="I278" s="2"/>
    </row>
    <row r="279" spans="1:9" s="1" customFormat="1" ht="15.75" x14ac:dyDescent="0.25">
      <c r="A279" s="103"/>
      <c r="B279" s="2"/>
      <c r="C279" s="2"/>
      <c r="D279" s="93" t="s">
        <v>1670</v>
      </c>
      <c r="E279" s="65"/>
      <c r="F279" s="65"/>
      <c r="G279" s="65"/>
      <c r="H279" s="96">
        <f>ROUND(SUM(H276:H278),2)</f>
        <v>305.95</v>
      </c>
      <c r="I279" s="2"/>
    </row>
    <row r="280" spans="1:9" s="1" customFormat="1" ht="16.5" thickBot="1" x14ac:dyDescent="0.3">
      <c r="A280" s="103"/>
      <c r="B280" s="25"/>
      <c r="C280" s="2"/>
      <c r="D280" s="97" t="s">
        <v>1650</v>
      </c>
      <c r="E280" s="88"/>
      <c r="F280" s="88"/>
      <c r="G280" s="88"/>
      <c r="H280" s="98">
        <f>ROUND(H279,2)</f>
        <v>305.95</v>
      </c>
      <c r="I280" s="2"/>
    </row>
  </sheetData>
  <phoneticPr fontId="2" type="noConversion"/>
  <pageMargins left="0.75" right="0.75" top="1" bottom="1" header="0" footer="0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0FA9E-B280-477D-AD08-6211934BEA25}">
  <sheetPr codeName="Hoja19"/>
  <dimension ref="A1:P560"/>
  <sheetViews>
    <sheetView workbookViewId="0"/>
  </sheetViews>
  <sheetFormatPr baseColWidth="10" defaultColWidth="11.42578125" defaultRowHeight="15" x14ac:dyDescent="0.25"/>
  <cols>
    <col min="1" max="1" width="9.140625" style="103" bestFit="1" customWidth="1"/>
    <col min="2" max="2" width="12.140625" style="1" customWidth="1"/>
    <col min="3" max="3" width="26.28515625" style="1" customWidth="1"/>
    <col min="4" max="4" width="10.7109375" style="1" customWidth="1"/>
    <col min="5" max="5" width="12.140625" style="1" customWidth="1"/>
    <col min="6" max="6" width="13.28515625" style="1" customWidth="1"/>
    <col min="7" max="7" width="13.85546875" style="1" customWidth="1"/>
    <col min="8" max="8" width="12.42578125" style="1" customWidth="1"/>
    <col min="9" max="9" width="3.140625" style="1" bestFit="1" customWidth="1"/>
    <col min="10" max="10" width="6.85546875" style="1" customWidth="1"/>
    <col min="11" max="11" width="10.140625" style="1" customWidth="1"/>
    <col min="12" max="12" width="8.28515625" style="1" bestFit="1" customWidth="1"/>
    <col min="13" max="13" width="33.85546875" style="1" bestFit="1" customWidth="1"/>
    <col min="14" max="14" width="6" style="1" bestFit="1" customWidth="1"/>
    <col min="15" max="28" width="8.42578125" style="1" customWidth="1"/>
    <col min="29" max="16384" width="11.42578125" style="1"/>
  </cols>
  <sheetData>
    <row r="1" spans="1:15" ht="15.75" x14ac:dyDescent="0.25">
      <c r="B1" s="34" t="s">
        <v>1701</v>
      </c>
      <c r="C1" s="2"/>
      <c r="D1" s="3" t="str">
        <f>'1.1'!$D$1</f>
        <v>ESPOL</v>
      </c>
      <c r="E1" s="2"/>
      <c r="F1" s="2"/>
      <c r="H1" s="2" t="s">
        <v>108</v>
      </c>
      <c r="I1" s="2"/>
      <c r="L1" s="40">
        <f>A5</f>
        <v>1</v>
      </c>
      <c r="M1" s="1" t="str">
        <f>C6</f>
        <v>Nivelación en corredores, camineras, rampas y escalinatas.</v>
      </c>
      <c r="N1" s="2" t="str">
        <f>H5</f>
        <v>m2</v>
      </c>
      <c r="O1" s="2">
        <f>H56</f>
        <v>2.73</v>
      </c>
    </row>
    <row r="2" spans="1:15" ht="15.75" x14ac:dyDescent="0.25">
      <c r="B2" s="34" t="s">
        <v>1700</v>
      </c>
      <c r="C2" s="3">
        <f>'1.1'!$C$2</f>
        <v>0</v>
      </c>
      <c r="D2" s="2"/>
      <c r="E2" s="2"/>
      <c r="F2" s="2"/>
      <c r="G2" s="41" t="s">
        <v>1699</v>
      </c>
      <c r="H2" s="42"/>
      <c r="I2" s="2" t="s">
        <v>1698</v>
      </c>
    </row>
    <row r="3" spans="1:15" ht="15.75" x14ac:dyDescent="0.25">
      <c r="B3" s="34"/>
      <c r="C3" s="3">
        <f>'1.1'!$C$3</f>
        <v>0</v>
      </c>
      <c r="D3" s="2"/>
      <c r="E3" s="2"/>
      <c r="F3" s="2"/>
      <c r="G3" s="2"/>
      <c r="H3" s="2"/>
      <c r="I3" s="2"/>
    </row>
    <row r="4" spans="1:15" ht="15.75" x14ac:dyDescent="0.25">
      <c r="B4" s="34" t="s">
        <v>1697</v>
      </c>
      <c r="C4" s="3"/>
      <c r="D4" s="2"/>
      <c r="E4" s="2"/>
      <c r="F4" s="2"/>
      <c r="G4" s="2"/>
      <c r="H4" s="2"/>
      <c r="I4" s="2"/>
    </row>
    <row r="5" spans="1:15" x14ac:dyDescent="0.25">
      <c r="A5" s="104">
        <v>1</v>
      </c>
      <c r="B5" s="2" t="s">
        <v>1586</v>
      </c>
      <c r="C5" s="36" t="s">
        <v>1525</v>
      </c>
      <c r="D5" s="2"/>
      <c r="G5" s="2" t="s">
        <v>1696</v>
      </c>
      <c r="H5" s="3" t="s">
        <v>1520</v>
      </c>
      <c r="I5" s="2"/>
    </row>
    <row r="6" spans="1:15" x14ac:dyDescent="0.25">
      <c r="B6" s="1" t="s">
        <v>1585</v>
      </c>
      <c r="C6" s="36" t="s">
        <v>687</v>
      </c>
      <c r="D6" s="2"/>
      <c r="E6" s="2"/>
      <c r="F6" s="2"/>
      <c r="G6" s="2"/>
      <c r="H6" s="2"/>
      <c r="I6" s="2"/>
    </row>
    <row r="7" spans="1:15" ht="15.75" thickBot="1" x14ac:dyDescent="0.3">
      <c r="D7" s="2"/>
      <c r="E7" s="2"/>
      <c r="F7" s="2"/>
      <c r="G7" s="2"/>
      <c r="H7" s="2"/>
      <c r="I7" s="2"/>
    </row>
    <row r="8" spans="1:15" ht="15.75" thickBot="1" x14ac:dyDescent="0.3">
      <c r="B8" s="43" t="s">
        <v>1695</v>
      </c>
      <c r="C8" s="44"/>
      <c r="D8" s="44"/>
      <c r="E8" s="44"/>
      <c r="F8" s="44"/>
      <c r="G8" s="44"/>
      <c r="H8" s="45"/>
      <c r="I8" s="2"/>
    </row>
    <row r="9" spans="1:15" ht="25.5" x14ac:dyDescent="0.25">
      <c r="B9" s="46" t="s">
        <v>1409</v>
      </c>
      <c r="C9" s="47"/>
      <c r="D9" s="48" t="s">
        <v>1690</v>
      </c>
      <c r="E9" s="48" t="s">
        <v>1694</v>
      </c>
      <c r="F9" s="48" t="s">
        <v>1693</v>
      </c>
      <c r="G9" s="49" t="s">
        <v>1687</v>
      </c>
      <c r="H9" s="50" t="s">
        <v>1686</v>
      </c>
      <c r="I9" s="2"/>
    </row>
    <row r="10" spans="1:15" x14ac:dyDescent="0.25">
      <c r="A10" s="103">
        <v>19015</v>
      </c>
      <c r="B10" s="51" t="str">
        <f>IF($A10=0,"",VLOOKUP($A10,'BASE EQUIPO'!$A:$D,2))</f>
        <v>HERRAMIENTA MENOR</v>
      </c>
      <c r="C10" s="52"/>
      <c r="D10" s="53">
        <v>1</v>
      </c>
      <c r="E10" s="53">
        <f>IF($A10=0,"",VLOOKUP($A10,'BASE EQUIPO'!$A:$D,4)*H26)</f>
        <v>3.0300000000000001E-2</v>
      </c>
      <c r="F10" s="53">
        <f t="shared" ref="F10:F15" si="0">IF($A10=0,"",ROUND(D10*E10,2))</f>
        <v>0.03</v>
      </c>
      <c r="G10" s="105">
        <v>1</v>
      </c>
      <c r="H10" s="54">
        <f t="shared" ref="H10:H15" si="1">IF($A10=0,"",ROUND(G10*F10,2))</f>
        <v>0.03</v>
      </c>
      <c r="I10" s="2"/>
    </row>
    <row r="11" spans="1:15" x14ac:dyDescent="0.25">
      <c r="A11" s="103">
        <v>19004</v>
      </c>
      <c r="B11" s="38" t="str">
        <f>IF($A11=0,"",VLOOKUP($A11,'BASE EQUIPO'!$A:$D,2))</f>
        <v>COMPACTADOR MEDIANO</v>
      </c>
      <c r="C11" s="2"/>
      <c r="D11" s="55">
        <v>1</v>
      </c>
      <c r="E11" s="55">
        <f>IF($A11=0,"",VLOOKUP($A11,'BASE EQUIPO'!$A:$D,4))</f>
        <v>3.125</v>
      </c>
      <c r="F11" s="55">
        <f t="shared" si="0"/>
        <v>3.13</v>
      </c>
      <c r="G11" s="106">
        <f>+G20</f>
        <v>7.4999999999999997E-2</v>
      </c>
      <c r="H11" s="56">
        <f t="shared" si="1"/>
        <v>0.23</v>
      </c>
      <c r="I11" s="2"/>
    </row>
    <row r="12" spans="1:15" x14ac:dyDescent="0.25">
      <c r="B12" s="38" t="str">
        <f>IF($A12=0,"",VLOOKUP($A12,'BASE EQUIPO'!$A:$D,2))</f>
        <v/>
      </c>
      <c r="C12" s="2"/>
      <c r="D12" s="55"/>
      <c r="E12" s="55" t="str">
        <f>IF($A12=0,"",VLOOKUP($A12,'BASE EQUIPO'!$A:$D,4))</f>
        <v/>
      </c>
      <c r="F12" s="55" t="str">
        <f t="shared" si="0"/>
        <v/>
      </c>
      <c r="G12" s="106"/>
      <c r="H12" s="56" t="str">
        <f t="shared" si="1"/>
        <v/>
      </c>
      <c r="I12" s="2"/>
    </row>
    <row r="13" spans="1:15" x14ac:dyDescent="0.25">
      <c r="B13" s="38" t="str">
        <f>IF($A13=0,"",VLOOKUP($A13,'BASE EQUIPO'!$A:$D,2))</f>
        <v/>
      </c>
      <c r="C13" s="2"/>
      <c r="D13" s="55"/>
      <c r="E13" s="55" t="str">
        <f>IF($A13=0,"",VLOOKUP($A13,'BASE EQUIPO'!$A:$D,4))</f>
        <v/>
      </c>
      <c r="F13" s="55" t="str">
        <f t="shared" si="0"/>
        <v/>
      </c>
      <c r="G13" s="106"/>
      <c r="H13" s="56" t="str">
        <f t="shared" si="1"/>
        <v/>
      </c>
      <c r="I13" s="2"/>
    </row>
    <row r="14" spans="1:15" x14ac:dyDescent="0.25">
      <c r="B14" s="38" t="str">
        <f>IF($A14=0,"",VLOOKUP($A14,'BASE EQUIPO'!$A:$D,2))</f>
        <v/>
      </c>
      <c r="C14" s="2"/>
      <c r="D14" s="55"/>
      <c r="E14" s="55" t="str">
        <f>IF($A14=0,"",VLOOKUP($A14,'BASE EQUIPO'!$A:$D,4))</f>
        <v/>
      </c>
      <c r="F14" s="55" t="str">
        <f t="shared" si="0"/>
        <v/>
      </c>
      <c r="G14" s="106"/>
      <c r="H14" s="56" t="str">
        <f t="shared" si="1"/>
        <v/>
      </c>
      <c r="I14" s="2"/>
    </row>
    <row r="15" spans="1:15" x14ac:dyDescent="0.25">
      <c r="B15" s="57" t="str">
        <f>IF($A15=0,"",VLOOKUP($A15,'BASE EQUIPO'!$A:$D,2))</f>
        <v/>
      </c>
      <c r="C15" s="58"/>
      <c r="D15" s="59"/>
      <c r="E15" s="59" t="str">
        <f>IF($A15=0,"",VLOOKUP($A15,'BASE EQUIPO'!$A:$D,4))</f>
        <v/>
      </c>
      <c r="F15" s="59" t="str">
        <f t="shared" si="0"/>
        <v/>
      </c>
      <c r="G15" s="107"/>
      <c r="H15" s="60" t="str">
        <f t="shared" si="1"/>
        <v/>
      </c>
      <c r="I15" s="2"/>
    </row>
    <row r="16" spans="1:15" x14ac:dyDescent="0.25">
      <c r="B16" s="57" t="s">
        <v>1692</v>
      </c>
      <c r="C16" s="58"/>
      <c r="D16" s="61"/>
      <c r="E16" s="61"/>
      <c r="F16" s="61"/>
      <c r="G16" s="62"/>
      <c r="H16" s="60">
        <f>ROUND(SUM(H9:H15),2)</f>
        <v>0.26</v>
      </c>
      <c r="I16" s="2"/>
    </row>
    <row r="17" spans="1:16" x14ac:dyDescent="0.25">
      <c r="B17" s="38" t="s">
        <v>1503</v>
      </c>
      <c r="C17" s="2"/>
      <c r="D17" s="3"/>
      <c r="E17" s="3"/>
      <c r="F17" s="3"/>
      <c r="G17" s="63"/>
      <c r="H17" s="56"/>
      <c r="I17" s="2"/>
    </row>
    <row r="18" spans="1:16" ht="26.25" customHeight="1" x14ac:dyDescent="0.25">
      <c r="B18" s="64" t="s">
        <v>1691</v>
      </c>
      <c r="C18" s="65"/>
      <c r="D18" s="66" t="s">
        <v>1690</v>
      </c>
      <c r="E18" s="66" t="s">
        <v>1689</v>
      </c>
      <c r="F18" s="66" t="s">
        <v>1688</v>
      </c>
      <c r="G18" s="67" t="s">
        <v>1687</v>
      </c>
      <c r="H18" s="68" t="s">
        <v>1686</v>
      </c>
      <c r="I18" s="2"/>
    </row>
    <row r="19" spans="1:16" x14ac:dyDescent="0.25">
      <c r="A19" s="103">
        <v>20001</v>
      </c>
      <c r="B19" s="69" t="str">
        <f>IF($A19=0,"",VLOOKUP($A19,'BASE M-OBRA'!$A:$D,2))</f>
        <v>MAESTRO</v>
      </c>
      <c r="C19" s="2"/>
      <c r="D19" s="108">
        <v>1</v>
      </c>
      <c r="E19" s="70">
        <f>IF($A19=0,"",VLOOKUP($A19,'BASE M-OBRA'!$A:$D,4))</f>
        <v>3.02</v>
      </c>
      <c r="F19" s="55">
        <f t="shared" ref="F19:F25" si="2">IF($A19=0,"",ROUND(D19*E19,2))</f>
        <v>3.02</v>
      </c>
      <c r="G19" s="106">
        <f>IF($A19=0,"",ROUND(H19/F19,2))</f>
        <v>0.06</v>
      </c>
      <c r="H19" s="56">
        <f>IF($A19=0,"",ROUND(SUM(H20:H25)*'BASE M-OBRA'!$D$23,2))</f>
        <v>0.17</v>
      </c>
      <c r="I19" s="2"/>
    </row>
    <row r="20" spans="1:16" x14ac:dyDescent="0.25">
      <c r="A20" s="103">
        <v>20002</v>
      </c>
      <c r="B20" s="69" t="str">
        <f>IF($A20=0,"",VLOOKUP($A20,'BASE M-OBRA'!$A:$D,2))</f>
        <v>PEON</v>
      </c>
      <c r="C20" s="2"/>
      <c r="D20" s="108">
        <v>4</v>
      </c>
      <c r="E20" s="70">
        <f>IF($A20=0,"",VLOOKUP($A20,'BASE M-OBRA'!$A:$D,4))</f>
        <v>2.79</v>
      </c>
      <c r="F20" s="55">
        <f t="shared" si="2"/>
        <v>11.16</v>
      </c>
      <c r="G20" s="106">
        <v>7.4999999999999997E-2</v>
      </c>
      <c r="H20" s="56">
        <f t="shared" ref="H20:H25" si="3">IF($A20=0,"",ROUND(G20*F20,2))</f>
        <v>0.84</v>
      </c>
      <c r="I20" s="2"/>
    </row>
    <row r="21" spans="1:16" x14ac:dyDescent="0.25">
      <c r="B21" s="69" t="str">
        <f>IF($A21=0,"",VLOOKUP($A21,'BASE M-OBRA'!$A:$D,2))</f>
        <v/>
      </c>
      <c r="C21" s="2"/>
      <c r="D21" s="108"/>
      <c r="E21" s="70" t="str">
        <f>IF($A21=0,"",VLOOKUP($A21,'BASE M-OBRA'!$A:$D,4))</f>
        <v/>
      </c>
      <c r="F21" s="55" t="str">
        <f t="shared" si="2"/>
        <v/>
      </c>
      <c r="G21" s="106"/>
      <c r="H21" s="56" t="str">
        <f t="shared" si="3"/>
        <v/>
      </c>
      <c r="I21" s="2"/>
    </row>
    <row r="22" spans="1:16" x14ac:dyDescent="0.25">
      <c r="B22" s="71" t="str">
        <f>IF($A22=0,"",VLOOKUP($A22,'BASE M-OBRA'!$A:$D,2))</f>
        <v/>
      </c>
      <c r="C22" s="2"/>
      <c r="D22" s="108"/>
      <c r="E22" s="70" t="str">
        <f>IF($A22=0,"",VLOOKUP($A22,'BASE M-OBRA'!$A:$D,4))</f>
        <v/>
      </c>
      <c r="F22" s="55" t="str">
        <f t="shared" si="2"/>
        <v/>
      </c>
      <c r="G22" s="106"/>
      <c r="H22" s="56" t="str">
        <f t="shared" si="3"/>
        <v/>
      </c>
      <c r="I22" s="2"/>
    </row>
    <row r="23" spans="1:16" x14ac:dyDescent="0.25">
      <c r="B23" s="72" t="str">
        <f>IF($A23=0,"",VLOOKUP($A23,'BASE M-OBRA'!$A:$D,2))</f>
        <v/>
      </c>
      <c r="C23" s="2"/>
      <c r="D23" s="108"/>
      <c r="E23" s="70" t="str">
        <f>IF($A23=0,"",VLOOKUP($A23,'BASE M-OBRA'!$A:$D,4))</f>
        <v/>
      </c>
      <c r="F23" s="55" t="str">
        <f t="shared" si="2"/>
        <v/>
      </c>
      <c r="G23" s="106"/>
      <c r="H23" s="56" t="str">
        <f t="shared" si="3"/>
        <v/>
      </c>
      <c r="I23" s="2"/>
    </row>
    <row r="24" spans="1:16" x14ac:dyDescent="0.25">
      <c r="B24" s="38" t="str">
        <f>IF($A24=0,"",VLOOKUP($A24,'BASE M-OBRA'!$A:$D,2))</f>
        <v/>
      </c>
      <c r="C24" s="2"/>
      <c r="D24" s="55"/>
      <c r="E24" s="55" t="str">
        <f>IF($A24=0,"",VLOOKUP($A24,'BASE M-OBRA'!$A:$D,4))</f>
        <v/>
      </c>
      <c r="F24" s="55" t="str">
        <f t="shared" si="2"/>
        <v/>
      </c>
      <c r="G24" s="106"/>
      <c r="H24" s="56" t="str">
        <f t="shared" si="3"/>
        <v/>
      </c>
      <c r="I24" s="2"/>
    </row>
    <row r="25" spans="1:16" x14ac:dyDescent="0.25">
      <c r="B25" s="57" t="str">
        <f>IF($A25=0,"",VLOOKUP($A25,'BASE M-OBRA'!$A:$D,2))</f>
        <v/>
      </c>
      <c r="C25" s="58"/>
      <c r="D25" s="59"/>
      <c r="E25" s="59" t="str">
        <f>IF($A25=0,"",VLOOKUP($A25,'BASE M-OBRA'!$A:$D,4))</f>
        <v/>
      </c>
      <c r="F25" s="59" t="str">
        <f t="shared" si="2"/>
        <v/>
      </c>
      <c r="G25" s="107"/>
      <c r="H25" s="60" t="str">
        <f t="shared" si="3"/>
        <v/>
      </c>
      <c r="I25" s="2"/>
    </row>
    <row r="26" spans="1:16" x14ac:dyDescent="0.25">
      <c r="B26" s="73" t="s">
        <v>1685</v>
      </c>
      <c r="C26" s="65"/>
      <c r="D26" s="74"/>
      <c r="E26" s="74"/>
      <c r="F26" s="74"/>
      <c r="G26" s="74"/>
      <c r="H26" s="75">
        <f>ROUND(SUM(H18:H25),2)</f>
        <v>1.01</v>
      </c>
      <c r="I26" s="2"/>
    </row>
    <row r="27" spans="1:16" x14ac:dyDescent="0.25">
      <c r="B27" s="38" t="s">
        <v>1684</v>
      </c>
      <c r="C27" s="2"/>
      <c r="D27" s="3"/>
      <c r="E27" s="3"/>
      <c r="F27" s="3"/>
      <c r="G27" s="3"/>
      <c r="H27" s="56"/>
      <c r="I27" s="2"/>
    </row>
    <row r="28" spans="1:16" ht="26.25" customHeight="1" x14ac:dyDescent="0.25">
      <c r="B28" s="64" t="s">
        <v>1409</v>
      </c>
      <c r="C28" s="65"/>
      <c r="D28" s="76"/>
      <c r="E28" s="66" t="s">
        <v>1408</v>
      </c>
      <c r="F28" s="66" t="s">
        <v>1679</v>
      </c>
      <c r="G28" s="66" t="s">
        <v>1683</v>
      </c>
      <c r="H28" s="68" t="s">
        <v>1675</v>
      </c>
      <c r="I28" s="2"/>
    </row>
    <row r="29" spans="1:16" x14ac:dyDescent="0.25">
      <c r="A29" s="103">
        <v>5001</v>
      </c>
      <c r="B29" s="37" t="str">
        <f>IF($A29=0,"",VLOOKUP($A29,'BASE MATERIAL'!$A:$D,2))</f>
        <v>CASCAJO MEDIO</v>
      </c>
      <c r="C29" s="2"/>
      <c r="D29" s="77"/>
      <c r="E29" s="78" t="str">
        <f>IF($A29=0,"",VLOOKUP($A29,'BASE MATERIAL'!$A:$D,3))</f>
        <v>M3</v>
      </c>
      <c r="F29" s="55">
        <v>0.25</v>
      </c>
      <c r="G29" s="55">
        <f>IF($A29=0,"",VLOOKUP($A29,'BASE MATERIAL'!$A:$D,4))</f>
        <v>5.5</v>
      </c>
      <c r="H29" s="56">
        <f t="shared" ref="H29:H42" si="4">IF($A29=0,"",ROUND(F29*G29,2))</f>
        <v>1.38</v>
      </c>
      <c r="I29" s="2"/>
      <c r="L29" s="2"/>
      <c r="M29" s="2"/>
      <c r="N29" s="39"/>
      <c r="O29" s="2"/>
      <c r="P29" s="2"/>
    </row>
    <row r="30" spans="1:16" x14ac:dyDescent="0.25">
      <c r="A30" s="103">
        <v>5005</v>
      </c>
      <c r="B30" s="38" t="str">
        <f>IF($A30=0,"",VLOOKUP($A30,'BASE MATERIAL'!$A:$D,2))</f>
        <v>AGUA</v>
      </c>
      <c r="C30" s="2"/>
      <c r="D30" s="77"/>
      <c r="E30" s="78" t="str">
        <f>IF($A30=0,"",VLOOKUP($A30,'BASE MATERIAL'!$A:$D,3))</f>
        <v>LT</v>
      </c>
      <c r="F30" s="55">
        <f>150*0.25</f>
        <v>37.5</v>
      </c>
      <c r="G30" s="80">
        <f>IF($A30=0,"",VLOOKUP($A30,'BASE MATERIAL'!$A:$D,4))</f>
        <v>2E-3</v>
      </c>
      <c r="H30" s="56">
        <f t="shared" si="4"/>
        <v>0.08</v>
      </c>
      <c r="I30" s="2"/>
      <c r="L30" s="2"/>
      <c r="M30" s="2"/>
      <c r="N30" s="39"/>
      <c r="O30" s="2"/>
      <c r="P30" s="2"/>
    </row>
    <row r="31" spans="1:16" x14ac:dyDescent="0.25">
      <c r="B31" s="38" t="str">
        <f>IF($A31=0,"",VLOOKUP($A31,'BASE MATERIAL'!$A:$D,2))</f>
        <v/>
      </c>
      <c r="C31" s="2"/>
      <c r="D31" s="77"/>
      <c r="E31" s="78" t="str">
        <f>IF($A31=0,"",VLOOKUP($A31,'BASE MATERIAL'!$A:$D,3))</f>
        <v/>
      </c>
      <c r="F31" s="55"/>
      <c r="G31" s="55" t="str">
        <f>IF($A31=0,"",VLOOKUP($A31,'BASE MATERIAL'!$A:$D,4))</f>
        <v/>
      </c>
      <c r="H31" s="56" t="str">
        <f t="shared" si="4"/>
        <v/>
      </c>
      <c r="I31" s="2"/>
      <c r="L31" s="2"/>
      <c r="M31" s="2"/>
      <c r="N31" s="39"/>
      <c r="O31" s="2"/>
      <c r="P31" s="2"/>
    </row>
    <row r="32" spans="1:16" x14ac:dyDescent="0.25">
      <c r="B32" s="38" t="str">
        <f>IF($A32=0,"",VLOOKUP($A32,'BASE MATERIAL'!$A:$D,2))</f>
        <v/>
      </c>
      <c r="C32" s="2"/>
      <c r="D32" s="77"/>
      <c r="E32" s="78" t="str">
        <f>IF($A32=0,"",VLOOKUP($A32,'BASE MATERIAL'!$A:$D,3))</f>
        <v/>
      </c>
      <c r="F32" s="55"/>
      <c r="G32" s="55" t="str">
        <f>IF($A32=0,"",VLOOKUP($A32,'BASE MATERIAL'!$A:$D,4))</f>
        <v/>
      </c>
      <c r="H32" s="56" t="str">
        <f t="shared" si="4"/>
        <v/>
      </c>
      <c r="I32" s="2"/>
      <c r="L32" s="2"/>
      <c r="M32" s="2"/>
      <c r="N32" s="39"/>
      <c r="O32" s="2"/>
      <c r="P32" s="2"/>
    </row>
    <row r="33" spans="1:16" x14ac:dyDescent="0.25">
      <c r="B33" s="38" t="str">
        <f>IF($A33=0,"",VLOOKUP($A33,'BASE MATERIAL'!$A:$D,2))</f>
        <v/>
      </c>
      <c r="C33" s="2"/>
      <c r="D33" s="77"/>
      <c r="E33" s="78" t="str">
        <f>IF($A33=0,"",VLOOKUP($A33,'BASE MATERIAL'!$A:$D,3))</f>
        <v/>
      </c>
      <c r="F33" s="55"/>
      <c r="G33" s="55" t="str">
        <f>IF($A33=0,"",VLOOKUP($A33,'BASE MATERIAL'!$A:$D,4))</f>
        <v/>
      </c>
      <c r="H33" s="56" t="str">
        <f t="shared" si="4"/>
        <v/>
      </c>
      <c r="I33" s="2"/>
      <c r="L33" s="2"/>
      <c r="M33" s="2"/>
      <c r="N33" s="39"/>
      <c r="O33" s="2"/>
      <c r="P33" s="2"/>
    </row>
    <row r="34" spans="1:16" x14ac:dyDescent="0.25">
      <c r="B34" s="38" t="str">
        <f>IF($A34=0,"",VLOOKUP($A34,'BASE MATERIAL'!$A:$D,2))</f>
        <v/>
      </c>
      <c r="C34" s="2"/>
      <c r="D34" s="77"/>
      <c r="E34" s="78" t="str">
        <f>IF($A34=0,"",VLOOKUP($A34,'BASE MATERIAL'!$A:$D,3))</f>
        <v/>
      </c>
      <c r="F34" s="55"/>
      <c r="G34" s="55" t="str">
        <f>IF($A34=0,"",VLOOKUP($A34,'BASE MATERIAL'!$A:$D,4))</f>
        <v/>
      </c>
      <c r="H34" s="56" t="str">
        <f t="shared" si="4"/>
        <v/>
      </c>
      <c r="I34" s="2"/>
      <c r="L34" s="2"/>
      <c r="M34" s="2"/>
      <c r="N34" s="39"/>
      <c r="O34" s="2"/>
      <c r="P34" s="2"/>
    </row>
    <row r="35" spans="1:16" x14ac:dyDescent="0.25">
      <c r="B35" s="38" t="str">
        <f>IF($A35=0,"",VLOOKUP($A35,'BASE MATERIAL'!$A:$D,2))</f>
        <v/>
      </c>
      <c r="C35" s="2"/>
      <c r="D35" s="77"/>
      <c r="E35" s="78" t="str">
        <f>IF($A35=0,"",VLOOKUP($A35,'BASE MATERIAL'!$A:$D,3))</f>
        <v/>
      </c>
      <c r="F35" s="55"/>
      <c r="G35" s="55" t="str">
        <f>IF($A35=0,"",VLOOKUP($A35,'BASE MATERIAL'!$A:$D,4))</f>
        <v/>
      </c>
      <c r="H35" s="56" t="str">
        <f t="shared" si="4"/>
        <v/>
      </c>
      <c r="I35" s="2"/>
      <c r="L35" s="2"/>
      <c r="M35" s="2"/>
      <c r="N35" s="39"/>
      <c r="O35" s="2"/>
      <c r="P35" s="2"/>
    </row>
    <row r="36" spans="1:16" x14ac:dyDescent="0.25">
      <c r="B36" s="38" t="str">
        <f>IF($A36=0,"",VLOOKUP($A36,'BASE MATERIAL'!$A:$D,2))</f>
        <v/>
      </c>
      <c r="C36" s="2"/>
      <c r="D36" s="77"/>
      <c r="E36" s="78" t="str">
        <f>IF($A36=0,"",VLOOKUP($A36,'BASE MATERIAL'!$A:$D,3))</f>
        <v/>
      </c>
      <c r="F36" s="55"/>
      <c r="G36" s="55" t="str">
        <f>IF($A36=0,"",VLOOKUP($A36,'BASE MATERIAL'!$A:$D,4))</f>
        <v/>
      </c>
      <c r="H36" s="56" t="str">
        <f t="shared" si="4"/>
        <v/>
      </c>
      <c r="I36" s="2"/>
      <c r="L36" s="2"/>
      <c r="M36" s="2"/>
      <c r="N36" s="39"/>
      <c r="O36" s="2"/>
      <c r="P36" s="2"/>
    </row>
    <row r="37" spans="1:16" x14ac:dyDescent="0.25">
      <c r="B37" s="38" t="str">
        <f>IF($A37=0,"",VLOOKUP($A37,'BASE MATERIAL'!$A:$D,2))</f>
        <v/>
      </c>
      <c r="C37" s="2"/>
      <c r="D37" s="77"/>
      <c r="E37" s="78" t="str">
        <f>IF($A37=0,"",VLOOKUP($A37,'BASE MATERIAL'!$A:$D,3))</f>
        <v/>
      </c>
      <c r="F37" s="55"/>
      <c r="G37" s="55" t="str">
        <f>IF($A37=0,"",VLOOKUP($A37,'BASE MATERIAL'!$A:$D,4))</f>
        <v/>
      </c>
      <c r="H37" s="56" t="str">
        <f t="shared" si="4"/>
        <v/>
      </c>
      <c r="I37" s="2"/>
    </row>
    <row r="38" spans="1:16" x14ac:dyDescent="0.25">
      <c r="B38" s="38" t="str">
        <f>IF($A38=0,"",VLOOKUP($A38,'BASE MATERIAL'!$A:$D,2))</f>
        <v/>
      </c>
      <c r="C38" s="2"/>
      <c r="D38" s="77"/>
      <c r="E38" s="78" t="str">
        <f>IF($A38=0,"",VLOOKUP($A38,'BASE MATERIAL'!$A:$D,3))</f>
        <v/>
      </c>
      <c r="F38" s="55"/>
      <c r="G38" s="55" t="str">
        <f>IF($A38=0,"",VLOOKUP($A38,'BASE MATERIAL'!$A:$D,4))</f>
        <v/>
      </c>
      <c r="H38" s="56" t="str">
        <f t="shared" si="4"/>
        <v/>
      </c>
      <c r="I38" s="2"/>
      <c r="L38" s="2"/>
      <c r="M38" s="2"/>
      <c r="N38" s="39"/>
      <c r="O38" s="2"/>
      <c r="P38" s="2"/>
    </row>
    <row r="39" spans="1:16" x14ac:dyDescent="0.25">
      <c r="B39" s="38" t="str">
        <f>IF($A39=0,"",VLOOKUP($A39,'BASE MATERIAL'!$A:$D,2))</f>
        <v/>
      </c>
      <c r="C39" s="2"/>
      <c r="D39" s="77"/>
      <c r="E39" s="78" t="str">
        <f>IF($A39=0,"",VLOOKUP($A39,'BASE MATERIAL'!$A:$D,3))</f>
        <v/>
      </c>
      <c r="F39" s="55"/>
      <c r="G39" s="55" t="str">
        <f>IF($A39=0,"",VLOOKUP($A39,'BASE MATERIAL'!$A:$D,4))</f>
        <v/>
      </c>
      <c r="H39" s="56" t="str">
        <f t="shared" si="4"/>
        <v/>
      </c>
      <c r="I39" s="2"/>
      <c r="L39" s="2"/>
      <c r="M39" s="2"/>
      <c r="N39" s="39"/>
      <c r="O39" s="2"/>
      <c r="P39" s="2"/>
    </row>
    <row r="40" spans="1:16" x14ac:dyDescent="0.25">
      <c r="B40" s="38" t="str">
        <f>IF($A40=0,"",VLOOKUP($A40,'BASE MATERIAL'!$A:$D,2))</f>
        <v/>
      </c>
      <c r="C40" s="2"/>
      <c r="D40" s="77"/>
      <c r="E40" s="78" t="str">
        <f>IF($A40=0,"",VLOOKUP($A40,'BASE MATERIAL'!$A:$D,3))</f>
        <v/>
      </c>
      <c r="F40" s="55"/>
      <c r="G40" s="55" t="str">
        <f>IF($A40=0,"",VLOOKUP($A40,'BASE MATERIAL'!$A:$D,4))</f>
        <v/>
      </c>
      <c r="H40" s="56" t="str">
        <f t="shared" si="4"/>
        <v/>
      </c>
      <c r="I40" s="2"/>
    </row>
    <row r="41" spans="1:16" x14ac:dyDescent="0.25">
      <c r="B41" s="38" t="str">
        <f>IF($A41=0,"",VLOOKUP($A41,'BASE MATERIAL'!$A:$D,2))</f>
        <v/>
      </c>
      <c r="C41" s="2"/>
      <c r="D41" s="77"/>
      <c r="E41" s="78" t="str">
        <f>IF($A41=0,"",VLOOKUP($A41,'BASE MATERIAL'!$A:$D,3))</f>
        <v/>
      </c>
      <c r="F41" s="55"/>
      <c r="G41" s="55" t="str">
        <f>IF($A41=0,"",VLOOKUP($A41,'BASE MATERIAL'!$A:$D,4))</f>
        <v/>
      </c>
      <c r="H41" s="56" t="str">
        <f t="shared" si="4"/>
        <v/>
      </c>
      <c r="I41" s="2"/>
    </row>
    <row r="42" spans="1:16" x14ac:dyDescent="0.25">
      <c r="B42" s="38" t="str">
        <f>IF($A42=0,"",VLOOKUP($A42,'BASE MATERIAL'!$A:$D,2))</f>
        <v/>
      </c>
      <c r="C42" s="2"/>
      <c r="D42" s="77"/>
      <c r="E42" s="78" t="str">
        <f>IF($A42=0,"",VLOOKUP($A42,'BASE MATERIAL'!$A:$D,3))</f>
        <v/>
      </c>
      <c r="F42" s="55"/>
      <c r="G42" s="55" t="str">
        <f>IF($A42=0,"",VLOOKUP($A42,'BASE MATERIAL'!$A:$D,4))</f>
        <v/>
      </c>
      <c r="H42" s="56" t="str">
        <f t="shared" si="4"/>
        <v/>
      </c>
      <c r="I42" s="2"/>
    </row>
    <row r="43" spans="1:16" ht="14.25" x14ac:dyDescent="0.2">
      <c r="A43" s="1"/>
      <c r="B43" s="38" t="str">
        <f>IF($A43=0,"",VLOOKUP($A43,'BASE MATERIAL'!$A:$D,2))</f>
        <v/>
      </c>
      <c r="C43" s="2"/>
      <c r="D43" s="77"/>
      <c r="E43" s="78" t="str">
        <f>IF($A43=0,"",VLOOKUP($A43,'BASE MATERIAL'!$A:$D,3))</f>
        <v/>
      </c>
      <c r="F43" s="55"/>
      <c r="G43" s="55" t="str">
        <f>IF($A43=0,"",VLOOKUP($A43,'BASE MATERIAL'!$A:$D,4))</f>
        <v/>
      </c>
      <c r="H43" s="56" t="str">
        <f>IF($A43=0,"",ROUND(F43*G43,2))</f>
        <v/>
      </c>
      <c r="I43" s="2"/>
    </row>
    <row r="44" spans="1:16" ht="14.25" x14ac:dyDescent="0.2">
      <c r="A44" s="1"/>
      <c r="B44" s="38" t="str">
        <f>IF($A44=0,"",VLOOKUP($A44,'BASE MATERIAL'!$A:$D,2))</f>
        <v/>
      </c>
      <c r="C44" s="2"/>
      <c r="D44" s="81" t="s">
        <v>1682</v>
      </c>
      <c r="E44" s="55" t="str">
        <f>IF($A44=0,"",VLOOKUP($A44,'BASE MATERIAL'!$A:$D,3))</f>
        <v/>
      </c>
      <c r="F44" s="55" t="s">
        <v>1682</v>
      </c>
      <c r="G44" s="55" t="str">
        <f>IF($A44=0,"",VLOOKUP($A44,'BASE MATERIAL'!$A:$D,4))</f>
        <v/>
      </c>
      <c r="H44" s="56" t="str">
        <f>IF($A44=0,"",ROUND(E44*F44,2))</f>
        <v/>
      </c>
      <c r="I44" s="2"/>
    </row>
    <row r="45" spans="1:16" ht="14.25" x14ac:dyDescent="0.2">
      <c r="A45" s="1"/>
      <c r="B45" s="73" t="s">
        <v>1681</v>
      </c>
      <c r="C45" s="65"/>
      <c r="D45" s="74"/>
      <c r="E45" s="74"/>
      <c r="F45" s="74"/>
      <c r="G45" s="74"/>
      <c r="H45" s="75">
        <f>ROUND(SUM(H28:H44),2)</f>
        <v>1.46</v>
      </c>
      <c r="I45" s="2"/>
    </row>
    <row r="46" spans="1:16" ht="14.25" x14ac:dyDescent="0.2">
      <c r="A46" s="1"/>
      <c r="B46" s="38" t="s">
        <v>1680</v>
      </c>
      <c r="C46" s="2"/>
      <c r="D46" s="3"/>
      <c r="E46" s="3"/>
      <c r="F46" s="3"/>
      <c r="G46" s="3"/>
      <c r="H46" s="56"/>
      <c r="I46" s="2"/>
    </row>
    <row r="47" spans="1:16" ht="25.5" x14ac:dyDescent="0.2">
      <c r="A47" s="1"/>
      <c r="B47" s="64" t="s">
        <v>1409</v>
      </c>
      <c r="C47" s="65"/>
      <c r="D47" s="76"/>
      <c r="E47" s="66" t="s">
        <v>1408</v>
      </c>
      <c r="F47" s="66" t="s">
        <v>1679</v>
      </c>
      <c r="G47" s="66" t="s">
        <v>1676</v>
      </c>
      <c r="H47" s="68" t="s">
        <v>1675</v>
      </c>
      <c r="I47" s="2"/>
    </row>
    <row r="48" spans="1:16" ht="14.25" x14ac:dyDescent="0.2">
      <c r="A48" s="1"/>
      <c r="B48" s="51" t="str">
        <f>IF($A48=0,"",VLOOKUP($A48,'BASE EQUIPO'!$A:$D,2))</f>
        <v/>
      </c>
      <c r="C48" s="52"/>
      <c r="D48" s="82"/>
      <c r="E48" s="78" t="str">
        <f>IF($A48=0,"",VLOOKUP($A48,'BASE EQUIPO'!$A:$D,3))</f>
        <v/>
      </c>
      <c r="F48" s="55"/>
      <c r="G48" s="83" t="str">
        <f>IF($A48=0,"",VLOOKUP($A48,'BASE EQUIPO'!$A:$D,4)*H45)</f>
        <v/>
      </c>
      <c r="H48" s="56" t="str">
        <f>IF($A48=0,"",ROUND(F48*G48,2))</f>
        <v/>
      </c>
      <c r="I48" s="2"/>
    </row>
    <row r="49" spans="1:15" x14ac:dyDescent="0.25">
      <c r="B49" s="38" t="str">
        <f>IF($A49=0,"",VLOOKUP($A49,'BASE EQUIPO'!$A:$D,2))</f>
        <v/>
      </c>
      <c r="C49" s="2"/>
      <c r="D49" s="84"/>
      <c r="E49" s="78" t="str">
        <f>IF($A49=0,"",VLOOKUP($A49,'BASE EQUIPO'!$A:$D,3))</f>
        <v/>
      </c>
      <c r="F49" s="55"/>
      <c r="G49" s="55" t="str">
        <f>IF($A49=0,"",VLOOKUP($A49,'BASE EQUIPO'!$A:$D,4)*H46)</f>
        <v/>
      </c>
      <c r="H49" s="56" t="str">
        <f>IF($A49=0,"",ROUND(F49*G49,2))</f>
        <v/>
      </c>
      <c r="I49" s="2"/>
    </row>
    <row r="50" spans="1:15" x14ac:dyDescent="0.25">
      <c r="B50" s="57" t="str">
        <f>IF($A50=0,"",VLOOKUP($A50,'BASE EQUIPO'!$A:$D,2))</f>
        <v/>
      </c>
      <c r="C50" s="58"/>
      <c r="D50" s="85"/>
      <c r="E50" s="86" t="str">
        <f>IF($A50=0,"",VLOOKUP($A50,'BASE EQUIPO'!$A:$D,3))</f>
        <v/>
      </c>
      <c r="F50" s="59"/>
      <c r="G50" s="59" t="str">
        <f>IF($A50=0,"",VLOOKUP($A50,'BASE EQUIPO'!$A:$D,4)*H47)</f>
        <v/>
      </c>
      <c r="H50" s="60" t="str">
        <f>IF($A50=0,"",ROUND(F50*G50,2))</f>
        <v/>
      </c>
      <c r="I50" s="2"/>
    </row>
    <row r="51" spans="1:15" ht="15.75" thickBot="1" x14ac:dyDescent="0.3">
      <c r="B51" s="87" t="s">
        <v>1674</v>
      </c>
      <c r="C51" s="88"/>
      <c r="D51" s="89"/>
      <c r="E51" s="89"/>
      <c r="F51" s="89"/>
      <c r="G51" s="89"/>
      <c r="H51" s="90">
        <f>ROUND(SUM(H47:H50),2)</f>
        <v>0</v>
      </c>
      <c r="I51" s="2"/>
    </row>
    <row r="52" spans="1:15" ht="15.75" x14ac:dyDescent="0.25">
      <c r="B52" s="2"/>
      <c r="C52" s="2"/>
      <c r="D52" s="91" t="s">
        <v>1673</v>
      </c>
      <c r="E52" s="47"/>
      <c r="F52" s="47"/>
      <c r="G52" s="47"/>
      <c r="H52" s="92">
        <f>ROUND(SUM(H51,H45,H26,H16),2)</f>
        <v>2.73</v>
      </c>
      <c r="I52" s="2"/>
    </row>
    <row r="53" spans="1:15" ht="15.75" x14ac:dyDescent="0.25">
      <c r="A53" s="103">
        <v>40002</v>
      </c>
      <c r="B53" s="2"/>
      <c r="C53" s="2"/>
      <c r="D53" s="93" t="s">
        <v>1672</v>
      </c>
      <c r="E53" s="65"/>
      <c r="F53" s="65"/>
      <c r="G53" s="94">
        <f>IF($A53=0,"",VLOOKUP($A53,'BASE MATERIAL'!$M:$P,4))</f>
        <v>0</v>
      </c>
      <c r="H53" s="95">
        <f>IF($A53=0,"",ROUND(G53*H52,2))</f>
        <v>0</v>
      </c>
      <c r="I53" s="2"/>
    </row>
    <row r="54" spans="1:15" ht="15.75" x14ac:dyDescent="0.25">
      <c r="A54" s="103">
        <v>40003</v>
      </c>
      <c r="B54" s="2"/>
      <c r="C54" s="2"/>
      <c r="D54" s="93" t="s">
        <v>1671</v>
      </c>
      <c r="E54" s="65"/>
      <c r="F54" s="65"/>
      <c r="G54" s="94">
        <f>IF($A54=0,"",VLOOKUP($A54,'BASE MATERIAL'!$M:$P,4))</f>
        <v>0</v>
      </c>
      <c r="H54" s="95">
        <f>IF($A54=0,"",ROUND(G54*H52,2))</f>
        <v>0</v>
      </c>
      <c r="I54" s="2"/>
    </row>
    <row r="55" spans="1:15" ht="15.75" x14ac:dyDescent="0.25">
      <c r="B55" s="2"/>
      <c r="C55" s="2"/>
      <c r="D55" s="93" t="s">
        <v>1670</v>
      </c>
      <c r="E55" s="65"/>
      <c r="F55" s="65"/>
      <c r="G55" s="65"/>
      <c r="H55" s="96">
        <f>ROUND(SUM(H52:H54),2)</f>
        <v>2.73</v>
      </c>
      <c r="I55" s="2"/>
    </row>
    <row r="56" spans="1:15" ht="16.5" thickBot="1" x14ac:dyDescent="0.3">
      <c r="B56" s="25"/>
      <c r="C56" s="2"/>
      <c r="D56" s="97" t="s">
        <v>1650</v>
      </c>
      <c r="E56" s="88"/>
      <c r="F56" s="88"/>
      <c r="G56" s="88"/>
      <c r="H56" s="98">
        <f>ROUND(H55,2)</f>
        <v>2.73</v>
      </c>
      <c r="I56" s="2"/>
    </row>
    <row r="57" spans="1:15" ht="15.75" x14ac:dyDescent="0.25">
      <c r="B57" s="34" t="s">
        <v>1701</v>
      </c>
      <c r="C57" s="2"/>
      <c r="D57" s="3" t="str">
        <f>$D$1</f>
        <v>ESPOL</v>
      </c>
      <c r="E57" s="2"/>
      <c r="F57" s="2"/>
      <c r="H57" s="2" t="s">
        <v>108</v>
      </c>
      <c r="I57" s="2"/>
      <c r="L57" s="40">
        <f>A61</f>
        <v>4</v>
      </c>
      <c r="M57" s="1" t="str">
        <f>C62</f>
        <v>Adoquin de hormigon e= 8cm (parqueos)</v>
      </c>
      <c r="N57" s="2" t="str">
        <f>H61</f>
        <v>m2</v>
      </c>
      <c r="O57" s="2">
        <f>H112</f>
        <v>25.9</v>
      </c>
    </row>
    <row r="58" spans="1:15" ht="15.75" x14ac:dyDescent="0.25">
      <c r="B58" s="34" t="s">
        <v>1700</v>
      </c>
      <c r="C58" s="3">
        <f>'1.1'!$C$2</f>
        <v>0</v>
      </c>
      <c r="D58" s="2"/>
      <c r="E58" s="2"/>
      <c r="F58" s="2"/>
      <c r="G58" s="41" t="s">
        <v>1699</v>
      </c>
      <c r="H58" s="42"/>
      <c r="I58" s="2" t="s">
        <v>1698</v>
      </c>
    </row>
    <row r="59" spans="1:15" ht="15.75" x14ac:dyDescent="0.25">
      <c r="B59" s="34"/>
      <c r="C59" s="3">
        <f>'1.1'!$C$3</f>
        <v>0</v>
      </c>
      <c r="D59" s="2"/>
      <c r="E59" s="2"/>
      <c r="F59" s="2"/>
      <c r="G59" s="2"/>
      <c r="H59" s="2"/>
      <c r="I59" s="2"/>
    </row>
    <row r="60" spans="1:15" ht="15.75" x14ac:dyDescent="0.25">
      <c r="B60" s="34" t="s">
        <v>1697</v>
      </c>
      <c r="C60" s="3"/>
      <c r="D60" s="2"/>
      <c r="E60" s="2"/>
      <c r="F60" s="2"/>
      <c r="G60" s="2"/>
      <c r="H60" s="2"/>
      <c r="I60" s="2"/>
    </row>
    <row r="61" spans="1:15" x14ac:dyDescent="0.25">
      <c r="A61" s="104">
        <v>4</v>
      </c>
      <c r="B61" s="2" t="s">
        <v>1586</v>
      </c>
      <c r="C61" s="36" t="s">
        <v>1524</v>
      </c>
      <c r="D61" s="2"/>
      <c r="G61" s="2" t="s">
        <v>1696</v>
      </c>
      <c r="H61" s="3" t="s">
        <v>1520</v>
      </c>
      <c r="I61" s="2"/>
    </row>
    <row r="62" spans="1:15" x14ac:dyDescent="0.25">
      <c r="B62" s="1" t="s">
        <v>1585</v>
      </c>
      <c r="C62" s="36" t="s">
        <v>57</v>
      </c>
      <c r="D62" s="2"/>
      <c r="E62" s="2"/>
      <c r="F62" s="2"/>
      <c r="G62" s="2"/>
      <c r="H62" s="2"/>
      <c r="I62" s="2"/>
    </row>
    <row r="63" spans="1:15" ht="15.75" thickBot="1" x14ac:dyDescent="0.3">
      <c r="D63" s="2"/>
      <c r="E63" s="2"/>
      <c r="F63" s="2"/>
      <c r="G63" s="2"/>
      <c r="H63" s="2"/>
      <c r="I63" s="2"/>
    </row>
    <row r="64" spans="1:15" ht="15.75" thickBot="1" x14ac:dyDescent="0.3">
      <c r="B64" s="43" t="s">
        <v>1695</v>
      </c>
      <c r="C64" s="44"/>
      <c r="D64" s="44"/>
      <c r="E64" s="44"/>
      <c r="F64" s="44"/>
      <c r="G64" s="44"/>
      <c r="H64" s="45"/>
      <c r="I64" s="2"/>
    </row>
    <row r="65" spans="1:11" ht="25.5" x14ac:dyDescent="0.25">
      <c r="B65" s="46" t="s">
        <v>1409</v>
      </c>
      <c r="C65" s="47"/>
      <c r="D65" s="48" t="s">
        <v>1690</v>
      </c>
      <c r="E65" s="48" t="s">
        <v>1694</v>
      </c>
      <c r="F65" s="48" t="s">
        <v>1693</v>
      </c>
      <c r="G65" s="49" t="s">
        <v>1687</v>
      </c>
      <c r="H65" s="50" t="s">
        <v>1686</v>
      </c>
      <c r="I65" s="2"/>
    </row>
    <row r="66" spans="1:11" x14ac:dyDescent="0.25">
      <c r="A66" s="103">
        <v>19015</v>
      </c>
      <c r="B66" s="51" t="str">
        <f>IF($A66=0,"",VLOOKUP($A66,'BASE EQUIPO'!$A:$D,2))</f>
        <v>HERRAMIENTA MENOR</v>
      </c>
      <c r="C66" s="52"/>
      <c r="D66" s="53">
        <v>1</v>
      </c>
      <c r="E66" s="53">
        <f>IF($A66=0,"",VLOOKUP($A66,'BASE EQUIPO'!$A:$D,4)*H82)</f>
        <v>0.18149999999999999</v>
      </c>
      <c r="F66" s="53">
        <f t="shared" ref="F66:F71" si="5">IF($A66=0,"",ROUND(D66*E66,2))</f>
        <v>0.18</v>
      </c>
      <c r="G66" s="105">
        <v>1</v>
      </c>
      <c r="H66" s="54">
        <f t="shared" ref="H66:H71" si="6">IF($A66=0,"",ROUND(G66*F66,2))</f>
        <v>0.18</v>
      </c>
      <c r="I66" s="2"/>
    </row>
    <row r="67" spans="1:11" x14ac:dyDescent="0.25">
      <c r="A67" s="103">
        <v>19004</v>
      </c>
      <c r="B67" s="38" t="str">
        <f>IF($A67=0,"",VLOOKUP($A67,'BASE EQUIPO'!$A:$D,2))</f>
        <v>COMPACTADOR MEDIANO</v>
      </c>
      <c r="C67" s="2"/>
      <c r="D67" s="55">
        <v>1</v>
      </c>
      <c r="E67" s="55">
        <f>IF($A67=0,"",VLOOKUP($A67,'BASE EQUIPO'!$A:$D,4))</f>
        <v>3.125</v>
      </c>
      <c r="F67" s="55">
        <f t="shared" si="5"/>
        <v>3.13</v>
      </c>
      <c r="G67" s="106">
        <f>+G76</f>
        <v>0.3</v>
      </c>
      <c r="H67" s="56">
        <f t="shared" si="6"/>
        <v>0.94</v>
      </c>
      <c r="I67" s="2"/>
    </row>
    <row r="68" spans="1:11" x14ac:dyDescent="0.25">
      <c r="B68" s="38"/>
      <c r="C68" s="2"/>
      <c r="D68" s="55"/>
      <c r="E68" s="55"/>
      <c r="F68" s="55" t="str">
        <f>IF($A68=0,"",ROUND(D68*E68,2))</f>
        <v/>
      </c>
      <c r="G68" s="106"/>
      <c r="H68" s="56" t="str">
        <f t="shared" si="6"/>
        <v/>
      </c>
      <c r="I68" s="2"/>
    </row>
    <row r="69" spans="1:11" x14ac:dyDescent="0.25">
      <c r="B69" s="38"/>
      <c r="C69" s="2"/>
      <c r="D69" s="55"/>
      <c r="E69" s="55"/>
      <c r="F69" s="55" t="str">
        <f t="shared" si="5"/>
        <v/>
      </c>
      <c r="G69" s="106"/>
      <c r="H69" s="56" t="str">
        <f t="shared" si="6"/>
        <v/>
      </c>
      <c r="I69" s="2"/>
    </row>
    <row r="70" spans="1:11" x14ac:dyDescent="0.25">
      <c r="B70" s="38"/>
      <c r="C70" s="2"/>
      <c r="D70" s="55"/>
      <c r="E70" s="55"/>
      <c r="F70" s="55" t="str">
        <f t="shared" si="5"/>
        <v/>
      </c>
      <c r="G70" s="106"/>
      <c r="H70" s="56" t="str">
        <f t="shared" si="6"/>
        <v/>
      </c>
      <c r="I70" s="2"/>
    </row>
    <row r="71" spans="1:11" x14ac:dyDescent="0.25">
      <c r="B71" s="57" t="str">
        <f>IF($A71=0,"",VLOOKUP($A71,'BASE EQUIPO'!$A:$D,2))</f>
        <v/>
      </c>
      <c r="C71" s="58"/>
      <c r="D71" s="59"/>
      <c r="E71" s="59" t="str">
        <f>IF($A71=0,"",VLOOKUP($A71,'BASE EQUIPO'!$A:$D,4))</f>
        <v/>
      </c>
      <c r="F71" s="59" t="str">
        <f t="shared" si="5"/>
        <v/>
      </c>
      <c r="G71" s="107"/>
      <c r="H71" s="60" t="str">
        <f t="shared" si="6"/>
        <v/>
      </c>
      <c r="I71" s="2"/>
    </row>
    <row r="72" spans="1:11" x14ac:dyDescent="0.25">
      <c r="B72" s="57" t="s">
        <v>1692</v>
      </c>
      <c r="C72" s="58"/>
      <c r="D72" s="61"/>
      <c r="E72" s="61"/>
      <c r="F72" s="61"/>
      <c r="G72" s="62"/>
      <c r="H72" s="60">
        <f>ROUND(SUM(H65:H71),2)</f>
        <v>1.1200000000000001</v>
      </c>
      <c r="I72" s="2"/>
    </row>
    <row r="73" spans="1:11" x14ac:dyDescent="0.25">
      <c r="B73" s="38" t="s">
        <v>1503</v>
      </c>
      <c r="C73" s="2"/>
      <c r="D73" s="3"/>
      <c r="E73" s="3"/>
      <c r="F73" s="3"/>
      <c r="G73" s="63"/>
      <c r="H73" s="56"/>
      <c r="I73" s="2"/>
    </row>
    <row r="74" spans="1:11" ht="25.5" x14ac:dyDescent="0.25">
      <c r="B74" s="64" t="s">
        <v>1691</v>
      </c>
      <c r="C74" s="65"/>
      <c r="D74" s="66" t="s">
        <v>1690</v>
      </c>
      <c r="E74" s="66" t="s">
        <v>1689</v>
      </c>
      <c r="F74" s="66" t="s">
        <v>1688</v>
      </c>
      <c r="G74" s="67" t="s">
        <v>1687</v>
      </c>
      <c r="H74" s="68" t="s">
        <v>1686</v>
      </c>
      <c r="I74" s="2"/>
    </row>
    <row r="75" spans="1:11" x14ac:dyDescent="0.25">
      <c r="A75" s="103">
        <v>20001</v>
      </c>
      <c r="B75" s="69" t="str">
        <f>IF($A75=0,"",VLOOKUP($A75,'BASE M-OBRA'!$A:$D,2))</f>
        <v>MAESTRO</v>
      </c>
      <c r="C75" s="2"/>
      <c r="D75" s="108">
        <v>1</v>
      </c>
      <c r="E75" s="70">
        <f>IF($A75=0,"",VLOOKUP($A75,'BASE M-OBRA'!$A:$D,4))</f>
        <v>3.02</v>
      </c>
      <c r="F75" s="55">
        <f t="shared" ref="F75:F81" si="7">IF($A75=0,"",ROUND(D75*E75,2))</f>
        <v>3.02</v>
      </c>
      <c r="G75" s="106">
        <f>IF($A75=0,"",ROUND(H75/F75,2))</f>
        <v>0.33</v>
      </c>
      <c r="H75" s="56">
        <f>IF($A75=0,"",ROUND(SUM(H76:H81)*'BASE M-OBRA'!$D$23,2))</f>
        <v>1.01</v>
      </c>
      <c r="I75" s="2"/>
    </row>
    <row r="76" spans="1:11" x14ac:dyDescent="0.25">
      <c r="A76" s="103">
        <v>20002</v>
      </c>
      <c r="B76" s="69" t="str">
        <f>IF($A76=0,"",VLOOKUP($A76,'BASE M-OBRA'!$A:$D,2))</f>
        <v>PEON</v>
      </c>
      <c r="C76" s="2"/>
      <c r="D76" s="108">
        <v>4</v>
      </c>
      <c r="E76" s="70">
        <f>IF($A76=0,"",VLOOKUP($A76,'BASE M-OBRA'!$A:$D,4))</f>
        <v>2.79</v>
      </c>
      <c r="F76" s="55">
        <f t="shared" si="7"/>
        <v>11.16</v>
      </c>
      <c r="G76" s="106">
        <v>0.3</v>
      </c>
      <c r="H76" s="56">
        <f t="shared" ref="H76:H81" si="8">IF($A76=0,"",ROUND(G76*F76,2))</f>
        <v>3.35</v>
      </c>
      <c r="I76" s="2"/>
    </row>
    <row r="77" spans="1:11" x14ac:dyDescent="0.25">
      <c r="A77" s="103">
        <v>20003</v>
      </c>
      <c r="B77" s="69" t="str">
        <f>IF($A77=0,"",VLOOKUP($A77,'BASE M-OBRA'!$A:$D,2))</f>
        <v>ALBAÑIL</v>
      </c>
      <c r="C77" s="2"/>
      <c r="D77" s="108">
        <v>2</v>
      </c>
      <c r="E77" s="70">
        <f>IF($A77=0,"",VLOOKUP($A77,'BASE M-OBRA'!$A:$D,4))</f>
        <v>2.82</v>
      </c>
      <c r="F77" s="55">
        <f t="shared" si="7"/>
        <v>5.64</v>
      </c>
      <c r="G77" s="106">
        <f>+G76</f>
        <v>0.3</v>
      </c>
      <c r="H77" s="56">
        <f t="shared" si="8"/>
        <v>1.69</v>
      </c>
      <c r="I77" s="2"/>
    </row>
    <row r="78" spans="1:11" x14ac:dyDescent="0.25">
      <c r="B78" s="71" t="str">
        <f>IF($A78=0,"",VLOOKUP($A78,'BASE M-OBRA'!$A:$D,2))</f>
        <v/>
      </c>
      <c r="C78" s="2"/>
      <c r="D78" s="108"/>
      <c r="E78" s="70" t="str">
        <f>IF($A78=0,"",VLOOKUP($A78,'BASE M-OBRA'!$A:$D,4))</f>
        <v/>
      </c>
      <c r="F78" s="55" t="str">
        <f t="shared" si="7"/>
        <v/>
      </c>
      <c r="G78" s="106"/>
      <c r="H78" s="56" t="str">
        <f t="shared" si="8"/>
        <v/>
      </c>
      <c r="I78" s="2"/>
      <c r="K78" s="1">
        <f>2.9*1.3</f>
        <v>3.77</v>
      </c>
    </row>
    <row r="79" spans="1:11" x14ac:dyDescent="0.25">
      <c r="B79" s="72" t="str">
        <f>IF($A79=0,"",VLOOKUP($A79,'BASE M-OBRA'!$A:$D,2))</f>
        <v/>
      </c>
      <c r="C79" s="2"/>
      <c r="D79" s="108"/>
      <c r="E79" s="70" t="str">
        <f>IF($A79=0,"",VLOOKUP($A79,'BASE M-OBRA'!$A:$D,4))</f>
        <v/>
      </c>
      <c r="F79" s="55" t="str">
        <f t="shared" si="7"/>
        <v/>
      </c>
      <c r="G79" s="106"/>
      <c r="H79" s="56" t="str">
        <f t="shared" si="8"/>
        <v/>
      </c>
      <c r="I79" s="2"/>
      <c r="K79" s="1">
        <f>+F88*0.2</f>
        <v>0</v>
      </c>
    </row>
    <row r="80" spans="1:11" x14ac:dyDescent="0.25">
      <c r="B80" s="38"/>
      <c r="C80" s="2"/>
      <c r="D80" s="108"/>
      <c r="E80" s="70"/>
      <c r="F80" s="55" t="str">
        <f>IF($A80=0,"",ROUND(D80*E80,2))</f>
        <v/>
      </c>
      <c r="G80" s="106"/>
      <c r="H80" s="56" t="str">
        <f t="shared" si="8"/>
        <v/>
      </c>
      <c r="I80" s="2"/>
    </row>
    <row r="81" spans="1:16" x14ac:dyDescent="0.25">
      <c r="B81" s="57" t="str">
        <f>IF($A81=0,"",VLOOKUP($A81,'BASE M-OBRA'!$A:$D,2))</f>
        <v/>
      </c>
      <c r="C81" s="58"/>
      <c r="D81" s="59"/>
      <c r="E81" s="59" t="str">
        <f>IF($A81=0,"",VLOOKUP($A81,'BASE M-OBRA'!$A:$D,4))</f>
        <v/>
      </c>
      <c r="F81" s="59" t="str">
        <f t="shared" si="7"/>
        <v/>
      </c>
      <c r="G81" s="107"/>
      <c r="H81" s="60" t="str">
        <f t="shared" si="8"/>
        <v/>
      </c>
      <c r="I81" s="2"/>
    </row>
    <row r="82" spans="1:16" x14ac:dyDescent="0.25">
      <c r="B82" s="73" t="s">
        <v>1685</v>
      </c>
      <c r="C82" s="65"/>
      <c r="D82" s="74"/>
      <c r="E82" s="74"/>
      <c r="F82" s="74"/>
      <c r="G82" s="74"/>
      <c r="H82" s="75">
        <f>ROUND(SUM(H74:H81),2)</f>
        <v>6.05</v>
      </c>
      <c r="I82" s="2"/>
    </row>
    <row r="83" spans="1:16" x14ac:dyDescent="0.25">
      <c r="B83" s="38" t="s">
        <v>1684</v>
      </c>
      <c r="C83" s="2"/>
      <c r="D83" s="3"/>
      <c r="E83" s="3"/>
      <c r="F83" s="3"/>
      <c r="G83" s="3"/>
      <c r="H83" s="56"/>
      <c r="I83" s="2"/>
    </row>
    <row r="84" spans="1:16" ht="25.5" x14ac:dyDescent="0.25">
      <c r="B84" s="64" t="s">
        <v>1409</v>
      </c>
      <c r="C84" s="65"/>
      <c r="D84" s="76"/>
      <c r="E84" s="66" t="s">
        <v>1408</v>
      </c>
      <c r="F84" s="66" t="s">
        <v>1679</v>
      </c>
      <c r="G84" s="66" t="s">
        <v>1683</v>
      </c>
      <c r="H84" s="68" t="s">
        <v>1675</v>
      </c>
      <c r="I84" s="2"/>
    </row>
    <row r="85" spans="1:16" x14ac:dyDescent="0.25">
      <c r="A85" s="103">
        <v>11011</v>
      </c>
      <c r="B85" s="37" t="s">
        <v>1207</v>
      </c>
      <c r="C85" s="2"/>
      <c r="D85" s="77"/>
      <c r="E85" s="78" t="s">
        <v>1520</v>
      </c>
      <c r="F85" s="55">
        <v>1</v>
      </c>
      <c r="G85" s="55">
        <f>15.29*1.12+1</f>
        <v>18.1248</v>
      </c>
      <c r="H85" s="56">
        <f t="shared" ref="H85:H99" si="9">IF($A85=0,"",ROUND(F85*G85,2))</f>
        <v>18.12</v>
      </c>
      <c r="I85" s="2"/>
      <c r="K85" s="1">
        <f>2/0.2</f>
        <v>10</v>
      </c>
      <c r="L85" s="2"/>
      <c r="M85" s="2"/>
      <c r="N85" s="39"/>
      <c r="O85" s="2"/>
      <c r="P85" s="2"/>
    </row>
    <row r="86" spans="1:16" x14ac:dyDescent="0.25">
      <c r="A86" s="103">
        <v>5004</v>
      </c>
      <c r="B86" s="38" t="str">
        <f>IF($A86=0,"",VLOOKUP($A86,'BASE MATERIAL'!$A:$D,2))</f>
        <v>ARENA</v>
      </c>
      <c r="C86" s="2"/>
      <c r="D86" s="77"/>
      <c r="E86" s="78" t="str">
        <f>IF($A86=0,"",VLOOKUP($A86,'BASE MATERIAL'!$A:$D,3))</f>
        <v>M3</v>
      </c>
      <c r="F86" s="55">
        <v>0.05</v>
      </c>
      <c r="G86" s="55">
        <f>IF($A86=0,"",VLOOKUP($A86,'BASE MATERIAL'!$A:$D,4))</f>
        <v>12.276249999999999</v>
      </c>
      <c r="H86" s="56">
        <f t="shared" si="9"/>
        <v>0.61</v>
      </c>
      <c r="I86" s="2"/>
      <c r="L86" s="2"/>
      <c r="M86" s="2"/>
      <c r="N86" s="39"/>
      <c r="O86" s="2"/>
      <c r="P86" s="2"/>
    </row>
    <row r="87" spans="1:16" x14ac:dyDescent="0.25">
      <c r="B87" s="38"/>
      <c r="C87" s="2"/>
      <c r="D87" s="77"/>
      <c r="E87" s="78"/>
      <c r="F87" s="55"/>
      <c r="G87" s="55"/>
      <c r="H87" s="56" t="str">
        <f t="shared" si="9"/>
        <v/>
      </c>
      <c r="I87" s="2"/>
      <c r="L87" s="2"/>
      <c r="M87" s="2"/>
      <c r="N87" s="39"/>
      <c r="O87" s="2"/>
      <c r="P87" s="2"/>
    </row>
    <row r="88" spans="1:16" x14ac:dyDescent="0.25">
      <c r="B88" s="38"/>
      <c r="C88" s="2"/>
      <c r="D88" s="77"/>
      <c r="E88" s="78"/>
      <c r="F88" s="55"/>
      <c r="G88" s="55"/>
      <c r="H88" s="56" t="str">
        <f t="shared" si="9"/>
        <v/>
      </c>
      <c r="I88" s="2"/>
      <c r="L88" s="2"/>
      <c r="M88" s="2"/>
      <c r="N88" s="39"/>
      <c r="O88" s="2"/>
      <c r="P88" s="2"/>
    </row>
    <row r="89" spans="1:16" x14ac:dyDescent="0.25">
      <c r="B89" s="38"/>
      <c r="C89" s="2"/>
      <c r="D89" s="77"/>
      <c r="E89" s="78"/>
      <c r="F89" s="55"/>
      <c r="G89" s="55"/>
      <c r="H89" s="56" t="str">
        <f t="shared" si="9"/>
        <v/>
      </c>
      <c r="I89" s="2"/>
      <c r="L89" s="2"/>
      <c r="M89" s="2"/>
      <c r="N89" s="39"/>
      <c r="O89" s="2"/>
      <c r="P89" s="2"/>
    </row>
    <row r="90" spans="1:16" x14ac:dyDescent="0.25">
      <c r="B90" s="38"/>
      <c r="C90" s="2"/>
      <c r="D90" s="77"/>
      <c r="E90" s="78"/>
      <c r="F90" s="55"/>
      <c r="G90" s="55"/>
      <c r="H90" s="56" t="str">
        <f t="shared" si="9"/>
        <v/>
      </c>
      <c r="I90" s="2"/>
      <c r="L90" s="2"/>
      <c r="M90" s="2"/>
      <c r="N90" s="39"/>
      <c r="O90" s="2"/>
      <c r="P90" s="2"/>
    </row>
    <row r="91" spans="1:16" x14ac:dyDescent="0.25">
      <c r="B91" s="38"/>
      <c r="C91" s="2"/>
      <c r="D91" s="77"/>
      <c r="E91" s="78"/>
      <c r="F91" s="55"/>
      <c r="G91" s="55"/>
      <c r="H91" s="56" t="str">
        <f t="shared" si="9"/>
        <v/>
      </c>
      <c r="I91" s="2"/>
      <c r="L91" s="2"/>
      <c r="M91" s="2"/>
      <c r="N91" s="39"/>
      <c r="O91" s="2"/>
      <c r="P91" s="2"/>
    </row>
    <row r="92" spans="1:16" x14ac:dyDescent="0.25">
      <c r="B92" s="38"/>
      <c r="C92" s="2"/>
      <c r="D92" s="77"/>
      <c r="E92" s="78"/>
      <c r="F92" s="55"/>
      <c r="G92" s="55"/>
      <c r="H92" s="56" t="str">
        <f t="shared" si="9"/>
        <v/>
      </c>
      <c r="I92" s="2"/>
      <c r="L92" s="2"/>
      <c r="M92" s="2"/>
      <c r="N92" s="39"/>
      <c r="O92" s="2"/>
      <c r="P92" s="2"/>
    </row>
    <row r="93" spans="1:16" x14ac:dyDescent="0.25">
      <c r="B93" s="38"/>
      <c r="C93" s="2"/>
      <c r="D93" s="77"/>
      <c r="E93" s="78"/>
      <c r="F93" s="55"/>
      <c r="G93" s="80"/>
      <c r="H93" s="56" t="str">
        <f t="shared" si="9"/>
        <v/>
      </c>
      <c r="I93" s="2"/>
    </row>
    <row r="94" spans="1:16" x14ac:dyDescent="0.25">
      <c r="B94" s="38"/>
      <c r="C94" s="2"/>
      <c r="D94" s="77"/>
      <c r="E94" s="78"/>
      <c r="F94" s="55"/>
      <c r="G94" s="55"/>
      <c r="H94" s="56" t="str">
        <f t="shared" si="9"/>
        <v/>
      </c>
      <c r="I94" s="2"/>
      <c r="L94" s="2"/>
      <c r="M94" s="2"/>
      <c r="N94" s="39"/>
      <c r="O94" s="2"/>
      <c r="P94" s="2"/>
    </row>
    <row r="95" spans="1:16" x14ac:dyDescent="0.25">
      <c r="B95" s="38"/>
      <c r="C95" s="2"/>
      <c r="D95" s="77"/>
      <c r="E95" s="78" t="str">
        <f>IF($A95=0,"",VLOOKUP($A95,'BASE MATERIAL'!$A:$D,3))</f>
        <v/>
      </c>
      <c r="F95" s="55"/>
      <c r="G95" s="55" t="str">
        <f>IF($A95=0,"",VLOOKUP($A95,'BASE MATERIAL'!$A:$D,4))</f>
        <v/>
      </c>
      <c r="H95" s="56" t="str">
        <f t="shared" si="9"/>
        <v/>
      </c>
      <c r="I95" s="2"/>
      <c r="L95" s="2"/>
      <c r="M95" s="2"/>
      <c r="N95" s="39"/>
      <c r="O95" s="2"/>
      <c r="P95" s="2"/>
    </row>
    <row r="96" spans="1:16" x14ac:dyDescent="0.25">
      <c r="B96" s="38"/>
      <c r="C96" s="2"/>
      <c r="D96" s="77"/>
      <c r="E96" s="78" t="str">
        <f>IF($A96=0,"",VLOOKUP($A96,'BASE MATERIAL'!$A:$D,3))</f>
        <v/>
      </c>
      <c r="F96" s="55"/>
      <c r="G96" s="55" t="str">
        <f>IF($A96=0,"",VLOOKUP($A96,'BASE MATERIAL'!$A:$D,4))</f>
        <v/>
      </c>
      <c r="H96" s="56" t="str">
        <f t="shared" si="9"/>
        <v/>
      </c>
      <c r="I96" s="2"/>
    </row>
    <row r="97" spans="1:9" x14ac:dyDescent="0.25">
      <c r="B97" s="38" t="str">
        <f>IF($A97=0,"",VLOOKUP($A97,'BASE MATERIAL'!$A:$D,2))</f>
        <v/>
      </c>
      <c r="C97" s="2"/>
      <c r="D97" s="77"/>
      <c r="E97" s="78" t="str">
        <f>IF($A97=0,"",VLOOKUP($A97,'BASE MATERIAL'!$A:$D,3))</f>
        <v/>
      </c>
      <c r="F97" s="55"/>
      <c r="G97" s="55" t="str">
        <f>IF($A97=0,"",VLOOKUP($A97,'BASE MATERIAL'!$A:$D,4))</f>
        <v/>
      </c>
      <c r="H97" s="56" t="str">
        <f t="shared" si="9"/>
        <v/>
      </c>
      <c r="I97" s="2"/>
    </row>
    <row r="98" spans="1:9" x14ac:dyDescent="0.25">
      <c r="B98" s="38" t="str">
        <f>IF($A98=0,"",VLOOKUP($A98,'BASE MATERIAL'!$A:$D,2))</f>
        <v/>
      </c>
      <c r="C98" s="2"/>
      <c r="D98" s="77"/>
      <c r="E98" s="78" t="str">
        <f>IF($A98=0,"",VLOOKUP($A98,'BASE MATERIAL'!$A:$D,3))</f>
        <v/>
      </c>
      <c r="F98" s="55"/>
      <c r="G98" s="55" t="str">
        <f>IF($A98=0,"",VLOOKUP($A98,'BASE MATERIAL'!$A:$D,4))</f>
        <v/>
      </c>
      <c r="H98" s="56" t="str">
        <f t="shared" si="9"/>
        <v/>
      </c>
      <c r="I98" s="2"/>
    </row>
    <row r="99" spans="1:9" x14ac:dyDescent="0.25">
      <c r="B99" s="38" t="str">
        <f>IF($A99=0,"",VLOOKUP($A99,'BASE MATERIAL'!$A:$D,2))</f>
        <v/>
      </c>
      <c r="C99" s="2"/>
      <c r="D99" s="77"/>
      <c r="E99" s="78" t="str">
        <f>IF($A99=0,"",VLOOKUP($A99,'BASE MATERIAL'!$A:$D,3))</f>
        <v/>
      </c>
      <c r="F99" s="55"/>
      <c r="G99" s="55" t="str">
        <f>IF($A99=0,"",VLOOKUP($A99,'BASE MATERIAL'!$A:$D,4))</f>
        <v/>
      </c>
      <c r="H99" s="56" t="str">
        <f t="shared" si="9"/>
        <v/>
      </c>
      <c r="I99" s="2"/>
    </row>
    <row r="100" spans="1:9" x14ac:dyDescent="0.25">
      <c r="B100" s="38" t="str">
        <f>IF($A100=0,"",VLOOKUP($A100,'BASE MATERIAL'!$A:$D,2))</f>
        <v/>
      </c>
      <c r="C100" s="2"/>
      <c r="D100" s="81" t="s">
        <v>1682</v>
      </c>
      <c r="E100" s="55" t="str">
        <f>IF($A100=0,"",VLOOKUP($A100,'BASE MATERIAL'!$A:$D,3))</f>
        <v/>
      </c>
      <c r="F100" s="55" t="s">
        <v>1682</v>
      </c>
      <c r="G100" s="55" t="str">
        <f>IF($A100=0,"",VLOOKUP($A100,'BASE MATERIAL'!$A:$D,4))</f>
        <v/>
      </c>
      <c r="H100" s="56" t="str">
        <f>IF($A100=0,"",ROUND(E100*F100,2))</f>
        <v/>
      </c>
      <c r="I100" s="2"/>
    </row>
    <row r="101" spans="1:9" x14ac:dyDescent="0.25">
      <c r="B101" s="73" t="s">
        <v>1681</v>
      </c>
      <c r="C101" s="65"/>
      <c r="D101" s="74"/>
      <c r="E101" s="74"/>
      <c r="F101" s="74"/>
      <c r="G101" s="74"/>
      <c r="H101" s="75">
        <f>ROUND(SUM(H84:H100),2)</f>
        <v>18.73</v>
      </c>
      <c r="I101" s="2"/>
    </row>
    <row r="102" spans="1:9" x14ac:dyDescent="0.25">
      <c r="B102" s="38" t="s">
        <v>1680</v>
      </c>
      <c r="C102" s="2"/>
      <c r="D102" s="3"/>
      <c r="E102" s="3"/>
      <c r="F102" s="3"/>
      <c r="G102" s="3"/>
      <c r="H102" s="56"/>
      <c r="I102" s="2"/>
    </row>
    <row r="103" spans="1:9" ht="25.5" x14ac:dyDescent="0.25">
      <c r="B103" s="64" t="s">
        <v>1409</v>
      </c>
      <c r="C103" s="65"/>
      <c r="D103" s="76"/>
      <c r="E103" s="66" t="s">
        <v>1408</v>
      </c>
      <c r="F103" s="66" t="s">
        <v>1679</v>
      </c>
      <c r="G103" s="66" t="s">
        <v>1676</v>
      </c>
      <c r="H103" s="68" t="s">
        <v>1675</v>
      </c>
      <c r="I103" s="2"/>
    </row>
    <row r="104" spans="1:9" x14ac:dyDescent="0.25">
      <c r="B104" s="51" t="str">
        <f>IF($A104=0,"",VLOOKUP($A104,'BASE EQUIPO'!$A:$D,2))</f>
        <v/>
      </c>
      <c r="C104" s="52"/>
      <c r="D104" s="82"/>
      <c r="E104" s="78" t="str">
        <f>IF($A104=0,"",VLOOKUP($A104,'BASE EQUIPO'!$A:$D,3))</f>
        <v/>
      </c>
      <c r="F104" s="55"/>
      <c r="G104" s="83" t="str">
        <f>IF($A104=0,"",VLOOKUP($A104,'BASE EQUIPO'!$A:$D,4)*H101)</f>
        <v/>
      </c>
      <c r="H104" s="56" t="str">
        <f>IF($A104=0,"",ROUND(F104*G104,2))</f>
        <v/>
      </c>
      <c r="I104" s="2"/>
    </row>
    <row r="105" spans="1:9" x14ac:dyDescent="0.25">
      <c r="B105" s="38" t="str">
        <f>IF($A105=0,"",VLOOKUP($A105,'BASE EQUIPO'!$A:$D,2))</f>
        <v/>
      </c>
      <c r="C105" s="2"/>
      <c r="D105" s="84"/>
      <c r="E105" s="78" t="str">
        <f>IF($A105=0,"",VLOOKUP($A105,'BASE EQUIPO'!$A:$D,3))</f>
        <v/>
      </c>
      <c r="F105" s="55"/>
      <c r="G105" s="55" t="str">
        <f>IF($A105=0,"",VLOOKUP($A105,'BASE EQUIPO'!$A:$D,4)*H102)</f>
        <v/>
      </c>
      <c r="H105" s="56" t="str">
        <f>IF($A105=0,"",ROUND(F105*G105,2))</f>
        <v/>
      </c>
      <c r="I105" s="2"/>
    </row>
    <row r="106" spans="1:9" x14ac:dyDescent="0.25">
      <c r="B106" s="57" t="str">
        <f>IF($A106=0,"",VLOOKUP($A106,'BASE EQUIPO'!$A:$D,2))</f>
        <v/>
      </c>
      <c r="C106" s="58"/>
      <c r="D106" s="85"/>
      <c r="E106" s="86" t="str">
        <f>IF($A106=0,"",VLOOKUP($A106,'BASE EQUIPO'!$A:$D,3))</f>
        <v/>
      </c>
      <c r="F106" s="59"/>
      <c r="G106" s="59" t="str">
        <f>IF($A106=0,"",VLOOKUP($A106,'BASE EQUIPO'!$A:$D,4)*H103)</f>
        <v/>
      </c>
      <c r="H106" s="60" t="str">
        <f>IF($A106=0,"",ROUND(F106*G106,2))</f>
        <v/>
      </c>
      <c r="I106" s="2"/>
    </row>
    <row r="107" spans="1:9" ht="15.75" thickBot="1" x14ac:dyDescent="0.3">
      <c r="B107" s="87" t="s">
        <v>1674</v>
      </c>
      <c r="C107" s="88"/>
      <c r="D107" s="89"/>
      <c r="E107" s="89"/>
      <c r="F107" s="89"/>
      <c r="G107" s="89"/>
      <c r="H107" s="90">
        <f>ROUND(SUM(H103:H106),2)</f>
        <v>0</v>
      </c>
      <c r="I107" s="2"/>
    </row>
    <row r="108" spans="1:9" ht="15.75" x14ac:dyDescent="0.25">
      <c r="B108" s="2"/>
      <c r="C108" s="2"/>
      <c r="D108" s="91" t="s">
        <v>1673</v>
      </c>
      <c r="E108" s="47"/>
      <c r="F108" s="47"/>
      <c r="G108" s="47"/>
      <c r="H108" s="92">
        <f>ROUND(SUM(H107,H101,H82,H72),2)</f>
        <v>25.9</v>
      </c>
      <c r="I108" s="2"/>
    </row>
    <row r="109" spans="1:9" ht="15.75" x14ac:dyDescent="0.25">
      <c r="A109" s="103">
        <v>40002</v>
      </c>
      <c r="B109" s="2"/>
      <c r="C109" s="2"/>
      <c r="D109" s="93" t="s">
        <v>1672</v>
      </c>
      <c r="E109" s="65"/>
      <c r="F109" s="65"/>
      <c r="G109" s="94">
        <f>IF($A109=0,"",VLOOKUP($A109,'BASE MATERIAL'!$M:$P,4))</f>
        <v>0</v>
      </c>
      <c r="H109" s="95">
        <f>IF($A109=0,"",ROUND(G109*H108,2))</f>
        <v>0</v>
      </c>
      <c r="I109" s="2"/>
    </row>
    <row r="110" spans="1:9" ht="15.75" x14ac:dyDescent="0.25">
      <c r="A110" s="103">
        <v>40003</v>
      </c>
      <c r="B110" s="2"/>
      <c r="C110" s="2"/>
      <c r="D110" s="93" t="s">
        <v>1671</v>
      </c>
      <c r="E110" s="65"/>
      <c r="F110" s="65"/>
      <c r="G110" s="94">
        <f>IF($A110=0,"",VLOOKUP($A110,'BASE MATERIAL'!$M:$P,4))</f>
        <v>0</v>
      </c>
      <c r="H110" s="95">
        <f>IF($A110=0,"",ROUND(G110*H108,2))</f>
        <v>0</v>
      </c>
      <c r="I110" s="2"/>
    </row>
    <row r="111" spans="1:9" ht="15.75" x14ac:dyDescent="0.25">
      <c r="B111" s="2"/>
      <c r="C111" s="2"/>
      <c r="D111" s="93" t="s">
        <v>1670</v>
      </c>
      <c r="E111" s="65"/>
      <c r="F111" s="65"/>
      <c r="G111" s="65"/>
      <c r="H111" s="96">
        <f>ROUND(SUM(H108:H110),2)</f>
        <v>25.9</v>
      </c>
      <c r="I111" s="2"/>
    </row>
    <row r="112" spans="1:9" ht="16.5" thickBot="1" x14ac:dyDescent="0.3">
      <c r="B112" s="25"/>
      <c r="C112" s="2"/>
      <c r="D112" s="97" t="s">
        <v>1650</v>
      </c>
      <c r="E112" s="88"/>
      <c r="F112" s="88"/>
      <c r="G112" s="88"/>
      <c r="H112" s="98">
        <f>ROUND(H111,2)</f>
        <v>25.9</v>
      </c>
      <c r="I112" s="2"/>
    </row>
    <row r="113" spans="1:15" ht="15.75" x14ac:dyDescent="0.25">
      <c r="B113" s="34" t="s">
        <v>1701</v>
      </c>
      <c r="C113" s="2"/>
      <c r="D113" s="3" t="str">
        <f>$D$1</f>
        <v>ESPOL</v>
      </c>
      <c r="E113" s="2"/>
      <c r="F113" s="2"/>
      <c r="H113" s="2" t="s">
        <v>108</v>
      </c>
      <c r="I113" s="2"/>
      <c r="L113" s="40">
        <f>A117</f>
        <v>4</v>
      </c>
      <c r="M113" s="1" t="str">
        <f>C118</f>
        <v>Bordillos de hormigon simple</v>
      </c>
      <c r="N113" s="2" t="str">
        <f>H117</f>
        <v>ml</v>
      </c>
      <c r="O113" s="2">
        <f>H168</f>
        <v>18.32</v>
      </c>
    </row>
    <row r="114" spans="1:15" ht="15.75" x14ac:dyDescent="0.25">
      <c r="B114" s="34" t="s">
        <v>1700</v>
      </c>
      <c r="C114" s="3">
        <f>'1.1'!$C$2</f>
        <v>0</v>
      </c>
      <c r="D114" s="2"/>
      <c r="E114" s="2"/>
      <c r="F114" s="2"/>
      <c r="G114" s="41" t="s">
        <v>1699</v>
      </c>
      <c r="H114" s="42"/>
      <c r="I114" s="2" t="s">
        <v>1698</v>
      </c>
    </row>
    <row r="115" spans="1:15" ht="15.75" x14ac:dyDescent="0.25">
      <c r="B115" s="34"/>
      <c r="C115" s="3">
        <f>'1.1'!$C$3</f>
        <v>0</v>
      </c>
      <c r="D115" s="2"/>
      <c r="E115" s="2"/>
      <c r="F115" s="2"/>
      <c r="G115" s="2"/>
      <c r="H115" s="2"/>
      <c r="I115" s="2"/>
    </row>
    <row r="116" spans="1:15" ht="15.75" x14ac:dyDescent="0.25">
      <c r="B116" s="34" t="s">
        <v>1697</v>
      </c>
      <c r="C116" s="3"/>
      <c r="D116" s="2"/>
      <c r="E116" s="2"/>
      <c r="F116" s="2"/>
      <c r="G116" s="2"/>
      <c r="H116" s="2"/>
      <c r="I116" s="2"/>
    </row>
    <row r="117" spans="1:15" x14ac:dyDescent="0.25">
      <c r="A117" s="104">
        <v>4</v>
      </c>
      <c r="B117" s="2" t="s">
        <v>1586</v>
      </c>
      <c r="C117" s="36" t="s">
        <v>1523</v>
      </c>
      <c r="D117" s="2"/>
      <c r="G117" s="2" t="s">
        <v>1696</v>
      </c>
      <c r="H117" s="3" t="s">
        <v>961</v>
      </c>
      <c r="I117" s="2"/>
    </row>
    <row r="118" spans="1:15" x14ac:dyDescent="0.25">
      <c r="B118" s="1" t="s">
        <v>1585</v>
      </c>
      <c r="C118" s="36" t="s">
        <v>1522</v>
      </c>
      <c r="D118" s="2"/>
      <c r="E118" s="2"/>
      <c r="F118" s="2"/>
      <c r="G118" s="2"/>
      <c r="H118" s="2"/>
      <c r="I118" s="2"/>
    </row>
    <row r="119" spans="1:15" ht="15.75" thickBot="1" x14ac:dyDescent="0.3">
      <c r="D119" s="2"/>
      <c r="E119" s="2"/>
      <c r="F119" s="2"/>
      <c r="G119" s="2"/>
      <c r="H119" s="2"/>
      <c r="I119" s="2"/>
    </row>
    <row r="120" spans="1:15" ht="15.75" thickBot="1" x14ac:dyDescent="0.3">
      <c r="B120" s="43" t="s">
        <v>1695</v>
      </c>
      <c r="C120" s="44"/>
      <c r="D120" s="44"/>
      <c r="E120" s="44"/>
      <c r="F120" s="44"/>
      <c r="G120" s="44"/>
      <c r="H120" s="45"/>
      <c r="I120" s="2"/>
    </row>
    <row r="121" spans="1:15" ht="25.5" x14ac:dyDescent="0.25">
      <c r="B121" s="46" t="s">
        <v>1409</v>
      </c>
      <c r="C121" s="47"/>
      <c r="D121" s="48" t="s">
        <v>1690</v>
      </c>
      <c r="E121" s="48" t="s">
        <v>1694</v>
      </c>
      <c r="F121" s="48" t="s">
        <v>1693</v>
      </c>
      <c r="G121" s="49" t="s">
        <v>1687</v>
      </c>
      <c r="H121" s="50" t="s">
        <v>1686</v>
      </c>
      <c r="I121" s="2"/>
    </row>
    <row r="122" spans="1:15" x14ac:dyDescent="0.25">
      <c r="A122" s="103">
        <v>19015</v>
      </c>
      <c r="B122" s="51" t="str">
        <f>IF($A122=0,"",VLOOKUP($A122,'BASE EQUIPO'!$A:$D,2))</f>
        <v>HERRAMIENTA MENOR</v>
      </c>
      <c r="C122" s="52"/>
      <c r="D122" s="53">
        <v>1</v>
      </c>
      <c r="E122" s="53">
        <f>IF($A122=0,"",VLOOKUP($A122,'BASE EQUIPO'!$A:$D,4)*H138)</f>
        <v>0.24299999999999999</v>
      </c>
      <c r="F122" s="53">
        <f t="shared" ref="F122:F127" si="10">IF($A122=0,"",ROUND(D122*E122,2))</f>
        <v>0.24</v>
      </c>
      <c r="G122" s="105">
        <v>1</v>
      </c>
      <c r="H122" s="54">
        <f t="shared" ref="H122:H127" si="11">IF($A122=0,"",ROUND(G122*F122,2))</f>
        <v>0.24</v>
      </c>
      <c r="I122" s="2"/>
    </row>
    <row r="123" spans="1:15" x14ac:dyDescent="0.25">
      <c r="A123" s="103">
        <v>19003</v>
      </c>
      <c r="B123" s="38" t="str">
        <f>IF($A123=0,"",VLOOKUP($A123,'BASE EQUIPO'!$A:$D,2))</f>
        <v>CONCRETERA</v>
      </c>
      <c r="C123" s="2"/>
      <c r="D123" s="55">
        <v>1</v>
      </c>
      <c r="E123" s="55">
        <f>IF($A123=0,"",VLOOKUP($A123,'BASE EQUIPO'!$A:$D,4))</f>
        <v>3.5</v>
      </c>
      <c r="F123" s="55">
        <f t="shared" si="10"/>
        <v>3.5</v>
      </c>
      <c r="G123" s="106">
        <f>+G132*0.5</f>
        <v>0.04</v>
      </c>
      <c r="H123" s="56">
        <f t="shared" si="11"/>
        <v>0.14000000000000001</v>
      </c>
      <c r="I123" s="2"/>
    </row>
    <row r="124" spans="1:15" x14ac:dyDescent="0.25">
      <c r="A124" s="103">
        <v>19008</v>
      </c>
      <c r="B124" s="38" t="str">
        <f>IF($A124=0,"",VLOOKUP($A124,'BASE EQUIPO'!$A:$D,2))</f>
        <v>VIBRADOR</v>
      </c>
      <c r="C124" s="2"/>
      <c r="D124" s="55">
        <v>1</v>
      </c>
      <c r="E124" s="55">
        <f>IF($A124=0,"",VLOOKUP($A124,'BASE EQUIPO'!$A:$D,4))</f>
        <v>2.5</v>
      </c>
      <c r="F124" s="55">
        <f t="shared" si="10"/>
        <v>2.5</v>
      </c>
      <c r="G124" s="106">
        <f>+G123</f>
        <v>0.04</v>
      </c>
      <c r="H124" s="56">
        <f t="shared" si="11"/>
        <v>0.1</v>
      </c>
      <c r="I124" s="2"/>
    </row>
    <row r="125" spans="1:15" x14ac:dyDescent="0.25">
      <c r="B125" s="38" t="str">
        <f>IF($A125=0,"",VLOOKUP($A125,'BASE EQUIPO'!$A:$D,2))</f>
        <v/>
      </c>
      <c r="C125" s="2"/>
      <c r="D125" s="55"/>
      <c r="E125" s="55" t="str">
        <f>IF($A125=0,"",VLOOKUP($A125,'BASE EQUIPO'!$A:$D,4))</f>
        <v/>
      </c>
      <c r="F125" s="55" t="str">
        <f t="shared" si="10"/>
        <v/>
      </c>
      <c r="G125" s="106"/>
      <c r="H125" s="56" t="str">
        <f t="shared" si="11"/>
        <v/>
      </c>
      <c r="I125" s="2"/>
    </row>
    <row r="126" spans="1:15" x14ac:dyDescent="0.25">
      <c r="B126" s="38" t="str">
        <f>IF($A126=0,"",VLOOKUP($A126,'BASE EQUIPO'!$A:$D,2))</f>
        <v/>
      </c>
      <c r="C126" s="2"/>
      <c r="D126" s="55"/>
      <c r="E126" s="55" t="str">
        <f>IF($A126=0,"",VLOOKUP($A126,'BASE EQUIPO'!$A:$D,4))</f>
        <v/>
      </c>
      <c r="F126" s="55" t="str">
        <f t="shared" si="10"/>
        <v/>
      </c>
      <c r="G126" s="106"/>
      <c r="H126" s="56" t="str">
        <f t="shared" si="11"/>
        <v/>
      </c>
      <c r="I126" s="2"/>
    </row>
    <row r="127" spans="1:15" x14ac:dyDescent="0.25">
      <c r="B127" s="57" t="str">
        <f>IF($A127=0,"",VLOOKUP($A127,'BASE EQUIPO'!$A:$D,2))</f>
        <v/>
      </c>
      <c r="C127" s="58"/>
      <c r="D127" s="59"/>
      <c r="E127" s="59" t="str">
        <f>IF($A127=0,"",VLOOKUP($A127,'BASE EQUIPO'!$A:$D,4))</f>
        <v/>
      </c>
      <c r="F127" s="59" t="str">
        <f t="shared" si="10"/>
        <v/>
      </c>
      <c r="G127" s="107"/>
      <c r="H127" s="60" t="str">
        <f t="shared" si="11"/>
        <v/>
      </c>
      <c r="I127" s="2"/>
    </row>
    <row r="128" spans="1:15" x14ac:dyDescent="0.25">
      <c r="B128" s="57" t="s">
        <v>1692</v>
      </c>
      <c r="C128" s="58"/>
      <c r="D128" s="61"/>
      <c r="E128" s="61"/>
      <c r="F128" s="61"/>
      <c r="G128" s="62"/>
      <c r="H128" s="60">
        <f>ROUND(SUM(H121:H127),2)</f>
        <v>0.48</v>
      </c>
      <c r="I128" s="2"/>
    </row>
    <row r="129" spans="1:16" x14ac:dyDescent="0.25">
      <c r="B129" s="38" t="s">
        <v>1503</v>
      </c>
      <c r="C129" s="2"/>
      <c r="D129" s="3"/>
      <c r="E129" s="3"/>
      <c r="F129" s="3"/>
      <c r="G129" s="63"/>
      <c r="H129" s="56"/>
      <c r="I129" s="2"/>
    </row>
    <row r="130" spans="1:16" ht="25.5" x14ac:dyDescent="0.25">
      <c r="B130" s="64" t="s">
        <v>1691</v>
      </c>
      <c r="C130" s="65"/>
      <c r="D130" s="66" t="s">
        <v>1690</v>
      </c>
      <c r="E130" s="66" t="s">
        <v>1689</v>
      </c>
      <c r="F130" s="66" t="s">
        <v>1688</v>
      </c>
      <c r="G130" s="67" t="s">
        <v>1687</v>
      </c>
      <c r="H130" s="68" t="s">
        <v>1686</v>
      </c>
      <c r="I130" s="2"/>
    </row>
    <row r="131" spans="1:16" x14ac:dyDescent="0.25">
      <c r="A131" s="103">
        <v>20001</v>
      </c>
      <c r="B131" s="69" t="str">
        <f>IF($A131=0,"",VLOOKUP($A131,'BASE M-OBRA'!$A:$D,2))</f>
        <v>MAESTRO</v>
      </c>
      <c r="C131" s="2"/>
      <c r="D131" s="108">
        <v>1</v>
      </c>
      <c r="E131" s="70">
        <f>IF($A131=0,"",VLOOKUP($A131,'BASE M-OBRA'!$A:$D,4))</f>
        <v>3.02</v>
      </c>
      <c r="F131" s="55">
        <f t="shared" ref="F131:F137" si="12">IF($A131=0,"",ROUND(D131*E131,2))</f>
        <v>3.02</v>
      </c>
      <c r="G131" s="106">
        <f>IF($A131=0,"",ROUND(H131/F131,2))</f>
        <v>0.45</v>
      </c>
      <c r="H131" s="56">
        <f>IF($A131=0,"",ROUND(SUM(H132:H137)*'BASE M-OBRA'!$D$23,2))</f>
        <v>1.35</v>
      </c>
      <c r="I131" s="2"/>
    </row>
    <row r="132" spans="1:16" x14ac:dyDescent="0.25">
      <c r="A132" s="103">
        <v>20002</v>
      </c>
      <c r="B132" s="69" t="str">
        <f>IF($A132=0,"",VLOOKUP($A132,'BASE M-OBRA'!$A:$D,2))</f>
        <v>PEON</v>
      </c>
      <c r="C132" s="2"/>
      <c r="D132" s="108">
        <v>8</v>
      </c>
      <c r="E132" s="70">
        <f>IF($A132=0,"",VLOOKUP($A132,'BASE M-OBRA'!$A:$D,4))</f>
        <v>2.79</v>
      </c>
      <c r="F132" s="55">
        <f t="shared" si="12"/>
        <v>22.32</v>
      </c>
      <c r="G132" s="106">
        <v>0.08</v>
      </c>
      <c r="H132" s="56">
        <f t="shared" ref="H132:H137" si="13">IF($A132=0,"",ROUND(G132*F132,2))</f>
        <v>1.79</v>
      </c>
      <c r="I132" s="2"/>
    </row>
    <row r="133" spans="1:16" x14ac:dyDescent="0.25">
      <c r="A133" s="103">
        <v>20003</v>
      </c>
      <c r="B133" s="69" t="str">
        <f>IF($A133=0,"",VLOOKUP($A133,'BASE M-OBRA'!$A:$D,2))</f>
        <v>ALBAÑIL</v>
      </c>
      <c r="C133" s="2"/>
      <c r="D133" s="108">
        <v>2</v>
      </c>
      <c r="E133" s="70">
        <f>IF($A133=0,"",VLOOKUP($A133,'BASE M-OBRA'!$A:$D,4))</f>
        <v>2.82</v>
      </c>
      <c r="F133" s="55">
        <f t="shared" si="12"/>
        <v>5.64</v>
      </c>
      <c r="G133" s="106">
        <f>+G132</f>
        <v>0.08</v>
      </c>
      <c r="H133" s="56">
        <f t="shared" si="13"/>
        <v>0.45</v>
      </c>
      <c r="I133" s="2"/>
    </row>
    <row r="134" spans="1:16" x14ac:dyDescent="0.25">
      <c r="A134" s="103">
        <v>20004</v>
      </c>
      <c r="B134" s="71" t="str">
        <f>IF($A134=0,"",VLOOKUP($A134,'BASE M-OBRA'!$A:$D,2))</f>
        <v>CARPINTERO</v>
      </c>
      <c r="C134" s="2"/>
      <c r="D134" s="108">
        <v>2</v>
      </c>
      <c r="E134" s="70">
        <f>IF($A134=0,"",VLOOKUP($A134,'BASE M-OBRA'!$A:$D,4))</f>
        <v>2.82</v>
      </c>
      <c r="F134" s="55">
        <f t="shared" si="12"/>
        <v>5.64</v>
      </c>
      <c r="G134" s="106">
        <v>0.8</v>
      </c>
      <c r="H134" s="56">
        <f t="shared" si="13"/>
        <v>4.51</v>
      </c>
      <c r="I134" s="2"/>
      <c r="K134" s="1">
        <f>2.9*0.8</f>
        <v>2.3199999999999998</v>
      </c>
    </row>
    <row r="135" spans="1:16" x14ac:dyDescent="0.25">
      <c r="B135" s="72" t="str">
        <f>IF($A135=0,"",VLOOKUP($A135,'BASE M-OBRA'!$A:$D,2))</f>
        <v/>
      </c>
      <c r="C135" s="2"/>
      <c r="D135" s="108"/>
      <c r="E135" s="70" t="str">
        <f>IF($A135=0,"",VLOOKUP($A135,'BASE M-OBRA'!$A:$D,4))</f>
        <v/>
      </c>
      <c r="F135" s="55" t="str">
        <f t="shared" si="12"/>
        <v/>
      </c>
      <c r="G135" s="106"/>
      <c r="H135" s="56" t="str">
        <f t="shared" si="13"/>
        <v/>
      </c>
      <c r="I135" s="2"/>
      <c r="K135" s="1">
        <f>+F144*0.2</f>
        <v>0</v>
      </c>
    </row>
    <row r="136" spans="1:16" x14ac:dyDescent="0.25">
      <c r="B136" s="38" t="str">
        <f>IF($A136=0,"",VLOOKUP($A136,'BASE M-OBRA'!$A:$D,2))</f>
        <v/>
      </c>
      <c r="C136" s="2"/>
      <c r="D136" s="55"/>
      <c r="E136" s="55" t="str">
        <f>IF($A136=0,"",VLOOKUP($A136,'BASE M-OBRA'!$A:$D,4))</f>
        <v/>
      </c>
      <c r="F136" s="55" t="str">
        <f t="shared" si="12"/>
        <v/>
      </c>
      <c r="G136" s="106"/>
      <c r="H136" s="56" t="str">
        <f t="shared" si="13"/>
        <v/>
      </c>
      <c r="I136" s="2"/>
    </row>
    <row r="137" spans="1:16" x14ac:dyDescent="0.25">
      <c r="B137" s="57" t="str">
        <f>IF($A137=0,"",VLOOKUP($A137,'BASE M-OBRA'!$A:$D,2))</f>
        <v/>
      </c>
      <c r="C137" s="58"/>
      <c r="D137" s="59"/>
      <c r="E137" s="59" t="str">
        <f>IF($A137=0,"",VLOOKUP($A137,'BASE M-OBRA'!$A:$D,4))</f>
        <v/>
      </c>
      <c r="F137" s="59" t="str">
        <f t="shared" si="12"/>
        <v/>
      </c>
      <c r="G137" s="107"/>
      <c r="H137" s="60" t="str">
        <f t="shared" si="13"/>
        <v/>
      </c>
      <c r="I137" s="2"/>
    </row>
    <row r="138" spans="1:16" x14ac:dyDescent="0.25">
      <c r="B138" s="73" t="s">
        <v>1685</v>
      </c>
      <c r="C138" s="65"/>
      <c r="D138" s="74"/>
      <c r="E138" s="74"/>
      <c r="F138" s="74"/>
      <c r="G138" s="74"/>
      <c r="H138" s="75">
        <f>ROUND(SUM(H130:H137),2)</f>
        <v>8.1</v>
      </c>
      <c r="I138" s="2"/>
    </row>
    <row r="139" spans="1:16" x14ac:dyDescent="0.25">
      <c r="B139" s="38" t="s">
        <v>1684</v>
      </c>
      <c r="C139" s="2"/>
      <c r="D139" s="3"/>
      <c r="E139" s="3"/>
      <c r="F139" s="3"/>
      <c r="G139" s="3"/>
      <c r="H139" s="56"/>
      <c r="I139" s="2"/>
    </row>
    <row r="140" spans="1:16" ht="25.5" x14ac:dyDescent="0.25">
      <c r="B140" s="64" t="s">
        <v>1409</v>
      </c>
      <c r="C140" s="65"/>
      <c r="D140" s="76"/>
      <c r="E140" s="66" t="s">
        <v>1408</v>
      </c>
      <c r="F140" s="66" t="s">
        <v>1679</v>
      </c>
      <c r="G140" s="66" t="s">
        <v>1683</v>
      </c>
      <c r="H140" s="68" t="s">
        <v>1675</v>
      </c>
      <c r="I140" s="2"/>
    </row>
    <row r="141" spans="1:16" x14ac:dyDescent="0.25">
      <c r="A141" s="103">
        <v>11011</v>
      </c>
      <c r="B141" s="37" t="str">
        <f>IF($A141=0,"",VLOOKUP($A141,'BASE MATERIAL'!$A:$D,2))</f>
        <v>PLYWOOD ENCOFRADO 15 MM</v>
      </c>
      <c r="C141" s="2"/>
      <c r="D141" s="77"/>
      <c r="E141" s="78" t="str">
        <f>IF($A141=0,"",VLOOKUP($A141,'BASE MATERIAL'!$A:$D,3))</f>
        <v>U</v>
      </c>
      <c r="F141" s="55">
        <f>ROUND(0.8/(1.2*2.4*5),2)</f>
        <v>0.06</v>
      </c>
      <c r="G141" s="55">
        <f>IF($A141=0,"",VLOOKUP($A141,'BASE MATERIAL'!$A:$D,4))</f>
        <v>37.799999999999997</v>
      </c>
      <c r="H141" s="56">
        <f t="shared" ref="H141:H155" si="14">IF($A141=0,"",ROUND(F141*G141,2))</f>
        <v>2.27</v>
      </c>
      <c r="I141" s="2"/>
      <c r="K141" s="1">
        <f>2/0.2</f>
        <v>10</v>
      </c>
      <c r="L141" s="2"/>
      <c r="M141" s="2"/>
      <c r="N141" s="39"/>
      <c r="O141" s="2"/>
      <c r="P141" s="2"/>
    </row>
    <row r="142" spans="1:16" x14ac:dyDescent="0.25">
      <c r="A142" s="103">
        <v>11009</v>
      </c>
      <c r="B142" s="38" t="str">
        <f>IF($A142=0,"",VLOOKUP($A142,'BASE MATERIAL'!$A:$D,2))</f>
        <v>CUARTON</v>
      </c>
      <c r="C142" s="2"/>
      <c r="D142" s="77"/>
      <c r="E142" s="78" t="str">
        <f>IF($A142=0,"",VLOOKUP($A142,'BASE MATERIAL'!$A:$D,3))</f>
        <v>U</v>
      </c>
      <c r="F142" s="55">
        <f>ROUND(0.8*8/(4*3),2)</f>
        <v>0.53</v>
      </c>
      <c r="G142" s="55">
        <f>IF($A142=0,"",VLOOKUP($A142,'BASE MATERIAL'!$A:$D,4))</f>
        <v>2.42</v>
      </c>
      <c r="H142" s="56">
        <f t="shared" si="14"/>
        <v>1.28</v>
      </c>
      <c r="I142" s="2"/>
      <c r="L142" s="2"/>
      <c r="M142" s="2"/>
      <c r="N142" s="39"/>
      <c r="O142" s="2"/>
      <c r="P142" s="2"/>
    </row>
    <row r="143" spans="1:16" x14ac:dyDescent="0.25">
      <c r="A143" s="103">
        <v>11007</v>
      </c>
      <c r="B143" s="38" t="str">
        <f>IF($A143=0,"",VLOOKUP($A143,'BASE MATERIAL'!$A:$D,2))</f>
        <v>CLAVO 2 1/2"</v>
      </c>
      <c r="C143" s="2"/>
      <c r="D143" s="77"/>
      <c r="E143" s="78" t="str">
        <f>IF($A143=0,"",VLOOKUP($A143,'BASE MATERIAL'!$A:$D,3))</f>
        <v>KG</v>
      </c>
      <c r="F143" s="55">
        <f>ROUND(0.8*56/(178*1.5),2)</f>
        <v>0.17</v>
      </c>
      <c r="G143" s="55">
        <f>IF($A143=0,"",VLOOKUP($A143,'BASE MATERIAL'!$A:$D,4))</f>
        <v>2.6520000000000001</v>
      </c>
      <c r="H143" s="56">
        <f t="shared" si="14"/>
        <v>0.45</v>
      </c>
      <c r="I143" s="2"/>
      <c r="L143" s="2"/>
      <c r="M143" s="2"/>
      <c r="N143" s="39"/>
      <c r="O143" s="2"/>
      <c r="P143" s="2"/>
    </row>
    <row r="144" spans="1:16" x14ac:dyDescent="0.25">
      <c r="A144" s="103">
        <v>14029</v>
      </c>
      <c r="B144" s="38" t="str">
        <f>IF($A144=0,"",VLOOKUP($A144,'BASE MATERIAL'!$A:$D,2))</f>
        <v>MALLA ELEC 5,5mm c/15cm</v>
      </c>
      <c r="C144" s="2"/>
      <c r="D144" s="77"/>
      <c r="E144" s="78" t="str">
        <f>IF($A144=0,"",VLOOKUP($A144,'BASE MATERIAL'!$A:$D,3))</f>
        <v>M2</v>
      </c>
      <c r="F144" s="55">
        <v>0</v>
      </c>
      <c r="G144" s="55">
        <f>IF($A144=0,"",VLOOKUP($A144,'BASE MATERIAL'!$A:$D,4))</f>
        <v>3.5481600000000006</v>
      </c>
      <c r="H144" s="56">
        <f t="shared" si="14"/>
        <v>0</v>
      </c>
      <c r="I144" s="2"/>
      <c r="L144" s="2"/>
      <c r="M144" s="2"/>
      <c r="N144" s="39"/>
      <c r="O144" s="2"/>
      <c r="P144" s="2"/>
    </row>
    <row r="145" spans="1:16" x14ac:dyDescent="0.25">
      <c r="A145" s="103">
        <v>11002</v>
      </c>
      <c r="B145" s="38" t="str">
        <f>IF($A145=0,"",VLOOKUP($A145,'BASE MATERIAL'!$A:$D,2))</f>
        <v>ALAMBRE #18 RECOCIDO</v>
      </c>
      <c r="C145" s="2"/>
      <c r="D145" s="77"/>
      <c r="E145" s="78" t="str">
        <f>IF($A145=0,"",VLOOKUP($A145,'BASE MATERIAL'!$A:$D,3))</f>
        <v>KG</v>
      </c>
      <c r="F145" s="55">
        <f>ROUND(F144*0.15,2)</f>
        <v>0</v>
      </c>
      <c r="G145" s="55">
        <f>IF($A145=0,"",VLOOKUP($A145,'BASE MATERIAL'!$A:$D,4))</f>
        <v>1.87</v>
      </c>
      <c r="H145" s="56">
        <f t="shared" si="14"/>
        <v>0</v>
      </c>
      <c r="I145" s="2"/>
      <c r="L145" s="2"/>
      <c r="M145" s="2"/>
      <c r="N145" s="39"/>
      <c r="O145" s="2"/>
      <c r="P145" s="2"/>
    </row>
    <row r="146" spans="1:16" x14ac:dyDescent="0.25">
      <c r="A146" s="103">
        <v>4001</v>
      </c>
      <c r="B146" s="38" t="str">
        <f>IF($A146=0,"",VLOOKUP($A146,'BASE MATERIAL'!$A:$D,2))</f>
        <v>CEMENTO</v>
      </c>
      <c r="C146" s="2"/>
      <c r="D146" s="77"/>
      <c r="E146" s="78" t="str">
        <f>IF($A146=0,"",VLOOKUP($A146,'BASE MATERIAL'!$A:$D,3))</f>
        <v>SACO</v>
      </c>
      <c r="F146" s="55">
        <f>ROUND(7*1.03*0.2*0.4,2)</f>
        <v>0.57999999999999996</v>
      </c>
      <c r="G146" s="55">
        <f>IF($A146=0,"",VLOOKUP($A146,'BASE MATERIAL'!$A:$D,4))</f>
        <v>7.09</v>
      </c>
      <c r="H146" s="56">
        <f t="shared" si="14"/>
        <v>4.1100000000000003</v>
      </c>
      <c r="I146" s="2"/>
      <c r="L146" s="2"/>
      <c r="M146" s="2"/>
      <c r="N146" s="39"/>
      <c r="O146" s="2"/>
      <c r="P146" s="2"/>
    </row>
    <row r="147" spans="1:16" x14ac:dyDescent="0.25">
      <c r="A147" s="103">
        <v>5004</v>
      </c>
      <c r="B147" s="38" t="str">
        <f>IF($A147=0,"",VLOOKUP($A147,'BASE MATERIAL'!$A:$D,2))</f>
        <v>ARENA</v>
      </c>
      <c r="C147" s="2"/>
      <c r="D147" s="77"/>
      <c r="E147" s="78" t="str">
        <f>IF($A147=0,"",VLOOKUP($A147,'BASE MATERIAL'!$A:$D,3))</f>
        <v>M3</v>
      </c>
      <c r="F147" s="55">
        <f>ROUND(F146*0.032*2,2)</f>
        <v>0.04</v>
      </c>
      <c r="G147" s="55">
        <f>IF($A147=0,"",VLOOKUP($A147,'BASE MATERIAL'!$A:$D,4))</f>
        <v>12.276249999999999</v>
      </c>
      <c r="H147" s="56">
        <f t="shared" si="14"/>
        <v>0.49</v>
      </c>
      <c r="I147" s="2"/>
      <c r="L147" s="2"/>
      <c r="M147" s="2"/>
      <c r="N147" s="39"/>
      <c r="O147" s="2"/>
      <c r="P147" s="2"/>
    </row>
    <row r="148" spans="1:16" x14ac:dyDescent="0.25">
      <c r="A148" s="103">
        <v>5002</v>
      </c>
      <c r="B148" s="38" t="str">
        <f>IF($A148=0,"",VLOOKUP($A148,'BASE MATERIAL'!$A:$D,2))</f>
        <v>PIEDRA 3-4</v>
      </c>
      <c r="C148" s="2"/>
      <c r="D148" s="77"/>
      <c r="E148" s="78" t="str">
        <f>IF($A148=0,"",VLOOKUP($A148,'BASE MATERIAL'!$A:$D,3))</f>
        <v>M3</v>
      </c>
      <c r="F148" s="55">
        <f>ROUND(F146*0.032*3,2)</f>
        <v>0.06</v>
      </c>
      <c r="G148" s="55">
        <f>IF($A148=0,"",VLOOKUP($A148,'BASE MATERIAL'!$A:$D,4))</f>
        <v>13.75</v>
      </c>
      <c r="H148" s="56">
        <f t="shared" si="14"/>
        <v>0.83</v>
      </c>
      <c r="I148" s="2"/>
      <c r="L148" s="2"/>
      <c r="M148" s="2"/>
      <c r="N148" s="39"/>
      <c r="O148" s="2"/>
      <c r="P148" s="2"/>
    </row>
    <row r="149" spans="1:16" x14ac:dyDescent="0.25">
      <c r="A149" s="103">
        <v>5005</v>
      </c>
      <c r="B149" s="38" t="str">
        <f>IF($A149=0,"",VLOOKUP($A149,'BASE MATERIAL'!$A:$D,2))</f>
        <v>AGUA</v>
      </c>
      <c r="C149" s="2"/>
      <c r="D149" s="77"/>
      <c r="E149" s="78" t="str">
        <f>IF($A149=0,"",VLOOKUP($A149,'BASE MATERIAL'!$A:$D,3))</f>
        <v>LT</v>
      </c>
      <c r="F149" s="55">
        <f>26*F146</f>
        <v>15.079999999999998</v>
      </c>
      <c r="G149" s="80">
        <f>IF($A149=0,"",VLOOKUP($A149,'BASE MATERIAL'!$A:$D,4))</f>
        <v>2E-3</v>
      </c>
      <c r="H149" s="56">
        <f t="shared" si="14"/>
        <v>0.03</v>
      </c>
      <c r="I149" s="2"/>
    </row>
    <row r="150" spans="1:16" x14ac:dyDescent="0.25">
      <c r="B150" s="38" t="str">
        <f>IF($A150=0,"",VLOOKUP($A150,'BASE MATERIAL'!$A:$D,2))</f>
        <v/>
      </c>
      <c r="C150" s="2"/>
      <c r="D150" s="77"/>
      <c r="E150" s="78" t="str">
        <f>IF($A150=0,"",VLOOKUP($A150,'BASE MATERIAL'!$A:$D,3))</f>
        <v/>
      </c>
      <c r="F150" s="55"/>
      <c r="G150" s="55" t="str">
        <f>IF($A150=0,"",VLOOKUP($A150,'BASE MATERIAL'!$A:$D,4))</f>
        <v/>
      </c>
      <c r="H150" s="56" t="str">
        <f t="shared" si="14"/>
        <v/>
      </c>
      <c r="I150" s="2"/>
      <c r="L150" s="2"/>
      <c r="M150" s="2"/>
      <c r="N150" s="39"/>
      <c r="O150" s="2"/>
      <c r="P150" s="2"/>
    </row>
    <row r="151" spans="1:16" x14ac:dyDescent="0.25">
      <c r="B151" s="38" t="str">
        <f>IF($A151=0,"",VLOOKUP($A151,'BASE MATERIAL'!$A:$D,2))</f>
        <v/>
      </c>
      <c r="C151" s="2"/>
      <c r="D151" s="77"/>
      <c r="E151" s="78" t="str">
        <f>IF($A151=0,"",VLOOKUP($A151,'BASE MATERIAL'!$A:$D,3))</f>
        <v/>
      </c>
      <c r="F151" s="55"/>
      <c r="G151" s="55" t="str">
        <f>IF($A151=0,"",VLOOKUP($A151,'BASE MATERIAL'!$A:$D,4))</f>
        <v/>
      </c>
      <c r="H151" s="56" t="str">
        <f t="shared" si="14"/>
        <v/>
      </c>
      <c r="I151" s="2"/>
      <c r="L151" s="2"/>
      <c r="M151" s="2"/>
      <c r="N151" s="39"/>
      <c r="O151" s="2"/>
      <c r="P151" s="2"/>
    </row>
    <row r="152" spans="1:16" x14ac:dyDescent="0.25">
      <c r="B152" s="38" t="str">
        <f>IF($A152=0,"",VLOOKUP($A152,'BASE MATERIAL'!$A:$D,2))</f>
        <v/>
      </c>
      <c r="C152" s="2"/>
      <c r="D152" s="77"/>
      <c r="E152" s="78" t="str">
        <f>IF($A152=0,"",VLOOKUP($A152,'BASE MATERIAL'!$A:$D,3))</f>
        <v/>
      </c>
      <c r="F152" s="55"/>
      <c r="G152" s="55" t="str">
        <f>IF($A152=0,"",VLOOKUP($A152,'BASE MATERIAL'!$A:$D,4))</f>
        <v/>
      </c>
      <c r="H152" s="56" t="str">
        <f t="shared" si="14"/>
        <v/>
      </c>
      <c r="I152" s="2"/>
    </row>
    <row r="153" spans="1:16" x14ac:dyDescent="0.25">
      <c r="B153" s="38" t="str">
        <f>IF($A153=0,"",VLOOKUP($A153,'BASE MATERIAL'!$A:$D,2))</f>
        <v/>
      </c>
      <c r="C153" s="2"/>
      <c r="D153" s="77"/>
      <c r="E153" s="78" t="str">
        <f>IF($A153=0,"",VLOOKUP($A153,'BASE MATERIAL'!$A:$D,3))</f>
        <v/>
      </c>
      <c r="F153" s="55"/>
      <c r="G153" s="55" t="str">
        <f>IF($A153=0,"",VLOOKUP($A153,'BASE MATERIAL'!$A:$D,4))</f>
        <v/>
      </c>
      <c r="H153" s="56" t="str">
        <f t="shared" si="14"/>
        <v/>
      </c>
      <c r="I153" s="2"/>
    </row>
    <row r="154" spans="1:16" x14ac:dyDescent="0.25">
      <c r="B154" s="38" t="str">
        <f>IF($A154=0,"",VLOOKUP($A154,'BASE MATERIAL'!$A:$D,2))</f>
        <v/>
      </c>
      <c r="C154" s="2"/>
      <c r="D154" s="77"/>
      <c r="E154" s="78" t="str">
        <f>IF($A154=0,"",VLOOKUP($A154,'BASE MATERIAL'!$A:$D,3))</f>
        <v/>
      </c>
      <c r="F154" s="55"/>
      <c r="G154" s="55" t="str">
        <f>IF($A154=0,"",VLOOKUP($A154,'BASE MATERIAL'!$A:$D,4))</f>
        <v/>
      </c>
      <c r="H154" s="56" t="str">
        <f t="shared" si="14"/>
        <v/>
      </c>
      <c r="I154" s="2"/>
    </row>
    <row r="155" spans="1:16" x14ac:dyDescent="0.25">
      <c r="B155" s="38" t="str">
        <f>IF($A155=0,"",VLOOKUP($A155,'BASE MATERIAL'!$A:$D,2))</f>
        <v/>
      </c>
      <c r="C155" s="2"/>
      <c r="D155" s="77"/>
      <c r="E155" s="78" t="str">
        <f>IF($A155=0,"",VLOOKUP($A155,'BASE MATERIAL'!$A:$D,3))</f>
        <v/>
      </c>
      <c r="F155" s="55"/>
      <c r="G155" s="55" t="str">
        <f>IF($A155=0,"",VLOOKUP($A155,'BASE MATERIAL'!$A:$D,4))</f>
        <v/>
      </c>
      <c r="H155" s="56" t="str">
        <f t="shared" si="14"/>
        <v/>
      </c>
      <c r="I155" s="2"/>
    </row>
    <row r="156" spans="1:16" x14ac:dyDescent="0.25">
      <c r="B156" s="38" t="str">
        <f>IF($A156=0,"",VLOOKUP($A156,'BASE MATERIAL'!$A:$D,2))</f>
        <v/>
      </c>
      <c r="C156" s="2"/>
      <c r="D156" s="81" t="s">
        <v>1682</v>
      </c>
      <c r="E156" s="55" t="str">
        <f>IF($A156=0,"",VLOOKUP($A156,'BASE MATERIAL'!$A:$D,3))</f>
        <v/>
      </c>
      <c r="F156" s="55" t="s">
        <v>1682</v>
      </c>
      <c r="G156" s="55" t="str">
        <f>IF($A156=0,"",VLOOKUP($A156,'BASE MATERIAL'!$A:$D,4))</f>
        <v/>
      </c>
      <c r="H156" s="56" t="str">
        <f>IF($A156=0,"",ROUND(E156*F156,2))</f>
        <v/>
      </c>
      <c r="I156" s="2"/>
    </row>
    <row r="157" spans="1:16" x14ac:dyDescent="0.25">
      <c r="B157" s="73" t="s">
        <v>1681</v>
      </c>
      <c r="C157" s="65"/>
      <c r="D157" s="74"/>
      <c r="E157" s="74"/>
      <c r="F157" s="74"/>
      <c r="G157" s="74"/>
      <c r="H157" s="75">
        <f>ROUND(SUM(H140:H156),2)</f>
        <v>9.4600000000000009</v>
      </c>
      <c r="I157" s="2"/>
    </row>
    <row r="158" spans="1:16" x14ac:dyDescent="0.25">
      <c r="B158" s="38" t="s">
        <v>1680</v>
      </c>
      <c r="C158" s="2"/>
      <c r="D158" s="3"/>
      <c r="E158" s="3"/>
      <c r="F158" s="3"/>
      <c r="G158" s="3"/>
      <c r="H158" s="56"/>
      <c r="I158" s="2"/>
    </row>
    <row r="159" spans="1:16" ht="25.5" x14ac:dyDescent="0.25">
      <c r="B159" s="64" t="s">
        <v>1409</v>
      </c>
      <c r="C159" s="65"/>
      <c r="D159" s="76"/>
      <c r="E159" s="66" t="s">
        <v>1408</v>
      </c>
      <c r="F159" s="66" t="s">
        <v>1679</v>
      </c>
      <c r="G159" s="66" t="s">
        <v>1676</v>
      </c>
      <c r="H159" s="68" t="s">
        <v>1675</v>
      </c>
      <c r="I159" s="2"/>
    </row>
    <row r="160" spans="1:16" x14ac:dyDescent="0.25">
      <c r="A160" s="103">
        <v>19019</v>
      </c>
      <c r="B160" s="51" t="str">
        <f>IF($A160=0,"",VLOOKUP($A160,'BASE EQUIPO'!$A:$D,2))</f>
        <v>TRANSPORTE DE MATERIAL</v>
      </c>
      <c r="C160" s="52"/>
      <c r="D160" s="82"/>
      <c r="E160" s="78" t="str">
        <f>IF($A160=0,"",VLOOKUP($A160,'BASE EQUIPO'!$A:$D,3))</f>
        <v>GLOBAL</v>
      </c>
      <c r="F160" s="55">
        <v>1</v>
      </c>
      <c r="G160" s="83">
        <f>IF($A160=0,"",VLOOKUP($A160,'BASE EQUIPO'!$A:$D,4)*H157)</f>
        <v>0.2838</v>
      </c>
      <c r="H160" s="56">
        <f>IF($A160=0,"",ROUND(F160*G160,2))</f>
        <v>0.28000000000000003</v>
      </c>
      <c r="I160" s="2"/>
    </row>
    <row r="161" spans="1:15" x14ac:dyDescent="0.25">
      <c r="B161" s="38" t="str">
        <f>IF($A161=0,"",VLOOKUP($A161,'BASE EQUIPO'!$A:$D,2))</f>
        <v/>
      </c>
      <c r="C161" s="2"/>
      <c r="D161" s="84"/>
      <c r="E161" s="78" t="str">
        <f>IF($A161=0,"",VLOOKUP($A161,'BASE EQUIPO'!$A:$D,3))</f>
        <v/>
      </c>
      <c r="F161" s="55"/>
      <c r="G161" s="55" t="str">
        <f>IF($A161=0,"",VLOOKUP($A161,'BASE EQUIPO'!$A:$D,4)*H158)</f>
        <v/>
      </c>
      <c r="H161" s="56" t="str">
        <f>IF($A161=0,"",ROUND(F161*G161,2))</f>
        <v/>
      </c>
      <c r="I161" s="2"/>
    </row>
    <row r="162" spans="1:15" x14ac:dyDescent="0.25">
      <c r="B162" s="57" t="str">
        <f>IF($A162=0,"",VLOOKUP($A162,'BASE EQUIPO'!$A:$D,2))</f>
        <v/>
      </c>
      <c r="C162" s="58"/>
      <c r="D162" s="85"/>
      <c r="E162" s="86" t="str">
        <f>IF($A162=0,"",VLOOKUP($A162,'BASE EQUIPO'!$A:$D,3))</f>
        <v/>
      </c>
      <c r="F162" s="59"/>
      <c r="G162" s="59" t="str">
        <f>IF($A162=0,"",VLOOKUP($A162,'BASE EQUIPO'!$A:$D,4)*H159)</f>
        <v/>
      </c>
      <c r="H162" s="60" t="str">
        <f>IF($A162=0,"",ROUND(F162*G162,2))</f>
        <v/>
      </c>
      <c r="I162" s="2"/>
    </row>
    <row r="163" spans="1:15" ht="15.75" thickBot="1" x14ac:dyDescent="0.3">
      <c r="B163" s="87" t="s">
        <v>1674</v>
      </c>
      <c r="C163" s="88"/>
      <c r="D163" s="89"/>
      <c r="E163" s="89"/>
      <c r="F163" s="89"/>
      <c r="G163" s="89"/>
      <c r="H163" s="90">
        <f>ROUND(SUM(H159:H162),2)</f>
        <v>0.28000000000000003</v>
      </c>
      <c r="I163" s="2"/>
    </row>
    <row r="164" spans="1:15" ht="15.75" x14ac:dyDescent="0.25">
      <c r="B164" s="2"/>
      <c r="C164" s="2"/>
      <c r="D164" s="91" t="s">
        <v>1673</v>
      </c>
      <c r="E164" s="47"/>
      <c r="F164" s="47"/>
      <c r="G164" s="47"/>
      <c r="H164" s="92">
        <f>ROUND(SUM(H163,H157,H138,H128),2)</f>
        <v>18.32</v>
      </c>
      <c r="I164" s="2"/>
    </row>
    <row r="165" spans="1:15" ht="15.75" x14ac:dyDescent="0.25">
      <c r="A165" s="103">
        <v>40002</v>
      </c>
      <c r="B165" s="2"/>
      <c r="C165" s="2"/>
      <c r="D165" s="93" t="s">
        <v>1672</v>
      </c>
      <c r="E165" s="65"/>
      <c r="F165" s="65"/>
      <c r="G165" s="94">
        <f>IF($A165=0,"",VLOOKUP($A165,'BASE MATERIAL'!$M:$P,4))</f>
        <v>0</v>
      </c>
      <c r="H165" s="95">
        <f>IF($A165=0,"",ROUND(G165*H164,2))</f>
        <v>0</v>
      </c>
      <c r="I165" s="2"/>
    </row>
    <row r="166" spans="1:15" ht="15.75" x14ac:dyDescent="0.25">
      <c r="A166" s="103">
        <v>40003</v>
      </c>
      <c r="B166" s="2"/>
      <c r="C166" s="2"/>
      <c r="D166" s="93" t="s">
        <v>1671</v>
      </c>
      <c r="E166" s="65"/>
      <c r="F166" s="65"/>
      <c r="G166" s="94">
        <f>IF($A166=0,"",VLOOKUP($A166,'BASE MATERIAL'!$M:$P,4))</f>
        <v>0</v>
      </c>
      <c r="H166" s="95">
        <f>IF($A166=0,"",ROUND(G166*H164,2))</f>
        <v>0</v>
      </c>
      <c r="I166" s="2"/>
    </row>
    <row r="167" spans="1:15" ht="15.75" x14ac:dyDescent="0.25">
      <c r="B167" s="2"/>
      <c r="C167" s="2"/>
      <c r="D167" s="93" t="s">
        <v>1670</v>
      </c>
      <c r="E167" s="65"/>
      <c r="F167" s="65"/>
      <c r="G167" s="65"/>
      <c r="H167" s="96">
        <f>ROUND(SUM(H164:H166),2)</f>
        <v>18.32</v>
      </c>
      <c r="I167" s="2"/>
    </row>
    <row r="168" spans="1:15" ht="16.5" thickBot="1" x14ac:dyDescent="0.3">
      <c r="B168" s="25"/>
      <c r="C168" s="2"/>
      <c r="D168" s="97" t="s">
        <v>1650</v>
      </c>
      <c r="E168" s="88"/>
      <c r="F168" s="88"/>
      <c r="G168" s="88"/>
      <c r="H168" s="98">
        <f>ROUND(H167,2)</f>
        <v>18.32</v>
      </c>
      <c r="I168" s="2"/>
    </row>
    <row r="169" spans="1:15" ht="15.75" x14ac:dyDescent="0.25">
      <c r="B169" s="34" t="s">
        <v>1701</v>
      </c>
      <c r="C169" s="2"/>
      <c r="D169" s="3" t="str">
        <f>$D$1</f>
        <v>ESPOL</v>
      </c>
      <c r="E169" s="2"/>
      <c r="F169" s="2"/>
      <c r="H169" s="2" t="s">
        <v>108</v>
      </c>
      <c r="I169" s="2"/>
      <c r="L169" s="40">
        <f>A173</f>
        <v>4</v>
      </c>
      <c r="M169" s="1" t="str">
        <f>C174</f>
        <v>Adoquin de hormigon e= 6cm (aceras y veredas)</v>
      </c>
      <c r="N169" s="2" t="str">
        <f>H173</f>
        <v>m2</v>
      </c>
      <c r="O169" s="2">
        <f>H224</f>
        <v>21.2</v>
      </c>
    </row>
    <row r="170" spans="1:15" ht="15.75" x14ac:dyDescent="0.25">
      <c r="B170" s="34" t="s">
        <v>1700</v>
      </c>
      <c r="C170" s="3">
        <f>'1.1'!$C$2</f>
        <v>0</v>
      </c>
      <c r="D170" s="2"/>
      <c r="E170" s="2"/>
      <c r="F170" s="2"/>
      <c r="G170" s="41" t="s">
        <v>1699</v>
      </c>
      <c r="H170" s="42"/>
      <c r="I170" s="2" t="s">
        <v>1698</v>
      </c>
    </row>
    <row r="171" spans="1:15" ht="15.75" x14ac:dyDescent="0.25">
      <c r="B171" s="34"/>
      <c r="C171" s="3">
        <f>'1.1'!$C$3</f>
        <v>0</v>
      </c>
      <c r="D171" s="2"/>
      <c r="E171" s="2"/>
      <c r="F171" s="2"/>
      <c r="G171" s="2"/>
      <c r="H171" s="2"/>
      <c r="I171" s="2"/>
    </row>
    <row r="172" spans="1:15" ht="15.75" x14ac:dyDescent="0.25">
      <c r="B172" s="34" t="s">
        <v>1697</v>
      </c>
      <c r="C172" s="3"/>
      <c r="D172" s="2"/>
      <c r="E172" s="2"/>
      <c r="F172" s="2"/>
      <c r="G172" s="2"/>
      <c r="H172" s="2"/>
      <c r="I172" s="2"/>
    </row>
    <row r="173" spans="1:15" x14ac:dyDescent="0.25">
      <c r="A173" s="104">
        <v>4</v>
      </c>
      <c r="B173" s="2" t="s">
        <v>1586</v>
      </c>
      <c r="C173" s="36" t="s">
        <v>688</v>
      </c>
      <c r="D173" s="2"/>
      <c r="G173" s="2" t="s">
        <v>1696</v>
      </c>
      <c r="H173" s="3" t="s">
        <v>1520</v>
      </c>
      <c r="I173" s="2"/>
    </row>
    <row r="174" spans="1:15" x14ac:dyDescent="0.25">
      <c r="B174" s="1" t="s">
        <v>1585</v>
      </c>
      <c r="C174" s="36" t="s">
        <v>1209</v>
      </c>
      <c r="D174" s="2"/>
      <c r="E174" s="2"/>
      <c r="F174" s="2"/>
      <c r="G174" s="2"/>
      <c r="H174" s="2"/>
      <c r="I174" s="2"/>
    </row>
    <row r="175" spans="1:15" ht="15.75" thickBot="1" x14ac:dyDescent="0.3">
      <c r="D175" s="2"/>
      <c r="E175" s="2"/>
      <c r="F175" s="2"/>
      <c r="G175" s="2"/>
      <c r="H175" s="2"/>
      <c r="I175" s="2"/>
    </row>
    <row r="176" spans="1:15" ht="15.75" thickBot="1" x14ac:dyDescent="0.3">
      <c r="B176" s="43" t="s">
        <v>1695</v>
      </c>
      <c r="C176" s="44"/>
      <c r="D176" s="44"/>
      <c r="E176" s="44"/>
      <c r="F176" s="44"/>
      <c r="G176" s="44"/>
      <c r="H176" s="45"/>
      <c r="I176" s="2"/>
    </row>
    <row r="177" spans="1:11" ht="25.5" x14ac:dyDescent="0.25">
      <c r="B177" s="46" t="s">
        <v>1409</v>
      </c>
      <c r="C177" s="47"/>
      <c r="D177" s="48" t="s">
        <v>1690</v>
      </c>
      <c r="E177" s="48" t="s">
        <v>1694</v>
      </c>
      <c r="F177" s="48" t="s">
        <v>1693</v>
      </c>
      <c r="G177" s="49" t="s">
        <v>1687</v>
      </c>
      <c r="H177" s="50" t="s">
        <v>1686</v>
      </c>
      <c r="I177" s="2"/>
    </row>
    <row r="178" spans="1:11" x14ac:dyDescent="0.25">
      <c r="A178" s="103">
        <v>19015</v>
      </c>
      <c r="B178" s="51" t="str">
        <f>IF($A178=0,"",VLOOKUP($A178,'BASE EQUIPO'!$A:$D,2))</f>
        <v>HERRAMIENTA MENOR</v>
      </c>
      <c r="C178" s="52"/>
      <c r="D178" s="53">
        <v>1</v>
      </c>
      <c r="E178" s="53">
        <f>IF($A178=0,"",VLOOKUP($A178,'BASE EQUIPO'!$A:$D,4)*H194)</f>
        <v>0.18149999999999999</v>
      </c>
      <c r="F178" s="53">
        <f t="shared" ref="F178:F183" si="15">IF($A178=0,"",ROUND(D178*E178,2))</f>
        <v>0.18</v>
      </c>
      <c r="G178" s="105">
        <v>1</v>
      </c>
      <c r="H178" s="54">
        <f t="shared" ref="H178:H183" si="16">IF($A178=0,"",ROUND(G178*F178,2))</f>
        <v>0.18</v>
      </c>
      <c r="I178" s="2"/>
    </row>
    <row r="179" spans="1:11" x14ac:dyDescent="0.25">
      <c r="A179" s="103">
        <v>19004</v>
      </c>
      <c r="B179" s="38" t="str">
        <f>IF($A179=0,"",VLOOKUP($A179,'BASE EQUIPO'!$A:$D,2))</f>
        <v>COMPACTADOR MEDIANO</v>
      </c>
      <c r="C179" s="2"/>
      <c r="D179" s="55">
        <v>1</v>
      </c>
      <c r="E179" s="55">
        <f>IF($A179=0,"",VLOOKUP($A179,'BASE EQUIPO'!$A:$D,4))</f>
        <v>3.125</v>
      </c>
      <c r="F179" s="55">
        <f t="shared" si="15"/>
        <v>3.13</v>
      </c>
      <c r="G179" s="106">
        <f>+G188</f>
        <v>0.3</v>
      </c>
      <c r="H179" s="56">
        <f t="shared" si="16"/>
        <v>0.94</v>
      </c>
      <c r="I179" s="2"/>
    </row>
    <row r="180" spans="1:11" x14ac:dyDescent="0.25">
      <c r="B180" s="38"/>
      <c r="C180" s="2"/>
      <c r="D180" s="55"/>
      <c r="E180" s="55"/>
      <c r="F180" s="55" t="str">
        <f t="shared" si="15"/>
        <v/>
      </c>
      <c r="G180" s="106"/>
      <c r="H180" s="56" t="str">
        <f t="shared" si="16"/>
        <v/>
      </c>
      <c r="I180" s="2"/>
    </row>
    <row r="181" spans="1:11" x14ac:dyDescent="0.25">
      <c r="B181" s="38"/>
      <c r="C181" s="2"/>
      <c r="D181" s="55"/>
      <c r="E181" s="55"/>
      <c r="F181" s="55" t="str">
        <f t="shared" si="15"/>
        <v/>
      </c>
      <c r="G181" s="106"/>
      <c r="H181" s="56" t="str">
        <f t="shared" si="16"/>
        <v/>
      </c>
      <c r="I181" s="2"/>
    </row>
    <row r="182" spans="1:11" x14ac:dyDescent="0.25">
      <c r="B182" s="38"/>
      <c r="C182" s="2"/>
      <c r="D182" s="55"/>
      <c r="E182" s="55"/>
      <c r="F182" s="55" t="str">
        <f t="shared" si="15"/>
        <v/>
      </c>
      <c r="G182" s="106"/>
      <c r="H182" s="56" t="str">
        <f t="shared" si="16"/>
        <v/>
      </c>
      <c r="I182" s="2"/>
    </row>
    <row r="183" spans="1:11" x14ac:dyDescent="0.25">
      <c r="B183" s="57" t="str">
        <f>IF($A183=0,"",VLOOKUP($A183,'BASE EQUIPO'!$A:$D,2))</f>
        <v/>
      </c>
      <c r="C183" s="58"/>
      <c r="D183" s="59"/>
      <c r="E183" s="59" t="str">
        <f>IF($A183=0,"",VLOOKUP($A183,'BASE EQUIPO'!$A:$D,4))</f>
        <v/>
      </c>
      <c r="F183" s="59" t="str">
        <f t="shared" si="15"/>
        <v/>
      </c>
      <c r="G183" s="107"/>
      <c r="H183" s="60" t="str">
        <f t="shared" si="16"/>
        <v/>
      </c>
      <c r="I183" s="2"/>
    </row>
    <row r="184" spans="1:11" x14ac:dyDescent="0.25">
      <c r="B184" s="57" t="s">
        <v>1692</v>
      </c>
      <c r="C184" s="58"/>
      <c r="D184" s="61"/>
      <c r="E184" s="61"/>
      <c r="F184" s="61"/>
      <c r="G184" s="62"/>
      <c r="H184" s="60">
        <f>ROUND(SUM(H177:H183),2)</f>
        <v>1.1200000000000001</v>
      </c>
      <c r="I184" s="2"/>
    </row>
    <row r="185" spans="1:11" x14ac:dyDescent="0.25">
      <c r="B185" s="38" t="s">
        <v>1503</v>
      </c>
      <c r="C185" s="2"/>
      <c r="D185" s="3"/>
      <c r="E185" s="3"/>
      <c r="F185" s="3"/>
      <c r="G185" s="63"/>
      <c r="H185" s="56"/>
      <c r="I185" s="2"/>
    </row>
    <row r="186" spans="1:11" ht="25.5" x14ac:dyDescent="0.25">
      <c r="B186" s="64" t="s">
        <v>1691</v>
      </c>
      <c r="C186" s="65"/>
      <c r="D186" s="66" t="s">
        <v>1690</v>
      </c>
      <c r="E186" s="66" t="s">
        <v>1689</v>
      </c>
      <c r="F186" s="66" t="s">
        <v>1688</v>
      </c>
      <c r="G186" s="67" t="s">
        <v>1687</v>
      </c>
      <c r="H186" s="68" t="s">
        <v>1686</v>
      </c>
      <c r="I186" s="2"/>
    </row>
    <row r="187" spans="1:11" x14ac:dyDescent="0.25">
      <c r="A187" s="103">
        <v>20001</v>
      </c>
      <c r="B187" s="69" t="str">
        <f>IF($A187=0,"",VLOOKUP($A187,'BASE M-OBRA'!$A:$D,2))</f>
        <v>MAESTRO</v>
      </c>
      <c r="C187" s="2"/>
      <c r="D187" s="108">
        <v>1</v>
      </c>
      <c r="E187" s="70">
        <f>IF($A187=0,"",VLOOKUP($A187,'BASE M-OBRA'!$A:$D,4))</f>
        <v>3.02</v>
      </c>
      <c r="F187" s="55">
        <f t="shared" ref="F187:F193" si="17">IF($A187=0,"",ROUND(D187*E187,2))</f>
        <v>3.02</v>
      </c>
      <c r="G187" s="106">
        <f>IF($A187=0,"",ROUND(H187/F187,2))</f>
        <v>0.33</v>
      </c>
      <c r="H187" s="56">
        <f>IF($A187=0,"",ROUND(SUM(H188:H193)*'BASE M-OBRA'!$D$23,2))</f>
        <v>1.01</v>
      </c>
      <c r="I187" s="2"/>
    </row>
    <row r="188" spans="1:11" x14ac:dyDescent="0.25">
      <c r="A188" s="103">
        <v>20002</v>
      </c>
      <c r="B188" s="69" t="str">
        <f>IF($A188=0,"",VLOOKUP($A188,'BASE M-OBRA'!$A:$D,2))</f>
        <v>PEON</v>
      </c>
      <c r="C188" s="2"/>
      <c r="D188" s="108">
        <v>4</v>
      </c>
      <c r="E188" s="70">
        <f>IF($A188=0,"",VLOOKUP($A188,'BASE M-OBRA'!$A:$D,4))</f>
        <v>2.79</v>
      </c>
      <c r="F188" s="55">
        <f t="shared" si="17"/>
        <v>11.16</v>
      </c>
      <c r="G188" s="106">
        <v>0.3</v>
      </c>
      <c r="H188" s="56">
        <f t="shared" ref="H188:H193" si="18">IF($A188=0,"",ROUND(G188*F188,2))</f>
        <v>3.35</v>
      </c>
      <c r="I188" s="2"/>
    </row>
    <row r="189" spans="1:11" x14ac:dyDescent="0.25">
      <c r="A189" s="103">
        <v>20003</v>
      </c>
      <c r="B189" s="69" t="str">
        <f>IF($A189=0,"",VLOOKUP($A189,'BASE M-OBRA'!$A:$D,2))</f>
        <v>ALBAÑIL</v>
      </c>
      <c r="C189" s="2"/>
      <c r="D189" s="108">
        <v>2</v>
      </c>
      <c r="E189" s="70">
        <f>IF($A189=0,"",VLOOKUP($A189,'BASE M-OBRA'!$A:$D,4))</f>
        <v>2.82</v>
      </c>
      <c r="F189" s="55">
        <f t="shared" si="17"/>
        <v>5.64</v>
      </c>
      <c r="G189" s="106">
        <f>+G188</f>
        <v>0.3</v>
      </c>
      <c r="H189" s="56">
        <f t="shared" si="18"/>
        <v>1.69</v>
      </c>
      <c r="I189" s="2"/>
    </row>
    <row r="190" spans="1:11" x14ac:dyDescent="0.25">
      <c r="B190" s="71" t="str">
        <f>IF($A190=0,"",VLOOKUP($A190,'BASE M-OBRA'!$A:$D,2))</f>
        <v/>
      </c>
      <c r="C190" s="2"/>
      <c r="D190" s="108"/>
      <c r="E190" s="70" t="str">
        <f>IF($A190=0,"",VLOOKUP($A190,'BASE M-OBRA'!$A:$D,4))</f>
        <v/>
      </c>
      <c r="F190" s="55" t="str">
        <f t="shared" si="17"/>
        <v/>
      </c>
      <c r="G190" s="106"/>
      <c r="H190" s="56" t="str">
        <f t="shared" si="18"/>
        <v/>
      </c>
      <c r="I190" s="2"/>
      <c r="K190" s="1">
        <f>2.9*1.3</f>
        <v>3.77</v>
      </c>
    </row>
    <row r="191" spans="1:11" x14ac:dyDescent="0.25">
      <c r="B191" s="72" t="str">
        <f>IF($A191=0,"",VLOOKUP($A191,'BASE M-OBRA'!$A:$D,2))</f>
        <v/>
      </c>
      <c r="C191" s="2"/>
      <c r="D191" s="108"/>
      <c r="E191" s="70" t="str">
        <f>IF($A191=0,"",VLOOKUP($A191,'BASE M-OBRA'!$A:$D,4))</f>
        <v/>
      </c>
      <c r="F191" s="55" t="str">
        <f t="shared" si="17"/>
        <v/>
      </c>
      <c r="G191" s="106"/>
      <c r="H191" s="56" t="str">
        <f t="shared" si="18"/>
        <v/>
      </c>
      <c r="I191" s="2"/>
      <c r="K191" s="1">
        <f>+F200*0.2</f>
        <v>0</v>
      </c>
    </row>
    <row r="192" spans="1:11" x14ac:dyDescent="0.25">
      <c r="B192" s="38"/>
      <c r="C192" s="2"/>
      <c r="D192" s="108"/>
      <c r="E192" s="70"/>
      <c r="F192" s="55" t="str">
        <f t="shared" si="17"/>
        <v/>
      </c>
      <c r="G192" s="106"/>
      <c r="H192" s="56" t="str">
        <f t="shared" si="18"/>
        <v/>
      </c>
      <c r="I192" s="2"/>
    </row>
    <row r="193" spans="1:16" x14ac:dyDescent="0.25">
      <c r="B193" s="57" t="str">
        <f>IF($A193=0,"",VLOOKUP($A193,'BASE M-OBRA'!$A:$D,2))</f>
        <v/>
      </c>
      <c r="C193" s="58"/>
      <c r="D193" s="59"/>
      <c r="E193" s="59" t="str">
        <f>IF($A193=0,"",VLOOKUP($A193,'BASE M-OBRA'!$A:$D,4))</f>
        <v/>
      </c>
      <c r="F193" s="59" t="str">
        <f t="shared" si="17"/>
        <v/>
      </c>
      <c r="G193" s="107"/>
      <c r="H193" s="60" t="str">
        <f t="shared" si="18"/>
        <v/>
      </c>
      <c r="I193" s="2"/>
    </row>
    <row r="194" spans="1:16" x14ac:dyDescent="0.25">
      <c r="B194" s="73" t="s">
        <v>1685</v>
      </c>
      <c r="C194" s="65"/>
      <c r="D194" s="74"/>
      <c r="E194" s="74"/>
      <c r="F194" s="74"/>
      <c r="G194" s="74"/>
      <c r="H194" s="75">
        <f>ROUND(SUM(H186:H193),2)</f>
        <v>6.05</v>
      </c>
      <c r="I194" s="2"/>
    </row>
    <row r="195" spans="1:16" x14ac:dyDescent="0.25">
      <c r="B195" s="38" t="s">
        <v>1684</v>
      </c>
      <c r="C195" s="2"/>
      <c r="D195" s="3"/>
      <c r="E195" s="3"/>
      <c r="F195" s="3"/>
      <c r="G195" s="3"/>
      <c r="H195" s="56"/>
      <c r="I195" s="2"/>
    </row>
    <row r="196" spans="1:16" ht="25.5" x14ac:dyDescent="0.25">
      <c r="B196" s="64" t="s">
        <v>1409</v>
      </c>
      <c r="C196" s="65"/>
      <c r="D196" s="76"/>
      <c r="E196" s="66" t="s">
        <v>1408</v>
      </c>
      <c r="F196" s="66" t="s">
        <v>1679</v>
      </c>
      <c r="G196" s="66" t="s">
        <v>1683</v>
      </c>
      <c r="H196" s="68" t="s">
        <v>1675</v>
      </c>
      <c r="I196" s="2"/>
    </row>
    <row r="197" spans="1:16" x14ac:dyDescent="0.25">
      <c r="A197" s="103">
        <v>11011</v>
      </c>
      <c r="B197" s="37" t="s">
        <v>1208</v>
      </c>
      <c r="C197" s="2"/>
      <c r="D197" s="77"/>
      <c r="E197" s="78" t="s">
        <v>1520</v>
      </c>
      <c r="F197" s="55">
        <v>1</v>
      </c>
      <c r="G197" s="55">
        <f>11.09*1.12+1</f>
        <v>13.420800000000002</v>
      </c>
      <c r="H197" s="56">
        <f t="shared" ref="H197:H211" si="19">IF($A197=0,"",ROUND(F197*G197,2))</f>
        <v>13.42</v>
      </c>
      <c r="I197" s="2"/>
      <c r="K197" s="1">
        <f>2/0.2</f>
        <v>10</v>
      </c>
      <c r="L197" s="2"/>
      <c r="M197" s="2"/>
      <c r="N197" s="39"/>
      <c r="O197" s="2"/>
      <c r="P197" s="2"/>
    </row>
    <row r="198" spans="1:16" x14ac:dyDescent="0.25">
      <c r="A198" s="103">
        <v>5004</v>
      </c>
      <c r="B198" s="38" t="str">
        <f>IF($A198=0,"",VLOOKUP($A198,'BASE MATERIAL'!$A:$D,2))</f>
        <v>ARENA</v>
      </c>
      <c r="C198" s="2"/>
      <c r="D198" s="77"/>
      <c r="E198" s="78" t="str">
        <f>IF($A198=0,"",VLOOKUP($A198,'BASE MATERIAL'!$A:$D,3))</f>
        <v>M3</v>
      </c>
      <c r="F198" s="55">
        <v>0.05</v>
      </c>
      <c r="G198" s="55">
        <f>IF($A198=0,"",VLOOKUP($A198,'BASE MATERIAL'!$A:$D,4))</f>
        <v>12.276249999999999</v>
      </c>
      <c r="H198" s="56">
        <f t="shared" si="19"/>
        <v>0.61</v>
      </c>
      <c r="I198" s="2"/>
      <c r="L198" s="2"/>
      <c r="M198" s="2"/>
      <c r="N198" s="39"/>
      <c r="O198" s="2"/>
      <c r="P198" s="2"/>
    </row>
    <row r="199" spans="1:16" x14ac:dyDescent="0.25">
      <c r="B199" s="38"/>
      <c r="C199" s="2"/>
      <c r="D199" s="77"/>
      <c r="E199" s="78"/>
      <c r="F199" s="55"/>
      <c r="G199" s="55"/>
      <c r="H199" s="56" t="str">
        <f t="shared" si="19"/>
        <v/>
      </c>
      <c r="I199" s="2"/>
      <c r="L199" s="2"/>
      <c r="M199" s="2"/>
      <c r="N199" s="39"/>
      <c r="O199" s="2"/>
      <c r="P199" s="2"/>
    </row>
    <row r="200" spans="1:16" x14ac:dyDescent="0.25">
      <c r="B200" s="38"/>
      <c r="C200" s="2"/>
      <c r="D200" s="77"/>
      <c r="E200" s="78"/>
      <c r="F200" s="55"/>
      <c r="G200" s="55"/>
      <c r="H200" s="56" t="str">
        <f t="shared" si="19"/>
        <v/>
      </c>
      <c r="I200" s="2"/>
      <c r="L200" s="2"/>
      <c r="M200" s="2"/>
      <c r="N200" s="39"/>
      <c r="O200" s="2"/>
      <c r="P200" s="2"/>
    </row>
    <row r="201" spans="1:16" x14ac:dyDescent="0.25">
      <c r="B201" s="38"/>
      <c r="C201" s="2"/>
      <c r="D201" s="77"/>
      <c r="E201" s="78"/>
      <c r="F201" s="55"/>
      <c r="G201" s="55"/>
      <c r="H201" s="56" t="str">
        <f t="shared" si="19"/>
        <v/>
      </c>
      <c r="I201" s="2"/>
      <c r="L201" s="2"/>
      <c r="M201" s="2"/>
      <c r="N201" s="39"/>
      <c r="O201" s="2"/>
      <c r="P201" s="2"/>
    </row>
    <row r="202" spans="1:16" x14ac:dyDescent="0.25">
      <c r="B202" s="38"/>
      <c r="C202" s="2"/>
      <c r="D202" s="77"/>
      <c r="E202" s="78"/>
      <c r="F202" s="55"/>
      <c r="G202" s="55"/>
      <c r="H202" s="56" t="str">
        <f t="shared" si="19"/>
        <v/>
      </c>
      <c r="I202" s="2"/>
      <c r="L202" s="2"/>
      <c r="M202" s="2"/>
      <c r="N202" s="39"/>
      <c r="O202" s="2"/>
      <c r="P202" s="2"/>
    </row>
    <row r="203" spans="1:16" x14ac:dyDescent="0.25">
      <c r="B203" s="38"/>
      <c r="C203" s="2"/>
      <c r="D203" s="77"/>
      <c r="E203" s="78"/>
      <c r="F203" s="55"/>
      <c r="G203" s="55"/>
      <c r="H203" s="56" t="str">
        <f t="shared" si="19"/>
        <v/>
      </c>
      <c r="I203" s="2"/>
      <c r="L203" s="2"/>
      <c r="M203" s="2"/>
      <c r="N203" s="39"/>
      <c r="O203" s="2"/>
      <c r="P203" s="2"/>
    </row>
    <row r="204" spans="1:16" x14ac:dyDescent="0.25">
      <c r="B204" s="38"/>
      <c r="C204" s="2"/>
      <c r="D204" s="77"/>
      <c r="E204" s="78"/>
      <c r="F204" s="55"/>
      <c r="G204" s="55"/>
      <c r="H204" s="56" t="str">
        <f t="shared" si="19"/>
        <v/>
      </c>
      <c r="I204" s="2"/>
      <c r="L204" s="2"/>
      <c r="M204" s="2"/>
      <c r="N204" s="39"/>
      <c r="O204" s="2"/>
      <c r="P204" s="2"/>
    </row>
    <row r="205" spans="1:16" x14ac:dyDescent="0.25">
      <c r="B205" s="38"/>
      <c r="C205" s="2"/>
      <c r="D205" s="77"/>
      <c r="E205" s="78"/>
      <c r="F205" s="55"/>
      <c r="G205" s="80"/>
      <c r="H205" s="56" t="str">
        <f t="shared" si="19"/>
        <v/>
      </c>
      <c r="I205" s="2"/>
    </row>
    <row r="206" spans="1:16" x14ac:dyDescent="0.25">
      <c r="B206" s="38"/>
      <c r="C206" s="2"/>
      <c r="D206" s="77"/>
      <c r="E206" s="78"/>
      <c r="F206" s="55"/>
      <c r="G206" s="55"/>
      <c r="H206" s="56" t="str">
        <f t="shared" si="19"/>
        <v/>
      </c>
      <c r="I206" s="2"/>
      <c r="L206" s="2"/>
      <c r="M206" s="2"/>
      <c r="N206" s="39"/>
      <c r="O206" s="2"/>
      <c r="P206" s="2"/>
    </row>
    <row r="207" spans="1:16" x14ac:dyDescent="0.25">
      <c r="B207" s="38"/>
      <c r="C207" s="2"/>
      <c r="D207" s="77"/>
      <c r="E207" s="78" t="str">
        <f>IF($A207=0,"",VLOOKUP($A207,'BASE MATERIAL'!$A:$D,3))</f>
        <v/>
      </c>
      <c r="F207" s="55"/>
      <c r="G207" s="55" t="str">
        <f>IF($A207=0,"",VLOOKUP($A207,'BASE MATERIAL'!$A:$D,4))</f>
        <v/>
      </c>
      <c r="H207" s="56" t="str">
        <f t="shared" si="19"/>
        <v/>
      </c>
      <c r="I207" s="2"/>
      <c r="L207" s="2"/>
      <c r="M207" s="2"/>
      <c r="N207" s="39"/>
      <c r="O207" s="2"/>
      <c r="P207" s="2"/>
    </row>
    <row r="208" spans="1:16" x14ac:dyDescent="0.25">
      <c r="B208" s="38"/>
      <c r="C208" s="2"/>
      <c r="D208" s="77"/>
      <c r="E208" s="78" t="str">
        <f>IF($A208=0,"",VLOOKUP($A208,'BASE MATERIAL'!$A:$D,3))</f>
        <v/>
      </c>
      <c r="F208" s="55"/>
      <c r="G208" s="55" t="str">
        <f>IF($A208=0,"",VLOOKUP($A208,'BASE MATERIAL'!$A:$D,4))</f>
        <v/>
      </c>
      <c r="H208" s="56" t="str">
        <f t="shared" si="19"/>
        <v/>
      </c>
      <c r="I208" s="2"/>
    </row>
    <row r="209" spans="1:9" x14ac:dyDescent="0.25">
      <c r="B209" s="38" t="str">
        <f>IF($A209=0,"",VLOOKUP($A209,'BASE MATERIAL'!$A:$D,2))</f>
        <v/>
      </c>
      <c r="C209" s="2"/>
      <c r="D209" s="77"/>
      <c r="E209" s="78" t="str">
        <f>IF($A209=0,"",VLOOKUP($A209,'BASE MATERIAL'!$A:$D,3))</f>
        <v/>
      </c>
      <c r="F209" s="55"/>
      <c r="G209" s="55" t="str">
        <f>IF($A209=0,"",VLOOKUP($A209,'BASE MATERIAL'!$A:$D,4))</f>
        <v/>
      </c>
      <c r="H209" s="56" t="str">
        <f t="shared" si="19"/>
        <v/>
      </c>
      <c r="I209" s="2"/>
    </row>
    <row r="210" spans="1:9" x14ac:dyDescent="0.25">
      <c r="B210" s="38" t="str">
        <f>IF($A210=0,"",VLOOKUP($A210,'BASE MATERIAL'!$A:$D,2))</f>
        <v/>
      </c>
      <c r="C210" s="2"/>
      <c r="D210" s="77"/>
      <c r="E210" s="78" t="str">
        <f>IF($A210=0,"",VLOOKUP($A210,'BASE MATERIAL'!$A:$D,3))</f>
        <v/>
      </c>
      <c r="F210" s="55"/>
      <c r="G210" s="55" t="str">
        <f>IF($A210=0,"",VLOOKUP($A210,'BASE MATERIAL'!$A:$D,4))</f>
        <v/>
      </c>
      <c r="H210" s="56" t="str">
        <f t="shared" si="19"/>
        <v/>
      </c>
      <c r="I210" s="2"/>
    </row>
    <row r="211" spans="1:9" x14ac:dyDescent="0.25">
      <c r="B211" s="38" t="str">
        <f>IF($A211=0,"",VLOOKUP($A211,'BASE MATERIAL'!$A:$D,2))</f>
        <v/>
      </c>
      <c r="C211" s="2"/>
      <c r="D211" s="77"/>
      <c r="E211" s="78" t="str">
        <f>IF($A211=0,"",VLOOKUP($A211,'BASE MATERIAL'!$A:$D,3))</f>
        <v/>
      </c>
      <c r="F211" s="55"/>
      <c r="G211" s="55" t="str">
        <f>IF($A211=0,"",VLOOKUP($A211,'BASE MATERIAL'!$A:$D,4))</f>
        <v/>
      </c>
      <c r="H211" s="56" t="str">
        <f t="shared" si="19"/>
        <v/>
      </c>
      <c r="I211" s="2"/>
    </row>
    <row r="212" spans="1:9" x14ac:dyDescent="0.25">
      <c r="B212" s="38" t="str">
        <f>IF($A212=0,"",VLOOKUP($A212,'BASE MATERIAL'!$A:$D,2))</f>
        <v/>
      </c>
      <c r="C212" s="2"/>
      <c r="D212" s="81" t="s">
        <v>1682</v>
      </c>
      <c r="E212" s="55" t="str">
        <f>IF($A212=0,"",VLOOKUP($A212,'BASE MATERIAL'!$A:$D,3))</f>
        <v/>
      </c>
      <c r="F212" s="55" t="s">
        <v>1682</v>
      </c>
      <c r="G212" s="55" t="str">
        <f>IF($A212=0,"",VLOOKUP($A212,'BASE MATERIAL'!$A:$D,4))</f>
        <v/>
      </c>
      <c r="H212" s="56" t="str">
        <f>IF($A212=0,"",ROUND(E212*F212,2))</f>
        <v/>
      </c>
      <c r="I212" s="2"/>
    </row>
    <row r="213" spans="1:9" x14ac:dyDescent="0.25">
      <c r="B213" s="73" t="s">
        <v>1681</v>
      </c>
      <c r="C213" s="65"/>
      <c r="D213" s="74"/>
      <c r="E213" s="74"/>
      <c r="F213" s="74"/>
      <c r="G213" s="74"/>
      <c r="H213" s="75">
        <f>ROUND(SUM(H196:H212),2)</f>
        <v>14.03</v>
      </c>
      <c r="I213" s="2"/>
    </row>
    <row r="214" spans="1:9" x14ac:dyDescent="0.25">
      <c r="B214" s="38" t="s">
        <v>1680</v>
      </c>
      <c r="C214" s="2"/>
      <c r="D214" s="3"/>
      <c r="E214" s="3"/>
      <c r="F214" s="3"/>
      <c r="G214" s="3"/>
      <c r="H214" s="56"/>
      <c r="I214" s="2"/>
    </row>
    <row r="215" spans="1:9" ht="25.5" x14ac:dyDescent="0.25">
      <c r="B215" s="64" t="s">
        <v>1409</v>
      </c>
      <c r="C215" s="65"/>
      <c r="D215" s="76"/>
      <c r="E215" s="66" t="s">
        <v>1408</v>
      </c>
      <c r="F215" s="66" t="s">
        <v>1679</v>
      </c>
      <c r="G215" s="66" t="s">
        <v>1676</v>
      </c>
      <c r="H215" s="68" t="s">
        <v>1675</v>
      </c>
      <c r="I215" s="2"/>
    </row>
    <row r="216" spans="1:9" x14ac:dyDescent="0.25">
      <c r="B216" s="51" t="str">
        <f>IF($A216=0,"",VLOOKUP($A216,'BASE EQUIPO'!$A:$D,2))</f>
        <v/>
      </c>
      <c r="C216" s="52"/>
      <c r="D216" s="82"/>
      <c r="E216" s="78" t="str">
        <f>IF($A216=0,"",VLOOKUP($A216,'BASE EQUIPO'!$A:$D,3))</f>
        <v/>
      </c>
      <c r="F216" s="55"/>
      <c r="G216" s="83" t="str">
        <f>IF($A216=0,"",VLOOKUP($A216,'BASE EQUIPO'!$A:$D,4)*H213)</f>
        <v/>
      </c>
      <c r="H216" s="56" t="str">
        <f>IF($A216=0,"",ROUND(F216*G216,2))</f>
        <v/>
      </c>
      <c r="I216" s="2"/>
    </row>
    <row r="217" spans="1:9" x14ac:dyDescent="0.25">
      <c r="B217" s="38" t="str">
        <f>IF($A217=0,"",VLOOKUP($A217,'BASE EQUIPO'!$A:$D,2))</f>
        <v/>
      </c>
      <c r="C217" s="2"/>
      <c r="D217" s="84"/>
      <c r="E217" s="78" t="str">
        <f>IF($A217=0,"",VLOOKUP($A217,'BASE EQUIPO'!$A:$D,3))</f>
        <v/>
      </c>
      <c r="F217" s="55"/>
      <c r="G217" s="55" t="str">
        <f>IF($A217=0,"",VLOOKUP($A217,'BASE EQUIPO'!$A:$D,4)*H214)</f>
        <v/>
      </c>
      <c r="H217" s="56" t="str">
        <f>IF($A217=0,"",ROUND(F217*G217,2))</f>
        <v/>
      </c>
      <c r="I217" s="2"/>
    </row>
    <row r="218" spans="1:9" x14ac:dyDescent="0.25">
      <c r="B218" s="57" t="str">
        <f>IF($A218=0,"",VLOOKUP($A218,'BASE EQUIPO'!$A:$D,2))</f>
        <v/>
      </c>
      <c r="C218" s="58"/>
      <c r="D218" s="85"/>
      <c r="E218" s="86" t="str">
        <f>IF($A218=0,"",VLOOKUP($A218,'BASE EQUIPO'!$A:$D,3))</f>
        <v/>
      </c>
      <c r="F218" s="59"/>
      <c r="G218" s="59" t="str">
        <f>IF($A218=0,"",VLOOKUP($A218,'BASE EQUIPO'!$A:$D,4)*H215)</f>
        <v/>
      </c>
      <c r="H218" s="60" t="str">
        <f>IF($A218=0,"",ROUND(F218*G218,2))</f>
        <v/>
      </c>
      <c r="I218" s="2"/>
    </row>
    <row r="219" spans="1:9" ht="15.75" thickBot="1" x14ac:dyDescent="0.3">
      <c r="B219" s="87" t="s">
        <v>1674</v>
      </c>
      <c r="C219" s="88"/>
      <c r="D219" s="89"/>
      <c r="E219" s="89"/>
      <c r="F219" s="89"/>
      <c r="G219" s="89"/>
      <c r="H219" s="90">
        <f>ROUND(SUM(H215:H218),2)</f>
        <v>0</v>
      </c>
      <c r="I219" s="2"/>
    </row>
    <row r="220" spans="1:9" ht="15.75" x14ac:dyDescent="0.25">
      <c r="B220" s="2"/>
      <c r="C220" s="2"/>
      <c r="D220" s="91" t="s">
        <v>1673</v>
      </c>
      <c r="E220" s="47"/>
      <c r="F220" s="47"/>
      <c r="G220" s="47"/>
      <c r="H220" s="92">
        <f>ROUND(SUM(H219,H213,H194,H184),2)</f>
        <v>21.2</v>
      </c>
      <c r="I220" s="2"/>
    </row>
    <row r="221" spans="1:9" ht="15.75" x14ac:dyDescent="0.25">
      <c r="A221" s="103">
        <v>40002</v>
      </c>
      <c r="B221" s="2"/>
      <c r="C221" s="2"/>
      <c r="D221" s="93" t="s">
        <v>1672</v>
      </c>
      <c r="E221" s="65"/>
      <c r="F221" s="65"/>
      <c r="G221" s="94">
        <f>IF($A221=0,"",VLOOKUP($A221,'BASE MATERIAL'!$M:$P,4))</f>
        <v>0</v>
      </c>
      <c r="H221" s="95">
        <f>IF($A221=0,"",ROUND(G221*H220,2))</f>
        <v>0</v>
      </c>
      <c r="I221" s="2"/>
    </row>
    <row r="222" spans="1:9" ht="15.75" x14ac:dyDescent="0.25">
      <c r="A222" s="103">
        <v>40003</v>
      </c>
      <c r="B222" s="2"/>
      <c r="C222" s="2"/>
      <c r="D222" s="93" t="s">
        <v>1671</v>
      </c>
      <c r="E222" s="65"/>
      <c r="F222" s="65"/>
      <c r="G222" s="94">
        <f>IF($A222=0,"",VLOOKUP($A222,'BASE MATERIAL'!$M:$P,4))</f>
        <v>0</v>
      </c>
      <c r="H222" s="95">
        <f>IF($A222=0,"",ROUND(G222*H220,2))</f>
        <v>0</v>
      </c>
      <c r="I222" s="2"/>
    </row>
    <row r="223" spans="1:9" ht="15.75" x14ac:dyDescent="0.25">
      <c r="B223" s="2"/>
      <c r="C223" s="2"/>
      <c r="D223" s="93" t="s">
        <v>1670</v>
      </c>
      <c r="E223" s="65"/>
      <c r="F223" s="65"/>
      <c r="G223" s="65"/>
      <c r="H223" s="96">
        <f>ROUND(SUM(H220:H222),2)</f>
        <v>21.2</v>
      </c>
      <c r="I223" s="2"/>
    </row>
    <row r="224" spans="1:9" ht="16.5" thickBot="1" x14ac:dyDescent="0.3">
      <c r="B224" s="25"/>
      <c r="C224" s="2"/>
      <c r="D224" s="97" t="s">
        <v>1650</v>
      </c>
      <c r="E224" s="88"/>
      <c r="F224" s="88"/>
      <c r="G224" s="88"/>
      <c r="H224" s="98">
        <f>ROUND(H223,2)</f>
        <v>21.2</v>
      </c>
      <c r="I224" s="2"/>
    </row>
    <row r="225" spans="1:15" ht="15.75" x14ac:dyDescent="0.25">
      <c r="B225" s="34" t="s">
        <v>1701</v>
      </c>
      <c r="C225" s="2"/>
      <c r="D225" s="3" t="str">
        <f>$D$1</f>
        <v>ESPOL</v>
      </c>
      <c r="E225" s="2"/>
      <c r="F225" s="2"/>
      <c r="H225" s="2" t="s">
        <v>108</v>
      </c>
      <c r="I225" s="2"/>
      <c r="L225" s="40">
        <f>A229</f>
        <v>5</v>
      </c>
      <c r="M225" s="1" t="str">
        <f>C230</f>
        <v>Pavimento exterior  de hormigón simple e= 10cm</v>
      </c>
      <c r="N225" s="2" t="str">
        <f>H229</f>
        <v>m2</v>
      </c>
      <c r="O225" s="2">
        <f>H280</f>
        <v>9.98</v>
      </c>
    </row>
    <row r="226" spans="1:15" ht="15.75" x14ac:dyDescent="0.25">
      <c r="B226" s="34" t="s">
        <v>1700</v>
      </c>
      <c r="C226" s="3">
        <f>'1.1'!$C$2</f>
        <v>0</v>
      </c>
      <c r="D226" s="2"/>
      <c r="E226" s="2"/>
      <c r="F226" s="2"/>
      <c r="G226" s="41" t="s">
        <v>1699</v>
      </c>
      <c r="H226" s="42"/>
      <c r="I226" s="2" t="s">
        <v>1698</v>
      </c>
    </row>
    <row r="227" spans="1:15" ht="15.75" x14ac:dyDescent="0.25">
      <c r="B227" s="34"/>
      <c r="C227" s="3">
        <f>'1.1'!$C$3</f>
        <v>0</v>
      </c>
      <c r="D227" s="2"/>
      <c r="E227" s="2"/>
      <c r="F227" s="2"/>
      <c r="G227" s="2"/>
      <c r="H227" s="2"/>
      <c r="I227" s="2"/>
    </row>
    <row r="228" spans="1:15" ht="15.75" x14ac:dyDescent="0.25">
      <c r="B228" s="34" t="s">
        <v>1697</v>
      </c>
      <c r="C228" s="3"/>
      <c r="D228" s="2"/>
      <c r="E228" s="2"/>
      <c r="F228" s="2"/>
      <c r="G228" s="2"/>
      <c r="H228" s="2"/>
      <c r="I228" s="2"/>
    </row>
    <row r="229" spans="1:15" x14ac:dyDescent="0.25">
      <c r="A229" s="104">
        <f>+A117+1</f>
        <v>5</v>
      </c>
      <c r="B229" s="2" t="s">
        <v>1586</v>
      </c>
      <c r="C229" s="36" t="s">
        <v>690</v>
      </c>
      <c r="D229" s="2"/>
      <c r="G229" s="2" t="s">
        <v>1696</v>
      </c>
      <c r="H229" s="3" t="s">
        <v>1520</v>
      </c>
      <c r="I229" s="2"/>
    </row>
    <row r="230" spans="1:15" x14ac:dyDescent="0.25">
      <c r="B230" s="1" t="s">
        <v>1585</v>
      </c>
      <c r="C230" s="36" t="s">
        <v>58</v>
      </c>
      <c r="D230" s="2"/>
      <c r="E230" s="2"/>
      <c r="F230" s="2"/>
      <c r="G230" s="2"/>
      <c r="H230" s="2"/>
      <c r="I230" s="2"/>
    </row>
    <row r="231" spans="1:15" ht="15.75" thickBot="1" x14ac:dyDescent="0.3">
      <c r="D231" s="2"/>
      <c r="E231" s="2"/>
      <c r="F231" s="2"/>
      <c r="G231" s="2"/>
      <c r="H231" s="2"/>
      <c r="I231" s="2"/>
    </row>
    <row r="232" spans="1:15" ht="15.75" thickBot="1" x14ac:dyDescent="0.3">
      <c r="B232" s="43" t="s">
        <v>1695</v>
      </c>
      <c r="C232" s="44"/>
      <c r="D232" s="44"/>
      <c r="E232" s="44"/>
      <c r="F232" s="44"/>
      <c r="G232" s="44"/>
      <c r="H232" s="45"/>
      <c r="I232" s="2"/>
    </row>
    <row r="233" spans="1:15" ht="25.5" x14ac:dyDescent="0.25">
      <c r="B233" s="46" t="s">
        <v>1409</v>
      </c>
      <c r="C233" s="47"/>
      <c r="D233" s="48" t="s">
        <v>1690</v>
      </c>
      <c r="E233" s="48" t="s">
        <v>1694</v>
      </c>
      <c r="F233" s="48" t="s">
        <v>1693</v>
      </c>
      <c r="G233" s="49" t="s">
        <v>1687</v>
      </c>
      <c r="H233" s="50" t="s">
        <v>1686</v>
      </c>
      <c r="I233" s="2"/>
    </row>
    <row r="234" spans="1:15" x14ac:dyDescent="0.25">
      <c r="A234" s="103">
        <v>19015</v>
      </c>
      <c r="B234" s="51" t="str">
        <f>IF($A234=0,"",VLOOKUP($A234,'BASE EQUIPO'!$A:$D,2))</f>
        <v>HERRAMIENTA MENOR</v>
      </c>
      <c r="C234" s="52"/>
      <c r="D234" s="53">
        <v>1</v>
      </c>
      <c r="E234" s="53">
        <f>IF($A234=0,"",VLOOKUP($A234,'BASE EQUIPO'!$A:$D,4)*H250)</f>
        <v>7.9200000000000007E-2</v>
      </c>
      <c r="F234" s="53">
        <f t="shared" ref="F234:F239" si="20">IF($A234=0,"",ROUND(D234*E234,2))</f>
        <v>0.08</v>
      </c>
      <c r="G234" s="105">
        <v>1</v>
      </c>
      <c r="H234" s="54">
        <f t="shared" ref="H234:H239" si="21">IF($A234=0,"",ROUND(G234*F234,2))</f>
        <v>0.08</v>
      </c>
      <c r="I234" s="2"/>
    </row>
    <row r="235" spans="1:15" x14ac:dyDescent="0.25">
      <c r="A235" s="103">
        <v>19003</v>
      </c>
      <c r="B235" s="38" t="str">
        <f>IF($A235=0,"",VLOOKUP($A235,'BASE EQUIPO'!$A:$D,2))</f>
        <v>CONCRETERA</v>
      </c>
      <c r="C235" s="2"/>
      <c r="D235" s="55">
        <v>1</v>
      </c>
      <c r="E235" s="55">
        <f>IF($A235=0,"",VLOOKUP($A235,'BASE EQUIPO'!$A:$D,4))</f>
        <v>3.5</v>
      </c>
      <c r="F235" s="55">
        <f t="shared" si="20"/>
        <v>3.5</v>
      </c>
      <c r="G235" s="106">
        <f>+G244*0.5</f>
        <v>3.5000000000000003E-2</v>
      </c>
      <c r="H235" s="56">
        <f t="shared" si="21"/>
        <v>0.12</v>
      </c>
      <c r="I235" s="2"/>
    </row>
    <row r="236" spans="1:15" x14ac:dyDescent="0.25">
      <c r="B236" s="38" t="str">
        <f>IF($A236=0,"",VLOOKUP($A236,'BASE EQUIPO'!$A:$D,2))</f>
        <v/>
      </c>
      <c r="C236" s="2"/>
      <c r="D236" s="55"/>
      <c r="E236" s="55" t="str">
        <f>IF($A236=0,"",VLOOKUP($A236,'BASE EQUIPO'!$A:$D,4))</f>
        <v/>
      </c>
      <c r="F236" s="55" t="str">
        <f t="shared" si="20"/>
        <v/>
      </c>
      <c r="G236" s="106"/>
      <c r="H236" s="56" t="str">
        <f t="shared" si="21"/>
        <v/>
      </c>
      <c r="I236" s="2"/>
    </row>
    <row r="237" spans="1:15" x14ac:dyDescent="0.25">
      <c r="B237" s="38" t="str">
        <f>IF($A237=0,"",VLOOKUP($A237,'BASE EQUIPO'!$A:$D,2))</f>
        <v/>
      </c>
      <c r="C237" s="2"/>
      <c r="D237" s="55"/>
      <c r="E237" s="55" t="str">
        <f>IF($A237=0,"",VLOOKUP($A237,'BASE EQUIPO'!$A:$D,4))</f>
        <v/>
      </c>
      <c r="F237" s="55" t="str">
        <f t="shared" si="20"/>
        <v/>
      </c>
      <c r="G237" s="106"/>
      <c r="H237" s="56" t="str">
        <f t="shared" si="21"/>
        <v/>
      </c>
      <c r="I237" s="2"/>
    </row>
    <row r="238" spans="1:15" x14ac:dyDescent="0.25">
      <c r="B238" s="38" t="str">
        <f>IF($A238=0,"",VLOOKUP($A238,'BASE EQUIPO'!$A:$D,2))</f>
        <v/>
      </c>
      <c r="C238" s="2"/>
      <c r="D238" s="55"/>
      <c r="E238" s="55" t="str">
        <f>IF($A238=0,"",VLOOKUP($A238,'BASE EQUIPO'!$A:$D,4))</f>
        <v/>
      </c>
      <c r="F238" s="55" t="str">
        <f t="shared" si="20"/>
        <v/>
      </c>
      <c r="G238" s="106"/>
      <c r="H238" s="56" t="str">
        <f t="shared" si="21"/>
        <v/>
      </c>
      <c r="I238" s="2"/>
    </row>
    <row r="239" spans="1:15" x14ac:dyDescent="0.25">
      <c r="B239" s="57" t="str">
        <f>IF($A239=0,"",VLOOKUP($A239,'BASE EQUIPO'!$A:$D,2))</f>
        <v/>
      </c>
      <c r="C239" s="58"/>
      <c r="D239" s="59"/>
      <c r="E239" s="59" t="str">
        <f>IF($A239=0,"",VLOOKUP($A239,'BASE EQUIPO'!$A:$D,4))</f>
        <v/>
      </c>
      <c r="F239" s="59" t="str">
        <f t="shared" si="20"/>
        <v/>
      </c>
      <c r="G239" s="107"/>
      <c r="H239" s="60" t="str">
        <f t="shared" si="21"/>
        <v/>
      </c>
      <c r="I239" s="2"/>
    </row>
    <row r="240" spans="1:15" x14ac:dyDescent="0.25">
      <c r="B240" s="57" t="s">
        <v>1692</v>
      </c>
      <c r="C240" s="58"/>
      <c r="D240" s="61"/>
      <c r="E240" s="61"/>
      <c r="F240" s="61"/>
      <c r="G240" s="62"/>
      <c r="H240" s="60">
        <f>ROUND(SUM(H233:H239),2)</f>
        <v>0.2</v>
      </c>
      <c r="I240" s="2"/>
    </row>
    <row r="241" spans="1:16" x14ac:dyDescent="0.25">
      <c r="B241" s="38" t="s">
        <v>1503</v>
      </c>
      <c r="C241" s="2"/>
      <c r="D241" s="3"/>
      <c r="E241" s="3"/>
      <c r="F241" s="3"/>
      <c r="G241" s="63"/>
      <c r="H241" s="56"/>
      <c r="I241" s="2"/>
    </row>
    <row r="242" spans="1:16" ht="25.5" x14ac:dyDescent="0.25">
      <c r="B242" s="64" t="s">
        <v>1691</v>
      </c>
      <c r="C242" s="65"/>
      <c r="D242" s="66" t="s">
        <v>1690</v>
      </c>
      <c r="E242" s="66" t="s">
        <v>1689</v>
      </c>
      <c r="F242" s="66" t="s">
        <v>1688</v>
      </c>
      <c r="G242" s="67" t="s">
        <v>1687</v>
      </c>
      <c r="H242" s="68" t="s">
        <v>1686</v>
      </c>
      <c r="I242" s="2"/>
    </row>
    <row r="243" spans="1:16" x14ac:dyDescent="0.25">
      <c r="A243" s="103">
        <v>20001</v>
      </c>
      <c r="B243" s="69" t="str">
        <f>IF($A243=0,"",VLOOKUP($A243,'BASE M-OBRA'!$A:$D,2))</f>
        <v>MAESTRO</v>
      </c>
      <c r="C243" s="2"/>
      <c r="D243" s="108">
        <v>1</v>
      </c>
      <c r="E243" s="70">
        <f>IF($A243=0,"",VLOOKUP($A243,'BASE M-OBRA'!$A:$D,4))</f>
        <v>3.02</v>
      </c>
      <c r="F243" s="55">
        <f t="shared" ref="F243:F249" si="22">IF($A243=0,"",ROUND(D243*E243,2))</f>
        <v>3.02</v>
      </c>
      <c r="G243" s="106">
        <f>IF($A243=0,"",ROUND(H243/F243,2))</f>
        <v>0.15</v>
      </c>
      <c r="H243" s="56">
        <f>IF($A243=0,"",ROUND(SUM(H244:H249)*'BASE M-OBRA'!$D$23,2))</f>
        <v>0.44</v>
      </c>
      <c r="I243" s="2"/>
    </row>
    <row r="244" spans="1:16" x14ac:dyDescent="0.25">
      <c r="A244" s="103">
        <v>20002</v>
      </c>
      <c r="B244" s="69" t="str">
        <f>IF($A244=0,"",VLOOKUP($A244,'BASE M-OBRA'!$A:$D,2))</f>
        <v>PEON</v>
      </c>
      <c r="C244" s="2"/>
      <c r="D244" s="108">
        <v>8</v>
      </c>
      <c r="E244" s="70">
        <f>IF($A244=0,"",VLOOKUP($A244,'BASE M-OBRA'!$A:$D,4))</f>
        <v>2.79</v>
      </c>
      <c r="F244" s="55">
        <f t="shared" si="22"/>
        <v>22.32</v>
      </c>
      <c r="G244" s="106">
        <v>7.0000000000000007E-2</v>
      </c>
      <c r="H244" s="56">
        <f t="shared" ref="H244:H249" si="23">IF($A244=0,"",ROUND(G244*F244,2))</f>
        <v>1.56</v>
      </c>
      <c r="I244" s="2"/>
    </row>
    <row r="245" spans="1:16" x14ac:dyDescent="0.25">
      <c r="A245" s="103">
        <v>20003</v>
      </c>
      <c r="B245" s="69" t="str">
        <f>IF($A245=0,"",VLOOKUP($A245,'BASE M-OBRA'!$A:$D,2))</f>
        <v>ALBAÑIL</v>
      </c>
      <c r="C245" s="2"/>
      <c r="D245" s="108">
        <v>2</v>
      </c>
      <c r="E245" s="70">
        <f>IF($A245=0,"",VLOOKUP($A245,'BASE M-OBRA'!$A:$D,4))</f>
        <v>2.82</v>
      </c>
      <c r="F245" s="55">
        <f t="shared" si="22"/>
        <v>5.64</v>
      </c>
      <c r="G245" s="106">
        <f>+G244</f>
        <v>7.0000000000000007E-2</v>
      </c>
      <c r="H245" s="56">
        <f t="shared" si="23"/>
        <v>0.39</v>
      </c>
      <c r="I245" s="2"/>
    </row>
    <row r="246" spans="1:16" x14ac:dyDescent="0.25">
      <c r="A246" s="103">
        <v>20004</v>
      </c>
      <c r="B246" s="71" t="str">
        <f>IF($A246=0,"",VLOOKUP($A246,'BASE M-OBRA'!$A:$D,2))</f>
        <v>CARPINTERO</v>
      </c>
      <c r="C246" s="2"/>
      <c r="D246" s="108">
        <v>2</v>
      </c>
      <c r="E246" s="70">
        <f>IF($A246=0,"",VLOOKUP($A246,'BASE M-OBRA'!$A:$D,4))</f>
        <v>2.82</v>
      </c>
      <c r="F246" s="55">
        <f t="shared" si="22"/>
        <v>5.64</v>
      </c>
      <c r="G246" s="106">
        <v>4.4999999999999998E-2</v>
      </c>
      <c r="H246" s="56">
        <f t="shared" si="23"/>
        <v>0.25</v>
      </c>
      <c r="I246" s="2"/>
    </row>
    <row r="247" spans="1:16" x14ac:dyDescent="0.25">
      <c r="B247" s="72" t="str">
        <f>IF($A247=0,"",VLOOKUP($A247,'BASE M-OBRA'!$A:$D,2))</f>
        <v/>
      </c>
      <c r="C247" s="2"/>
      <c r="D247" s="108"/>
      <c r="E247" s="70" t="str">
        <f>IF($A247=0,"",VLOOKUP($A247,'BASE M-OBRA'!$A:$D,4))</f>
        <v/>
      </c>
      <c r="F247" s="55" t="str">
        <f t="shared" si="22"/>
        <v/>
      </c>
      <c r="G247" s="106"/>
      <c r="H247" s="56" t="str">
        <f t="shared" si="23"/>
        <v/>
      </c>
      <c r="I247" s="2"/>
    </row>
    <row r="248" spans="1:16" x14ac:dyDescent="0.25">
      <c r="B248" s="38" t="str">
        <f>IF($A248=0,"",VLOOKUP($A248,'BASE M-OBRA'!$A:$D,2))</f>
        <v/>
      </c>
      <c r="C248" s="2"/>
      <c r="D248" s="55"/>
      <c r="E248" s="55" t="str">
        <f>IF($A248=0,"",VLOOKUP($A248,'BASE M-OBRA'!$A:$D,4))</f>
        <v/>
      </c>
      <c r="F248" s="55" t="str">
        <f t="shared" si="22"/>
        <v/>
      </c>
      <c r="G248" s="106"/>
      <c r="H248" s="56" t="str">
        <f t="shared" si="23"/>
        <v/>
      </c>
      <c r="I248" s="2"/>
    </row>
    <row r="249" spans="1:16" x14ac:dyDescent="0.25">
      <c r="B249" s="57" t="str">
        <f>IF($A249=0,"",VLOOKUP($A249,'BASE M-OBRA'!$A:$D,2))</f>
        <v/>
      </c>
      <c r="C249" s="58"/>
      <c r="D249" s="59"/>
      <c r="E249" s="59" t="str">
        <f>IF($A249=0,"",VLOOKUP($A249,'BASE M-OBRA'!$A:$D,4))</f>
        <v/>
      </c>
      <c r="F249" s="59" t="str">
        <f t="shared" si="22"/>
        <v/>
      </c>
      <c r="G249" s="107"/>
      <c r="H249" s="60" t="str">
        <f t="shared" si="23"/>
        <v/>
      </c>
      <c r="I249" s="2"/>
    </row>
    <row r="250" spans="1:16" x14ac:dyDescent="0.25">
      <c r="B250" s="73" t="s">
        <v>1685</v>
      </c>
      <c r="C250" s="65"/>
      <c r="D250" s="74"/>
      <c r="E250" s="74"/>
      <c r="F250" s="74"/>
      <c r="G250" s="74"/>
      <c r="H250" s="75">
        <f>ROUND(SUM(H242:H249),2)</f>
        <v>2.64</v>
      </c>
      <c r="I250" s="2"/>
    </row>
    <row r="251" spans="1:16" x14ac:dyDescent="0.25">
      <c r="B251" s="38" t="s">
        <v>1684</v>
      </c>
      <c r="C251" s="2"/>
      <c r="D251" s="3"/>
      <c r="E251" s="3"/>
      <c r="F251" s="3"/>
      <c r="G251" s="3"/>
      <c r="H251" s="56"/>
      <c r="I251" s="2"/>
    </row>
    <row r="252" spans="1:16" ht="25.5" x14ac:dyDescent="0.25">
      <c r="B252" s="64" t="s">
        <v>1409</v>
      </c>
      <c r="C252" s="65"/>
      <c r="D252" s="76"/>
      <c r="E252" s="66" t="s">
        <v>1408</v>
      </c>
      <c r="F252" s="66" t="s">
        <v>1679</v>
      </c>
      <c r="G252" s="66" t="s">
        <v>1683</v>
      </c>
      <c r="H252" s="68" t="s">
        <v>1675</v>
      </c>
      <c r="I252" s="2"/>
    </row>
    <row r="253" spans="1:16" x14ac:dyDescent="0.25">
      <c r="A253" s="103">
        <v>11009</v>
      </c>
      <c r="B253" s="99" t="str">
        <f>IF($A253=0,"",VLOOKUP($A253,'BASE MATERIAL'!$A:$D,2))</f>
        <v>CUARTON</v>
      </c>
      <c r="C253" s="2"/>
      <c r="D253" s="77"/>
      <c r="E253" s="78" t="str">
        <f>IF($A253=0,"",VLOOKUP($A253,'BASE MATERIAL'!$A:$D,3))</f>
        <v>U</v>
      </c>
      <c r="F253" s="55">
        <f>ROUND(0.1*8/(4*3),2)</f>
        <v>7.0000000000000007E-2</v>
      </c>
      <c r="G253" s="55">
        <f>IF($A253=0,"",VLOOKUP($A253,'BASE MATERIAL'!$A:$D,4))</f>
        <v>2.42</v>
      </c>
      <c r="H253" s="56">
        <f t="shared" ref="H253:H267" si="24">IF($A253=0,"",ROUND(F253*G253,2))</f>
        <v>0.17</v>
      </c>
      <c r="I253" s="2"/>
      <c r="L253" s="2"/>
      <c r="M253" s="2"/>
      <c r="N253" s="39"/>
      <c r="O253" s="2"/>
      <c r="P253" s="2"/>
    </row>
    <row r="254" spans="1:16" x14ac:dyDescent="0.25">
      <c r="A254" s="103">
        <v>11007</v>
      </c>
      <c r="B254" s="38" t="str">
        <f>IF($A254=0,"",VLOOKUP($A254,'BASE MATERIAL'!$A:$D,2))</f>
        <v>CLAVO 2 1/2"</v>
      </c>
      <c r="C254" s="2"/>
      <c r="D254" s="77"/>
      <c r="E254" s="78" t="str">
        <f>IF($A254=0,"",VLOOKUP($A254,'BASE MATERIAL'!$A:$D,3))</f>
        <v>KG</v>
      </c>
      <c r="F254" s="55">
        <f>ROUND(0.1*56/(178*1.5),2)</f>
        <v>0.02</v>
      </c>
      <c r="G254" s="55">
        <f>IF($A254=0,"",VLOOKUP($A254,'BASE MATERIAL'!$A:$D,4))</f>
        <v>2.6520000000000001</v>
      </c>
      <c r="H254" s="56">
        <f t="shared" si="24"/>
        <v>0.05</v>
      </c>
      <c r="I254" s="2"/>
      <c r="L254" s="2"/>
      <c r="M254" s="2"/>
      <c r="N254" s="39"/>
      <c r="O254" s="2"/>
      <c r="P254" s="2"/>
    </row>
    <row r="255" spans="1:16" x14ac:dyDescent="0.25">
      <c r="A255" s="103">
        <v>4001</v>
      </c>
      <c r="B255" s="38" t="str">
        <f>IF($A255=0,"",VLOOKUP($A255,'BASE MATERIAL'!$A:$D,2))</f>
        <v>CEMENTO</v>
      </c>
      <c r="C255" s="2"/>
      <c r="D255" s="77"/>
      <c r="E255" s="78" t="str">
        <f>IF($A255=0,"",VLOOKUP($A255,'BASE MATERIAL'!$A:$D,3))</f>
        <v>SACO</v>
      </c>
      <c r="F255" s="55">
        <f>ROUND(7*1.03*0.1,2)</f>
        <v>0.72</v>
      </c>
      <c r="G255" s="55">
        <f>IF($A255=0,"",VLOOKUP($A255,'BASE MATERIAL'!$A:$D,4))</f>
        <v>7.09</v>
      </c>
      <c r="H255" s="56">
        <f t="shared" si="24"/>
        <v>5.0999999999999996</v>
      </c>
      <c r="I255" s="2"/>
      <c r="L255" s="2"/>
      <c r="M255" s="2"/>
      <c r="N255" s="39"/>
      <c r="O255" s="2"/>
      <c r="P255" s="2"/>
    </row>
    <row r="256" spans="1:16" x14ac:dyDescent="0.25">
      <c r="A256" s="103">
        <v>5004</v>
      </c>
      <c r="B256" s="38" t="str">
        <f>IF($A256=0,"",VLOOKUP($A256,'BASE MATERIAL'!$A:$D,2))</f>
        <v>ARENA</v>
      </c>
      <c r="C256" s="2"/>
      <c r="D256" s="77"/>
      <c r="E256" s="78" t="str">
        <f>IF($A256=0,"",VLOOKUP($A256,'BASE MATERIAL'!$A:$D,3))</f>
        <v>M3</v>
      </c>
      <c r="F256" s="55">
        <f>ROUND(F255*0.032*2,2)</f>
        <v>0.05</v>
      </c>
      <c r="G256" s="55">
        <f>IF($A256=0,"",VLOOKUP($A256,'BASE MATERIAL'!$A:$D,4))</f>
        <v>12.276249999999999</v>
      </c>
      <c r="H256" s="56">
        <f t="shared" si="24"/>
        <v>0.61</v>
      </c>
      <c r="I256" s="2"/>
      <c r="L256" s="2"/>
      <c r="M256" s="2"/>
      <c r="N256" s="39"/>
      <c r="O256" s="2"/>
      <c r="P256" s="2"/>
    </row>
    <row r="257" spans="1:16" x14ac:dyDescent="0.25">
      <c r="A257" s="103">
        <v>5002</v>
      </c>
      <c r="B257" s="38" t="str">
        <f>IF($A257=0,"",VLOOKUP($A257,'BASE MATERIAL'!$A:$D,2))</f>
        <v>PIEDRA 3-4</v>
      </c>
      <c r="C257" s="2"/>
      <c r="D257" s="77"/>
      <c r="E257" s="78" t="str">
        <f>IF($A257=0,"",VLOOKUP($A257,'BASE MATERIAL'!$A:$D,3))</f>
        <v>M3</v>
      </c>
      <c r="F257" s="55">
        <f>ROUND(F255*0.032*3,2)</f>
        <v>7.0000000000000007E-2</v>
      </c>
      <c r="G257" s="55">
        <f>IF($A257=0,"",VLOOKUP($A257,'BASE MATERIAL'!$A:$D,4))</f>
        <v>13.75</v>
      </c>
      <c r="H257" s="56">
        <f t="shared" si="24"/>
        <v>0.96</v>
      </c>
      <c r="I257" s="2"/>
      <c r="L257" s="2"/>
      <c r="M257" s="2"/>
      <c r="N257" s="39"/>
      <c r="O257" s="2"/>
      <c r="P257" s="2"/>
    </row>
    <row r="258" spans="1:16" x14ac:dyDescent="0.25">
      <c r="A258" s="103">
        <v>5005</v>
      </c>
      <c r="B258" s="38" t="str">
        <f>IF($A258=0,"",VLOOKUP($A258,'BASE MATERIAL'!$A:$D,2))</f>
        <v>AGUA</v>
      </c>
      <c r="C258" s="2"/>
      <c r="D258" s="77"/>
      <c r="E258" s="78" t="str">
        <f>IF($A258=0,"",VLOOKUP($A258,'BASE MATERIAL'!$A:$D,3))</f>
        <v>LT</v>
      </c>
      <c r="F258" s="55">
        <f>26*F255</f>
        <v>18.72</v>
      </c>
      <c r="G258" s="80">
        <f>IF($A258=0,"",VLOOKUP($A258,'BASE MATERIAL'!$A:$D,4))</f>
        <v>2E-3</v>
      </c>
      <c r="H258" s="56">
        <f t="shared" si="24"/>
        <v>0.04</v>
      </c>
      <c r="I258" s="2"/>
      <c r="L258" s="2"/>
      <c r="M258" s="2"/>
      <c r="N258" s="39"/>
      <c r="O258" s="2"/>
      <c r="P258" s="2"/>
    </row>
    <row r="259" spans="1:16" x14ac:dyDescent="0.25">
      <c r="B259" s="38" t="str">
        <f>IF($A259=0,"",VLOOKUP($A259,'BASE MATERIAL'!$A:$D,2))</f>
        <v/>
      </c>
      <c r="C259" s="2"/>
      <c r="D259" s="77"/>
      <c r="E259" s="78" t="str">
        <f>IF($A259=0,"",VLOOKUP($A259,'BASE MATERIAL'!$A:$D,3))</f>
        <v/>
      </c>
      <c r="F259" s="55"/>
      <c r="G259" s="55" t="str">
        <f>IF($A259=0,"",VLOOKUP($A259,'BASE MATERIAL'!$A:$D,4))</f>
        <v/>
      </c>
      <c r="H259" s="56" t="str">
        <f t="shared" si="24"/>
        <v/>
      </c>
      <c r="I259" s="2"/>
      <c r="L259" s="2"/>
      <c r="M259" s="2"/>
      <c r="N259" s="39"/>
      <c r="O259" s="2"/>
      <c r="P259" s="2"/>
    </row>
    <row r="260" spans="1:16" x14ac:dyDescent="0.25">
      <c r="B260" s="38" t="str">
        <f>IF($A260=0,"",VLOOKUP($A260,'BASE MATERIAL'!$A:$D,2))</f>
        <v/>
      </c>
      <c r="C260" s="2"/>
      <c r="D260" s="77"/>
      <c r="E260" s="78" t="str">
        <f>IF($A260=0,"",VLOOKUP($A260,'BASE MATERIAL'!$A:$D,3))</f>
        <v/>
      </c>
      <c r="F260" s="55"/>
      <c r="G260" s="55" t="str">
        <f>IF($A260=0,"",VLOOKUP($A260,'BASE MATERIAL'!$A:$D,4))</f>
        <v/>
      </c>
      <c r="H260" s="56" t="str">
        <f t="shared" si="24"/>
        <v/>
      </c>
      <c r="I260" s="2"/>
      <c r="L260" s="2"/>
      <c r="M260" s="2"/>
      <c r="N260" s="39"/>
      <c r="O260" s="2"/>
      <c r="P260" s="2"/>
    </row>
    <row r="261" spans="1:16" x14ac:dyDescent="0.25">
      <c r="B261" s="38" t="str">
        <f>IF($A261=0,"",VLOOKUP($A261,'BASE MATERIAL'!$A:$D,2))</f>
        <v/>
      </c>
      <c r="C261" s="2"/>
      <c r="D261" s="77"/>
      <c r="E261" s="78" t="str">
        <f>IF($A261=0,"",VLOOKUP($A261,'BASE MATERIAL'!$A:$D,3))</f>
        <v/>
      </c>
      <c r="F261" s="55"/>
      <c r="G261" s="55" t="str">
        <f>IF($A261=0,"",VLOOKUP($A261,'BASE MATERIAL'!$A:$D,4))</f>
        <v/>
      </c>
      <c r="H261" s="56" t="str">
        <f t="shared" si="24"/>
        <v/>
      </c>
      <c r="I261" s="2"/>
    </row>
    <row r="262" spans="1:16" x14ac:dyDescent="0.25">
      <c r="B262" s="38" t="str">
        <f>IF($A262=0,"",VLOOKUP($A262,'BASE MATERIAL'!$A:$D,2))</f>
        <v/>
      </c>
      <c r="C262" s="2"/>
      <c r="D262" s="77"/>
      <c r="E262" s="78" t="str">
        <f>IF($A262=0,"",VLOOKUP($A262,'BASE MATERIAL'!$A:$D,3))</f>
        <v/>
      </c>
      <c r="F262" s="55"/>
      <c r="G262" s="55" t="str">
        <f>IF($A262=0,"",VLOOKUP($A262,'BASE MATERIAL'!$A:$D,4))</f>
        <v/>
      </c>
      <c r="H262" s="56" t="str">
        <f t="shared" si="24"/>
        <v/>
      </c>
      <c r="I262" s="2"/>
      <c r="L262" s="2"/>
      <c r="M262" s="2"/>
      <c r="N262" s="39"/>
      <c r="O262" s="2"/>
      <c r="P262" s="2"/>
    </row>
    <row r="263" spans="1:16" x14ac:dyDescent="0.25">
      <c r="B263" s="38" t="str">
        <f>IF($A263=0,"",VLOOKUP($A263,'BASE MATERIAL'!$A:$D,2))</f>
        <v/>
      </c>
      <c r="C263" s="2"/>
      <c r="D263" s="77"/>
      <c r="E263" s="78" t="str">
        <f>IF($A263=0,"",VLOOKUP($A263,'BASE MATERIAL'!$A:$D,3))</f>
        <v/>
      </c>
      <c r="F263" s="55"/>
      <c r="G263" s="55" t="str">
        <f>IF($A263=0,"",VLOOKUP($A263,'BASE MATERIAL'!$A:$D,4))</f>
        <v/>
      </c>
      <c r="H263" s="56" t="str">
        <f t="shared" si="24"/>
        <v/>
      </c>
      <c r="I263" s="2"/>
      <c r="L263" s="2"/>
      <c r="M263" s="2"/>
      <c r="N263" s="39"/>
      <c r="O263" s="2"/>
      <c r="P263" s="2"/>
    </row>
    <row r="264" spans="1:16" x14ac:dyDescent="0.25">
      <c r="B264" s="38" t="str">
        <f>IF($A264=0,"",VLOOKUP($A264,'BASE MATERIAL'!$A:$D,2))</f>
        <v/>
      </c>
      <c r="C264" s="2"/>
      <c r="D264" s="77"/>
      <c r="E264" s="78" t="str">
        <f>IF($A264=0,"",VLOOKUP($A264,'BASE MATERIAL'!$A:$D,3))</f>
        <v/>
      </c>
      <c r="F264" s="55"/>
      <c r="G264" s="55" t="str">
        <f>IF($A264=0,"",VLOOKUP($A264,'BASE MATERIAL'!$A:$D,4))</f>
        <v/>
      </c>
      <c r="H264" s="56" t="str">
        <f t="shared" si="24"/>
        <v/>
      </c>
      <c r="I264" s="2"/>
    </row>
    <row r="265" spans="1:16" x14ac:dyDescent="0.25">
      <c r="B265" s="38" t="str">
        <f>IF($A265=0,"",VLOOKUP($A265,'BASE MATERIAL'!$A:$D,2))</f>
        <v/>
      </c>
      <c r="C265" s="2"/>
      <c r="D265" s="77"/>
      <c r="E265" s="78" t="str">
        <f>IF($A265=0,"",VLOOKUP($A265,'BASE MATERIAL'!$A:$D,3))</f>
        <v/>
      </c>
      <c r="F265" s="55"/>
      <c r="G265" s="55" t="str">
        <f>IF($A265=0,"",VLOOKUP($A265,'BASE MATERIAL'!$A:$D,4))</f>
        <v/>
      </c>
      <c r="H265" s="56" t="str">
        <f t="shared" si="24"/>
        <v/>
      </c>
      <c r="I265" s="2"/>
    </row>
    <row r="266" spans="1:16" x14ac:dyDescent="0.25">
      <c r="B266" s="38" t="str">
        <f>IF($A266=0,"",VLOOKUP($A266,'BASE MATERIAL'!$A:$D,2))</f>
        <v/>
      </c>
      <c r="C266" s="2"/>
      <c r="D266" s="77"/>
      <c r="E266" s="78" t="str">
        <f>IF($A266=0,"",VLOOKUP($A266,'BASE MATERIAL'!$A:$D,3))</f>
        <v/>
      </c>
      <c r="F266" s="55"/>
      <c r="G266" s="55" t="str">
        <f>IF($A266=0,"",VLOOKUP($A266,'BASE MATERIAL'!$A:$D,4))</f>
        <v/>
      </c>
      <c r="H266" s="56" t="str">
        <f t="shared" si="24"/>
        <v/>
      </c>
      <c r="I266" s="2"/>
    </row>
    <row r="267" spans="1:16" x14ac:dyDescent="0.25">
      <c r="B267" s="38" t="str">
        <f>IF($A267=0,"",VLOOKUP($A267,'BASE MATERIAL'!$A:$D,2))</f>
        <v/>
      </c>
      <c r="C267" s="2"/>
      <c r="D267" s="77"/>
      <c r="E267" s="78" t="str">
        <f>IF($A267=0,"",VLOOKUP($A267,'BASE MATERIAL'!$A:$D,3))</f>
        <v/>
      </c>
      <c r="F267" s="55"/>
      <c r="G267" s="55" t="str">
        <f>IF($A267=0,"",VLOOKUP($A267,'BASE MATERIAL'!$A:$D,4))</f>
        <v/>
      </c>
      <c r="H267" s="56" t="str">
        <f t="shared" si="24"/>
        <v/>
      </c>
      <c r="I267" s="2"/>
    </row>
    <row r="268" spans="1:16" x14ac:dyDescent="0.25">
      <c r="B268" s="38" t="str">
        <f>IF($A268=0,"",VLOOKUP($A268,'BASE MATERIAL'!$A:$D,2))</f>
        <v/>
      </c>
      <c r="C268" s="2"/>
      <c r="D268" s="81" t="s">
        <v>1682</v>
      </c>
      <c r="E268" s="55" t="str">
        <f>IF($A268=0,"",VLOOKUP($A268,'BASE MATERIAL'!$A:$D,3))</f>
        <v/>
      </c>
      <c r="F268" s="55" t="s">
        <v>1682</v>
      </c>
      <c r="G268" s="55" t="str">
        <f>IF($A268=0,"",VLOOKUP($A268,'BASE MATERIAL'!$A:$D,4))</f>
        <v/>
      </c>
      <c r="H268" s="56" t="str">
        <f>IF($A268=0,"",ROUND(E268*F268,2))</f>
        <v/>
      </c>
      <c r="I268" s="2"/>
    </row>
    <row r="269" spans="1:16" x14ac:dyDescent="0.25">
      <c r="B269" s="73" t="s">
        <v>1681</v>
      </c>
      <c r="C269" s="65"/>
      <c r="D269" s="74"/>
      <c r="E269" s="74"/>
      <c r="F269" s="74"/>
      <c r="G269" s="74"/>
      <c r="H269" s="75">
        <f>ROUND(SUM(H252:H268),2)</f>
        <v>6.93</v>
      </c>
      <c r="I269" s="2"/>
    </row>
    <row r="270" spans="1:16" x14ac:dyDescent="0.25">
      <c r="B270" s="38" t="s">
        <v>1680</v>
      </c>
      <c r="C270" s="2"/>
      <c r="D270" s="3"/>
      <c r="E270" s="3"/>
      <c r="F270" s="3"/>
      <c r="G270" s="3"/>
      <c r="H270" s="56"/>
      <c r="I270" s="2"/>
    </row>
    <row r="271" spans="1:16" ht="25.5" x14ac:dyDescent="0.25">
      <c r="B271" s="64" t="s">
        <v>1409</v>
      </c>
      <c r="C271" s="65"/>
      <c r="D271" s="76"/>
      <c r="E271" s="66" t="s">
        <v>1408</v>
      </c>
      <c r="F271" s="66" t="s">
        <v>1679</v>
      </c>
      <c r="G271" s="66" t="s">
        <v>1676</v>
      </c>
      <c r="H271" s="68" t="s">
        <v>1675</v>
      </c>
      <c r="I271" s="2"/>
    </row>
    <row r="272" spans="1:16" x14ac:dyDescent="0.25">
      <c r="A272" s="103">
        <v>19019</v>
      </c>
      <c r="B272" s="51" t="str">
        <f>IF($A272=0,"",VLOOKUP($A272,'BASE EQUIPO'!$A:$D,2))</f>
        <v>TRANSPORTE DE MATERIAL</v>
      </c>
      <c r="C272" s="52"/>
      <c r="D272" s="82"/>
      <c r="E272" s="78" t="str">
        <f>IF($A272=0,"",VLOOKUP($A272,'BASE EQUIPO'!$A:$D,3))</f>
        <v>GLOBAL</v>
      </c>
      <c r="F272" s="55">
        <v>1</v>
      </c>
      <c r="G272" s="83">
        <f>IF($A272=0,"",VLOOKUP($A272,'BASE EQUIPO'!$A:$D,4)*H269)</f>
        <v>0.20789999999999997</v>
      </c>
      <c r="H272" s="56">
        <f>IF($A272=0,"",ROUND(F272*G272,2))</f>
        <v>0.21</v>
      </c>
      <c r="I272" s="2"/>
    </row>
    <row r="273" spans="1:15" x14ac:dyDescent="0.25">
      <c r="B273" s="38" t="str">
        <f>IF($A273=0,"",VLOOKUP($A273,'BASE EQUIPO'!$A:$D,2))</f>
        <v/>
      </c>
      <c r="C273" s="2"/>
      <c r="D273" s="84"/>
      <c r="E273" s="78" t="str">
        <f>IF($A273=0,"",VLOOKUP($A273,'BASE EQUIPO'!$A:$D,3))</f>
        <v/>
      </c>
      <c r="F273" s="55"/>
      <c r="G273" s="55" t="str">
        <f>IF($A273=0,"",VLOOKUP($A273,'BASE EQUIPO'!$A:$D,4)*H270)</f>
        <v/>
      </c>
      <c r="H273" s="56" t="str">
        <f>IF($A273=0,"",ROUND(F273*G273,2))</f>
        <v/>
      </c>
      <c r="I273" s="2"/>
    </row>
    <row r="274" spans="1:15" x14ac:dyDescent="0.25">
      <c r="B274" s="57" t="str">
        <f>IF($A274=0,"",VLOOKUP($A274,'BASE EQUIPO'!$A:$D,2))</f>
        <v/>
      </c>
      <c r="C274" s="58"/>
      <c r="D274" s="85"/>
      <c r="E274" s="86" t="str">
        <f>IF($A274=0,"",VLOOKUP($A274,'BASE EQUIPO'!$A:$D,3))</f>
        <v/>
      </c>
      <c r="F274" s="59"/>
      <c r="G274" s="59" t="str">
        <f>IF($A274=0,"",VLOOKUP($A274,'BASE EQUIPO'!$A:$D,4)*H271)</f>
        <v/>
      </c>
      <c r="H274" s="60" t="str">
        <f>IF($A274=0,"",ROUND(F274*G274,2))</f>
        <v/>
      </c>
      <c r="I274" s="2"/>
    </row>
    <row r="275" spans="1:15" ht="15.75" thickBot="1" x14ac:dyDescent="0.3">
      <c r="B275" s="87" t="s">
        <v>1674</v>
      </c>
      <c r="C275" s="88"/>
      <c r="D275" s="89"/>
      <c r="E275" s="89"/>
      <c r="F275" s="89"/>
      <c r="G275" s="89"/>
      <c r="H275" s="90">
        <f>ROUND(SUM(H271:H274),2)</f>
        <v>0.21</v>
      </c>
      <c r="I275" s="2"/>
    </row>
    <row r="276" spans="1:15" ht="15.75" x14ac:dyDescent="0.25">
      <c r="B276" s="2"/>
      <c r="C276" s="2"/>
      <c r="D276" s="91" t="s">
        <v>1673</v>
      </c>
      <c r="E276" s="47"/>
      <c r="F276" s="47"/>
      <c r="G276" s="47"/>
      <c r="H276" s="92">
        <f>ROUND(SUM(H275,H269,H250,H240),2)</f>
        <v>9.98</v>
      </c>
      <c r="I276" s="2"/>
    </row>
    <row r="277" spans="1:15" ht="15.75" x14ac:dyDescent="0.25">
      <c r="A277" s="103">
        <v>40002</v>
      </c>
      <c r="B277" s="2"/>
      <c r="C277" s="2"/>
      <c r="D277" s="93" t="s">
        <v>1672</v>
      </c>
      <c r="E277" s="65"/>
      <c r="F277" s="65"/>
      <c r="G277" s="94">
        <f>IF($A277=0,"",VLOOKUP($A277,'BASE MATERIAL'!$M:$P,4))</f>
        <v>0</v>
      </c>
      <c r="H277" s="95">
        <f>IF($A277=0,"",ROUND(G277*H276,2))</f>
        <v>0</v>
      </c>
      <c r="I277" s="2"/>
    </row>
    <row r="278" spans="1:15" ht="15.75" x14ac:dyDescent="0.25">
      <c r="A278" s="103">
        <v>40003</v>
      </c>
      <c r="B278" s="2"/>
      <c r="C278" s="2"/>
      <c r="D278" s="93" t="s">
        <v>1671</v>
      </c>
      <c r="E278" s="65"/>
      <c r="F278" s="65"/>
      <c r="G278" s="94">
        <f>IF($A278=0,"",VLOOKUP($A278,'BASE MATERIAL'!$M:$P,4))</f>
        <v>0</v>
      </c>
      <c r="H278" s="95">
        <f>IF($A278=0,"",ROUND(G278*H276,2))</f>
        <v>0</v>
      </c>
      <c r="I278" s="2"/>
    </row>
    <row r="279" spans="1:15" ht="15.75" x14ac:dyDescent="0.25">
      <c r="B279" s="2"/>
      <c r="C279" s="2"/>
      <c r="D279" s="93" t="s">
        <v>1670</v>
      </c>
      <c r="E279" s="65"/>
      <c r="F279" s="65"/>
      <c r="G279" s="65"/>
      <c r="H279" s="96">
        <f>ROUND(SUM(H276:H278),2)</f>
        <v>9.98</v>
      </c>
      <c r="I279" s="2"/>
    </row>
    <row r="280" spans="1:15" ht="16.5" thickBot="1" x14ac:dyDescent="0.3">
      <c r="B280" s="25"/>
      <c r="C280" s="2"/>
      <c r="D280" s="97" t="s">
        <v>1650</v>
      </c>
      <c r="E280" s="88"/>
      <c r="F280" s="88"/>
      <c r="G280" s="88"/>
      <c r="H280" s="98">
        <f>ROUND(H279,2)</f>
        <v>9.98</v>
      </c>
      <c r="I280" s="2"/>
    </row>
    <row r="281" spans="1:15" ht="15.75" x14ac:dyDescent="0.25">
      <c r="B281" s="34" t="s">
        <v>1701</v>
      </c>
      <c r="C281" s="2"/>
      <c r="D281" s="3" t="str">
        <f>$D$1</f>
        <v>ESPOL</v>
      </c>
      <c r="E281" s="2"/>
      <c r="F281" s="2"/>
      <c r="H281" s="2" t="s">
        <v>108</v>
      </c>
      <c r="I281" s="2"/>
      <c r="L281" s="40">
        <f>A285</f>
        <v>5</v>
      </c>
      <c r="M281" s="1" t="str">
        <f>C286</f>
        <v>Pavimento exterior  de hormigón simple e= 20cm</v>
      </c>
      <c r="N281" s="2" t="str">
        <f>H285</f>
        <v>m2</v>
      </c>
      <c r="O281" s="2">
        <f>H336</f>
        <v>20.14</v>
      </c>
    </row>
    <row r="282" spans="1:15" ht="15.75" x14ac:dyDescent="0.25">
      <c r="B282" s="34" t="s">
        <v>1700</v>
      </c>
      <c r="C282" s="3">
        <f>'1.1'!$C$2</f>
        <v>0</v>
      </c>
      <c r="D282" s="2"/>
      <c r="E282" s="2"/>
      <c r="F282" s="2"/>
      <c r="G282" s="41" t="s">
        <v>1699</v>
      </c>
      <c r="H282" s="42"/>
      <c r="I282" s="2" t="s">
        <v>1698</v>
      </c>
    </row>
    <row r="283" spans="1:15" ht="15.75" x14ac:dyDescent="0.25">
      <c r="B283" s="34"/>
      <c r="C283" s="3">
        <f>'1.1'!$C$3</f>
        <v>0</v>
      </c>
      <c r="D283" s="2"/>
      <c r="E283" s="2"/>
      <c r="F283" s="2"/>
      <c r="G283" s="2"/>
      <c r="H283" s="2"/>
      <c r="I283" s="2"/>
    </row>
    <row r="284" spans="1:15" ht="15.75" x14ac:dyDescent="0.25">
      <c r="B284" s="34" t="s">
        <v>1697</v>
      </c>
      <c r="C284" s="3"/>
      <c r="D284" s="2"/>
      <c r="E284" s="2"/>
      <c r="F284" s="2"/>
      <c r="G284" s="2"/>
      <c r="H284" s="2"/>
      <c r="I284" s="2"/>
    </row>
    <row r="285" spans="1:15" x14ac:dyDescent="0.25">
      <c r="A285" s="104">
        <f>+A173+1</f>
        <v>5</v>
      </c>
      <c r="B285" s="2" t="s">
        <v>1586</v>
      </c>
      <c r="C285" s="36" t="s">
        <v>690</v>
      </c>
      <c r="D285" s="2"/>
      <c r="G285" s="2" t="s">
        <v>1696</v>
      </c>
      <c r="H285" s="3" t="s">
        <v>1520</v>
      </c>
      <c r="I285" s="2"/>
    </row>
    <row r="286" spans="1:15" x14ac:dyDescent="0.25">
      <c r="B286" s="1" t="s">
        <v>1585</v>
      </c>
      <c r="C286" s="36" t="s">
        <v>1432</v>
      </c>
      <c r="D286" s="2"/>
      <c r="E286" s="2"/>
      <c r="F286" s="2"/>
      <c r="G286" s="2"/>
      <c r="H286" s="2"/>
      <c r="I286" s="2"/>
    </row>
    <row r="287" spans="1:15" ht="15.75" thickBot="1" x14ac:dyDescent="0.3">
      <c r="D287" s="2"/>
      <c r="E287" s="2"/>
      <c r="F287" s="2"/>
      <c r="G287" s="2"/>
      <c r="H287" s="2"/>
      <c r="I287" s="2"/>
    </row>
    <row r="288" spans="1:15" ht="15.75" thickBot="1" x14ac:dyDescent="0.3">
      <c r="B288" s="43" t="s">
        <v>1695</v>
      </c>
      <c r="C288" s="44"/>
      <c r="D288" s="44"/>
      <c r="E288" s="44"/>
      <c r="F288" s="44"/>
      <c r="G288" s="44"/>
      <c r="H288" s="45"/>
      <c r="I288" s="2"/>
    </row>
    <row r="289" spans="1:9" ht="25.5" x14ac:dyDescent="0.25">
      <c r="B289" s="46" t="s">
        <v>1409</v>
      </c>
      <c r="C289" s="47"/>
      <c r="D289" s="48" t="s">
        <v>1690</v>
      </c>
      <c r="E289" s="48" t="s">
        <v>1694</v>
      </c>
      <c r="F289" s="48" t="s">
        <v>1693</v>
      </c>
      <c r="G289" s="49" t="s">
        <v>1687</v>
      </c>
      <c r="H289" s="50" t="s">
        <v>1686</v>
      </c>
      <c r="I289" s="2"/>
    </row>
    <row r="290" spans="1:9" x14ac:dyDescent="0.25">
      <c r="A290" s="103">
        <v>19015</v>
      </c>
      <c r="B290" s="51" t="str">
        <f>IF($A290=0,"",VLOOKUP($A290,'BASE EQUIPO'!$A:$D,2))</f>
        <v>HERRAMIENTA MENOR</v>
      </c>
      <c r="C290" s="52"/>
      <c r="D290" s="53">
        <v>1</v>
      </c>
      <c r="E290" s="53">
        <f>IF($A290=0,"",VLOOKUP($A290,'BASE EQUIPO'!$A:$D,4)*H306)</f>
        <v>0.159</v>
      </c>
      <c r="F290" s="53">
        <f t="shared" ref="F290:F295" si="25">IF($A290=0,"",ROUND(D290*E290,2))</f>
        <v>0.16</v>
      </c>
      <c r="G290" s="105">
        <v>1</v>
      </c>
      <c r="H290" s="54">
        <f t="shared" ref="H290:H295" si="26">IF($A290=0,"",ROUND(G290*F290,2))</f>
        <v>0.16</v>
      </c>
      <c r="I290" s="2"/>
    </row>
    <row r="291" spans="1:9" x14ac:dyDescent="0.25">
      <c r="A291" s="103">
        <v>19003</v>
      </c>
      <c r="B291" s="38" t="str">
        <f>IF($A291=0,"",VLOOKUP($A291,'BASE EQUIPO'!$A:$D,2))</f>
        <v>CONCRETERA</v>
      </c>
      <c r="C291" s="2"/>
      <c r="D291" s="55">
        <v>1</v>
      </c>
      <c r="E291" s="55">
        <f>IF($A291=0,"",VLOOKUP($A291,'BASE EQUIPO'!$A:$D,4))</f>
        <v>3.5</v>
      </c>
      <c r="F291" s="55">
        <f t="shared" si="25"/>
        <v>3.5</v>
      </c>
      <c r="G291" s="106">
        <f>+G300*0.5</f>
        <v>7.0000000000000007E-2</v>
      </c>
      <c r="H291" s="56">
        <f t="shared" si="26"/>
        <v>0.25</v>
      </c>
      <c r="I291" s="2"/>
    </row>
    <row r="292" spans="1:9" x14ac:dyDescent="0.25">
      <c r="B292" s="38" t="str">
        <f>IF($A292=0,"",VLOOKUP($A292,'BASE EQUIPO'!$A:$D,2))</f>
        <v/>
      </c>
      <c r="C292" s="2"/>
      <c r="D292" s="55"/>
      <c r="E292" s="55" t="str">
        <f>IF($A292=0,"",VLOOKUP($A292,'BASE EQUIPO'!$A:$D,4))</f>
        <v/>
      </c>
      <c r="F292" s="55" t="str">
        <f t="shared" si="25"/>
        <v/>
      </c>
      <c r="G292" s="106"/>
      <c r="H292" s="56" t="str">
        <f t="shared" si="26"/>
        <v/>
      </c>
      <c r="I292" s="2"/>
    </row>
    <row r="293" spans="1:9" x14ac:dyDescent="0.25">
      <c r="B293" s="38" t="str">
        <f>IF($A293=0,"",VLOOKUP($A293,'BASE EQUIPO'!$A:$D,2))</f>
        <v/>
      </c>
      <c r="C293" s="2"/>
      <c r="D293" s="55"/>
      <c r="E293" s="55" t="str">
        <f>IF($A293=0,"",VLOOKUP($A293,'BASE EQUIPO'!$A:$D,4))</f>
        <v/>
      </c>
      <c r="F293" s="55" t="str">
        <f t="shared" si="25"/>
        <v/>
      </c>
      <c r="G293" s="106"/>
      <c r="H293" s="56" t="str">
        <f t="shared" si="26"/>
        <v/>
      </c>
      <c r="I293" s="2"/>
    </row>
    <row r="294" spans="1:9" x14ac:dyDescent="0.25">
      <c r="B294" s="38" t="str">
        <f>IF($A294=0,"",VLOOKUP($A294,'BASE EQUIPO'!$A:$D,2))</f>
        <v/>
      </c>
      <c r="C294" s="2"/>
      <c r="D294" s="55"/>
      <c r="E294" s="55" t="str">
        <f>IF($A294=0,"",VLOOKUP($A294,'BASE EQUIPO'!$A:$D,4))</f>
        <v/>
      </c>
      <c r="F294" s="55" t="str">
        <f t="shared" si="25"/>
        <v/>
      </c>
      <c r="G294" s="106"/>
      <c r="H294" s="56" t="str">
        <f t="shared" si="26"/>
        <v/>
      </c>
      <c r="I294" s="2"/>
    </row>
    <row r="295" spans="1:9" x14ac:dyDescent="0.25">
      <c r="B295" s="57" t="str">
        <f>IF($A295=0,"",VLOOKUP($A295,'BASE EQUIPO'!$A:$D,2))</f>
        <v/>
      </c>
      <c r="C295" s="58"/>
      <c r="D295" s="59"/>
      <c r="E295" s="59" t="str">
        <f>IF($A295=0,"",VLOOKUP($A295,'BASE EQUIPO'!$A:$D,4))</f>
        <v/>
      </c>
      <c r="F295" s="59" t="str">
        <f t="shared" si="25"/>
        <v/>
      </c>
      <c r="G295" s="107"/>
      <c r="H295" s="60" t="str">
        <f t="shared" si="26"/>
        <v/>
      </c>
      <c r="I295" s="2"/>
    </row>
    <row r="296" spans="1:9" x14ac:dyDescent="0.25">
      <c r="B296" s="57" t="s">
        <v>1692</v>
      </c>
      <c r="C296" s="58"/>
      <c r="D296" s="61"/>
      <c r="E296" s="61"/>
      <c r="F296" s="61"/>
      <c r="G296" s="62"/>
      <c r="H296" s="60">
        <f>ROUND(SUM(H289:H295),2)</f>
        <v>0.41</v>
      </c>
      <c r="I296" s="2"/>
    </row>
    <row r="297" spans="1:9" x14ac:dyDescent="0.25">
      <c r="B297" s="38" t="s">
        <v>1503</v>
      </c>
      <c r="C297" s="2"/>
      <c r="D297" s="3"/>
      <c r="E297" s="3"/>
      <c r="F297" s="3"/>
      <c r="G297" s="63"/>
      <c r="H297" s="56"/>
      <c r="I297" s="2"/>
    </row>
    <row r="298" spans="1:9" ht="25.5" x14ac:dyDescent="0.25">
      <c r="B298" s="64" t="s">
        <v>1691</v>
      </c>
      <c r="C298" s="65"/>
      <c r="D298" s="66" t="s">
        <v>1690</v>
      </c>
      <c r="E298" s="66" t="s">
        <v>1689</v>
      </c>
      <c r="F298" s="66" t="s">
        <v>1688</v>
      </c>
      <c r="G298" s="67" t="s">
        <v>1687</v>
      </c>
      <c r="H298" s="68" t="s">
        <v>1686</v>
      </c>
      <c r="I298" s="2"/>
    </row>
    <row r="299" spans="1:9" x14ac:dyDescent="0.25">
      <c r="A299" s="103">
        <v>20001</v>
      </c>
      <c r="B299" s="69" t="str">
        <f>IF($A299=0,"",VLOOKUP($A299,'BASE M-OBRA'!$A:$D,2))</f>
        <v>MAESTRO</v>
      </c>
      <c r="C299" s="2"/>
      <c r="D299" s="108">
        <v>1</v>
      </c>
      <c r="E299" s="70">
        <f>IF($A299=0,"",VLOOKUP($A299,'BASE M-OBRA'!$A:$D,4))</f>
        <v>3.02</v>
      </c>
      <c r="F299" s="55">
        <f t="shared" ref="F299:F305" si="27">IF($A299=0,"",ROUND(D299*E299,2))</f>
        <v>3.02</v>
      </c>
      <c r="G299" s="106">
        <f>IF($A299=0,"",ROUND(H299/F299,2))</f>
        <v>0.28999999999999998</v>
      </c>
      <c r="H299" s="56">
        <f>IF($A299=0,"",ROUND(SUM(H300:H305)*'BASE M-OBRA'!$D$23,2))</f>
        <v>0.88</v>
      </c>
      <c r="I299" s="2"/>
    </row>
    <row r="300" spans="1:9" x14ac:dyDescent="0.25">
      <c r="A300" s="103">
        <v>20002</v>
      </c>
      <c r="B300" s="69" t="str">
        <f>IF($A300=0,"",VLOOKUP($A300,'BASE M-OBRA'!$A:$D,2))</f>
        <v>PEON</v>
      </c>
      <c r="C300" s="2"/>
      <c r="D300" s="108">
        <v>8</v>
      </c>
      <c r="E300" s="70">
        <f>IF($A300=0,"",VLOOKUP($A300,'BASE M-OBRA'!$A:$D,4))</f>
        <v>2.79</v>
      </c>
      <c r="F300" s="55">
        <f t="shared" si="27"/>
        <v>22.32</v>
      </c>
      <c r="G300" s="106">
        <v>0.14000000000000001</v>
      </c>
      <c r="H300" s="56">
        <f t="shared" ref="H300:H305" si="28">IF($A300=0,"",ROUND(G300*F300,2))</f>
        <v>3.12</v>
      </c>
      <c r="I300" s="2"/>
    </row>
    <row r="301" spans="1:9" x14ac:dyDescent="0.25">
      <c r="A301" s="103">
        <v>20003</v>
      </c>
      <c r="B301" s="69" t="str">
        <f>IF($A301=0,"",VLOOKUP($A301,'BASE M-OBRA'!$A:$D,2))</f>
        <v>ALBAÑIL</v>
      </c>
      <c r="C301" s="2"/>
      <c r="D301" s="108">
        <v>2</v>
      </c>
      <c r="E301" s="70">
        <f>IF($A301=0,"",VLOOKUP($A301,'BASE M-OBRA'!$A:$D,4))</f>
        <v>2.82</v>
      </c>
      <c r="F301" s="55">
        <f t="shared" si="27"/>
        <v>5.64</v>
      </c>
      <c r="G301" s="106">
        <f>+G300</f>
        <v>0.14000000000000001</v>
      </c>
      <c r="H301" s="56">
        <f t="shared" si="28"/>
        <v>0.79</v>
      </c>
      <c r="I301" s="2"/>
    </row>
    <row r="302" spans="1:9" x14ac:dyDescent="0.25">
      <c r="A302" s="103">
        <v>20004</v>
      </c>
      <c r="B302" s="71" t="str">
        <f>IF($A302=0,"",VLOOKUP($A302,'BASE M-OBRA'!$A:$D,2))</f>
        <v>CARPINTERO</v>
      </c>
      <c r="C302" s="2"/>
      <c r="D302" s="108">
        <v>2</v>
      </c>
      <c r="E302" s="70">
        <f>IF($A302=0,"",VLOOKUP($A302,'BASE M-OBRA'!$A:$D,4))</f>
        <v>2.82</v>
      </c>
      <c r="F302" s="55">
        <f t="shared" si="27"/>
        <v>5.64</v>
      </c>
      <c r="G302" s="106">
        <v>0.09</v>
      </c>
      <c r="H302" s="56">
        <f t="shared" si="28"/>
        <v>0.51</v>
      </c>
      <c r="I302" s="2"/>
    </row>
    <row r="303" spans="1:9" x14ac:dyDescent="0.25">
      <c r="B303" s="72" t="str">
        <f>IF($A303=0,"",VLOOKUP($A303,'BASE M-OBRA'!$A:$D,2))</f>
        <v/>
      </c>
      <c r="C303" s="2"/>
      <c r="D303" s="108"/>
      <c r="E303" s="70" t="str">
        <f>IF($A303=0,"",VLOOKUP($A303,'BASE M-OBRA'!$A:$D,4))</f>
        <v/>
      </c>
      <c r="F303" s="55" t="str">
        <f t="shared" si="27"/>
        <v/>
      </c>
      <c r="G303" s="106"/>
      <c r="H303" s="56" t="str">
        <f t="shared" si="28"/>
        <v/>
      </c>
      <c r="I303" s="2"/>
    </row>
    <row r="304" spans="1:9" x14ac:dyDescent="0.25">
      <c r="B304" s="38" t="str">
        <f>IF($A304=0,"",VLOOKUP($A304,'BASE M-OBRA'!$A:$D,2))</f>
        <v/>
      </c>
      <c r="C304" s="2"/>
      <c r="D304" s="55"/>
      <c r="E304" s="55" t="str">
        <f>IF($A304=0,"",VLOOKUP($A304,'BASE M-OBRA'!$A:$D,4))</f>
        <v/>
      </c>
      <c r="F304" s="55" t="str">
        <f t="shared" si="27"/>
        <v/>
      </c>
      <c r="G304" s="106"/>
      <c r="H304" s="56" t="str">
        <f t="shared" si="28"/>
        <v/>
      </c>
      <c r="I304" s="2"/>
    </row>
    <row r="305" spans="1:16" x14ac:dyDescent="0.25">
      <c r="B305" s="57" t="str">
        <f>IF($A305=0,"",VLOOKUP($A305,'BASE M-OBRA'!$A:$D,2))</f>
        <v/>
      </c>
      <c r="C305" s="58"/>
      <c r="D305" s="59"/>
      <c r="E305" s="59" t="str">
        <f>IF($A305=0,"",VLOOKUP($A305,'BASE M-OBRA'!$A:$D,4))</f>
        <v/>
      </c>
      <c r="F305" s="59" t="str">
        <f t="shared" si="27"/>
        <v/>
      </c>
      <c r="G305" s="107"/>
      <c r="H305" s="60" t="str">
        <f t="shared" si="28"/>
        <v/>
      </c>
      <c r="I305" s="2"/>
    </row>
    <row r="306" spans="1:16" x14ac:dyDescent="0.25">
      <c r="B306" s="73" t="s">
        <v>1685</v>
      </c>
      <c r="C306" s="65"/>
      <c r="D306" s="74"/>
      <c r="E306" s="74"/>
      <c r="F306" s="74"/>
      <c r="G306" s="74"/>
      <c r="H306" s="75">
        <f>ROUND(SUM(H298:H305),2)</f>
        <v>5.3</v>
      </c>
      <c r="I306" s="2"/>
    </row>
    <row r="307" spans="1:16" x14ac:dyDescent="0.25">
      <c r="B307" s="38" t="s">
        <v>1684</v>
      </c>
      <c r="C307" s="2"/>
      <c r="D307" s="3"/>
      <c r="E307" s="3"/>
      <c r="F307" s="3"/>
      <c r="G307" s="3"/>
      <c r="H307" s="56"/>
      <c r="I307" s="2"/>
    </row>
    <row r="308" spans="1:16" ht="25.5" x14ac:dyDescent="0.25">
      <c r="B308" s="64" t="s">
        <v>1409</v>
      </c>
      <c r="C308" s="65"/>
      <c r="D308" s="76"/>
      <c r="E308" s="66" t="s">
        <v>1408</v>
      </c>
      <c r="F308" s="66" t="s">
        <v>1679</v>
      </c>
      <c r="G308" s="66" t="s">
        <v>1683</v>
      </c>
      <c r="H308" s="68" t="s">
        <v>1675</v>
      </c>
      <c r="I308" s="2"/>
    </row>
    <row r="309" spans="1:16" x14ac:dyDescent="0.25">
      <c r="A309" s="103">
        <v>11008</v>
      </c>
      <c r="B309" s="37" t="str">
        <f>IF($A309=0,"",VLOOKUP($A309,'BASE MATERIAL'!$A:$D,2))</f>
        <v>TABLA</v>
      </c>
      <c r="C309" s="2"/>
      <c r="D309" s="77"/>
      <c r="E309" s="78" t="str">
        <f>IF($A309=0,"",VLOOKUP($A309,'BASE MATERIAL'!$A:$D,3))</f>
        <v>U</v>
      </c>
      <c r="F309" s="55">
        <f>ROUND(0.2*5/(4*3),2)</f>
        <v>0.08</v>
      </c>
      <c r="G309" s="55">
        <f>IF($A309=0,"",VLOOKUP($A309,'BASE MATERIAL'!$A:$D,4))</f>
        <v>3.5</v>
      </c>
      <c r="H309" s="56">
        <f t="shared" ref="H309:H323" si="29">IF($A309=0,"",ROUND(F309*G309,2))</f>
        <v>0.28000000000000003</v>
      </c>
      <c r="I309" s="2"/>
      <c r="L309" s="2"/>
      <c r="M309" s="2"/>
      <c r="N309" s="39"/>
      <c r="O309" s="2"/>
      <c r="P309" s="2"/>
    </row>
    <row r="310" spans="1:16" x14ac:dyDescent="0.25">
      <c r="A310" s="103">
        <v>11009</v>
      </c>
      <c r="B310" s="38" t="str">
        <f>IF($A310=0,"",VLOOKUP($A310,'BASE MATERIAL'!$A:$D,2))</f>
        <v>CUARTON</v>
      </c>
      <c r="C310" s="2"/>
      <c r="D310" s="77"/>
      <c r="E310" s="78" t="str">
        <f>IF($A310=0,"",VLOOKUP($A310,'BASE MATERIAL'!$A:$D,3))</f>
        <v>U</v>
      </c>
      <c r="F310" s="55">
        <f>ROUND(0.2*8/(4*3),2)</f>
        <v>0.13</v>
      </c>
      <c r="G310" s="55">
        <f>IF($A310=0,"",VLOOKUP($A310,'BASE MATERIAL'!$A:$D,4))</f>
        <v>2.42</v>
      </c>
      <c r="H310" s="56">
        <f t="shared" si="29"/>
        <v>0.31</v>
      </c>
      <c r="I310" s="2"/>
      <c r="L310" s="2"/>
      <c r="M310" s="2"/>
      <c r="N310" s="39"/>
      <c r="O310" s="2"/>
      <c r="P310" s="2"/>
    </row>
    <row r="311" spans="1:16" x14ac:dyDescent="0.25">
      <c r="A311" s="103">
        <v>11007</v>
      </c>
      <c r="B311" s="38" t="str">
        <f>IF($A311=0,"",VLOOKUP($A311,'BASE MATERIAL'!$A:$D,2))</f>
        <v>CLAVO 2 1/2"</v>
      </c>
      <c r="C311" s="2"/>
      <c r="D311" s="77"/>
      <c r="E311" s="78" t="str">
        <f>IF($A311=0,"",VLOOKUP($A311,'BASE MATERIAL'!$A:$D,3))</f>
        <v>KG</v>
      </c>
      <c r="F311" s="55">
        <f>ROUND(0.2*56/(178*1.5),2)</f>
        <v>0.04</v>
      </c>
      <c r="G311" s="55">
        <f>IF($A311=0,"",VLOOKUP($A311,'BASE MATERIAL'!$A:$D,4))</f>
        <v>2.6520000000000001</v>
      </c>
      <c r="H311" s="56">
        <f t="shared" si="29"/>
        <v>0.11</v>
      </c>
      <c r="I311" s="2"/>
      <c r="L311" s="2"/>
      <c r="M311" s="2"/>
      <c r="N311" s="39"/>
      <c r="O311" s="2"/>
      <c r="P311" s="2"/>
    </row>
    <row r="312" spans="1:16" x14ac:dyDescent="0.25">
      <c r="A312" s="103">
        <v>4001</v>
      </c>
      <c r="B312" s="38" t="str">
        <f>IF($A312=0,"",VLOOKUP($A312,'BASE MATERIAL'!$A:$D,2))</f>
        <v>CEMENTO</v>
      </c>
      <c r="C312" s="2"/>
      <c r="D312" s="77"/>
      <c r="E312" s="78" t="str">
        <f>IF($A312=0,"",VLOOKUP($A312,'BASE MATERIAL'!$A:$D,3))</f>
        <v>SACO</v>
      </c>
      <c r="F312" s="55">
        <f>ROUND(7*1.03*0.2,2)</f>
        <v>1.44</v>
      </c>
      <c r="G312" s="55">
        <f>IF($A312=0,"",VLOOKUP($A312,'BASE MATERIAL'!$A:$D,4))</f>
        <v>7.09</v>
      </c>
      <c r="H312" s="56">
        <f t="shared" si="29"/>
        <v>10.210000000000001</v>
      </c>
      <c r="I312" s="2"/>
      <c r="L312" s="2"/>
      <c r="M312" s="2"/>
      <c r="N312" s="39"/>
      <c r="O312" s="2"/>
      <c r="P312" s="2"/>
    </row>
    <row r="313" spans="1:16" x14ac:dyDescent="0.25">
      <c r="A313" s="103">
        <v>5004</v>
      </c>
      <c r="B313" s="38" t="str">
        <f>IF($A313=0,"",VLOOKUP($A313,'BASE MATERIAL'!$A:$D,2))</f>
        <v>ARENA</v>
      </c>
      <c r="C313" s="2"/>
      <c r="D313" s="77"/>
      <c r="E313" s="78" t="str">
        <f>IF($A313=0,"",VLOOKUP($A313,'BASE MATERIAL'!$A:$D,3))</f>
        <v>M3</v>
      </c>
      <c r="F313" s="55">
        <f>ROUND(F312*0.032*2,2)</f>
        <v>0.09</v>
      </c>
      <c r="G313" s="55">
        <f>IF($A313=0,"",VLOOKUP($A313,'BASE MATERIAL'!$A:$D,4))</f>
        <v>12.276249999999999</v>
      </c>
      <c r="H313" s="56">
        <f t="shared" si="29"/>
        <v>1.1000000000000001</v>
      </c>
      <c r="I313" s="2"/>
      <c r="L313" s="2"/>
      <c r="M313" s="2"/>
      <c r="N313" s="39"/>
      <c r="O313" s="2"/>
      <c r="P313" s="2"/>
    </row>
    <row r="314" spans="1:16" x14ac:dyDescent="0.25">
      <c r="A314" s="103">
        <v>5002</v>
      </c>
      <c r="B314" s="38" t="str">
        <f>IF($A314=0,"",VLOOKUP($A314,'BASE MATERIAL'!$A:$D,2))</f>
        <v>PIEDRA 3-4</v>
      </c>
      <c r="C314" s="2"/>
      <c r="D314" s="77"/>
      <c r="E314" s="78" t="str">
        <f>IF($A314=0,"",VLOOKUP($A314,'BASE MATERIAL'!$A:$D,3))</f>
        <v>M3</v>
      </c>
      <c r="F314" s="55">
        <f>ROUND(F312*0.032*3,2)</f>
        <v>0.14000000000000001</v>
      </c>
      <c r="G314" s="55">
        <f>IF($A314=0,"",VLOOKUP($A314,'BASE MATERIAL'!$A:$D,4))</f>
        <v>13.75</v>
      </c>
      <c r="H314" s="56">
        <f t="shared" si="29"/>
        <v>1.93</v>
      </c>
      <c r="I314" s="2"/>
      <c r="L314" s="2"/>
      <c r="M314" s="2"/>
      <c r="N314" s="39"/>
      <c r="O314" s="2"/>
      <c r="P314" s="2"/>
    </row>
    <row r="315" spans="1:16" x14ac:dyDescent="0.25">
      <c r="A315" s="103">
        <v>5005</v>
      </c>
      <c r="B315" s="38" t="str">
        <f>IF($A315=0,"",VLOOKUP($A315,'BASE MATERIAL'!$A:$D,2))</f>
        <v>AGUA</v>
      </c>
      <c r="C315" s="2"/>
      <c r="D315" s="77"/>
      <c r="E315" s="78" t="str">
        <f>IF($A315=0,"",VLOOKUP($A315,'BASE MATERIAL'!$A:$D,3))</f>
        <v>LT</v>
      </c>
      <c r="F315" s="55">
        <f>26*F312</f>
        <v>37.44</v>
      </c>
      <c r="G315" s="80">
        <f>IF($A315=0,"",VLOOKUP($A315,'BASE MATERIAL'!$A:$D,4))</f>
        <v>2E-3</v>
      </c>
      <c r="H315" s="56">
        <f t="shared" si="29"/>
        <v>7.0000000000000007E-2</v>
      </c>
      <c r="I315" s="2"/>
      <c r="L315" s="2"/>
      <c r="M315" s="2"/>
      <c r="N315" s="39"/>
      <c r="O315" s="2"/>
      <c r="P315" s="2"/>
    </row>
    <row r="316" spans="1:16" x14ac:dyDescent="0.25">
      <c r="B316" s="38" t="str">
        <f>IF($A316=0,"",VLOOKUP($A316,'BASE MATERIAL'!$A:$D,2))</f>
        <v/>
      </c>
      <c r="C316" s="2"/>
      <c r="D316" s="77"/>
      <c r="E316" s="78" t="str">
        <f>IF($A316=0,"",VLOOKUP($A316,'BASE MATERIAL'!$A:$D,3))</f>
        <v/>
      </c>
      <c r="F316" s="55"/>
      <c r="G316" s="55" t="str">
        <f>IF($A316=0,"",VLOOKUP($A316,'BASE MATERIAL'!$A:$D,4))</f>
        <v/>
      </c>
      <c r="H316" s="56" t="str">
        <f t="shared" si="29"/>
        <v/>
      </c>
      <c r="I316" s="2"/>
      <c r="L316" s="2"/>
      <c r="M316" s="2"/>
      <c r="N316" s="39"/>
      <c r="O316" s="2"/>
      <c r="P316" s="2"/>
    </row>
    <row r="317" spans="1:16" x14ac:dyDescent="0.25">
      <c r="B317" s="38" t="str">
        <f>IF($A317=0,"",VLOOKUP($A317,'BASE MATERIAL'!$A:$D,2))</f>
        <v/>
      </c>
      <c r="C317" s="2"/>
      <c r="D317" s="77"/>
      <c r="E317" s="78" t="str">
        <f>IF($A317=0,"",VLOOKUP($A317,'BASE MATERIAL'!$A:$D,3))</f>
        <v/>
      </c>
      <c r="F317" s="55"/>
      <c r="G317" s="55" t="str">
        <f>IF($A317=0,"",VLOOKUP($A317,'BASE MATERIAL'!$A:$D,4))</f>
        <v/>
      </c>
      <c r="H317" s="56" t="str">
        <f t="shared" si="29"/>
        <v/>
      </c>
      <c r="I317" s="2"/>
    </row>
    <row r="318" spans="1:16" x14ac:dyDescent="0.25">
      <c r="B318" s="38" t="str">
        <f>IF($A318=0,"",VLOOKUP($A318,'BASE MATERIAL'!$A:$D,2))</f>
        <v/>
      </c>
      <c r="C318" s="2"/>
      <c r="D318" s="77"/>
      <c r="E318" s="78" t="str">
        <f>IF($A318=0,"",VLOOKUP($A318,'BASE MATERIAL'!$A:$D,3))</f>
        <v/>
      </c>
      <c r="F318" s="55"/>
      <c r="G318" s="55" t="str">
        <f>IF($A318=0,"",VLOOKUP($A318,'BASE MATERIAL'!$A:$D,4))</f>
        <v/>
      </c>
      <c r="H318" s="56" t="str">
        <f t="shared" si="29"/>
        <v/>
      </c>
      <c r="I318" s="2"/>
      <c r="L318" s="2"/>
      <c r="M318" s="2"/>
      <c r="N318" s="39"/>
      <c r="O318" s="2"/>
      <c r="P318" s="2"/>
    </row>
    <row r="319" spans="1:16" x14ac:dyDescent="0.25">
      <c r="B319" s="38" t="str">
        <f>IF($A319=0,"",VLOOKUP($A319,'BASE MATERIAL'!$A:$D,2))</f>
        <v/>
      </c>
      <c r="C319" s="2"/>
      <c r="D319" s="77"/>
      <c r="E319" s="78" t="str">
        <f>IF($A319=0,"",VLOOKUP($A319,'BASE MATERIAL'!$A:$D,3))</f>
        <v/>
      </c>
      <c r="F319" s="55"/>
      <c r="G319" s="55" t="str">
        <f>IF($A319=0,"",VLOOKUP($A319,'BASE MATERIAL'!$A:$D,4))</f>
        <v/>
      </c>
      <c r="H319" s="56" t="str">
        <f t="shared" si="29"/>
        <v/>
      </c>
      <c r="I319" s="2"/>
      <c r="L319" s="2"/>
      <c r="M319" s="2"/>
      <c r="N319" s="39"/>
      <c r="O319" s="2"/>
      <c r="P319" s="2"/>
    </row>
    <row r="320" spans="1:16" x14ac:dyDescent="0.25">
      <c r="B320" s="38" t="str">
        <f>IF($A320=0,"",VLOOKUP($A320,'BASE MATERIAL'!$A:$D,2))</f>
        <v/>
      </c>
      <c r="C320" s="2"/>
      <c r="D320" s="77"/>
      <c r="E320" s="78" t="str">
        <f>IF($A320=0,"",VLOOKUP($A320,'BASE MATERIAL'!$A:$D,3))</f>
        <v/>
      </c>
      <c r="F320" s="55"/>
      <c r="G320" s="55" t="str">
        <f>IF($A320=0,"",VLOOKUP($A320,'BASE MATERIAL'!$A:$D,4))</f>
        <v/>
      </c>
      <c r="H320" s="56" t="str">
        <f t="shared" si="29"/>
        <v/>
      </c>
      <c r="I320" s="2"/>
    </row>
    <row r="321" spans="1:9" x14ac:dyDescent="0.25">
      <c r="B321" s="38" t="str">
        <f>IF($A321=0,"",VLOOKUP($A321,'BASE MATERIAL'!$A:$D,2))</f>
        <v/>
      </c>
      <c r="C321" s="2"/>
      <c r="D321" s="77"/>
      <c r="E321" s="78" t="str">
        <f>IF($A321=0,"",VLOOKUP($A321,'BASE MATERIAL'!$A:$D,3))</f>
        <v/>
      </c>
      <c r="F321" s="55"/>
      <c r="G321" s="55" t="str">
        <f>IF($A321=0,"",VLOOKUP($A321,'BASE MATERIAL'!$A:$D,4))</f>
        <v/>
      </c>
      <c r="H321" s="56" t="str">
        <f t="shared" si="29"/>
        <v/>
      </c>
      <c r="I321" s="2"/>
    </row>
    <row r="322" spans="1:9" x14ac:dyDescent="0.25">
      <c r="B322" s="38" t="str">
        <f>IF($A322=0,"",VLOOKUP($A322,'BASE MATERIAL'!$A:$D,2))</f>
        <v/>
      </c>
      <c r="C322" s="2"/>
      <c r="D322" s="77"/>
      <c r="E322" s="78" t="str">
        <f>IF($A322=0,"",VLOOKUP($A322,'BASE MATERIAL'!$A:$D,3))</f>
        <v/>
      </c>
      <c r="F322" s="55"/>
      <c r="G322" s="55" t="str">
        <f>IF($A322=0,"",VLOOKUP($A322,'BASE MATERIAL'!$A:$D,4))</f>
        <v/>
      </c>
      <c r="H322" s="56" t="str">
        <f t="shared" si="29"/>
        <v/>
      </c>
      <c r="I322" s="2"/>
    </row>
    <row r="323" spans="1:9" x14ac:dyDescent="0.25">
      <c r="B323" s="38" t="str">
        <f>IF($A323=0,"",VLOOKUP($A323,'BASE MATERIAL'!$A:$D,2))</f>
        <v/>
      </c>
      <c r="C323" s="2"/>
      <c r="D323" s="77"/>
      <c r="E323" s="78" t="str">
        <f>IF($A323=0,"",VLOOKUP($A323,'BASE MATERIAL'!$A:$D,3))</f>
        <v/>
      </c>
      <c r="F323" s="55"/>
      <c r="G323" s="55" t="str">
        <f>IF($A323=0,"",VLOOKUP($A323,'BASE MATERIAL'!$A:$D,4))</f>
        <v/>
      </c>
      <c r="H323" s="56" t="str">
        <f t="shared" si="29"/>
        <v/>
      </c>
      <c r="I323" s="2"/>
    </row>
    <row r="324" spans="1:9" x14ac:dyDescent="0.25">
      <c r="B324" s="38" t="str">
        <f>IF($A324=0,"",VLOOKUP($A324,'BASE MATERIAL'!$A:$D,2))</f>
        <v/>
      </c>
      <c r="C324" s="2"/>
      <c r="D324" s="81" t="s">
        <v>1682</v>
      </c>
      <c r="E324" s="55" t="str">
        <f>IF($A324=0,"",VLOOKUP($A324,'BASE MATERIAL'!$A:$D,3))</f>
        <v/>
      </c>
      <c r="F324" s="55" t="s">
        <v>1682</v>
      </c>
      <c r="G324" s="55" t="str">
        <f>IF($A324=0,"",VLOOKUP($A324,'BASE MATERIAL'!$A:$D,4))</f>
        <v/>
      </c>
      <c r="H324" s="56" t="str">
        <f>IF($A324=0,"",ROUND(E324*F324,2))</f>
        <v/>
      </c>
      <c r="I324" s="2"/>
    </row>
    <row r="325" spans="1:9" x14ac:dyDescent="0.25">
      <c r="B325" s="73" t="s">
        <v>1681</v>
      </c>
      <c r="C325" s="65"/>
      <c r="D325" s="74"/>
      <c r="E325" s="74"/>
      <c r="F325" s="74"/>
      <c r="G325" s="74"/>
      <c r="H325" s="75">
        <f>ROUND(SUM(H308:H324),2)</f>
        <v>14.01</v>
      </c>
      <c r="I325" s="2"/>
    </row>
    <row r="326" spans="1:9" x14ac:dyDescent="0.25">
      <c r="B326" s="38" t="s">
        <v>1680</v>
      </c>
      <c r="C326" s="2"/>
      <c r="D326" s="3"/>
      <c r="E326" s="3"/>
      <c r="F326" s="3"/>
      <c r="G326" s="3"/>
      <c r="H326" s="56"/>
      <c r="I326" s="2"/>
    </row>
    <row r="327" spans="1:9" ht="25.5" x14ac:dyDescent="0.25">
      <c r="B327" s="64" t="s">
        <v>1409</v>
      </c>
      <c r="C327" s="65"/>
      <c r="D327" s="76"/>
      <c r="E327" s="66" t="s">
        <v>1408</v>
      </c>
      <c r="F327" s="66" t="s">
        <v>1679</v>
      </c>
      <c r="G327" s="66" t="s">
        <v>1676</v>
      </c>
      <c r="H327" s="68" t="s">
        <v>1675</v>
      </c>
      <c r="I327" s="2"/>
    </row>
    <row r="328" spans="1:9" x14ac:dyDescent="0.25">
      <c r="A328" s="103">
        <v>19019</v>
      </c>
      <c r="B328" s="51" t="str">
        <f>IF($A328=0,"",VLOOKUP($A328,'BASE EQUIPO'!$A:$D,2))</f>
        <v>TRANSPORTE DE MATERIAL</v>
      </c>
      <c r="C328" s="52"/>
      <c r="D328" s="82"/>
      <c r="E328" s="78" t="str">
        <f>IF($A328=0,"",VLOOKUP($A328,'BASE EQUIPO'!$A:$D,3))</f>
        <v>GLOBAL</v>
      </c>
      <c r="F328" s="55">
        <v>1</v>
      </c>
      <c r="G328" s="83">
        <f>IF($A328=0,"",VLOOKUP($A328,'BASE EQUIPO'!$A:$D,4)*H325)</f>
        <v>0.42029999999999995</v>
      </c>
      <c r="H328" s="56">
        <f>IF($A328=0,"",ROUND(F328*G328,2))</f>
        <v>0.42</v>
      </c>
      <c r="I328" s="2"/>
    </row>
    <row r="329" spans="1:9" x14ac:dyDescent="0.25">
      <c r="B329" s="38" t="str">
        <f>IF($A329=0,"",VLOOKUP($A329,'BASE EQUIPO'!$A:$D,2))</f>
        <v/>
      </c>
      <c r="C329" s="2"/>
      <c r="D329" s="84"/>
      <c r="E329" s="78" t="str">
        <f>IF($A329=0,"",VLOOKUP($A329,'BASE EQUIPO'!$A:$D,3))</f>
        <v/>
      </c>
      <c r="F329" s="55"/>
      <c r="G329" s="55" t="str">
        <f>IF($A329=0,"",VLOOKUP($A329,'BASE EQUIPO'!$A:$D,4)*H326)</f>
        <v/>
      </c>
      <c r="H329" s="56" t="str">
        <f>IF($A329=0,"",ROUND(F329*G329,2))</f>
        <v/>
      </c>
      <c r="I329" s="2"/>
    </row>
    <row r="330" spans="1:9" x14ac:dyDescent="0.25">
      <c r="B330" s="57" t="str">
        <f>IF($A330=0,"",VLOOKUP($A330,'BASE EQUIPO'!$A:$D,2))</f>
        <v/>
      </c>
      <c r="C330" s="58"/>
      <c r="D330" s="85"/>
      <c r="E330" s="86" t="str">
        <f>IF($A330=0,"",VLOOKUP($A330,'BASE EQUIPO'!$A:$D,3))</f>
        <v/>
      </c>
      <c r="F330" s="59"/>
      <c r="G330" s="59" t="str">
        <f>IF($A330=0,"",VLOOKUP($A330,'BASE EQUIPO'!$A:$D,4)*H327)</f>
        <v/>
      </c>
      <c r="H330" s="60" t="str">
        <f>IF($A330=0,"",ROUND(F330*G330,2))</f>
        <v/>
      </c>
      <c r="I330" s="2"/>
    </row>
    <row r="331" spans="1:9" ht="15.75" thickBot="1" x14ac:dyDescent="0.3">
      <c r="B331" s="87" t="s">
        <v>1674</v>
      </c>
      <c r="C331" s="88"/>
      <c r="D331" s="89"/>
      <c r="E331" s="89"/>
      <c r="F331" s="89"/>
      <c r="G331" s="89"/>
      <c r="H331" s="90">
        <f>ROUND(SUM(H327:H330),2)</f>
        <v>0.42</v>
      </c>
      <c r="I331" s="2"/>
    </row>
    <row r="332" spans="1:9" ht="15.75" x14ac:dyDescent="0.25">
      <c r="B332" s="2"/>
      <c r="C332" s="2"/>
      <c r="D332" s="91" t="s">
        <v>1673</v>
      </c>
      <c r="E332" s="47"/>
      <c r="F332" s="47"/>
      <c r="G332" s="47"/>
      <c r="H332" s="92">
        <f>ROUND(SUM(H331,H325,H306,H296),2)</f>
        <v>20.14</v>
      </c>
      <c r="I332" s="2"/>
    </row>
    <row r="333" spans="1:9" ht="15.75" x14ac:dyDescent="0.25">
      <c r="A333" s="103">
        <v>40002</v>
      </c>
      <c r="B333" s="2"/>
      <c r="C333" s="2"/>
      <c r="D333" s="93" t="s">
        <v>1672</v>
      </c>
      <c r="E333" s="65"/>
      <c r="F333" s="65"/>
      <c r="G333" s="94">
        <f>IF($A333=0,"",VLOOKUP($A333,'BASE MATERIAL'!$M:$P,4))</f>
        <v>0</v>
      </c>
      <c r="H333" s="95">
        <f>IF($A333=0,"",ROUND(G333*H332,2))</f>
        <v>0</v>
      </c>
      <c r="I333" s="2"/>
    </row>
    <row r="334" spans="1:9" ht="15.75" x14ac:dyDescent="0.25">
      <c r="A334" s="103">
        <v>40003</v>
      </c>
      <c r="B334" s="2"/>
      <c r="C334" s="2"/>
      <c r="D334" s="93" t="s">
        <v>1671</v>
      </c>
      <c r="E334" s="65"/>
      <c r="F334" s="65"/>
      <c r="G334" s="94">
        <f>IF($A334=0,"",VLOOKUP($A334,'BASE MATERIAL'!$M:$P,4))</f>
        <v>0</v>
      </c>
      <c r="H334" s="95">
        <f>IF($A334=0,"",ROUND(G334*H332,2))</f>
        <v>0</v>
      </c>
      <c r="I334" s="2"/>
    </row>
    <row r="335" spans="1:9" ht="15.75" x14ac:dyDescent="0.25">
      <c r="B335" s="2"/>
      <c r="C335" s="2"/>
      <c r="D335" s="93" t="s">
        <v>1670</v>
      </c>
      <c r="E335" s="65"/>
      <c r="F335" s="65"/>
      <c r="G335" s="65"/>
      <c r="H335" s="96">
        <f>ROUND(SUM(H332:H334),2)</f>
        <v>20.14</v>
      </c>
      <c r="I335" s="2"/>
    </row>
    <row r="336" spans="1:9" ht="16.5" thickBot="1" x14ac:dyDescent="0.3">
      <c r="B336" s="25"/>
      <c r="C336" s="2"/>
      <c r="D336" s="97" t="s">
        <v>1650</v>
      </c>
      <c r="E336" s="88"/>
      <c r="F336" s="88"/>
      <c r="G336" s="88"/>
      <c r="H336" s="98">
        <f>ROUND(H335,2)</f>
        <v>20.14</v>
      </c>
      <c r="I336" s="2"/>
    </row>
    <row r="337" spans="1:15" ht="15.75" x14ac:dyDescent="0.25">
      <c r="B337" s="34" t="s">
        <v>1701</v>
      </c>
      <c r="C337" s="2"/>
      <c r="D337" s="3" t="str">
        <f>$D$1</f>
        <v>ESPOL</v>
      </c>
      <c r="E337" s="2"/>
      <c r="F337" s="2"/>
      <c r="H337" s="2" t="s">
        <v>108</v>
      </c>
      <c r="I337" s="2"/>
      <c r="L337" s="40">
        <f>A341</f>
        <v>4</v>
      </c>
      <c r="M337" s="1" t="str">
        <f>C342</f>
        <v>Bordillos con cuneta</v>
      </c>
      <c r="N337" s="2" t="str">
        <f>H341</f>
        <v>ml</v>
      </c>
      <c r="O337" s="2">
        <f>H392</f>
        <v>24.64</v>
      </c>
    </row>
    <row r="338" spans="1:15" ht="15.75" x14ac:dyDescent="0.25">
      <c r="B338" s="34" t="s">
        <v>1700</v>
      </c>
      <c r="C338" s="3">
        <f>'1.1'!$C$2</f>
        <v>0</v>
      </c>
      <c r="D338" s="2"/>
      <c r="E338" s="2"/>
      <c r="F338" s="2"/>
      <c r="G338" s="41" t="s">
        <v>1699</v>
      </c>
      <c r="H338" s="42"/>
      <c r="I338" s="2" t="s">
        <v>1698</v>
      </c>
    </row>
    <row r="339" spans="1:15" ht="15.75" x14ac:dyDescent="0.25">
      <c r="B339" s="34"/>
      <c r="C339" s="3">
        <f>'1.1'!$C$3</f>
        <v>0</v>
      </c>
      <c r="D339" s="2"/>
      <c r="E339" s="2"/>
      <c r="F339" s="2"/>
      <c r="G339" s="2"/>
      <c r="H339" s="2"/>
      <c r="I339" s="2"/>
    </row>
    <row r="340" spans="1:15" ht="15.75" x14ac:dyDescent="0.25">
      <c r="B340" s="34" t="s">
        <v>1697</v>
      </c>
      <c r="C340" s="3"/>
      <c r="D340" s="2"/>
      <c r="E340" s="2"/>
      <c r="F340" s="2"/>
      <c r="G340" s="2"/>
      <c r="H340" s="2"/>
      <c r="I340" s="2"/>
    </row>
    <row r="341" spans="1:15" x14ac:dyDescent="0.25">
      <c r="A341" s="104">
        <v>4</v>
      </c>
      <c r="B341" s="2" t="s">
        <v>1586</v>
      </c>
      <c r="C341" s="36" t="s">
        <v>691</v>
      </c>
      <c r="D341" s="2"/>
      <c r="G341" s="2" t="s">
        <v>1696</v>
      </c>
      <c r="H341" s="3" t="s">
        <v>961</v>
      </c>
      <c r="I341" s="2"/>
    </row>
    <row r="342" spans="1:15" x14ac:dyDescent="0.25">
      <c r="B342" s="1" t="s">
        <v>1585</v>
      </c>
      <c r="C342" s="36" t="s">
        <v>689</v>
      </c>
      <c r="D342" s="2"/>
      <c r="E342" s="2"/>
      <c r="F342" s="2"/>
      <c r="G342" s="2"/>
      <c r="H342" s="2"/>
      <c r="I342" s="2"/>
    </row>
    <row r="343" spans="1:15" ht="15.75" thickBot="1" x14ac:dyDescent="0.3">
      <c r="D343" s="2"/>
      <c r="E343" s="2"/>
      <c r="F343" s="2"/>
      <c r="G343" s="2"/>
      <c r="H343" s="2"/>
      <c r="I343" s="2"/>
    </row>
    <row r="344" spans="1:15" ht="15.75" thickBot="1" x14ac:dyDescent="0.3">
      <c r="B344" s="43" t="s">
        <v>1695</v>
      </c>
      <c r="C344" s="44"/>
      <c r="D344" s="44"/>
      <c r="E344" s="44"/>
      <c r="F344" s="44"/>
      <c r="G344" s="44"/>
      <c r="H344" s="45"/>
      <c r="I344" s="2"/>
    </row>
    <row r="345" spans="1:15" ht="25.5" x14ac:dyDescent="0.25">
      <c r="B345" s="46" t="s">
        <v>1409</v>
      </c>
      <c r="C345" s="47"/>
      <c r="D345" s="48" t="s">
        <v>1690</v>
      </c>
      <c r="E345" s="48" t="s">
        <v>1694</v>
      </c>
      <c r="F345" s="48" t="s">
        <v>1693</v>
      </c>
      <c r="G345" s="49" t="s">
        <v>1687</v>
      </c>
      <c r="H345" s="50" t="s">
        <v>1686</v>
      </c>
      <c r="I345" s="2"/>
    </row>
    <row r="346" spans="1:15" x14ac:dyDescent="0.25">
      <c r="A346" s="103">
        <v>19015</v>
      </c>
      <c r="B346" s="51" t="str">
        <f>IF($A346=0,"",VLOOKUP($A346,'BASE EQUIPO'!$A:$D,2))</f>
        <v>HERRAMIENTA MENOR</v>
      </c>
      <c r="C346" s="52"/>
      <c r="D346" s="53">
        <v>1</v>
      </c>
      <c r="E346" s="53">
        <f>IF($A346=0,"",VLOOKUP($A346,'BASE EQUIPO'!$A:$D,4)*H362)</f>
        <v>0.30359999999999998</v>
      </c>
      <c r="F346" s="53">
        <f t="shared" ref="F346:F351" si="30">IF($A346=0,"",ROUND(D346*E346,2))</f>
        <v>0.3</v>
      </c>
      <c r="G346" s="105">
        <v>1</v>
      </c>
      <c r="H346" s="54">
        <f t="shared" ref="H346:H351" si="31">IF($A346=0,"",ROUND(G346*F346,2))</f>
        <v>0.3</v>
      </c>
      <c r="I346" s="2"/>
    </row>
    <row r="347" spans="1:15" x14ac:dyDescent="0.25">
      <c r="A347" s="103">
        <v>19008</v>
      </c>
      <c r="B347" s="38" t="str">
        <f>IF($A347=0,"",VLOOKUP($A347,'BASE EQUIPO'!$A:$D,2))</f>
        <v>VIBRADOR</v>
      </c>
      <c r="C347" s="2"/>
      <c r="D347" s="55">
        <v>1</v>
      </c>
      <c r="E347" s="55">
        <f>IF($A347=0,"",VLOOKUP($A347,'BASE EQUIPO'!$A:$D,4))</f>
        <v>2.5</v>
      </c>
      <c r="F347" s="55">
        <f t="shared" si="30"/>
        <v>2.5</v>
      </c>
      <c r="G347" s="106">
        <f>+G356*0.5</f>
        <v>0.05</v>
      </c>
      <c r="H347" s="56">
        <f t="shared" si="31"/>
        <v>0.13</v>
      </c>
      <c r="I347" s="2"/>
    </row>
    <row r="348" spans="1:15" x14ac:dyDescent="0.25">
      <c r="B348" s="38" t="str">
        <f>IF($A348=0,"",VLOOKUP($A348,'BASE EQUIPO'!$A:$D,2))</f>
        <v/>
      </c>
      <c r="C348" s="2"/>
      <c r="D348" s="55"/>
      <c r="E348" s="55" t="str">
        <f>IF($A348=0,"",VLOOKUP($A348,'BASE EQUIPO'!$A:$D,4))</f>
        <v/>
      </c>
      <c r="F348" s="55" t="str">
        <f t="shared" si="30"/>
        <v/>
      </c>
      <c r="G348" s="106"/>
      <c r="H348" s="56" t="str">
        <f t="shared" si="31"/>
        <v/>
      </c>
      <c r="I348" s="2"/>
    </row>
    <row r="349" spans="1:15" x14ac:dyDescent="0.25">
      <c r="B349" s="38" t="str">
        <f>IF($A349=0,"",VLOOKUP($A349,'BASE EQUIPO'!$A:$D,2))</f>
        <v/>
      </c>
      <c r="C349" s="2"/>
      <c r="D349" s="55"/>
      <c r="E349" s="55" t="str">
        <f>IF($A349=0,"",VLOOKUP($A349,'BASE EQUIPO'!$A:$D,4))</f>
        <v/>
      </c>
      <c r="F349" s="55" t="str">
        <f t="shared" si="30"/>
        <v/>
      </c>
      <c r="G349" s="106"/>
      <c r="H349" s="56" t="str">
        <f t="shared" si="31"/>
        <v/>
      </c>
      <c r="I349" s="2"/>
    </row>
    <row r="350" spans="1:15" x14ac:dyDescent="0.25">
      <c r="B350" s="38" t="str">
        <f>IF($A350=0,"",VLOOKUP($A350,'BASE EQUIPO'!$A:$D,2))</f>
        <v/>
      </c>
      <c r="C350" s="2"/>
      <c r="D350" s="55"/>
      <c r="E350" s="55" t="str">
        <f>IF($A350=0,"",VLOOKUP($A350,'BASE EQUIPO'!$A:$D,4))</f>
        <v/>
      </c>
      <c r="F350" s="55" t="str">
        <f t="shared" si="30"/>
        <v/>
      </c>
      <c r="G350" s="106"/>
      <c r="H350" s="56" t="str">
        <f t="shared" si="31"/>
        <v/>
      </c>
      <c r="I350" s="2"/>
    </row>
    <row r="351" spans="1:15" x14ac:dyDescent="0.25">
      <c r="B351" s="57" t="str">
        <f>IF($A351=0,"",VLOOKUP($A351,'BASE EQUIPO'!$A:$D,2))</f>
        <v/>
      </c>
      <c r="C351" s="58"/>
      <c r="D351" s="59"/>
      <c r="E351" s="59" t="str">
        <f>IF($A351=0,"",VLOOKUP($A351,'BASE EQUIPO'!$A:$D,4))</f>
        <v/>
      </c>
      <c r="F351" s="59" t="str">
        <f t="shared" si="30"/>
        <v/>
      </c>
      <c r="G351" s="107"/>
      <c r="H351" s="60" t="str">
        <f t="shared" si="31"/>
        <v/>
      </c>
      <c r="I351" s="2"/>
    </row>
    <row r="352" spans="1:15" x14ac:dyDescent="0.25">
      <c r="B352" s="57" t="s">
        <v>1692</v>
      </c>
      <c r="C352" s="58"/>
      <c r="D352" s="61"/>
      <c r="E352" s="61"/>
      <c r="F352" s="61"/>
      <c r="G352" s="62"/>
      <c r="H352" s="60">
        <f>ROUND(SUM(H345:H351),2)</f>
        <v>0.43</v>
      </c>
      <c r="I352" s="2"/>
    </row>
    <row r="353" spans="1:16" x14ac:dyDescent="0.25">
      <c r="B353" s="38" t="s">
        <v>1503</v>
      </c>
      <c r="C353" s="2"/>
      <c r="D353" s="3"/>
      <c r="E353" s="3"/>
      <c r="F353" s="3"/>
      <c r="G353" s="63"/>
      <c r="H353" s="56"/>
      <c r="I353" s="2"/>
    </row>
    <row r="354" spans="1:16" ht="25.5" x14ac:dyDescent="0.25">
      <c r="B354" s="64" t="s">
        <v>1691</v>
      </c>
      <c r="C354" s="65"/>
      <c r="D354" s="66" t="s">
        <v>1690</v>
      </c>
      <c r="E354" s="66" t="s">
        <v>1689</v>
      </c>
      <c r="F354" s="66" t="s">
        <v>1688</v>
      </c>
      <c r="G354" s="67" t="s">
        <v>1687</v>
      </c>
      <c r="H354" s="68" t="s">
        <v>1686</v>
      </c>
      <c r="I354" s="2"/>
    </row>
    <row r="355" spans="1:16" x14ac:dyDescent="0.25">
      <c r="A355" s="103">
        <v>20001</v>
      </c>
      <c r="B355" s="69" t="str">
        <f>IF($A355=0,"",VLOOKUP($A355,'BASE M-OBRA'!$A:$D,2))</f>
        <v>MAESTRO</v>
      </c>
      <c r="C355" s="2"/>
      <c r="D355" s="108">
        <v>1</v>
      </c>
      <c r="E355" s="70">
        <f>IF($A355=0,"",VLOOKUP($A355,'BASE M-OBRA'!$A:$D,4))</f>
        <v>3.02</v>
      </c>
      <c r="F355" s="55">
        <f t="shared" ref="F355:F361" si="32">IF($A355=0,"",ROUND(D355*E355,2))</f>
        <v>3.02</v>
      </c>
      <c r="G355" s="106">
        <f>IF($A355=0,"",ROUND(H355/F355,2))</f>
        <v>0.56000000000000005</v>
      </c>
      <c r="H355" s="56">
        <f>IF($A355=0,"",ROUND(SUM(H356:H361)*'BASE M-OBRA'!$D$23,2))</f>
        <v>1.69</v>
      </c>
      <c r="I355" s="2"/>
    </row>
    <row r="356" spans="1:16" x14ac:dyDescent="0.25">
      <c r="A356" s="103">
        <v>20002</v>
      </c>
      <c r="B356" s="69" t="str">
        <f>IF($A356=0,"",VLOOKUP($A356,'BASE M-OBRA'!$A:$D,2))</f>
        <v>PEON</v>
      </c>
      <c r="C356" s="2"/>
      <c r="D356" s="108">
        <v>8</v>
      </c>
      <c r="E356" s="70">
        <f>IF($A356=0,"",VLOOKUP($A356,'BASE M-OBRA'!$A:$D,4))</f>
        <v>2.79</v>
      </c>
      <c r="F356" s="55">
        <f t="shared" si="32"/>
        <v>22.32</v>
      </c>
      <c r="G356" s="106">
        <v>0.1</v>
      </c>
      <c r="H356" s="56">
        <f t="shared" ref="H356:H361" si="33">IF($A356=0,"",ROUND(G356*F356,2))</f>
        <v>2.23</v>
      </c>
      <c r="I356" s="2"/>
    </row>
    <row r="357" spans="1:16" x14ac:dyDescent="0.25">
      <c r="A357" s="103">
        <v>20003</v>
      </c>
      <c r="B357" s="69" t="str">
        <f>IF($A357=0,"",VLOOKUP($A357,'BASE M-OBRA'!$A:$D,2))</f>
        <v>ALBAÑIL</v>
      </c>
      <c r="C357" s="2"/>
      <c r="D357" s="108">
        <v>2</v>
      </c>
      <c r="E357" s="70">
        <f>IF($A357=0,"",VLOOKUP($A357,'BASE M-OBRA'!$A:$D,4))</f>
        <v>2.82</v>
      </c>
      <c r="F357" s="55">
        <f t="shared" si="32"/>
        <v>5.64</v>
      </c>
      <c r="G357" s="106">
        <f>+G356</f>
        <v>0.1</v>
      </c>
      <c r="H357" s="56">
        <f t="shared" si="33"/>
        <v>0.56000000000000005</v>
      </c>
      <c r="I357" s="2"/>
    </row>
    <row r="358" spans="1:16" x14ac:dyDescent="0.25">
      <c r="A358" s="103">
        <v>20004</v>
      </c>
      <c r="B358" s="71" t="str">
        <f>IF($A358=0,"",VLOOKUP($A358,'BASE M-OBRA'!$A:$D,2))</f>
        <v>CARPINTERO</v>
      </c>
      <c r="C358" s="2"/>
      <c r="D358" s="108">
        <v>2</v>
      </c>
      <c r="E358" s="70">
        <f>IF($A358=0,"",VLOOKUP($A358,'BASE M-OBRA'!$A:$D,4))</f>
        <v>2.82</v>
      </c>
      <c r="F358" s="55">
        <f t="shared" si="32"/>
        <v>5.64</v>
      </c>
      <c r="G358" s="106">
        <v>1</v>
      </c>
      <c r="H358" s="56">
        <f t="shared" si="33"/>
        <v>5.64</v>
      </c>
      <c r="I358" s="2"/>
      <c r="K358" s="1">
        <f>2.9*0.8</f>
        <v>2.3199999999999998</v>
      </c>
    </row>
    <row r="359" spans="1:16" x14ac:dyDescent="0.25">
      <c r="A359" s="103">
        <v>20005</v>
      </c>
      <c r="B359" s="72" t="str">
        <f>IF($A359=0,"",VLOOKUP($A359,'BASE M-OBRA'!$A:$D,2))</f>
        <v>FIERRERO</v>
      </c>
      <c r="C359" s="2"/>
      <c r="D359" s="108">
        <v>0</v>
      </c>
      <c r="E359" s="70">
        <f>IF($A359=0,"",VLOOKUP($A359,'BASE M-OBRA'!$A:$D,4))</f>
        <v>2.82</v>
      </c>
      <c r="F359" s="55">
        <f t="shared" si="32"/>
        <v>0</v>
      </c>
      <c r="G359" s="106">
        <v>0.2</v>
      </c>
      <c r="H359" s="56">
        <f t="shared" si="33"/>
        <v>0</v>
      </c>
      <c r="I359" s="2"/>
      <c r="K359" s="1">
        <f>+F368*0.2</f>
        <v>0</v>
      </c>
    </row>
    <row r="360" spans="1:16" x14ac:dyDescent="0.25">
      <c r="B360" s="38" t="str">
        <f>IF($A360=0,"",VLOOKUP($A360,'BASE M-OBRA'!$A:$D,2))</f>
        <v/>
      </c>
      <c r="C360" s="2"/>
      <c r="D360" s="55"/>
      <c r="E360" s="55" t="str">
        <f>IF($A360=0,"",VLOOKUP($A360,'BASE M-OBRA'!$A:$D,4))</f>
        <v/>
      </c>
      <c r="F360" s="55" t="str">
        <f t="shared" si="32"/>
        <v/>
      </c>
      <c r="G360" s="106"/>
      <c r="H360" s="56" t="str">
        <f t="shared" si="33"/>
        <v/>
      </c>
      <c r="I360" s="2"/>
    </row>
    <row r="361" spans="1:16" x14ac:dyDescent="0.25">
      <c r="B361" s="57" t="str">
        <f>IF($A361=0,"",VLOOKUP($A361,'BASE M-OBRA'!$A:$D,2))</f>
        <v/>
      </c>
      <c r="C361" s="58"/>
      <c r="D361" s="59"/>
      <c r="E361" s="59" t="str">
        <f>IF($A361=0,"",VLOOKUP($A361,'BASE M-OBRA'!$A:$D,4))</f>
        <v/>
      </c>
      <c r="F361" s="59" t="str">
        <f t="shared" si="32"/>
        <v/>
      </c>
      <c r="G361" s="107"/>
      <c r="H361" s="60" t="str">
        <f t="shared" si="33"/>
        <v/>
      </c>
      <c r="I361" s="2"/>
    </row>
    <row r="362" spans="1:16" x14ac:dyDescent="0.25">
      <c r="B362" s="73" t="s">
        <v>1685</v>
      </c>
      <c r="C362" s="65"/>
      <c r="D362" s="74"/>
      <c r="E362" s="74"/>
      <c r="F362" s="74"/>
      <c r="G362" s="74"/>
      <c r="H362" s="75">
        <f>ROUND(SUM(H354:H361),2)</f>
        <v>10.119999999999999</v>
      </c>
      <c r="I362" s="2"/>
    </row>
    <row r="363" spans="1:16" x14ac:dyDescent="0.25">
      <c r="B363" s="38" t="s">
        <v>1684</v>
      </c>
      <c r="C363" s="2"/>
      <c r="D363" s="3"/>
      <c r="E363" s="3"/>
      <c r="F363" s="3"/>
      <c r="G363" s="3"/>
      <c r="H363" s="56"/>
      <c r="I363" s="2"/>
    </row>
    <row r="364" spans="1:16" ht="25.5" x14ac:dyDescent="0.25">
      <c r="B364" s="64" t="s">
        <v>1409</v>
      </c>
      <c r="C364" s="65"/>
      <c r="D364" s="76"/>
      <c r="E364" s="66" t="s">
        <v>1408</v>
      </c>
      <c r="F364" s="66" t="s">
        <v>1679</v>
      </c>
      <c r="G364" s="66" t="s">
        <v>1683</v>
      </c>
      <c r="H364" s="68" t="s">
        <v>1675</v>
      </c>
      <c r="I364" s="2"/>
    </row>
    <row r="365" spans="1:16" x14ac:dyDescent="0.25">
      <c r="A365" s="103">
        <v>11011</v>
      </c>
      <c r="B365" s="37" t="str">
        <f>IF($A365=0,"",VLOOKUP($A365,'BASE MATERIAL'!$A:$D,2))</f>
        <v>PLYWOOD ENCOFRADO 15 MM</v>
      </c>
      <c r="C365" s="2"/>
      <c r="D365" s="77"/>
      <c r="E365" s="78" t="str">
        <f>IF($A365=0,"",VLOOKUP($A365,'BASE MATERIAL'!$A:$D,3))</f>
        <v>U</v>
      </c>
      <c r="F365" s="55">
        <f>ROUND(1.2/(1.2*2.4*5),2)</f>
        <v>0.08</v>
      </c>
      <c r="G365" s="55">
        <f>IF($A365=0,"",VLOOKUP($A365,'BASE MATERIAL'!$A:$D,4))</f>
        <v>37.799999999999997</v>
      </c>
      <c r="H365" s="56">
        <f t="shared" ref="H365:H379" si="34">IF($A365=0,"",ROUND(F365*G365,2))</f>
        <v>3.02</v>
      </c>
      <c r="I365" s="2"/>
      <c r="K365" s="1">
        <f>2/0.2</f>
        <v>10</v>
      </c>
      <c r="L365" s="2"/>
      <c r="M365" s="2"/>
      <c r="N365" s="39"/>
      <c r="O365" s="2"/>
      <c r="P365" s="2"/>
    </row>
    <row r="366" spans="1:16" x14ac:dyDescent="0.25">
      <c r="A366" s="103">
        <v>11009</v>
      </c>
      <c r="B366" s="38" t="str">
        <f>IF($A366=0,"",VLOOKUP($A366,'BASE MATERIAL'!$A:$D,2))</f>
        <v>CUARTON</v>
      </c>
      <c r="C366" s="2"/>
      <c r="D366" s="77"/>
      <c r="E366" s="78" t="str">
        <f>IF($A366=0,"",VLOOKUP($A366,'BASE MATERIAL'!$A:$D,3))</f>
        <v>U</v>
      </c>
      <c r="F366" s="55">
        <f>ROUND(1.2*8/(4*3),2)</f>
        <v>0.8</v>
      </c>
      <c r="G366" s="55">
        <f>IF($A366=0,"",VLOOKUP($A366,'BASE MATERIAL'!$A:$D,4))</f>
        <v>2.42</v>
      </c>
      <c r="H366" s="56">
        <f t="shared" si="34"/>
        <v>1.94</v>
      </c>
      <c r="I366" s="2"/>
      <c r="L366" s="2"/>
      <c r="M366" s="2"/>
      <c r="N366" s="39"/>
      <c r="O366" s="2"/>
      <c r="P366" s="2"/>
    </row>
    <row r="367" spans="1:16" x14ac:dyDescent="0.25">
      <c r="A367" s="103">
        <v>11007</v>
      </c>
      <c r="B367" s="38" t="str">
        <f>IF($A367=0,"",VLOOKUP($A367,'BASE MATERIAL'!$A:$D,2))</f>
        <v>CLAVO 2 1/2"</v>
      </c>
      <c r="C367" s="2"/>
      <c r="D367" s="77"/>
      <c r="E367" s="78" t="str">
        <f>IF($A367=0,"",VLOOKUP($A367,'BASE MATERIAL'!$A:$D,3))</f>
        <v>KG</v>
      </c>
      <c r="F367" s="55">
        <f>ROUND(1.2*56/(178*1.5),2)</f>
        <v>0.25</v>
      </c>
      <c r="G367" s="55">
        <f>IF($A367=0,"",VLOOKUP($A367,'BASE MATERIAL'!$A:$D,4))</f>
        <v>2.6520000000000001</v>
      </c>
      <c r="H367" s="56">
        <f t="shared" si="34"/>
        <v>0.66</v>
      </c>
      <c r="I367" s="2"/>
      <c r="L367" s="2"/>
      <c r="M367" s="2"/>
      <c r="N367" s="39"/>
      <c r="O367" s="2"/>
      <c r="P367" s="2"/>
    </row>
    <row r="368" spans="1:16" x14ac:dyDescent="0.25">
      <c r="A368" s="103">
        <v>14029</v>
      </c>
      <c r="B368" s="38" t="str">
        <f>IF($A368=0,"",VLOOKUP($A368,'BASE MATERIAL'!$A:$D,2))</f>
        <v>MALLA ELEC 5,5mm c/15cm</v>
      </c>
      <c r="C368" s="2"/>
      <c r="D368" s="77"/>
      <c r="E368" s="78" t="str">
        <f>IF($A368=0,"",VLOOKUP($A368,'BASE MATERIAL'!$A:$D,3))</f>
        <v>M2</v>
      </c>
      <c r="F368" s="55">
        <v>0</v>
      </c>
      <c r="G368" s="55">
        <f>IF($A368=0,"",VLOOKUP($A368,'BASE MATERIAL'!$A:$D,4))</f>
        <v>3.5481600000000006</v>
      </c>
      <c r="H368" s="56">
        <f t="shared" si="34"/>
        <v>0</v>
      </c>
      <c r="I368" s="2"/>
      <c r="L368" s="2"/>
      <c r="M368" s="2"/>
      <c r="N368" s="39"/>
      <c r="O368" s="2"/>
      <c r="P368" s="2"/>
    </row>
    <row r="369" spans="1:16" x14ac:dyDescent="0.25">
      <c r="A369" s="103">
        <v>11002</v>
      </c>
      <c r="B369" s="38" t="str">
        <f>IF($A369=0,"",VLOOKUP($A369,'BASE MATERIAL'!$A:$D,2))</f>
        <v>ALAMBRE #18 RECOCIDO</v>
      </c>
      <c r="C369" s="2"/>
      <c r="D369" s="77"/>
      <c r="E369" s="78" t="str">
        <f>IF($A369=0,"",VLOOKUP($A369,'BASE MATERIAL'!$A:$D,3))</f>
        <v>KG</v>
      </c>
      <c r="F369" s="55">
        <v>0</v>
      </c>
      <c r="G369" s="55">
        <f>IF($A369=0,"",VLOOKUP($A369,'BASE MATERIAL'!$A:$D,4))</f>
        <v>1.87</v>
      </c>
      <c r="H369" s="56">
        <f t="shared" si="34"/>
        <v>0</v>
      </c>
      <c r="I369" s="2"/>
      <c r="L369" s="2"/>
      <c r="M369" s="2"/>
      <c r="N369" s="39"/>
      <c r="O369" s="2"/>
      <c r="P369" s="2"/>
    </row>
    <row r="370" spans="1:16" x14ac:dyDescent="0.25">
      <c r="A370" s="103">
        <v>4001</v>
      </c>
      <c r="B370" s="38" t="str">
        <f>IF($A370=0,"",VLOOKUP($A370,'BASE MATERIAL'!$A:$D,2))</f>
        <v>CEMENTO</v>
      </c>
      <c r="C370" s="2"/>
      <c r="D370" s="77"/>
      <c r="E370" s="78" t="str">
        <f>IF($A370=0,"",VLOOKUP($A370,'BASE MATERIAL'!$A:$D,3))</f>
        <v>SACO</v>
      </c>
      <c r="F370" s="55">
        <f>ROUND(7*1.03*(0.2*0.4+0.2*0.2),2)</f>
        <v>0.87</v>
      </c>
      <c r="G370" s="55">
        <f>IF($A370=0,"",VLOOKUP($A370,'BASE MATERIAL'!$A:$D,4))</f>
        <v>7.09</v>
      </c>
      <c r="H370" s="56">
        <f t="shared" si="34"/>
        <v>6.17</v>
      </c>
      <c r="I370" s="2"/>
      <c r="L370" s="2"/>
      <c r="M370" s="2"/>
      <c r="N370" s="39"/>
      <c r="O370" s="2"/>
      <c r="P370" s="2"/>
    </row>
    <row r="371" spans="1:16" x14ac:dyDescent="0.25">
      <c r="A371" s="103">
        <v>5004</v>
      </c>
      <c r="B371" s="38" t="str">
        <f>IF($A371=0,"",VLOOKUP($A371,'BASE MATERIAL'!$A:$D,2))</f>
        <v>ARENA</v>
      </c>
      <c r="C371" s="2"/>
      <c r="D371" s="77"/>
      <c r="E371" s="78" t="str">
        <f>IF($A371=0,"",VLOOKUP($A371,'BASE MATERIAL'!$A:$D,3))</f>
        <v>M3</v>
      </c>
      <c r="F371" s="55">
        <f>ROUND(F370*0.032*2,2)</f>
        <v>0.06</v>
      </c>
      <c r="G371" s="55">
        <f>IF($A371=0,"",VLOOKUP($A371,'BASE MATERIAL'!$A:$D,4))</f>
        <v>12.276249999999999</v>
      </c>
      <c r="H371" s="56">
        <f t="shared" si="34"/>
        <v>0.74</v>
      </c>
      <c r="I371" s="2"/>
      <c r="L371" s="2"/>
      <c r="M371" s="2"/>
      <c r="N371" s="39"/>
      <c r="O371" s="2"/>
      <c r="P371" s="2"/>
    </row>
    <row r="372" spans="1:16" x14ac:dyDescent="0.25">
      <c r="A372" s="103">
        <v>5002</v>
      </c>
      <c r="B372" s="38" t="str">
        <f>IF($A372=0,"",VLOOKUP($A372,'BASE MATERIAL'!$A:$D,2))</f>
        <v>PIEDRA 3-4</v>
      </c>
      <c r="C372" s="2"/>
      <c r="D372" s="77"/>
      <c r="E372" s="78" t="str">
        <f>IF($A372=0,"",VLOOKUP($A372,'BASE MATERIAL'!$A:$D,3))</f>
        <v>M3</v>
      </c>
      <c r="F372" s="55">
        <f>ROUND(F370*0.032*3,2)</f>
        <v>0.08</v>
      </c>
      <c r="G372" s="55">
        <f>IF($A372=0,"",VLOOKUP($A372,'BASE MATERIAL'!$A:$D,4))</f>
        <v>13.75</v>
      </c>
      <c r="H372" s="56">
        <f t="shared" si="34"/>
        <v>1.1000000000000001</v>
      </c>
      <c r="I372" s="2"/>
      <c r="L372" s="2"/>
      <c r="M372" s="2"/>
      <c r="N372" s="39"/>
      <c r="O372" s="2"/>
      <c r="P372" s="2"/>
    </row>
    <row r="373" spans="1:16" x14ac:dyDescent="0.25">
      <c r="A373" s="103">
        <v>5005</v>
      </c>
      <c r="B373" s="38" t="str">
        <f>IF($A373=0,"",VLOOKUP($A373,'BASE MATERIAL'!$A:$D,2))</f>
        <v>AGUA</v>
      </c>
      <c r="C373" s="2"/>
      <c r="D373" s="77"/>
      <c r="E373" s="78" t="str">
        <f>IF($A373=0,"",VLOOKUP($A373,'BASE MATERIAL'!$A:$D,3))</f>
        <v>LT</v>
      </c>
      <c r="F373" s="55">
        <f>26*F370</f>
        <v>22.62</v>
      </c>
      <c r="G373" s="80">
        <f>IF($A373=0,"",VLOOKUP($A373,'BASE MATERIAL'!$A:$D,4))</f>
        <v>2E-3</v>
      </c>
      <c r="H373" s="56">
        <f t="shared" si="34"/>
        <v>0.05</v>
      </c>
      <c r="I373" s="2"/>
    </row>
    <row r="374" spans="1:16" x14ac:dyDescent="0.25">
      <c r="B374" s="38" t="str">
        <f>IF($A374=0,"",VLOOKUP($A374,'BASE MATERIAL'!$A:$D,2))</f>
        <v/>
      </c>
      <c r="C374" s="2"/>
      <c r="D374" s="77"/>
      <c r="E374" s="78" t="str">
        <f>IF($A374=0,"",VLOOKUP($A374,'BASE MATERIAL'!$A:$D,3))</f>
        <v/>
      </c>
      <c r="F374" s="55"/>
      <c r="G374" s="55" t="str">
        <f>IF($A374=0,"",VLOOKUP($A374,'BASE MATERIAL'!$A:$D,4))</f>
        <v/>
      </c>
      <c r="H374" s="56" t="str">
        <f t="shared" si="34"/>
        <v/>
      </c>
      <c r="I374" s="2"/>
      <c r="L374" s="2"/>
      <c r="M374" s="2"/>
      <c r="N374" s="39"/>
      <c r="O374" s="2"/>
      <c r="P374" s="2"/>
    </row>
    <row r="375" spans="1:16" x14ac:dyDescent="0.25">
      <c r="B375" s="38" t="str">
        <f>IF($A375=0,"",VLOOKUP($A375,'BASE MATERIAL'!$A:$D,2))</f>
        <v/>
      </c>
      <c r="C375" s="2"/>
      <c r="D375" s="77"/>
      <c r="E375" s="78" t="str">
        <f>IF($A375=0,"",VLOOKUP($A375,'BASE MATERIAL'!$A:$D,3))</f>
        <v/>
      </c>
      <c r="F375" s="55"/>
      <c r="G375" s="55" t="str">
        <f>IF($A375=0,"",VLOOKUP($A375,'BASE MATERIAL'!$A:$D,4))</f>
        <v/>
      </c>
      <c r="H375" s="56" t="str">
        <f t="shared" si="34"/>
        <v/>
      </c>
      <c r="I375" s="2"/>
      <c r="L375" s="2"/>
      <c r="M375" s="2"/>
      <c r="N375" s="39"/>
      <c r="O375" s="2"/>
      <c r="P375" s="2"/>
    </row>
    <row r="376" spans="1:16" x14ac:dyDescent="0.25">
      <c r="B376" s="38" t="str">
        <f>IF($A376=0,"",VLOOKUP($A376,'BASE MATERIAL'!$A:$D,2))</f>
        <v/>
      </c>
      <c r="C376" s="2"/>
      <c r="D376" s="77"/>
      <c r="E376" s="78" t="str">
        <f>IF($A376=0,"",VLOOKUP($A376,'BASE MATERIAL'!$A:$D,3))</f>
        <v/>
      </c>
      <c r="F376" s="55"/>
      <c r="G376" s="55" t="str">
        <f>IF($A376=0,"",VLOOKUP($A376,'BASE MATERIAL'!$A:$D,4))</f>
        <v/>
      </c>
      <c r="H376" s="56" t="str">
        <f t="shared" si="34"/>
        <v/>
      </c>
      <c r="I376" s="2"/>
    </row>
    <row r="377" spans="1:16" x14ac:dyDescent="0.25">
      <c r="B377" s="38" t="str">
        <f>IF($A377=0,"",VLOOKUP($A377,'BASE MATERIAL'!$A:$D,2))</f>
        <v/>
      </c>
      <c r="C377" s="2"/>
      <c r="D377" s="77"/>
      <c r="E377" s="78" t="str">
        <f>IF($A377=0,"",VLOOKUP($A377,'BASE MATERIAL'!$A:$D,3))</f>
        <v/>
      </c>
      <c r="F377" s="55"/>
      <c r="G377" s="55" t="str">
        <f>IF($A377=0,"",VLOOKUP($A377,'BASE MATERIAL'!$A:$D,4))</f>
        <v/>
      </c>
      <c r="H377" s="56" t="str">
        <f t="shared" si="34"/>
        <v/>
      </c>
      <c r="I377" s="2"/>
    </row>
    <row r="378" spans="1:16" x14ac:dyDescent="0.25">
      <c r="B378" s="38" t="str">
        <f>IF($A378=0,"",VLOOKUP($A378,'BASE MATERIAL'!$A:$D,2))</f>
        <v/>
      </c>
      <c r="C378" s="2"/>
      <c r="D378" s="77"/>
      <c r="E378" s="78" t="str">
        <f>IF($A378=0,"",VLOOKUP($A378,'BASE MATERIAL'!$A:$D,3))</f>
        <v/>
      </c>
      <c r="F378" s="55"/>
      <c r="G378" s="55" t="str">
        <f>IF($A378=0,"",VLOOKUP($A378,'BASE MATERIAL'!$A:$D,4))</f>
        <v/>
      </c>
      <c r="H378" s="56" t="str">
        <f t="shared" si="34"/>
        <v/>
      </c>
      <c r="I378" s="2"/>
    </row>
    <row r="379" spans="1:16" x14ac:dyDescent="0.25">
      <c r="B379" s="38" t="str">
        <f>IF($A379=0,"",VLOOKUP($A379,'BASE MATERIAL'!$A:$D,2))</f>
        <v/>
      </c>
      <c r="C379" s="2"/>
      <c r="D379" s="77"/>
      <c r="E379" s="78" t="str">
        <f>IF($A379=0,"",VLOOKUP($A379,'BASE MATERIAL'!$A:$D,3))</f>
        <v/>
      </c>
      <c r="F379" s="55"/>
      <c r="G379" s="55" t="str">
        <f>IF($A379=0,"",VLOOKUP($A379,'BASE MATERIAL'!$A:$D,4))</f>
        <v/>
      </c>
      <c r="H379" s="56" t="str">
        <f t="shared" si="34"/>
        <v/>
      </c>
      <c r="I379" s="2"/>
    </row>
    <row r="380" spans="1:16" x14ac:dyDescent="0.25">
      <c r="B380" s="38" t="str">
        <f>IF($A380=0,"",VLOOKUP($A380,'BASE MATERIAL'!$A:$D,2))</f>
        <v/>
      </c>
      <c r="C380" s="2"/>
      <c r="D380" s="81" t="s">
        <v>1682</v>
      </c>
      <c r="E380" s="55" t="str">
        <f>IF($A380=0,"",VLOOKUP($A380,'BASE MATERIAL'!$A:$D,3))</f>
        <v/>
      </c>
      <c r="F380" s="55" t="s">
        <v>1682</v>
      </c>
      <c r="G380" s="55" t="str">
        <f>IF($A380=0,"",VLOOKUP($A380,'BASE MATERIAL'!$A:$D,4))</f>
        <v/>
      </c>
      <c r="H380" s="56" t="str">
        <f>IF($A380=0,"",ROUND(E380*F380,2))</f>
        <v/>
      </c>
      <c r="I380" s="2"/>
    </row>
    <row r="381" spans="1:16" x14ac:dyDescent="0.25">
      <c r="B381" s="73" t="s">
        <v>1681</v>
      </c>
      <c r="C381" s="65"/>
      <c r="D381" s="74"/>
      <c r="E381" s="74"/>
      <c r="F381" s="74"/>
      <c r="G381" s="74"/>
      <c r="H381" s="75">
        <f>ROUND(SUM(H364:H380),2)</f>
        <v>13.68</v>
      </c>
      <c r="I381" s="2"/>
    </row>
    <row r="382" spans="1:16" x14ac:dyDescent="0.25">
      <c r="B382" s="38" t="s">
        <v>1680</v>
      </c>
      <c r="C382" s="2"/>
      <c r="D382" s="3"/>
      <c r="E382" s="3"/>
      <c r="F382" s="3"/>
      <c r="G382" s="3"/>
      <c r="H382" s="56"/>
      <c r="I382" s="2"/>
    </row>
    <row r="383" spans="1:16" ht="25.5" x14ac:dyDescent="0.25">
      <c r="B383" s="64" t="s">
        <v>1409</v>
      </c>
      <c r="C383" s="65"/>
      <c r="D383" s="76"/>
      <c r="E383" s="66" t="s">
        <v>1408</v>
      </c>
      <c r="F383" s="66" t="s">
        <v>1679</v>
      </c>
      <c r="G383" s="66" t="s">
        <v>1676</v>
      </c>
      <c r="H383" s="68" t="s">
        <v>1675</v>
      </c>
      <c r="I383" s="2"/>
    </row>
    <row r="384" spans="1:16" x14ac:dyDescent="0.25">
      <c r="A384" s="103">
        <v>19019</v>
      </c>
      <c r="B384" s="51" t="str">
        <f>IF($A384=0,"",VLOOKUP($A384,'BASE EQUIPO'!$A:$D,2))</f>
        <v>TRANSPORTE DE MATERIAL</v>
      </c>
      <c r="C384" s="52"/>
      <c r="D384" s="82"/>
      <c r="E384" s="78" t="str">
        <f>IF($A384=0,"",VLOOKUP($A384,'BASE EQUIPO'!$A:$D,3))</f>
        <v>GLOBAL</v>
      </c>
      <c r="F384" s="55">
        <v>1</v>
      </c>
      <c r="G384" s="83">
        <f>IF($A384=0,"",VLOOKUP($A384,'BASE EQUIPO'!$A:$D,4)*H381)</f>
        <v>0.41039999999999999</v>
      </c>
      <c r="H384" s="56">
        <f>IF($A384=0,"",ROUND(F384*G384,2))</f>
        <v>0.41</v>
      </c>
      <c r="I384" s="2"/>
    </row>
    <row r="385" spans="1:15" x14ac:dyDescent="0.25">
      <c r="B385" s="38" t="str">
        <f>IF($A385=0,"",VLOOKUP($A385,'BASE EQUIPO'!$A:$D,2))</f>
        <v/>
      </c>
      <c r="C385" s="2"/>
      <c r="D385" s="84"/>
      <c r="E385" s="78" t="str">
        <f>IF($A385=0,"",VLOOKUP($A385,'BASE EQUIPO'!$A:$D,3))</f>
        <v/>
      </c>
      <c r="F385" s="55"/>
      <c r="G385" s="55" t="str">
        <f>IF($A385=0,"",VLOOKUP($A385,'BASE EQUIPO'!$A:$D,4)*H382)</f>
        <v/>
      </c>
      <c r="H385" s="56" t="str">
        <f>IF($A385=0,"",ROUND(F385*G385,2))</f>
        <v/>
      </c>
      <c r="I385" s="2"/>
    </row>
    <row r="386" spans="1:15" x14ac:dyDescent="0.25">
      <c r="B386" s="57" t="str">
        <f>IF($A386=0,"",VLOOKUP($A386,'BASE EQUIPO'!$A:$D,2))</f>
        <v/>
      </c>
      <c r="C386" s="58"/>
      <c r="D386" s="85"/>
      <c r="E386" s="86" t="str">
        <f>IF($A386=0,"",VLOOKUP($A386,'BASE EQUIPO'!$A:$D,3))</f>
        <v/>
      </c>
      <c r="F386" s="59"/>
      <c r="G386" s="59" t="str">
        <f>IF($A386=0,"",VLOOKUP($A386,'BASE EQUIPO'!$A:$D,4)*H383)</f>
        <v/>
      </c>
      <c r="H386" s="60" t="str">
        <f>IF($A386=0,"",ROUND(F386*G386,2))</f>
        <v/>
      </c>
      <c r="I386" s="2"/>
    </row>
    <row r="387" spans="1:15" ht="15.75" thickBot="1" x14ac:dyDescent="0.3">
      <c r="B387" s="87" t="s">
        <v>1674</v>
      </c>
      <c r="C387" s="88"/>
      <c r="D387" s="89"/>
      <c r="E387" s="89"/>
      <c r="F387" s="89"/>
      <c r="G387" s="89"/>
      <c r="H387" s="90">
        <f>ROUND(SUM(H383:H386),2)</f>
        <v>0.41</v>
      </c>
      <c r="I387" s="2"/>
    </row>
    <row r="388" spans="1:15" ht="15.75" x14ac:dyDescent="0.25">
      <c r="B388" s="2"/>
      <c r="C388" s="2"/>
      <c r="D388" s="91" t="s">
        <v>1673</v>
      </c>
      <c r="E388" s="47"/>
      <c r="F388" s="47"/>
      <c r="G388" s="47"/>
      <c r="H388" s="92">
        <f>ROUND(SUM(H387,H381,H362,H352),2)</f>
        <v>24.64</v>
      </c>
      <c r="I388" s="2"/>
    </row>
    <row r="389" spans="1:15" ht="15.75" x14ac:dyDescent="0.25">
      <c r="A389" s="103">
        <v>40002</v>
      </c>
      <c r="B389" s="2"/>
      <c r="C389" s="2"/>
      <c r="D389" s="93" t="s">
        <v>1672</v>
      </c>
      <c r="E389" s="65"/>
      <c r="F389" s="65"/>
      <c r="G389" s="94">
        <f>IF($A389=0,"",VLOOKUP($A389,'BASE MATERIAL'!$M:$P,4))</f>
        <v>0</v>
      </c>
      <c r="H389" s="95">
        <f>IF($A389=0,"",ROUND(G389*H388,2))</f>
        <v>0</v>
      </c>
      <c r="I389" s="2"/>
    </row>
    <row r="390" spans="1:15" ht="15.75" x14ac:dyDescent="0.25">
      <c r="A390" s="103">
        <v>40003</v>
      </c>
      <c r="B390" s="2"/>
      <c r="C390" s="2"/>
      <c r="D390" s="93" t="s">
        <v>1671</v>
      </c>
      <c r="E390" s="65"/>
      <c r="F390" s="65"/>
      <c r="G390" s="94">
        <f>IF($A390=0,"",VLOOKUP($A390,'BASE MATERIAL'!$M:$P,4))</f>
        <v>0</v>
      </c>
      <c r="H390" s="95">
        <f>IF($A390=0,"",ROUND(G390*H388,2))</f>
        <v>0</v>
      </c>
      <c r="I390" s="2"/>
    </row>
    <row r="391" spans="1:15" ht="15.75" x14ac:dyDescent="0.25">
      <c r="B391" s="2"/>
      <c r="C391" s="2"/>
      <c r="D391" s="93" t="s">
        <v>1670</v>
      </c>
      <c r="E391" s="65"/>
      <c r="F391" s="65"/>
      <c r="G391" s="65"/>
      <c r="H391" s="96">
        <f>ROUND(SUM(H388:H390),2)</f>
        <v>24.64</v>
      </c>
      <c r="I391" s="2"/>
    </row>
    <row r="392" spans="1:15" ht="16.5" thickBot="1" x14ac:dyDescent="0.3">
      <c r="B392" s="25"/>
      <c r="C392" s="2"/>
      <c r="D392" s="97" t="s">
        <v>1650</v>
      </c>
      <c r="E392" s="88"/>
      <c r="F392" s="88"/>
      <c r="G392" s="88"/>
      <c r="H392" s="98">
        <f>ROUND(H391,2)</f>
        <v>24.64</v>
      </c>
      <c r="I392" s="2"/>
    </row>
    <row r="393" spans="1:15" ht="15.75" x14ac:dyDescent="0.25">
      <c r="B393" s="34" t="s">
        <v>1701</v>
      </c>
      <c r="C393" s="2"/>
      <c r="D393" s="3" t="str">
        <f>'1.9'!$D$113</f>
        <v>ESPOL</v>
      </c>
      <c r="E393" s="2"/>
      <c r="F393" s="2"/>
      <c r="H393" s="2" t="s">
        <v>108</v>
      </c>
      <c r="I393" s="2"/>
      <c r="L393" s="40">
        <f>A397</f>
        <v>28</v>
      </c>
      <c r="M393" s="1" t="str">
        <f>C398</f>
        <v>Pasamano de mampostería (MP) en rampas para minusválidos. (inc. Enlucido)</v>
      </c>
      <c r="N393" s="2" t="str">
        <f>H397</f>
        <v>ml</v>
      </c>
      <c r="O393" s="2">
        <f>H448</f>
        <v>67.73</v>
      </c>
    </row>
    <row r="394" spans="1:15" ht="15.75" x14ac:dyDescent="0.25">
      <c r="B394" s="34" t="s">
        <v>1700</v>
      </c>
      <c r="C394" s="3">
        <f>'1.1'!$C$2</f>
        <v>0</v>
      </c>
      <c r="D394" s="2"/>
      <c r="E394" s="2"/>
      <c r="F394" s="2"/>
      <c r="G394" s="41" t="s">
        <v>1699</v>
      </c>
      <c r="H394" s="42"/>
      <c r="I394" s="2" t="s">
        <v>1698</v>
      </c>
    </row>
    <row r="395" spans="1:15" ht="15.75" x14ac:dyDescent="0.25">
      <c r="B395" s="34"/>
      <c r="C395" s="3">
        <f>'1.1'!$C$3</f>
        <v>0</v>
      </c>
      <c r="D395" s="2"/>
      <c r="E395" s="2"/>
      <c r="F395" s="2"/>
      <c r="G395" s="2"/>
      <c r="H395" s="2"/>
      <c r="I395" s="2"/>
    </row>
    <row r="396" spans="1:15" ht="15.75" x14ac:dyDescent="0.25">
      <c r="B396" s="34" t="s">
        <v>1697</v>
      </c>
      <c r="C396" s="3"/>
      <c r="D396" s="2"/>
      <c r="E396" s="2"/>
      <c r="F396" s="2"/>
      <c r="G396" s="2"/>
      <c r="H396" s="2"/>
      <c r="I396" s="2"/>
    </row>
    <row r="397" spans="1:15" x14ac:dyDescent="0.25">
      <c r="A397" s="104">
        <v>28</v>
      </c>
      <c r="B397" s="2" t="s">
        <v>1586</v>
      </c>
      <c r="C397" s="36" t="s">
        <v>692</v>
      </c>
      <c r="D397" s="2"/>
      <c r="G397" s="2" t="s">
        <v>1696</v>
      </c>
      <c r="H397" s="3" t="s">
        <v>961</v>
      </c>
      <c r="I397" s="2"/>
    </row>
    <row r="398" spans="1:15" x14ac:dyDescent="0.25">
      <c r="B398" s="1" t="s">
        <v>1585</v>
      </c>
      <c r="C398" s="36" t="s">
        <v>226</v>
      </c>
      <c r="D398" s="2"/>
      <c r="E398" s="2"/>
      <c r="F398" s="2"/>
      <c r="G398" s="2"/>
      <c r="H398" s="2"/>
      <c r="I398" s="2"/>
    </row>
    <row r="399" spans="1:15" ht="15.75" thickBot="1" x14ac:dyDescent="0.3">
      <c r="D399" s="2"/>
      <c r="E399" s="2"/>
      <c r="F399" s="2"/>
      <c r="G399" s="2"/>
      <c r="H399" s="2"/>
      <c r="I399" s="2"/>
    </row>
    <row r="400" spans="1:15" ht="15.75" thickBot="1" x14ac:dyDescent="0.3">
      <c r="B400" s="43" t="s">
        <v>1695</v>
      </c>
      <c r="C400" s="44"/>
      <c r="D400" s="44"/>
      <c r="E400" s="44"/>
      <c r="F400" s="44"/>
      <c r="G400" s="44"/>
      <c r="H400" s="45"/>
      <c r="I400" s="2"/>
    </row>
    <row r="401" spans="1:11" ht="25.5" x14ac:dyDescent="0.25">
      <c r="B401" s="46" t="s">
        <v>1409</v>
      </c>
      <c r="C401" s="47"/>
      <c r="D401" s="48" t="s">
        <v>1690</v>
      </c>
      <c r="E401" s="48" t="s">
        <v>1694</v>
      </c>
      <c r="F401" s="48" t="s">
        <v>1693</v>
      </c>
      <c r="G401" s="49" t="s">
        <v>1687</v>
      </c>
      <c r="H401" s="50" t="s">
        <v>1686</v>
      </c>
      <c r="I401" s="2"/>
    </row>
    <row r="402" spans="1:11" x14ac:dyDescent="0.25">
      <c r="A402" s="103">
        <v>19015</v>
      </c>
      <c r="B402" s="51" t="str">
        <f>IF($A402=0,"",VLOOKUP($A402,'BASE EQUIPO'!$A:$D,2))</f>
        <v>HERRAMIENTA MENOR</v>
      </c>
      <c r="C402" s="52"/>
      <c r="D402" s="53">
        <v>1</v>
      </c>
      <c r="E402" s="53">
        <f>IF($A402=0,"",VLOOKUP($A402,'BASE EQUIPO'!$A:$D,4)*H418)</f>
        <v>1.0643999999999998</v>
      </c>
      <c r="F402" s="53">
        <f t="shared" ref="F402:F407" si="35">IF($A402=0,"",ROUND(D402*E402,2))</f>
        <v>1.06</v>
      </c>
      <c r="G402" s="105">
        <v>1</v>
      </c>
      <c r="H402" s="54">
        <f t="shared" ref="H402:H407" si="36">IF($A402=0,"",ROUND(G402*F402,2))</f>
        <v>1.06</v>
      </c>
      <c r="I402" s="2"/>
    </row>
    <row r="403" spans="1:11" x14ac:dyDescent="0.25">
      <c r="A403" s="103">
        <v>19003</v>
      </c>
      <c r="B403" s="38" t="str">
        <f>IF($A403=0,"",VLOOKUP($A403,'BASE EQUIPO'!$A:$D,2))</f>
        <v>CONCRETERA</v>
      </c>
      <c r="C403" s="2"/>
      <c r="D403" s="55">
        <v>1</v>
      </c>
      <c r="E403" s="55">
        <f>IF($A403=0,"",VLOOKUP($A403,'BASE EQUIPO'!$A:$D,4))</f>
        <v>3.5</v>
      </c>
      <c r="F403" s="55">
        <f t="shared" si="35"/>
        <v>3.5</v>
      </c>
      <c r="G403" s="106">
        <f>+G412*0.25</f>
        <v>0.375</v>
      </c>
      <c r="H403" s="56">
        <f t="shared" si="36"/>
        <v>1.31</v>
      </c>
      <c r="I403" s="2"/>
    </row>
    <row r="404" spans="1:11" x14ac:dyDescent="0.25">
      <c r="B404" s="38" t="str">
        <f>IF($A404=0,"",VLOOKUP($A404,'BASE EQUIPO'!$A:$D,2))</f>
        <v/>
      </c>
      <c r="C404" s="2"/>
      <c r="D404" s="55"/>
      <c r="E404" s="55" t="str">
        <f>IF($A404=0,"",VLOOKUP($A404,'BASE EQUIPO'!$A:$D,4))</f>
        <v/>
      </c>
      <c r="F404" s="55" t="str">
        <f t="shared" si="35"/>
        <v/>
      </c>
      <c r="G404" s="106"/>
      <c r="H404" s="56" t="str">
        <f t="shared" si="36"/>
        <v/>
      </c>
      <c r="I404" s="2"/>
    </row>
    <row r="405" spans="1:11" x14ac:dyDescent="0.25">
      <c r="B405" s="38" t="str">
        <f>IF($A405=0,"",VLOOKUP($A405,'BASE EQUIPO'!$A:$D,2))</f>
        <v/>
      </c>
      <c r="C405" s="2"/>
      <c r="D405" s="55"/>
      <c r="E405" s="55" t="str">
        <f>IF($A405=0,"",VLOOKUP($A405,'BASE EQUIPO'!$A:$D,4))</f>
        <v/>
      </c>
      <c r="F405" s="55" t="str">
        <f t="shared" si="35"/>
        <v/>
      </c>
      <c r="G405" s="106"/>
      <c r="H405" s="56" t="str">
        <f t="shared" si="36"/>
        <v/>
      </c>
      <c r="I405" s="2"/>
    </row>
    <row r="406" spans="1:11" x14ac:dyDescent="0.25">
      <c r="B406" s="38" t="str">
        <f>IF($A406=0,"",VLOOKUP($A406,'BASE EQUIPO'!$A:$D,2))</f>
        <v/>
      </c>
      <c r="C406" s="2"/>
      <c r="D406" s="55"/>
      <c r="E406" s="55" t="str">
        <f>IF($A406=0,"",VLOOKUP($A406,'BASE EQUIPO'!$A:$D,4))</f>
        <v/>
      </c>
      <c r="F406" s="55" t="str">
        <f t="shared" si="35"/>
        <v/>
      </c>
      <c r="G406" s="106"/>
      <c r="H406" s="56" t="str">
        <f t="shared" si="36"/>
        <v/>
      </c>
      <c r="I406" s="2"/>
    </row>
    <row r="407" spans="1:11" x14ac:dyDescent="0.25">
      <c r="B407" s="57" t="str">
        <f>IF($A407=0,"",VLOOKUP($A407,'BASE EQUIPO'!$A:$D,2))</f>
        <v/>
      </c>
      <c r="C407" s="58"/>
      <c r="D407" s="59"/>
      <c r="E407" s="59" t="str">
        <f>IF($A407=0,"",VLOOKUP($A407,'BASE EQUIPO'!$A:$D,4))</f>
        <v/>
      </c>
      <c r="F407" s="59" t="str">
        <f t="shared" si="35"/>
        <v/>
      </c>
      <c r="G407" s="107"/>
      <c r="H407" s="60" t="str">
        <f t="shared" si="36"/>
        <v/>
      </c>
      <c r="I407" s="2"/>
    </row>
    <row r="408" spans="1:11" x14ac:dyDescent="0.25">
      <c r="B408" s="57" t="s">
        <v>1692</v>
      </c>
      <c r="C408" s="58"/>
      <c r="D408" s="61"/>
      <c r="E408" s="61"/>
      <c r="F408" s="61"/>
      <c r="G408" s="62"/>
      <c r="H408" s="60">
        <f>ROUND(SUM(H401:H407),2)</f>
        <v>2.37</v>
      </c>
      <c r="I408" s="2"/>
    </row>
    <row r="409" spans="1:11" x14ac:dyDescent="0.25">
      <c r="B409" s="38" t="s">
        <v>1503</v>
      </c>
      <c r="C409" s="2"/>
      <c r="D409" s="3"/>
      <c r="E409" s="3"/>
      <c r="F409" s="3"/>
      <c r="G409" s="63"/>
      <c r="H409" s="56"/>
      <c r="I409" s="2"/>
    </row>
    <row r="410" spans="1:11" ht="25.5" x14ac:dyDescent="0.25">
      <c r="B410" s="64" t="s">
        <v>1691</v>
      </c>
      <c r="C410" s="65"/>
      <c r="D410" s="66" t="s">
        <v>1690</v>
      </c>
      <c r="E410" s="66" t="s">
        <v>1689</v>
      </c>
      <c r="F410" s="66" t="s">
        <v>1688</v>
      </c>
      <c r="G410" s="67" t="s">
        <v>1687</v>
      </c>
      <c r="H410" s="68" t="s">
        <v>1686</v>
      </c>
      <c r="I410" s="2"/>
    </row>
    <row r="411" spans="1:11" x14ac:dyDescent="0.25">
      <c r="A411" s="103">
        <v>20001</v>
      </c>
      <c r="B411" s="69" t="str">
        <f>IF($A411=0,"",VLOOKUP($A411,'BASE M-OBRA'!$A:$D,2))</f>
        <v>MAESTRO</v>
      </c>
      <c r="C411" s="2"/>
      <c r="D411" s="108">
        <v>1</v>
      </c>
      <c r="E411" s="70">
        <f>IF($A411=0,"",VLOOKUP($A411,'BASE M-OBRA'!$A:$D,4))</f>
        <v>3.02</v>
      </c>
      <c r="F411" s="55">
        <f t="shared" ref="F411:F417" si="37">IF($A411=0,"",ROUND(D411*E411,2))</f>
        <v>3.02</v>
      </c>
      <c r="G411" s="106">
        <f>IF($A411=0,"",ROUND(H411/F411,2))</f>
        <v>1.96</v>
      </c>
      <c r="H411" s="56">
        <f>IF($A411=0,"",ROUND(SUM(H412:H417)*'BASE M-OBRA'!$D$23,2))</f>
        <v>5.91</v>
      </c>
      <c r="I411" s="2"/>
    </row>
    <row r="412" spans="1:11" x14ac:dyDescent="0.25">
      <c r="A412" s="103">
        <v>20002</v>
      </c>
      <c r="B412" s="69" t="str">
        <f>IF($A412=0,"",VLOOKUP($A412,'BASE M-OBRA'!$A:$D,2))</f>
        <v>PEON</v>
      </c>
      <c r="C412" s="2"/>
      <c r="D412" s="108">
        <v>1</v>
      </c>
      <c r="E412" s="70">
        <f>IF($A412=0,"",VLOOKUP($A412,'BASE M-OBRA'!$A:$D,4))</f>
        <v>2.79</v>
      </c>
      <c r="F412" s="55">
        <f t="shared" si="37"/>
        <v>2.79</v>
      </c>
      <c r="G412" s="106">
        <v>1.5</v>
      </c>
      <c r="H412" s="56">
        <f t="shared" ref="H412:H417" si="38">IF($A412=0,"",ROUND(G412*F412,2))</f>
        <v>4.1900000000000004</v>
      </c>
      <c r="I412" s="2"/>
      <c r="K412" s="1">
        <f>0.1*75</f>
        <v>7.5</v>
      </c>
    </row>
    <row r="413" spans="1:11" x14ac:dyDescent="0.25">
      <c r="A413" s="103">
        <v>20003</v>
      </c>
      <c r="B413" s="69" t="str">
        <f>IF($A413=0,"",VLOOKUP($A413,'BASE M-OBRA'!$A:$D,2))</f>
        <v>ALBAÑIL</v>
      </c>
      <c r="C413" s="2"/>
      <c r="D413" s="108">
        <v>2</v>
      </c>
      <c r="E413" s="70">
        <f>IF($A413=0,"",VLOOKUP($A413,'BASE M-OBRA'!$A:$D,4))</f>
        <v>2.82</v>
      </c>
      <c r="F413" s="55">
        <f t="shared" si="37"/>
        <v>5.64</v>
      </c>
      <c r="G413" s="106">
        <f>+G412</f>
        <v>1.5</v>
      </c>
      <c r="H413" s="56">
        <f t="shared" si="38"/>
        <v>8.4600000000000009</v>
      </c>
      <c r="I413" s="2"/>
      <c r="K413" s="1">
        <f>1.2*3</f>
        <v>3.5999999999999996</v>
      </c>
    </row>
    <row r="414" spans="1:11" x14ac:dyDescent="0.25">
      <c r="A414" s="103">
        <v>20004</v>
      </c>
      <c r="B414" s="71" t="str">
        <f>IF($A414=0,"",VLOOKUP($A414,'BASE M-OBRA'!$A:$D,2))</f>
        <v>CARPINTERO</v>
      </c>
      <c r="C414" s="2"/>
      <c r="D414" s="108">
        <v>2</v>
      </c>
      <c r="E414" s="70">
        <f>IF($A414=0,"",VLOOKUP($A414,'BASE M-OBRA'!$A:$D,4))</f>
        <v>2.82</v>
      </c>
      <c r="F414" s="55">
        <f t="shared" si="37"/>
        <v>5.64</v>
      </c>
      <c r="G414" s="106">
        <f>+G413</f>
        <v>1.5</v>
      </c>
      <c r="H414" s="56">
        <f t="shared" si="38"/>
        <v>8.4600000000000009</v>
      </c>
      <c r="I414" s="2"/>
    </row>
    <row r="415" spans="1:11" x14ac:dyDescent="0.25">
      <c r="A415" s="103">
        <v>20005</v>
      </c>
      <c r="B415" s="72" t="str">
        <f>IF($A415=0,"",VLOOKUP($A415,'BASE M-OBRA'!$A:$D,2))</f>
        <v>FIERRERO</v>
      </c>
      <c r="C415" s="2"/>
      <c r="D415" s="108">
        <v>2</v>
      </c>
      <c r="E415" s="70">
        <f>IF($A415=0,"",VLOOKUP($A415,'BASE M-OBRA'!$A:$D,4))</f>
        <v>2.82</v>
      </c>
      <c r="F415" s="55">
        <f t="shared" si="37"/>
        <v>5.64</v>
      </c>
      <c r="G415" s="106">
        <f>+G412</f>
        <v>1.5</v>
      </c>
      <c r="H415" s="56">
        <f t="shared" si="38"/>
        <v>8.4600000000000009</v>
      </c>
      <c r="I415" s="2"/>
    </row>
    <row r="416" spans="1:11" x14ac:dyDescent="0.25">
      <c r="B416" s="38" t="str">
        <f>IF($A416=0,"",VLOOKUP($A416,'BASE M-OBRA'!$A:$D,2))</f>
        <v/>
      </c>
      <c r="C416" s="2"/>
      <c r="D416" s="55"/>
      <c r="E416" s="55" t="str">
        <f>IF($A416=0,"",VLOOKUP($A416,'BASE M-OBRA'!$A:$D,4))</f>
        <v/>
      </c>
      <c r="F416" s="55" t="str">
        <f t="shared" si="37"/>
        <v/>
      </c>
      <c r="G416" s="106"/>
      <c r="H416" s="56" t="str">
        <f t="shared" si="38"/>
        <v/>
      </c>
      <c r="I416" s="2"/>
    </row>
    <row r="417" spans="1:16" x14ac:dyDescent="0.25">
      <c r="B417" s="57" t="str">
        <f>IF($A417=0,"",VLOOKUP($A417,'BASE M-OBRA'!$A:$D,2))</f>
        <v/>
      </c>
      <c r="C417" s="58"/>
      <c r="D417" s="59"/>
      <c r="E417" s="59" t="str">
        <f>IF($A417=0,"",VLOOKUP($A417,'BASE M-OBRA'!$A:$D,4))</f>
        <v/>
      </c>
      <c r="F417" s="59" t="str">
        <f t="shared" si="37"/>
        <v/>
      </c>
      <c r="G417" s="107"/>
      <c r="H417" s="60" t="str">
        <f t="shared" si="38"/>
        <v/>
      </c>
      <c r="I417" s="2"/>
    </row>
    <row r="418" spans="1:16" x14ac:dyDescent="0.25">
      <c r="B418" s="73" t="s">
        <v>1685</v>
      </c>
      <c r="C418" s="65"/>
      <c r="D418" s="74"/>
      <c r="E418" s="74"/>
      <c r="F418" s="74"/>
      <c r="G418" s="74"/>
      <c r="H418" s="75">
        <f>ROUND(SUM(H410:H417),2)</f>
        <v>35.479999999999997</v>
      </c>
      <c r="I418" s="2"/>
      <c r="K418" s="1">
        <f>3.5+3.5*2+2.5*3</f>
        <v>18</v>
      </c>
    </row>
    <row r="419" spans="1:16" x14ac:dyDescent="0.25">
      <c r="B419" s="38" t="s">
        <v>1684</v>
      </c>
      <c r="C419" s="2"/>
      <c r="D419" s="3"/>
      <c r="E419" s="3"/>
      <c r="F419" s="3"/>
      <c r="G419" s="3"/>
      <c r="H419" s="56"/>
      <c r="I419" s="2"/>
    </row>
    <row r="420" spans="1:16" ht="25.5" x14ac:dyDescent="0.25">
      <c r="B420" s="64" t="s">
        <v>1409</v>
      </c>
      <c r="C420" s="65"/>
      <c r="D420" s="76"/>
      <c r="E420" s="66" t="s">
        <v>1408</v>
      </c>
      <c r="F420" s="66" t="s">
        <v>1679</v>
      </c>
      <c r="G420" s="66" t="s">
        <v>1683</v>
      </c>
      <c r="H420" s="68" t="s">
        <v>1675</v>
      </c>
      <c r="I420" s="2"/>
    </row>
    <row r="421" spans="1:16" x14ac:dyDescent="0.25">
      <c r="A421" s="103">
        <v>4001</v>
      </c>
      <c r="B421" s="38" t="str">
        <f>IF($A421=0,"",VLOOKUP($A421,'BASE MATERIAL'!$A:$D,2))</f>
        <v>CEMENTO</v>
      </c>
      <c r="C421" s="2"/>
      <c r="D421" s="77"/>
      <c r="E421" s="78" t="str">
        <f>IF($A421=0,"",VLOOKUP($A421,'BASE MATERIAL'!$A:$D,3))</f>
        <v>SACO</v>
      </c>
      <c r="F421" s="55">
        <f>ROUND(8*0.14*0.025*10*1.1,3)+0.2*2.1</f>
        <v>0.72799999999999998</v>
      </c>
      <c r="G421" s="55">
        <f>IF($A421=0,"",VLOOKUP($A421,'BASE MATERIAL'!$A:$D,4))</f>
        <v>7.09</v>
      </c>
      <c r="H421" s="56">
        <f t="shared" ref="H421:H435" si="39">IF($A421=0,"",ROUND(F421*G421,2))</f>
        <v>5.16</v>
      </c>
      <c r="I421" s="2"/>
      <c r="L421" s="2"/>
      <c r="M421" s="2"/>
      <c r="N421" s="39"/>
      <c r="O421" s="2"/>
      <c r="P421" s="2"/>
    </row>
    <row r="422" spans="1:16" x14ac:dyDescent="0.25">
      <c r="A422" s="103">
        <v>5004</v>
      </c>
      <c r="B422" s="38" t="str">
        <f>IF($A422=0,"",VLOOKUP($A422,'BASE MATERIAL'!$A:$D,2))</f>
        <v>ARENA</v>
      </c>
      <c r="C422" s="2"/>
      <c r="D422" s="77"/>
      <c r="E422" s="78" t="str">
        <f>IF($A422=0,"",VLOOKUP($A422,'BASE MATERIAL'!$A:$D,3))</f>
        <v>M3</v>
      </c>
      <c r="F422" s="55">
        <f>ROUND(F421*0.032*3,2)</f>
        <v>7.0000000000000007E-2</v>
      </c>
      <c r="G422" s="55">
        <f>IF($A422=0,"",VLOOKUP($A422,'BASE MATERIAL'!$A:$D,4))</f>
        <v>12.276249999999999</v>
      </c>
      <c r="H422" s="56">
        <f t="shared" si="39"/>
        <v>0.86</v>
      </c>
      <c r="I422" s="2"/>
      <c r="L422" s="2"/>
      <c r="M422" s="2"/>
      <c r="N422" s="39"/>
      <c r="O422" s="2"/>
      <c r="P422" s="2"/>
    </row>
    <row r="423" spans="1:16" x14ac:dyDescent="0.25">
      <c r="A423" s="103">
        <v>5005</v>
      </c>
      <c r="B423" s="38" t="str">
        <f>IF($A423=0,"",VLOOKUP($A423,'BASE MATERIAL'!$A:$D,2))</f>
        <v>AGUA</v>
      </c>
      <c r="C423" s="2"/>
      <c r="D423" s="77"/>
      <c r="E423" s="78" t="str">
        <f>IF($A423=0,"",VLOOKUP($A423,'BASE MATERIAL'!$A:$D,3))</f>
        <v>LT</v>
      </c>
      <c r="F423" s="55">
        <f>ROUND(30*F421,2)</f>
        <v>21.84</v>
      </c>
      <c r="G423" s="80">
        <f>IF($A423=0,"",VLOOKUP($A423,'BASE MATERIAL'!$A:$D,4))</f>
        <v>2E-3</v>
      </c>
      <c r="H423" s="56">
        <f t="shared" si="39"/>
        <v>0.04</v>
      </c>
      <c r="I423" s="2"/>
      <c r="L423" s="2"/>
      <c r="M423" s="2"/>
      <c r="N423" s="39"/>
      <c r="O423" s="2"/>
      <c r="P423" s="2"/>
    </row>
    <row r="424" spans="1:16" x14ac:dyDescent="0.25">
      <c r="A424" s="103">
        <v>8006</v>
      </c>
      <c r="B424" s="38" t="str">
        <f>IF($A424=0,"",VLOOKUP($A424,'BASE MATERIAL'!$A:$D,2))</f>
        <v>BLOQUE DE CONCRETO 14x19x39 PL14</v>
      </c>
      <c r="C424" s="2"/>
      <c r="D424" s="77"/>
      <c r="E424" s="78" t="str">
        <f>IF($A424=0,"",VLOOKUP($A424,'BASE MATERIAL'!$A:$D,3))</f>
        <v>U</v>
      </c>
      <c r="F424" s="55">
        <v>12.5</v>
      </c>
      <c r="G424" s="55">
        <f>IF($A424=0,"",VLOOKUP($A424,'BASE MATERIAL'!$A:$D,4))</f>
        <v>0.5</v>
      </c>
      <c r="H424" s="56">
        <f t="shared" si="39"/>
        <v>6.25</v>
      </c>
      <c r="I424" s="2"/>
      <c r="L424" s="2"/>
      <c r="M424" s="2"/>
      <c r="N424" s="39"/>
      <c r="O424" s="2"/>
      <c r="P424" s="2"/>
    </row>
    <row r="425" spans="1:16" x14ac:dyDescent="0.25">
      <c r="A425" s="103">
        <v>1001</v>
      </c>
      <c r="B425" s="38" t="str">
        <f>IF($A425=0,"",VLOOKUP($A425,'BASE MATERIAL'!$A:$D,2))</f>
        <v>HIERRO</v>
      </c>
      <c r="C425" s="2"/>
      <c r="D425" s="77"/>
      <c r="E425" s="78" t="str">
        <f>IF($A425=0,"",VLOOKUP($A425,'BASE MATERIAL'!$A:$D,3))</f>
        <v>KG</v>
      </c>
      <c r="F425" s="55">
        <v>0.3</v>
      </c>
      <c r="G425" s="55">
        <f>IF($A425=0,"",VLOOKUP($A425,'BASE MATERIAL'!$A:$D,4))</f>
        <v>1.17</v>
      </c>
      <c r="H425" s="56">
        <f t="shared" si="39"/>
        <v>0.35</v>
      </c>
      <c r="I425" s="2"/>
      <c r="L425" s="2"/>
      <c r="M425" s="2"/>
      <c r="N425" s="39"/>
      <c r="O425" s="2"/>
      <c r="P425" s="2"/>
    </row>
    <row r="426" spans="1:16" x14ac:dyDescent="0.25">
      <c r="A426" s="103">
        <v>11008</v>
      </c>
      <c r="B426" s="37" t="str">
        <f>IF($A426=0,"",VLOOKUP($A426,'BASE MATERIAL'!$A:$D,2))</f>
        <v>TABLA</v>
      </c>
      <c r="C426" s="2"/>
      <c r="D426" s="77"/>
      <c r="E426" s="78" t="str">
        <f>IF($A426=0,"",VLOOKUP($A426,'BASE MATERIAL'!$A:$D,3))</f>
        <v>U</v>
      </c>
      <c r="F426" s="55">
        <f>ROUND(2/(4*3),2)*2</f>
        <v>0.34</v>
      </c>
      <c r="G426" s="55">
        <f>IF($A426=0,"",VLOOKUP($A426,'BASE MATERIAL'!$A:$D,4))</f>
        <v>3.5</v>
      </c>
      <c r="H426" s="56">
        <f t="shared" si="39"/>
        <v>1.19</v>
      </c>
      <c r="I426" s="2"/>
      <c r="K426" s="1">
        <f>(0.6*2+0.7*2)*1+0.7*0.7</f>
        <v>3.0899999999999994</v>
      </c>
      <c r="L426" s="2"/>
      <c r="M426" s="2"/>
      <c r="N426" s="39"/>
      <c r="O426" s="2"/>
      <c r="P426" s="2"/>
    </row>
    <row r="427" spans="1:16" x14ac:dyDescent="0.25">
      <c r="A427" s="103">
        <v>11009</v>
      </c>
      <c r="B427" s="38" t="str">
        <f>IF($A427=0,"",VLOOKUP($A427,'BASE MATERIAL'!$A:$D,2))</f>
        <v>CUARTON</v>
      </c>
      <c r="C427" s="2"/>
      <c r="D427" s="77"/>
      <c r="E427" s="78" t="str">
        <f>IF($A427=0,"",VLOOKUP($A427,'BASE MATERIAL'!$A:$D,3))</f>
        <v>U</v>
      </c>
      <c r="F427" s="55">
        <f>0.5*2</f>
        <v>1</v>
      </c>
      <c r="G427" s="55">
        <f>IF($A427=0,"",VLOOKUP($A427,'BASE MATERIAL'!$A:$D,4))</f>
        <v>2.42</v>
      </c>
      <c r="H427" s="56">
        <f t="shared" si="39"/>
        <v>2.42</v>
      </c>
      <c r="I427" s="2"/>
      <c r="K427" s="1">
        <f>+K426*0.1</f>
        <v>0.30899999999999994</v>
      </c>
      <c r="L427" s="2"/>
      <c r="M427" s="2"/>
      <c r="N427" s="39"/>
      <c r="O427" s="2"/>
      <c r="P427" s="2"/>
    </row>
    <row r="428" spans="1:16" x14ac:dyDescent="0.25">
      <c r="A428" s="103">
        <v>11007</v>
      </c>
      <c r="B428" s="38" t="str">
        <f>IF($A428=0,"",VLOOKUP($A428,'BASE MATERIAL'!$A:$D,2))</f>
        <v>CLAVO 2 1/2"</v>
      </c>
      <c r="C428" s="2"/>
      <c r="D428" s="77"/>
      <c r="E428" s="78" t="str">
        <f>IF($A428=0,"",VLOOKUP($A428,'BASE MATERIAL'!$A:$D,3))</f>
        <v>KG</v>
      </c>
      <c r="F428" s="55">
        <f>ROUND(0.4*56/(178*1.5),2)*2</f>
        <v>0.16</v>
      </c>
      <c r="G428" s="55">
        <f>IF($A428=0,"",VLOOKUP($A428,'BASE MATERIAL'!$A:$D,4))</f>
        <v>2.6520000000000001</v>
      </c>
      <c r="H428" s="56">
        <f t="shared" si="39"/>
        <v>0.42</v>
      </c>
      <c r="I428" s="2"/>
      <c r="L428" s="2"/>
      <c r="M428" s="2"/>
      <c r="N428" s="39"/>
      <c r="O428" s="2"/>
      <c r="P428" s="2"/>
    </row>
    <row r="429" spans="1:16" x14ac:dyDescent="0.25">
      <c r="A429" s="103">
        <v>1001</v>
      </c>
      <c r="B429" s="38" t="str">
        <f>IF($A429=0,"",VLOOKUP($A429,'BASE MATERIAL'!$A:$D,2))</f>
        <v>HIERRO</v>
      </c>
      <c r="C429" s="2"/>
      <c r="D429" s="77"/>
      <c r="E429" s="78" t="str">
        <f>IF($A429=0,"",VLOOKUP($A429,'BASE MATERIAL'!$A:$D,3))</f>
        <v>KG</v>
      </c>
      <c r="F429" s="55">
        <f>4*2</f>
        <v>8</v>
      </c>
      <c r="G429" s="55">
        <f>IF($A429=0,"",VLOOKUP($A429,'BASE MATERIAL'!$A:$D,4))</f>
        <v>1.17</v>
      </c>
      <c r="H429" s="56">
        <f t="shared" si="39"/>
        <v>9.36</v>
      </c>
      <c r="I429" s="2"/>
      <c r="L429" s="2"/>
      <c r="M429" s="2"/>
      <c r="N429" s="39"/>
      <c r="O429" s="2"/>
      <c r="P429" s="2"/>
    </row>
    <row r="430" spans="1:16" x14ac:dyDescent="0.25">
      <c r="A430" s="103">
        <v>11002</v>
      </c>
      <c r="B430" s="38" t="str">
        <f>IF($A430=0,"",VLOOKUP($A430,'BASE MATERIAL'!$A:$D,2))</f>
        <v>ALAMBRE #18 RECOCIDO</v>
      </c>
      <c r="C430" s="2"/>
      <c r="D430" s="77"/>
      <c r="E430" s="78" t="str">
        <f>IF($A430=0,"",VLOOKUP($A430,'BASE MATERIAL'!$A:$D,3))</f>
        <v>KG</v>
      </c>
      <c r="F430" s="55">
        <f>ROUND(F429*0.02,2)</f>
        <v>0.16</v>
      </c>
      <c r="G430" s="55">
        <f>IF($A430=0,"",VLOOKUP($A430,'BASE MATERIAL'!$A:$D,4))</f>
        <v>1.87</v>
      </c>
      <c r="H430" s="56">
        <f t="shared" si="39"/>
        <v>0.3</v>
      </c>
      <c r="I430" s="2"/>
    </row>
    <row r="431" spans="1:16" x14ac:dyDescent="0.25">
      <c r="A431" s="103">
        <v>4001</v>
      </c>
      <c r="B431" s="38" t="str">
        <f>IF($A431=0,"",VLOOKUP($A431,'BASE MATERIAL'!$A:$D,2))</f>
        <v>CEMENTO</v>
      </c>
      <c r="C431" s="2"/>
      <c r="D431" s="77"/>
      <c r="E431" s="78" t="str">
        <f>IF($A431=0,"",VLOOKUP($A431,'BASE MATERIAL'!$A:$D,3))</f>
        <v>SACO</v>
      </c>
      <c r="F431" s="55">
        <f>ROUND(7.5*0.09*0.2,2)*2</f>
        <v>0.28000000000000003</v>
      </c>
      <c r="G431" s="55">
        <f>IF($A431=0,"",VLOOKUP($A431,'BASE MATERIAL'!$A:$D,4))</f>
        <v>7.09</v>
      </c>
      <c r="H431" s="56">
        <f t="shared" si="39"/>
        <v>1.99</v>
      </c>
      <c r="I431" s="2"/>
      <c r="L431" s="2"/>
      <c r="M431" s="2"/>
      <c r="N431" s="39"/>
      <c r="O431" s="2"/>
      <c r="P431" s="2"/>
    </row>
    <row r="432" spans="1:16" x14ac:dyDescent="0.25">
      <c r="A432" s="103">
        <v>5004</v>
      </c>
      <c r="B432" s="38" t="str">
        <f>IF($A432=0,"",VLOOKUP($A432,'BASE MATERIAL'!$A:$D,2))</f>
        <v>ARENA</v>
      </c>
      <c r="C432" s="2"/>
      <c r="D432" s="77"/>
      <c r="E432" s="78" t="str">
        <f>IF($A432=0,"",VLOOKUP($A432,'BASE MATERIAL'!$A:$D,3))</f>
        <v>M3</v>
      </c>
      <c r="F432" s="55">
        <f>ROUND(F431*0.032*2,2)</f>
        <v>0.02</v>
      </c>
      <c r="G432" s="55">
        <f>IF($A432=0,"",VLOOKUP($A432,'BASE MATERIAL'!$A:$D,4))</f>
        <v>12.276249999999999</v>
      </c>
      <c r="H432" s="56">
        <f t="shared" si="39"/>
        <v>0.25</v>
      </c>
      <c r="I432" s="2"/>
      <c r="L432" s="2"/>
      <c r="M432" s="2"/>
      <c r="N432" s="39"/>
      <c r="O432" s="2"/>
      <c r="P432" s="2"/>
    </row>
    <row r="433" spans="1:11" x14ac:dyDescent="0.25">
      <c r="A433" s="103">
        <v>5002</v>
      </c>
      <c r="B433" s="38" t="str">
        <f>IF($A433=0,"",VLOOKUP($A433,'BASE MATERIAL'!$A:$D,2))</f>
        <v>PIEDRA 3-4</v>
      </c>
      <c r="C433" s="2"/>
      <c r="D433" s="77"/>
      <c r="E433" s="78" t="str">
        <f>IF($A433=0,"",VLOOKUP($A433,'BASE MATERIAL'!$A:$D,3))</f>
        <v>M3</v>
      </c>
      <c r="F433" s="55">
        <f>ROUND(F431*0.032*3,2)</f>
        <v>0.03</v>
      </c>
      <c r="G433" s="55">
        <f>IF($A433=0,"",VLOOKUP($A433,'BASE MATERIAL'!$A:$D,4))</f>
        <v>13.75</v>
      </c>
      <c r="H433" s="56">
        <f t="shared" si="39"/>
        <v>0.41</v>
      </c>
      <c r="I433" s="2"/>
    </row>
    <row r="434" spans="1:11" x14ac:dyDescent="0.25">
      <c r="A434" s="103">
        <v>5005</v>
      </c>
      <c r="B434" s="38" t="str">
        <f>IF($A434=0,"",VLOOKUP($A434,'BASE MATERIAL'!$A:$D,2))</f>
        <v>AGUA</v>
      </c>
      <c r="C434" s="2"/>
      <c r="D434" s="77"/>
      <c r="E434" s="78" t="str">
        <f>IF($A434=0,"",VLOOKUP($A434,'BASE MATERIAL'!$A:$D,3))</f>
        <v>LT</v>
      </c>
      <c r="F434" s="55">
        <f>ROUND(26*F431,2)</f>
        <v>7.28</v>
      </c>
      <c r="G434" s="80">
        <f>IF($A434=0,"",VLOOKUP($A434,'BASE MATERIAL'!$A:$D,4))</f>
        <v>2E-3</v>
      </c>
      <c r="H434" s="56">
        <f t="shared" si="39"/>
        <v>0.01</v>
      </c>
      <c r="I434" s="2"/>
    </row>
    <row r="435" spans="1:11" x14ac:dyDescent="0.25">
      <c r="B435" s="38" t="str">
        <f>IF($A435=0,"",VLOOKUP($A435,'BASE MATERIAL'!$A:$D,2))</f>
        <v/>
      </c>
      <c r="C435" s="2"/>
      <c r="D435" s="77"/>
      <c r="E435" s="78" t="str">
        <f>IF($A435=0,"",VLOOKUP($A435,'BASE MATERIAL'!$A:$D,3))</f>
        <v/>
      </c>
      <c r="F435" s="55"/>
      <c r="G435" s="55"/>
      <c r="H435" s="56" t="str">
        <f t="shared" si="39"/>
        <v/>
      </c>
      <c r="I435" s="2"/>
      <c r="K435" s="1">
        <f>40*0.2*0.888</f>
        <v>7.1040000000000001</v>
      </c>
    </row>
    <row r="436" spans="1:11" x14ac:dyDescent="0.25">
      <c r="B436" s="38" t="str">
        <f>IF($A436=0,"",VLOOKUP($A436,'BASE MATERIAL'!$A:$D,2))</f>
        <v/>
      </c>
      <c r="C436" s="2"/>
      <c r="D436" s="81" t="s">
        <v>1682</v>
      </c>
      <c r="E436" s="55" t="str">
        <f>IF($A436=0,"",VLOOKUP($A436,'BASE MATERIAL'!$A:$D,3))</f>
        <v/>
      </c>
      <c r="F436" s="55" t="s">
        <v>1682</v>
      </c>
      <c r="G436" s="55" t="str">
        <f>IF($A436=0,"",VLOOKUP($A436,'BASE MATERIAL'!$A:$D,4))</f>
        <v/>
      </c>
      <c r="H436" s="56" t="str">
        <f>IF($A436=0,"",ROUND(E436*F436,2))</f>
        <v/>
      </c>
      <c r="I436" s="2"/>
      <c r="K436" s="1">
        <f>7.85*0.1*2*2</f>
        <v>3.14</v>
      </c>
    </row>
    <row r="437" spans="1:11" x14ac:dyDescent="0.25">
      <c r="B437" s="73" t="s">
        <v>1681</v>
      </c>
      <c r="C437" s="65"/>
      <c r="D437" s="74"/>
      <c r="E437" s="74"/>
      <c r="F437" s="74"/>
      <c r="G437" s="74"/>
      <c r="H437" s="75">
        <f>ROUND(SUM(H420:H436),2)</f>
        <v>29.01</v>
      </c>
      <c r="I437" s="2"/>
    </row>
    <row r="438" spans="1:11" x14ac:dyDescent="0.25">
      <c r="B438" s="38" t="s">
        <v>1680</v>
      </c>
      <c r="C438" s="2"/>
      <c r="D438" s="3"/>
      <c r="E438" s="3"/>
      <c r="F438" s="3"/>
      <c r="G438" s="3"/>
      <c r="H438" s="56"/>
      <c r="I438" s="2"/>
    </row>
    <row r="439" spans="1:11" ht="25.5" x14ac:dyDescent="0.25">
      <c r="B439" s="64" t="s">
        <v>1409</v>
      </c>
      <c r="C439" s="65"/>
      <c r="D439" s="76"/>
      <c r="E439" s="66" t="s">
        <v>1408</v>
      </c>
      <c r="F439" s="66" t="s">
        <v>1679</v>
      </c>
      <c r="G439" s="66" t="s">
        <v>1676</v>
      </c>
      <c r="H439" s="68" t="s">
        <v>1675</v>
      </c>
      <c r="I439" s="2"/>
    </row>
    <row r="440" spans="1:11" x14ac:dyDescent="0.25">
      <c r="A440" s="103">
        <v>19019</v>
      </c>
      <c r="B440" s="51" t="str">
        <f>IF($A440=0,"",VLOOKUP($A440,'BASE EQUIPO'!$A:$D,2))</f>
        <v>TRANSPORTE DE MATERIAL</v>
      </c>
      <c r="C440" s="52"/>
      <c r="D440" s="82"/>
      <c r="E440" s="78" t="str">
        <f>IF($A440=0,"",VLOOKUP($A440,'BASE EQUIPO'!$A:$D,3))</f>
        <v>GLOBAL</v>
      </c>
      <c r="F440" s="55">
        <v>1</v>
      </c>
      <c r="G440" s="83">
        <f>IF($A440=0,"",VLOOKUP($A440,'BASE EQUIPO'!$A:$D,4)*H437)</f>
        <v>0.87029999999999996</v>
      </c>
      <c r="H440" s="56">
        <f>IF($A440=0,"",ROUND(F440*G440,2))</f>
        <v>0.87</v>
      </c>
      <c r="I440" s="2"/>
    </row>
    <row r="441" spans="1:11" x14ac:dyDescent="0.25">
      <c r="B441" s="38" t="str">
        <f>IF($A441=0,"",VLOOKUP($A441,'BASE EQUIPO'!$A:$D,2))</f>
        <v/>
      </c>
      <c r="C441" s="2"/>
      <c r="D441" s="84"/>
      <c r="E441" s="78" t="str">
        <f>IF($A441=0,"",VLOOKUP($A441,'BASE EQUIPO'!$A:$D,3))</f>
        <v/>
      </c>
      <c r="F441" s="55"/>
      <c r="G441" s="55" t="str">
        <f>IF($A441=0,"",VLOOKUP($A441,'BASE EQUIPO'!$A:$D,4)*H438)</f>
        <v/>
      </c>
      <c r="H441" s="56" t="str">
        <f>IF($A441=0,"",ROUND(F441*G441,2))</f>
        <v/>
      </c>
      <c r="I441" s="2"/>
    </row>
    <row r="442" spans="1:11" x14ac:dyDescent="0.25">
      <c r="B442" s="57" t="str">
        <f>IF($A442=0,"",VLOOKUP($A442,'BASE EQUIPO'!$A:$D,2))</f>
        <v/>
      </c>
      <c r="C442" s="58"/>
      <c r="D442" s="85"/>
      <c r="E442" s="86" t="str">
        <f>IF($A442=0,"",VLOOKUP($A442,'BASE EQUIPO'!$A:$D,3))</f>
        <v/>
      </c>
      <c r="F442" s="59"/>
      <c r="G442" s="59" t="str">
        <f>IF($A442=0,"",VLOOKUP($A442,'BASE EQUIPO'!$A:$D,4)*H439)</f>
        <v/>
      </c>
      <c r="H442" s="60" t="str">
        <f>IF($A442=0,"",ROUND(F442*G442,2))</f>
        <v/>
      </c>
      <c r="I442" s="2"/>
    </row>
    <row r="443" spans="1:11" ht="15.75" thickBot="1" x14ac:dyDescent="0.3">
      <c r="B443" s="87" t="s">
        <v>1674</v>
      </c>
      <c r="C443" s="88"/>
      <c r="D443" s="89"/>
      <c r="E443" s="89"/>
      <c r="F443" s="89"/>
      <c r="G443" s="89"/>
      <c r="H443" s="90">
        <f>ROUND(SUM(H439:H442),2)</f>
        <v>0.87</v>
      </c>
      <c r="I443" s="2"/>
    </row>
    <row r="444" spans="1:11" ht="15.75" x14ac:dyDescent="0.25">
      <c r="B444" s="2"/>
      <c r="C444" s="2"/>
      <c r="D444" s="91" t="s">
        <v>1673</v>
      </c>
      <c r="E444" s="47"/>
      <c r="F444" s="47"/>
      <c r="G444" s="47"/>
      <c r="H444" s="92">
        <f>ROUND(SUM(H443,H437,H418,H408),2)</f>
        <v>67.73</v>
      </c>
      <c r="I444" s="2"/>
    </row>
    <row r="445" spans="1:11" ht="15.75" x14ac:dyDescent="0.25">
      <c r="A445" s="103">
        <v>40002</v>
      </c>
      <c r="B445" s="2"/>
      <c r="C445" s="2"/>
      <c r="D445" s="93" t="s">
        <v>1672</v>
      </c>
      <c r="E445" s="65"/>
      <c r="F445" s="65"/>
      <c r="G445" s="94">
        <f>IF($A445=0,"",VLOOKUP($A445,'BASE MATERIAL'!$M:$P,4))</f>
        <v>0</v>
      </c>
      <c r="H445" s="95">
        <f>IF($A445=0,"",ROUND(G445*H444,2))</f>
        <v>0</v>
      </c>
      <c r="I445" s="2"/>
    </row>
    <row r="446" spans="1:11" ht="15.75" x14ac:dyDescent="0.25">
      <c r="A446" s="103">
        <v>40003</v>
      </c>
      <c r="B446" s="2"/>
      <c r="C446" s="2"/>
      <c r="D446" s="93" t="s">
        <v>1671</v>
      </c>
      <c r="E446" s="65"/>
      <c r="F446" s="65"/>
      <c r="G446" s="94">
        <f>IF($A446=0,"",VLOOKUP($A446,'BASE MATERIAL'!$M:$P,4))</f>
        <v>0</v>
      </c>
      <c r="H446" s="95">
        <f>IF($A446=0,"",ROUND(G446*H444,2))</f>
        <v>0</v>
      </c>
      <c r="I446" s="2"/>
    </row>
    <row r="447" spans="1:11" ht="15.75" x14ac:dyDescent="0.25">
      <c r="B447" s="2"/>
      <c r="C447" s="2"/>
      <c r="D447" s="93" t="s">
        <v>1670</v>
      </c>
      <c r="E447" s="65"/>
      <c r="F447" s="65"/>
      <c r="G447" s="65"/>
      <c r="H447" s="96">
        <f>ROUND(SUM(H444:H446),2)</f>
        <v>67.73</v>
      </c>
      <c r="I447" s="2"/>
    </row>
    <row r="448" spans="1:11" ht="16.5" thickBot="1" x14ac:dyDescent="0.3">
      <c r="B448" s="25"/>
      <c r="C448" s="2"/>
      <c r="D448" s="97" t="s">
        <v>1650</v>
      </c>
      <c r="E448" s="88"/>
      <c r="F448" s="88"/>
      <c r="G448" s="88"/>
      <c r="H448" s="98">
        <f>ROUND(H447,2)</f>
        <v>67.73</v>
      </c>
      <c r="I448" s="2"/>
    </row>
    <row r="449" spans="1:15" ht="15.75" x14ac:dyDescent="0.25">
      <c r="B449" s="34" t="s">
        <v>1701</v>
      </c>
      <c r="C449" s="2"/>
      <c r="D449" s="3" t="str">
        <f>'1.9'!$D$113</f>
        <v>ESPOL</v>
      </c>
      <c r="E449" s="2"/>
      <c r="F449" s="2"/>
      <c r="H449" s="2" t="s">
        <v>108</v>
      </c>
      <c r="I449" s="2"/>
      <c r="L449" s="40">
        <f>A453</f>
        <v>28</v>
      </c>
      <c r="M449" s="1" t="str">
        <f>C454</f>
        <v>Base Clase 1, incluye transporte</v>
      </c>
      <c r="N449" s="2" t="str">
        <f>H453</f>
        <v>m3</v>
      </c>
      <c r="O449" s="2">
        <f>H504</f>
        <v>13.15</v>
      </c>
    </row>
    <row r="450" spans="1:15" ht="15.75" x14ac:dyDescent="0.25">
      <c r="B450" s="34" t="s">
        <v>1700</v>
      </c>
      <c r="C450" s="3">
        <f>'1.1'!$C$2</f>
        <v>0</v>
      </c>
      <c r="D450" s="2"/>
      <c r="E450" s="2"/>
      <c r="F450" s="2"/>
      <c r="G450" s="41" t="s">
        <v>1699</v>
      </c>
      <c r="H450" s="42"/>
      <c r="I450" s="2" t="s">
        <v>1698</v>
      </c>
    </row>
    <row r="451" spans="1:15" ht="15.75" x14ac:dyDescent="0.25">
      <c r="B451" s="34"/>
      <c r="C451" s="3">
        <f>'1.1'!$C$3</f>
        <v>0</v>
      </c>
      <c r="D451" s="2"/>
      <c r="E451" s="2"/>
      <c r="F451" s="2"/>
      <c r="G451" s="2"/>
      <c r="H451" s="2"/>
      <c r="I451" s="2"/>
    </row>
    <row r="452" spans="1:15" ht="15.75" x14ac:dyDescent="0.25">
      <c r="B452" s="34" t="s">
        <v>1697</v>
      </c>
      <c r="C452" s="3"/>
      <c r="D452" s="2"/>
      <c r="E452" s="2"/>
      <c r="F452" s="2"/>
      <c r="G452" s="2"/>
      <c r="H452" s="2"/>
      <c r="I452" s="2"/>
    </row>
    <row r="453" spans="1:15" x14ac:dyDescent="0.25">
      <c r="A453" s="104">
        <v>28</v>
      </c>
      <c r="B453" s="2" t="s">
        <v>1586</v>
      </c>
      <c r="C453" s="36" t="s">
        <v>693</v>
      </c>
      <c r="D453" s="2"/>
      <c r="G453" s="2" t="s">
        <v>1696</v>
      </c>
      <c r="H453" s="3" t="s">
        <v>1521</v>
      </c>
      <c r="I453" s="2"/>
    </row>
    <row r="454" spans="1:15" x14ac:dyDescent="0.25">
      <c r="B454" s="1" t="s">
        <v>1585</v>
      </c>
      <c r="C454" s="36" t="s">
        <v>1213</v>
      </c>
      <c r="D454" s="2"/>
      <c r="E454" s="2"/>
      <c r="F454" s="2"/>
      <c r="G454" s="2"/>
      <c r="H454" s="2"/>
      <c r="I454" s="2"/>
    </row>
    <row r="455" spans="1:15" ht="15.75" thickBot="1" x14ac:dyDescent="0.3">
      <c r="D455" s="2"/>
      <c r="E455" s="2"/>
      <c r="F455" s="2"/>
      <c r="G455" s="2"/>
      <c r="H455" s="2"/>
      <c r="I455" s="2"/>
    </row>
    <row r="456" spans="1:15" ht="15.75" thickBot="1" x14ac:dyDescent="0.3">
      <c r="B456" s="43" t="s">
        <v>1695</v>
      </c>
      <c r="C456" s="44"/>
      <c r="D456" s="44"/>
      <c r="E456" s="44"/>
      <c r="F456" s="44"/>
      <c r="G456" s="44"/>
      <c r="H456" s="45"/>
      <c r="I456" s="2"/>
    </row>
    <row r="457" spans="1:15" ht="25.5" x14ac:dyDescent="0.25">
      <c r="B457" s="46" t="s">
        <v>1409</v>
      </c>
      <c r="C457" s="47"/>
      <c r="D457" s="48" t="s">
        <v>1690</v>
      </c>
      <c r="E457" s="48" t="s">
        <v>1694</v>
      </c>
      <c r="F457" s="48" t="s">
        <v>1693</v>
      </c>
      <c r="G457" s="49" t="s">
        <v>1687</v>
      </c>
      <c r="H457" s="50" t="s">
        <v>1686</v>
      </c>
      <c r="I457" s="2"/>
    </row>
    <row r="458" spans="1:15" x14ac:dyDescent="0.25">
      <c r="A458" s="103">
        <v>19015</v>
      </c>
      <c r="B458" s="51" t="str">
        <f>IF($A458=0,"",VLOOKUP($A458,'BASE EQUIPO'!$A:$D,2))</f>
        <v>HERRAMIENTA MENOR</v>
      </c>
      <c r="C458" s="52"/>
      <c r="D458" s="53">
        <v>1</v>
      </c>
      <c r="E458" s="53">
        <f>IF($A458=0,"",VLOOKUP($A458,'BASE EQUIPO'!$A:$D,4)*H474)</f>
        <v>1.7699999999999997E-2</v>
      </c>
      <c r="F458" s="53">
        <f t="shared" ref="F458:F463" si="40">IF($A458=0,"",ROUND(D458*E458,2))</f>
        <v>0.02</v>
      </c>
      <c r="G458" s="105">
        <v>1</v>
      </c>
      <c r="H458" s="54">
        <f t="shared" ref="H458:H463" si="41">IF($A458=0,"",ROUND(G458*F458,2))</f>
        <v>0.02</v>
      </c>
      <c r="I458" s="2"/>
    </row>
    <row r="459" spans="1:15" x14ac:dyDescent="0.25">
      <c r="A459" s="103">
        <v>1</v>
      </c>
      <c r="B459" s="38" t="s">
        <v>1210</v>
      </c>
      <c r="C459" s="2"/>
      <c r="D459" s="55">
        <v>1</v>
      </c>
      <c r="E459" s="55">
        <v>37</v>
      </c>
      <c r="F459" s="55">
        <f t="shared" si="40"/>
        <v>37</v>
      </c>
      <c r="G459" s="106">
        <v>0.02</v>
      </c>
      <c r="H459" s="56">
        <f t="shared" si="41"/>
        <v>0.74</v>
      </c>
      <c r="I459" s="2"/>
    </row>
    <row r="460" spans="1:15" x14ac:dyDescent="0.25">
      <c r="A460" s="103">
        <v>1</v>
      </c>
      <c r="B460" s="38" t="s">
        <v>1211</v>
      </c>
      <c r="C460" s="2"/>
      <c r="D460" s="55">
        <v>1</v>
      </c>
      <c r="E460" s="55">
        <v>25</v>
      </c>
      <c r="F460" s="55">
        <f t="shared" si="40"/>
        <v>25</v>
      </c>
      <c r="G460" s="106">
        <v>0.02</v>
      </c>
      <c r="H460" s="56">
        <f t="shared" si="41"/>
        <v>0.5</v>
      </c>
      <c r="I460" s="2"/>
    </row>
    <row r="461" spans="1:15" x14ac:dyDescent="0.25">
      <c r="A461" s="103">
        <v>1</v>
      </c>
      <c r="B461" s="38" t="s">
        <v>1212</v>
      </c>
      <c r="C461" s="2"/>
      <c r="D461" s="55">
        <v>1</v>
      </c>
      <c r="E461" s="55">
        <v>18</v>
      </c>
      <c r="F461" s="55">
        <f t="shared" si="40"/>
        <v>18</v>
      </c>
      <c r="G461" s="106">
        <v>0.02</v>
      </c>
      <c r="H461" s="56">
        <f t="shared" si="41"/>
        <v>0.36</v>
      </c>
      <c r="I461" s="2"/>
    </row>
    <row r="462" spans="1:15" x14ac:dyDescent="0.25">
      <c r="B462" s="38" t="str">
        <f>IF($A462=0,"",VLOOKUP($A462,'BASE EQUIPO'!$A:$D,2))</f>
        <v/>
      </c>
      <c r="C462" s="2"/>
      <c r="D462" s="55"/>
      <c r="E462" s="55" t="str">
        <f>IF($A462=0,"",VLOOKUP($A462,'BASE EQUIPO'!$A:$D,4))</f>
        <v/>
      </c>
      <c r="F462" s="55" t="str">
        <f t="shared" si="40"/>
        <v/>
      </c>
      <c r="G462" s="106"/>
      <c r="H462" s="56" t="str">
        <f t="shared" si="41"/>
        <v/>
      </c>
      <c r="I462" s="2"/>
    </row>
    <row r="463" spans="1:15" x14ac:dyDescent="0.25">
      <c r="B463" s="57" t="str">
        <f>IF($A463=0,"",VLOOKUP($A463,'BASE EQUIPO'!$A:$D,2))</f>
        <v/>
      </c>
      <c r="C463" s="58"/>
      <c r="D463" s="59"/>
      <c r="E463" s="59" t="str">
        <f>IF($A463=0,"",VLOOKUP($A463,'BASE EQUIPO'!$A:$D,4))</f>
        <v/>
      </c>
      <c r="F463" s="59" t="str">
        <f t="shared" si="40"/>
        <v/>
      </c>
      <c r="G463" s="107"/>
      <c r="H463" s="60" t="str">
        <f t="shared" si="41"/>
        <v/>
      </c>
      <c r="I463" s="2"/>
    </row>
    <row r="464" spans="1:15" x14ac:dyDescent="0.25">
      <c r="B464" s="57" t="s">
        <v>1692</v>
      </c>
      <c r="C464" s="58"/>
      <c r="D464" s="61"/>
      <c r="E464" s="61"/>
      <c r="F464" s="61"/>
      <c r="G464" s="62"/>
      <c r="H464" s="60">
        <f>ROUND(SUM(H457:H463),2)</f>
        <v>1.62</v>
      </c>
      <c r="I464" s="2"/>
    </row>
    <row r="465" spans="1:16" x14ac:dyDescent="0.25">
      <c r="B465" s="38" t="s">
        <v>1503</v>
      </c>
      <c r="C465" s="2"/>
      <c r="D465" s="3"/>
      <c r="E465" s="3"/>
      <c r="F465" s="3"/>
      <c r="G465" s="63"/>
      <c r="H465" s="56"/>
      <c r="I465" s="2"/>
    </row>
    <row r="466" spans="1:16" ht="25.5" x14ac:dyDescent="0.25">
      <c r="B466" s="64" t="s">
        <v>1691</v>
      </c>
      <c r="C466" s="65"/>
      <c r="D466" s="66" t="s">
        <v>1690</v>
      </c>
      <c r="E466" s="66" t="s">
        <v>1689</v>
      </c>
      <c r="F466" s="66" t="s">
        <v>1688</v>
      </c>
      <c r="G466" s="67" t="s">
        <v>1687</v>
      </c>
      <c r="H466" s="68" t="s">
        <v>1686</v>
      </c>
      <c r="I466" s="2"/>
    </row>
    <row r="467" spans="1:16" x14ac:dyDescent="0.25">
      <c r="A467" s="103">
        <v>20001</v>
      </c>
      <c r="B467" s="69" t="s">
        <v>1214</v>
      </c>
      <c r="C467" s="2"/>
      <c r="D467" s="108">
        <v>4</v>
      </c>
      <c r="E467" s="70">
        <f>IF($A467=0,"",VLOOKUP($A467,'BASE M-OBRA'!$A:$D,4))</f>
        <v>3.02</v>
      </c>
      <c r="F467" s="55">
        <f t="shared" ref="F467:F473" si="42">IF($A467=0,"",ROUND(D467*E467,2))</f>
        <v>12.08</v>
      </c>
      <c r="G467" s="106">
        <v>0.02</v>
      </c>
      <c r="H467" s="56">
        <f t="shared" ref="H467:H473" si="43">IF($A467=0,"",ROUND(G467*F467,2))</f>
        <v>0.24</v>
      </c>
      <c r="I467" s="2"/>
    </row>
    <row r="468" spans="1:16" x14ac:dyDescent="0.25">
      <c r="A468" s="103">
        <v>20002</v>
      </c>
      <c r="B468" s="69" t="s">
        <v>1215</v>
      </c>
      <c r="C468" s="2"/>
      <c r="D468" s="108">
        <v>3</v>
      </c>
      <c r="E468" s="70">
        <f>IF($A468=0,"",VLOOKUP($A468,'BASE M-OBRA'!$A:$D,4))</f>
        <v>2.79</v>
      </c>
      <c r="F468" s="55">
        <f t="shared" si="42"/>
        <v>8.3699999999999992</v>
      </c>
      <c r="G468" s="106">
        <v>0.02</v>
      </c>
      <c r="H468" s="56">
        <f t="shared" si="43"/>
        <v>0.17</v>
      </c>
      <c r="I468" s="2"/>
      <c r="K468" s="1">
        <f>0.1*75</f>
        <v>7.5</v>
      </c>
    </row>
    <row r="469" spans="1:16" x14ac:dyDescent="0.25">
      <c r="A469" s="103">
        <v>20003</v>
      </c>
      <c r="B469" s="69" t="s">
        <v>1216</v>
      </c>
      <c r="C469" s="2"/>
      <c r="D469" s="108">
        <v>1</v>
      </c>
      <c r="E469" s="70">
        <f>IF($A469=0,"",VLOOKUP($A469,'BASE M-OBRA'!$A:$D,4))</f>
        <v>2.82</v>
      </c>
      <c r="F469" s="55">
        <f t="shared" si="42"/>
        <v>2.82</v>
      </c>
      <c r="G469" s="106">
        <v>0.02</v>
      </c>
      <c r="H469" s="56">
        <f t="shared" si="43"/>
        <v>0.06</v>
      </c>
      <c r="I469" s="2"/>
      <c r="K469" s="1">
        <f>1.2*3</f>
        <v>3.5999999999999996</v>
      </c>
    </row>
    <row r="470" spans="1:16" x14ac:dyDescent="0.25">
      <c r="A470" s="103">
        <v>20003</v>
      </c>
      <c r="B470" s="71" t="s">
        <v>1217</v>
      </c>
      <c r="C470" s="2"/>
      <c r="D470" s="108">
        <v>1</v>
      </c>
      <c r="E470" s="70">
        <f>IF($A470=0,"",VLOOKUP($A470,'BASE M-OBRA'!$A:$D,4))</f>
        <v>2.82</v>
      </c>
      <c r="F470" s="55">
        <f t="shared" si="42"/>
        <v>2.82</v>
      </c>
      <c r="G470" s="106">
        <v>0.02</v>
      </c>
      <c r="H470" s="56">
        <f t="shared" si="43"/>
        <v>0.06</v>
      </c>
      <c r="I470" s="2"/>
    </row>
    <row r="471" spans="1:16" x14ac:dyDescent="0.25">
      <c r="A471" s="103">
        <v>20003</v>
      </c>
      <c r="B471" s="72" t="s">
        <v>117</v>
      </c>
      <c r="C471" s="2"/>
      <c r="D471" s="108">
        <v>1</v>
      </c>
      <c r="E471" s="70">
        <f>IF($A471=0,"",VLOOKUP($A471,'BASE M-OBRA'!$A:$D,4))</f>
        <v>2.82</v>
      </c>
      <c r="F471" s="55">
        <f t="shared" si="42"/>
        <v>2.82</v>
      </c>
      <c r="G471" s="106">
        <v>0.02</v>
      </c>
      <c r="H471" s="56">
        <f t="shared" si="43"/>
        <v>0.06</v>
      </c>
      <c r="I471" s="2"/>
    </row>
    <row r="472" spans="1:16" x14ac:dyDescent="0.25">
      <c r="B472" s="38" t="str">
        <f>IF($A472=0,"",VLOOKUP($A472,'BASE M-OBRA'!$A:$D,2))</f>
        <v/>
      </c>
      <c r="C472" s="2"/>
      <c r="D472" s="55"/>
      <c r="E472" s="55" t="str">
        <f>IF($A472=0,"",VLOOKUP($A472,'BASE M-OBRA'!$A:$D,4))</f>
        <v/>
      </c>
      <c r="F472" s="55" t="str">
        <f t="shared" si="42"/>
        <v/>
      </c>
      <c r="G472" s="106"/>
      <c r="H472" s="56" t="str">
        <f t="shared" si="43"/>
        <v/>
      </c>
      <c r="I472" s="2"/>
    </row>
    <row r="473" spans="1:16" x14ac:dyDescent="0.25">
      <c r="B473" s="57" t="str">
        <f>IF($A473=0,"",VLOOKUP($A473,'BASE M-OBRA'!$A:$D,2))</f>
        <v/>
      </c>
      <c r="C473" s="58"/>
      <c r="D473" s="59"/>
      <c r="E473" s="59" t="str">
        <f>IF($A473=0,"",VLOOKUP($A473,'BASE M-OBRA'!$A:$D,4))</f>
        <v/>
      </c>
      <c r="F473" s="59" t="str">
        <f t="shared" si="42"/>
        <v/>
      </c>
      <c r="G473" s="107"/>
      <c r="H473" s="60" t="str">
        <f t="shared" si="43"/>
        <v/>
      </c>
      <c r="I473" s="2"/>
    </row>
    <row r="474" spans="1:16" x14ac:dyDescent="0.25">
      <c r="B474" s="73" t="s">
        <v>1685</v>
      </c>
      <c r="C474" s="65"/>
      <c r="D474" s="74"/>
      <c r="E474" s="74"/>
      <c r="F474" s="74"/>
      <c r="G474" s="74"/>
      <c r="H474" s="75">
        <f>ROUND(SUM(H466:H473),2)</f>
        <v>0.59</v>
      </c>
      <c r="I474" s="2"/>
      <c r="K474" s="1">
        <f>3.5+1.2</f>
        <v>4.7</v>
      </c>
    </row>
    <row r="475" spans="1:16" x14ac:dyDescent="0.25">
      <c r="B475" s="38" t="s">
        <v>1684</v>
      </c>
      <c r="C475" s="2"/>
      <c r="D475" s="3"/>
      <c r="E475" s="3"/>
      <c r="F475" s="3"/>
      <c r="G475" s="3"/>
      <c r="H475" s="56"/>
      <c r="I475" s="2"/>
    </row>
    <row r="476" spans="1:16" ht="25.5" x14ac:dyDescent="0.25">
      <c r="B476" s="64" t="s">
        <v>1409</v>
      </c>
      <c r="C476" s="65"/>
      <c r="D476" s="76"/>
      <c r="E476" s="66" t="s">
        <v>1408</v>
      </c>
      <c r="F476" s="66" t="s">
        <v>1679</v>
      </c>
      <c r="G476" s="66" t="s">
        <v>1683</v>
      </c>
      <c r="H476" s="68" t="s">
        <v>1675</v>
      </c>
      <c r="I476" s="2"/>
    </row>
    <row r="477" spans="1:16" x14ac:dyDescent="0.25">
      <c r="A477" s="103">
        <v>1</v>
      </c>
      <c r="B477" s="38" t="s">
        <v>1218</v>
      </c>
      <c r="C477" s="2"/>
      <c r="D477" s="77"/>
      <c r="E477" s="78" t="s">
        <v>1521</v>
      </c>
      <c r="F477" s="55">
        <v>1.05</v>
      </c>
      <c r="G477" s="55">
        <v>9.16</v>
      </c>
      <c r="H477" s="56">
        <v>9.6199999999999992</v>
      </c>
      <c r="I477" s="2"/>
      <c r="L477" s="2"/>
      <c r="M477" s="2"/>
      <c r="N477" s="39"/>
      <c r="O477" s="2"/>
      <c r="P477" s="2"/>
    </row>
    <row r="478" spans="1:16" x14ac:dyDescent="0.25">
      <c r="A478" s="103">
        <v>5005</v>
      </c>
      <c r="B478" s="38" t="str">
        <f>IF($A478=0,"",VLOOKUP($A478,'BASE MATERIAL'!$A:$D,2))</f>
        <v>AGUA</v>
      </c>
      <c r="C478" s="2"/>
      <c r="D478" s="77"/>
      <c r="E478" s="78" t="str">
        <f>IF($A478=0,"",VLOOKUP($A478,'BASE MATERIAL'!$A:$D,3))</f>
        <v>LT</v>
      </c>
      <c r="F478" s="55">
        <f>0.2*1000</f>
        <v>200</v>
      </c>
      <c r="G478" s="80">
        <f>IF($A478=0,"",VLOOKUP($A478,'BASE MATERIAL'!$A:$D,4))</f>
        <v>2E-3</v>
      </c>
      <c r="H478" s="56">
        <v>1</v>
      </c>
      <c r="I478" s="2"/>
      <c r="L478" s="2"/>
      <c r="M478" s="2"/>
      <c r="N478" s="39"/>
      <c r="O478" s="2"/>
      <c r="P478" s="2"/>
    </row>
    <row r="479" spans="1:16" x14ac:dyDescent="0.25">
      <c r="B479" s="38"/>
      <c r="C479" s="2"/>
      <c r="D479" s="77"/>
      <c r="E479" s="78"/>
      <c r="F479" s="55"/>
      <c r="G479" s="80"/>
      <c r="H479" s="56"/>
      <c r="I479" s="2"/>
      <c r="L479" s="2"/>
      <c r="M479" s="2"/>
      <c r="N479" s="39"/>
      <c r="O479" s="2"/>
      <c r="P479" s="2"/>
    </row>
    <row r="480" spans="1:16" x14ac:dyDescent="0.25">
      <c r="B480" s="38"/>
      <c r="C480" s="2"/>
      <c r="D480" s="77"/>
      <c r="E480" s="78"/>
      <c r="F480" s="55"/>
      <c r="G480" s="55"/>
      <c r="H480" s="56"/>
      <c r="I480" s="2"/>
      <c r="L480" s="2"/>
      <c r="M480" s="2"/>
      <c r="N480" s="39"/>
      <c r="O480" s="2"/>
      <c r="P480" s="2"/>
    </row>
    <row r="481" spans="1:16" x14ac:dyDescent="0.25">
      <c r="B481" s="38" t="str">
        <f>IF($A481=0,"",VLOOKUP($A481,'BASE MATERIAL'!$A:$D,2))</f>
        <v/>
      </c>
      <c r="C481" s="2"/>
      <c r="D481" s="77"/>
      <c r="E481" s="78" t="str">
        <f>IF($A481=0,"",VLOOKUP($A481,'BASE MATERIAL'!$A:$D,3))</f>
        <v/>
      </c>
      <c r="F481" s="55"/>
      <c r="G481" s="55" t="str">
        <f>IF($A481=0,"",VLOOKUP($A481,'BASE MATERIAL'!$A:$D,4))</f>
        <v/>
      </c>
      <c r="H481" s="56" t="str">
        <f t="shared" ref="H481:H491" si="44">IF($A481=0,"",ROUND(F481*G481,2))</f>
        <v/>
      </c>
      <c r="I481" s="2"/>
      <c r="L481" s="2"/>
      <c r="M481" s="2"/>
      <c r="N481" s="39"/>
      <c r="O481" s="2"/>
      <c r="P481" s="2"/>
    </row>
    <row r="482" spans="1:16" x14ac:dyDescent="0.25">
      <c r="B482" s="37" t="str">
        <f>IF($A482=0,"",VLOOKUP($A482,'BASE MATERIAL'!$A:$D,2))</f>
        <v/>
      </c>
      <c r="C482" s="2"/>
      <c r="D482" s="77"/>
      <c r="E482" s="78" t="str">
        <f>IF($A482=0,"",VLOOKUP($A482,'BASE MATERIAL'!$A:$D,3))</f>
        <v/>
      </c>
      <c r="F482" s="55"/>
      <c r="G482" s="55" t="str">
        <f>IF($A482=0,"",VLOOKUP($A482,'BASE MATERIAL'!$A:$D,4))</f>
        <v/>
      </c>
      <c r="H482" s="56" t="str">
        <f t="shared" si="44"/>
        <v/>
      </c>
      <c r="I482" s="2"/>
      <c r="K482" s="1">
        <f>(0.6*2+0.7*2)*1+0.7*0.7</f>
        <v>3.0899999999999994</v>
      </c>
      <c r="L482" s="2"/>
      <c r="M482" s="2"/>
      <c r="N482" s="39"/>
      <c r="O482" s="2"/>
      <c r="P482" s="2"/>
    </row>
    <row r="483" spans="1:16" x14ac:dyDescent="0.25">
      <c r="B483" s="38" t="str">
        <f>IF($A483=0,"",VLOOKUP($A483,'BASE MATERIAL'!$A:$D,2))</f>
        <v/>
      </c>
      <c r="C483" s="2"/>
      <c r="D483" s="77"/>
      <c r="E483" s="78" t="str">
        <f>IF($A483=0,"",VLOOKUP($A483,'BASE MATERIAL'!$A:$D,3))</f>
        <v/>
      </c>
      <c r="F483" s="55"/>
      <c r="G483" s="55" t="str">
        <f>IF($A483=0,"",VLOOKUP($A483,'BASE MATERIAL'!$A:$D,4))</f>
        <v/>
      </c>
      <c r="H483" s="56" t="str">
        <f t="shared" si="44"/>
        <v/>
      </c>
      <c r="I483" s="2"/>
      <c r="K483" s="1">
        <f>+K482*0.1</f>
        <v>0.30899999999999994</v>
      </c>
      <c r="L483" s="2"/>
      <c r="M483" s="2"/>
      <c r="N483" s="39"/>
      <c r="O483" s="2"/>
      <c r="P483" s="2"/>
    </row>
    <row r="484" spans="1:16" x14ac:dyDescent="0.25">
      <c r="B484" s="38" t="str">
        <f>IF($A484=0,"",VLOOKUP($A484,'BASE MATERIAL'!$A:$D,2))</f>
        <v/>
      </c>
      <c r="C484" s="2"/>
      <c r="D484" s="77"/>
      <c r="E484" s="78" t="str">
        <f>IF($A484=0,"",VLOOKUP($A484,'BASE MATERIAL'!$A:$D,3))</f>
        <v/>
      </c>
      <c r="F484" s="55"/>
      <c r="G484" s="55" t="str">
        <f>IF($A484=0,"",VLOOKUP($A484,'BASE MATERIAL'!$A:$D,4))</f>
        <v/>
      </c>
      <c r="H484" s="56" t="str">
        <f t="shared" si="44"/>
        <v/>
      </c>
      <c r="I484" s="2"/>
      <c r="L484" s="2"/>
      <c r="M484" s="2"/>
      <c r="N484" s="39"/>
      <c r="O484" s="2"/>
      <c r="P484" s="2"/>
    </row>
    <row r="485" spans="1:16" x14ac:dyDescent="0.25">
      <c r="B485" s="38" t="str">
        <f>IF($A485=0,"",VLOOKUP($A485,'BASE MATERIAL'!$A:$D,2))</f>
        <v/>
      </c>
      <c r="C485" s="2"/>
      <c r="D485" s="77"/>
      <c r="E485" s="78" t="str">
        <f>IF($A485=0,"",VLOOKUP($A485,'BASE MATERIAL'!$A:$D,3))</f>
        <v/>
      </c>
      <c r="F485" s="55"/>
      <c r="G485" s="55" t="str">
        <f>IF($A485=0,"",VLOOKUP($A485,'BASE MATERIAL'!$A:$D,4))</f>
        <v/>
      </c>
      <c r="H485" s="56" t="str">
        <f t="shared" si="44"/>
        <v/>
      </c>
      <c r="I485" s="2"/>
      <c r="L485" s="2"/>
      <c r="M485" s="2"/>
      <c r="N485" s="39"/>
      <c r="O485" s="2"/>
      <c r="P485" s="2"/>
    </row>
    <row r="486" spans="1:16" x14ac:dyDescent="0.25">
      <c r="B486" s="38" t="str">
        <f>IF($A486=0,"",VLOOKUP($A486,'BASE MATERIAL'!$A:$D,2))</f>
        <v/>
      </c>
      <c r="C486" s="2"/>
      <c r="D486" s="77"/>
      <c r="E486" s="78" t="str">
        <f>IF($A486=0,"",VLOOKUP($A486,'BASE MATERIAL'!$A:$D,3))</f>
        <v/>
      </c>
      <c r="F486" s="55"/>
      <c r="G486" s="55" t="str">
        <f>IF($A486=0,"",VLOOKUP($A486,'BASE MATERIAL'!$A:$D,4))</f>
        <v/>
      </c>
      <c r="H486" s="56" t="str">
        <f t="shared" si="44"/>
        <v/>
      </c>
      <c r="I486" s="2"/>
    </row>
    <row r="487" spans="1:16" x14ac:dyDescent="0.25">
      <c r="B487" s="38" t="str">
        <f>IF($A487=0,"",VLOOKUP($A487,'BASE MATERIAL'!$A:$D,2))</f>
        <v/>
      </c>
      <c r="C487" s="2"/>
      <c r="D487" s="77"/>
      <c r="E487" s="78" t="str">
        <f>IF($A487=0,"",VLOOKUP($A487,'BASE MATERIAL'!$A:$D,3))</f>
        <v/>
      </c>
      <c r="F487" s="55"/>
      <c r="G487" s="55" t="str">
        <f>IF($A487=0,"",VLOOKUP($A487,'BASE MATERIAL'!$A:$D,4))</f>
        <v/>
      </c>
      <c r="H487" s="56" t="str">
        <f t="shared" si="44"/>
        <v/>
      </c>
      <c r="I487" s="2"/>
      <c r="L487" s="2"/>
      <c r="M487" s="2"/>
      <c r="N487" s="39"/>
      <c r="O487" s="2"/>
      <c r="P487" s="2"/>
    </row>
    <row r="488" spans="1:16" x14ac:dyDescent="0.25">
      <c r="B488" s="38" t="str">
        <f>IF($A488=0,"",VLOOKUP($A488,'BASE MATERIAL'!$A:$D,2))</f>
        <v/>
      </c>
      <c r="C488" s="2"/>
      <c r="D488" s="77"/>
      <c r="E488" s="78" t="str">
        <f>IF($A488=0,"",VLOOKUP($A488,'BASE MATERIAL'!$A:$D,3))</f>
        <v/>
      </c>
      <c r="F488" s="55"/>
      <c r="G488" s="55" t="str">
        <f>IF($A488=0,"",VLOOKUP($A488,'BASE MATERIAL'!$A:$D,4))</f>
        <v/>
      </c>
      <c r="H488" s="56" t="str">
        <f t="shared" si="44"/>
        <v/>
      </c>
      <c r="I488" s="2"/>
      <c r="L488" s="2"/>
      <c r="M488" s="2"/>
      <c r="N488" s="39"/>
      <c r="O488" s="2"/>
      <c r="P488" s="2"/>
    </row>
    <row r="489" spans="1:16" x14ac:dyDescent="0.25">
      <c r="B489" s="38" t="str">
        <f>IF($A489=0,"",VLOOKUP($A489,'BASE MATERIAL'!$A:$D,2))</f>
        <v/>
      </c>
      <c r="C489" s="2"/>
      <c r="D489" s="77"/>
      <c r="E489" s="78" t="str">
        <f>IF($A489=0,"",VLOOKUP($A489,'BASE MATERIAL'!$A:$D,3))</f>
        <v/>
      </c>
      <c r="F489" s="55"/>
      <c r="G489" s="55" t="str">
        <f>IF($A489=0,"",VLOOKUP($A489,'BASE MATERIAL'!$A:$D,4))</f>
        <v/>
      </c>
      <c r="H489" s="56" t="str">
        <f t="shared" si="44"/>
        <v/>
      </c>
      <c r="I489" s="2"/>
    </row>
    <row r="490" spans="1:16" x14ac:dyDescent="0.25">
      <c r="B490" s="38" t="str">
        <f>IF($A490=0,"",VLOOKUP($A490,'BASE MATERIAL'!$A:$D,2))</f>
        <v/>
      </c>
      <c r="C490" s="2"/>
      <c r="D490" s="77"/>
      <c r="E490" s="78" t="str">
        <f>IF($A490=0,"",VLOOKUP($A490,'BASE MATERIAL'!$A:$D,3))</f>
        <v/>
      </c>
      <c r="F490" s="55"/>
      <c r="G490" s="80" t="str">
        <f>IF($A490=0,"",VLOOKUP($A490,'BASE MATERIAL'!$A:$D,4))</f>
        <v/>
      </c>
      <c r="H490" s="56" t="str">
        <f t="shared" si="44"/>
        <v/>
      </c>
      <c r="I490" s="2"/>
    </row>
    <row r="491" spans="1:16" x14ac:dyDescent="0.25">
      <c r="B491" s="38" t="str">
        <f>IF($A491=0,"",VLOOKUP($A491,'BASE MATERIAL'!$A:$D,2))</f>
        <v/>
      </c>
      <c r="C491" s="2"/>
      <c r="D491" s="77"/>
      <c r="E491" s="78" t="str">
        <f>IF($A491=0,"",VLOOKUP($A491,'BASE MATERIAL'!$A:$D,3))</f>
        <v/>
      </c>
      <c r="F491" s="55"/>
      <c r="G491" s="55"/>
      <c r="H491" s="56" t="str">
        <f t="shared" si="44"/>
        <v/>
      </c>
      <c r="I491" s="2"/>
      <c r="K491" s="1">
        <f>40*0.2*0.888</f>
        <v>7.1040000000000001</v>
      </c>
    </row>
    <row r="492" spans="1:16" x14ac:dyDescent="0.25">
      <c r="B492" s="38" t="str">
        <f>IF($A492=0,"",VLOOKUP($A492,'BASE MATERIAL'!$A:$D,2))</f>
        <v/>
      </c>
      <c r="C492" s="2"/>
      <c r="D492" s="81" t="s">
        <v>1682</v>
      </c>
      <c r="E492" s="55" t="str">
        <f>IF($A492=0,"",VLOOKUP($A492,'BASE MATERIAL'!$A:$D,3))</f>
        <v/>
      </c>
      <c r="F492" s="55" t="s">
        <v>1682</v>
      </c>
      <c r="G492" s="55" t="str">
        <f>IF($A492=0,"",VLOOKUP($A492,'BASE MATERIAL'!$A:$D,4))</f>
        <v/>
      </c>
      <c r="H492" s="56" t="str">
        <f>IF($A492=0,"",ROUND(E492*F492,2))</f>
        <v/>
      </c>
      <c r="I492" s="2"/>
      <c r="K492" s="1">
        <f>7.85*0.1*2*2</f>
        <v>3.14</v>
      </c>
    </row>
    <row r="493" spans="1:16" x14ac:dyDescent="0.25">
      <c r="B493" s="73" t="s">
        <v>1681</v>
      </c>
      <c r="C493" s="65"/>
      <c r="D493" s="74"/>
      <c r="E493" s="74"/>
      <c r="F493" s="74"/>
      <c r="G493" s="74"/>
      <c r="H493" s="75">
        <f>ROUND(SUM(H476:H492),2)</f>
        <v>10.62</v>
      </c>
      <c r="I493" s="2"/>
    </row>
    <row r="494" spans="1:16" x14ac:dyDescent="0.25">
      <c r="B494" s="38" t="s">
        <v>1680</v>
      </c>
      <c r="C494" s="2"/>
      <c r="D494" s="3"/>
      <c r="E494" s="3"/>
      <c r="F494" s="3"/>
      <c r="G494" s="3"/>
      <c r="H494" s="56"/>
      <c r="I494" s="2"/>
    </row>
    <row r="495" spans="1:16" ht="25.5" x14ac:dyDescent="0.25">
      <c r="B495" s="64" t="s">
        <v>1409</v>
      </c>
      <c r="C495" s="65"/>
      <c r="D495" s="76"/>
      <c r="E495" s="66" t="s">
        <v>1408</v>
      </c>
      <c r="F495" s="66" t="s">
        <v>1679</v>
      </c>
      <c r="G495" s="66" t="s">
        <v>1676</v>
      </c>
      <c r="H495" s="68" t="s">
        <v>1675</v>
      </c>
      <c r="I495" s="2"/>
    </row>
    <row r="496" spans="1:16" x14ac:dyDescent="0.25">
      <c r="A496" s="103">
        <v>19019</v>
      </c>
      <c r="B496" s="51" t="str">
        <f>IF($A496=0,"",VLOOKUP($A496,'BASE EQUIPO'!$A:$D,2))</f>
        <v>TRANSPORTE DE MATERIAL</v>
      </c>
      <c r="C496" s="52"/>
      <c r="D496" s="82"/>
      <c r="E496" s="78" t="str">
        <f>IF($A496=0,"",VLOOKUP($A496,'BASE EQUIPO'!$A:$D,3))</f>
        <v>GLOBAL</v>
      </c>
      <c r="F496" s="55">
        <v>1</v>
      </c>
      <c r="G496" s="83">
        <f>IF($A496=0,"",VLOOKUP($A496,'BASE EQUIPO'!$A:$D,4)*H493)</f>
        <v>0.31859999999999994</v>
      </c>
      <c r="H496" s="56">
        <f>IF($A496=0,"",ROUND(F496*G496,2))</f>
        <v>0.32</v>
      </c>
      <c r="I496" s="2"/>
    </row>
    <row r="497" spans="1:15" x14ac:dyDescent="0.25">
      <c r="B497" s="38" t="str">
        <f>IF($A497=0,"",VLOOKUP($A497,'BASE EQUIPO'!$A:$D,2))</f>
        <v/>
      </c>
      <c r="C497" s="2"/>
      <c r="D497" s="84"/>
      <c r="E497" s="78" t="str">
        <f>IF($A497=0,"",VLOOKUP($A497,'BASE EQUIPO'!$A:$D,3))</f>
        <v/>
      </c>
      <c r="F497" s="55"/>
      <c r="G497" s="55" t="str">
        <f>IF($A497=0,"",VLOOKUP($A497,'BASE EQUIPO'!$A:$D,4)*H494)</f>
        <v/>
      </c>
      <c r="H497" s="56" t="str">
        <f>IF($A497=0,"",ROUND(F497*G497,2))</f>
        <v/>
      </c>
      <c r="I497" s="2"/>
    </row>
    <row r="498" spans="1:15" x14ac:dyDescent="0.25">
      <c r="B498" s="57" t="str">
        <f>IF($A498=0,"",VLOOKUP($A498,'BASE EQUIPO'!$A:$D,2))</f>
        <v/>
      </c>
      <c r="C498" s="58"/>
      <c r="D498" s="85"/>
      <c r="E498" s="86" t="str">
        <f>IF($A498=0,"",VLOOKUP($A498,'BASE EQUIPO'!$A:$D,3))</f>
        <v/>
      </c>
      <c r="F498" s="59"/>
      <c r="G498" s="59" t="str">
        <f>IF($A498=0,"",VLOOKUP($A498,'BASE EQUIPO'!$A:$D,4)*H495)</f>
        <v/>
      </c>
      <c r="H498" s="60" t="str">
        <f>IF($A498=0,"",ROUND(F498*G498,2))</f>
        <v/>
      </c>
      <c r="I498" s="2"/>
    </row>
    <row r="499" spans="1:15" ht="15.75" thickBot="1" x14ac:dyDescent="0.3">
      <c r="B499" s="87" t="s">
        <v>1674</v>
      </c>
      <c r="C499" s="88"/>
      <c r="D499" s="89"/>
      <c r="E499" s="89"/>
      <c r="F499" s="89"/>
      <c r="G499" s="89"/>
      <c r="H499" s="90">
        <f>ROUND(SUM(H495:H498),2)</f>
        <v>0.32</v>
      </c>
      <c r="I499" s="2"/>
    </row>
    <row r="500" spans="1:15" ht="15.75" x14ac:dyDescent="0.25">
      <c r="B500" s="2"/>
      <c r="C500" s="2"/>
      <c r="D500" s="91" t="s">
        <v>1673</v>
      </c>
      <c r="E500" s="47"/>
      <c r="F500" s="47"/>
      <c r="G500" s="47"/>
      <c r="H500" s="92">
        <f>ROUND(SUM(H499,H493,H474,H464),2)</f>
        <v>13.15</v>
      </c>
      <c r="I500" s="2"/>
    </row>
    <row r="501" spans="1:15" ht="15.75" x14ac:dyDescent="0.25">
      <c r="A501" s="103">
        <v>40002</v>
      </c>
      <c r="B501" s="2"/>
      <c r="C501" s="2"/>
      <c r="D501" s="93" t="s">
        <v>1672</v>
      </c>
      <c r="E501" s="65"/>
      <c r="F501" s="65"/>
      <c r="G501" s="94">
        <f>IF($A501=0,"",VLOOKUP($A501,'BASE MATERIAL'!$M:$P,4))</f>
        <v>0</v>
      </c>
      <c r="H501" s="95">
        <f>IF($A501=0,"",ROUND(G501*H500,2))</f>
        <v>0</v>
      </c>
      <c r="I501" s="2"/>
    </row>
    <row r="502" spans="1:15" ht="15.75" x14ac:dyDescent="0.25">
      <c r="A502" s="103">
        <v>40003</v>
      </c>
      <c r="B502" s="2"/>
      <c r="C502" s="2"/>
      <c r="D502" s="93" t="s">
        <v>1671</v>
      </c>
      <c r="E502" s="65"/>
      <c r="F502" s="65"/>
      <c r="G502" s="94">
        <f>IF($A502=0,"",VLOOKUP($A502,'BASE MATERIAL'!$M:$P,4))</f>
        <v>0</v>
      </c>
      <c r="H502" s="95">
        <f>IF($A502=0,"",ROUND(G502*H500,2))</f>
        <v>0</v>
      </c>
      <c r="I502" s="2"/>
    </row>
    <row r="503" spans="1:15" ht="15.75" x14ac:dyDescent="0.25">
      <c r="B503" s="2"/>
      <c r="C503" s="2"/>
      <c r="D503" s="93" t="s">
        <v>1670</v>
      </c>
      <c r="E503" s="65"/>
      <c r="F503" s="65"/>
      <c r="G503" s="65"/>
      <c r="H503" s="96">
        <f>ROUND(SUM(H500:H502),2)</f>
        <v>13.15</v>
      </c>
      <c r="I503" s="2"/>
    </row>
    <row r="504" spans="1:15" ht="16.5" thickBot="1" x14ac:dyDescent="0.3">
      <c r="B504" s="25"/>
      <c r="C504" s="2"/>
      <c r="D504" s="97" t="s">
        <v>1650</v>
      </c>
      <c r="E504" s="88"/>
      <c r="F504" s="88"/>
      <c r="G504" s="88"/>
      <c r="H504" s="98">
        <f>ROUND(H503,2)</f>
        <v>13.15</v>
      </c>
      <c r="I504" s="2"/>
    </row>
    <row r="505" spans="1:15" ht="15.75" x14ac:dyDescent="0.25">
      <c r="B505" s="34" t="s">
        <v>1701</v>
      </c>
      <c r="C505" s="2"/>
      <c r="D505" s="3" t="str">
        <f>'1.1'!$D$1</f>
        <v>ESPOL</v>
      </c>
      <c r="E505" s="2"/>
      <c r="F505" s="2"/>
      <c r="H505" s="2" t="s">
        <v>108</v>
      </c>
      <c r="I505" s="2"/>
      <c r="L505" s="40">
        <f>A509</f>
        <v>2</v>
      </c>
      <c r="M505" s="1" t="str">
        <f>C510</f>
        <v xml:space="preserve">Puertas metálicas (1.40m x 2. 30m). </v>
      </c>
      <c r="N505" s="2" t="str">
        <f>H509</f>
        <v>U</v>
      </c>
      <c r="O505" s="2">
        <f>H560</f>
        <v>393.05</v>
      </c>
    </row>
    <row r="506" spans="1:15" ht="15.75" x14ac:dyDescent="0.25">
      <c r="B506" s="34" t="s">
        <v>1700</v>
      </c>
      <c r="C506" s="3">
        <f>'1.1'!$C$2</f>
        <v>0</v>
      </c>
      <c r="D506" s="2"/>
      <c r="E506" s="2"/>
      <c r="F506" s="2"/>
      <c r="G506" s="41" t="s">
        <v>1699</v>
      </c>
      <c r="H506" s="42"/>
      <c r="I506" s="2" t="s">
        <v>1698</v>
      </c>
    </row>
    <row r="507" spans="1:15" ht="15.75" x14ac:dyDescent="0.25">
      <c r="B507" s="34"/>
      <c r="C507" s="3">
        <f>'1.1'!$C$3</f>
        <v>0</v>
      </c>
      <c r="D507" s="2"/>
      <c r="E507" s="2"/>
      <c r="F507" s="2"/>
      <c r="G507" s="2"/>
      <c r="H507" s="2"/>
      <c r="I507" s="2"/>
    </row>
    <row r="508" spans="1:15" ht="15.75" x14ac:dyDescent="0.25">
      <c r="B508" s="34" t="s">
        <v>1697</v>
      </c>
      <c r="C508" s="3"/>
      <c r="D508" s="2"/>
      <c r="E508" s="2"/>
      <c r="F508" s="2"/>
      <c r="G508" s="2"/>
      <c r="H508" s="2"/>
      <c r="I508" s="2"/>
    </row>
    <row r="509" spans="1:15" x14ac:dyDescent="0.25">
      <c r="A509" s="104">
        <v>2</v>
      </c>
      <c r="B509" s="2" t="s">
        <v>1586</v>
      </c>
      <c r="C509" s="36" t="s">
        <v>1677</v>
      </c>
      <c r="D509" s="2"/>
      <c r="G509" s="2" t="s">
        <v>1696</v>
      </c>
      <c r="H509" s="3" t="s">
        <v>744</v>
      </c>
      <c r="I509" s="2"/>
    </row>
    <row r="510" spans="1:15" x14ac:dyDescent="0.25">
      <c r="B510" s="1" t="s">
        <v>1585</v>
      </c>
      <c r="C510" s="36" t="s">
        <v>1830</v>
      </c>
      <c r="D510" s="2"/>
      <c r="E510" s="2"/>
      <c r="F510" s="2"/>
      <c r="G510" s="2"/>
      <c r="H510" s="2"/>
      <c r="I510" s="2"/>
    </row>
    <row r="511" spans="1:15" ht="15.75" thickBot="1" x14ac:dyDescent="0.3">
      <c r="D511" s="2"/>
      <c r="E511" s="2"/>
      <c r="F511" s="2"/>
      <c r="G511" s="2"/>
      <c r="H511" s="2"/>
      <c r="I511" s="2"/>
    </row>
    <row r="512" spans="1:15" ht="15.75" thickBot="1" x14ac:dyDescent="0.3">
      <c r="B512" s="43" t="s">
        <v>1695</v>
      </c>
      <c r="C512" s="44"/>
      <c r="D512" s="44"/>
      <c r="E512" s="44"/>
      <c r="F512" s="44"/>
      <c r="G512" s="44"/>
      <c r="H512" s="45"/>
      <c r="I512" s="2"/>
    </row>
    <row r="513" spans="1:9" ht="25.5" x14ac:dyDescent="0.25">
      <c r="B513" s="46" t="s">
        <v>1409</v>
      </c>
      <c r="C513" s="47"/>
      <c r="D513" s="48" t="s">
        <v>1690</v>
      </c>
      <c r="E513" s="48" t="s">
        <v>1694</v>
      </c>
      <c r="F513" s="48" t="s">
        <v>1693</v>
      </c>
      <c r="G513" s="49" t="s">
        <v>1687</v>
      </c>
      <c r="H513" s="50" t="s">
        <v>1686</v>
      </c>
      <c r="I513" s="2"/>
    </row>
    <row r="514" spans="1:9" x14ac:dyDescent="0.25">
      <c r="A514" s="103">
        <v>19015</v>
      </c>
      <c r="B514" s="51" t="str">
        <f>IF($A514=0,"",VLOOKUP($A514,'BASE EQUIPO'!$A:$D,2))</f>
        <v>HERRAMIENTA MENOR</v>
      </c>
      <c r="C514" s="52"/>
      <c r="D514" s="53">
        <v>1</v>
      </c>
      <c r="E514" s="53">
        <f>IF($A514=0,"",VLOOKUP($A514,'BASE EQUIPO'!$A:$D,4)*H530)</f>
        <v>4.1256000000000004</v>
      </c>
      <c r="F514" s="53">
        <f t="shared" ref="F514:F519" si="45">IF($A514=0,"",ROUND(D514*E514,2))</f>
        <v>4.13</v>
      </c>
      <c r="G514" s="105">
        <v>1</v>
      </c>
      <c r="H514" s="54">
        <f t="shared" ref="H514:H519" si="46">IF($A514=0,"",ROUND(G514*F514,2))</f>
        <v>4.13</v>
      </c>
      <c r="I514" s="2"/>
    </row>
    <row r="515" spans="1:9" x14ac:dyDescent="0.25">
      <c r="A515" s="103">
        <v>19011</v>
      </c>
      <c r="B515" s="38" t="str">
        <f>IF($A515=0,"",VLOOKUP($A515,'BASE EQUIPO'!$A:$D,2))</f>
        <v>SOLDADORA</v>
      </c>
      <c r="C515" s="2"/>
      <c r="D515" s="55">
        <v>1</v>
      </c>
      <c r="E515" s="55">
        <f>IF($A515=0,"",VLOOKUP($A515,'BASE EQUIPO'!$A:$D,4))</f>
        <v>2.5</v>
      </c>
      <c r="F515" s="55">
        <f t="shared" si="45"/>
        <v>2.5</v>
      </c>
      <c r="G515" s="106">
        <f>ROUND(G524*0.25,3)</f>
        <v>2</v>
      </c>
      <c r="H515" s="56">
        <f t="shared" si="46"/>
        <v>5</v>
      </c>
      <c r="I515" s="2"/>
    </row>
    <row r="516" spans="1:9" x14ac:dyDescent="0.25">
      <c r="B516" s="38" t="str">
        <f>IF($A516=0,"",VLOOKUP($A516,'BASE EQUIPO'!$A:$D,2))</f>
        <v/>
      </c>
      <c r="C516" s="2"/>
      <c r="D516" s="55"/>
      <c r="E516" s="55" t="str">
        <f>IF($A516=0,"",VLOOKUP($A516,'BASE EQUIPO'!$A:$D,4))</f>
        <v/>
      </c>
      <c r="F516" s="55" t="str">
        <f t="shared" si="45"/>
        <v/>
      </c>
      <c r="G516" s="106"/>
      <c r="H516" s="56" t="str">
        <f t="shared" si="46"/>
        <v/>
      </c>
      <c r="I516" s="2"/>
    </row>
    <row r="517" spans="1:9" x14ac:dyDescent="0.25">
      <c r="B517" s="38" t="str">
        <f>IF($A517=0,"",VLOOKUP($A517,'BASE EQUIPO'!$A:$D,2))</f>
        <v/>
      </c>
      <c r="C517" s="2"/>
      <c r="D517" s="55"/>
      <c r="E517" s="55" t="str">
        <f>IF($A517=0,"",VLOOKUP($A517,'BASE EQUIPO'!$A:$D,4))</f>
        <v/>
      </c>
      <c r="F517" s="55" t="str">
        <f t="shared" si="45"/>
        <v/>
      </c>
      <c r="G517" s="106"/>
      <c r="H517" s="56" t="str">
        <f t="shared" si="46"/>
        <v/>
      </c>
      <c r="I517" s="2"/>
    </row>
    <row r="518" spans="1:9" x14ac:dyDescent="0.25">
      <c r="B518" s="38" t="str">
        <f>IF($A518=0,"",VLOOKUP($A518,'BASE EQUIPO'!$A:$D,2))</f>
        <v/>
      </c>
      <c r="C518" s="2"/>
      <c r="D518" s="55"/>
      <c r="E518" s="55" t="str">
        <f>IF($A518=0,"",VLOOKUP($A518,'BASE EQUIPO'!$A:$D,4))</f>
        <v/>
      </c>
      <c r="F518" s="55" t="str">
        <f t="shared" si="45"/>
        <v/>
      </c>
      <c r="G518" s="106"/>
      <c r="H518" s="56" t="str">
        <f t="shared" si="46"/>
        <v/>
      </c>
      <c r="I518" s="2"/>
    </row>
    <row r="519" spans="1:9" x14ac:dyDescent="0.25">
      <c r="B519" s="57" t="str">
        <f>IF($A519=0,"",VLOOKUP($A519,'BASE EQUIPO'!$A:$D,2))</f>
        <v/>
      </c>
      <c r="C519" s="58"/>
      <c r="D519" s="59"/>
      <c r="E519" s="59" t="str">
        <f>IF($A519=0,"",VLOOKUP($A519,'BASE EQUIPO'!$A:$D,4))</f>
        <v/>
      </c>
      <c r="F519" s="59" t="str">
        <f t="shared" si="45"/>
        <v/>
      </c>
      <c r="G519" s="107"/>
      <c r="H519" s="60" t="str">
        <f t="shared" si="46"/>
        <v/>
      </c>
      <c r="I519" s="2"/>
    </row>
    <row r="520" spans="1:9" x14ac:dyDescent="0.25">
      <c r="B520" s="57" t="s">
        <v>1692</v>
      </c>
      <c r="C520" s="58"/>
      <c r="D520" s="61"/>
      <c r="E520" s="61"/>
      <c r="F520" s="61"/>
      <c r="G520" s="62"/>
      <c r="H520" s="60">
        <f>ROUND(SUM(H513:H519),2)</f>
        <v>9.1300000000000008</v>
      </c>
      <c r="I520" s="2"/>
    </row>
    <row r="521" spans="1:9" x14ac:dyDescent="0.25">
      <c r="B521" s="38" t="s">
        <v>1503</v>
      </c>
      <c r="C521" s="2"/>
      <c r="D521" s="3"/>
      <c r="E521" s="3"/>
      <c r="F521" s="3"/>
      <c r="G521" s="63"/>
      <c r="H521" s="56"/>
      <c r="I521" s="2"/>
    </row>
    <row r="522" spans="1:9" ht="25.5" x14ac:dyDescent="0.25">
      <c r="B522" s="64" t="s">
        <v>1691</v>
      </c>
      <c r="C522" s="65"/>
      <c r="D522" s="66" t="s">
        <v>1690</v>
      </c>
      <c r="E522" s="66" t="s">
        <v>1689</v>
      </c>
      <c r="F522" s="66" t="s">
        <v>1688</v>
      </c>
      <c r="G522" s="67" t="s">
        <v>1687</v>
      </c>
      <c r="H522" s="68" t="s">
        <v>1686</v>
      </c>
      <c r="I522" s="2"/>
    </row>
    <row r="523" spans="1:9" x14ac:dyDescent="0.25">
      <c r="A523" s="103">
        <v>20001</v>
      </c>
      <c r="B523" s="69" t="str">
        <f>IF($A523=0,"",VLOOKUP($A523,'BASE M-OBRA'!$A:$D,2))</f>
        <v>MAESTRO</v>
      </c>
      <c r="C523" s="2"/>
      <c r="D523" s="108">
        <v>1</v>
      </c>
      <c r="E523" s="70">
        <f>IF($A523=0,"",VLOOKUP($A523,'BASE M-OBRA'!$A:$D,4))</f>
        <v>3.02</v>
      </c>
      <c r="F523" s="55">
        <f t="shared" ref="F523:F529" si="47">IF($A523=0,"",ROUND(D523*E523,2))</f>
        <v>3.02</v>
      </c>
      <c r="G523" s="106">
        <f>IF($A523=0,"",ROUND(H523/F523,2))</f>
        <v>7.59</v>
      </c>
      <c r="H523" s="56">
        <f>IF($A523=0,"",ROUND(SUM(H524:H529)*'BASE M-OBRA'!$D$23,2))</f>
        <v>22.92</v>
      </c>
      <c r="I523" s="2"/>
    </row>
    <row r="524" spans="1:9" x14ac:dyDescent="0.25">
      <c r="A524" s="103">
        <v>20002</v>
      </c>
      <c r="B524" s="69" t="str">
        <f>IF($A524=0,"",VLOOKUP($A524,'BASE M-OBRA'!$A:$D,2))</f>
        <v>PEON</v>
      </c>
      <c r="C524" s="2"/>
      <c r="D524" s="108">
        <v>1</v>
      </c>
      <c r="E524" s="70">
        <f>IF($A524=0,"",VLOOKUP($A524,'BASE M-OBRA'!$A:$D,4))</f>
        <v>2.79</v>
      </c>
      <c r="F524" s="55">
        <f t="shared" si="47"/>
        <v>2.79</v>
      </c>
      <c r="G524" s="106">
        <v>8</v>
      </c>
      <c r="H524" s="56">
        <f t="shared" ref="H524:H529" si="48">IF($A524=0,"",ROUND(G524*F524,2))</f>
        <v>22.32</v>
      </c>
      <c r="I524" s="2"/>
    </row>
    <row r="525" spans="1:9" x14ac:dyDescent="0.25">
      <c r="A525" s="103">
        <v>20003</v>
      </c>
      <c r="B525" s="69" t="str">
        <f>IF($A525=0,"",VLOOKUP($A525,'BASE M-OBRA'!$A:$D,2))</f>
        <v>ALBAÑIL</v>
      </c>
      <c r="C525" s="2"/>
      <c r="D525" s="108">
        <v>1</v>
      </c>
      <c r="E525" s="70">
        <f>IF($A525=0,"",VLOOKUP($A525,'BASE M-OBRA'!$A:$D,4))</f>
        <v>2.82</v>
      </c>
      <c r="F525" s="55">
        <f t="shared" si="47"/>
        <v>2.82</v>
      </c>
      <c r="G525" s="106">
        <f>+G524</f>
        <v>8</v>
      </c>
      <c r="H525" s="56">
        <f t="shared" si="48"/>
        <v>22.56</v>
      </c>
      <c r="I525" s="2"/>
    </row>
    <row r="526" spans="1:9" x14ac:dyDescent="0.25">
      <c r="B526" s="71" t="str">
        <f>IF($A526=0,"",VLOOKUP($A526,'BASE M-OBRA'!$A:$D,2))</f>
        <v/>
      </c>
      <c r="C526" s="2"/>
      <c r="D526" s="108"/>
      <c r="E526" s="70" t="str">
        <f>IF($A526=0,"",VLOOKUP($A526,'BASE M-OBRA'!$A:$D,4))</f>
        <v/>
      </c>
      <c r="F526" s="55" t="str">
        <f t="shared" si="47"/>
        <v/>
      </c>
      <c r="G526" s="106"/>
      <c r="H526" s="56" t="str">
        <f t="shared" si="48"/>
        <v/>
      </c>
      <c r="I526" s="2"/>
    </row>
    <row r="527" spans="1:9" x14ac:dyDescent="0.25">
      <c r="A527" s="103">
        <v>20006</v>
      </c>
      <c r="B527" s="69" t="str">
        <f>IF($A527=0,"",VLOOKUP($A527,'BASE M-OBRA'!$A:$D,2))</f>
        <v>MAESTRO  SOLDADOR</v>
      </c>
      <c r="C527" s="2"/>
      <c r="D527" s="108">
        <v>1</v>
      </c>
      <c r="E527" s="70">
        <f>IF($A527=0,"",VLOOKUP($A527,'BASE M-OBRA'!$A:$D,4))</f>
        <v>3.02</v>
      </c>
      <c r="F527" s="55">
        <f t="shared" si="47"/>
        <v>3.02</v>
      </c>
      <c r="G527" s="106">
        <v>12</v>
      </c>
      <c r="H527" s="56">
        <f t="shared" si="48"/>
        <v>36.24</v>
      </c>
      <c r="I527" s="2"/>
    </row>
    <row r="528" spans="1:9" x14ac:dyDescent="0.25">
      <c r="A528" s="103">
        <v>20011</v>
      </c>
      <c r="B528" s="69" t="str">
        <f>IF($A528=0,"",VLOOKUP($A528,'BASE M-OBRA'!$A:$D,2))</f>
        <v>AYUDANTE ESPECIALISTA</v>
      </c>
      <c r="C528" s="2"/>
      <c r="D528" s="108">
        <v>1</v>
      </c>
      <c r="E528" s="70">
        <f>IF($A528=0,"",VLOOKUP($A528,'BASE M-OBRA'!$A:$D,4))</f>
        <v>2.79</v>
      </c>
      <c r="F528" s="55">
        <f t="shared" si="47"/>
        <v>2.79</v>
      </c>
      <c r="G528" s="106">
        <f>+G527</f>
        <v>12</v>
      </c>
      <c r="H528" s="56">
        <f t="shared" si="48"/>
        <v>33.479999999999997</v>
      </c>
      <c r="I528" s="2"/>
    </row>
    <row r="529" spans="1:16" x14ac:dyDescent="0.25">
      <c r="B529" s="57" t="str">
        <f>IF($A529=0,"",VLOOKUP($A529,'BASE M-OBRA'!$A:$D,2))</f>
        <v/>
      </c>
      <c r="C529" s="58"/>
      <c r="D529" s="59"/>
      <c r="E529" s="59" t="str">
        <f>IF($A529=0,"",VLOOKUP($A529,'BASE M-OBRA'!$A:$D,4))</f>
        <v/>
      </c>
      <c r="F529" s="59" t="str">
        <f t="shared" si="47"/>
        <v/>
      </c>
      <c r="G529" s="107"/>
      <c r="H529" s="60" t="str">
        <f t="shared" si="48"/>
        <v/>
      </c>
      <c r="I529" s="2"/>
    </row>
    <row r="530" spans="1:16" x14ac:dyDescent="0.25">
      <c r="B530" s="73" t="s">
        <v>1685</v>
      </c>
      <c r="C530" s="65"/>
      <c r="D530" s="74"/>
      <c r="E530" s="74"/>
      <c r="F530" s="74"/>
      <c r="G530" s="74"/>
      <c r="H530" s="75">
        <f>ROUND(SUM(H522:H529),2)</f>
        <v>137.52000000000001</v>
      </c>
      <c r="I530" s="2"/>
    </row>
    <row r="531" spans="1:16" x14ac:dyDescent="0.25">
      <c r="B531" s="38" t="s">
        <v>1684</v>
      </c>
      <c r="C531" s="2"/>
      <c r="D531" s="3"/>
      <c r="E531" s="3"/>
      <c r="F531" s="3"/>
      <c r="G531" s="3"/>
      <c r="H531" s="56"/>
      <c r="I531" s="2"/>
    </row>
    <row r="532" spans="1:16" ht="25.5" x14ac:dyDescent="0.25">
      <c r="B532" s="64" t="s">
        <v>1409</v>
      </c>
      <c r="C532" s="65"/>
      <c r="D532" s="76"/>
      <c r="E532" s="66" t="s">
        <v>1408</v>
      </c>
      <c r="F532" s="66" t="s">
        <v>1679</v>
      </c>
      <c r="G532" s="66" t="s">
        <v>1683</v>
      </c>
      <c r="H532" s="68" t="s">
        <v>1675</v>
      </c>
      <c r="I532" s="2"/>
    </row>
    <row r="533" spans="1:16" x14ac:dyDescent="0.25">
      <c r="A533" s="103">
        <v>14002</v>
      </c>
      <c r="B533" s="37" t="str">
        <f>IF($A533=0,"",VLOOKUP($A533,'BASE MATERIAL'!$A:$D,2))</f>
        <v>SOLDADURA aga 60/11</v>
      </c>
      <c r="C533" s="2"/>
      <c r="D533" s="77"/>
      <c r="E533" s="78" t="str">
        <f>IF($A533=0,"",VLOOKUP($A533,'BASE MATERIAL'!$A:$D,3))</f>
        <v>KG</v>
      </c>
      <c r="F533" s="55">
        <f>ROUND(0.044*113,4)</f>
        <v>4.9720000000000004</v>
      </c>
      <c r="G533" s="55">
        <f>IF($A533=0,"",VLOOKUP($A533,'BASE MATERIAL'!$A:$D,4))</f>
        <v>3.65</v>
      </c>
      <c r="H533" s="56">
        <f t="shared" ref="H533:H538" si="49">IF($A533=0,"",ROUND(F533*G533,2))</f>
        <v>18.149999999999999</v>
      </c>
      <c r="I533" s="2"/>
      <c r="J533" s="1">
        <f>SUM(J535:J537)</f>
        <v>112.75739999999998</v>
      </c>
      <c r="K533" s="1" t="s">
        <v>225</v>
      </c>
      <c r="L533" s="1">
        <f>SUM(L535:L537)</f>
        <v>9.032</v>
      </c>
      <c r="M533" s="2"/>
      <c r="N533" s="39"/>
      <c r="O533" s="2"/>
      <c r="P533" s="2"/>
    </row>
    <row r="534" spans="1:16" x14ac:dyDescent="0.25">
      <c r="B534" s="38" t="str">
        <f>IF($A534=0,"",VLOOKUP($A534,'BASE MATERIAL'!$A:$D,2))</f>
        <v/>
      </c>
      <c r="C534" s="2"/>
      <c r="D534" s="77"/>
      <c r="E534" s="78" t="str">
        <f>IF($A534=0,"",VLOOKUP($A534,'BASE MATERIAL'!$A:$D,3))</f>
        <v/>
      </c>
      <c r="F534" s="55"/>
      <c r="G534" s="55" t="str">
        <f>IF($A534=0,"",VLOOKUP($A534,'BASE MATERIAL'!$A:$D,4))</f>
        <v/>
      </c>
      <c r="H534" s="56" t="str">
        <f t="shared" si="49"/>
        <v/>
      </c>
      <c r="I534" s="2"/>
      <c r="L534" s="2"/>
      <c r="M534" s="2"/>
      <c r="N534" s="39"/>
      <c r="O534" s="2"/>
      <c r="P534" s="2"/>
    </row>
    <row r="535" spans="1:16" x14ac:dyDescent="0.25">
      <c r="A535" s="103">
        <v>13016</v>
      </c>
      <c r="B535" s="38" t="str">
        <f>IF($A535=0,"",VLOOKUP($A535,'BASE MATERIAL'!$A:$D,2))</f>
        <v>PINTURA ANTICORROSIVA</v>
      </c>
      <c r="C535" s="2"/>
      <c r="D535" s="77"/>
      <c r="E535" s="78" t="str">
        <f>IF($A535=0,"",VLOOKUP($A535,'BASE MATERIAL'!$A:$D,3))</f>
        <v>GL</v>
      </c>
      <c r="F535" s="55">
        <f>0.1*2*9</f>
        <v>1.8</v>
      </c>
      <c r="G535" s="55">
        <f>IF($A535=0,"",VLOOKUP($A535,'BASE MATERIAL'!$A:$D,4))</f>
        <v>16</v>
      </c>
      <c r="H535" s="56">
        <f t="shared" si="49"/>
        <v>28.8</v>
      </c>
      <c r="I535" s="2"/>
      <c r="J535" s="1">
        <f>((4*1.4+2*2.3)*0.04*4*7.85*2)</f>
        <v>25.622399999999999</v>
      </c>
      <c r="K535" s="1" t="s">
        <v>842</v>
      </c>
      <c r="L535" s="1">
        <f>((4*1.4+2*2.3)*0.04*4)</f>
        <v>1.6319999999999999</v>
      </c>
      <c r="M535" s="2"/>
      <c r="N535" s="39"/>
      <c r="O535" s="2"/>
      <c r="P535" s="2"/>
    </row>
    <row r="536" spans="1:16" x14ac:dyDescent="0.25">
      <c r="A536" s="103">
        <v>13017</v>
      </c>
      <c r="B536" s="38" t="str">
        <f>IF($A536=0,"",VLOOKUP($A536,'BASE MATERIAL'!$A:$D,2))</f>
        <v>PINTURA ACABADO METALICO</v>
      </c>
      <c r="C536" s="2"/>
      <c r="D536" s="77"/>
      <c r="E536" s="78" t="str">
        <f>IF($A536=0,"",VLOOKUP($A536,'BASE MATERIAL'!$A:$D,3))</f>
        <v>GL</v>
      </c>
      <c r="F536" s="55">
        <f>0.08*2*9</f>
        <v>1.44</v>
      </c>
      <c r="G536" s="55">
        <f>IF($A536=0,"",VLOOKUP($A536,'BASE MATERIAL'!$A:$D,4))</f>
        <v>17</v>
      </c>
      <c r="H536" s="56">
        <f t="shared" si="49"/>
        <v>24.48</v>
      </c>
      <c r="I536" s="2"/>
      <c r="J536" s="1">
        <f>((7.85*1.5)*1.4*2.3*2)</f>
        <v>75.830999999999975</v>
      </c>
      <c r="K536" s="1" t="s">
        <v>223</v>
      </c>
      <c r="L536" s="1">
        <f>(1.4*2.3*2)</f>
        <v>6.4399999999999995</v>
      </c>
      <c r="M536" s="2"/>
      <c r="N536" s="39"/>
      <c r="O536" s="2"/>
      <c r="P536" s="2"/>
    </row>
    <row r="537" spans="1:16" x14ac:dyDescent="0.25">
      <c r="A537" s="103">
        <v>13011</v>
      </c>
      <c r="B537" s="38" t="str">
        <f>IF($A537=0,"",VLOOKUP($A537,'BASE MATERIAL'!$A:$D,2))</f>
        <v>DESOXIDANTE</v>
      </c>
      <c r="C537" s="2"/>
      <c r="D537" s="77"/>
      <c r="E537" s="78" t="str">
        <f>IF($A537=0,"",VLOOKUP($A537,'BASE MATERIAL'!$A:$D,3))</f>
        <v>GL</v>
      </c>
      <c r="F537" s="55">
        <f>ROUND(0.2*(F535+F536),4)</f>
        <v>0.64800000000000002</v>
      </c>
      <c r="G537" s="55">
        <f>IF($A537=0,"",VLOOKUP($A537,'BASE MATERIAL'!$A:$D,4))</f>
        <v>12</v>
      </c>
      <c r="H537" s="56">
        <f t="shared" si="49"/>
        <v>7.78</v>
      </c>
      <c r="I537" s="2"/>
      <c r="J537" s="1">
        <f>((1.4+2.3*2)*(0.04+0.04)*7.85*3)</f>
        <v>11.303999999999998</v>
      </c>
      <c r="K537" s="1" t="s">
        <v>224</v>
      </c>
      <c r="L537" s="1">
        <f>((1.4+2.3*2)*(0.04+0.04)*2)</f>
        <v>0.96</v>
      </c>
      <c r="M537" s="2"/>
      <c r="N537" s="39"/>
      <c r="O537" s="2"/>
      <c r="P537" s="2"/>
    </row>
    <row r="538" spans="1:16" x14ac:dyDescent="0.25">
      <c r="A538" s="103">
        <v>13010</v>
      </c>
      <c r="B538" s="38" t="str">
        <f>IF($A538=0,"",VLOOKUP($A538,'BASE MATERIAL'!$A:$D,2))</f>
        <v>DILUYENTE</v>
      </c>
      <c r="C538" s="2"/>
      <c r="D538" s="77"/>
      <c r="E538" s="78" t="str">
        <f>IF($A538=0,"",VLOOKUP($A538,'BASE MATERIAL'!$A:$D,3))</f>
        <v>GL</v>
      </c>
      <c r="F538" s="55">
        <f>+F535*0.5*2</f>
        <v>1.8</v>
      </c>
      <c r="G538" s="55">
        <f>IF($A538=0,"",VLOOKUP($A538,'BASE MATERIAL'!$A:$D,4))</f>
        <v>6</v>
      </c>
      <c r="H538" s="56">
        <f t="shared" si="49"/>
        <v>10.8</v>
      </c>
      <c r="I538" s="2"/>
      <c r="J538" s="79"/>
      <c r="L538" s="2"/>
      <c r="M538" s="2"/>
      <c r="N538" s="39"/>
      <c r="O538" s="2"/>
      <c r="P538" s="2"/>
    </row>
    <row r="539" spans="1:16" x14ac:dyDescent="0.25">
      <c r="A539" s="103">
        <v>10022</v>
      </c>
      <c r="B539" s="38" t="str">
        <f>IF($A539=0,"",VLOOKUP($A539,'BASE MATERIAL'!$A:$D,2))</f>
        <v>BISAGRAS DE ACERO</v>
      </c>
      <c r="C539" s="2"/>
      <c r="D539" s="77"/>
      <c r="E539" s="78" t="str">
        <f>IF($A539=0,"",VLOOKUP($A539,'BASE MATERIAL'!$A:$D,3))</f>
        <v>U</v>
      </c>
      <c r="F539" s="55">
        <v>4</v>
      </c>
      <c r="G539" s="55">
        <f>IF($A539=0,"",VLOOKUP($A539,'BASE MATERIAL'!$A:$D,4))</f>
        <v>1.5</v>
      </c>
      <c r="H539" s="56">
        <f t="shared" ref="H539:H547" si="50">IF($A539=0,"",ROUND(F539*G539,2))</f>
        <v>6</v>
      </c>
      <c r="I539" s="2"/>
      <c r="L539" s="2"/>
      <c r="M539" s="2"/>
      <c r="N539" s="39"/>
      <c r="O539" s="2"/>
      <c r="P539" s="2"/>
    </row>
    <row r="540" spans="1:16" x14ac:dyDescent="0.25">
      <c r="B540" s="38" t="str">
        <f>IF($A540=0,"",VLOOKUP($A540,'BASE MATERIAL'!$A:$D,2))</f>
        <v/>
      </c>
      <c r="C540" s="2"/>
      <c r="D540" s="77"/>
      <c r="E540" s="78" t="str">
        <f>IF($A540=0,"",VLOOKUP($A540,'BASE MATERIAL'!$A:$D,3))</f>
        <v/>
      </c>
      <c r="F540" s="55"/>
      <c r="G540" s="55" t="str">
        <f>IF($A540=0,"",VLOOKUP($A540,'BASE MATERIAL'!$A:$D,4))</f>
        <v/>
      </c>
      <c r="H540" s="56" t="str">
        <f t="shared" si="50"/>
        <v/>
      </c>
      <c r="I540" s="2"/>
      <c r="J540" s="79"/>
      <c r="L540" s="2"/>
      <c r="M540" s="2"/>
      <c r="N540" s="39"/>
      <c r="O540" s="2"/>
      <c r="P540" s="2"/>
    </row>
    <row r="541" spans="1:16" x14ac:dyDescent="0.25">
      <c r="A541" s="103">
        <v>1004</v>
      </c>
      <c r="B541" s="38" t="s">
        <v>1831</v>
      </c>
      <c r="C541" s="2"/>
      <c r="D541" s="77"/>
      <c r="E541" s="78" t="s">
        <v>772</v>
      </c>
      <c r="F541" s="55">
        <f>((4*1.4+2*2.3))</f>
        <v>10.199999999999999</v>
      </c>
      <c r="G541" s="55">
        <f>IF($A541=0,"",VLOOKUP($A541,'BASE MATERIAL'!$A:$D,4))*(0.04*4*7.85*2)</f>
        <v>3.1902400000000002</v>
      </c>
      <c r="H541" s="56">
        <f t="shared" si="50"/>
        <v>32.54</v>
      </c>
      <c r="I541" s="2"/>
    </row>
    <row r="542" spans="1:16" x14ac:dyDescent="0.25">
      <c r="A542" s="103">
        <v>1004</v>
      </c>
      <c r="B542" s="38" t="s">
        <v>1832</v>
      </c>
      <c r="C542" s="2"/>
      <c r="D542" s="77"/>
      <c r="E542" s="78" t="s">
        <v>772</v>
      </c>
      <c r="F542" s="55">
        <f>((1.4+2.3*2))</f>
        <v>6</v>
      </c>
      <c r="G542" s="55">
        <f>IF($A542=0,"",VLOOKUP($A542,'BASE MATERIAL'!$A:$D,4))*(0.04*2*7.85*3)</f>
        <v>2.3926799999999999</v>
      </c>
      <c r="H542" s="56">
        <f t="shared" si="50"/>
        <v>14.36</v>
      </c>
      <c r="I542" s="2"/>
      <c r="L542" s="2"/>
      <c r="M542" s="2"/>
      <c r="N542" s="39"/>
      <c r="O542" s="2"/>
      <c r="P542" s="2"/>
    </row>
    <row r="543" spans="1:16" x14ac:dyDescent="0.25">
      <c r="A543" s="103">
        <v>1004</v>
      </c>
      <c r="B543" s="38" t="s">
        <v>223</v>
      </c>
      <c r="C543" s="2"/>
      <c r="D543" s="77"/>
      <c r="E543" s="78" t="s">
        <v>915</v>
      </c>
      <c r="F543" s="55">
        <f>1.4*2.3*2</f>
        <v>6.4399999999999995</v>
      </c>
      <c r="G543" s="55">
        <f>IF($A543=0,"",VLOOKUP($A543,'BASE MATERIAL'!$A:$D,4))*(7.85*1.5)</f>
        <v>14.954249999999998</v>
      </c>
      <c r="H543" s="56">
        <f t="shared" si="50"/>
        <v>96.31</v>
      </c>
      <c r="I543" s="2"/>
      <c r="L543" s="2"/>
      <c r="M543" s="2"/>
      <c r="N543" s="39"/>
      <c r="O543" s="2"/>
      <c r="P543" s="2"/>
    </row>
    <row r="544" spans="1:16" x14ac:dyDescent="0.25">
      <c r="B544" s="38" t="str">
        <f>IF($A544=0,"",VLOOKUP($A544,'BASE MATERIAL'!$A:$D,2))</f>
        <v/>
      </c>
      <c r="C544" s="2"/>
      <c r="D544" s="77"/>
      <c r="E544" s="78" t="str">
        <f>IF($A544=0,"",VLOOKUP($A544,'BASE MATERIAL'!$A:$D,3))</f>
        <v/>
      </c>
      <c r="F544" s="55"/>
      <c r="G544" s="55"/>
      <c r="H544" s="56" t="str">
        <f t="shared" si="50"/>
        <v/>
      </c>
      <c r="I544" s="2"/>
    </row>
    <row r="545" spans="1:9" x14ac:dyDescent="0.25">
      <c r="B545" s="38" t="str">
        <f>IF($A545=0,"",VLOOKUP($A545,'BASE MATERIAL'!$A:$D,2))</f>
        <v/>
      </c>
      <c r="C545" s="2"/>
      <c r="D545" s="77"/>
      <c r="E545" s="78" t="str">
        <f>IF($A545=0,"",VLOOKUP($A545,'BASE MATERIAL'!$A:$D,3))</f>
        <v/>
      </c>
      <c r="F545" s="55"/>
      <c r="G545" s="55" t="str">
        <f>IF($A545=0,"",VLOOKUP($A545,'BASE MATERIAL'!$A:$D,4))</f>
        <v/>
      </c>
      <c r="H545" s="56" t="str">
        <f t="shared" si="50"/>
        <v/>
      </c>
      <c r="I545" s="2"/>
    </row>
    <row r="546" spans="1:9" x14ac:dyDescent="0.25">
      <c r="B546" s="38" t="str">
        <f>IF($A546=0,"",VLOOKUP($A546,'BASE MATERIAL'!$A:$D,2))</f>
        <v/>
      </c>
      <c r="C546" s="2"/>
      <c r="D546" s="77"/>
      <c r="E546" s="78" t="str">
        <f>IF($A546=0,"",VLOOKUP($A546,'BASE MATERIAL'!$A:$D,3))</f>
        <v/>
      </c>
      <c r="F546" s="55"/>
      <c r="G546" s="55" t="str">
        <f>IF($A546=0,"",VLOOKUP($A546,'BASE MATERIAL'!$A:$D,4))</f>
        <v/>
      </c>
      <c r="H546" s="56" t="str">
        <f t="shared" si="50"/>
        <v/>
      </c>
      <c r="I546" s="2"/>
    </row>
    <row r="547" spans="1:9" x14ac:dyDescent="0.25">
      <c r="B547" s="38" t="str">
        <f>IF($A547=0,"",VLOOKUP($A547,'BASE MATERIAL'!$A:$D,2))</f>
        <v/>
      </c>
      <c r="C547" s="2"/>
      <c r="D547" s="77"/>
      <c r="E547" s="78" t="str">
        <f>IF($A547=0,"",VLOOKUP($A547,'BASE MATERIAL'!$A:$D,3))</f>
        <v/>
      </c>
      <c r="F547" s="55"/>
      <c r="G547" s="55" t="str">
        <f>IF($A547=0,"",VLOOKUP($A547,'BASE MATERIAL'!$A:$D,4))</f>
        <v/>
      </c>
      <c r="H547" s="56" t="str">
        <f t="shared" si="50"/>
        <v/>
      </c>
      <c r="I547" s="2"/>
    </row>
    <row r="548" spans="1:9" x14ac:dyDescent="0.25">
      <c r="B548" s="38" t="str">
        <f>IF($A548=0,"",VLOOKUP($A548,'BASE MATERIAL'!$A:$D,2))</f>
        <v/>
      </c>
      <c r="C548" s="2"/>
      <c r="D548" s="81" t="s">
        <v>1682</v>
      </c>
      <c r="E548" s="55" t="str">
        <f>IF($A548=0,"",VLOOKUP($A548,'BASE MATERIAL'!$A:$D,3))</f>
        <v/>
      </c>
      <c r="F548" s="55" t="s">
        <v>1682</v>
      </c>
      <c r="G548" s="55" t="str">
        <f>IF($A548=0,"",VLOOKUP($A548,'BASE MATERIAL'!$A:$D,4))</f>
        <v/>
      </c>
      <c r="H548" s="56" t="str">
        <f>IF($A548=0,"",ROUND(E548*F548,2))</f>
        <v/>
      </c>
      <c r="I548" s="2"/>
    </row>
    <row r="549" spans="1:9" x14ac:dyDescent="0.25">
      <c r="B549" s="73" t="s">
        <v>1681</v>
      </c>
      <c r="C549" s="65"/>
      <c r="D549" s="74"/>
      <c r="E549" s="74"/>
      <c r="F549" s="74"/>
      <c r="G549" s="74"/>
      <c r="H549" s="75">
        <f>ROUND(SUM(H532:H548),2)</f>
        <v>239.22</v>
      </c>
      <c r="I549" s="2"/>
    </row>
    <row r="550" spans="1:9" x14ac:dyDescent="0.25">
      <c r="B550" s="38" t="s">
        <v>1680</v>
      </c>
      <c r="C550" s="2"/>
      <c r="D550" s="3"/>
      <c r="E550" s="3"/>
      <c r="F550" s="3"/>
      <c r="G550" s="3"/>
      <c r="H550" s="56"/>
      <c r="I550" s="2"/>
    </row>
    <row r="551" spans="1:9" ht="25.5" x14ac:dyDescent="0.25">
      <c r="B551" s="64" t="s">
        <v>1409</v>
      </c>
      <c r="C551" s="65"/>
      <c r="D551" s="76"/>
      <c r="E551" s="66" t="s">
        <v>1408</v>
      </c>
      <c r="F551" s="66" t="s">
        <v>1679</v>
      </c>
      <c r="G551" s="66" t="s">
        <v>1676</v>
      </c>
      <c r="H551" s="68" t="s">
        <v>1675</v>
      </c>
      <c r="I551" s="2"/>
    </row>
    <row r="552" spans="1:9" x14ac:dyDescent="0.25">
      <c r="A552" s="103">
        <v>19019</v>
      </c>
      <c r="B552" s="51" t="str">
        <f>IF($A552=0,"",VLOOKUP($A552,'BASE EQUIPO'!$A:$D,2))</f>
        <v>TRANSPORTE DE MATERIAL</v>
      </c>
      <c r="C552" s="52"/>
      <c r="D552" s="82"/>
      <c r="E552" s="78" t="str">
        <f>IF($A552=0,"",VLOOKUP($A552,'BASE EQUIPO'!$A:$D,3))</f>
        <v>GLOBAL</v>
      </c>
      <c r="F552" s="55">
        <v>1</v>
      </c>
      <c r="G552" s="83">
        <f>IF($A552=0,"",VLOOKUP($A552,'BASE EQUIPO'!$A:$D,4)*H549)</f>
        <v>7.1765999999999996</v>
      </c>
      <c r="H552" s="56">
        <f>IF($A552=0,"",ROUND(F552*G552,2))</f>
        <v>7.18</v>
      </c>
      <c r="I552" s="2"/>
    </row>
    <row r="553" spans="1:9" x14ac:dyDescent="0.25">
      <c r="B553" s="38" t="str">
        <f>IF($A553=0,"",VLOOKUP($A553,'BASE EQUIPO'!$A:$D,2))</f>
        <v/>
      </c>
      <c r="C553" s="2"/>
      <c r="D553" s="84"/>
      <c r="E553" s="78" t="str">
        <f>IF($A553=0,"",VLOOKUP($A553,'BASE EQUIPO'!$A:$D,3))</f>
        <v/>
      </c>
      <c r="F553" s="55"/>
      <c r="G553" s="55" t="str">
        <f>IF($A553=0,"",VLOOKUP($A553,'BASE EQUIPO'!$A:$D,4)*H550)</f>
        <v/>
      </c>
      <c r="H553" s="56" t="str">
        <f>IF($A553=0,"",ROUND(F553*G553,2))</f>
        <v/>
      </c>
      <c r="I553" s="2"/>
    </row>
    <row r="554" spans="1:9" x14ac:dyDescent="0.25">
      <c r="B554" s="57" t="str">
        <f>IF($A554=0,"",VLOOKUP($A554,'BASE EQUIPO'!$A:$D,2))</f>
        <v/>
      </c>
      <c r="C554" s="58"/>
      <c r="D554" s="85"/>
      <c r="E554" s="86" t="str">
        <f>IF($A554=0,"",VLOOKUP($A554,'BASE EQUIPO'!$A:$D,3))</f>
        <v/>
      </c>
      <c r="F554" s="59"/>
      <c r="G554" s="59" t="str">
        <f>IF($A554=0,"",VLOOKUP($A554,'BASE EQUIPO'!$A:$D,4)*H551)</f>
        <v/>
      </c>
      <c r="H554" s="60" t="str">
        <f>IF($A554=0,"",ROUND(F554*G554,2))</f>
        <v/>
      </c>
      <c r="I554" s="2"/>
    </row>
    <row r="555" spans="1:9" ht="15.75" thickBot="1" x14ac:dyDescent="0.3">
      <c r="B555" s="87" t="s">
        <v>1674</v>
      </c>
      <c r="C555" s="88"/>
      <c r="D555" s="89"/>
      <c r="E555" s="89"/>
      <c r="F555" s="89"/>
      <c r="G555" s="89"/>
      <c r="H555" s="90">
        <f>ROUND(SUM(H551:H554),2)</f>
        <v>7.18</v>
      </c>
      <c r="I555" s="2"/>
    </row>
    <row r="556" spans="1:9" ht="15.75" x14ac:dyDescent="0.25">
      <c r="B556" s="2"/>
      <c r="C556" s="2"/>
      <c r="D556" s="91" t="s">
        <v>1673</v>
      </c>
      <c r="E556" s="47"/>
      <c r="F556" s="47"/>
      <c r="G556" s="47"/>
      <c r="H556" s="92">
        <f>ROUND(SUM(H555,H549,H530,H520),2)</f>
        <v>393.05</v>
      </c>
      <c r="I556" s="2"/>
    </row>
    <row r="557" spans="1:9" ht="15.75" x14ac:dyDescent="0.25">
      <c r="A557" s="103">
        <v>40002</v>
      </c>
      <c r="B557" s="2"/>
      <c r="C557" s="2"/>
      <c r="D557" s="93" t="s">
        <v>1672</v>
      </c>
      <c r="E557" s="65"/>
      <c r="F557" s="65"/>
      <c r="G557" s="94">
        <f>IF($A557=0,"",VLOOKUP($A557,'BASE MATERIAL'!$M:$P,4))</f>
        <v>0</v>
      </c>
      <c r="H557" s="95">
        <f>IF($A557=0,"",ROUND(G557*H556,2))</f>
        <v>0</v>
      </c>
      <c r="I557" s="2"/>
    </row>
    <row r="558" spans="1:9" ht="15.75" x14ac:dyDescent="0.25">
      <c r="A558" s="103">
        <v>40003</v>
      </c>
      <c r="B558" s="2"/>
      <c r="C558" s="2"/>
      <c r="D558" s="93" t="s">
        <v>1671</v>
      </c>
      <c r="E558" s="65"/>
      <c r="F558" s="65"/>
      <c r="G558" s="94">
        <f>IF($A558=0,"",VLOOKUP($A558,'BASE MATERIAL'!$M:$P,4))</f>
        <v>0</v>
      </c>
      <c r="H558" s="95">
        <f>IF($A558=0,"",ROUND(G558*H556,2))</f>
        <v>0</v>
      </c>
      <c r="I558" s="2"/>
    </row>
    <row r="559" spans="1:9" ht="15.75" x14ac:dyDescent="0.25">
      <c r="B559" s="2"/>
      <c r="C559" s="2"/>
      <c r="D559" s="93" t="s">
        <v>1670</v>
      </c>
      <c r="E559" s="65"/>
      <c r="F559" s="65"/>
      <c r="G559" s="65"/>
      <c r="H559" s="96">
        <f>ROUND(SUM(H556:H558),2)</f>
        <v>393.05</v>
      </c>
      <c r="I559" s="2"/>
    </row>
    <row r="560" spans="1:9" ht="16.5" thickBot="1" x14ac:dyDescent="0.3">
      <c r="B560" s="25"/>
      <c r="C560" s="2"/>
      <c r="D560" s="97" t="s">
        <v>1650</v>
      </c>
      <c r="E560" s="88"/>
      <c r="F560" s="88"/>
      <c r="G560" s="88"/>
      <c r="H560" s="98">
        <f>ROUND(H559,2)</f>
        <v>393.05</v>
      </c>
      <c r="I560" s="2"/>
    </row>
  </sheetData>
  <phoneticPr fontId="2" type="noConversion"/>
  <pageMargins left="0.75" right="0.75" top="1" bottom="1" header="0" footer="0"/>
  <pageSetup paperSize="9" scale="81" orientation="portrait" horizontalDpi="1200" verticalDpi="1200" r:id="rId1"/>
  <headerFooter alignWithMargins="0"/>
  <rowBreaks count="1" manualBreakCount="1">
    <brk id="112" min="1" max="7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7C978-DA92-4F1A-855B-04012D8EB375}">
  <sheetPr codeName="Hoja20"/>
  <dimension ref="A1:P560"/>
  <sheetViews>
    <sheetView workbookViewId="0"/>
  </sheetViews>
  <sheetFormatPr baseColWidth="10" defaultColWidth="11.42578125" defaultRowHeight="15" x14ac:dyDescent="0.25"/>
  <cols>
    <col min="1" max="1" width="8.7109375" style="103" bestFit="1" customWidth="1"/>
    <col min="2" max="2" width="12.140625" style="1" customWidth="1"/>
    <col min="3" max="3" width="26.28515625" style="1" customWidth="1"/>
    <col min="4" max="4" width="10.7109375" style="1" customWidth="1"/>
    <col min="5" max="5" width="12.140625" style="1" customWidth="1"/>
    <col min="6" max="6" width="13.28515625" style="1" customWidth="1"/>
    <col min="7" max="7" width="13.85546875" style="1" customWidth="1"/>
    <col min="8" max="8" width="12.42578125" style="1" customWidth="1"/>
    <col min="9" max="9" width="3.140625" style="1" bestFit="1" customWidth="1"/>
    <col min="10" max="10" width="7.42578125" style="1" customWidth="1"/>
    <col min="11" max="11" width="8.42578125" style="1" customWidth="1"/>
    <col min="12" max="12" width="8.5703125" style="1" customWidth="1"/>
    <col min="13" max="13" width="34" style="1" bestFit="1" customWidth="1"/>
    <col min="14" max="14" width="6" style="1" bestFit="1" customWidth="1"/>
    <col min="15" max="28" width="8.42578125" style="1" customWidth="1"/>
    <col min="29" max="16384" width="11.42578125" style="1"/>
  </cols>
  <sheetData>
    <row r="1" spans="1:15" ht="15.75" x14ac:dyDescent="0.25">
      <c r="B1" s="34" t="s">
        <v>1701</v>
      </c>
      <c r="C1" s="2"/>
      <c r="D1" s="3" t="str">
        <f>'1.1'!$D$1</f>
        <v>ESPOL</v>
      </c>
      <c r="E1" s="2"/>
      <c r="F1" s="2"/>
      <c r="H1" s="2" t="s">
        <v>108</v>
      </c>
      <c r="I1" s="2"/>
      <c r="L1" s="40" t="e">
        <f>#REF!</f>
        <v>#REF!</v>
      </c>
      <c r="M1" s="1" t="e">
        <f>#REF!</f>
        <v>#REF!</v>
      </c>
      <c r="N1" s="2" t="e">
        <f>#REF!</f>
        <v>#REF!</v>
      </c>
      <c r="O1" s="2" t="e">
        <f>#REF!</f>
        <v>#REF!</v>
      </c>
    </row>
    <row r="2" spans="1:15" ht="15.75" x14ac:dyDescent="0.25">
      <c r="B2" s="34" t="s">
        <v>1700</v>
      </c>
      <c r="C2" s="3">
        <f>'1.1'!$C$2</f>
        <v>0</v>
      </c>
      <c r="D2" s="2"/>
      <c r="E2" s="2"/>
      <c r="F2" s="2"/>
      <c r="G2" s="41" t="s">
        <v>1699</v>
      </c>
      <c r="H2" s="42"/>
      <c r="I2" s="2" t="s">
        <v>1698</v>
      </c>
    </row>
    <row r="3" spans="1:15" ht="15.75" x14ac:dyDescent="0.25">
      <c r="B3" s="34"/>
      <c r="C3" s="3">
        <f>'1.1'!$C$3</f>
        <v>0</v>
      </c>
      <c r="D3" s="2"/>
      <c r="E3" s="2"/>
      <c r="F3" s="2"/>
      <c r="G3" s="2"/>
      <c r="H3" s="2"/>
      <c r="I3" s="2"/>
    </row>
    <row r="4" spans="1:15" ht="15.75" x14ac:dyDescent="0.25">
      <c r="B4" s="34" t="s">
        <v>1697</v>
      </c>
      <c r="C4" s="3"/>
      <c r="D4" s="2"/>
      <c r="E4" s="2"/>
      <c r="F4" s="2"/>
      <c r="G4" s="2"/>
      <c r="H4" s="2"/>
      <c r="I4" s="2"/>
    </row>
    <row r="5" spans="1:15" x14ac:dyDescent="0.25">
      <c r="A5" s="104">
        <v>4</v>
      </c>
      <c r="B5" s="2" t="s">
        <v>1586</v>
      </c>
      <c r="C5" s="101" t="s">
        <v>703</v>
      </c>
      <c r="D5" s="2"/>
      <c r="G5" s="2" t="s">
        <v>1696</v>
      </c>
      <c r="H5" s="3" t="s">
        <v>961</v>
      </c>
      <c r="I5" s="2"/>
    </row>
    <row r="6" spans="1:15" x14ac:dyDescent="0.25">
      <c r="B6" s="1" t="s">
        <v>1585</v>
      </c>
      <c r="C6" s="36" t="s">
        <v>23</v>
      </c>
      <c r="D6" s="2"/>
      <c r="E6" s="2"/>
      <c r="F6" s="2"/>
      <c r="G6" s="2"/>
      <c r="H6" s="2"/>
      <c r="I6" s="2"/>
    </row>
    <row r="7" spans="1:15" ht="15.75" thickBot="1" x14ac:dyDescent="0.3">
      <c r="D7" s="2"/>
      <c r="E7" s="2"/>
      <c r="F7" s="2"/>
      <c r="G7" s="2"/>
      <c r="H7" s="2"/>
      <c r="I7" s="2"/>
    </row>
    <row r="8" spans="1:15" ht="15.75" thickBot="1" x14ac:dyDescent="0.3">
      <c r="B8" s="43" t="s">
        <v>1695</v>
      </c>
      <c r="C8" s="44"/>
      <c r="D8" s="44"/>
      <c r="E8" s="44"/>
      <c r="F8" s="44"/>
      <c r="G8" s="44"/>
      <c r="H8" s="45"/>
      <c r="I8" s="2"/>
    </row>
    <row r="9" spans="1:15" ht="25.5" x14ac:dyDescent="0.25">
      <c r="B9" s="46" t="s">
        <v>1409</v>
      </c>
      <c r="C9" s="47"/>
      <c r="D9" s="48" t="s">
        <v>1690</v>
      </c>
      <c r="E9" s="48" t="s">
        <v>1694</v>
      </c>
      <c r="F9" s="48" t="s">
        <v>1693</v>
      </c>
      <c r="G9" s="49" t="s">
        <v>1687</v>
      </c>
      <c r="H9" s="50" t="s">
        <v>1686</v>
      </c>
      <c r="I9" s="2"/>
    </row>
    <row r="10" spans="1:15" x14ac:dyDescent="0.25">
      <c r="A10" s="103">
        <v>19015</v>
      </c>
      <c r="B10" s="51" t="str">
        <f>IF($A10=0,"",VLOOKUP($A10,'BASE EQUIPO'!$A:$D,2))</f>
        <v>HERRAMIENTA MENOR</v>
      </c>
      <c r="C10" s="52"/>
      <c r="D10" s="53">
        <v>1</v>
      </c>
      <c r="E10" s="53">
        <f>IF($A10=0,"",VLOOKUP($A10,'BASE EQUIPO'!$A:$D,4)*H26)</f>
        <v>0.1515</v>
      </c>
      <c r="F10" s="53">
        <f t="shared" ref="F10:F15" si="0">IF($A10=0,"",ROUND(D10*E10,2))</f>
        <v>0.15</v>
      </c>
      <c r="G10" s="105">
        <v>1</v>
      </c>
      <c r="H10" s="54">
        <f t="shared" ref="H10:H15" si="1">IF($A10=0,"",ROUND(G10*F10,2))</f>
        <v>0.15</v>
      </c>
      <c r="I10" s="2"/>
    </row>
    <row r="11" spans="1:15" x14ac:dyDescent="0.25">
      <c r="B11" s="38" t="str">
        <f>IF($A11=0,"",VLOOKUP($A11,'BASE EQUIPO'!$A:$D,2))</f>
        <v/>
      </c>
      <c r="C11" s="2"/>
      <c r="D11" s="55"/>
      <c r="E11" s="55" t="str">
        <f>IF($A11=0,"",VLOOKUP($A11,'BASE EQUIPO'!$A:$D,4))</f>
        <v/>
      </c>
      <c r="F11" s="55" t="str">
        <f t="shared" si="0"/>
        <v/>
      </c>
      <c r="G11" s="106"/>
      <c r="H11" s="56" t="str">
        <f t="shared" si="1"/>
        <v/>
      </c>
      <c r="I11" s="2"/>
    </row>
    <row r="12" spans="1:15" x14ac:dyDescent="0.25">
      <c r="B12" s="38" t="str">
        <f>IF($A12=0,"",VLOOKUP($A12,'BASE EQUIPO'!$A:$D,2))</f>
        <v/>
      </c>
      <c r="C12" s="2"/>
      <c r="D12" s="55"/>
      <c r="E12" s="55" t="str">
        <f>IF($A12=0,"",VLOOKUP($A12,'BASE EQUIPO'!$A:$D,4))</f>
        <v/>
      </c>
      <c r="F12" s="55" t="str">
        <f t="shared" si="0"/>
        <v/>
      </c>
      <c r="G12" s="106"/>
      <c r="H12" s="56" t="str">
        <f t="shared" si="1"/>
        <v/>
      </c>
      <c r="I12" s="2"/>
    </row>
    <row r="13" spans="1:15" x14ac:dyDescent="0.25">
      <c r="B13" s="38" t="str">
        <f>IF($A13=0,"",VLOOKUP($A13,'BASE EQUIPO'!$A:$D,2))</f>
        <v/>
      </c>
      <c r="C13" s="2"/>
      <c r="D13" s="55"/>
      <c r="E13" s="55" t="str">
        <f>IF($A13=0,"",VLOOKUP($A13,'BASE EQUIPO'!$A:$D,4))</f>
        <v/>
      </c>
      <c r="F13" s="55" t="str">
        <f t="shared" si="0"/>
        <v/>
      </c>
      <c r="G13" s="106"/>
      <c r="H13" s="56" t="str">
        <f t="shared" si="1"/>
        <v/>
      </c>
      <c r="I13" s="2"/>
    </row>
    <row r="14" spans="1:15" x14ac:dyDescent="0.25">
      <c r="B14" s="38" t="str">
        <f>IF($A14=0,"",VLOOKUP($A14,'BASE EQUIPO'!$A:$D,2))</f>
        <v/>
      </c>
      <c r="C14" s="2"/>
      <c r="D14" s="55"/>
      <c r="E14" s="55" t="str">
        <f>IF($A14=0,"",VLOOKUP($A14,'BASE EQUIPO'!$A:$D,4))</f>
        <v/>
      </c>
      <c r="F14" s="55" t="str">
        <f t="shared" si="0"/>
        <v/>
      </c>
      <c r="G14" s="106"/>
      <c r="H14" s="56" t="str">
        <f t="shared" si="1"/>
        <v/>
      </c>
      <c r="I14" s="2"/>
    </row>
    <row r="15" spans="1:15" x14ac:dyDescent="0.25">
      <c r="B15" s="57" t="str">
        <f>IF($A15=0,"",VLOOKUP($A15,'BASE EQUIPO'!$A:$D,2))</f>
        <v/>
      </c>
      <c r="C15" s="58"/>
      <c r="D15" s="59"/>
      <c r="E15" s="59" t="str">
        <f>IF($A15=0,"",VLOOKUP($A15,'BASE EQUIPO'!$A:$D,4))</f>
        <v/>
      </c>
      <c r="F15" s="59" t="str">
        <f t="shared" si="0"/>
        <v/>
      </c>
      <c r="G15" s="107"/>
      <c r="H15" s="60" t="str">
        <f t="shared" si="1"/>
        <v/>
      </c>
      <c r="I15" s="2"/>
    </row>
    <row r="16" spans="1:15" x14ac:dyDescent="0.25">
      <c r="B16" s="57" t="s">
        <v>1692</v>
      </c>
      <c r="C16" s="58"/>
      <c r="D16" s="61"/>
      <c r="E16" s="61"/>
      <c r="F16" s="61"/>
      <c r="G16" s="62"/>
      <c r="H16" s="60">
        <f>ROUND(SUM(H9:H15),2)</f>
        <v>0.15</v>
      </c>
      <c r="I16" s="2"/>
    </row>
    <row r="17" spans="1:16" x14ac:dyDescent="0.25">
      <c r="B17" s="38" t="s">
        <v>1503</v>
      </c>
      <c r="C17" s="2"/>
      <c r="D17" s="3"/>
      <c r="E17" s="3"/>
      <c r="F17" s="3"/>
      <c r="G17" s="63"/>
      <c r="H17" s="56"/>
      <c r="I17" s="2"/>
    </row>
    <row r="18" spans="1:16" ht="25.5" x14ac:dyDescent="0.25">
      <c r="B18" s="64" t="s">
        <v>1691</v>
      </c>
      <c r="C18" s="65"/>
      <c r="D18" s="66" t="s">
        <v>1690</v>
      </c>
      <c r="E18" s="66" t="s">
        <v>1689</v>
      </c>
      <c r="F18" s="66" t="s">
        <v>1688</v>
      </c>
      <c r="G18" s="67" t="s">
        <v>1687</v>
      </c>
      <c r="H18" s="68" t="s">
        <v>1686</v>
      </c>
      <c r="I18" s="2"/>
    </row>
    <row r="19" spans="1:16" x14ac:dyDescent="0.25">
      <c r="B19" s="69" t="str">
        <f>IF($A19=0,"",VLOOKUP($A19,'BASE M-OBRA'!$A:$D,2))</f>
        <v/>
      </c>
      <c r="C19" s="2"/>
      <c r="D19" s="108"/>
      <c r="E19" s="70" t="str">
        <f>IF($A19=0,"",VLOOKUP($A19,'BASE M-OBRA'!$A:$D,4))</f>
        <v/>
      </c>
      <c r="F19" s="55" t="str">
        <f t="shared" ref="F19:F25" si="2">IF($A19=0,"",ROUND(D19*E19,2))</f>
        <v/>
      </c>
      <c r="G19" s="106" t="str">
        <f>IF($A19=0,"",ROUND(H19/F19,2))</f>
        <v/>
      </c>
      <c r="H19" s="56" t="str">
        <f>IF($A19=0,"",ROUND(SUM(H20:H25)*'BASE M-OBRA'!$D$23,2))</f>
        <v/>
      </c>
      <c r="I19" s="2"/>
    </row>
    <row r="20" spans="1:16" x14ac:dyDescent="0.25">
      <c r="A20" s="103">
        <v>20011</v>
      </c>
      <c r="B20" s="69" t="str">
        <f>IF($A20=0,"",VLOOKUP($A20,'BASE M-OBRA'!$A:$D,2))</f>
        <v>AYUDANTE ESPECIALISTA</v>
      </c>
      <c r="C20" s="2"/>
      <c r="D20" s="108">
        <v>1</v>
      </c>
      <c r="E20" s="70">
        <f>IF($A20=0,"",VLOOKUP($A20,'BASE M-OBRA'!$A:$D,4))</f>
        <v>2.79</v>
      </c>
      <c r="F20" s="55">
        <f t="shared" si="2"/>
        <v>2.79</v>
      </c>
      <c r="G20" s="106">
        <v>0.9</v>
      </c>
      <c r="H20" s="56">
        <f t="shared" ref="H20:H25" si="3">IF($A20=0,"",ROUND(G20*F20,2))</f>
        <v>2.5099999999999998</v>
      </c>
      <c r="I20" s="2"/>
    </row>
    <row r="21" spans="1:16" x14ac:dyDescent="0.25">
      <c r="A21" s="103">
        <v>20016</v>
      </c>
      <c r="B21" s="69" t="str">
        <f>IF($A21=0,"",VLOOKUP($A21,'BASE M-OBRA'!$A:$D,2))</f>
        <v>GAFITERO</v>
      </c>
      <c r="C21" s="2"/>
      <c r="D21" s="108">
        <v>1</v>
      </c>
      <c r="E21" s="70">
        <f>IF($A21=0,"",VLOOKUP($A21,'BASE M-OBRA'!$A:$D,4))</f>
        <v>2.82</v>
      </c>
      <c r="F21" s="55">
        <f t="shared" si="2"/>
        <v>2.82</v>
      </c>
      <c r="G21" s="106">
        <f>+G20</f>
        <v>0.9</v>
      </c>
      <c r="H21" s="56">
        <f t="shared" si="3"/>
        <v>2.54</v>
      </c>
      <c r="I21" s="2"/>
    </row>
    <row r="22" spans="1:16" x14ac:dyDescent="0.25">
      <c r="B22" s="71" t="str">
        <f>IF($A22=0,"",VLOOKUP($A22,'BASE M-OBRA'!$A:$D,2))</f>
        <v/>
      </c>
      <c r="C22" s="2"/>
      <c r="D22" s="108"/>
      <c r="E22" s="70" t="str">
        <f>IF($A22=0,"",VLOOKUP($A22,'BASE M-OBRA'!$A:$D,4))</f>
        <v/>
      </c>
      <c r="F22" s="55" t="str">
        <f t="shared" si="2"/>
        <v/>
      </c>
      <c r="G22" s="106"/>
      <c r="H22" s="56" t="str">
        <f t="shared" si="3"/>
        <v/>
      </c>
      <c r="I22" s="2"/>
    </row>
    <row r="23" spans="1:16" x14ac:dyDescent="0.25">
      <c r="B23" s="72" t="str">
        <f>IF($A23=0,"",VLOOKUP($A23,'BASE M-OBRA'!$A:$D,2))</f>
        <v/>
      </c>
      <c r="C23" s="2"/>
      <c r="D23" s="108"/>
      <c r="E23" s="70" t="str">
        <f>IF($A23=0,"",VLOOKUP($A23,'BASE M-OBRA'!$A:$D,4))</f>
        <v/>
      </c>
      <c r="F23" s="55" t="str">
        <f t="shared" si="2"/>
        <v/>
      </c>
      <c r="G23" s="106"/>
      <c r="H23" s="56" t="str">
        <f t="shared" si="3"/>
        <v/>
      </c>
      <c r="I23" s="2"/>
    </row>
    <row r="24" spans="1:16" x14ac:dyDescent="0.25">
      <c r="B24" s="38" t="str">
        <f>IF($A24=0,"",VLOOKUP($A24,'BASE M-OBRA'!$A:$D,2))</f>
        <v/>
      </c>
      <c r="C24" s="2"/>
      <c r="D24" s="55"/>
      <c r="E24" s="55" t="str">
        <f>IF($A24=0,"",VLOOKUP($A24,'BASE M-OBRA'!$A:$D,4))</f>
        <v/>
      </c>
      <c r="F24" s="55" t="str">
        <f t="shared" si="2"/>
        <v/>
      </c>
      <c r="G24" s="106"/>
      <c r="H24" s="56" t="str">
        <f t="shared" si="3"/>
        <v/>
      </c>
      <c r="I24" s="2"/>
    </row>
    <row r="25" spans="1:16" x14ac:dyDescent="0.25">
      <c r="B25" s="57" t="str">
        <f>IF($A25=0,"",VLOOKUP($A25,'BASE M-OBRA'!$A:$D,2))</f>
        <v/>
      </c>
      <c r="C25" s="58"/>
      <c r="D25" s="59"/>
      <c r="E25" s="59" t="str">
        <f>IF($A25=0,"",VLOOKUP($A25,'BASE M-OBRA'!$A:$D,4))</f>
        <v/>
      </c>
      <c r="F25" s="59" t="str">
        <f t="shared" si="2"/>
        <v/>
      </c>
      <c r="G25" s="107"/>
      <c r="H25" s="60" t="str">
        <f t="shared" si="3"/>
        <v/>
      </c>
      <c r="I25" s="2"/>
    </row>
    <row r="26" spans="1:16" x14ac:dyDescent="0.25">
      <c r="B26" s="73" t="s">
        <v>1685</v>
      </c>
      <c r="C26" s="65"/>
      <c r="D26" s="74"/>
      <c r="E26" s="74"/>
      <c r="F26" s="74"/>
      <c r="G26" s="74"/>
      <c r="H26" s="75">
        <f>ROUND(SUM(H18:H25),2)</f>
        <v>5.05</v>
      </c>
      <c r="I26" s="2"/>
    </row>
    <row r="27" spans="1:16" x14ac:dyDescent="0.25">
      <c r="B27" s="38" t="s">
        <v>1684</v>
      </c>
      <c r="C27" s="2"/>
      <c r="D27" s="3"/>
      <c r="E27" s="3"/>
      <c r="F27" s="3"/>
      <c r="G27" s="3"/>
      <c r="H27" s="56"/>
      <c r="I27" s="2"/>
    </row>
    <row r="28" spans="1:16" ht="25.5" x14ac:dyDescent="0.25">
      <c r="B28" s="64" t="s">
        <v>1409</v>
      </c>
      <c r="C28" s="65"/>
      <c r="D28" s="76"/>
      <c r="E28" s="66" t="s">
        <v>1408</v>
      </c>
      <c r="F28" s="66" t="s">
        <v>1679</v>
      </c>
      <c r="G28" s="66" t="s">
        <v>1683</v>
      </c>
      <c r="H28" s="68" t="s">
        <v>1675</v>
      </c>
      <c r="I28" s="2"/>
    </row>
    <row r="29" spans="1:16" x14ac:dyDescent="0.25">
      <c r="A29" s="103">
        <v>15007</v>
      </c>
      <c r="B29" s="38" t="str">
        <f>IF($A29=0,"",VLOOKUP($A29,'BASE MATERIAL'!$A:$D,2))</f>
        <v>TUBO   PVC    1 ROSCABLE</v>
      </c>
      <c r="C29" s="2"/>
      <c r="D29" s="77"/>
      <c r="E29" s="78" t="str">
        <f>IF($A29=0,"",VLOOKUP($A29,'BASE MATERIAL'!$A:$D,3))</f>
        <v>U</v>
      </c>
      <c r="F29" s="55">
        <v>0.17</v>
      </c>
      <c r="G29" s="55">
        <f>IF($A29=0,"",VLOOKUP($A29,'BASE MATERIAL'!$A:$D,4))</f>
        <v>25.37</v>
      </c>
      <c r="H29" s="56">
        <f t="shared" ref="H29:H43" si="4">IF($A29=0,"",ROUND(F29*G29,2))</f>
        <v>4.3099999999999996</v>
      </c>
      <c r="I29" s="2"/>
      <c r="L29" s="2"/>
      <c r="M29" s="2"/>
      <c r="N29" s="39"/>
      <c r="O29" s="2"/>
      <c r="P29" s="2"/>
    </row>
    <row r="30" spans="1:16" x14ac:dyDescent="0.25">
      <c r="A30" s="103">
        <v>1</v>
      </c>
      <c r="B30" s="38" t="s">
        <v>10</v>
      </c>
      <c r="C30" s="2"/>
      <c r="D30" s="77"/>
      <c r="E30" s="78" t="s">
        <v>5</v>
      </c>
      <c r="F30" s="55">
        <v>0.17</v>
      </c>
      <c r="G30" s="55">
        <v>1.8288</v>
      </c>
      <c r="H30" s="56">
        <f t="shared" si="4"/>
        <v>0.31</v>
      </c>
      <c r="I30" s="2"/>
      <c r="L30" s="2"/>
      <c r="M30" s="2"/>
      <c r="N30" s="39"/>
      <c r="O30" s="2"/>
      <c r="P30" s="2"/>
    </row>
    <row r="31" spans="1:16" x14ac:dyDescent="0.25">
      <c r="B31" s="38"/>
      <c r="C31" s="2"/>
      <c r="D31" s="77"/>
      <c r="E31" s="78"/>
      <c r="F31" s="55"/>
      <c r="G31" s="55"/>
      <c r="H31" s="56" t="str">
        <f t="shared" si="4"/>
        <v/>
      </c>
      <c r="I31" s="2"/>
      <c r="L31" s="2"/>
      <c r="M31" s="2"/>
      <c r="N31" s="39"/>
      <c r="O31" s="2"/>
      <c r="P31" s="2"/>
    </row>
    <row r="32" spans="1:16" x14ac:dyDescent="0.25">
      <c r="A32" s="103">
        <v>1</v>
      </c>
      <c r="B32" s="38" t="s">
        <v>9</v>
      </c>
      <c r="C32" s="2"/>
      <c r="D32" s="77"/>
      <c r="E32" s="78" t="s">
        <v>5</v>
      </c>
      <c r="F32" s="55">
        <v>0.08</v>
      </c>
      <c r="G32" s="55">
        <v>2.0574000000000003</v>
      </c>
      <c r="H32" s="56">
        <f t="shared" si="4"/>
        <v>0.16</v>
      </c>
      <c r="I32" s="2"/>
      <c r="L32" s="2"/>
      <c r="M32" s="2"/>
      <c r="N32" s="39"/>
      <c r="O32" s="2"/>
      <c r="P32" s="2"/>
    </row>
    <row r="33" spans="1:16" x14ac:dyDescent="0.25">
      <c r="A33" s="103">
        <v>1</v>
      </c>
      <c r="B33" s="38" t="s">
        <v>22</v>
      </c>
      <c r="C33" s="2"/>
      <c r="D33" s="77"/>
      <c r="E33" s="78" t="s">
        <v>5</v>
      </c>
      <c r="F33" s="55">
        <v>0.08</v>
      </c>
      <c r="G33" s="55">
        <v>0.93979999999999997</v>
      </c>
      <c r="H33" s="56">
        <f t="shared" si="4"/>
        <v>0.08</v>
      </c>
      <c r="I33" s="2"/>
      <c r="L33" s="2"/>
      <c r="M33" s="2"/>
      <c r="N33" s="39"/>
      <c r="O33" s="2"/>
      <c r="P33" s="2"/>
    </row>
    <row r="34" spans="1:16" x14ac:dyDescent="0.25">
      <c r="B34" s="38"/>
      <c r="C34" s="2"/>
      <c r="D34" s="77"/>
      <c r="E34" s="78"/>
      <c r="F34" s="55"/>
      <c r="G34" s="55"/>
      <c r="H34" s="56" t="str">
        <f t="shared" si="4"/>
        <v/>
      </c>
      <c r="I34" s="2"/>
      <c r="L34" s="2"/>
      <c r="M34" s="2"/>
      <c r="N34" s="39"/>
      <c r="O34" s="2"/>
      <c r="P34" s="2"/>
    </row>
    <row r="35" spans="1:16" x14ac:dyDescent="0.25">
      <c r="A35" s="103">
        <v>1</v>
      </c>
      <c r="B35" s="38" t="s">
        <v>16</v>
      </c>
      <c r="C35" s="2"/>
      <c r="D35" s="77"/>
      <c r="E35" s="78" t="s">
        <v>5</v>
      </c>
      <c r="F35" s="55">
        <v>0.03</v>
      </c>
      <c r="G35" s="55">
        <v>10</v>
      </c>
      <c r="H35" s="56">
        <f t="shared" si="4"/>
        <v>0.3</v>
      </c>
      <c r="I35" s="2"/>
      <c r="L35" s="2"/>
      <c r="M35" s="2"/>
      <c r="N35" s="39"/>
      <c r="O35" s="2"/>
      <c r="P35" s="2"/>
    </row>
    <row r="36" spans="1:16" x14ac:dyDescent="0.25">
      <c r="A36" s="103">
        <v>1</v>
      </c>
      <c r="B36" s="38" t="s">
        <v>1</v>
      </c>
      <c r="C36" s="2"/>
      <c r="D36" s="77"/>
      <c r="E36" s="78" t="s">
        <v>0</v>
      </c>
      <c r="F36" s="55">
        <v>0.03</v>
      </c>
      <c r="G36" s="55">
        <v>0.25</v>
      </c>
      <c r="H36" s="56">
        <f t="shared" si="4"/>
        <v>0.01</v>
      </c>
      <c r="I36" s="2"/>
      <c r="L36" s="2"/>
      <c r="M36" s="2"/>
      <c r="N36" s="39"/>
      <c r="O36" s="2"/>
      <c r="P36" s="2"/>
    </row>
    <row r="37" spans="1:16" x14ac:dyDescent="0.25">
      <c r="B37" s="38"/>
      <c r="C37" s="2"/>
      <c r="D37" s="77"/>
      <c r="E37" s="78"/>
      <c r="F37" s="55"/>
      <c r="G37" s="55"/>
      <c r="H37" s="56" t="str">
        <f t="shared" si="4"/>
        <v/>
      </c>
      <c r="I37" s="2"/>
    </row>
    <row r="38" spans="1:16" x14ac:dyDescent="0.25">
      <c r="B38" s="38" t="str">
        <f>IF($A38=0,"",VLOOKUP($A38,'BASE MATERIAL'!$A:$D,2))</f>
        <v/>
      </c>
      <c r="C38" s="2"/>
      <c r="D38" s="77"/>
      <c r="E38" s="78" t="str">
        <f>IF($A38=0,"",VLOOKUP($A38,'BASE MATERIAL'!$A:$D,3))</f>
        <v/>
      </c>
      <c r="F38" s="55"/>
      <c r="G38" s="55" t="str">
        <f>IF($A38=0,"",VLOOKUP($A38,'BASE MATERIAL'!$A:$D,4))</f>
        <v/>
      </c>
      <c r="H38" s="56" t="str">
        <f t="shared" si="4"/>
        <v/>
      </c>
      <c r="I38" s="2"/>
      <c r="L38" s="2"/>
      <c r="M38" s="2"/>
      <c r="N38" s="39"/>
      <c r="O38" s="2"/>
      <c r="P38" s="2"/>
    </row>
    <row r="39" spans="1:16" x14ac:dyDescent="0.25">
      <c r="B39" s="38" t="str">
        <f>IF($A39=0,"",VLOOKUP($A39,'BASE MATERIAL'!$A:$D,2))</f>
        <v/>
      </c>
      <c r="C39" s="2"/>
      <c r="D39" s="77"/>
      <c r="E39" s="78" t="str">
        <f>IF($A39=0,"",VLOOKUP($A39,'BASE MATERIAL'!$A:$D,3))</f>
        <v/>
      </c>
      <c r="F39" s="55"/>
      <c r="G39" s="55" t="str">
        <f>IF($A39=0,"",VLOOKUP($A39,'BASE MATERIAL'!$A:$D,4))</f>
        <v/>
      </c>
      <c r="H39" s="56" t="str">
        <f t="shared" si="4"/>
        <v/>
      </c>
      <c r="I39" s="2"/>
      <c r="L39" s="2"/>
      <c r="M39" s="2"/>
      <c r="N39" s="39"/>
      <c r="O39" s="2"/>
      <c r="P39" s="2"/>
    </row>
    <row r="40" spans="1:16" x14ac:dyDescent="0.25">
      <c r="B40" s="38" t="str">
        <f>IF($A40=0,"",VLOOKUP($A40,'BASE MATERIAL'!$A:$D,2))</f>
        <v/>
      </c>
      <c r="C40" s="2"/>
      <c r="D40" s="77"/>
      <c r="E40" s="78" t="str">
        <f>IF($A40=0,"",VLOOKUP($A40,'BASE MATERIAL'!$A:$D,3))</f>
        <v/>
      </c>
      <c r="F40" s="55"/>
      <c r="G40" s="55" t="str">
        <f>IF($A40=0,"",VLOOKUP($A40,'BASE MATERIAL'!$A:$D,4))</f>
        <v/>
      </c>
      <c r="H40" s="56" t="str">
        <f t="shared" si="4"/>
        <v/>
      </c>
      <c r="I40" s="2"/>
    </row>
    <row r="41" spans="1:16" x14ac:dyDescent="0.25">
      <c r="B41" s="38" t="str">
        <f>IF($A41=0,"",VLOOKUP($A41,'BASE MATERIAL'!$A:$D,2))</f>
        <v/>
      </c>
      <c r="C41" s="2"/>
      <c r="D41" s="77"/>
      <c r="E41" s="78" t="str">
        <f>IF($A41=0,"",VLOOKUP($A41,'BASE MATERIAL'!$A:$D,3))</f>
        <v/>
      </c>
      <c r="F41" s="55"/>
      <c r="G41" s="55" t="str">
        <f>IF($A41=0,"",VLOOKUP($A41,'BASE MATERIAL'!$A:$D,4))</f>
        <v/>
      </c>
      <c r="H41" s="56" t="str">
        <f t="shared" si="4"/>
        <v/>
      </c>
      <c r="I41" s="2"/>
    </row>
    <row r="42" spans="1:16" x14ac:dyDescent="0.25">
      <c r="B42" s="38" t="str">
        <f>IF($A42=0,"",VLOOKUP($A42,'BASE MATERIAL'!$A:$D,2))</f>
        <v/>
      </c>
      <c r="C42" s="2"/>
      <c r="D42" s="77"/>
      <c r="E42" s="78" t="str">
        <f>IF($A42=0,"",VLOOKUP($A42,'BASE MATERIAL'!$A:$D,3))</f>
        <v/>
      </c>
      <c r="F42" s="55"/>
      <c r="G42" s="55" t="str">
        <f>IF($A42=0,"",VLOOKUP($A42,'BASE MATERIAL'!$A:$D,4))</f>
        <v/>
      </c>
      <c r="H42" s="56" t="str">
        <f t="shared" si="4"/>
        <v/>
      </c>
      <c r="I42" s="2"/>
    </row>
    <row r="43" spans="1:16" x14ac:dyDescent="0.25">
      <c r="B43" s="38" t="str">
        <f>IF($A43=0,"",VLOOKUP($A43,'BASE MATERIAL'!$A:$D,2))</f>
        <v/>
      </c>
      <c r="C43" s="2"/>
      <c r="D43" s="77"/>
      <c r="E43" s="78" t="str">
        <f>IF($A43=0,"",VLOOKUP($A43,'BASE MATERIAL'!$A:$D,3))</f>
        <v/>
      </c>
      <c r="F43" s="55"/>
      <c r="G43" s="55" t="str">
        <f>IF($A43=0,"",VLOOKUP($A43,'BASE MATERIAL'!$A:$D,4))</f>
        <v/>
      </c>
      <c r="H43" s="56" t="str">
        <f t="shared" si="4"/>
        <v/>
      </c>
      <c r="I43" s="2"/>
    </row>
    <row r="44" spans="1:16" x14ac:dyDescent="0.25">
      <c r="B44" s="38" t="str">
        <f>IF($A44=0,"",VLOOKUP($A44,'BASE MATERIAL'!$A:$D,2))</f>
        <v/>
      </c>
      <c r="C44" s="2"/>
      <c r="D44" s="81" t="s">
        <v>1682</v>
      </c>
      <c r="E44" s="55" t="str">
        <f>IF($A44=0,"",VLOOKUP($A44,'BASE MATERIAL'!$A:$D,3))</f>
        <v/>
      </c>
      <c r="F44" s="55" t="s">
        <v>1682</v>
      </c>
      <c r="G44" s="55" t="str">
        <f>IF($A44=0,"",VLOOKUP($A44,'BASE MATERIAL'!$A:$D,4))</f>
        <v/>
      </c>
      <c r="H44" s="56" t="str">
        <f>IF($A44=0,"",ROUND(E44*F44,2))</f>
        <v/>
      </c>
      <c r="I44" s="2"/>
    </row>
    <row r="45" spans="1:16" x14ac:dyDescent="0.25">
      <c r="B45" s="73" t="s">
        <v>1681</v>
      </c>
      <c r="C45" s="65"/>
      <c r="D45" s="74"/>
      <c r="E45" s="74"/>
      <c r="F45" s="74"/>
      <c r="G45" s="74"/>
      <c r="H45" s="75">
        <f>ROUND(SUM(H28:H44),2)</f>
        <v>5.17</v>
      </c>
      <c r="I45" s="2"/>
    </row>
    <row r="46" spans="1:16" x14ac:dyDescent="0.25">
      <c r="B46" s="38" t="s">
        <v>1680</v>
      </c>
      <c r="C46" s="2"/>
      <c r="D46" s="3"/>
      <c r="E46" s="3"/>
      <c r="F46" s="3"/>
      <c r="G46" s="3"/>
      <c r="H46" s="56"/>
      <c r="I46" s="2"/>
    </row>
    <row r="47" spans="1:16" ht="25.5" x14ac:dyDescent="0.25">
      <c r="B47" s="64" t="s">
        <v>1409</v>
      </c>
      <c r="C47" s="65"/>
      <c r="D47" s="76"/>
      <c r="E47" s="66" t="s">
        <v>1408</v>
      </c>
      <c r="F47" s="66" t="s">
        <v>1679</v>
      </c>
      <c r="G47" s="66" t="s">
        <v>1676</v>
      </c>
      <c r="H47" s="68" t="s">
        <v>1675</v>
      </c>
      <c r="I47" s="2"/>
    </row>
    <row r="48" spans="1:16" x14ac:dyDescent="0.25">
      <c r="A48" s="103">
        <v>19019</v>
      </c>
      <c r="B48" s="51" t="str">
        <f>IF($A48=0,"",VLOOKUP($A48,'BASE EQUIPO'!$A:$D,2))</f>
        <v>TRANSPORTE DE MATERIAL</v>
      </c>
      <c r="C48" s="52"/>
      <c r="D48" s="82"/>
      <c r="E48" s="78" t="str">
        <f>IF($A48=0,"",VLOOKUP($A48,'BASE EQUIPO'!$A:$D,3))</f>
        <v>GLOBAL</v>
      </c>
      <c r="F48" s="55">
        <v>1</v>
      </c>
      <c r="G48" s="83">
        <f>IF($A48=0,"",VLOOKUP($A48,'BASE EQUIPO'!$A:$D,4)*H45)</f>
        <v>0.15509999999999999</v>
      </c>
      <c r="H48" s="56">
        <f>IF($A48=0,"",ROUND(F48*G48,2))</f>
        <v>0.16</v>
      </c>
      <c r="I48" s="2"/>
    </row>
    <row r="49" spans="1:15" x14ac:dyDescent="0.25">
      <c r="B49" s="38" t="str">
        <f>IF($A49=0,"",VLOOKUP($A49,'BASE EQUIPO'!$A:$D,2))</f>
        <v/>
      </c>
      <c r="C49" s="2"/>
      <c r="D49" s="84"/>
      <c r="E49" s="78" t="str">
        <f>IF($A49=0,"",VLOOKUP($A49,'BASE EQUIPO'!$A:$D,3))</f>
        <v/>
      </c>
      <c r="F49" s="55"/>
      <c r="G49" s="55" t="str">
        <f>IF($A49=0,"",VLOOKUP($A49,'BASE EQUIPO'!$A:$D,4)*H46)</f>
        <v/>
      </c>
      <c r="H49" s="56" t="str">
        <f>IF($A49=0,"",ROUND(F49*G49,2))</f>
        <v/>
      </c>
      <c r="I49" s="2"/>
    </row>
    <row r="50" spans="1:15" x14ac:dyDescent="0.25">
      <c r="B50" s="57" t="str">
        <f>IF($A50=0,"",VLOOKUP($A50,'BASE EQUIPO'!$A:$D,2))</f>
        <v/>
      </c>
      <c r="C50" s="58"/>
      <c r="D50" s="85"/>
      <c r="E50" s="86" t="str">
        <f>IF($A50=0,"",VLOOKUP($A50,'BASE EQUIPO'!$A:$D,3))</f>
        <v/>
      </c>
      <c r="F50" s="59"/>
      <c r="G50" s="59" t="str">
        <f>IF($A50=0,"",VLOOKUP($A50,'BASE EQUIPO'!$A:$D,4)*H47)</f>
        <v/>
      </c>
      <c r="H50" s="60" t="str">
        <f>IF($A50=0,"",ROUND(F50*G50,2))</f>
        <v/>
      </c>
      <c r="I50" s="2"/>
    </row>
    <row r="51" spans="1:15" ht="15.75" thickBot="1" x14ac:dyDescent="0.3">
      <c r="B51" s="87" t="s">
        <v>1674</v>
      </c>
      <c r="C51" s="88"/>
      <c r="D51" s="89"/>
      <c r="E51" s="89"/>
      <c r="F51" s="89"/>
      <c r="G51" s="89"/>
      <c r="H51" s="90">
        <f>ROUND(SUM(H47:H50),2)</f>
        <v>0.16</v>
      </c>
      <c r="I51" s="2"/>
    </row>
    <row r="52" spans="1:15" ht="15.75" x14ac:dyDescent="0.25">
      <c r="B52" s="2"/>
      <c r="C52" s="2"/>
      <c r="D52" s="91" t="s">
        <v>1673</v>
      </c>
      <c r="E52" s="47"/>
      <c r="F52" s="47"/>
      <c r="G52" s="47"/>
      <c r="H52" s="92">
        <f>ROUND(SUM(H51,H45,H26,H16),2)</f>
        <v>10.53</v>
      </c>
      <c r="I52" s="2"/>
    </row>
    <row r="53" spans="1:15" ht="15.75" x14ac:dyDescent="0.25">
      <c r="A53" s="103">
        <v>40002</v>
      </c>
      <c r="B53" s="2"/>
      <c r="C53" s="2"/>
      <c r="D53" s="93" t="s">
        <v>1672</v>
      </c>
      <c r="E53" s="65"/>
      <c r="F53" s="65"/>
      <c r="G53" s="94">
        <f>IF($A53=0,"",VLOOKUP($A53,'BASE MATERIAL'!$M:$P,4))</f>
        <v>0</v>
      </c>
      <c r="H53" s="95">
        <f>IF($A53=0,"",ROUND(G53*H52,2))</f>
        <v>0</v>
      </c>
      <c r="I53" s="2"/>
    </row>
    <row r="54" spans="1:15" ht="15.75" x14ac:dyDescent="0.25">
      <c r="A54" s="103">
        <v>40003</v>
      </c>
      <c r="B54" s="2"/>
      <c r="C54" s="2"/>
      <c r="D54" s="93" t="s">
        <v>1671</v>
      </c>
      <c r="E54" s="65"/>
      <c r="F54" s="65"/>
      <c r="G54" s="94">
        <f>IF($A54=0,"",VLOOKUP($A54,'BASE MATERIAL'!$M:$P,4))</f>
        <v>0</v>
      </c>
      <c r="H54" s="95">
        <f>IF($A54=0,"",ROUND(G54*H52,2))</f>
        <v>0</v>
      </c>
      <c r="I54" s="2"/>
    </row>
    <row r="55" spans="1:15" ht="15.75" x14ac:dyDescent="0.25">
      <c r="B55" s="2"/>
      <c r="C55" s="2"/>
      <c r="D55" s="93" t="s">
        <v>1670</v>
      </c>
      <c r="E55" s="65"/>
      <c r="F55" s="65"/>
      <c r="G55" s="65"/>
      <c r="H55" s="96">
        <f>ROUND(SUM(H52:H54),2)</f>
        <v>10.53</v>
      </c>
      <c r="I55" s="2"/>
    </row>
    <row r="56" spans="1:15" ht="16.5" thickBot="1" x14ac:dyDescent="0.3">
      <c r="B56" s="25"/>
      <c r="C56" s="2"/>
      <c r="D56" s="97" t="s">
        <v>1650</v>
      </c>
      <c r="E56" s="88"/>
      <c r="F56" s="88"/>
      <c r="G56" s="88"/>
      <c r="H56" s="98">
        <f>ROUND(H55,2)</f>
        <v>10.53</v>
      </c>
      <c r="I56" s="2"/>
    </row>
    <row r="57" spans="1:15" ht="15.75" x14ac:dyDescent="0.25">
      <c r="B57" s="34" t="s">
        <v>1701</v>
      </c>
      <c r="C57" s="2"/>
      <c r="D57" s="3" t="str">
        <f>$D$1</f>
        <v>ESPOL</v>
      </c>
      <c r="E57" s="2"/>
      <c r="F57" s="2"/>
      <c r="H57" s="2" t="s">
        <v>108</v>
      </c>
      <c r="I57" s="2"/>
      <c r="L57" s="40">
        <f>A61</f>
        <v>5</v>
      </c>
      <c r="M57" s="1" t="str">
        <f>C62</f>
        <v>Redes de PVC presión roscable   3/4" (inc. Accesorios)</v>
      </c>
      <c r="N57" s="2" t="str">
        <f>H61</f>
        <v>ml</v>
      </c>
      <c r="O57" s="2">
        <f>H112</f>
        <v>9.15</v>
      </c>
    </row>
    <row r="58" spans="1:15" ht="15.75" x14ac:dyDescent="0.25">
      <c r="B58" s="34" t="s">
        <v>1700</v>
      </c>
      <c r="C58" s="3">
        <f>'1.1'!$C$2</f>
        <v>0</v>
      </c>
      <c r="D58" s="2"/>
      <c r="E58" s="2"/>
      <c r="F58" s="2"/>
      <c r="G58" s="41" t="s">
        <v>1699</v>
      </c>
      <c r="H58" s="42"/>
      <c r="I58" s="2" t="s">
        <v>1698</v>
      </c>
    </row>
    <row r="59" spans="1:15" ht="15.75" x14ac:dyDescent="0.25">
      <c r="B59" s="34"/>
      <c r="C59" s="3">
        <f>'1.1'!$C$3</f>
        <v>0</v>
      </c>
      <c r="D59" s="2"/>
      <c r="E59" s="2"/>
      <c r="F59" s="2"/>
      <c r="G59" s="2"/>
      <c r="H59" s="2"/>
      <c r="I59" s="2"/>
    </row>
    <row r="60" spans="1:15" ht="15.75" x14ac:dyDescent="0.25">
      <c r="B60" s="34" t="s">
        <v>1697</v>
      </c>
      <c r="C60" s="3"/>
      <c r="D60" s="2"/>
      <c r="E60" s="2"/>
      <c r="F60" s="2"/>
      <c r="G60" s="2"/>
      <c r="H60" s="2"/>
      <c r="I60" s="2"/>
    </row>
    <row r="61" spans="1:15" x14ac:dyDescent="0.25">
      <c r="A61" s="104">
        <v>5</v>
      </c>
      <c r="B61" s="2" t="s">
        <v>1586</v>
      </c>
      <c r="C61" s="101" t="s">
        <v>658</v>
      </c>
      <c r="D61" s="2"/>
      <c r="G61" s="2" t="s">
        <v>1696</v>
      </c>
      <c r="H61" s="3" t="s">
        <v>961</v>
      </c>
      <c r="I61" s="2"/>
    </row>
    <row r="62" spans="1:15" x14ac:dyDescent="0.25">
      <c r="B62" s="1" t="s">
        <v>1585</v>
      </c>
      <c r="C62" s="36" t="s">
        <v>21</v>
      </c>
      <c r="D62" s="2"/>
      <c r="E62" s="2"/>
      <c r="F62" s="2"/>
      <c r="G62" s="2"/>
      <c r="H62" s="2"/>
      <c r="I62" s="2"/>
    </row>
    <row r="63" spans="1:15" ht="15.75" thickBot="1" x14ac:dyDescent="0.3">
      <c r="D63" s="2"/>
      <c r="E63" s="2"/>
      <c r="F63" s="2"/>
      <c r="G63" s="2"/>
      <c r="H63" s="2"/>
      <c r="I63" s="2"/>
    </row>
    <row r="64" spans="1:15" ht="15.75" thickBot="1" x14ac:dyDescent="0.3">
      <c r="B64" s="43" t="s">
        <v>1695</v>
      </c>
      <c r="C64" s="44"/>
      <c r="D64" s="44"/>
      <c r="E64" s="44"/>
      <c r="F64" s="44"/>
      <c r="G64" s="44"/>
      <c r="H64" s="45"/>
      <c r="I64" s="2"/>
    </row>
    <row r="65" spans="1:9" ht="25.5" x14ac:dyDescent="0.25">
      <c r="B65" s="46" t="s">
        <v>1409</v>
      </c>
      <c r="C65" s="47"/>
      <c r="D65" s="48" t="s">
        <v>1690</v>
      </c>
      <c r="E65" s="48" t="s">
        <v>1694</v>
      </c>
      <c r="F65" s="48" t="s">
        <v>1693</v>
      </c>
      <c r="G65" s="49" t="s">
        <v>1687</v>
      </c>
      <c r="H65" s="50" t="s">
        <v>1686</v>
      </c>
      <c r="I65" s="2"/>
    </row>
    <row r="66" spans="1:9" x14ac:dyDescent="0.25">
      <c r="A66" s="103">
        <v>19015</v>
      </c>
      <c r="B66" s="51" t="str">
        <f>IF($A66=0,"",VLOOKUP($A66,'BASE EQUIPO'!$A:$D,2))</f>
        <v>HERRAMIENTA MENOR</v>
      </c>
      <c r="C66" s="52"/>
      <c r="D66" s="53">
        <v>1</v>
      </c>
      <c r="E66" s="53">
        <f>IF($A66=0,"",VLOOKUP($A66,'BASE EQUIPO'!$A:$D,4)*H82)</f>
        <v>0.14309999999999998</v>
      </c>
      <c r="F66" s="53">
        <f t="shared" ref="F66:F71" si="5">IF($A66=0,"",ROUND(D66*E66,2))</f>
        <v>0.14000000000000001</v>
      </c>
      <c r="G66" s="105">
        <v>1</v>
      </c>
      <c r="H66" s="54">
        <f t="shared" ref="H66:H71" si="6">IF($A66=0,"",ROUND(G66*F66,2))</f>
        <v>0.14000000000000001</v>
      </c>
      <c r="I66" s="2"/>
    </row>
    <row r="67" spans="1:9" x14ac:dyDescent="0.25">
      <c r="B67" s="38" t="str">
        <f>IF($A67=0,"",VLOOKUP($A67,'BASE EQUIPO'!$A:$D,2))</f>
        <v/>
      </c>
      <c r="C67" s="2"/>
      <c r="D67" s="55"/>
      <c r="E67" s="55" t="str">
        <f>IF($A67=0,"",VLOOKUP($A67,'BASE EQUIPO'!$A:$D,4))</f>
        <v/>
      </c>
      <c r="F67" s="55" t="str">
        <f t="shared" si="5"/>
        <v/>
      </c>
      <c r="G67" s="106"/>
      <c r="H67" s="56" t="str">
        <f t="shared" si="6"/>
        <v/>
      </c>
      <c r="I67" s="2"/>
    </row>
    <row r="68" spans="1:9" x14ac:dyDescent="0.25">
      <c r="B68" s="38" t="str">
        <f>IF($A68=0,"",VLOOKUP($A68,'BASE EQUIPO'!$A:$D,2))</f>
        <v/>
      </c>
      <c r="C68" s="2"/>
      <c r="D68" s="55"/>
      <c r="E68" s="55" t="str">
        <f>IF($A68=0,"",VLOOKUP($A68,'BASE EQUIPO'!$A:$D,4))</f>
        <v/>
      </c>
      <c r="F68" s="55" t="str">
        <f t="shared" si="5"/>
        <v/>
      </c>
      <c r="G68" s="106"/>
      <c r="H68" s="56" t="str">
        <f t="shared" si="6"/>
        <v/>
      </c>
      <c r="I68" s="2"/>
    </row>
    <row r="69" spans="1:9" x14ac:dyDescent="0.25">
      <c r="B69" s="38" t="str">
        <f>IF($A69=0,"",VLOOKUP($A69,'BASE EQUIPO'!$A:$D,2))</f>
        <v/>
      </c>
      <c r="C69" s="2"/>
      <c r="D69" s="55"/>
      <c r="E69" s="55" t="str">
        <f>IF($A69=0,"",VLOOKUP($A69,'BASE EQUIPO'!$A:$D,4))</f>
        <v/>
      </c>
      <c r="F69" s="55" t="str">
        <f t="shared" si="5"/>
        <v/>
      </c>
      <c r="G69" s="106"/>
      <c r="H69" s="56" t="str">
        <f t="shared" si="6"/>
        <v/>
      </c>
      <c r="I69" s="2"/>
    </row>
    <row r="70" spans="1:9" x14ac:dyDescent="0.25">
      <c r="B70" s="38" t="str">
        <f>IF($A70=0,"",VLOOKUP($A70,'BASE EQUIPO'!$A:$D,2))</f>
        <v/>
      </c>
      <c r="C70" s="2"/>
      <c r="D70" s="55"/>
      <c r="E70" s="55" t="str">
        <f>IF($A70=0,"",VLOOKUP($A70,'BASE EQUIPO'!$A:$D,4))</f>
        <v/>
      </c>
      <c r="F70" s="55" t="str">
        <f t="shared" si="5"/>
        <v/>
      </c>
      <c r="G70" s="106"/>
      <c r="H70" s="56" t="str">
        <f t="shared" si="6"/>
        <v/>
      </c>
      <c r="I70" s="2"/>
    </row>
    <row r="71" spans="1:9" x14ac:dyDescent="0.25">
      <c r="B71" s="57" t="str">
        <f>IF($A71=0,"",VLOOKUP($A71,'BASE EQUIPO'!$A:$D,2))</f>
        <v/>
      </c>
      <c r="C71" s="58"/>
      <c r="D71" s="59"/>
      <c r="E71" s="59" t="str">
        <f>IF($A71=0,"",VLOOKUP($A71,'BASE EQUIPO'!$A:$D,4))</f>
        <v/>
      </c>
      <c r="F71" s="59" t="str">
        <f t="shared" si="5"/>
        <v/>
      </c>
      <c r="G71" s="107"/>
      <c r="H71" s="60" t="str">
        <f t="shared" si="6"/>
        <v/>
      </c>
      <c r="I71" s="2"/>
    </row>
    <row r="72" spans="1:9" x14ac:dyDescent="0.25">
      <c r="B72" s="57" t="s">
        <v>1692</v>
      </c>
      <c r="C72" s="58"/>
      <c r="D72" s="61"/>
      <c r="E72" s="61"/>
      <c r="F72" s="61"/>
      <c r="G72" s="62"/>
      <c r="H72" s="60">
        <f>ROUND(SUM(H65:H71),2)</f>
        <v>0.14000000000000001</v>
      </c>
      <c r="I72" s="2"/>
    </row>
    <row r="73" spans="1:9" x14ac:dyDescent="0.25">
      <c r="B73" s="38" t="s">
        <v>1503</v>
      </c>
      <c r="C73" s="2"/>
      <c r="D73" s="3"/>
      <c r="E73" s="3"/>
      <c r="F73" s="3"/>
      <c r="G73" s="63"/>
      <c r="H73" s="56"/>
      <c r="I73" s="2"/>
    </row>
    <row r="74" spans="1:9" ht="25.5" x14ac:dyDescent="0.25">
      <c r="B74" s="64" t="s">
        <v>1691</v>
      </c>
      <c r="C74" s="65"/>
      <c r="D74" s="66" t="s">
        <v>1690</v>
      </c>
      <c r="E74" s="66" t="s">
        <v>1689</v>
      </c>
      <c r="F74" s="66" t="s">
        <v>1688</v>
      </c>
      <c r="G74" s="67" t="s">
        <v>1687</v>
      </c>
      <c r="H74" s="68" t="s">
        <v>1686</v>
      </c>
      <c r="I74" s="2"/>
    </row>
    <row r="75" spans="1:9" x14ac:dyDescent="0.25">
      <c r="B75" s="69" t="str">
        <f>IF($A75=0,"",VLOOKUP($A75,'BASE M-OBRA'!$A:$D,2))</f>
        <v/>
      </c>
      <c r="C75" s="2"/>
      <c r="D75" s="108"/>
      <c r="E75" s="70" t="str">
        <f>IF($A75=0,"",VLOOKUP($A75,'BASE M-OBRA'!$A:$D,4))</f>
        <v/>
      </c>
      <c r="F75" s="55" t="str">
        <f t="shared" ref="F75:F81" si="7">IF($A75=0,"",ROUND(D75*E75,2))</f>
        <v/>
      </c>
      <c r="G75" s="106" t="str">
        <f>IF($A75=0,"",ROUND(H75/F75,2))</f>
        <v/>
      </c>
      <c r="H75" s="56" t="str">
        <f>IF($A75=0,"",ROUND(SUM(H76:H81)*'BASE M-OBRA'!$D$23,2))</f>
        <v/>
      </c>
      <c r="I75" s="2"/>
    </row>
    <row r="76" spans="1:9" x14ac:dyDescent="0.25">
      <c r="A76" s="103">
        <v>20011</v>
      </c>
      <c r="B76" s="69" t="str">
        <f>IF($A76=0,"",VLOOKUP($A76,'BASE M-OBRA'!$A:$D,2))</f>
        <v>AYUDANTE ESPECIALISTA</v>
      </c>
      <c r="C76" s="2"/>
      <c r="D76" s="108">
        <v>1</v>
      </c>
      <c r="E76" s="70">
        <f>IF($A76=0,"",VLOOKUP($A76,'BASE M-OBRA'!$A:$D,4))</f>
        <v>2.79</v>
      </c>
      <c r="F76" s="55">
        <f t="shared" si="7"/>
        <v>2.79</v>
      </c>
      <c r="G76" s="106">
        <v>0.85</v>
      </c>
      <c r="H76" s="56">
        <f t="shared" ref="H76:H81" si="8">IF($A76=0,"",ROUND(G76*F76,2))</f>
        <v>2.37</v>
      </c>
      <c r="I76" s="2"/>
    </row>
    <row r="77" spans="1:9" x14ac:dyDescent="0.25">
      <c r="A77" s="103">
        <v>20016</v>
      </c>
      <c r="B77" s="69" t="str">
        <f>IF($A77=0,"",VLOOKUP($A77,'BASE M-OBRA'!$A:$D,2))</f>
        <v>GAFITERO</v>
      </c>
      <c r="C77" s="2"/>
      <c r="D77" s="108">
        <v>1</v>
      </c>
      <c r="E77" s="70">
        <f>IF($A77=0,"",VLOOKUP($A77,'BASE M-OBRA'!$A:$D,4))</f>
        <v>2.82</v>
      </c>
      <c r="F77" s="55">
        <f t="shared" si="7"/>
        <v>2.82</v>
      </c>
      <c r="G77" s="106">
        <f>+G76</f>
        <v>0.85</v>
      </c>
      <c r="H77" s="56">
        <f t="shared" si="8"/>
        <v>2.4</v>
      </c>
      <c r="I77" s="2"/>
    </row>
    <row r="78" spans="1:9" x14ac:dyDescent="0.25">
      <c r="B78" s="71" t="str">
        <f>IF($A78=0,"",VLOOKUP($A78,'BASE M-OBRA'!$A:$D,2))</f>
        <v/>
      </c>
      <c r="C78" s="2"/>
      <c r="D78" s="108"/>
      <c r="E78" s="70" t="str">
        <f>IF($A78=0,"",VLOOKUP($A78,'BASE M-OBRA'!$A:$D,4))</f>
        <v/>
      </c>
      <c r="F78" s="55" t="str">
        <f t="shared" si="7"/>
        <v/>
      </c>
      <c r="G78" s="106"/>
      <c r="H78" s="56" t="str">
        <f t="shared" si="8"/>
        <v/>
      </c>
      <c r="I78" s="2"/>
    </row>
    <row r="79" spans="1:9" x14ac:dyDescent="0.25">
      <c r="B79" s="72" t="str">
        <f>IF($A79=0,"",VLOOKUP($A79,'BASE M-OBRA'!$A:$D,2))</f>
        <v/>
      </c>
      <c r="C79" s="2"/>
      <c r="D79" s="108"/>
      <c r="E79" s="70" t="str">
        <f>IF($A79=0,"",VLOOKUP($A79,'BASE M-OBRA'!$A:$D,4))</f>
        <v/>
      </c>
      <c r="F79" s="55" t="str">
        <f t="shared" si="7"/>
        <v/>
      </c>
      <c r="G79" s="106"/>
      <c r="H79" s="56" t="str">
        <f t="shared" si="8"/>
        <v/>
      </c>
      <c r="I79" s="2"/>
    </row>
    <row r="80" spans="1:9" x14ac:dyDescent="0.25">
      <c r="B80" s="38" t="str">
        <f>IF($A80=0,"",VLOOKUP($A80,'BASE M-OBRA'!$A:$D,2))</f>
        <v/>
      </c>
      <c r="C80" s="2"/>
      <c r="D80" s="55"/>
      <c r="E80" s="55" t="str">
        <f>IF($A80=0,"",VLOOKUP($A80,'BASE M-OBRA'!$A:$D,4))</f>
        <v/>
      </c>
      <c r="F80" s="55" t="str">
        <f t="shared" si="7"/>
        <v/>
      </c>
      <c r="G80" s="106"/>
      <c r="H80" s="56" t="str">
        <f t="shared" si="8"/>
        <v/>
      </c>
      <c r="I80" s="2"/>
    </row>
    <row r="81" spans="1:16" x14ac:dyDescent="0.25">
      <c r="B81" s="57" t="str">
        <f>IF($A81=0,"",VLOOKUP($A81,'BASE M-OBRA'!$A:$D,2))</f>
        <v/>
      </c>
      <c r="C81" s="58"/>
      <c r="D81" s="59"/>
      <c r="E81" s="59" t="str">
        <f>IF($A81=0,"",VLOOKUP($A81,'BASE M-OBRA'!$A:$D,4))</f>
        <v/>
      </c>
      <c r="F81" s="59" t="str">
        <f t="shared" si="7"/>
        <v/>
      </c>
      <c r="G81" s="107"/>
      <c r="H81" s="60" t="str">
        <f t="shared" si="8"/>
        <v/>
      </c>
      <c r="I81" s="2"/>
    </row>
    <row r="82" spans="1:16" x14ac:dyDescent="0.25">
      <c r="B82" s="73" t="s">
        <v>1685</v>
      </c>
      <c r="C82" s="65"/>
      <c r="D82" s="74"/>
      <c r="E82" s="74"/>
      <c r="F82" s="74"/>
      <c r="G82" s="74"/>
      <c r="H82" s="75">
        <f>ROUND(SUM(H74:H81),2)</f>
        <v>4.7699999999999996</v>
      </c>
      <c r="I82" s="2"/>
    </row>
    <row r="83" spans="1:16" x14ac:dyDescent="0.25">
      <c r="B83" s="38" t="s">
        <v>1684</v>
      </c>
      <c r="C83" s="2"/>
      <c r="D83" s="3"/>
      <c r="E83" s="3"/>
      <c r="F83" s="3"/>
      <c r="G83" s="3"/>
      <c r="H83" s="56"/>
      <c r="I83" s="2"/>
    </row>
    <row r="84" spans="1:16" ht="25.5" x14ac:dyDescent="0.25">
      <c r="B84" s="64" t="s">
        <v>1409</v>
      </c>
      <c r="C84" s="65"/>
      <c r="D84" s="76"/>
      <c r="E84" s="66" t="s">
        <v>1408</v>
      </c>
      <c r="F84" s="66" t="s">
        <v>1679</v>
      </c>
      <c r="G84" s="66" t="s">
        <v>1683</v>
      </c>
      <c r="H84" s="68" t="s">
        <v>1675</v>
      </c>
      <c r="I84" s="2"/>
    </row>
    <row r="85" spans="1:16" x14ac:dyDescent="0.25">
      <c r="A85" s="103">
        <v>15009</v>
      </c>
      <c r="B85" s="38" t="str">
        <f>IF($A85=0,"",VLOOKUP($A85,'BASE MATERIAL'!$A:$D,2))</f>
        <v>TUBO   PVC    3/4 ROSCABLE</v>
      </c>
      <c r="C85" s="2"/>
      <c r="D85" s="77"/>
      <c r="E85" s="78" t="str">
        <f>IF($A85=0,"",VLOOKUP($A85,'BASE MATERIAL'!$A:$D,3))</f>
        <v>U</v>
      </c>
      <c r="F85" s="55">
        <v>0.17</v>
      </c>
      <c r="G85" s="55">
        <f>IF($A85=0,"",VLOOKUP($A85,'BASE MATERIAL'!$A:$D,4))</f>
        <v>13.23</v>
      </c>
      <c r="H85" s="56">
        <f t="shared" ref="H85:H99" si="9">IF($A85=0,"",ROUND(F85*G85,2))</f>
        <v>2.25</v>
      </c>
      <c r="I85" s="2"/>
      <c r="L85" s="2"/>
      <c r="M85" s="2"/>
      <c r="N85" s="39"/>
      <c r="O85" s="2"/>
      <c r="P85" s="2"/>
    </row>
    <row r="86" spans="1:16" x14ac:dyDescent="0.25">
      <c r="A86" s="103">
        <v>1</v>
      </c>
      <c r="B86" s="38" t="s">
        <v>20</v>
      </c>
      <c r="C86" s="2"/>
      <c r="D86" s="77"/>
      <c r="E86" s="78" t="s">
        <v>5</v>
      </c>
      <c r="F86" s="55">
        <v>0.7</v>
      </c>
      <c r="G86" s="55">
        <v>0.93979999999999997</v>
      </c>
      <c r="H86" s="56">
        <f t="shared" si="9"/>
        <v>0.66</v>
      </c>
      <c r="I86" s="2"/>
      <c r="L86" s="2"/>
      <c r="M86" s="2"/>
      <c r="N86" s="39"/>
      <c r="O86" s="2"/>
      <c r="P86" s="2"/>
    </row>
    <row r="87" spans="1:16" x14ac:dyDescent="0.25">
      <c r="A87" s="103">
        <v>1</v>
      </c>
      <c r="B87" s="38" t="s">
        <v>19</v>
      </c>
      <c r="C87" s="2"/>
      <c r="D87" s="77"/>
      <c r="E87" s="78" t="s">
        <v>5</v>
      </c>
      <c r="F87" s="55">
        <v>0.4</v>
      </c>
      <c r="G87" s="55">
        <v>1.7272000000000001</v>
      </c>
      <c r="H87" s="56">
        <f t="shared" si="9"/>
        <v>0.69</v>
      </c>
      <c r="I87" s="2"/>
      <c r="L87" s="2"/>
      <c r="M87" s="2"/>
      <c r="N87" s="39"/>
      <c r="O87" s="2"/>
      <c r="P87" s="2"/>
    </row>
    <row r="88" spans="1:16" x14ac:dyDescent="0.25">
      <c r="A88" s="103">
        <v>1</v>
      </c>
      <c r="B88" s="38" t="s">
        <v>18</v>
      </c>
      <c r="C88" s="2"/>
      <c r="D88" s="77"/>
      <c r="E88" s="78" t="s">
        <v>5</v>
      </c>
      <c r="F88" s="55">
        <v>0.13</v>
      </c>
      <c r="G88" s="55">
        <v>1.0413999999999999</v>
      </c>
      <c r="H88" s="56">
        <f t="shared" si="9"/>
        <v>0.14000000000000001</v>
      </c>
      <c r="I88" s="2"/>
      <c r="L88" s="2"/>
      <c r="M88" s="2"/>
      <c r="N88" s="39"/>
      <c r="O88" s="2"/>
      <c r="P88" s="2"/>
    </row>
    <row r="89" spans="1:16" x14ac:dyDescent="0.25">
      <c r="A89" s="103">
        <v>1</v>
      </c>
      <c r="B89" s="38" t="s">
        <v>17</v>
      </c>
      <c r="C89" s="2"/>
      <c r="D89" s="77"/>
      <c r="E89" s="78" t="s">
        <v>5</v>
      </c>
      <c r="F89" s="55">
        <v>0.2</v>
      </c>
      <c r="G89" s="55">
        <v>0.33019999999999999</v>
      </c>
      <c r="H89" s="56">
        <f t="shared" si="9"/>
        <v>7.0000000000000007E-2</v>
      </c>
      <c r="I89" s="2"/>
      <c r="L89" s="2"/>
      <c r="M89" s="2"/>
      <c r="N89" s="39"/>
      <c r="O89" s="2"/>
      <c r="P89" s="2"/>
    </row>
    <row r="90" spans="1:16" x14ac:dyDescent="0.25">
      <c r="A90" s="103">
        <v>1</v>
      </c>
      <c r="B90" s="38" t="s">
        <v>1</v>
      </c>
      <c r="C90" s="2"/>
      <c r="D90" s="77"/>
      <c r="E90" s="78" t="s">
        <v>0</v>
      </c>
      <c r="F90" s="55">
        <v>0.03</v>
      </c>
      <c r="G90" s="55">
        <v>0.25</v>
      </c>
      <c r="H90" s="56">
        <f t="shared" si="9"/>
        <v>0.01</v>
      </c>
      <c r="I90" s="2"/>
      <c r="L90" s="2"/>
      <c r="M90" s="2"/>
      <c r="N90" s="39"/>
      <c r="O90" s="2"/>
      <c r="P90" s="2"/>
    </row>
    <row r="91" spans="1:16" x14ac:dyDescent="0.25">
      <c r="A91" s="103">
        <v>1</v>
      </c>
      <c r="B91" s="38" t="s">
        <v>16</v>
      </c>
      <c r="C91" s="2"/>
      <c r="D91" s="77"/>
      <c r="E91" s="78" t="s">
        <v>5</v>
      </c>
      <c r="F91" s="55">
        <v>0.03</v>
      </c>
      <c r="G91" s="55">
        <v>10</v>
      </c>
      <c r="H91" s="56">
        <f t="shared" si="9"/>
        <v>0.3</v>
      </c>
      <c r="I91" s="2"/>
      <c r="L91" s="2"/>
      <c r="M91" s="2"/>
      <c r="N91" s="39"/>
      <c r="O91" s="2"/>
      <c r="P91" s="2"/>
    </row>
    <row r="92" spans="1:16" x14ac:dyDescent="0.25">
      <c r="B92" s="38"/>
      <c r="C92" s="2"/>
      <c r="D92" s="77"/>
      <c r="E92" s="78"/>
      <c r="F92" s="55"/>
      <c r="G92" s="55"/>
      <c r="H92" s="56" t="str">
        <f t="shared" si="9"/>
        <v/>
      </c>
      <c r="I92" s="2"/>
      <c r="L92" s="2"/>
      <c r="M92" s="2"/>
      <c r="N92" s="39"/>
      <c r="O92" s="2"/>
      <c r="P92" s="2"/>
    </row>
    <row r="93" spans="1:16" x14ac:dyDescent="0.25">
      <c r="B93" s="38"/>
      <c r="C93" s="2"/>
      <c r="D93" s="77"/>
      <c r="E93" s="78"/>
      <c r="F93" s="55"/>
      <c r="G93" s="55"/>
      <c r="H93" s="56" t="str">
        <f t="shared" si="9"/>
        <v/>
      </c>
      <c r="I93" s="2"/>
    </row>
    <row r="94" spans="1:16" x14ac:dyDescent="0.25">
      <c r="B94" s="38" t="str">
        <f>IF($A94=0,"",VLOOKUP($A94,'BASE MATERIAL'!$A:$D,2))</f>
        <v/>
      </c>
      <c r="C94" s="2"/>
      <c r="D94" s="77"/>
      <c r="E94" s="78" t="str">
        <f>IF($A94=0,"",VLOOKUP($A94,'BASE MATERIAL'!$A:$D,3))</f>
        <v/>
      </c>
      <c r="F94" s="55"/>
      <c r="G94" s="55" t="str">
        <f>IF($A94=0,"",VLOOKUP($A94,'BASE MATERIAL'!$A:$D,4))</f>
        <v/>
      </c>
      <c r="H94" s="56" t="str">
        <f t="shared" si="9"/>
        <v/>
      </c>
      <c r="I94" s="2"/>
      <c r="L94" s="2"/>
      <c r="M94" s="2"/>
      <c r="N94" s="39"/>
      <c r="O94" s="2"/>
      <c r="P94" s="2"/>
    </row>
    <row r="95" spans="1:16" x14ac:dyDescent="0.25">
      <c r="B95" s="38" t="str">
        <f>IF($A95=0,"",VLOOKUP($A95,'BASE MATERIAL'!$A:$D,2))</f>
        <v/>
      </c>
      <c r="C95" s="2"/>
      <c r="D95" s="77"/>
      <c r="E95" s="78" t="str">
        <f>IF($A95=0,"",VLOOKUP($A95,'BASE MATERIAL'!$A:$D,3))</f>
        <v/>
      </c>
      <c r="F95" s="55"/>
      <c r="G95" s="55" t="str">
        <f>IF($A95=0,"",VLOOKUP($A95,'BASE MATERIAL'!$A:$D,4))</f>
        <v/>
      </c>
      <c r="H95" s="56" t="str">
        <f t="shared" si="9"/>
        <v/>
      </c>
      <c r="I95" s="2"/>
      <c r="L95" s="2"/>
      <c r="M95" s="2"/>
      <c r="N95" s="39"/>
      <c r="O95" s="2"/>
      <c r="P95" s="2"/>
    </row>
    <row r="96" spans="1:16" x14ac:dyDescent="0.25">
      <c r="B96" s="38" t="str">
        <f>IF($A96=0,"",VLOOKUP($A96,'BASE MATERIAL'!$A:$D,2))</f>
        <v/>
      </c>
      <c r="C96" s="2"/>
      <c r="D96" s="77"/>
      <c r="E96" s="78" t="str">
        <f>IF($A96=0,"",VLOOKUP($A96,'BASE MATERIAL'!$A:$D,3))</f>
        <v/>
      </c>
      <c r="F96" s="55"/>
      <c r="G96" s="55" t="str">
        <f>IF($A96=0,"",VLOOKUP($A96,'BASE MATERIAL'!$A:$D,4))</f>
        <v/>
      </c>
      <c r="H96" s="56" t="str">
        <f t="shared" si="9"/>
        <v/>
      </c>
      <c r="I96" s="2"/>
    </row>
    <row r="97" spans="1:9" x14ac:dyDescent="0.25">
      <c r="B97" s="38" t="str">
        <f>IF($A97=0,"",VLOOKUP($A97,'BASE MATERIAL'!$A:$D,2))</f>
        <v/>
      </c>
      <c r="C97" s="2"/>
      <c r="D97" s="77"/>
      <c r="E97" s="78" t="str">
        <f>IF($A97=0,"",VLOOKUP($A97,'BASE MATERIAL'!$A:$D,3))</f>
        <v/>
      </c>
      <c r="F97" s="55"/>
      <c r="G97" s="55" t="str">
        <f>IF($A97=0,"",VLOOKUP($A97,'BASE MATERIAL'!$A:$D,4))</f>
        <v/>
      </c>
      <c r="H97" s="56" t="str">
        <f t="shared" si="9"/>
        <v/>
      </c>
      <c r="I97" s="2"/>
    </row>
    <row r="98" spans="1:9" x14ac:dyDescent="0.25">
      <c r="B98" s="38" t="str">
        <f>IF($A98=0,"",VLOOKUP($A98,'BASE MATERIAL'!$A:$D,2))</f>
        <v/>
      </c>
      <c r="C98" s="2"/>
      <c r="D98" s="77"/>
      <c r="E98" s="78" t="str">
        <f>IF($A98=0,"",VLOOKUP($A98,'BASE MATERIAL'!$A:$D,3))</f>
        <v/>
      </c>
      <c r="F98" s="55"/>
      <c r="G98" s="55" t="str">
        <f>IF($A98=0,"",VLOOKUP($A98,'BASE MATERIAL'!$A:$D,4))</f>
        <v/>
      </c>
      <c r="H98" s="56" t="str">
        <f t="shared" si="9"/>
        <v/>
      </c>
      <c r="I98" s="2"/>
    </row>
    <row r="99" spans="1:9" x14ac:dyDescent="0.25">
      <c r="B99" s="38" t="str">
        <f>IF($A99=0,"",VLOOKUP($A99,'BASE MATERIAL'!$A:$D,2))</f>
        <v/>
      </c>
      <c r="C99" s="2"/>
      <c r="D99" s="77"/>
      <c r="E99" s="78" t="str">
        <f>IF($A99=0,"",VLOOKUP($A99,'BASE MATERIAL'!$A:$D,3))</f>
        <v/>
      </c>
      <c r="F99" s="55"/>
      <c r="G99" s="55" t="str">
        <f>IF($A99=0,"",VLOOKUP($A99,'BASE MATERIAL'!$A:$D,4))</f>
        <v/>
      </c>
      <c r="H99" s="56" t="str">
        <f t="shared" si="9"/>
        <v/>
      </c>
      <c r="I99" s="2"/>
    </row>
    <row r="100" spans="1:9" x14ac:dyDescent="0.25">
      <c r="B100" s="38" t="str">
        <f>IF($A100=0,"",VLOOKUP($A100,'BASE MATERIAL'!$A:$D,2))</f>
        <v/>
      </c>
      <c r="C100" s="2"/>
      <c r="D100" s="81" t="s">
        <v>1682</v>
      </c>
      <c r="E100" s="55" t="str">
        <f>IF($A100=0,"",VLOOKUP($A100,'BASE MATERIAL'!$A:$D,3))</f>
        <v/>
      </c>
      <c r="F100" s="55" t="s">
        <v>1682</v>
      </c>
      <c r="G100" s="55" t="str">
        <f>IF($A100=0,"",VLOOKUP($A100,'BASE MATERIAL'!$A:$D,4))</f>
        <v/>
      </c>
      <c r="H100" s="56" t="str">
        <f>IF($A100=0,"",ROUND(E100*F100,2))</f>
        <v/>
      </c>
      <c r="I100" s="2"/>
    </row>
    <row r="101" spans="1:9" x14ac:dyDescent="0.25">
      <c r="B101" s="73" t="s">
        <v>1681</v>
      </c>
      <c r="C101" s="65"/>
      <c r="D101" s="74"/>
      <c r="E101" s="74"/>
      <c r="F101" s="74"/>
      <c r="G101" s="74"/>
      <c r="H101" s="75">
        <f>ROUND(SUM(H84:H100),2)</f>
        <v>4.12</v>
      </c>
      <c r="I101" s="2"/>
    </row>
    <row r="102" spans="1:9" x14ac:dyDescent="0.25">
      <c r="B102" s="38" t="s">
        <v>1680</v>
      </c>
      <c r="C102" s="2"/>
      <c r="D102" s="3"/>
      <c r="E102" s="3"/>
      <c r="F102" s="3"/>
      <c r="G102" s="3"/>
      <c r="H102" s="56"/>
      <c r="I102" s="2"/>
    </row>
    <row r="103" spans="1:9" ht="25.5" x14ac:dyDescent="0.25">
      <c r="B103" s="64" t="s">
        <v>1409</v>
      </c>
      <c r="C103" s="65"/>
      <c r="D103" s="76"/>
      <c r="E103" s="66" t="s">
        <v>1408</v>
      </c>
      <c r="F103" s="66" t="s">
        <v>1679</v>
      </c>
      <c r="G103" s="66" t="s">
        <v>1676</v>
      </c>
      <c r="H103" s="68" t="s">
        <v>1675</v>
      </c>
      <c r="I103" s="2"/>
    </row>
    <row r="104" spans="1:9" x14ac:dyDescent="0.25">
      <c r="A104" s="103">
        <v>19019</v>
      </c>
      <c r="B104" s="51" t="str">
        <f>IF($A104=0,"",VLOOKUP($A104,'BASE EQUIPO'!$A:$D,2))</f>
        <v>TRANSPORTE DE MATERIAL</v>
      </c>
      <c r="C104" s="52"/>
      <c r="D104" s="82"/>
      <c r="E104" s="78" t="str">
        <f>IF($A104=0,"",VLOOKUP($A104,'BASE EQUIPO'!$A:$D,3))</f>
        <v>GLOBAL</v>
      </c>
      <c r="F104" s="55">
        <v>1</v>
      </c>
      <c r="G104" s="83">
        <f>IF($A104=0,"",VLOOKUP($A104,'BASE EQUIPO'!$A:$D,4)*H101)</f>
        <v>0.1236</v>
      </c>
      <c r="H104" s="56">
        <f>IF($A104=0,"",ROUND(F104*G104,2))</f>
        <v>0.12</v>
      </c>
      <c r="I104" s="2"/>
    </row>
    <row r="105" spans="1:9" x14ac:dyDescent="0.25">
      <c r="B105" s="38" t="str">
        <f>IF($A105=0,"",VLOOKUP($A105,'BASE EQUIPO'!$A:$D,2))</f>
        <v/>
      </c>
      <c r="C105" s="2"/>
      <c r="D105" s="84"/>
      <c r="E105" s="78" t="str">
        <f>IF($A105=0,"",VLOOKUP($A105,'BASE EQUIPO'!$A:$D,3))</f>
        <v/>
      </c>
      <c r="F105" s="55"/>
      <c r="G105" s="55" t="str">
        <f>IF($A105=0,"",VLOOKUP($A105,'BASE EQUIPO'!$A:$D,4)*H102)</f>
        <v/>
      </c>
      <c r="H105" s="56" t="str">
        <f>IF($A105=0,"",ROUND(F105*G105,2))</f>
        <v/>
      </c>
      <c r="I105" s="2"/>
    </row>
    <row r="106" spans="1:9" x14ac:dyDescent="0.25">
      <c r="B106" s="57" t="str">
        <f>IF($A106=0,"",VLOOKUP($A106,'BASE EQUIPO'!$A:$D,2))</f>
        <v/>
      </c>
      <c r="C106" s="58"/>
      <c r="D106" s="85"/>
      <c r="E106" s="86" t="str">
        <f>IF($A106=0,"",VLOOKUP($A106,'BASE EQUIPO'!$A:$D,3))</f>
        <v/>
      </c>
      <c r="F106" s="59"/>
      <c r="G106" s="59" t="str">
        <f>IF($A106=0,"",VLOOKUP($A106,'BASE EQUIPO'!$A:$D,4)*H103)</f>
        <v/>
      </c>
      <c r="H106" s="60" t="str">
        <f>IF($A106=0,"",ROUND(F106*G106,2))</f>
        <v/>
      </c>
      <c r="I106" s="2"/>
    </row>
    <row r="107" spans="1:9" ht="15.75" thickBot="1" x14ac:dyDescent="0.3">
      <c r="B107" s="87" t="s">
        <v>1674</v>
      </c>
      <c r="C107" s="88"/>
      <c r="D107" s="89"/>
      <c r="E107" s="89"/>
      <c r="F107" s="89"/>
      <c r="G107" s="89"/>
      <c r="H107" s="90">
        <f>ROUND(SUM(H103:H106),2)</f>
        <v>0.12</v>
      </c>
      <c r="I107" s="2"/>
    </row>
    <row r="108" spans="1:9" ht="15.75" x14ac:dyDescent="0.25">
      <c r="B108" s="2"/>
      <c r="C108" s="2"/>
      <c r="D108" s="91" t="s">
        <v>1673</v>
      </c>
      <c r="E108" s="47"/>
      <c r="F108" s="47"/>
      <c r="G108" s="47"/>
      <c r="H108" s="92">
        <f>ROUND(SUM(H107,H101,H82,H72),2)</f>
        <v>9.15</v>
      </c>
      <c r="I108" s="2"/>
    </row>
    <row r="109" spans="1:9" ht="15.75" x14ac:dyDescent="0.25">
      <c r="A109" s="103">
        <v>40002</v>
      </c>
      <c r="B109" s="2"/>
      <c r="C109" s="2"/>
      <c r="D109" s="93" t="s">
        <v>1672</v>
      </c>
      <c r="E109" s="65"/>
      <c r="F109" s="65"/>
      <c r="G109" s="94">
        <f>IF($A109=0,"",VLOOKUP($A109,'BASE MATERIAL'!$M:$P,4))</f>
        <v>0</v>
      </c>
      <c r="H109" s="95">
        <f>IF($A109=0,"",ROUND(G109*H108,2))</f>
        <v>0</v>
      </c>
      <c r="I109" s="2"/>
    </row>
    <row r="110" spans="1:9" ht="15.75" x14ac:dyDescent="0.25">
      <c r="A110" s="103">
        <v>40003</v>
      </c>
      <c r="B110" s="2"/>
      <c r="C110" s="2"/>
      <c r="D110" s="93" t="s">
        <v>1671</v>
      </c>
      <c r="E110" s="65"/>
      <c r="F110" s="65"/>
      <c r="G110" s="94">
        <f>IF($A110=0,"",VLOOKUP($A110,'BASE MATERIAL'!$M:$P,4))</f>
        <v>0</v>
      </c>
      <c r="H110" s="95">
        <f>IF($A110=0,"",ROUND(G110*H108,2))</f>
        <v>0</v>
      </c>
      <c r="I110" s="2"/>
    </row>
    <row r="111" spans="1:9" ht="15.75" x14ac:dyDescent="0.25">
      <c r="B111" s="2"/>
      <c r="C111" s="2"/>
      <c r="D111" s="93" t="s">
        <v>1670</v>
      </c>
      <c r="E111" s="65"/>
      <c r="F111" s="65"/>
      <c r="G111" s="65"/>
      <c r="H111" s="96">
        <f>ROUND(SUM(H108:H110),2)</f>
        <v>9.15</v>
      </c>
      <c r="I111" s="2"/>
    </row>
    <row r="112" spans="1:9" ht="16.5" thickBot="1" x14ac:dyDescent="0.3">
      <c r="B112" s="25"/>
      <c r="C112" s="2"/>
      <c r="D112" s="97" t="s">
        <v>1650</v>
      </c>
      <c r="E112" s="88"/>
      <c r="F112" s="88"/>
      <c r="G112" s="88"/>
      <c r="H112" s="98">
        <f>ROUND(H111,2)</f>
        <v>9.15</v>
      </c>
      <c r="I112" s="2"/>
    </row>
    <row r="113" spans="1:15" ht="15.75" x14ac:dyDescent="0.25">
      <c r="B113" s="34" t="s">
        <v>1701</v>
      </c>
      <c r="C113" s="2"/>
      <c r="D113" s="3" t="str">
        <f>$D$1</f>
        <v>ESPOL</v>
      </c>
      <c r="E113" s="2"/>
      <c r="F113" s="2"/>
      <c r="H113" s="2" t="s">
        <v>108</v>
      </c>
      <c r="I113" s="2"/>
      <c r="L113" s="40">
        <f>A117</f>
        <v>5</v>
      </c>
      <c r="M113" s="1" t="str">
        <f>C118</f>
        <v>Redes de PVC presión roscable   1 1/2 (inc. Accesorios)</v>
      </c>
      <c r="N113" s="2" t="str">
        <f>H117</f>
        <v>ml</v>
      </c>
      <c r="O113" s="2">
        <f>H168</f>
        <v>13.27</v>
      </c>
    </row>
    <row r="114" spans="1:15" ht="15.75" x14ac:dyDescent="0.25">
      <c r="B114" s="34" t="s">
        <v>1700</v>
      </c>
      <c r="C114" s="3">
        <f>'1.1'!$C$2</f>
        <v>0</v>
      </c>
      <c r="D114" s="2"/>
      <c r="E114" s="2"/>
      <c r="F114" s="2"/>
      <c r="G114" s="41" t="s">
        <v>1699</v>
      </c>
      <c r="H114" s="42"/>
      <c r="I114" s="2" t="s">
        <v>1698</v>
      </c>
    </row>
    <row r="115" spans="1:15" ht="15.75" x14ac:dyDescent="0.25">
      <c r="B115" s="34"/>
      <c r="C115" s="3">
        <f>'1.1'!$C$3</f>
        <v>0</v>
      </c>
      <c r="D115" s="2"/>
      <c r="E115" s="2"/>
      <c r="F115" s="2"/>
      <c r="G115" s="2"/>
      <c r="H115" s="2"/>
      <c r="I115" s="2"/>
    </row>
    <row r="116" spans="1:15" ht="15.75" x14ac:dyDescent="0.25">
      <c r="B116" s="34" t="s">
        <v>1697</v>
      </c>
      <c r="C116" s="3"/>
      <c r="D116" s="2"/>
      <c r="E116" s="2"/>
      <c r="F116" s="2"/>
      <c r="G116" s="2"/>
      <c r="H116" s="2"/>
      <c r="I116" s="2"/>
    </row>
    <row r="117" spans="1:15" x14ac:dyDescent="0.25">
      <c r="A117" s="104">
        <v>5</v>
      </c>
      <c r="B117" s="2" t="s">
        <v>1586</v>
      </c>
      <c r="C117" s="101" t="s">
        <v>658</v>
      </c>
      <c r="D117" s="2"/>
      <c r="G117" s="2" t="s">
        <v>1696</v>
      </c>
      <c r="H117" s="3" t="s">
        <v>961</v>
      </c>
      <c r="I117" s="2"/>
    </row>
    <row r="118" spans="1:15" x14ac:dyDescent="0.25">
      <c r="B118" s="1" t="s">
        <v>1585</v>
      </c>
      <c r="C118" s="36" t="s">
        <v>62</v>
      </c>
      <c r="D118" s="2"/>
      <c r="E118" s="2"/>
      <c r="F118" s="2"/>
      <c r="G118" s="2"/>
      <c r="H118" s="2"/>
      <c r="I118" s="2"/>
    </row>
    <row r="119" spans="1:15" ht="15.75" thickBot="1" x14ac:dyDescent="0.3">
      <c r="D119" s="2"/>
      <c r="E119" s="2"/>
      <c r="F119" s="2"/>
      <c r="G119" s="2"/>
      <c r="H119" s="2"/>
      <c r="I119" s="2"/>
    </row>
    <row r="120" spans="1:15" ht="15.75" thickBot="1" x14ac:dyDescent="0.3">
      <c r="B120" s="43" t="s">
        <v>1695</v>
      </c>
      <c r="C120" s="44"/>
      <c r="D120" s="44"/>
      <c r="E120" s="44"/>
      <c r="F120" s="44"/>
      <c r="G120" s="44"/>
      <c r="H120" s="45"/>
      <c r="I120" s="2"/>
    </row>
    <row r="121" spans="1:15" ht="25.5" x14ac:dyDescent="0.25">
      <c r="B121" s="46" t="s">
        <v>1409</v>
      </c>
      <c r="C121" s="47"/>
      <c r="D121" s="48" t="s">
        <v>1690</v>
      </c>
      <c r="E121" s="48" t="s">
        <v>1694</v>
      </c>
      <c r="F121" s="48" t="s">
        <v>1693</v>
      </c>
      <c r="G121" s="49" t="s">
        <v>1687</v>
      </c>
      <c r="H121" s="50" t="s">
        <v>1686</v>
      </c>
      <c r="I121" s="2"/>
    </row>
    <row r="122" spans="1:15" x14ac:dyDescent="0.25">
      <c r="A122" s="103">
        <v>19015</v>
      </c>
      <c r="B122" s="51" t="str">
        <f>IF($A122=0,"",VLOOKUP($A122,'BASE EQUIPO'!$A:$D,2))</f>
        <v>HERRAMIENTA MENOR</v>
      </c>
      <c r="C122" s="52"/>
      <c r="D122" s="53">
        <v>1</v>
      </c>
      <c r="E122" s="53">
        <f>IF($A122=0,"",VLOOKUP($A122,'BASE EQUIPO'!$A:$D,4)*H138)</f>
        <v>0.16830000000000001</v>
      </c>
      <c r="F122" s="53">
        <f t="shared" ref="F122:F127" si="10">IF($A122=0,"",ROUND(D122*E122,2))</f>
        <v>0.17</v>
      </c>
      <c r="G122" s="105">
        <v>1</v>
      </c>
      <c r="H122" s="54">
        <f t="shared" ref="H122:H127" si="11">IF($A122=0,"",ROUND(G122*F122,2))</f>
        <v>0.17</v>
      </c>
      <c r="I122" s="2"/>
    </row>
    <row r="123" spans="1:15" x14ac:dyDescent="0.25">
      <c r="B123" s="38" t="str">
        <f>IF($A123=0,"",VLOOKUP($A123,'BASE EQUIPO'!$A:$D,2))</f>
        <v/>
      </c>
      <c r="C123" s="2"/>
      <c r="D123" s="55"/>
      <c r="E123" s="55" t="str">
        <f>IF($A123=0,"",VLOOKUP($A123,'BASE EQUIPO'!$A:$D,4))</f>
        <v/>
      </c>
      <c r="F123" s="55" t="str">
        <f t="shared" si="10"/>
        <v/>
      </c>
      <c r="G123" s="106"/>
      <c r="H123" s="56" t="str">
        <f t="shared" si="11"/>
        <v/>
      </c>
      <c r="I123" s="2"/>
    </row>
    <row r="124" spans="1:15" x14ac:dyDescent="0.25">
      <c r="B124" s="38" t="str">
        <f>IF($A124=0,"",VLOOKUP($A124,'BASE EQUIPO'!$A:$D,2))</f>
        <v/>
      </c>
      <c r="C124" s="2"/>
      <c r="D124" s="55"/>
      <c r="E124" s="55" t="str">
        <f>IF($A124=0,"",VLOOKUP($A124,'BASE EQUIPO'!$A:$D,4))</f>
        <v/>
      </c>
      <c r="F124" s="55" t="str">
        <f t="shared" si="10"/>
        <v/>
      </c>
      <c r="G124" s="106"/>
      <c r="H124" s="56" t="str">
        <f t="shared" si="11"/>
        <v/>
      </c>
      <c r="I124" s="2"/>
    </row>
    <row r="125" spans="1:15" x14ac:dyDescent="0.25">
      <c r="B125" s="38" t="str">
        <f>IF($A125=0,"",VLOOKUP($A125,'BASE EQUIPO'!$A:$D,2))</f>
        <v/>
      </c>
      <c r="C125" s="2"/>
      <c r="D125" s="55"/>
      <c r="E125" s="55" t="str">
        <f>IF($A125=0,"",VLOOKUP($A125,'BASE EQUIPO'!$A:$D,4))</f>
        <v/>
      </c>
      <c r="F125" s="55" t="str">
        <f t="shared" si="10"/>
        <v/>
      </c>
      <c r="G125" s="106"/>
      <c r="H125" s="56" t="str">
        <f t="shared" si="11"/>
        <v/>
      </c>
      <c r="I125" s="2"/>
    </row>
    <row r="126" spans="1:15" x14ac:dyDescent="0.25">
      <c r="B126" s="38" t="str">
        <f>IF($A126=0,"",VLOOKUP($A126,'BASE EQUIPO'!$A:$D,2))</f>
        <v/>
      </c>
      <c r="C126" s="2"/>
      <c r="D126" s="55"/>
      <c r="E126" s="55" t="str">
        <f>IF($A126=0,"",VLOOKUP($A126,'BASE EQUIPO'!$A:$D,4))</f>
        <v/>
      </c>
      <c r="F126" s="55" t="str">
        <f t="shared" si="10"/>
        <v/>
      </c>
      <c r="G126" s="106"/>
      <c r="H126" s="56" t="str">
        <f t="shared" si="11"/>
        <v/>
      </c>
      <c r="I126" s="2"/>
    </row>
    <row r="127" spans="1:15" x14ac:dyDescent="0.25">
      <c r="B127" s="57" t="str">
        <f>IF($A127=0,"",VLOOKUP($A127,'BASE EQUIPO'!$A:$D,2))</f>
        <v/>
      </c>
      <c r="C127" s="58"/>
      <c r="D127" s="59"/>
      <c r="E127" s="59" t="str">
        <f>IF($A127=0,"",VLOOKUP($A127,'BASE EQUIPO'!$A:$D,4))</f>
        <v/>
      </c>
      <c r="F127" s="59" t="str">
        <f t="shared" si="10"/>
        <v/>
      </c>
      <c r="G127" s="107"/>
      <c r="H127" s="60" t="str">
        <f t="shared" si="11"/>
        <v/>
      </c>
      <c r="I127" s="2"/>
    </row>
    <row r="128" spans="1:15" x14ac:dyDescent="0.25">
      <c r="B128" s="57" t="s">
        <v>1692</v>
      </c>
      <c r="C128" s="58"/>
      <c r="D128" s="61"/>
      <c r="E128" s="61"/>
      <c r="F128" s="61"/>
      <c r="G128" s="62"/>
      <c r="H128" s="60">
        <f>ROUND(SUM(H121:H127),2)</f>
        <v>0.17</v>
      </c>
      <c r="I128" s="2"/>
    </row>
    <row r="129" spans="1:16" x14ac:dyDescent="0.25">
      <c r="B129" s="38" t="s">
        <v>1503</v>
      </c>
      <c r="C129" s="2"/>
      <c r="D129" s="3"/>
      <c r="E129" s="3"/>
      <c r="F129" s="3"/>
      <c r="G129" s="63"/>
      <c r="H129" s="56"/>
      <c r="I129" s="2"/>
    </row>
    <row r="130" spans="1:16" ht="25.5" x14ac:dyDescent="0.25">
      <c r="B130" s="64" t="s">
        <v>1691</v>
      </c>
      <c r="C130" s="65"/>
      <c r="D130" s="66" t="s">
        <v>1690</v>
      </c>
      <c r="E130" s="66" t="s">
        <v>1689</v>
      </c>
      <c r="F130" s="66" t="s">
        <v>1688</v>
      </c>
      <c r="G130" s="67" t="s">
        <v>1687</v>
      </c>
      <c r="H130" s="68" t="s">
        <v>1686</v>
      </c>
      <c r="I130" s="2"/>
    </row>
    <row r="131" spans="1:16" x14ac:dyDescent="0.25">
      <c r="B131" s="69" t="str">
        <f>IF($A131=0,"",VLOOKUP($A131,'BASE M-OBRA'!$A:$D,2))</f>
        <v/>
      </c>
      <c r="C131" s="2"/>
      <c r="D131" s="108"/>
      <c r="E131" s="70" t="str">
        <f>IF($A131=0,"",VLOOKUP($A131,'BASE M-OBRA'!$A:$D,4))</f>
        <v/>
      </c>
      <c r="F131" s="55" t="str">
        <f t="shared" ref="F131:F137" si="12">IF($A131=0,"",ROUND(D131*E131,2))</f>
        <v/>
      </c>
      <c r="G131" s="106" t="str">
        <f>IF($A131=0,"",ROUND(H131/F131,2))</f>
        <v/>
      </c>
      <c r="H131" s="56" t="str">
        <f>IF($A131=0,"",ROUND(SUM(H132:H137)*'BASE M-OBRA'!$D$23,2))</f>
        <v/>
      </c>
      <c r="I131" s="2"/>
    </row>
    <row r="132" spans="1:16" x14ac:dyDescent="0.25">
      <c r="A132" s="103">
        <v>20011</v>
      </c>
      <c r="B132" s="69" t="str">
        <f>IF($A132=0,"",VLOOKUP($A132,'BASE M-OBRA'!$A:$D,2))</f>
        <v>AYUDANTE ESPECIALISTA</v>
      </c>
      <c r="C132" s="2"/>
      <c r="D132" s="108">
        <v>1</v>
      </c>
      <c r="E132" s="70">
        <f>IF($A132=0,"",VLOOKUP($A132,'BASE M-OBRA'!$A:$D,4))</f>
        <v>2.79</v>
      </c>
      <c r="F132" s="55">
        <f t="shared" si="12"/>
        <v>2.79</v>
      </c>
      <c r="G132" s="106">
        <v>1</v>
      </c>
      <c r="H132" s="56">
        <f t="shared" ref="H132:H137" si="13">IF($A132=0,"",ROUND(G132*F132,2))</f>
        <v>2.79</v>
      </c>
      <c r="I132" s="2"/>
    </row>
    <row r="133" spans="1:16" x14ac:dyDescent="0.25">
      <c r="A133" s="103">
        <v>20016</v>
      </c>
      <c r="B133" s="69" t="str">
        <f>IF($A133=0,"",VLOOKUP($A133,'BASE M-OBRA'!$A:$D,2))</f>
        <v>GAFITERO</v>
      </c>
      <c r="C133" s="2"/>
      <c r="D133" s="108">
        <v>1</v>
      </c>
      <c r="E133" s="70">
        <f>IF($A133=0,"",VLOOKUP($A133,'BASE M-OBRA'!$A:$D,4))</f>
        <v>2.82</v>
      </c>
      <c r="F133" s="55">
        <f t="shared" si="12"/>
        <v>2.82</v>
      </c>
      <c r="G133" s="106">
        <f>+G132</f>
        <v>1</v>
      </c>
      <c r="H133" s="56">
        <f t="shared" si="13"/>
        <v>2.82</v>
      </c>
      <c r="I133" s="2"/>
    </row>
    <row r="134" spans="1:16" x14ac:dyDescent="0.25">
      <c r="B134" s="71" t="str">
        <f>IF($A134=0,"",VLOOKUP($A134,'BASE M-OBRA'!$A:$D,2))</f>
        <v/>
      </c>
      <c r="C134" s="2"/>
      <c r="D134" s="108"/>
      <c r="E134" s="70" t="str">
        <f>IF($A134=0,"",VLOOKUP($A134,'BASE M-OBRA'!$A:$D,4))</f>
        <v/>
      </c>
      <c r="F134" s="55" t="str">
        <f t="shared" si="12"/>
        <v/>
      </c>
      <c r="G134" s="106"/>
      <c r="H134" s="56" t="str">
        <f t="shared" si="13"/>
        <v/>
      </c>
      <c r="I134" s="2"/>
    </row>
    <row r="135" spans="1:16" x14ac:dyDescent="0.25">
      <c r="B135" s="72" t="str">
        <f>IF($A135=0,"",VLOOKUP($A135,'BASE M-OBRA'!$A:$D,2))</f>
        <v/>
      </c>
      <c r="C135" s="2"/>
      <c r="D135" s="108"/>
      <c r="E135" s="70" t="str">
        <f>IF($A135=0,"",VLOOKUP($A135,'BASE M-OBRA'!$A:$D,4))</f>
        <v/>
      </c>
      <c r="F135" s="55" t="str">
        <f t="shared" si="12"/>
        <v/>
      </c>
      <c r="G135" s="106"/>
      <c r="H135" s="56" t="str">
        <f t="shared" si="13"/>
        <v/>
      </c>
      <c r="I135" s="2"/>
    </row>
    <row r="136" spans="1:16" x14ac:dyDescent="0.25">
      <c r="B136" s="38" t="str">
        <f>IF($A136=0,"",VLOOKUP($A136,'BASE M-OBRA'!$A:$D,2))</f>
        <v/>
      </c>
      <c r="C136" s="2"/>
      <c r="D136" s="55"/>
      <c r="E136" s="55" t="str">
        <f>IF($A136=0,"",VLOOKUP($A136,'BASE M-OBRA'!$A:$D,4))</f>
        <v/>
      </c>
      <c r="F136" s="55" t="str">
        <f t="shared" si="12"/>
        <v/>
      </c>
      <c r="G136" s="106"/>
      <c r="H136" s="56" t="str">
        <f t="shared" si="13"/>
        <v/>
      </c>
      <c r="I136" s="2"/>
    </row>
    <row r="137" spans="1:16" x14ac:dyDescent="0.25">
      <c r="B137" s="57" t="str">
        <f>IF($A137=0,"",VLOOKUP($A137,'BASE M-OBRA'!$A:$D,2))</f>
        <v/>
      </c>
      <c r="C137" s="58"/>
      <c r="D137" s="59"/>
      <c r="E137" s="59" t="str">
        <f>IF($A137=0,"",VLOOKUP($A137,'BASE M-OBRA'!$A:$D,4))</f>
        <v/>
      </c>
      <c r="F137" s="59" t="str">
        <f t="shared" si="12"/>
        <v/>
      </c>
      <c r="G137" s="107"/>
      <c r="H137" s="60" t="str">
        <f t="shared" si="13"/>
        <v/>
      </c>
      <c r="I137" s="2"/>
    </row>
    <row r="138" spans="1:16" x14ac:dyDescent="0.25">
      <c r="B138" s="73" t="s">
        <v>1685</v>
      </c>
      <c r="C138" s="65"/>
      <c r="D138" s="74"/>
      <c r="E138" s="74"/>
      <c r="F138" s="74"/>
      <c r="G138" s="74"/>
      <c r="H138" s="75">
        <f>ROUND(SUM(H130:H137),2)</f>
        <v>5.61</v>
      </c>
      <c r="I138" s="2"/>
    </row>
    <row r="139" spans="1:16" x14ac:dyDescent="0.25">
      <c r="B139" s="38" t="s">
        <v>1684</v>
      </c>
      <c r="C139" s="2"/>
      <c r="D139" s="3"/>
      <c r="E139" s="3"/>
      <c r="F139" s="3"/>
      <c r="G139" s="3"/>
      <c r="H139" s="56"/>
      <c r="I139" s="2"/>
    </row>
    <row r="140" spans="1:16" ht="25.5" x14ac:dyDescent="0.25">
      <c r="B140" s="64" t="s">
        <v>1409</v>
      </c>
      <c r="C140" s="65"/>
      <c r="D140" s="76"/>
      <c r="E140" s="66" t="s">
        <v>1408</v>
      </c>
      <c r="F140" s="66" t="s">
        <v>1679</v>
      </c>
      <c r="G140" s="66" t="s">
        <v>1683</v>
      </c>
      <c r="H140" s="68" t="s">
        <v>1675</v>
      </c>
      <c r="I140" s="2"/>
    </row>
    <row r="141" spans="1:16" x14ac:dyDescent="0.25">
      <c r="A141" s="103">
        <v>15014</v>
      </c>
      <c r="B141" s="38" t="str">
        <f>IF($A141=0,"",VLOOKUP($A141,'BASE MATERIAL'!$A:$D,2))</f>
        <v>TUBO   PVC    1 1/2" ROSCABLE</v>
      </c>
      <c r="C141" s="2"/>
      <c r="D141" s="77"/>
      <c r="E141" s="78" t="str">
        <f>IF($A141=0,"",VLOOKUP($A141,'BASE MATERIAL'!$A:$D,3))</f>
        <v>U</v>
      </c>
      <c r="F141" s="55">
        <v>0.17</v>
      </c>
      <c r="G141" s="55">
        <f>IF($A141=0,"",VLOOKUP($A141,'BASE MATERIAL'!$A:$D,4))</f>
        <v>37.42</v>
      </c>
      <c r="H141" s="56">
        <f t="shared" ref="H141:H155" si="14">IF($A141=0,"",ROUND(F141*G141,2))</f>
        <v>6.36</v>
      </c>
      <c r="I141" s="2"/>
      <c r="L141" s="2"/>
      <c r="M141" s="2"/>
      <c r="N141" s="39"/>
      <c r="O141" s="2"/>
      <c r="P141" s="2"/>
    </row>
    <row r="142" spans="1:16" x14ac:dyDescent="0.25">
      <c r="A142" s="103">
        <v>1</v>
      </c>
      <c r="B142" s="38" t="s">
        <v>922</v>
      </c>
      <c r="C142" s="2"/>
      <c r="D142" s="77"/>
      <c r="E142" s="78" t="s">
        <v>5</v>
      </c>
      <c r="F142" s="55">
        <v>0.17</v>
      </c>
      <c r="G142" s="55">
        <v>2.0099999999999998</v>
      </c>
      <c r="H142" s="56">
        <f t="shared" si="14"/>
        <v>0.34</v>
      </c>
      <c r="I142" s="2"/>
      <c r="L142" s="2"/>
      <c r="M142" s="2"/>
      <c r="N142" s="39"/>
      <c r="O142" s="2"/>
      <c r="P142" s="2"/>
    </row>
    <row r="143" spans="1:16" x14ac:dyDescent="0.25">
      <c r="B143" s="38"/>
      <c r="C143" s="2"/>
      <c r="D143" s="77"/>
      <c r="E143" s="78"/>
      <c r="F143" s="55"/>
      <c r="G143" s="55"/>
      <c r="H143" s="56" t="str">
        <f t="shared" si="14"/>
        <v/>
      </c>
      <c r="I143" s="2"/>
      <c r="L143" s="2"/>
      <c r="M143" s="2"/>
      <c r="N143" s="39"/>
      <c r="O143" s="2"/>
      <c r="P143" s="2"/>
    </row>
    <row r="144" spans="1:16" x14ac:dyDescent="0.25">
      <c r="A144" s="103">
        <v>1</v>
      </c>
      <c r="B144" s="38" t="s">
        <v>923</v>
      </c>
      <c r="C144" s="2"/>
      <c r="D144" s="77"/>
      <c r="E144" s="78" t="s">
        <v>5</v>
      </c>
      <c r="F144" s="55">
        <v>0.08</v>
      </c>
      <c r="G144" s="55">
        <f>2.06*1.12</f>
        <v>2.3072000000000004</v>
      </c>
      <c r="H144" s="56">
        <f t="shared" si="14"/>
        <v>0.18</v>
      </c>
      <c r="I144" s="2"/>
      <c r="L144" s="2"/>
      <c r="M144" s="2"/>
      <c r="N144" s="39"/>
      <c r="O144" s="2"/>
      <c r="P144" s="2"/>
    </row>
    <row r="145" spans="1:16" x14ac:dyDescent="0.25">
      <c r="A145" s="103">
        <v>1</v>
      </c>
      <c r="B145" s="38" t="s">
        <v>924</v>
      </c>
      <c r="C145" s="2"/>
      <c r="D145" s="77"/>
      <c r="E145" s="78" t="s">
        <v>5</v>
      </c>
      <c r="F145" s="55">
        <v>0.08</v>
      </c>
      <c r="G145" s="55">
        <f>0.94*1.12</f>
        <v>1.0528</v>
      </c>
      <c r="H145" s="56">
        <f t="shared" si="14"/>
        <v>0.08</v>
      </c>
      <c r="I145" s="2"/>
      <c r="L145" s="2"/>
      <c r="M145" s="2"/>
      <c r="N145" s="39"/>
      <c r="O145" s="2"/>
      <c r="P145" s="2"/>
    </row>
    <row r="146" spans="1:16" x14ac:dyDescent="0.25">
      <c r="B146" s="38"/>
      <c r="C146" s="2"/>
      <c r="D146" s="77"/>
      <c r="E146" s="78"/>
      <c r="F146" s="55"/>
      <c r="G146" s="55"/>
      <c r="H146" s="56" t="str">
        <f t="shared" si="14"/>
        <v/>
      </c>
      <c r="I146" s="2"/>
      <c r="L146" s="2"/>
      <c r="M146" s="2"/>
      <c r="N146" s="39"/>
      <c r="O146" s="2"/>
      <c r="P146" s="2"/>
    </row>
    <row r="147" spans="1:16" x14ac:dyDescent="0.25">
      <c r="A147" s="103">
        <v>1</v>
      </c>
      <c r="B147" s="38" t="s">
        <v>16</v>
      </c>
      <c r="C147" s="2"/>
      <c r="D147" s="77"/>
      <c r="E147" s="78" t="s">
        <v>5</v>
      </c>
      <c r="F147" s="55">
        <v>0.03</v>
      </c>
      <c r="G147" s="55">
        <v>10</v>
      </c>
      <c r="H147" s="56">
        <f t="shared" si="14"/>
        <v>0.3</v>
      </c>
      <c r="I147" s="2"/>
      <c r="L147" s="2"/>
      <c r="M147" s="2"/>
      <c r="N147" s="39"/>
      <c r="O147" s="2"/>
      <c r="P147" s="2"/>
    </row>
    <row r="148" spans="1:16" x14ac:dyDescent="0.25">
      <c r="A148" s="103">
        <v>1</v>
      </c>
      <c r="B148" s="38" t="s">
        <v>1</v>
      </c>
      <c r="C148" s="2"/>
      <c r="D148" s="77"/>
      <c r="E148" s="78" t="s">
        <v>0</v>
      </c>
      <c r="F148" s="55">
        <v>0.03</v>
      </c>
      <c r="G148" s="55">
        <v>0.25</v>
      </c>
      <c r="H148" s="56">
        <f t="shared" si="14"/>
        <v>0.01</v>
      </c>
      <c r="I148" s="2"/>
      <c r="L148" s="2"/>
      <c r="M148" s="2"/>
      <c r="N148" s="39"/>
      <c r="O148" s="2"/>
      <c r="P148" s="2"/>
    </row>
    <row r="149" spans="1:16" x14ac:dyDescent="0.25">
      <c r="B149" s="38"/>
      <c r="C149" s="2"/>
      <c r="D149" s="77"/>
      <c r="E149" s="78"/>
      <c r="F149" s="55"/>
      <c r="G149" s="55"/>
      <c r="H149" s="56" t="str">
        <f t="shared" si="14"/>
        <v/>
      </c>
      <c r="I149" s="2"/>
    </row>
    <row r="150" spans="1:16" x14ac:dyDescent="0.25">
      <c r="B150" s="38" t="str">
        <f>IF($A150=0,"",VLOOKUP($A150,'BASE MATERIAL'!$A:$D,2))</f>
        <v/>
      </c>
      <c r="C150" s="2"/>
      <c r="D150" s="77"/>
      <c r="E150" s="78" t="str">
        <f>IF($A150=0,"",VLOOKUP($A150,'BASE MATERIAL'!$A:$D,3))</f>
        <v/>
      </c>
      <c r="F150" s="55"/>
      <c r="G150" s="55" t="str">
        <f>IF($A150=0,"",VLOOKUP($A150,'BASE MATERIAL'!$A:$D,4))</f>
        <v/>
      </c>
      <c r="H150" s="56" t="str">
        <f t="shared" si="14"/>
        <v/>
      </c>
      <c r="I150" s="2"/>
      <c r="L150" s="2"/>
      <c r="M150" s="2"/>
      <c r="N150" s="39"/>
      <c r="O150" s="2"/>
      <c r="P150" s="2"/>
    </row>
    <row r="151" spans="1:16" x14ac:dyDescent="0.25">
      <c r="B151" s="38" t="str">
        <f>IF($A151=0,"",VLOOKUP($A151,'BASE MATERIAL'!$A:$D,2))</f>
        <v/>
      </c>
      <c r="C151" s="2"/>
      <c r="D151" s="77"/>
      <c r="E151" s="78" t="str">
        <f>IF($A151=0,"",VLOOKUP($A151,'BASE MATERIAL'!$A:$D,3))</f>
        <v/>
      </c>
      <c r="F151" s="55"/>
      <c r="G151" s="55" t="str">
        <f>IF($A151=0,"",VLOOKUP($A151,'BASE MATERIAL'!$A:$D,4))</f>
        <v/>
      </c>
      <c r="H151" s="56" t="str">
        <f t="shared" si="14"/>
        <v/>
      </c>
      <c r="I151" s="2"/>
      <c r="L151" s="2"/>
      <c r="M151" s="2"/>
      <c r="N151" s="39"/>
      <c r="O151" s="2"/>
      <c r="P151" s="2"/>
    </row>
    <row r="152" spans="1:16" x14ac:dyDescent="0.25">
      <c r="B152" s="38" t="str">
        <f>IF($A152=0,"",VLOOKUP($A152,'BASE MATERIAL'!$A:$D,2))</f>
        <v/>
      </c>
      <c r="C152" s="2"/>
      <c r="D152" s="77"/>
      <c r="E152" s="78" t="str">
        <f>IF($A152=0,"",VLOOKUP($A152,'BASE MATERIAL'!$A:$D,3))</f>
        <v/>
      </c>
      <c r="F152" s="55"/>
      <c r="G152" s="55" t="str">
        <f>IF($A152=0,"",VLOOKUP($A152,'BASE MATERIAL'!$A:$D,4))</f>
        <v/>
      </c>
      <c r="H152" s="56" t="str">
        <f t="shared" si="14"/>
        <v/>
      </c>
      <c r="I152" s="2"/>
    </row>
    <row r="153" spans="1:16" x14ac:dyDescent="0.25">
      <c r="B153" s="38" t="str">
        <f>IF($A153=0,"",VLOOKUP($A153,'BASE MATERIAL'!$A:$D,2))</f>
        <v/>
      </c>
      <c r="C153" s="2"/>
      <c r="D153" s="77"/>
      <c r="E153" s="78" t="str">
        <f>IF($A153=0,"",VLOOKUP($A153,'BASE MATERIAL'!$A:$D,3))</f>
        <v/>
      </c>
      <c r="F153" s="55"/>
      <c r="G153" s="55" t="str">
        <f>IF($A153=0,"",VLOOKUP($A153,'BASE MATERIAL'!$A:$D,4))</f>
        <v/>
      </c>
      <c r="H153" s="56" t="str">
        <f t="shared" si="14"/>
        <v/>
      </c>
      <c r="I153" s="2"/>
    </row>
    <row r="154" spans="1:16" x14ac:dyDescent="0.25">
      <c r="B154" s="38" t="str">
        <f>IF($A154=0,"",VLOOKUP($A154,'BASE MATERIAL'!$A:$D,2))</f>
        <v/>
      </c>
      <c r="C154" s="2"/>
      <c r="D154" s="77"/>
      <c r="E154" s="78" t="str">
        <f>IF($A154=0,"",VLOOKUP($A154,'BASE MATERIAL'!$A:$D,3))</f>
        <v/>
      </c>
      <c r="F154" s="55"/>
      <c r="G154" s="55" t="str">
        <f>IF($A154=0,"",VLOOKUP($A154,'BASE MATERIAL'!$A:$D,4))</f>
        <v/>
      </c>
      <c r="H154" s="56" t="str">
        <f t="shared" si="14"/>
        <v/>
      </c>
      <c r="I154" s="2"/>
    </row>
    <row r="155" spans="1:16" x14ac:dyDescent="0.25">
      <c r="B155" s="38" t="str">
        <f>IF($A155=0,"",VLOOKUP($A155,'BASE MATERIAL'!$A:$D,2))</f>
        <v/>
      </c>
      <c r="C155" s="2"/>
      <c r="D155" s="77"/>
      <c r="E155" s="78" t="str">
        <f>IF($A155=0,"",VLOOKUP($A155,'BASE MATERIAL'!$A:$D,3))</f>
        <v/>
      </c>
      <c r="F155" s="55"/>
      <c r="G155" s="55" t="str">
        <f>IF($A155=0,"",VLOOKUP($A155,'BASE MATERIAL'!$A:$D,4))</f>
        <v/>
      </c>
      <c r="H155" s="56" t="str">
        <f t="shared" si="14"/>
        <v/>
      </c>
      <c r="I155" s="2"/>
    </row>
    <row r="156" spans="1:16" x14ac:dyDescent="0.25">
      <c r="B156" s="38" t="str">
        <f>IF($A156=0,"",VLOOKUP($A156,'BASE MATERIAL'!$A:$D,2))</f>
        <v/>
      </c>
      <c r="C156" s="2"/>
      <c r="D156" s="81" t="s">
        <v>1682</v>
      </c>
      <c r="E156" s="55" t="str">
        <f>IF($A156=0,"",VLOOKUP($A156,'BASE MATERIAL'!$A:$D,3))</f>
        <v/>
      </c>
      <c r="F156" s="55" t="s">
        <v>1682</v>
      </c>
      <c r="G156" s="55" t="str">
        <f>IF($A156=0,"",VLOOKUP($A156,'BASE MATERIAL'!$A:$D,4))</f>
        <v/>
      </c>
      <c r="H156" s="56" t="str">
        <f>IF($A156=0,"",ROUND(E156*F156,2))</f>
        <v/>
      </c>
      <c r="I156" s="2"/>
    </row>
    <row r="157" spans="1:16" x14ac:dyDescent="0.25">
      <c r="B157" s="73" t="s">
        <v>1681</v>
      </c>
      <c r="C157" s="65"/>
      <c r="D157" s="74"/>
      <c r="E157" s="74"/>
      <c r="F157" s="74"/>
      <c r="G157" s="74"/>
      <c r="H157" s="75">
        <f>ROUND(SUM(H140:H156),2)</f>
        <v>7.27</v>
      </c>
      <c r="I157" s="2"/>
    </row>
    <row r="158" spans="1:16" x14ac:dyDescent="0.25">
      <c r="B158" s="38" t="s">
        <v>1680</v>
      </c>
      <c r="C158" s="2"/>
      <c r="D158" s="3"/>
      <c r="E158" s="3"/>
      <c r="F158" s="3"/>
      <c r="G158" s="3"/>
      <c r="H158" s="56"/>
      <c r="I158" s="2"/>
    </row>
    <row r="159" spans="1:16" ht="25.5" x14ac:dyDescent="0.25">
      <c r="B159" s="64" t="s">
        <v>1409</v>
      </c>
      <c r="C159" s="65"/>
      <c r="D159" s="76"/>
      <c r="E159" s="66" t="s">
        <v>1408</v>
      </c>
      <c r="F159" s="66" t="s">
        <v>1679</v>
      </c>
      <c r="G159" s="66" t="s">
        <v>1676</v>
      </c>
      <c r="H159" s="68" t="s">
        <v>1675</v>
      </c>
      <c r="I159" s="2"/>
    </row>
    <row r="160" spans="1:16" x14ac:dyDescent="0.25">
      <c r="A160" s="103">
        <v>19019</v>
      </c>
      <c r="B160" s="51" t="str">
        <f>IF($A160=0,"",VLOOKUP($A160,'BASE EQUIPO'!$A:$D,2))</f>
        <v>TRANSPORTE DE MATERIAL</v>
      </c>
      <c r="C160" s="52"/>
      <c r="D160" s="82"/>
      <c r="E160" s="78" t="str">
        <f>IF($A160=0,"",VLOOKUP($A160,'BASE EQUIPO'!$A:$D,3))</f>
        <v>GLOBAL</v>
      </c>
      <c r="F160" s="55">
        <v>1</v>
      </c>
      <c r="G160" s="83">
        <f>IF($A160=0,"",VLOOKUP($A160,'BASE EQUIPO'!$A:$D,4)*H157)</f>
        <v>0.21809999999999999</v>
      </c>
      <c r="H160" s="56">
        <f>IF($A160=0,"",ROUND(F160*G160,2))</f>
        <v>0.22</v>
      </c>
      <c r="I160" s="2"/>
    </row>
    <row r="161" spans="1:15" x14ac:dyDescent="0.25">
      <c r="B161" s="38" t="str">
        <f>IF($A161=0,"",VLOOKUP($A161,'BASE EQUIPO'!$A:$D,2))</f>
        <v/>
      </c>
      <c r="C161" s="2"/>
      <c r="D161" s="84"/>
      <c r="E161" s="78" t="str">
        <f>IF($A161=0,"",VLOOKUP($A161,'BASE EQUIPO'!$A:$D,3))</f>
        <v/>
      </c>
      <c r="F161" s="55"/>
      <c r="G161" s="55" t="str">
        <f>IF($A161=0,"",VLOOKUP($A161,'BASE EQUIPO'!$A:$D,4)*H158)</f>
        <v/>
      </c>
      <c r="H161" s="56" t="str">
        <f>IF($A161=0,"",ROUND(F161*G161,2))</f>
        <v/>
      </c>
      <c r="I161" s="2"/>
    </row>
    <row r="162" spans="1:15" x14ac:dyDescent="0.25">
      <c r="B162" s="57" t="str">
        <f>IF($A162=0,"",VLOOKUP($A162,'BASE EQUIPO'!$A:$D,2))</f>
        <v/>
      </c>
      <c r="C162" s="58"/>
      <c r="D162" s="85"/>
      <c r="E162" s="86" t="str">
        <f>IF($A162=0,"",VLOOKUP($A162,'BASE EQUIPO'!$A:$D,3))</f>
        <v/>
      </c>
      <c r="F162" s="59"/>
      <c r="G162" s="59" t="str">
        <f>IF($A162=0,"",VLOOKUP($A162,'BASE EQUIPO'!$A:$D,4)*H159)</f>
        <v/>
      </c>
      <c r="H162" s="60" t="str">
        <f>IF($A162=0,"",ROUND(F162*G162,2))</f>
        <v/>
      </c>
      <c r="I162" s="2"/>
    </row>
    <row r="163" spans="1:15" ht="15.75" thickBot="1" x14ac:dyDescent="0.3">
      <c r="B163" s="87" t="s">
        <v>1674</v>
      </c>
      <c r="C163" s="88"/>
      <c r="D163" s="89"/>
      <c r="E163" s="89"/>
      <c r="F163" s="89"/>
      <c r="G163" s="89"/>
      <c r="H163" s="90">
        <f>ROUND(SUM(H159:H162),2)</f>
        <v>0.22</v>
      </c>
      <c r="I163" s="2"/>
    </row>
    <row r="164" spans="1:15" ht="15.75" x14ac:dyDescent="0.25">
      <c r="B164" s="2"/>
      <c r="C164" s="2"/>
      <c r="D164" s="91" t="s">
        <v>1673</v>
      </c>
      <c r="E164" s="47"/>
      <c r="F164" s="47"/>
      <c r="G164" s="47"/>
      <c r="H164" s="92">
        <f>ROUND(SUM(H163,H157,H138,H128),2)</f>
        <v>13.27</v>
      </c>
      <c r="I164" s="2"/>
    </row>
    <row r="165" spans="1:15" ht="15.75" x14ac:dyDescent="0.25">
      <c r="A165" s="103">
        <v>40002</v>
      </c>
      <c r="B165" s="2"/>
      <c r="C165" s="2"/>
      <c r="D165" s="93" t="s">
        <v>1672</v>
      </c>
      <c r="E165" s="65"/>
      <c r="F165" s="65"/>
      <c r="G165" s="94">
        <f>IF($A165=0,"",VLOOKUP($A165,'BASE MATERIAL'!$M:$P,4))</f>
        <v>0</v>
      </c>
      <c r="H165" s="95">
        <f>IF($A165=0,"",ROUND(G165*H164,2))</f>
        <v>0</v>
      </c>
      <c r="I165" s="2"/>
    </row>
    <row r="166" spans="1:15" ht="15.75" x14ac:dyDescent="0.25">
      <c r="A166" s="103">
        <v>40003</v>
      </c>
      <c r="B166" s="2"/>
      <c r="C166" s="2"/>
      <c r="D166" s="93" t="s">
        <v>1671</v>
      </c>
      <c r="E166" s="65"/>
      <c r="F166" s="65"/>
      <c r="G166" s="94">
        <f>IF($A166=0,"",VLOOKUP($A166,'BASE MATERIAL'!$M:$P,4))</f>
        <v>0</v>
      </c>
      <c r="H166" s="95">
        <f>IF($A166=0,"",ROUND(G166*H164,2))</f>
        <v>0</v>
      </c>
      <c r="I166" s="2"/>
    </row>
    <row r="167" spans="1:15" ht="15.75" x14ac:dyDescent="0.25">
      <c r="B167" s="2"/>
      <c r="C167" s="2"/>
      <c r="D167" s="93" t="s">
        <v>1670</v>
      </c>
      <c r="E167" s="65"/>
      <c r="F167" s="65"/>
      <c r="G167" s="65"/>
      <c r="H167" s="96">
        <f>ROUND(SUM(H164:H166),2)</f>
        <v>13.27</v>
      </c>
      <c r="I167" s="2"/>
    </row>
    <row r="168" spans="1:15" ht="16.5" thickBot="1" x14ac:dyDescent="0.3">
      <c r="B168" s="25"/>
      <c r="C168" s="2"/>
      <c r="D168" s="97" t="s">
        <v>1650</v>
      </c>
      <c r="E168" s="88"/>
      <c r="F168" s="88"/>
      <c r="G168" s="88"/>
      <c r="H168" s="98">
        <f>ROUND(H167,2)</f>
        <v>13.27</v>
      </c>
      <c r="I168" s="2"/>
    </row>
    <row r="169" spans="1:15" ht="15.75" x14ac:dyDescent="0.25">
      <c r="B169" s="34" t="s">
        <v>1701</v>
      </c>
      <c r="C169" s="2"/>
      <c r="D169" s="3" t="str">
        <f>$D$1</f>
        <v>ESPOL</v>
      </c>
      <c r="E169" s="2"/>
      <c r="F169" s="2"/>
      <c r="H169" s="2" t="s">
        <v>108</v>
      </c>
      <c r="I169" s="2"/>
      <c r="L169" s="40">
        <f>A173</f>
        <v>7</v>
      </c>
      <c r="M169" s="1" t="str">
        <f>C174</f>
        <v>Redes de PVC presión roscable   1/2  (inc. Accesorios)</v>
      </c>
      <c r="N169" s="2" t="str">
        <f>H173</f>
        <v>ml</v>
      </c>
      <c r="O169" s="2">
        <f>H224</f>
        <v>7.4</v>
      </c>
    </row>
    <row r="170" spans="1:15" ht="15.75" x14ac:dyDescent="0.25">
      <c r="B170" s="34" t="s">
        <v>1700</v>
      </c>
      <c r="C170" s="3">
        <f>'1.1'!$C$2</f>
        <v>0</v>
      </c>
      <c r="D170" s="2"/>
      <c r="E170" s="2"/>
      <c r="F170" s="2"/>
      <c r="G170" s="41" t="s">
        <v>1699</v>
      </c>
      <c r="H170" s="42"/>
      <c r="I170" s="2" t="s">
        <v>1698</v>
      </c>
    </row>
    <row r="171" spans="1:15" ht="15.75" x14ac:dyDescent="0.25">
      <c r="B171" s="34"/>
      <c r="C171" s="3">
        <f>'1.1'!$C$3</f>
        <v>0</v>
      </c>
      <c r="D171" s="2"/>
      <c r="E171" s="2"/>
      <c r="F171" s="2"/>
      <c r="G171" s="2"/>
      <c r="H171" s="2"/>
      <c r="I171" s="2"/>
    </row>
    <row r="172" spans="1:15" ht="15.75" x14ac:dyDescent="0.25">
      <c r="B172" s="34" t="s">
        <v>1697</v>
      </c>
      <c r="C172" s="3"/>
      <c r="D172" s="2"/>
      <c r="E172" s="2"/>
      <c r="F172" s="2"/>
      <c r="G172" s="2"/>
      <c r="H172" s="2"/>
      <c r="I172" s="2"/>
    </row>
    <row r="173" spans="1:15" x14ac:dyDescent="0.25">
      <c r="A173" s="104">
        <v>7</v>
      </c>
      <c r="B173" s="2" t="s">
        <v>1586</v>
      </c>
      <c r="C173" s="101" t="s">
        <v>704</v>
      </c>
      <c r="D173" s="2"/>
      <c r="G173" s="2" t="s">
        <v>1696</v>
      </c>
      <c r="H173" s="3" t="s">
        <v>961</v>
      </c>
      <c r="I173" s="2"/>
    </row>
    <row r="174" spans="1:15" x14ac:dyDescent="0.25">
      <c r="B174" s="1" t="s">
        <v>1585</v>
      </c>
      <c r="C174" s="36" t="s">
        <v>59</v>
      </c>
      <c r="D174" s="2"/>
      <c r="E174" s="2"/>
      <c r="F174" s="2"/>
      <c r="G174" s="2"/>
      <c r="H174" s="2"/>
      <c r="I174" s="2"/>
    </row>
    <row r="175" spans="1:15" ht="15.75" thickBot="1" x14ac:dyDescent="0.3">
      <c r="D175" s="2"/>
      <c r="E175" s="2"/>
      <c r="F175" s="2"/>
      <c r="G175" s="2"/>
      <c r="H175" s="2"/>
      <c r="I175" s="2"/>
    </row>
    <row r="176" spans="1:15" ht="15.75" thickBot="1" x14ac:dyDescent="0.3">
      <c r="B176" s="43" t="s">
        <v>1695</v>
      </c>
      <c r="C176" s="44"/>
      <c r="D176" s="44"/>
      <c r="E176" s="44"/>
      <c r="F176" s="44"/>
      <c r="G176" s="44"/>
      <c r="H176" s="45"/>
      <c r="I176" s="2"/>
    </row>
    <row r="177" spans="1:9" ht="25.5" x14ac:dyDescent="0.25">
      <c r="B177" s="46" t="s">
        <v>1409</v>
      </c>
      <c r="C177" s="47"/>
      <c r="D177" s="48" t="s">
        <v>1690</v>
      </c>
      <c r="E177" s="48" t="s">
        <v>1694</v>
      </c>
      <c r="F177" s="48" t="s">
        <v>1693</v>
      </c>
      <c r="G177" s="49" t="s">
        <v>1687</v>
      </c>
      <c r="H177" s="50" t="s">
        <v>1686</v>
      </c>
      <c r="I177" s="2"/>
    </row>
    <row r="178" spans="1:9" x14ac:dyDescent="0.25">
      <c r="A178" s="103">
        <v>19015</v>
      </c>
      <c r="B178" s="51" t="str">
        <f>IF($A178=0,"",VLOOKUP($A178,'BASE EQUIPO'!$A:$D,2))</f>
        <v>HERRAMIENTA MENOR</v>
      </c>
      <c r="C178" s="52"/>
      <c r="D178" s="53">
        <v>1</v>
      </c>
      <c r="E178" s="53">
        <f>IF($A178=0,"",VLOOKUP($A178,'BASE EQUIPO'!$A:$D,4)*H194)</f>
        <v>0.13470000000000001</v>
      </c>
      <c r="F178" s="53">
        <f t="shared" ref="F178:F183" si="15">IF($A178=0,"",ROUND(D178*E178,2))</f>
        <v>0.13</v>
      </c>
      <c r="G178" s="105">
        <v>1</v>
      </c>
      <c r="H178" s="54">
        <f t="shared" ref="H178:H183" si="16">IF($A178=0,"",ROUND(G178*F178,2))</f>
        <v>0.13</v>
      </c>
      <c r="I178" s="2"/>
    </row>
    <row r="179" spans="1:9" x14ac:dyDescent="0.25">
      <c r="B179" s="38" t="str">
        <f>IF($A179=0,"",VLOOKUP($A179,'BASE EQUIPO'!$A:$D,2))</f>
        <v/>
      </c>
      <c r="C179" s="2"/>
      <c r="D179" s="55"/>
      <c r="E179" s="55" t="str">
        <f>IF($A179=0,"",VLOOKUP($A179,'BASE EQUIPO'!$A:$D,4))</f>
        <v/>
      </c>
      <c r="F179" s="55" t="str">
        <f t="shared" si="15"/>
        <v/>
      </c>
      <c r="G179" s="106"/>
      <c r="H179" s="56" t="str">
        <f t="shared" si="16"/>
        <v/>
      </c>
      <c r="I179" s="2"/>
    </row>
    <row r="180" spans="1:9" x14ac:dyDescent="0.25">
      <c r="B180" s="38" t="str">
        <f>IF($A180=0,"",VLOOKUP($A180,'BASE EQUIPO'!$A:$D,2))</f>
        <v/>
      </c>
      <c r="C180" s="2"/>
      <c r="D180" s="55"/>
      <c r="E180" s="55" t="str">
        <f>IF($A180=0,"",VLOOKUP($A180,'BASE EQUIPO'!$A:$D,4))</f>
        <v/>
      </c>
      <c r="F180" s="55" t="str">
        <f t="shared" si="15"/>
        <v/>
      </c>
      <c r="G180" s="106"/>
      <c r="H180" s="56" t="str">
        <f t="shared" si="16"/>
        <v/>
      </c>
      <c r="I180" s="2"/>
    </row>
    <row r="181" spans="1:9" x14ac:dyDescent="0.25">
      <c r="B181" s="38" t="str">
        <f>IF($A181=0,"",VLOOKUP($A181,'BASE EQUIPO'!$A:$D,2))</f>
        <v/>
      </c>
      <c r="C181" s="2"/>
      <c r="D181" s="55"/>
      <c r="E181" s="55" t="str">
        <f>IF($A181=0,"",VLOOKUP($A181,'BASE EQUIPO'!$A:$D,4))</f>
        <v/>
      </c>
      <c r="F181" s="55" t="str">
        <f t="shared" si="15"/>
        <v/>
      </c>
      <c r="G181" s="106"/>
      <c r="H181" s="56" t="str">
        <f t="shared" si="16"/>
        <v/>
      </c>
      <c r="I181" s="2"/>
    </row>
    <row r="182" spans="1:9" x14ac:dyDescent="0.25">
      <c r="B182" s="38" t="str">
        <f>IF($A182=0,"",VLOOKUP($A182,'BASE EQUIPO'!$A:$D,2))</f>
        <v/>
      </c>
      <c r="C182" s="2"/>
      <c r="D182" s="55"/>
      <c r="E182" s="55" t="str">
        <f>IF($A182=0,"",VLOOKUP($A182,'BASE EQUIPO'!$A:$D,4))</f>
        <v/>
      </c>
      <c r="F182" s="55" t="str">
        <f t="shared" si="15"/>
        <v/>
      </c>
      <c r="G182" s="106"/>
      <c r="H182" s="56" t="str">
        <f t="shared" si="16"/>
        <v/>
      </c>
      <c r="I182" s="2"/>
    </row>
    <row r="183" spans="1:9" x14ac:dyDescent="0.25">
      <c r="B183" s="57" t="str">
        <f>IF($A183=0,"",VLOOKUP($A183,'BASE EQUIPO'!$A:$D,2))</f>
        <v/>
      </c>
      <c r="C183" s="58"/>
      <c r="D183" s="59"/>
      <c r="E183" s="59" t="str">
        <f>IF($A183=0,"",VLOOKUP($A183,'BASE EQUIPO'!$A:$D,4))</f>
        <v/>
      </c>
      <c r="F183" s="59" t="str">
        <f t="shared" si="15"/>
        <v/>
      </c>
      <c r="G183" s="107"/>
      <c r="H183" s="60" t="str">
        <f t="shared" si="16"/>
        <v/>
      </c>
      <c r="I183" s="2"/>
    </row>
    <row r="184" spans="1:9" x14ac:dyDescent="0.25">
      <c r="B184" s="57" t="s">
        <v>1692</v>
      </c>
      <c r="C184" s="58"/>
      <c r="D184" s="61"/>
      <c r="E184" s="61"/>
      <c r="F184" s="61"/>
      <c r="G184" s="62"/>
      <c r="H184" s="60">
        <f>ROUND(SUM(H177:H183),2)</f>
        <v>0.13</v>
      </c>
      <c r="I184" s="2"/>
    </row>
    <row r="185" spans="1:9" x14ac:dyDescent="0.25">
      <c r="B185" s="38" t="s">
        <v>1503</v>
      </c>
      <c r="C185" s="2"/>
      <c r="D185" s="3"/>
      <c r="E185" s="3"/>
      <c r="F185" s="3"/>
      <c r="G185" s="63"/>
      <c r="H185" s="56"/>
      <c r="I185" s="2"/>
    </row>
    <row r="186" spans="1:9" ht="25.5" x14ac:dyDescent="0.25">
      <c r="B186" s="64" t="s">
        <v>1691</v>
      </c>
      <c r="C186" s="65"/>
      <c r="D186" s="66" t="s">
        <v>1690</v>
      </c>
      <c r="E186" s="66" t="s">
        <v>1689</v>
      </c>
      <c r="F186" s="66" t="s">
        <v>1688</v>
      </c>
      <c r="G186" s="67" t="s">
        <v>1687</v>
      </c>
      <c r="H186" s="68" t="s">
        <v>1686</v>
      </c>
      <c r="I186" s="2"/>
    </row>
    <row r="187" spans="1:9" x14ac:dyDescent="0.25">
      <c r="B187" s="69" t="str">
        <f>IF($A187=0,"",VLOOKUP($A187,'BASE M-OBRA'!$A:$D,2))</f>
        <v/>
      </c>
      <c r="C187" s="2"/>
      <c r="D187" s="108"/>
      <c r="E187" s="70" t="str">
        <f>IF($A187=0,"",VLOOKUP($A187,'BASE M-OBRA'!$A:$D,4))</f>
        <v/>
      </c>
      <c r="F187" s="55" t="str">
        <f t="shared" ref="F187:F193" si="17">IF($A187=0,"",ROUND(D187*E187,2))</f>
        <v/>
      </c>
      <c r="G187" s="106" t="str">
        <f>IF($A187=0,"",ROUND(H187/F187,2))</f>
        <v/>
      </c>
      <c r="H187" s="56" t="str">
        <f>IF($A187=0,"",ROUND(SUM(H188:H193)*'BASE M-OBRA'!$D$23,2))</f>
        <v/>
      </c>
      <c r="I187" s="2"/>
    </row>
    <row r="188" spans="1:9" x14ac:dyDescent="0.25">
      <c r="A188" s="103">
        <v>20011</v>
      </c>
      <c r="B188" s="69" t="str">
        <f>IF($A188=0,"",VLOOKUP($A188,'BASE M-OBRA'!$A:$D,2))</f>
        <v>AYUDANTE ESPECIALISTA</v>
      </c>
      <c r="C188" s="2"/>
      <c r="D188" s="108">
        <v>1</v>
      </c>
      <c r="E188" s="70">
        <f>IF($A188=0,"",VLOOKUP($A188,'BASE M-OBRA'!$A:$D,4))</f>
        <v>2.79</v>
      </c>
      <c r="F188" s="55">
        <f t="shared" si="17"/>
        <v>2.79</v>
      </c>
      <c r="G188" s="106">
        <v>0.8</v>
      </c>
      <c r="H188" s="56">
        <f t="shared" ref="H188:H193" si="18">IF($A188=0,"",ROUND(G188*F188,2))</f>
        <v>2.23</v>
      </c>
      <c r="I188" s="2"/>
    </row>
    <row r="189" spans="1:9" x14ac:dyDescent="0.25">
      <c r="A189" s="103">
        <v>20016</v>
      </c>
      <c r="B189" s="69" t="str">
        <f>IF($A189=0,"",VLOOKUP($A189,'BASE M-OBRA'!$A:$D,2))</f>
        <v>GAFITERO</v>
      </c>
      <c r="C189" s="2"/>
      <c r="D189" s="108">
        <v>1</v>
      </c>
      <c r="E189" s="70">
        <f>IF($A189=0,"",VLOOKUP($A189,'BASE M-OBRA'!$A:$D,4))</f>
        <v>2.82</v>
      </c>
      <c r="F189" s="55">
        <f t="shared" si="17"/>
        <v>2.82</v>
      </c>
      <c r="G189" s="106">
        <f>+G188</f>
        <v>0.8</v>
      </c>
      <c r="H189" s="56">
        <f t="shared" si="18"/>
        <v>2.2599999999999998</v>
      </c>
      <c r="I189" s="2"/>
    </row>
    <row r="190" spans="1:9" x14ac:dyDescent="0.25">
      <c r="B190" s="71" t="str">
        <f>IF($A190=0,"",VLOOKUP($A190,'BASE M-OBRA'!$A:$D,2))</f>
        <v/>
      </c>
      <c r="C190" s="2"/>
      <c r="D190" s="108"/>
      <c r="E190" s="70" t="str">
        <f>IF($A190=0,"",VLOOKUP($A190,'BASE M-OBRA'!$A:$D,4))</f>
        <v/>
      </c>
      <c r="F190" s="55" t="str">
        <f t="shared" si="17"/>
        <v/>
      </c>
      <c r="G190" s="106"/>
      <c r="H190" s="56" t="str">
        <f t="shared" si="18"/>
        <v/>
      </c>
      <c r="I190" s="2"/>
    </row>
    <row r="191" spans="1:9" x14ac:dyDescent="0.25">
      <c r="B191" s="72" t="str">
        <f>IF($A191=0,"",VLOOKUP($A191,'BASE M-OBRA'!$A:$D,2))</f>
        <v/>
      </c>
      <c r="C191" s="2"/>
      <c r="D191" s="108"/>
      <c r="E191" s="70" t="str">
        <f>IF($A191=0,"",VLOOKUP($A191,'BASE M-OBRA'!$A:$D,4))</f>
        <v/>
      </c>
      <c r="F191" s="55" t="str">
        <f t="shared" si="17"/>
        <v/>
      </c>
      <c r="G191" s="106"/>
      <c r="H191" s="56" t="str">
        <f t="shared" si="18"/>
        <v/>
      </c>
      <c r="I191" s="2"/>
    </row>
    <row r="192" spans="1:9" x14ac:dyDescent="0.25">
      <c r="B192" s="38" t="str">
        <f>IF($A192=0,"",VLOOKUP($A192,'BASE M-OBRA'!$A:$D,2))</f>
        <v/>
      </c>
      <c r="C192" s="2"/>
      <c r="D192" s="55"/>
      <c r="E192" s="55" t="str">
        <f>IF($A192=0,"",VLOOKUP($A192,'BASE M-OBRA'!$A:$D,4))</f>
        <v/>
      </c>
      <c r="F192" s="55" t="str">
        <f t="shared" si="17"/>
        <v/>
      </c>
      <c r="G192" s="106"/>
      <c r="H192" s="56" t="str">
        <f t="shared" si="18"/>
        <v/>
      </c>
      <c r="I192" s="2"/>
    </row>
    <row r="193" spans="1:16" x14ac:dyDescent="0.25">
      <c r="B193" s="57" t="str">
        <f>IF($A193=0,"",VLOOKUP($A193,'BASE M-OBRA'!$A:$D,2))</f>
        <v/>
      </c>
      <c r="C193" s="58"/>
      <c r="D193" s="59"/>
      <c r="E193" s="59" t="str">
        <f>IF($A193=0,"",VLOOKUP($A193,'BASE M-OBRA'!$A:$D,4))</f>
        <v/>
      </c>
      <c r="F193" s="59" t="str">
        <f t="shared" si="17"/>
        <v/>
      </c>
      <c r="G193" s="107"/>
      <c r="H193" s="60" t="str">
        <f t="shared" si="18"/>
        <v/>
      </c>
      <c r="I193" s="2"/>
    </row>
    <row r="194" spans="1:16" x14ac:dyDescent="0.25">
      <c r="B194" s="73" t="s">
        <v>1685</v>
      </c>
      <c r="C194" s="65"/>
      <c r="D194" s="74"/>
      <c r="E194" s="74"/>
      <c r="F194" s="74"/>
      <c r="G194" s="74"/>
      <c r="H194" s="75">
        <f>ROUND(SUM(H186:H193),2)</f>
        <v>4.49</v>
      </c>
      <c r="I194" s="2"/>
    </row>
    <row r="195" spans="1:16" x14ac:dyDescent="0.25">
      <c r="B195" s="38" t="s">
        <v>1684</v>
      </c>
      <c r="C195" s="2"/>
      <c r="D195" s="3"/>
      <c r="E195" s="3"/>
      <c r="F195" s="3"/>
      <c r="G195" s="3"/>
      <c r="H195" s="56"/>
      <c r="I195" s="2"/>
    </row>
    <row r="196" spans="1:16" ht="25.5" x14ac:dyDescent="0.25">
      <c r="B196" s="64" t="s">
        <v>1409</v>
      </c>
      <c r="C196" s="65"/>
      <c r="D196" s="76"/>
      <c r="E196" s="66" t="s">
        <v>1408</v>
      </c>
      <c r="F196" s="66" t="s">
        <v>1679</v>
      </c>
      <c r="G196" s="66" t="s">
        <v>1683</v>
      </c>
      <c r="H196" s="68" t="s">
        <v>1675</v>
      </c>
      <c r="I196" s="2"/>
    </row>
    <row r="197" spans="1:16" x14ac:dyDescent="0.25">
      <c r="A197" s="103">
        <v>15008</v>
      </c>
      <c r="B197" s="38" t="str">
        <f>IF($A197=0,"",VLOOKUP($A197,'BASE MATERIAL'!$A:$D,2))</f>
        <v>TUBO   PVC    1/2 ROSCABLE</v>
      </c>
      <c r="C197" s="2"/>
      <c r="D197" s="77"/>
      <c r="E197" s="78" t="str">
        <f>IF($A197=0,"",VLOOKUP($A197,'BASE MATERIAL'!$A:$D,3))</f>
        <v>U</v>
      </c>
      <c r="F197" s="55">
        <v>0.17</v>
      </c>
      <c r="G197" s="55">
        <f>IF($A197=0,"",VLOOKUP($A197,'BASE MATERIAL'!$A:$D,4))</f>
        <v>10.75</v>
      </c>
      <c r="H197" s="56">
        <f t="shared" ref="H197:H211" si="19">IF($A197=0,"",ROUND(F197*G197,2))</f>
        <v>1.83</v>
      </c>
      <c r="I197" s="2"/>
      <c r="L197" s="2"/>
      <c r="M197" s="2"/>
      <c r="N197" s="39"/>
      <c r="O197" s="2"/>
      <c r="P197" s="2"/>
    </row>
    <row r="198" spans="1:16" x14ac:dyDescent="0.25">
      <c r="A198" s="103">
        <v>1</v>
      </c>
      <c r="B198" s="38" t="s">
        <v>14</v>
      </c>
      <c r="C198" s="2"/>
      <c r="D198" s="77"/>
      <c r="E198" s="78" t="s">
        <v>5</v>
      </c>
      <c r="F198" s="55">
        <v>0.35</v>
      </c>
      <c r="G198" s="55">
        <v>0.54610000000000003</v>
      </c>
      <c r="H198" s="56">
        <f t="shared" si="19"/>
        <v>0.19</v>
      </c>
      <c r="I198" s="2"/>
      <c r="L198" s="2"/>
      <c r="M198" s="2"/>
      <c r="N198" s="39"/>
      <c r="O198" s="2"/>
      <c r="P198" s="2"/>
    </row>
    <row r="199" spans="1:16" x14ac:dyDescent="0.25">
      <c r="A199" s="103">
        <v>1</v>
      </c>
      <c r="B199" s="38" t="s">
        <v>61</v>
      </c>
      <c r="C199" s="2"/>
      <c r="D199" s="77"/>
      <c r="E199" s="78" t="s">
        <v>5</v>
      </c>
      <c r="F199" s="55">
        <v>0.35</v>
      </c>
      <c r="G199" s="55">
        <v>0.54610000000000003</v>
      </c>
      <c r="H199" s="56">
        <f t="shared" si="19"/>
        <v>0.19</v>
      </c>
      <c r="I199" s="2"/>
      <c r="L199" s="2"/>
      <c r="M199" s="2"/>
      <c r="N199" s="39"/>
      <c r="O199" s="2"/>
      <c r="P199" s="2"/>
    </row>
    <row r="200" spans="1:16" x14ac:dyDescent="0.25">
      <c r="A200" s="103">
        <v>1</v>
      </c>
      <c r="B200" s="38" t="s">
        <v>60</v>
      </c>
      <c r="C200" s="2"/>
      <c r="D200" s="77"/>
      <c r="E200" s="78" t="s">
        <v>5</v>
      </c>
      <c r="F200" s="55">
        <v>0.35</v>
      </c>
      <c r="G200" s="55">
        <v>0.2</v>
      </c>
      <c r="H200" s="56">
        <f t="shared" si="19"/>
        <v>7.0000000000000007E-2</v>
      </c>
      <c r="I200" s="2"/>
      <c r="L200" s="2"/>
      <c r="M200" s="2"/>
      <c r="N200" s="39"/>
      <c r="O200" s="2"/>
      <c r="P200" s="2"/>
    </row>
    <row r="201" spans="1:16" x14ac:dyDescent="0.25">
      <c r="A201" s="103">
        <v>1</v>
      </c>
      <c r="B201" s="38" t="s">
        <v>11</v>
      </c>
      <c r="C201" s="2"/>
      <c r="D201" s="77"/>
      <c r="E201" s="78" t="s">
        <v>5</v>
      </c>
      <c r="F201" s="55">
        <v>0.17</v>
      </c>
      <c r="G201" s="55">
        <v>0.67310000000000003</v>
      </c>
      <c r="H201" s="56">
        <f t="shared" si="19"/>
        <v>0.11</v>
      </c>
      <c r="I201" s="2"/>
      <c r="L201" s="2"/>
      <c r="M201" s="2"/>
      <c r="N201" s="39"/>
      <c r="O201" s="2"/>
      <c r="P201" s="2"/>
    </row>
    <row r="202" spans="1:16" x14ac:dyDescent="0.25">
      <c r="A202" s="103">
        <v>1</v>
      </c>
      <c r="B202" s="38" t="s">
        <v>1</v>
      </c>
      <c r="C202" s="2"/>
      <c r="D202" s="77"/>
      <c r="E202" s="78" t="s">
        <v>0</v>
      </c>
      <c r="F202" s="55">
        <v>0.03</v>
      </c>
      <c r="G202" s="55">
        <v>0.25</v>
      </c>
      <c r="H202" s="56">
        <f t="shared" si="19"/>
        <v>0.01</v>
      </c>
      <c r="I202" s="2"/>
      <c r="L202" s="2"/>
      <c r="M202" s="2"/>
      <c r="N202" s="39"/>
      <c r="O202" s="2"/>
      <c r="P202" s="2"/>
    </row>
    <row r="203" spans="1:16" x14ac:dyDescent="0.25">
      <c r="A203" s="103">
        <v>1</v>
      </c>
      <c r="B203" s="38" t="s">
        <v>16</v>
      </c>
      <c r="C203" s="2"/>
      <c r="D203" s="77"/>
      <c r="E203" s="78" t="s">
        <v>5</v>
      </c>
      <c r="F203" s="55">
        <v>0.03</v>
      </c>
      <c r="G203" s="55">
        <v>10</v>
      </c>
      <c r="H203" s="56">
        <f t="shared" si="19"/>
        <v>0.3</v>
      </c>
      <c r="I203" s="2"/>
      <c r="L203" s="2"/>
      <c r="M203" s="2"/>
      <c r="N203" s="39"/>
      <c r="O203" s="2"/>
      <c r="P203" s="2"/>
    </row>
    <row r="204" spans="1:16" x14ac:dyDescent="0.25">
      <c r="B204" s="38"/>
      <c r="C204" s="2"/>
      <c r="D204" s="77"/>
      <c r="E204" s="78"/>
      <c r="F204" s="55"/>
      <c r="G204" s="55"/>
      <c r="H204" s="56" t="str">
        <f t="shared" si="19"/>
        <v/>
      </c>
      <c r="I204" s="2"/>
      <c r="L204" s="2"/>
      <c r="M204" s="2"/>
      <c r="N204" s="39"/>
      <c r="O204" s="2"/>
      <c r="P204" s="2"/>
    </row>
    <row r="205" spans="1:16" x14ac:dyDescent="0.25">
      <c r="B205" s="38"/>
      <c r="C205" s="2"/>
      <c r="D205" s="77"/>
      <c r="E205" s="78"/>
      <c r="F205" s="55"/>
      <c r="G205" s="55"/>
      <c r="H205" s="56" t="str">
        <f t="shared" si="19"/>
        <v/>
      </c>
      <c r="I205" s="2"/>
    </row>
    <row r="206" spans="1:16" x14ac:dyDescent="0.25">
      <c r="B206" s="38" t="str">
        <f>IF($A206=0,"",VLOOKUP($A206,'BASE MATERIAL'!$A:$D,2))</f>
        <v/>
      </c>
      <c r="C206" s="2"/>
      <c r="D206" s="77"/>
      <c r="E206" s="78" t="str">
        <f>IF($A206=0,"",VLOOKUP($A206,'BASE MATERIAL'!$A:$D,3))</f>
        <v/>
      </c>
      <c r="F206" s="55"/>
      <c r="G206" s="55" t="str">
        <f>IF($A206=0,"",VLOOKUP($A206,'BASE MATERIAL'!$A:$D,4))</f>
        <v/>
      </c>
      <c r="H206" s="56" t="str">
        <f t="shared" si="19"/>
        <v/>
      </c>
      <c r="I206" s="2"/>
      <c r="L206" s="2"/>
      <c r="M206" s="2"/>
      <c r="N206" s="39"/>
      <c r="O206" s="2"/>
      <c r="P206" s="2"/>
    </row>
    <row r="207" spans="1:16" x14ac:dyDescent="0.25">
      <c r="B207" s="38" t="str">
        <f>IF($A207=0,"",VLOOKUP($A207,'BASE MATERIAL'!$A:$D,2))</f>
        <v/>
      </c>
      <c r="C207" s="2"/>
      <c r="D207" s="77"/>
      <c r="E207" s="78" t="str">
        <f>IF($A207=0,"",VLOOKUP($A207,'BASE MATERIAL'!$A:$D,3))</f>
        <v/>
      </c>
      <c r="F207" s="55"/>
      <c r="G207" s="55" t="str">
        <f>IF($A207=0,"",VLOOKUP($A207,'BASE MATERIAL'!$A:$D,4))</f>
        <v/>
      </c>
      <c r="H207" s="56" t="str">
        <f t="shared" si="19"/>
        <v/>
      </c>
      <c r="I207" s="2"/>
      <c r="L207" s="2"/>
      <c r="M207" s="2"/>
      <c r="N207" s="39"/>
      <c r="O207" s="2"/>
      <c r="P207" s="2"/>
    </row>
    <row r="208" spans="1:16" x14ac:dyDescent="0.25">
      <c r="B208" s="38" t="str">
        <f>IF($A208=0,"",VLOOKUP($A208,'BASE MATERIAL'!$A:$D,2))</f>
        <v/>
      </c>
      <c r="C208" s="2"/>
      <c r="D208" s="77"/>
      <c r="E208" s="78" t="str">
        <f>IF($A208=0,"",VLOOKUP($A208,'BASE MATERIAL'!$A:$D,3))</f>
        <v/>
      </c>
      <c r="F208" s="55"/>
      <c r="G208" s="55" t="str">
        <f>IF($A208=0,"",VLOOKUP($A208,'BASE MATERIAL'!$A:$D,4))</f>
        <v/>
      </c>
      <c r="H208" s="56" t="str">
        <f t="shared" si="19"/>
        <v/>
      </c>
      <c r="I208" s="2"/>
    </row>
    <row r="209" spans="1:9" x14ac:dyDescent="0.25">
      <c r="B209" s="38" t="str">
        <f>IF($A209=0,"",VLOOKUP($A209,'BASE MATERIAL'!$A:$D,2))</f>
        <v/>
      </c>
      <c r="C209" s="2"/>
      <c r="D209" s="77"/>
      <c r="E209" s="78" t="str">
        <f>IF($A209=0,"",VLOOKUP($A209,'BASE MATERIAL'!$A:$D,3))</f>
        <v/>
      </c>
      <c r="F209" s="55"/>
      <c r="G209" s="55" t="str">
        <f>IF($A209=0,"",VLOOKUP($A209,'BASE MATERIAL'!$A:$D,4))</f>
        <v/>
      </c>
      <c r="H209" s="56" t="str">
        <f t="shared" si="19"/>
        <v/>
      </c>
      <c r="I209" s="2"/>
    </row>
    <row r="210" spans="1:9" x14ac:dyDescent="0.25">
      <c r="B210" s="38" t="str">
        <f>IF($A210=0,"",VLOOKUP($A210,'BASE MATERIAL'!$A:$D,2))</f>
        <v/>
      </c>
      <c r="C210" s="2"/>
      <c r="D210" s="77"/>
      <c r="E210" s="78" t="str">
        <f>IF($A210=0,"",VLOOKUP($A210,'BASE MATERIAL'!$A:$D,3))</f>
        <v/>
      </c>
      <c r="F210" s="55"/>
      <c r="G210" s="55" t="str">
        <f>IF($A210=0,"",VLOOKUP($A210,'BASE MATERIAL'!$A:$D,4))</f>
        <v/>
      </c>
      <c r="H210" s="56" t="str">
        <f t="shared" si="19"/>
        <v/>
      </c>
      <c r="I210" s="2"/>
    </row>
    <row r="211" spans="1:9" x14ac:dyDescent="0.25">
      <c r="B211" s="38" t="str">
        <f>IF($A211=0,"",VLOOKUP($A211,'BASE MATERIAL'!$A:$D,2))</f>
        <v/>
      </c>
      <c r="C211" s="2"/>
      <c r="D211" s="77"/>
      <c r="E211" s="78" t="str">
        <f>IF($A211=0,"",VLOOKUP($A211,'BASE MATERIAL'!$A:$D,3))</f>
        <v/>
      </c>
      <c r="F211" s="55"/>
      <c r="G211" s="55" t="str">
        <f>IF($A211=0,"",VLOOKUP($A211,'BASE MATERIAL'!$A:$D,4))</f>
        <v/>
      </c>
      <c r="H211" s="56" t="str">
        <f t="shared" si="19"/>
        <v/>
      </c>
      <c r="I211" s="2"/>
    </row>
    <row r="212" spans="1:9" x14ac:dyDescent="0.25">
      <c r="B212" s="38" t="str">
        <f>IF($A212=0,"",VLOOKUP($A212,'BASE MATERIAL'!$A:$D,2))</f>
        <v/>
      </c>
      <c r="C212" s="2"/>
      <c r="D212" s="81" t="s">
        <v>1682</v>
      </c>
      <c r="E212" s="55" t="str">
        <f>IF($A212=0,"",VLOOKUP($A212,'BASE MATERIAL'!$A:$D,3))</f>
        <v/>
      </c>
      <c r="F212" s="55" t="s">
        <v>1682</v>
      </c>
      <c r="G212" s="55" t="str">
        <f>IF($A212=0,"",VLOOKUP($A212,'BASE MATERIAL'!$A:$D,4))</f>
        <v/>
      </c>
      <c r="H212" s="56" t="str">
        <f>IF($A212=0,"",ROUND(E212*F212,2))</f>
        <v/>
      </c>
      <c r="I212" s="2"/>
    </row>
    <row r="213" spans="1:9" x14ac:dyDescent="0.25">
      <c r="B213" s="73" t="s">
        <v>1681</v>
      </c>
      <c r="C213" s="65"/>
      <c r="D213" s="74"/>
      <c r="E213" s="74"/>
      <c r="F213" s="74"/>
      <c r="G213" s="74"/>
      <c r="H213" s="75">
        <f>ROUND(SUM(H196:H212),2)</f>
        <v>2.7</v>
      </c>
      <c r="I213" s="2"/>
    </row>
    <row r="214" spans="1:9" x14ac:dyDescent="0.25">
      <c r="B214" s="38" t="s">
        <v>1680</v>
      </c>
      <c r="C214" s="2"/>
      <c r="D214" s="3"/>
      <c r="E214" s="3"/>
      <c r="F214" s="3"/>
      <c r="G214" s="3"/>
      <c r="H214" s="56"/>
      <c r="I214" s="2"/>
    </row>
    <row r="215" spans="1:9" ht="25.5" x14ac:dyDescent="0.25">
      <c r="B215" s="64" t="s">
        <v>1409</v>
      </c>
      <c r="C215" s="65"/>
      <c r="D215" s="76"/>
      <c r="E215" s="66" t="s">
        <v>1408</v>
      </c>
      <c r="F215" s="66" t="s">
        <v>1679</v>
      </c>
      <c r="G215" s="66" t="s">
        <v>1676</v>
      </c>
      <c r="H215" s="68" t="s">
        <v>1675</v>
      </c>
      <c r="I215" s="2"/>
    </row>
    <row r="216" spans="1:9" x14ac:dyDescent="0.25">
      <c r="A216" s="103">
        <v>19019</v>
      </c>
      <c r="B216" s="51" t="str">
        <f>IF($A216=0,"",VLOOKUP($A216,'BASE EQUIPO'!$A:$D,2))</f>
        <v>TRANSPORTE DE MATERIAL</v>
      </c>
      <c r="C216" s="52"/>
      <c r="D216" s="82"/>
      <c r="E216" s="78" t="str">
        <f>IF($A216=0,"",VLOOKUP($A216,'BASE EQUIPO'!$A:$D,3))</f>
        <v>GLOBAL</v>
      </c>
      <c r="F216" s="55">
        <v>1</v>
      </c>
      <c r="G216" s="83">
        <f>IF($A216=0,"",VLOOKUP($A216,'BASE EQUIPO'!$A:$D,4)*H213)</f>
        <v>8.1000000000000003E-2</v>
      </c>
      <c r="H216" s="56">
        <f>IF($A216=0,"",ROUND(F216*G216,2))</f>
        <v>0.08</v>
      </c>
      <c r="I216" s="2"/>
    </row>
    <row r="217" spans="1:9" x14ac:dyDescent="0.25">
      <c r="B217" s="38" t="str">
        <f>IF($A217=0,"",VLOOKUP($A217,'BASE EQUIPO'!$A:$D,2))</f>
        <v/>
      </c>
      <c r="C217" s="2"/>
      <c r="D217" s="84"/>
      <c r="E217" s="78" t="str">
        <f>IF($A217=0,"",VLOOKUP($A217,'BASE EQUIPO'!$A:$D,3))</f>
        <v/>
      </c>
      <c r="F217" s="55"/>
      <c r="G217" s="55" t="str">
        <f>IF($A217=0,"",VLOOKUP($A217,'BASE EQUIPO'!$A:$D,4)*H214)</f>
        <v/>
      </c>
      <c r="H217" s="56" t="str">
        <f>IF($A217=0,"",ROUND(F217*G217,2))</f>
        <v/>
      </c>
      <c r="I217" s="2"/>
    </row>
    <row r="218" spans="1:9" x14ac:dyDescent="0.25">
      <c r="B218" s="57" t="str">
        <f>IF($A218=0,"",VLOOKUP($A218,'BASE EQUIPO'!$A:$D,2))</f>
        <v/>
      </c>
      <c r="C218" s="58"/>
      <c r="D218" s="85"/>
      <c r="E218" s="86" t="str">
        <f>IF($A218=0,"",VLOOKUP($A218,'BASE EQUIPO'!$A:$D,3))</f>
        <v/>
      </c>
      <c r="F218" s="59"/>
      <c r="G218" s="59" t="str">
        <f>IF($A218=0,"",VLOOKUP($A218,'BASE EQUIPO'!$A:$D,4)*H215)</f>
        <v/>
      </c>
      <c r="H218" s="60" t="str">
        <f>IF($A218=0,"",ROUND(F218*G218,2))</f>
        <v/>
      </c>
      <c r="I218" s="2"/>
    </row>
    <row r="219" spans="1:9" ht="15.75" thickBot="1" x14ac:dyDescent="0.3">
      <c r="B219" s="87" t="s">
        <v>1674</v>
      </c>
      <c r="C219" s="88"/>
      <c r="D219" s="89"/>
      <c r="E219" s="89"/>
      <c r="F219" s="89"/>
      <c r="G219" s="89"/>
      <c r="H219" s="90">
        <f>ROUND(SUM(H215:H218),2)</f>
        <v>0.08</v>
      </c>
      <c r="I219" s="2"/>
    </row>
    <row r="220" spans="1:9" ht="15.75" x14ac:dyDescent="0.25">
      <c r="B220" s="2"/>
      <c r="C220" s="2"/>
      <c r="D220" s="91" t="s">
        <v>1673</v>
      </c>
      <c r="E220" s="47"/>
      <c r="F220" s="47"/>
      <c r="G220" s="47"/>
      <c r="H220" s="92">
        <f>ROUND(SUM(H219,H213,H194,H184),2)</f>
        <v>7.4</v>
      </c>
      <c r="I220" s="2"/>
    </row>
    <row r="221" spans="1:9" ht="15.75" x14ac:dyDescent="0.25">
      <c r="A221" s="103">
        <v>40002</v>
      </c>
      <c r="B221" s="2"/>
      <c r="C221" s="2"/>
      <c r="D221" s="93" t="s">
        <v>1672</v>
      </c>
      <c r="E221" s="65"/>
      <c r="F221" s="65"/>
      <c r="G221" s="94">
        <f>IF($A221=0,"",VLOOKUP($A221,'BASE MATERIAL'!$M:$P,4))</f>
        <v>0</v>
      </c>
      <c r="H221" s="95">
        <f>IF($A221=0,"",ROUND(G221*H220,2))</f>
        <v>0</v>
      </c>
      <c r="I221" s="2"/>
    </row>
    <row r="222" spans="1:9" ht="15.75" x14ac:dyDescent="0.25">
      <c r="A222" s="103">
        <v>40003</v>
      </c>
      <c r="B222" s="2"/>
      <c r="C222" s="2"/>
      <c r="D222" s="93" t="s">
        <v>1671</v>
      </c>
      <c r="E222" s="65"/>
      <c r="F222" s="65"/>
      <c r="G222" s="94">
        <f>IF($A222=0,"",VLOOKUP($A222,'BASE MATERIAL'!$M:$P,4))</f>
        <v>0</v>
      </c>
      <c r="H222" s="95">
        <f>IF($A222=0,"",ROUND(G222*H220,2))</f>
        <v>0</v>
      </c>
      <c r="I222" s="2"/>
    </row>
    <row r="223" spans="1:9" ht="15.75" x14ac:dyDescent="0.25">
      <c r="B223" s="2"/>
      <c r="C223" s="2"/>
      <c r="D223" s="93" t="s">
        <v>1670</v>
      </c>
      <c r="E223" s="65"/>
      <c r="F223" s="65"/>
      <c r="G223" s="65"/>
      <c r="H223" s="96">
        <f>ROUND(SUM(H220:H222),2)</f>
        <v>7.4</v>
      </c>
      <c r="I223" s="2"/>
    </row>
    <row r="224" spans="1:9" ht="16.5" thickBot="1" x14ac:dyDescent="0.3">
      <c r="B224" s="25"/>
      <c r="C224" s="2"/>
      <c r="D224" s="97" t="s">
        <v>1650</v>
      </c>
      <c r="E224" s="88"/>
      <c r="F224" s="88"/>
      <c r="G224" s="88"/>
      <c r="H224" s="98">
        <f>ROUND(H223,2)</f>
        <v>7.4</v>
      </c>
      <c r="I224" s="2"/>
    </row>
    <row r="225" spans="1:15" ht="15.75" x14ac:dyDescent="0.25">
      <c r="B225" s="34" t="s">
        <v>1701</v>
      </c>
      <c r="C225" s="2"/>
      <c r="D225" s="3" t="str">
        <f>$D$1</f>
        <v>ESPOL</v>
      </c>
      <c r="E225" s="2"/>
      <c r="F225" s="2"/>
      <c r="H225" s="2" t="s">
        <v>108</v>
      </c>
      <c r="I225" s="2"/>
      <c r="L225" s="40">
        <f>A229</f>
        <v>7</v>
      </c>
      <c r="M225" s="1" t="str">
        <f>C230</f>
        <v>Puntos de 1/2" APF</v>
      </c>
      <c r="N225" s="2" t="str">
        <f>H229</f>
        <v>U</v>
      </c>
      <c r="O225" s="2">
        <f>H280</f>
        <v>26.39</v>
      </c>
    </row>
    <row r="226" spans="1:15" ht="15.75" x14ac:dyDescent="0.25">
      <c r="B226" s="34" t="s">
        <v>1700</v>
      </c>
      <c r="C226" s="3">
        <f>'1.1'!$C$2</f>
        <v>0</v>
      </c>
      <c r="D226" s="2"/>
      <c r="E226" s="2"/>
      <c r="F226" s="2"/>
      <c r="G226" s="41" t="s">
        <v>1699</v>
      </c>
      <c r="H226" s="42"/>
      <c r="I226" s="2" t="s">
        <v>1698</v>
      </c>
    </row>
    <row r="227" spans="1:15" ht="15.75" x14ac:dyDescent="0.25">
      <c r="B227" s="34"/>
      <c r="C227" s="3">
        <f>'1.1'!$C$3</f>
        <v>0</v>
      </c>
      <c r="D227" s="2"/>
      <c r="E227" s="2"/>
      <c r="F227" s="2"/>
      <c r="G227" s="2"/>
      <c r="H227" s="2"/>
      <c r="I227" s="2"/>
    </row>
    <row r="228" spans="1:15" ht="15.75" x14ac:dyDescent="0.25">
      <c r="B228" s="34" t="s">
        <v>1697</v>
      </c>
      <c r="C228" s="3"/>
      <c r="D228" s="2"/>
      <c r="E228" s="2"/>
      <c r="F228" s="2"/>
      <c r="G228" s="2"/>
      <c r="H228" s="2"/>
      <c r="I228" s="2"/>
    </row>
    <row r="229" spans="1:15" x14ac:dyDescent="0.25">
      <c r="A229" s="104">
        <v>7</v>
      </c>
      <c r="B229" s="2" t="s">
        <v>1586</v>
      </c>
      <c r="C229" s="101" t="s">
        <v>704</v>
      </c>
      <c r="D229" s="2"/>
      <c r="G229" s="2" t="s">
        <v>1696</v>
      </c>
      <c r="H229" s="3" t="s">
        <v>744</v>
      </c>
      <c r="I229" s="2"/>
    </row>
    <row r="230" spans="1:15" x14ac:dyDescent="0.25">
      <c r="B230" s="1" t="s">
        <v>1585</v>
      </c>
      <c r="C230" s="36" t="s">
        <v>15</v>
      </c>
      <c r="D230" s="2"/>
      <c r="E230" s="2"/>
      <c r="F230" s="2"/>
      <c r="G230" s="2"/>
      <c r="H230" s="2"/>
      <c r="I230" s="2"/>
    </row>
    <row r="231" spans="1:15" ht="15.75" thickBot="1" x14ac:dyDescent="0.3">
      <c r="D231" s="2"/>
      <c r="E231" s="2"/>
      <c r="F231" s="2"/>
      <c r="G231" s="2"/>
      <c r="H231" s="2"/>
      <c r="I231" s="2"/>
    </row>
    <row r="232" spans="1:15" ht="15.75" thickBot="1" x14ac:dyDescent="0.3">
      <c r="B232" s="43" t="s">
        <v>1695</v>
      </c>
      <c r="C232" s="44"/>
      <c r="D232" s="44"/>
      <c r="E232" s="44"/>
      <c r="F232" s="44"/>
      <c r="G232" s="44"/>
      <c r="H232" s="45"/>
      <c r="I232" s="2"/>
    </row>
    <row r="233" spans="1:15" ht="25.5" x14ac:dyDescent="0.25">
      <c r="B233" s="46" t="s">
        <v>1409</v>
      </c>
      <c r="C233" s="47"/>
      <c r="D233" s="48" t="s">
        <v>1690</v>
      </c>
      <c r="E233" s="48" t="s">
        <v>1694</v>
      </c>
      <c r="F233" s="48" t="s">
        <v>1693</v>
      </c>
      <c r="G233" s="49" t="s">
        <v>1687</v>
      </c>
      <c r="H233" s="50" t="s">
        <v>1686</v>
      </c>
      <c r="I233" s="2"/>
    </row>
    <row r="234" spans="1:15" x14ac:dyDescent="0.25">
      <c r="A234" s="103">
        <v>19015</v>
      </c>
      <c r="B234" s="51" t="str">
        <f>IF($A234=0,"",VLOOKUP($A234,'BASE EQUIPO'!$A:$D,2))</f>
        <v>HERRAMIENTA MENOR</v>
      </c>
      <c r="C234" s="52"/>
      <c r="D234" s="53">
        <v>1</v>
      </c>
      <c r="E234" s="53">
        <f>IF($A234=0,"",VLOOKUP($A234,'BASE EQUIPO'!$A:$D,4)*H250)</f>
        <v>0.45419999999999999</v>
      </c>
      <c r="F234" s="53">
        <f t="shared" ref="F234:F239" si="20">IF($A234=0,"",ROUND(D234*E234,2))</f>
        <v>0.45</v>
      </c>
      <c r="G234" s="105">
        <v>1</v>
      </c>
      <c r="H234" s="54">
        <f t="shared" ref="H234:H239" si="21">IF($A234=0,"",ROUND(G234*F234,2))</f>
        <v>0.45</v>
      </c>
      <c r="I234" s="2"/>
    </row>
    <row r="235" spans="1:15" x14ac:dyDescent="0.25">
      <c r="B235" s="38" t="str">
        <f>IF($A235=0,"",VLOOKUP($A235,'BASE EQUIPO'!$A:$D,2))</f>
        <v/>
      </c>
      <c r="C235" s="2"/>
      <c r="D235" s="55"/>
      <c r="E235" s="55" t="str">
        <f>IF($A235=0,"",VLOOKUP($A235,'BASE EQUIPO'!$A:$D,4))</f>
        <v/>
      </c>
      <c r="F235" s="55" t="str">
        <f t="shared" si="20"/>
        <v/>
      </c>
      <c r="G235" s="106"/>
      <c r="H235" s="56" t="str">
        <f t="shared" si="21"/>
        <v/>
      </c>
      <c r="I235" s="2"/>
    </row>
    <row r="236" spans="1:15" x14ac:dyDescent="0.25">
      <c r="B236" s="38" t="str">
        <f>IF($A236=0,"",VLOOKUP($A236,'BASE EQUIPO'!$A:$D,2))</f>
        <v/>
      </c>
      <c r="C236" s="2"/>
      <c r="D236" s="55"/>
      <c r="E236" s="55" t="str">
        <f>IF($A236=0,"",VLOOKUP($A236,'BASE EQUIPO'!$A:$D,4))</f>
        <v/>
      </c>
      <c r="F236" s="55" t="str">
        <f t="shared" si="20"/>
        <v/>
      </c>
      <c r="G236" s="106"/>
      <c r="H236" s="56" t="str">
        <f t="shared" si="21"/>
        <v/>
      </c>
      <c r="I236" s="2"/>
    </row>
    <row r="237" spans="1:15" x14ac:dyDescent="0.25">
      <c r="B237" s="38" t="str">
        <f>IF($A237=0,"",VLOOKUP($A237,'BASE EQUIPO'!$A:$D,2))</f>
        <v/>
      </c>
      <c r="C237" s="2"/>
      <c r="D237" s="55"/>
      <c r="E237" s="55" t="str">
        <f>IF($A237=0,"",VLOOKUP($A237,'BASE EQUIPO'!$A:$D,4))</f>
        <v/>
      </c>
      <c r="F237" s="55" t="str">
        <f t="shared" si="20"/>
        <v/>
      </c>
      <c r="G237" s="106"/>
      <c r="H237" s="56" t="str">
        <f t="shared" si="21"/>
        <v/>
      </c>
      <c r="I237" s="2"/>
    </row>
    <row r="238" spans="1:15" x14ac:dyDescent="0.25">
      <c r="B238" s="38" t="str">
        <f>IF($A238=0,"",VLOOKUP($A238,'BASE EQUIPO'!$A:$D,2))</f>
        <v/>
      </c>
      <c r="C238" s="2"/>
      <c r="D238" s="55"/>
      <c r="E238" s="55" t="str">
        <f>IF($A238=0,"",VLOOKUP($A238,'BASE EQUIPO'!$A:$D,4))</f>
        <v/>
      </c>
      <c r="F238" s="55" t="str">
        <f t="shared" si="20"/>
        <v/>
      </c>
      <c r="G238" s="106"/>
      <c r="H238" s="56" t="str">
        <f t="shared" si="21"/>
        <v/>
      </c>
      <c r="I238" s="2"/>
    </row>
    <row r="239" spans="1:15" x14ac:dyDescent="0.25">
      <c r="B239" s="57" t="str">
        <f>IF($A239=0,"",VLOOKUP($A239,'BASE EQUIPO'!$A:$D,2))</f>
        <v/>
      </c>
      <c r="C239" s="58"/>
      <c r="D239" s="59"/>
      <c r="E239" s="59" t="str">
        <f>IF($A239=0,"",VLOOKUP($A239,'BASE EQUIPO'!$A:$D,4))</f>
        <v/>
      </c>
      <c r="F239" s="59" t="str">
        <f t="shared" si="20"/>
        <v/>
      </c>
      <c r="G239" s="107"/>
      <c r="H239" s="60" t="str">
        <f t="shared" si="21"/>
        <v/>
      </c>
      <c r="I239" s="2"/>
    </row>
    <row r="240" spans="1:15" x14ac:dyDescent="0.25">
      <c r="B240" s="57" t="s">
        <v>1692</v>
      </c>
      <c r="C240" s="58"/>
      <c r="D240" s="61"/>
      <c r="E240" s="61"/>
      <c r="F240" s="61"/>
      <c r="G240" s="62"/>
      <c r="H240" s="60">
        <f>ROUND(SUM(H233:H239),2)</f>
        <v>0.45</v>
      </c>
      <c r="I240" s="2"/>
    </row>
    <row r="241" spans="1:16" x14ac:dyDescent="0.25">
      <c r="B241" s="38" t="s">
        <v>1503</v>
      </c>
      <c r="C241" s="2"/>
      <c r="D241" s="3"/>
      <c r="E241" s="3"/>
      <c r="F241" s="3"/>
      <c r="G241" s="63"/>
      <c r="H241" s="56"/>
      <c r="I241" s="2"/>
    </row>
    <row r="242" spans="1:16" ht="25.5" x14ac:dyDescent="0.25">
      <c r="B242" s="64" t="s">
        <v>1691</v>
      </c>
      <c r="C242" s="65"/>
      <c r="D242" s="66" t="s">
        <v>1690</v>
      </c>
      <c r="E242" s="66" t="s">
        <v>1689</v>
      </c>
      <c r="F242" s="66" t="s">
        <v>1688</v>
      </c>
      <c r="G242" s="67" t="s">
        <v>1687</v>
      </c>
      <c r="H242" s="68" t="s">
        <v>1686</v>
      </c>
      <c r="I242" s="2"/>
    </row>
    <row r="243" spans="1:16" x14ac:dyDescent="0.25">
      <c r="B243" s="69" t="str">
        <f>IF($A243=0,"",VLOOKUP($A243,'BASE M-OBRA'!$A:$D,2))</f>
        <v/>
      </c>
      <c r="C243" s="2"/>
      <c r="D243" s="108"/>
      <c r="E243" s="70" t="str">
        <f>IF($A243=0,"",VLOOKUP($A243,'BASE M-OBRA'!$A:$D,4))</f>
        <v/>
      </c>
      <c r="F243" s="55" t="str">
        <f t="shared" ref="F243:F249" si="22">IF($A243=0,"",ROUND(D243*E243,2))</f>
        <v/>
      </c>
      <c r="G243" s="106" t="str">
        <f>IF($A243=0,"",ROUND(H243/F243,2))</f>
        <v/>
      </c>
      <c r="H243" s="56" t="str">
        <f>IF($A243=0,"",ROUND(SUM(H244:H249)*'BASE M-OBRA'!$D$23,2))</f>
        <v/>
      </c>
      <c r="I243" s="2"/>
    </row>
    <row r="244" spans="1:16" x14ac:dyDescent="0.25">
      <c r="A244" s="103">
        <v>20011</v>
      </c>
      <c r="B244" s="69" t="str">
        <f>IF($A244=0,"",VLOOKUP($A244,'BASE M-OBRA'!$A:$D,2))</f>
        <v>AYUDANTE ESPECIALISTA</v>
      </c>
      <c r="C244" s="2"/>
      <c r="D244" s="108">
        <v>1</v>
      </c>
      <c r="E244" s="70">
        <f>IF($A244=0,"",VLOOKUP($A244,'BASE M-OBRA'!$A:$D,4))</f>
        <v>2.79</v>
      </c>
      <c r="F244" s="55">
        <f t="shared" si="22"/>
        <v>2.79</v>
      </c>
      <c r="G244" s="106">
        <v>2.7</v>
      </c>
      <c r="H244" s="56">
        <f t="shared" ref="H244:H249" si="23">IF($A244=0,"",ROUND(G244*F244,2))</f>
        <v>7.53</v>
      </c>
      <c r="I244" s="2"/>
    </row>
    <row r="245" spans="1:16" x14ac:dyDescent="0.25">
      <c r="A245" s="103">
        <v>20016</v>
      </c>
      <c r="B245" s="69" t="str">
        <f>IF($A245=0,"",VLOOKUP($A245,'BASE M-OBRA'!$A:$D,2))</f>
        <v>GAFITERO</v>
      </c>
      <c r="C245" s="2"/>
      <c r="D245" s="108">
        <v>1</v>
      </c>
      <c r="E245" s="70">
        <f>IF($A245=0,"",VLOOKUP($A245,'BASE M-OBRA'!$A:$D,4))</f>
        <v>2.82</v>
      </c>
      <c r="F245" s="55">
        <f t="shared" si="22"/>
        <v>2.82</v>
      </c>
      <c r="G245" s="106">
        <f>+G244</f>
        <v>2.7</v>
      </c>
      <c r="H245" s="56">
        <f t="shared" si="23"/>
        <v>7.61</v>
      </c>
      <c r="I245" s="2"/>
    </row>
    <row r="246" spans="1:16" x14ac:dyDescent="0.25">
      <c r="B246" s="71" t="str">
        <f>IF($A246=0,"",VLOOKUP($A246,'BASE M-OBRA'!$A:$D,2))</f>
        <v/>
      </c>
      <c r="C246" s="2"/>
      <c r="D246" s="108"/>
      <c r="E246" s="70" t="str">
        <f>IF($A246=0,"",VLOOKUP($A246,'BASE M-OBRA'!$A:$D,4))</f>
        <v/>
      </c>
      <c r="F246" s="55" t="str">
        <f t="shared" si="22"/>
        <v/>
      </c>
      <c r="G246" s="106"/>
      <c r="H246" s="56" t="str">
        <f t="shared" si="23"/>
        <v/>
      </c>
      <c r="I246" s="2"/>
    </row>
    <row r="247" spans="1:16" x14ac:dyDescent="0.25">
      <c r="B247" s="72" t="str">
        <f>IF($A247=0,"",VLOOKUP($A247,'BASE M-OBRA'!$A:$D,2))</f>
        <v/>
      </c>
      <c r="C247" s="2"/>
      <c r="D247" s="108"/>
      <c r="E247" s="70" t="str">
        <f>IF($A247=0,"",VLOOKUP($A247,'BASE M-OBRA'!$A:$D,4))</f>
        <v/>
      </c>
      <c r="F247" s="55" t="str">
        <f t="shared" si="22"/>
        <v/>
      </c>
      <c r="G247" s="106"/>
      <c r="H247" s="56" t="str">
        <f t="shared" si="23"/>
        <v/>
      </c>
      <c r="I247" s="2"/>
    </row>
    <row r="248" spans="1:16" x14ac:dyDescent="0.25">
      <c r="B248" s="38" t="str">
        <f>IF($A248=0,"",VLOOKUP($A248,'BASE M-OBRA'!$A:$D,2))</f>
        <v/>
      </c>
      <c r="C248" s="2"/>
      <c r="D248" s="55"/>
      <c r="E248" s="55" t="str">
        <f>IF($A248=0,"",VLOOKUP($A248,'BASE M-OBRA'!$A:$D,4))</f>
        <v/>
      </c>
      <c r="F248" s="55" t="str">
        <f t="shared" si="22"/>
        <v/>
      </c>
      <c r="G248" s="106"/>
      <c r="H248" s="56" t="str">
        <f t="shared" si="23"/>
        <v/>
      </c>
      <c r="I248" s="2"/>
    </row>
    <row r="249" spans="1:16" x14ac:dyDescent="0.25">
      <c r="B249" s="57" t="str">
        <f>IF($A249=0,"",VLOOKUP($A249,'BASE M-OBRA'!$A:$D,2))</f>
        <v/>
      </c>
      <c r="C249" s="58"/>
      <c r="D249" s="59"/>
      <c r="E249" s="59" t="str">
        <f>IF($A249=0,"",VLOOKUP($A249,'BASE M-OBRA'!$A:$D,4))</f>
        <v/>
      </c>
      <c r="F249" s="59" t="str">
        <f t="shared" si="22"/>
        <v/>
      </c>
      <c r="G249" s="107"/>
      <c r="H249" s="60" t="str">
        <f t="shared" si="23"/>
        <v/>
      </c>
      <c r="I249" s="2"/>
    </row>
    <row r="250" spans="1:16" x14ac:dyDescent="0.25">
      <c r="B250" s="73" t="s">
        <v>1685</v>
      </c>
      <c r="C250" s="65"/>
      <c r="D250" s="74"/>
      <c r="E250" s="74"/>
      <c r="F250" s="74"/>
      <c r="G250" s="74"/>
      <c r="H250" s="75">
        <f>ROUND(SUM(H242:H249),2)</f>
        <v>15.14</v>
      </c>
      <c r="I250" s="2"/>
    </row>
    <row r="251" spans="1:16" x14ac:dyDescent="0.25">
      <c r="B251" s="38" t="s">
        <v>1684</v>
      </c>
      <c r="C251" s="2"/>
      <c r="D251" s="3"/>
      <c r="E251" s="3"/>
      <c r="F251" s="3"/>
      <c r="G251" s="3"/>
      <c r="H251" s="56"/>
      <c r="I251" s="2"/>
    </row>
    <row r="252" spans="1:16" ht="25.5" x14ac:dyDescent="0.25">
      <c r="B252" s="64" t="s">
        <v>1409</v>
      </c>
      <c r="C252" s="65"/>
      <c r="D252" s="76"/>
      <c r="E252" s="66" t="s">
        <v>1408</v>
      </c>
      <c r="F252" s="66" t="s">
        <v>1679</v>
      </c>
      <c r="G252" s="66" t="s">
        <v>1683</v>
      </c>
      <c r="H252" s="68" t="s">
        <v>1675</v>
      </c>
      <c r="I252" s="2"/>
    </row>
    <row r="253" spans="1:16" x14ac:dyDescent="0.25">
      <c r="A253" s="103">
        <v>15008</v>
      </c>
      <c r="B253" s="38" t="str">
        <f>IF($A253=0,"",VLOOKUP($A253,'BASE MATERIAL'!$A:$D,2))</f>
        <v>TUBO   PVC    1/2 ROSCABLE</v>
      </c>
      <c r="C253" s="2"/>
      <c r="D253" s="77"/>
      <c r="E253" s="78" t="str">
        <f>IF($A253=0,"",VLOOKUP($A253,'BASE MATERIAL'!$A:$D,3))</f>
        <v>U</v>
      </c>
      <c r="F253" s="55">
        <v>0.5</v>
      </c>
      <c r="G253" s="55">
        <f>IF($A253=0,"",VLOOKUP($A253,'BASE MATERIAL'!$A:$D,4))</f>
        <v>10.75</v>
      </c>
      <c r="H253" s="56">
        <f t="shared" ref="H253:H267" si="24">IF($A253=0,"",ROUND(F253*G253,2))</f>
        <v>5.38</v>
      </c>
      <c r="I253" s="2"/>
      <c r="L253" s="2"/>
      <c r="M253" s="2"/>
      <c r="N253" s="39"/>
      <c r="O253" s="2"/>
      <c r="P253" s="2"/>
    </row>
    <row r="254" spans="1:16" x14ac:dyDescent="0.25">
      <c r="A254" s="103">
        <v>1</v>
      </c>
      <c r="B254" s="38" t="s">
        <v>14</v>
      </c>
      <c r="C254" s="2"/>
      <c r="D254" s="77"/>
      <c r="E254" s="78" t="s">
        <v>5</v>
      </c>
      <c r="F254" s="55">
        <v>4</v>
      </c>
      <c r="G254" s="55">
        <v>0.54610000000000003</v>
      </c>
      <c r="H254" s="56">
        <f t="shared" si="24"/>
        <v>2.1800000000000002</v>
      </c>
      <c r="I254" s="2"/>
      <c r="L254" s="2"/>
      <c r="M254" s="2"/>
      <c r="N254" s="39"/>
      <c r="O254" s="2"/>
      <c r="P254" s="2"/>
    </row>
    <row r="255" spans="1:16" x14ac:dyDescent="0.25">
      <c r="A255" s="103">
        <v>1</v>
      </c>
      <c r="B255" s="38" t="s">
        <v>13</v>
      </c>
      <c r="C255" s="2"/>
      <c r="D255" s="77"/>
      <c r="E255" s="78" t="s">
        <v>5</v>
      </c>
      <c r="F255" s="55">
        <v>1</v>
      </c>
      <c r="G255" s="55">
        <v>0.45</v>
      </c>
      <c r="H255" s="56">
        <f t="shared" si="24"/>
        <v>0.45</v>
      </c>
      <c r="I255" s="2"/>
      <c r="L255" s="2"/>
      <c r="M255" s="2"/>
      <c r="N255" s="39"/>
      <c r="O255" s="2"/>
      <c r="P255" s="2"/>
    </row>
    <row r="256" spans="1:16" x14ac:dyDescent="0.25">
      <c r="A256" s="103">
        <v>1</v>
      </c>
      <c r="B256" s="38" t="s">
        <v>12</v>
      </c>
      <c r="C256" s="2"/>
      <c r="D256" s="77"/>
      <c r="E256" s="78" t="s">
        <v>5</v>
      </c>
      <c r="F256" s="55">
        <v>1</v>
      </c>
      <c r="G256" s="55">
        <v>0.56000000000000005</v>
      </c>
      <c r="H256" s="56">
        <f t="shared" si="24"/>
        <v>0.56000000000000005</v>
      </c>
      <c r="I256" s="2"/>
      <c r="L256" s="2"/>
      <c r="M256" s="2"/>
      <c r="N256" s="39"/>
      <c r="O256" s="2"/>
      <c r="P256" s="2"/>
    </row>
    <row r="257" spans="1:16" x14ac:dyDescent="0.25">
      <c r="A257" s="103">
        <v>1</v>
      </c>
      <c r="B257" s="38" t="s">
        <v>11</v>
      </c>
      <c r="C257" s="2"/>
      <c r="D257" s="77"/>
      <c r="E257" s="78" t="s">
        <v>5</v>
      </c>
      <c r="F257" s="55">
        <v>1</v>
      </c>
      <c r="G257" s="55">
        <v>0.67310000000000003</v>
      </c>
      <c r="H257" s="56">
        <f t="shared" si="24"/>
        <v>0.67</v>
      </c>
      <c r="I257" s="2"/>
      <c r="L257" s="2"/>
      <c r="M257" s="2"/>
      <c r="N257" s="39"/>
      <c r="O257" s="2"/>
      <c r="P257" s="2"/>
    </row>
    <row r="258" spans="1:16" x14ac:dyDescent="0.25">
      <c r="A258" s="103">
        <v>1</v>
      </c>
      <c r="B258" s="38" t="s">
        <v>1</v>
      </c>
      <c r="C258" s="2"/>
      <c r="D258" s="77"/>
      <c r="E258" s="78" t="s">
        <v>0</v>
      </c>
      <c r="F258" s="55">
        <v>1</v>
      </c>
      <c r="G258" s="55">
        <v>0.25</v>
      </c>
      <c r="H258" s="56">
        <f t="shared" si="24"/>
        <v>0.25</v>
      </c>
      <c r="I258" s="2"/>
      <c r="L258" s="2"/>
      <c r="M258" s="2"/>
      <c r="N258" s="39"/>
      <c r="O258" s="2"/>
      <c r="P258" s="2"/>
    </row>
    <row r="259" spans="1:16" x14ac:dyDescent="0.25">
      <c r="A259" s="103">
        <v>1</v>
      </c>
      <c r="B259" s="38" t="s">
        <v>16</v>
      </c>
      <c r="C259" s="2"/>
      <c r="D259" s="77"/>
      <c r="E259" s="78" t="s">
        <v>5</v>
      </c>
      <c r="F259" s="55">
        <v>0.1</v>
      </c>
      <c r="G259" s="55">
        <v>10</v>
      </c>
      <c r="H259" s="56">
        <f t="shared" si="24"/>
        <v>1</v>
      </c>
      <c r="I259" s="2"/>
      <c r="L259" s="2"/>
      <c r="M259" s="2"/>
      <c r="N259" s="39"/>
      <c r="O259" s="2"/>
      <c r="P259" s="2"/>
    </row>
    <row r="260" spans="1:16" x14ac:dyDescent="0.25">
      <c r="B260" s="38"/>
      <c r="C260" s="2"/>
      <c r="D260" s="77"/>
      <c r="E260" s="78"/>
      <c r="F260" s="55"/>
      <c r="G260" s="55"/>
      <c r="H260" s="56" t="str">
        <f t="shared" si="24"/>
        <v/>
      </c>
      <c r="I260" s="2"/>
      <c r="L260" s="2"/>
      <c r="M260" s="2"/>
      <c r="N260" s="39"/>
      <c r="O260" s="2"/>
      <c r="P260" s="2"/>
    </row>
    <row r="261" spans="1:16" x14ac:dyDescent="0.25">
      <c r="B261" s="38"/>
      <c r="C261" s="2"/>
      <c r="D261" s="77"/>
      <c r="E261" s="78"/>
      <c r="F261" s="55"/>
      <c r="G261" s="55"/>
      <c r="H261" s="56" t="str">
        <f t="shared" si="24"/>
        <v/>
      </c>
      <c r="I261" s="2"/>
    </row>
    <row r="262" spans="1:16" x14ac:dyDescent="0.25">
      <c r="B262" s="38" t="str">
        <f>IF($A262=0,"",VLOOKUP($A262,'BASE MATERIAL'!$A:$D,2))</f>
        <v/>
      </c>
      <c r="C262" s="2"/>
      <c r="D262" s="77"/>
      <c r="E262" s="78" t="str">
        <f>IF($A262=0,"",VLOOKUP($A262,'BASE MATERIAL'!$A:$D,3))</f>
        <v/>
      </c>
      <c r="F262" s="55"/>
      <c r="G262" s="55" t="str">
        <f>IF($A262=0,"",VLOOKUP($A262,'BASE MATERIAL'!$A:$D,4))</f>
        <v/>
      </c>
      <c r="H262" s="56" t="str">
        <f t="shared" si="24"/>
        <v/>
      </c>
      <c r="I262" s="2"/>
      <c r="L262" s="2"/>
      <c r="M262" s="2"/>
      <c r="N262" s="39"/>
      <c r="O262" s="2"/>
      <c r="P262" s="2"/>
    </row>
    <row r="263" spans="1:16" x14ac:dyDescent="0.25">
      <c r="B263" s="38" t="str">
        <f>IF($A263=0,"",VLOOKUP($A263,'BASE MATERIAL'!$A:$D,2))</f>
        <v/>
      </c>
      <c r="C263" s="2"/>
      <c r="D263" s="77"/>
      <c r="E263" s="78" t="str">
        <f>IF($A263=0,"",VLOOKUP($A263,'BASE MATERIAL'!$A:$D,3))</f>
        <v/>
      </c>
      <c r="F263" s="55"/>
      <c r="G263" s="55" t="str">
        <f>IF($A263=0,"",VLOOKUP($A263,'BASE MATERIAL'!$A:$D,4))</f>
        <v/>
      </c>
      <c r="H263" s="56" t="str">
        <f t="shared" si="24"/>
        <v/>
      </c>
      <c r="I263" s="2"/>
      <c r="L263" s="2"/>
      <c r="M263" s="2"/>
      <c r="N263" s="39"/>
      <c r="O263" s="2"/>
      <c r="P263" s="2"/>
    </row>
    <row r="264" spans="1:16" x14ac:dyDescent="0.25">
      <c r="B264" s="38" t="str">
        <f>IF($A264=0,"",VLOOKUP($A264,'BASE MATERIAL'!$A:$D,2))</f>
        <v/>
      </c>
      <c r="C264" s="2"/>
      <c r="D264" s="77"/>
      <c r="E264" s="78" t="str">
        <f>IF($A264=0,"",VLOOKUP($A264,'BASE MATERIAL'!$A:$D,3))</f>
        <v/>
      </c>
      <c r="F264" s="55"/>
      <c r="G264" s="55" t="str">
        <f>IF($A264=0,"",VLOOKUP($A264,'BASE MATERIAL'!$A:$D,4))</f>
        <v/>
      </c>
      <c r="H264" s="56" t="str">
        <f t="shared" si="24"/>
        <v/>
      </c>
      <c r="I264" s="2"/>
    </row>
    <row r="265" spans="1:16" x14ac:dyDescent="0.25">
      <c r="B265" s="38" t="str">
        <f>IF($A265=0,"",VLOOKUP($A265,'BASE MATERIAL'!$A:$D,2))</f>
        <v/>
      </c>
      <c r="C265" s="2"/>
      <c r="D265" s="77"/>
      <c r="E265" s="78" t="str">
        <f>IF($A265=0,"",VLOOKUP($A265,'BASE MATERIAL'!$A:$D,3))</f>
        <v/>
      </c>
      <c r="F265" s="55"/>
      <c r="G265" s="55" t="str">
        <f>IF($A265=0,"",VLOOKUP($A265,'BASE MATERIAL'!$A:$D,4))</f>
        <v/>
      </c>
      <c r="H265" s="56" t="str">
        <f t="shared" si="24"/>
        <v/>
      </c>
      <c r="I265" s="2"/>
    </row>
    <row r="266" spans="1:16" x14ac:dyDescent="0.25">
      <c r="B266" s="38" t="str">
        <f>IF($A266=0,"",VLOOKUP($A266,'BASE MATERIAL'!$A:$D,2))</f>
        <v/>
      </c>
      <c r="C266" s="2"/>
      <c r="D266" s="77"/>
      <c r="E266" s="78" t="str">
        <f>IF($A266=0,"",VLOOKUP($A266,'BASE MATERIAL'!$A:$D,3))</f>
        <v/>
      </c>
      <c r="F266" s="55"/>
      <c r="G266" s="55" t="str">
        <f>IF($A266=0,"",VLOOKUP($A266,'BASE MATERIAL'!$A:$D,4))</f>
        <v/>
      </c>
      <c r="H266" s="56" t="str">
        <f t="shared" si="24"/>
        <v/>
      </c>
      <c r="I266" s="2"/>
    </row>
    <row r="267" spans="1:16" x14ac:dyDescent="0.25">
      <c r="B267" s="38" t="str">
        <f>IF($A267=0,"",VLOOKUP($A267,'BASE MATERIAL'!$A:$D,2))</f>
        <v/>
      </c>
      <c r="C267" s="2"/>
      <c r="D267" s="77"/>
      <c r="E267" s="78" t="str">
        <f>IF($A267=0,"",VLOOKUP($A267,'BASE MATERIAL'!$A:$D,3))</f>
        <v/>
      </c>
      <c r="F267" s="55"/>
      <c r="G267" s="55" t="str">
        <f>IF($A267=0,"",VLOOKUP($A267,'BASE MATERIAL'!$A:$D,4))</f>
        <v/>
      </c>
      <c r="H267" s="56" t="str">
        <f t="shared" si="24"/>
        <v/>
      </c>
      <c r="I267" s="2"/>
    </row>
    <row r="268" spans="1:16" x14ac:dyDescent="0.25">
      <c r="B268" s="38" t="str">
        <f>IF($A268=0,"",VLOOKUP($A268,'BASE MATERIAL'!$A:$D,2))</f>
        <v/>
      </c>
      <c r="C268" s="2"/>
      <c r="D268" s="81" t="s">
        <v>1682</v>
      </c>
      <c r="E268" s="55" t="str">
        <f>IF($A268=0,"",VLOOKUP($A268,'BASE MATERIAL'!$A:$D,3))</f>
        <v/>
      </c>
      <c r="F268" s="55" t="s">
        <v>1682</v>
      </c>
      <c r="G268" s="55" t="str">
        <f>IF($A268=0,"",VLOOKUP($A268,'BASE MATERIAL'!$A:$D,4))</f>
        <v/>
      </c>
      <c r="H268" s="56" t="str">
        <f>IF($A268=0,"",ROUND(E268*F268,2))</f>
        <v/>
      </c>
      <c r="I268" s="2"/>
    </row>
    <row r="269" spans="1:16" x14ac:dyDescent="0.25">
      <c r="B269" s="73" t="s">
        <v>1681</v>
      </c>
      <c r="C269" s="65"/>
      <c r="D269" s="74"/>
      <c r="E269" s="74"/>
      <c r="F269" s="74"/>
      <c r="G269" s="74"/>
      <c r="H269" s="75">
        <f>ROUND(SUM(H252:H268),2)</f>
        <v>10.49</v>
      </c>
      <c r="I269" s="2"/>
    </row>
    <row r="270" spans="1:16" x14ac:dyDescent="0.25">
      <c r="B270" s="38" t="s">
        <v>1680</v>
      </c>
      <c r="C270" s="2"/>
      <c r="D270" s="3"/>
      <c r="E270" s="3"/>
      <c r="F270" s="3"/>
      <c r="G270" s="3"/>
      <c r="H270" s="56"/>
      <c r="I270" s="2"/>
    </row>
    <row r="271" spans="1:16" ht="25.5" x14ac:dyDescent="0.25">
      <c r="B271" s="64" t="s">
        <v>1409</v>
      </c>
      <c r="C271" s="65"/>
      <c r="D271" s="76"/>
      <c r="E271" s="66" t="s">
        <v>1408</v>
      </c>
      <c r="F271" s="66" t="s">
        <v>1679</v>
      </c>
      <c r="G271" s="66" t="s">
        <v>1676</v>
      </c>
      <c r="H271" s="68" t="s">
        <v>1675</v>
      </c>
      <c r="I271" s="2"/>
    </row>
    <row r="272" spans="1:16" x14ac:dyDescent="0.25">
      <c r="A272" s="103">
        <v>19019</v>
      </c>
      <c r="B272" s="51" t="str">
        <f>IF($A272=0,"",VLOOKUP($A272,'BASE EQUIPO'!$A:$D,2))</f>
        <v>TRANSPORTE DE MATERIAL</v>
      </c>
      <c r="C272" s="52"/>
      <c r="D272" s="82"/>
      <c r="E272" s="78" t="str">
        <f>IF($A272=0,"",VLOOKUP($A272,'BASE EQUIPO'!$A:$D,3))</f>
        <v>GLOBAL</v>
      </c>
      <c r="F272" s="55">
        <v>1</v>
      </c>
      <c r="G272" s="83">
        <f>IF($A272=0,"",VLOOKUP($A272,'BASE EQUIPO'!$A:$D,4)*H269)</f>
        <v>0.31469999999999998</v>
      </c>
      <c r="H272" s="56">
        <f>IF($A272=0,"",ROUND(F272*G272,2))</f>
        <v>0.31</v>
      </c>
      <c r="I272" s="2"/>
    </row>
    <row r="273" spans="1:15" x14ac:dyDescent="0.25">
      <c r="B273" s="38" t="str">
        <f>IF($A273=0,"",VLOOKUP($A273,'BASE EQUIPO'!$A:$D,2))</f>
        <v/>
      </c>
      <c r="C273" s="2"/>
      <c r="D273" s="84"/>
      <c r="E273" s="78" t="str">
        <f>IF($A273=0,"",VLOOKUP($A273,'BASE EQUIPO'!$A:$D,3))</f>
        <v/>
      </c>
      <c r="F273" s="55"/>
      <c r="G273" s="55" t="str">
        <f>IF($A273=0,"",VLOOKUP($A273,'BASE EQUIPO'!$A:$D,4)*H270)</f>
        <v/>
      </c>
      <c r="H273" s="56" t="str">
        <f>IF($A273=0,"",ROUND(F273*G273,2))</f>
        <v/>
      </c>
      <c r="I273" s="2"/>
    </row>
    <row r="274" spans="1:15" x14ac:dyDescent="0.25">
      <c r="B274" s="57" t="str">
        <f>IF($A274=0,"",VLOOKUP($A274,'BASE EQUIPO'!$A:$D,2))</f>
        <v/>
      </c>
      <c r="C274" s="58"/>
      <c r="D274" s="85"/>
      <c r="E274" s="86" t="str">
        <f>IF($A274=0,"",VLOOKUP($A274,'BASE EQUIPO'!$A:$D,3))</f>
        <v/>
      </c>
      <c r="F274" s="59"/>
      <c r="G274" s="59" t="str">
        <f>IF($A274=0,"",VLOOKUP($A274,'BASE EQUIPO'!$A:$D,4)*H271)</f>
        <v/>
      </c>
      <c r="H274" s="60" t="str">
        <f>IF($A274=0,"",ROUND(F274*G274,2))</f>
        <v/>
      </c>
      <c r="I274" s="2"/>
    </row>
    <row r="275" spans="1:15" ht="15.75" thickBot="1" x14ac:dyDescent="0.3">
      <c r="B275" s="87" t="s">
        <v>1674</v>
      </c>
      <c r="C275" s="88"/>
      <c r="D275" s="89"/>
      <c r="E275" s="89"/>
      <c r="F275" s="89"/>
      <c r="G275" s="89"/>
      <c r="H275" s="90">
        <f>ROUND(SUM(H271:H274),2)</f>
        <v>0.31</v>
      </c>
      <c r="I275" s="2"/>
    </row>
    <row r="276" spans="1:15" ht="15.75" x14ac:dyDescent="0.25">
      <c r="B276" s="2"/>
      <c r="C276" s="2"/>
      <c r="D276" s="91" t="s">
        <v>1673</v>
      </c>
      <c r="E276" s="47"/>
      <c r="F276" s="47"/>
      <c r="G276" s="47"/>
      <c r="H276" s="92">
        <f>ROUND(SUM(H275,H269,H250,H240),2)</f>
        <v>26.39</v>
      </c>
      <c r="I276" s="2"/>
    </row>
    <row r="277" spans="1:15" ht="15.75" x14ac:dyDescent="0.25">
      <c r="A277" s="103">
        <v>40002</v>
      </c>
      <c r="B277" s="2"/>
      <c r="C277" s="2"/>
      <c r="D277" s="93" t="s">
        <v>1672</v>
      </c>
      <c r="E277" s="65"/>
      <c r="F277" s="65"/>
      <c r="G277" s="94">
        <f>IF($A277=0,"",VLOOKUP($A277,'BASE MATERIAL'!$M:$P,4))</f>
        <v>0</v>
      </c>
      <c r="H277" s="95">
        <f>IF($A277=0,"",ROUND(G277*H276,2))</f>
        <v>0</v>
      </c>
      <c r="I277" s="2"/>
    </row>
    <row r="278" spans="1:15" ht="15.75" x14ac:dyDescent="0.25">
      <c r="A278" s="103">
        <v>40003</v>
      </c>
      <c r="B278" s="2"/>
      <c r="C278" s="2"/>
      <c r="D278" s="93" t="s">
        <v>1671</v>
      </c>
      <c r="E278" s="65"/>
      <c r="F278" s="65"/>
      <c r="G278" s="94">
        <f>IF($A278=0,"",VLOOKUP($A278,'BASE MATERIAL'!$M:$P,4))</f>
        <v>0</v>
      </c>
      <c r="H278" s="95">
        <f>IF($A278=0,"",ROUND(G278*H276,2))</f>
        <v>0</v>
      </c>
      <c r="I278" s="2"/>
    </row>
    <row r="279" spans="1:15" ht="15.75" x14ac:dyDescent="0.25">
      <c r="B279" s="2"/>
      <c r="C279" s="2"/>
      <c r="D279" s="93" t="s">
        <v>1670</v>
      </c>
      <c r="E279" s="65"/>
      <c r="F279" s="65"/>
      <c r="G279" s="65"/>
      <c r="H279" s="96">
        <f>ROUND(SUM(H276:H278),2)</f>
        <v>26.39</v>
      </c>
      <c r="I279" s="2"/>
    </row>
    <row r="280" spans="1:15" ht="16.5" thickBot="1" x14ac:dyDescent="0.3">
      <c r="B280" s="25"/>
      <c r="C280" s="2"/>
      <c r="D280" s="97" t="s">
        <v>1650</v>
      </c>
      <c r="E280" s="88"/>
      <c r="F280" s="88"/>
      <c r="G280" s="88"/>
      <c r="H280" s="98">
        <f>ROUND(H279,2)</f>
        <v>26.39</v>
      </c>
      <c r="I280" s="2"/>
    </row>
    <row r="281" spans="1:15" ht="15.75" x14ac:dyDescent="0.25">
      <c r="B281" s="34" t="s">
        <v>1701</v>
      </c>
      <c r="C281" s="2"/>
      <c r="D281" s="3" t="str">
        <f>$D$1</f>
        <v>ESPOL</v>
      </c>
      <c r="E281" s="2"/>
      <c r="F281" s="2"/>
      <c r="H281" s="2" t="s">
        <v>108</v>
      </c>
      <c r="I281" s="2"/>
      <c r="L281" s="40">
        <f>A285</f>
        <v>7</v>
      </c>
      <c r="M281" s="1" t="str">
        <f>C286</f>
        <v>Puntos de 3/4" APF</v>
      </c>
      <c r="N281" s="2" t="str">
        <f>H285</f>
        <v>U</v>
      </c>
      <c r="O281" s="2">
        <f>H336</f>
        <v>28.86</v>
      </c>
    </row>
    <row r="282" spans="1:15" ht="15.75" x14ac:dyDescent="0.25">
      <c r="B282" s="34" t="s">
        <v>1700</v>
      </c>
      <c r="C282" s="3">
        <f>'1.1'!$C$2</f>
        <v>0</v>
      </c>
      <c r="D282" s="2"/>
      <c r="E282" s="2"/>
      <c r="F282" s="2"/>
      <c r="G282" s="41" t="s">
        <v>1699</v>
      </c>
      <c r="H282" s="42"/>
      <c r="I282" s="2" t="s">
        <v>1698</v>
      </c>
    </row>
    <row r="283" spans="1:15" ht="15.75" x14ac:dyDescent="0.25">
      <c r="B283" s="34"/>
      <c r="C283" s="3">
        <f>'1.1'!$C$3</f>
        <v>0</v>
      </c>
      <c r="D283" s="2"/>
      <c r="E283" s="2"/>
      <c r="F283" s="2"/>
      <c r="G283" s="2"/>
      <c r="H283" s="2"/>
      <c r="I283" s="2"/>
    </row>
    <row r="284" spans="1:15" ht="15.75" x14ac:dyDescent="0.25">
      <c r="B284" s="34" t="s">
        <v>1697</v>
      </c>
      <c r="C284" s="3"/>
      <c r="D284" s="2"/>
      <c r="E284" s="2"/>
      <c r="F284" s="2"/>
      <c r="G284" s="2"/>
      <c r="H284" s="2"/>
      <c r="I284" s="2"/>
    </row>
    <row r="285" spans="1:15" x14ac:dyDescent="0.25">
      <c r="A285" s="104">
        <v>7</v>
      </c>
      <c r="B285" s="2" t="s">
        <v>1586</v>
      </c>
      <c r="C285" s="101" t="s">
        <v>705</v>
      </c>
      <c r="D285" s="2"/>
      <c r="G285" s="2" t="s">
        <v>1696</v>
      </c>
      <c r="H285" s="3" t="s">
        <v>744</v>
      </c>
      <c r="I285" s="2"/>
    </row>
    <row r="286" spans="1:15" x14ac:dyDescent="0.25">
      <c r="B286" s="1" t="s">
        <v>1585</v>
      </c>
      <c r="C286" s="36" t="s">
        <v>1448</v>
      </c>
      <c r="D286" s="2"/>
      <c r="E286" s="2"/>
      <c r="F286" s="2"/>
      <c r="G286" s="2"/>
      <c r="H286" s="2"/>
      <c r="I286" s="2"/>
    </row>
    <row r="287" spans="1:15" ht="15.75" thickBot="1" x14ac:dyDescent="0.3">
      <c r="D287" s="2"/>
      <c r="E287" s="2"/>
      <c r="F287" s="2"/>
      <c r="G287" s="2"/>
      <c r="H287" s="2"/>
      <c r="I287" s="2"/>
    </row>
    <row r="288" spans="1:15" ht="15.75" thickBot="1" x14ac:dyDescent="0.3">
      <c r="B288" s="43" t="s">
        <v>1695</v>
      </c>
      <c r="C288" s="44"/>
      <c r="D288" s="44"/>
      <c r="E288" s="44"/>
      <c r="F288" s="44"/>
      <c r="G288" s="44"/>
      <c r="H288" s="45"/>
      <c r="I288" s="2"/>
    </row>
    <row r="289" spans="1:9" ht="25.5" x14ac:dyDescent="0.25">
      <c r="B289" s="46" t="s">
        <v>1409</v>
      </c>
      <c r="C289" s="47"/>
      <c r="D289" s="48" t="s">
        <v>1690</v>
      </c>
      <c r="E289" s="48" t="s">
        <v>1694</v>
      </c>
      <c r="F289" s="48" t="s">
        <v>1693</v>
      </c>
      <c r="G289" s="49" t="s">
        <v>1687</v>
      </c>
      <c r="H289" s="50" t="s">
        <v>1686</v>
      </c>
      <c r="I289" s="2"/>
    </row>
    <row r="290" spans="1:9" x14ac:dyDescent="0.25">
      <c r="A290" s="103">
        <v>19015</v>
      </c>
      <c r="B290" s="51" t="str">
        <f>IF($A290=0,"",VLOOKUP($A290,'BASE EQUIPO'!$A:$D,2))</f>
        <v>HERRAMIENTA MENOR</v>
      </c>
      <c r="C290" s="52"/>
      <c r="D290" s="53">
        <v>1</v>
      </c>
      <c r="E290" s="53">
        <f>IF($A290=0,"",VLOOKUP($A290,'BASE EQUIPO'!$A:$D,4)*H306)</f>
        <v>0.45419999999999999</v>
      </c>
      <c r="F290" s="53">
        <f t="shared" ref="F290:F295" si="25">IF($A290=0,"",ROUND(D290*E290,2))</f>
        <v>0.45</v>
      </c>
      <c r="G290" s="105">
        <v>1</v>
      </c>
      <c r="H290" s="54">
        <f t="shared" ref="H290:H295" si="26">IF($A290=0,"",ROUND(G290*F290,2))</f>
        <v>0.45</v>
      </c>
      <c r="I290" s="2"/>
    </row>
    <row r="291" spans="1:9" x14ac:dyDescent="0.25">
      <c r="B291" s="38" t="str">
        <f>IF($A291=0,"",VLOOKUP($A291,'BASE EQUIPO'!$A:$D,2))</f>
        <v/>
      </c>
      <c r="C291" s="2"/>
      <c r="D291" s="55"/>
      <c r="E291" s="55" t="str">
        <f>IF($A291=0,"",VLOOKUP($A291,'BASE EQUIPO'!$A:$D,4))</f>
        <v/>
      </c>
      <c r="F291" s="55" t="str">
        <f t="shared" si="25"/>
        <v/>
      </c>
      <c r="G291" s="106"/>
      <c r="H291" s="56" t="str">
        <f t="shared" si="26"/>
        <v/>
      </c>
      <c r="I291" s="2"/>
    </row>
    <row r="292" spans="1:9" x14ac:dyDescent="0.25">
      <c r="B292" s="38" t="str">
        <f>IF($A292=0,"",VLOOKUP($A292,'BASE EQUIPO'!$A:$D,2))</f>
        <v/>
      </c>
      <c r="C292" s="2"/>
      <c r="D292" s="55"/>
      <c r="E292" s="55" t="str">
        <f>IF($A292=0,"",VLOOKUP($A292,'BASE EQUIPO'!$A:$D,4))</f>
        <v/>
      </c>
      <c r="F292" s="55" t="str">
        <f t="shared" si="25"/>
        <v/>
      </c>
      <c r="G292" s="106"/>
      <c r="H292" s="56" t="str">
        <f t="shared" si="26"/>
        <v/>
      </c>
      <c r="I292" s="2"/>
    </row>
    <row r="293" spans="1:9" x14ac:dyDescent="0.25">
      <c r="B293" s="38" t="str">
        <f>IF($A293=0,"",VLOOKUP($A293,'BASE EQUIPO'!$A:$D,2))</f>
        <v/>
      </c>
      <c r="C293" s="2"/>
      <c r="D293" s="55"/>
      <c r="E293" s="55" t="str">
        <f>IF($A293=0,"",VLOOKUP($A293,'BASE EQUIPO'!$A:$D,4))</f>
        <v/>
      </c>
      <c r="F293" s="55" t="str">
        <f t="shared" si="25"/>
        <v/>
      </c>
      <c r="G293" s="106"/>
      <c r="H293" s="56" t="str">
        <f t="shared" si="26"/>
        <v/>
      </c>
      <c r="I293" s="2"/>
    </row>
    <row r="294" spans="1:9" x14ac:dyDescent="0.25">
      <c r="B294" s="38" t="str">
        <f>IF($A294=0,"",VLOOKUP($A294,'BASE EQUIPO'!$A:$D,2))</f>
        <v/>
      </c>
      <c r="C294" s="2"/>
      <c r="D294" s="55"/>
      <c r="E294" s="55" t="str">
        <f>IF($A294=0,"",VLOOKUP($A294,'BASE EQUIPO'!$A:$D,4))</f>
        <v/>
      </c>
      <c r="F294" s="55" t="str">
        <f t="shared" si="25"/>
        <v/>
      </c>
      <c r="G294" s="106"/>
      <c r="H294" s="56" t="str">
        <f t="shared" si="26"/>
        <v/>
      </c>
      <c r="I294" s="2"/>
    </row>
    <row r="295" spans="1:9" x14ac:dyDescent="0.25">
      <c r="B295" s="57" t="str">
        <f>IF($A295=0,"",VLOOKUP($A295,'BASE EQUIPO'!$A:$D,2))</f>
        <v/>
      </c>
      <c r="C295" s="58"/>
      <c r="D295" s="59"/>
      <c r="E295" s="59" t="str">
        <f>IF($A295=0,"",VLOOKUP($A295,'BASE EQUIPO'!$A:$D,4))</f>
        <v/>
      </c>
      <c r="F295" s="59" t="str">
        <f t="shared" si="25"/>
        <v/>
      </c>
      <c r="G295" s="107"/>
      <c r="H295" s="60" t="str">
        <f t="shared" si="26"/>
        <v/>
      </c>
      <c r="I295" s="2"/>
    </row>
    <row r="296" spans="1:9" x14ac:dyDescent="0.25">
      <c r="B296" s="57" t="s">
        <v>1692</v>
      </c>
      <c r="C296" s="58"/>
      <c r="D296" s="61"/>
      <c r="E296" s="61"/>
      <c r="F296" s="61"/>
      <c r="G296" s="62"/>
      <c r="H296" s="60">
        <f>ROUND(SUM(H289:H295),2)</f>
        <v>0.45</v>
      </c>
      <c r="I296" s="2"/>
    </row>
    <row r="297" spans="1:9" x14ac:dyDescent="0.25">
      <c r="B297" s="38" t="s">
        <v>1503</v>
      </c>
      <c r="C297" s="2"/>
      <c r="D297" s="3"/>
      <c r="E297" s="3"/>
      <c r="F297" s="3"/>
      <c r="G297" s="63"/>
      <c r="H297" s="56"/>
      <c r="I297" s="2"/>
    </row>
    <row r="298" spans="1:9" ht="25.5" x14ac:dyDescent="0.25">
      <c r="B298" s="64" t="s">
        <v>1691</v>
      </c>
      <c r="C298" s="65"/>
      <c r="D298" s="66" t="s">
        <v>1690</v>
      </c>
      <c r="E298" s="66" t="s">
        <v>1689</v>
      </c>
      <c r="F298" s="66" t="s">
        <v>1688</v>
      </c>
      <c r="G298" s="67" t="s">
        <v>1687</v>
      </c>
      <c r="H298" s="68" t="s">
        <v>1686</v>
      </c>
      <c r="I298" s="2"/>
    </row>
    <row r="299" spans="1:9" x14ac:dyDescent="0.25">
      <c r="B299" s="69" t="str">
        <f>IF($A299=0,"",VLOOKUP($A299,'BASE M-OBRA'!$A:$D,2))</f>
        <v/>
      </c>
      <c r="C299" s="2"/>
      <c r="D299" s="108"/>
      <c r="E299" s="70" t="str">
        <f>IF($A299=0,"",VLOOKUP($A299,'BASE M-OBRA'!$A:$D,4))</f>
        <v/>
      </c>
      <c r="F299" s="55" t="str">
        <f t="shared" ref="F299:F305" si="27">IF($A299=0,"",ROUND(D299*E299,2))</f>
        <v/>
      </c>
      <c r="G299" s="106" t="str">
        <f>IF($A299=0,"",ROUND(H299/F299,2))</f>
        <v/>
      </c>
      <c r="H299" s="56" t="str">
        <f>IF($A299=0,"",ROUND(SUM(H300:H305)*'BASE M-OBRA'!$D$23,2))</f>
        <v/>
      </c>
      <c r="I299" s="2"/>
    </row>
    <row r="300" spans="1:9" x14ac:dyDescent="0.25">
      <c r="A300" s="103">
        <v>20011</v>
      </c>
      <c r="B300" s="69" t="str">
        <f>IF($A300=0,"",VLOOKUP($A300,'BASE M-OBRA'!$A:$D,2))</f>
        <v>AYUDANTE ESPECIALISTA</v>
      </c>
      <c r="C300" s="2"/>
      <c r="D300" s="108">
        <v>1</v>
      </c>
      <c r="E300" s="70">
        <f>IF($A300=0,"",VLOOKUP($A300,'BASE M-OBRA'!$A:$D,4))</f>
        <v>2.79</v>
      </c>
      <c r="F300" s="55">
        <f t="shared" si="27"/>
        <v>2.79</v>
      </c>
      <c r="G300" s="106">
        <v>2.7</v>
      </c>
      <c r="H300" s="56">
        <f t="shared" ref="H300:H305" si="28">IF($A300=0,"",ROUND(G300*F300,2))</f>
        <v>7.53</v>
      </c>
      <c r="I300" s="2"/>
    </row>
    <row r="301" spans="1:9" x14ac:dyDescent="0.25">
      <c r="A301" s="103">
        <v>20016</v>
      </c>
      <c r="B301" s="69" t="str">
        <f>IF($A301=0,"",VLOOKUP($A301,'BASE M-OBRA'!$A:$D,2))</f>
        <v>GAFITERO</v>
      </c>
      <c r="C301" s="2"/>
      <c r="D301" s="108">
        <v>1</v>
      </c>
      <c r="E301" s="70">
        <f>IF($A301=0,"",VLOOKUP($A301,'BASE M-OBRA'!$A:$D,4))</f>
        <v>2.82</v>
      </c>
      <c r="F301" s="55">
        <f t="shared" si="27"/>
        <v>2.82</v>
      </c>
      <c r="G301" s="106">
        <f>+G300</f>
        <v>2.7</v>
      </c>
      <c r="H301" s="56">
        <f t="shared" si="28"/>
        <v>7.61</v>
      </c>
      <c r="I301" s="2"/>
    </row>
    <row r="302" spans="1:9" x14ac:dyDescent="0.25">
      <c r="B302" s="71" t="str">
        <f>IF($A302=0,"",VLOOKUP($A302,'BASE M-OBRA'!$A:$D,2))</f>
        <v/>
      </c>
      <c r="C302" s="2"/>
      <c r="D302" s="108"/>
      <c r="E302" s="70" t="str">
        <f>IF($A302=0,"",VLOOKUP($A302,'BASE M-OBRA'!$A:$D,4))</f>
        <v/>
      </c>
      <c r="F302" s="55" t="str">
        <f t="shared" si="27"/>
        <v/>
      </c>
      <c r="G302" s="106"/>
      <c r="H302" s="56" t="str">
        <f t="shared" si="28"/>
        <v/>
      </c>
      <c r="I302" s="2"/>
    </row>
    <row r="303" spans="1:9" x14ac:dyDescent="0.25">
      <c r="B303" s="72" t="str">
        <f>IF($A303=0,"",VLOOKUP($A303,'BASE M-OBRA'!$A:$D,2))</f>
        <v/>
      </c>
      <c r="C303" s="2"/>
      <c r="D303" s="108"/>
      <c r="E303" s="70" t="str">
        <f>IF($A303=0,"",VLOOKUP($A303,'BASE M-OBRA'!$A:$D,4))</f>
        <v/>
      </c>
      <c r="F303" s="55" t="str">
        <f t="shared" si="27"/>
        <v/>
      </c>
      <c r="G303" s="106"/>
      <c r="H303" s="56" t="str">
        <f t="shared" si="28"/>
        <v/>
      </c>
      <c r="I303" s="2"/>
    </row>
    <row r="304" spans="1:9" x14ac:dyDescent="0.25">
      <c r="B304" s="38" t="str">
        <f>IF($A304=0,"",VLOOKUP($A304,'BASE M-OBRA'!$A:$D,2))</f>
        <v/>
      </c>
      <c r="C304" s="2"/>
      <c r="D304" s="55"/>
      <c r="E304" s="55" t="str">
        <f>IF($A304=0,"",VLOOKUP($A304,'BASE M-OBRA'!$A:$D,4))</f>
        <v/>
      </c>
      <c r="F304" s="55" t="str">
        <f t="shared" si="27"/>
        <v/>
      </c>
      <c r="G304" s="106"/>
      <c r="H304" s="56" t="str">
        <f t="shared" si="28"/>
        <v/>
      </c>
      <c r="I304" s="2"/>
    </row>
    <row r="305" spans="1:16" x14ac:dyDescent="0.25">
      <c r="B305" s="57" t="str">
        <f>IF($A305=0,"",VLOOKUP($A305,'BASE M-OBRA'!$A:$D,2))</f>
        <v/>
      </c>
      <c r="C305" s="58"/>
      <c r="D305" s="59"/>
      <c r="E305" s="59" t="str">
        <f>IF($A305=0,"",VLOOKUP($A305,'BASE M-OBRA'!$A:$D,4))</f>
        <v/>
      </c>
      <c r="F305" s="59" t="str">
        <f t="shared" si="27"/>
        <v/>
      </c>
      <c r="G305" s="107"/>
      <c r="H305" s="60" t="str">
        <f t="shared" si="28"/>
        <v/>
      </c>
      <c r="I305" s="2"/>
    </row>
    <row r="306" spans="1:16" x14ac:dyDescent="0.25">
      <c r="B306" s="73" t="s">
        <v>1685</v>
      </c>
      <c r="C306" s="65"/>
      <c r="D306" s="74"/>
      <c r="E306" s="74"/>
      <c r="F306" s="74"/>
      <c r="G306" s="74"/>
      <c r="H306" s="75">
        <f>ROUND(SUM(H298:H305),2)</f>
        <v>15.14</v>
      </c>
      <c r="I306" s="2"/>
    </row>
    <row r="307" spans="1:16" x14ac:dyDescent="0.25">
      <c r="B307" s="38" t="s">
        <v>1684</v>
      </c>
      <c r="C307" s="2"/>
      <c r="D307" s="3"/>
      <c r="E307" s="3"/>
      <c r="F307" s="3"/>
      <c r="G307" s="3"/>
      <c r="H307" s="56"/>
      <c r="I307" s="2"/>
    </row>
    <row r="308" spans="1:16" ht="25.5" x14ac:dyDescent="0.25">
      <c r="B308" s="64" t="s">
        <v>1409</v>
      </c>
      <c r="C308" s="65"/>
      <c r="D308" s="76"/>
      <c r="E308" s="66" t="s">
        <v>1408</v>
      </c>
      <c r="F308" s="66" t="s">
        <v>1679</v>
      </c>
      <c r="G308" s="66" t="s">
        <v>1683</v>
      </c>
      <c r="H308" s="68" t="s">
        <v>1675</v>
      </c>
      <c r="I308" s="2"/>
    </row>
    <row r="309" spans="1:16" x14ac:dyDescent="0.25">
      <c r="A309" s="103">
        <v>15009</v>
      </c>
      <c r="B309" s="38" t="str">
        <f>IF($A309=0,"",VLOOKUP($A309,'BASE MATERIAL'!$A:$D,2))</f>
        <v>TUBO   PVC    3/4 ROSCABLE</v>
      </c>
      <c r="C309" s="2"/>
      <c r="D309" s="77"/>
      <c r="E309" s="78" t="str">
        <f>IF($A309=0,"",VLOOKUP($A309,'BASE MATERIAL'!$A:$D,3))</f>
        <v>U</v>
      </c>
      <c r="F309" s="55">
        <v>0.5</v>
      </c>
      <c r="G309" s="55">
        <f>IF($A309=0,"",VLOOKUP($A309,'BASE MATERIAL'!$A:$D,4))</f>
        <v>13.23</v>
      </c>
      <c r="H309" s="56">
        <f t="shared" ref="H309:H315" si="29">IF($A309=0,"",ROUND(F309*G309,2))</f>
        <v>6.62</v>
      </c>
      <c r="I309" s="2"/>
      <c r="L309" s="2"/>
      <c r="M309" s="2"/>
      <c r="N309" s="39"/>
      <c r="O309" s="2"/>
      <c r="P309" s="2"/>
    </row>
    <row r="310" spans="1:16" x14ac:dyDescent="0.25">
      <c r="A310" s="103">
        <v>1</v>
      </c>
      <c r="B310" s="38" t="s">
        <v>20</v>
      </c>
      <c r="C310" s="2"/>
      <c r="D310" s="77"/>
      <c r="E310" s="78" t="s">
        <v>5</v>
      </c>
      <c r="F310" s="55">
        <v>4</v>
      </c>
      <c r="G310" s="55">
        <v>0.93979999999999997</v>
      </c>
      <c r="H310" s="56">
        <f t="shared" si="29"/>
        <v>3.76</v>
      </c>
      <c r="I310" s="2"/>
      <c r="L310" s="2"/>
      <c r="M310" s="2"/>
      <c r="N310" s="39"/>
      <c r="O310" s="2"/>
      <c r="P310" s="2"/>
    </row>
    <row r="311" spans="1:16" x14ac:dyDescent="0.25">
      <c r="B311" s="38"/>
      <c r="C311" s="2"/>
      <c r="D311" s="77"/>
      <c r="E311" s="78"/>
      <c r="F311" s="55"/>
      <c r="G311" s="55"/>
      <c r="H311" s="56" t="str">
        <f t="shared" si="29"/>
        <v/>
      </c>
      <c r="I311" s="2"/>
      <c r="L311" s="2"/>
      <c r="M311" s="2"/>
      <c r="N311" s="39"/>
      <c r="O311" s="2"/>
      <c r="P311" s="2"/>
    </row>
    <row r="312" spans="1:16" x14ac:dyDescent="0.25">
      <c r="A312" s="103">
        <v>1</v>
      </c>
      <c r="B312" s="38" t="s">
        <v>18</v>
      </c>
      <c r="C312" s="2"/>
      <c r="D312" s="77"/>
      <c r="E312" s="78" t="s">
        <v>5</v>
      </c>
      <c r="F312" s="55">
        <v>1</v>
      </c>
      <c r="G312" s="55">
        <v>1.0413999999999999</v>
      </c>
      <c r="H312" s="56">
        <f t="shared" si="29"/>
        <v>1.04</v>
      </c>
      <c r="I312" s="2"/>
      <c r="L312" s="2"/>
      <c r="M312" s="2"/>
      <c r="N312" s="39"/>
      <c r="O312" s="2"/>
      <c r="P312" s="2"/>
    </row>
    <row r="313" spans="1:16" x14ac:dyDescent="0.25">
      <c r="A313" s="103">
        <v>1</v>
      </c>
      <c r="B313" s="38" t="s">
        <v>17</v>
      </c>
      <c r="C313" s="2"/>
      <c r="D313" s="77"/>
      <c r="E313" s="78" t="s">
        <v>5</v>
      </c>
      <c r="F313" s="55">
        <v>1</v>
      </c>
      <c r="G313" s="55">
        <v>0.33019999999999999</v>
      </c>
      <c r="H313" s="56">
        <f t="shared" si="29"/>
        <v>0.33</v>
      </c>
      <c r="I313" s="2"/>
      <c r="L313" s="2"/>
      <c r="M313" s="2"/>
      <c r="N313" s="39"/>
      <c r="O313" s="2"/>
      <c r="P313" s="2"/>
    </row>
    <row r="314" spans="1:16" x14ac:dyDescent="0.25">
      <c r="A314" s="103">
        <v>1</v>
      </c>
      <c r="B314" s="38" t="s">
        <v>1</v>
      </c>
      <c r="C314" s="2"/>
      <c r="D314" s="77"/>
      <c r="E314" s="78" t="s">
        <v>0</v>
      </c>
      <c r="F314" s="55">
        <v>0.5</v>
      </c>
      <c r="G314" s="55">
        <v>0.25</v>
      </c>
      <c r="H314" s="56">
        <f t="shared" si="29"/>
        <v>0.13</v>
      </c>
      <c r="I314" s="2"/>
      <c r="L314" s="2"/>
      <c r="M314" s="2"/>
      <c r="N314" s="39"/>
      <c r="O314" s="2"/>
      <c r="P314" s="2"/>
    </row>
    <row r="315" spans="1:16" x14ac:dyDescent="0.25">
      <c r="A315" s="103">
        <v>1</v>
      </c>
      <c r="B315" s="38" t="s">
        <v>16</v>
      </c>
      <c r="C315" s="2"/>
      <c r="D315" s="77"/>
      <c r="E315" s="78" t="s">
        <v>5</v>
      </c>
      <c r="F315" s="55">
        <v>0.1</v>
      </c>
      <c r="G315" s="55">
        <v>10</v>
      </c>
      <c r="H315" s="56">
        <f t="shared" si="29"/>
        <v>1</v>
      </c>
      <c r="I315" s="2"/>
      <c r="L315" s="2"/>
      <c r="M315" s="2"/>
      <c r="N315" s="39"/>
      <c r="O315" s="2"/>
      <c r="P315" s="2"/>
    </row>
    <row r="316" spans="1:16" x14ac:dyDescent="0.25">
      <c r="B316" s="38"/>
      <c r="C316" s="2"/>
      <c r="D316" s="77"/>
      <c r="E316" s="78"/>
      <c r="F316" s="55"/>
      <c r="G316" s="55"/>
      <c r="H316" s="56" t="str">
        <f t="shared" ref="H316:H323" si="30">IF($A316=0,"",ROUND(F316*G316,2))</f>
        <v/>
      </c>
      <c r="I316" s="2"/>
      <c r="L316" s="2"/>
      <c r="M316" s="2"/>
      <c r="N316" s="39"/>
      <c r="O316" s="2"/>
      <c r="P316" s="2"/>
    </row>
    <row r="317" spans="1:16" x14ac:dyDescent="0.25">
      <c r="B317" s="38"/>
      <c r="C317" s="2"/>
      <c r="D317" s="77"/>
      <c r="E317" s="78"/>
      <c r="F317" s="55"/>
      <c r="G317" s="55"/>
      <c r="H317" s="56" t="str">
        <f t="shared" si="30"/>
        <v/>
      </c>
      <c r="I317" s="2"/>
    </row>
    <row r="318" spans="1:16" x14ac:dyDescent="0.25">
      <c r="B318" s="38" t="str">
        <f>IF($A318=0,"",VLOOKUP($A318,'BASE MATERIAL'!$A:$D,2))</f>
        <v/>
      </c>
      <c r="C318" s="2"/>
      <c r="D318" s="77"/>
      <c r="E318" s="78" t="str">
        <f>IF($A318=0,"",VLOOKUP($A318,'BASE MATERIAL'!$A:$D,3))</f>
        <v/>
      </c>
      <c r="F318" s="55"/>
      <c r="G318" s="55" t="str">
        <f>IF($A318=0,"",VLOOKUP($A318,'BASE MATERIAL'!$A:$D,4))</f>
        <v/>
      </c>
      <c r="H318" s="56" t="str">
        <f t="shared" si="30"/>
        <v/>
      </c>
      <c r="I318" s="2"/>
      <c r="L318" s="2"/>
      <c r="M318" s="2"/>
      <c r="N318" s="39"/>
      <c r="O318" s="2"/>
      <c r="P318" s="2"/>
    </row>
    <row r="319" spans="1:16" x14ac:dyDescent="0.25">
      <c r="B319" s="38" t="str">
        <f>IF($A319=0,"",VLOOKUP($A319,'BASE MATERIAL'!$A:$D,2))</f>
        <v/>
      </c>
      <c r="C319" s="2"/>
      <c r="D319" s="77"/>
      <c r="E319" s="78" t="str">
        <f>IF($A319=0,"",VLOOKUP($A319,'BASE MATERIAL'!$A:$D,3))</f>
        <v/>
      </c>
      <c r="F319" s="55"/>
      <c r="G319" s="55" t="str">
        <f>IF($A319=0,"",VLOOKUP($A319,'BASE MATERIAL'!$A:$D,4))</f>
        <v/>
      </c>
      <c r="H319" s="56" t="str">
        <f t="shared" si="30"/>
        <v/>
      </c>
      <c r="I319" s="2"/>
      <c r="L319" s="2"/>
      <c r="M319" s="2"/>
      <c r="N319" s="39"/>
      <c r="O319" s="2"/>
      <c r="P319" s="2"/>
    </row>
    <row r="320" spans="1:16" x14ac:dyDescent="0.25">
      <c r="B320" s="38" t="str">
        <f>IF($A320=0,"",VLOOKUP($A320,'BASE MATERIAL'!$A:$D,2))</f>
        <v/>
      </c>
      <c r="C320" s="2"/>
      <c r="D320" s="77"/>
      <c r="E320" s="78" t="str">
        <f>IF($A320=0,"",VLOOKUP($A320,'BASE MATERIAL'!$A:$D,3))</f>
        <v/>
      </c>
      <c r="F320" s="55"/>
      <c r="G320" s="55" t="str">
        <f>IF($A320=0,"",VLOOKUP($A320,'BASE MATERIAL'!$A:$D,4))</f>
        <v/>
      </c>
      <c r="H320" s="56" t="str">
        <f t="shared" si="30"/>
        <v/>
      </c>
      <c r="I320" s="2"/>
    </row>
    <row r="321" spans="1:9" x14ac:dyDescent="0.25">
      <c r="B321" s="38" t="str">
        <f>IF($A321=0,"",VLOOKUP($A321,'BASE MATERIAL'!$A:$D,2))</f>
        <v/>
      </c>
      <c r="C321" s="2"/>
      <c r="D321" s="77"/>
      <c r="E321" s="78" t="str">
        <f>IF($A321=0,"",VLOOKUP($A321,'BASE MATERIAL'!$A:$D,3))</f>
        <v/>
      </c>
      <c r="F321" s="55"/>
      <c r="G321" s="55" t="str">
        <f>IF($A321=0,"",VLOOKUP($A321,'BASE MATERIAL'!$A:$D,4))</f>
        <v/>
      </c>
      <c r="H321" s="56" t="str">
        <f t="shared" si="30"/>
        <v/>
      </c>
      <c r="I321" s="2"/>
    </row>
    <row r="322" spans="1:9" x14ac:dyDescent="0.25">
      <c r="B322" s="38" t="str">
        <f>IF($A322=0,"",VLOOKUP($A322,'BASE MATERIAL'!$A:$D,2))</f>
        <v/>
      </c>
      <c r="C322" s="2"/>
      <c r="D322" s="77"/>
      <c r="E322" s="78" t="str">
        <f>IF($A322=0,"",VLOOKUP($A322,'BASE MATERIAL'!$A:$D,3))</f>
        <v/>
      </c>
      <c r="F322" s="55"/>
      <c r="G322" s="55" t="str">
        <f>IF($A322=0,"",VLOOKUP($A322,'BASE MATERIAL'!$A:$D,4))</f>
        <v/>
      </c>
      <c r="H322" s="56" t="str">
        <f t="shared" si="30"/>
        <v/>
      </c>
      <c r="I322" s="2"/>
    </row>
    <row r="323" spans="1:9" x14ac:dyDescent="0.25">
      <c r="B323" s="38" t="str">
        <f>IF($A323=0,"",VLOOKUP($A323,'BASE MATERIAL'!$A:$D,2))</f>
        <v/>
      </c>
      <c r="C323" s="2"/>
      <c r="D323" s="77"/>
      <c r="E323" s="78" t="str">
        <f>IF($A323=0,"",VLOOKUP($A323,'BASE MATERIAL'!$A:$D,3))</f>
        <v/>
      </c>
      <c r="F323" s="55"/>
      <c r="G323" s="55" t="str">
        <f>IF($A323=0,"",VLOOKUP($A323,'BASE MATERIAL'!$A:$D,4))</f>
        <v/>
      </c>
      <c r="H323" s="56" t="str">
        <f t="shared" si="30"/>
        <v/>
      </c>
      <c r="I323" s="2"/>
    </row>
    <row r="324" spans="1:9" x14ac:dyDescent="0.25">
      <c r="B324" s="38" t="str">
        <f>IF($A324=0,"",VLOOKUP($A324,'BASE MATERIAL'!$A:$D,2))</f>
        <v/>
      </c>
      <c r="C324" s="2"/>
      <c r="D324" s="81" t="s">
        <v>1682</v>
      </c>
      <c r="E324" s="55" t="str">
        <f>IF($A324=0,"",VLOOKUP($A324,'BASE MATERIAL'!$A:$D,3))</f>
        <v/>
      </c>
      <c r="F324" s="55" t="s">
        <v>1682</v>
      </c>
      <c r="G324" s="55" t="str">
        <f>IF($A324=0,"",VLOOKUP($A324,'BASE MATERIAL'!$A:$D,4))</f>
        <v/>
      </c>
      <c r="H324" s="56" t="str">
        <f>IF($A324=0,"",ROUND(E324*F324,2))</f>
        <v/>
      </c>
      <c r="I324" s="2"/>
    </row>
    <row r="325" spans="1:9" x14ac:dyDescent="0.25">
      <c r="B325" s="73" t="s">
        <v>1681</v>
      </c>
      <c r="C325" s="65"/>
      <c r="D325" s="74"/>
      <c r="E325" s="74"/>
      <c r="F325" s="74"/>
      <c r="G325" s="74"/>
      <c r="H325" s="75">
        <f>ROUND(SUM(H308:H324),2)</f>
        <v>12.88</v>
      </c>
      <c r="I325" s="2"/>
    </row>
    <row r="326" spans="1:9" x14ac:dyDescent="0.25">
      <c r="B326" s="38" t="s">
        <v>1680</v>
      </c>
      <c r="C326" s="2"/>
      <c r="D326" s="3"/>
      <c r="E326" s="3"/>
      <c r="F326" s="3"/>
      <c r="G326" s="3"/>
      <c r="H326" s="56"/>
      <c r="I326" s="2"/>
    </row>
    <row r="327" spans="1:9" ht="25.5" x14ac:dyDescent="0.25">
      <c r="B327" s="64" t="s">
        <v>1409</v>
      </c>
      <c r="C327" s="65"/>
      <c r="D327" s="76"/>
      <c r="E327" s="66" t="s">
        <v>1408</v>
      </c>
      <c r="F327" s="66" t="s">
        <v>1679</v>
      </c>
      <c r="G327" s="66" t="s">
        <v>1676</v>
      </c>
      <c r="H327" s="68" t="s">
        <v>1675</v>
      </c>
      <c r="I327" s="2"/>
    </row>
    <row r="328" spans="1:9" x14ac:dyDescent="0.25">
      <c r="A328" s="103">
        <v>19019</v>
      </c>
      <c r="B328" s="51" t="str">
        <f>IF($A328=0,"",VLOOKUP($A328,'BASE EQUIPO'!$A:$D,2))</f>
        <v>TRANSPORTE DE MATERIAL</v>
      </c>
      <c r="C328" s="52"/>
      <c r="D328" s="82"/>
      <c r="E328" s="78" t="str">
        <f>IF($A328=0,"",VLOOKUP($A328,'BASE EQUIPO'!$A:$D,3))</f>
        <v>GLOBAL</v>
      </c>
      <c r="F328" s="55">
        <v>1</v>
      </c>
      <c r="G328" s="83">
        <f>IF($A328=0,"",VLOOKUP($A328,'BASE EQUIPO'!$A:$D,4)*H325)</f>
        <v>0.38640000000000002</v>
      </c>
      <c r="H328" s="56">
        <f>IF($A328=0,"",ROUND(F328*G328,2))</f>
        <v>0.39</v>
      </c>
      <c r="I328" s="2"/>
    </row>
    <row r="329" spans="1:9" x14ac:dyDescent="0.25">
      <c r="B329" s="38" t="str">
        <f>IF($A329=0,"",VLOOKUP($A329,'BASE EQUIPO'!$A:$D,2))</f>
        <v/>
      </c>
      <c r="C329" s="2"/>
      <c r="D329" s="84"/>
      <c r="E329" s="78" t="str">
        <f>IF($A329=0,"",VLOOKUP($A329,'BASE EQUIPO'!$A:$D,3))</f>
        <v/>
      </c>
      <c r="F329" s="55"/>
      <c r="G329" s="55" t="str">
        <f>IF($A329=0,"",VLOOKUP($A329,'BASE EQUIPO'!$A:$D,4)*H326)</f>
        <v/>
      </c>
      <c r="H329" s="56" t="str">
        <f>IF($A329=0,"",ROUND(F329*G329,2))</f>
        <v/>
      </c>
      <c r="I329" s="2"/>
    </row>
    <row r="330" spans="1:9" x14ac:dyDescent="0.25">
      <c r="B330" s="57" t="str">
        <f>IF($A330=0,"",VLOOKUP($A330,'BASE EQUIPO'!$A:$D,2))</f>
        <v/>
      </c>
      <c r="C330" s="58"/>
      <c r="D330" s="85"/>
      <c r="E330" s="86" t="str">
        <f>IF($A330=0,"",VLOOKUP($A330,'BASE EQUIPO'!$A:$D,3))</f>
        <v/>
      </c>
      <c r="F330" s="59"/>
      <c r="G330" s="59" t="str">
        <f>IF($A330=0,"",VLOOKUP($A330,'BASE EQUIPO'!$A:$D,4)*H327)</f>
        <v/>
      </c>
      <c r="H330" s="60" t="str">
        <f>IF($A330=0,"",ROUND(F330*G330,2))</f>
        <v/>
      </c>
      <c r="I330" s="2"/>
    </row>
    <row r="331" spans="1:9" ht="15.75" thickBot="1" x14ac:dyDescent="0.3">
      <c r="B331" s="87" t="s">
        <v>1674</v>
      </c>
      <c r="C331" s="88"/>
      <c r="D331" s="89"/>
      <c r="E331" s="89"/>
      <c r="F331" s="89"/>
      <c r="G331" s="89"/>
      <c r="H331" s="90">
        <f>ROUND(SUM(H327:H330),2)</f>
        <v>0.39</v>
      </c>
      <c r="I331" s="2"/>
    </row>
    <row r="332" spans="1:9" ht="15.75" x14ac:dyDescent="0.25">
      <c r="B332" s="2"/>
      <c r="C332" s="2"/>
      <c r="D332" s="91" t="s">
        <v>1673</v>
      </c>
      <c r="E332" s="47"/>
      <c r="F332" s="47"/>
      <c r="G332" s="47"/>
      <c r="H332" s="92">
        <f>ROUND(SUM(H331,H325,H306,H296),2)</f>
        <v>28.86</v>
      </c>
      <c r="I332" s="2"/>
    </row>
    <row r="333" spans="1:9" ht="15.75" x14ac:dyDescent="0.25">
      <c r="A333" s="103">
        <v>40002</v>
      </c>
      <c r="B333" s="2"/>
      <c r="C333" s="2"/>
      <c r="D333" s="93" t="s">
        <v>1672</v>
      </c>
      <c r="E333" s="65"/>
      <c r="F333" s="65"/>
      <c r="G333" s="94">
        <f>IF($A333=0,"",VLOOKUP($A333,'BASE MATERIAL'!$M:$P,4))</f>
        <v>0</v>
      </c>
      <c r="H333" s="95">
        <f>IF($A333=0,"",ROUND(G333*H332,2))</f>
        <v>0</v>
      </c>
      <c r="I333" s="2"/>
    </row>
    <row r="334" spans="1:9" ht="15.75" x14ac:dyDescent="0.25">
      <c r="A334" s="103">
        <v>40003</v>
      </c>
      <c r="B334" s="2"/>
      <c r="C334" s="2"/>
      <c r="D334" s="93" t="s">
        <v>1671</v>
      </c>
      <c r="E334" s="65"/>
      <c r="F334" s="65"/>
      <c r="G334" s="94">
        <f>IF($A334=0,"",VLOOKUP($A334,'BASE MATERIAL'!$M:$P,4))</f>
        <v>0</v>
      </c>
      <c r="H334" s="95">
        <f>IF($A334=0,"",ROUND(G334*H332,2))</f>
        <v>0</v>
      </c>
      <c r="I334" s="2"/>
    </row>
    <row r="335" spans="1:9" ht="15.75" x14ac:dyDescent="0.25">
      <c r="B335" s="2"/>
      <c r="C335" s="2"/>
      <c r="D335" s="93" t="s">
        <v>1670</v>
      </c>
      <c r="E335" s="65"/>
      <c r="F335" s="65"/>
      <c r="G335" s="65"/>
      <c r="H335" s="96">
        <f>ROUND(SUM(H332:H334),2)</f>
        <v>28.86</v>
      </c>
      <c r="I335" s="2"/>
    </row>
    <row r="336" spans="1:9" ht="16.5" thickBot="1" x14ac:dyDescent="0.3">
      <c r="B336" s="25"/>
      <c r="C336" s="2"/>
      <c r="D336" s="97" t="s">
        <v>1650</v>
      </c>
      <c r="E336" s="88"/>
      <c r="F336" s="88"/>
      <c r="G336" s="88"/>
      <c r="H336" s="98">
        <f>ROUND(H335,2)</f>
        <v>28.86</v>
      </c>
      <c r="I336" s="2"/>
    </row>
    <row r="337" spans="1:15" ht="15.75" x14ac:dyDescent="0.25">
      <c r="B337" s="34" t="s">
        <v>1701</v>
      </c>
      <c r="C337" s="2"/>
      <c r="D337" s="3" t="str">
        <f>$D$1</f>
        <v>ESPOL</v>
      </c>
      <c r="E337" s="2"/>
      <c r="F337" s="2"/>
      <c r="H337" s="2" t="s">
        <v>108</v>
      </c>
      <c r="I337" s="2"/>
      <c r="L337" s="40">
        <f>A341</f>
        <v>10</v>
      </c>
      <c r="M337" s="1" t="str">
        <f>C342</f>
        <v>Conexión a tuberia de  agua existente</v>
      </c>
      <c r="N337" s="2" t="str">
        <f>H341</f>
        <v>U</v>
      </c>
      <c r="O337" s="2">
        <f>H392</f>
        <v>4982.32</v>
      </c>
    </row>
    <row r="338" spans="1:15" ht="15.75" x14ac:dyDescent="0.25">
      <c r="B338" s="34" t="s">
        <v>1700</v>
      </c>
      <c r="C338" s="3">
        <f>'1.1'!$C$2</f>
        <v>0</v>
      </c>
      <c r="D338" s="2"/>
      <c r="E338" s="2"/>
      <c r="F338" s="2"/>
      <c r="G338" s="41" t="s">
        <v>1699</v>
      </c>
      <c r="H338" s="42"/>
      <c r="I338" s="2" t="s">
        <v>1698</v>
      </c>
    </row>
    <row r="339" spans="1:15" ht="15.75" x14ac:dyDescent="0.25">
      <c r="B339" s="34"/>
      <c r="C339" s="3">
        <f>'1.1'!$C$3</f>
        <v>0</v>
      </c>
      <c r="D339" s="2"/>
      <c r="E339" s="2"/>
      <c r="F339" s="2"/>
      <c r="G339" s="2"/>
      <c r="H339" s="2"/>
      <c r="I339" s="2"/>
    </row>
    <row r="340" spans="1:15" ht="15.75" x14ac:dyDescent="0.25">
      <c r="B340" s="34" t="s">
        <v>1697</v>
      </c>
      <c r="C340" s="3"/>
      <c r="D340" s="2"/>
      <c r="E340" s="2"/>
      <c r="F340" s="2"/>
      <c r="G340" s="2"/>
      <c r="H340" s="2"/>
      <c r="I340" s="2"/>
    </row>
    <row r="341" spans="1:15" x14ac:dyDescent="0.25">
      <c r="A341" s="104">
        <v>10</v>
      </c>
      <c r="B341" s="2" t="s">
        <v>1586</v>
      </c>
      <c r="C341" s="101" t="s">
        <v>1651</v>
      </c>
      <c r="D341" s="2"/>
      <c r="G341" s="2" t="s">
        <v>1696</v>
      </c>
      <c r="H341" s="3" t="s">
        <v>744</v>
      </c>
      <c r="I341" s="2"/>
    </row>
    <row r="342" spans="1:15" x14ac:dyDescent="0.25">
      <c r="B342" s="1" t="s">
        <v>1585</v>
      </c>
      <c r="C342" s="36" t="s">
        <v>1435</v>
      </c>
      <c r="D342" s="2"/>
      <c r="E342" s="2"/>
      <c r="F342" s="2"/>
      <c r="G342" s="2"/>
      <c r="H342" s="2"/>
      <c r="I342" s="2"/>
    </row>
    <row r="343" spans="1:15" ht="15.75" thickBot="1" x14ac:dyDescent="0.3">
      <c r="D343" s="2"/>
      <c r="E343" s="2"/>
      <c r="F343" s="2"/>
      <c r="G343" s="2"/>
      <c r="H343" s="2"/>
      <c r="I343" s="2"/>
    </row>
    <row r="344" spans="1:15" ht="15.75" thickBot="1" x14ac:dyDescent="0.3">
      <c r="B344" s="43" t="s">
        <v>1695</v>
      </c>
      <c r="C344" s="44"/>
      <c r="D344" s="44"/>
      <c r="E344" s="44"/>
      <c r="F344" s="44"/>
      <c r="G344" s="44"/>
      <c r="H344" s="45"/>
      <c r="I344" s="2"/>
    </row>
    <row r="345" spans="1:15" ht="25.5" x14ac:dyDescent="0.25">
      <c r="B345" s="46" t="s">
        <v>1409</v>
      </c>
      <c r="C345" s="47"/>
      <c r="D345" s="48" t="s">
        <v>1690</v>
      </c>
      <c r="E345" s="48" t="s">
        <v>1694</v>
      </c>
      <c r="F345" s="48" t="s">
        <v>1693</v>
      </c>
      <c r="G345" s="49" t="s">
        <v>1687</v>
      </c>
      <c r="H345" s="50" t="s">
        <v>1686</v>
      </c>
      <c r="I345" s="2"/>
    </row>
    <row r="346" spans="1:15" x14ac:dyDescent="0.25">
      <c r="A346" s="103">
        <v>19015</v>
      </c>
      <c r="B346" s="51" t="str">
        <f>IF($A346=0,"",VLOOKUP($A346,'BASE EQUIPO'!$A:$D,2))</f>
        <v>HERRAMIENTA MENOR</v>
      </c>
      <c r="C346" s="52"/>
      <c r="D346" s="53">
        <v>1</v>
      </c>
      <c r="E346" s="53">
        <f>IF($A346=0,"",VLOOKUP($A346,'BASE EQUIPO'!$A:$D,4)*H362)</f>
        <v>10.116</v>
      </c>
      <c r="F346" s="53">
        <f t="shared" ref="F346:F351" si="31">IF($A346=0,"",ROUND(D346*E346,2))</f>
        <v>10.119999999999999</v>
      </c>
      <c r="G346" s="105">
        <v>1</v>
      </c>
      <c r="H346" s="54">
        <f t="shared" ref="H346:H351" si="32">IF($A346=0,"",ROUND(G346*F346,2))</f>
        <v>10.119999999999999</v>
      </c>
      <c r="I346" s="2"/>
    </row>
    <row r="347" spans="1:15" x14ac:dyDescent="0.25">
      <c r="B347" s="38" t="str">
        <f>IF($A347=0,"",VLOOKUP($A347,'BASE EQUIPO'!$A:$D,2))</f>
        <v/>
      </c>
      <c r="C347" s="2"/>
      <c r="D347" s="55"/>
      <c r="E347" s="55" t="str">
        <f>IF($A347=0,"",VLOOKUP($A347,'BASE EQUIPO'!$A:$D,4))</f>
        <v/>
      </c>
      <c r="F347" s="55" t="str">
        <f t="shared" si="31"/>
        <v/>
      </c>
      <c r="G347" s="106"/>
      <c r="H347" s="56" t="str">
        <f t="shared" si="32"/>
        <v/>
      </c>
      <c r="I347" s="2"/>
    </row>
    <row r="348" spans="1:15" x14ac:dyDescent="0.25">
      <c r="B348" s="38" t="str">
        <f>IF($A348=0,"",VLOOKUP($A348,'BASE EQUIPO'!$A:$D,2))</f>
        <v/>
      </c>
      <c r="C348" s="2"/>
      <c r="D348" s="55"/>
      <c r="E348" s="55" t="str">
        <f>IF($A348=0,"",VLOOKUP($A348,'BASE EQUIPO'!$A:$D,4))</f>
        <v/>
      </c>
      <c r="F348" s="55" t="str">
        <f t="shared" si="31"/>
        <v/>
      </c>
      <c r="G348" s="106"/>
      <c r="H348" s="56" t="str">
        <f t="shared" si="32"/>
        <v/>
      </c>
      <c r="I348" s="2"/>
    </row>
    <row r="349" spans="1:15" x14ac:dyDescent="0.25">
      <c r="B349" s="38" t="str">
        <f>IF($A349=0,"",VLOOKUP($A349,'BASE EQUIPO'!$A:$D,2))</f>
        <v/>
      </c>
      <c r="C349" s="2"/>
      <c r="D349" s="55"/>
      <c r="E349" s="55" t="str">
        <f>IF($A349=0,"",VLOOKUP($A349,'BASE EQUIPO'!$A:$D,4))</f>
        <v/>
      </c>
      <c r="F349" s="55" t="str">
        <f t="shared" si="31"/>
        <v/>
      </c>
      <c r="G349" s="106"/>
      <c r="H349" s="56" t="str">
        <f t="shared" si="32"/>
        <v/>
      </c>
      <c r="I349" s="2"/>
    </row>
    <row r="350" spans="1:15" x14ac:dyDescent="0.25">
      <c r="B350" s="38" t="str">
        <f>IF($A350=0,"",VLOOKUP($A350,'BASE EQUIPO'!$A:$D,2))</f>
        <v/>
      </c>
      <c r="C350" s="2"/>
      <c r="D350" s="55"/>
      <c r="E350" s="55" t="str">
        <f>IF($A350=0,"",VLOOKUP($A350,'BASE EQUIPO'!$A:$D,4))</f>
        <v/>
      </c>
      <c r="F350" s="55" t="str">
        <f t="shared" si="31"/>
        <v/>
      </c>
      <c r="G350" s="106"/>
      <c r="H350" s="56" t="str">
        <f t="shared" si="32"/>
        <v/>
      </c>
      <c r="I350" s="2"/>
    </row>
    <row r="351" spans="1:15" x14ac:dyDescent="0.25">
      <c r="B351" s="57" t="str">
        <f>IF($A351=0,"",VLOOKUP($A351,'BASE EQUIPO'!$A:$D,2))</f>
        <v/>
      </c>
      <c r="C351" s="58"/>
      <c r="D351" s="59"/>
      <c r="E351" s="59" t="str">
        <f>IF($A351=0,"",VLOOKUP($A351,'BASE EQUIPO'!$A:$D,4))</f>
        <v/>
      </c>
      <c r="F351" s="59" t="str">
        <f t="shared" si="31"/>
        <v/>
      </c>
      <c r="G351" s="107"/>
      <c r="H351" s="60" t="str">
        <f t="shared" si="32"/>
        <v/>
      </c>
      <c r="I351" s="2"/>
    </row>
    <row r="352" spans="1:15" x14ac:dyDescent="0.25">
      <c r="B352" s="57" t="s">
        <v>1692</v>
      </c>
      <c r="C352" s="58"/>
      <c r="D352" s="61"/>
      <c r="E352" s="61"/>
      <c r="F352" s="61"/>
      <c r="G352" s="62"/>
      <c r="H352" s="60">
        <f>ROUND(SUM(H345:H351),2)</f>
        <v>10.119999999999999</v>
      </c>
      <c r="I352" s="2"/>
    </row>
    <row r="353" spans="1:16" x14ac:dyDescent="0.25">
      <c r="B353" s="38" t="s">
        <v>1503</v>
      </c>
      <c r="C353" s="2"/>
      <c r="D353" s="3"/>
      <c r="E353" s="3"/>
      <c r="F353" s="3"/>
      <c r="G353" s="63"/>
      <c r="H353" s="56"/>
      <c r="I353" s="2"/>
    </row>
    <row r="354" spans="1:16" ht="25.5" x14ac:dyDescent="0.25">
      <c r="B354" s="64" t="s">
        <v>1691</v>
      </c>
      <c r="C354" s="65"/>
      <c r="D354" s="66" t="s">
        <v>1690</v>
      </c>
      <c r="E354" s="66" t="s">
        <v>1689</v>
      </c>
      <c r="F354" s="66" t="s">
        <v>1688</v>
      </c>
      <c r="G354" s="67" t="s">
        <v>1687</v>
      </c>
      <c r="H354" s="68" t="s">
        <v>1686</v>
      </c>
      <c r="I354" s="2"/>
    </row>
    <row r="355" spans="1:16" x14ac:dyDescent="0.25">
      <c r="B355" s="69" t="str">
        <f>IF($A355=0,"",VLOOKUP($A355,'BASE M-OBRA'!$A:$D,2))</f>
        <v/>
      </c>
      <c r="C355" s="2"/>
      <c r="D355" s="108"/>
      <c r="E355" s="70" t="str">
        <f>IF($A355=0,"",VLOOKUP($A355,'BASE M-OBRA'!$A:$D,4))</f>
        <v/>
      </c>
      <c r="F355" s="55" t="str">
        <f t="shared" ref="F355:F361" si="33">IF($A355=0,"",ROUND(D355*E355,2))</f>
        <v/>
      </c>
      <c r="G355" s="106" t="str">
        <f>IF($A355=0,"",ROUND(H355/F355,2))</f>
        <v/>
      </c>
      <c r="H355" s="56" t="str">
        <f>IF($A355=0,"",ROUND(SUM(H356:H361)*'BASE M-OBRA'!$D$23,2))</f>
        <v/>
      </c>
      <c r="I355" s="2"/>
    </row>
    <row r="356" spans="1:16" x14ac:dyDescent="0.25">
      <c r="A356" s="103">
        <v>20011</v>
      </c>
      <c r="B356" s="69" t="str">
        <f>IF($A356=0,"",VLOOKUP($A356,'BASE M-OBRA'!$A:$D,2))</f>
        <v>AYUDANTE ESPECIALISTA</v>
      </c>
      <c r="C356" s="2"/>
      <c r="D356" s="108">
        <v>1</v>
      </c>
      <c r="E356" s="70">
        <f>IF($A356=0,"",VLOOKUP($A356,'BASE M-OBRA'!$A:$D,4))</f>
        <v>2.79</v>
      </c>
      <c r="F356" s="55">
        <f t="shared" si="33"/>
        <v>2.79</v>
      </c>
      <c r="G356" s="106">
        <v>40</v>
      </c>
      <c r="H356" s="56">
        <f t="shared" ref="H356:H361" si="34">IF($A356=0,"",ROUND(G356*F356,2))</f>
        <v>111.6</v>
      </c>
      <c r="I356" s="2"/>
    </row>
    <row r="357" spans="1:16" x14ac:dyDescent="0.25">
      <c r="A357" s="103">
        <v>20016</v>
      </c>
      <c r="B357" s="69" t="str">
        <f>IF($A357=0,"",VLOOKUP($A357,'BASE M-OBRA'!$A:$D,2))</f>
        <v>GAFITERO</v>
      </c>
      <c r="C357" s="2"/>
      <c r="D357" s="108">
        <v>2</v>
      </c>
      <c r="E357" s="70">
        <f>IF($A357=0,"",VLOOKUP($A357,'BASE M-OBRA'!$A:$D,4))</f>
        <v>2.82</v>
      </c>
      <c r="F357" s="55">
        <f t="shared" si="33"/>
        <v>5.64</v>
      </c>
      <c r="G357" s="106">
        <f>+G356</f>
        <v>40</v>
      </c>
      <c r="H357" s="56">
        <f t="shared" si="34"/>
        <v>225.6</v>
      </c>
      <c r="I357" s="2"/>
    </row>
    <row r="358" spans="1:16" x14ac:dyDescent="0.25">
      <c r="B358" s="71" t="str">
        <f>IF($A358=0,"",VLOOKUP($A358,'BASE M-OBRA'!$A:$D,2))</f>
        <v/>
      </c>
      <c r="C358" s="2"/>
      <c r="D358" s="108"/>
      <c r="E358" s="70" t="str">
        <f>IF($A358=0,"",VLOOKUP($A358,'BASE M-OBRA'!$A:$D,4))</f>
        <v/>
      </c>
      <c r="F358" s="55" t="str">
        <f t="shared" si="33"/>
        <v/>
      </c>
      <c r="G358" s="106"/>
      <c r="H358" s="56" t="str">
        <f t="shared" si="34"/>
        <v/>
      </c>
      <c r="I358" s="2"/>
    </row>
    <row r="359" spans="1:16" x14ac:dyDescent="0.25">
      <c r="B359" s="72" t="str">
        <f>IF($A359=0,"",VLOOKUP($A359,'BASE M-OBRA'!$A:$D,2))</f>
        <v/>
      </c>
      <c r="C359" s="2"/>
      <c r="D359" s="108"/>
      <c r="E359" s="70" t="str">
        <f>IF($A359=0,"",VLOOKUP($A359,'BASE M-OBRA'!$A:$D,4))</f>
        <v/>
      </c>
      <c r="F359" s="55" t="str">
        <f t="shared" si="33"/>
        <v/>
      </c>
      <c r="G359" s="106"/>
      <c r="H359" s="56" t="str">
        <f t="shared" si="34"/>
        <v/>
      </c>
      <c r="I359" s="2"/>
    </row>
    <row r="360" spans="1:16" x14ac:dyDescent="0.25">
      <c r="B360" s="38" t="str">
        <f>IF($A360=0,"",VLOOKUP($A360,'BASE M-OBRA'!$A:$D,2))</f>
        <v/>
      </c>
      <c r="C360" s="2"/>
      <c r="D360" s="55"/>
      <c r="E360" s="55" t="str">
        <f>IF($A360=0,"",VLOOKUP($A360,'BASE M-OBRA'!$A:$D,4))</f>
        <v/>
      </c>
      <c r="F360" s="55" t="str">
        <f t="shared" si="33"/>
        <v/>
      </c>
      <c r="G360" s="106"/>
      <c r="H360" s="56" t="str">
        <f t="shared" si="34"/>
        <v/>
      </c>
      <c r="I360" s="2"/>
    </row>
    <row r="361" spans="1:16" x14ac:dyDescent="0.25">
      <c r="B361" s="57" t="str">
        <f>IF($A361=0,"",VLOOKUP($A361,'BASE M-OBRA'!$A:$D,2))</f>
        <v/>
      </c>
      <c r="C361" s="58"/>
      <c r="D361" s="59"/>
      <c r="E361" s="59" t="str">
        <f>IF($A361=0,"",VLOOKUP($A361,'BASE M-OBRA'!$A:$D,4))</f>
        <v/>
      </c>
      <c r="F361" s="59" t="str">
        <f t="shared" si="33"/>
        <v/>
      </c>
      <c r="G361" s="107"/>
      <c r="H361" s="60" t="str">
        <f t="shared" si="34"/>
        <v/>
      </c>
      <c r="I361" s="2"/>
    </row>
    <row r="362" spans="1:16" x14ac:dyDescent="0.25">
      <c r="B362" s="73" t="s">
        <v>1685</v>
      </c>
      <c r="C362" s="65"/>
      <c r="D362" s="74"/>
      <c r="E362" s="74"/>
      <c r="F362" s="74"/>
      <c r="G362" s="74"/>
      <c r="H362" s="75">
        <f>ROUND(SUM(H354:H361),2)</f>
        <v>337.2</v>
      </c>
      <c r="I362" s="2"/>
    </row>
    <row r="363" spans="1:16" x14ac:dyDescent="0.25">
      <c r="B363" s="38" t="s">
        <v>1684</v>
      </c>
      <c r="C363" s="2"/>
      <c r="D363" s="3"/>
      <c r="E363" s="3"/>
      <c r="F363" s="3"/>
      <c r="G363" s="3"/>
      <c r="H363" s="56"/>
      <c r="I363" s="2"/>
    </row>
    <row r="364" spans="1:16" ht="25.5" x14ac:dyDescent="0.25">
      <c r="B364" s="64" t="s">
        <v>1409</v>
      </c>
      <c r="C364" s="65"/>
      <c r="D364" s="76"/>
      <c r="E364" s="66" t="s">
        <v>1408</v>
      </c>
      <c r="F364" s="66" t="s">
        <v>1679</v>
      </c>
      <c r="G364" s="66" t="s">
        <v>1683</v>
      </c>
      <c r="H364" s="68" t="s">
        <v>1675</v>
      </c>
      <c r="I364" s="2"/>
    </row>
    <row r="365" spans="1:16" x14ac:dyDescent="0.25">
      <c r="A365" s="103">
        <v>1</v>
      </c>
      <c r="B365" s="26" t="s">
        <v>1724</v>
      </c>
      <c r="C365" s="2"/>
      <c r="D365" s="77"/>
      <c r="E365" s="78" t="s">
        <v>1507</v>
      </c>
      <c r="F365" s="55">
        <v>1</v>
      </c>
      <c r="G365" s="55">
        <v>4500</v>
      </c>
      <c r="H365" s="56">
        <f t="shared" ref="H365:H379" si="35">IF($A365=0,"",ROUND(F365*G365,2))</f>
        <v>4500</v>
      </c>
      <c r="I365" s="2"/>
      <c r="L365" s="2"/>
      <c r="M365" s="2"/>
      <c r="N365" s="39"/>
      <c r="O365" s="2"/>
      <c r="P365" s="2"/>
    </row>
    <row r="366" spans="1:16" x14ac:dyDescent="0.25">
      <c r="B366" s="38" t="s">
        <v>1722</v>
      </c>
      <c r="C366" s="2"/>
      <c r="D366" s="77"/>
      <c r="E366" s="78"/>
      <c r="F366" s="55"/>
      <c r="G366" s="55"/>
      <c r="H366" s="56" t="str">
        <f t="shared" si="35"/>
        <v/>
      </c>
      <c r="I366" s="2"/>
      <c r="L366" s="2"/>
      <c r="M366" s="2"/>
      <c r="N366" s="39"/>
      <c r="O366" s="2"/>
      <c r="P366" s="2"/>
    </row>
    <row r="367" spans="1:16" x14ac:dyDescent="0.25">
      <c r="B367" s="38" t="s">
        <v>1723</v>
      </c>
      <c r="C367" s="2"/>
      <c r="D367" s="77"/>
      <c r="E367" s="78"/>
      <c r="F367" s="55"/>
      <c r="G367" s="55"/>
      <c r="H367" s="56" t="str">
        <f t="shared" si="35"/>
        <v/>
      </c>
      <c r="I367" s="2"/>
      <c r="L367" s="2"/>
      <c r="M367" s="2"/>
      <c r="N367" s="39"/>
      <c r="O367" s="2"/>
      <c r="P367" s="2"/>
    </row>
    <row r="368" spans="1:16" x14ac:dyDescent="0.25">
      <c r="B368" s="38"/>
      <c r="C368" s="2"/>
      <c r="D368" s="77"/>
      <c r="E368" s="78"/>
      <c r="F368" s="55"/>
      <c r="G368" s="55"/>
      <c r="H368" s="56" t="str">
        <f t="shared" si="35"/>
        <v/>
      </c>
      <c r="I368" s="2"/>
      <c r="L368" s="2"/>
      <c r="M368" s="2"/>
      <c r="N368" s="39"/>
      <c r="O368" s="2"/>
      <c r="P368" s="2"/>
    </row>
    <row r="369" spans="1:16" x14ac:dyDescent="0.25">
      <c r="B369" s="38"/>
      <c r="C369" s="2"/>
      <c r="D369" s="77"/>
      <c r="E369" s="78"/>
      <c r="F369" s="55"/>
      <c r="G369" s="55"/>
      <c r="H369" s="56" t="str">
        <f t="shared" si="35"/>
        <v/>
      </c>
      <c r="I369" s="2"/>
      <c r="L369" s="2"/>
      <c r="M369" s="2"/>
      <c r="N369" s="39"/>
      <c r="O369" s="2"/>
      <c r="P369" s="2"/>
    </row>
    <row r="370" spans="1:16" x14ac:dyDescent="0.25">
      <c r="B370" s="38"/>
      <c r="C370" s="2"/>
      <c r="D370" s="77"/>
      <c r="E370" s="78"/>
      <c r="F370" s="55"/>
      <c r="G370" s="55"/>
      <c r="H370" s="56" t="str">
        <f t="shared" si="35"/>
        <v/>
      </c>
      <c r="I370" s="2"/>
      <c r="L370" s="2"/>
      <c r="M370" s="2"/>
      <c r="N370" s="39"/>
      <c r="O370" s="2"/>
      <c r="P370" s="2"/>
    </row>
    <row r="371" spans="1:16" x14ac:dyDescent="0.25">
      <c r="B371" s="38"/>
      <c r="C371" s="2"/>
      <c r="D371" s="77"/>
      <c r="E371" s="78"/>
      <c r="F371" s="55"/>
      <c r="G371" s="55"/>
      <c r="H371" s="56" t="str">
        <f t="shared" si="35"/>
        <v/>
      </c>
      <c r="I371" s="2"/>
      <c r="L371" s="2"/>
      <c r="M371" s="2"/>
      <c r="N371" s="39"/>
      <c r="O371" s="2"/>
      <c r="P371" s="2"/>
    </row>
    <row r="372" spans="1:16" x14ac:dyDescent="0.25">
      <c r="B372" s="38"/>
      <c r="C372" s="2"/>
      <c r="D372" s="77"/>
      <c r="E372" s="78"/>
      <c r="F372" s="55"/>
      <c r="G372" s="55"/>
      <c r="H372" s="56" t="str">
        <f t="shared" si="35"/>
        <v/>
      </c>
      <c r="I372" s="2"/>
      <c r="L372" s="2"/>
      <c r="M372" s="2"/>
      <c r="N372" s="39"/>
      <c r="O372" s="2"/>
      <c r="P372" s="2"/>
    </row>
    <row r="373" spans="1:16" x14ac:dyDescent="0.25">
      <c r="B373" s="38"/>
      <c r="C373" s="2"/>
      <c r="D373" s="77"/>
      <c r="E373" s="78"/>
      <c r="F373" s="55"/>
      <c r="G373" s="55"/>
      <c r="H373" s="56" t="str">
        <f t="shared" si="35"/>
        <v/>
      </c>
      <c r="I373" s="2"/>
    </row>
    <row r="374" spans="1:16" x14ac:dyDescent="0.25">
      <c r="B374" s="38" t="str">
        <f>IF($A374=0,"",VLOOKUP($A374,'BASE MATERIAL'!$A:$D,2))</f>
        <v/>
      </c>
      <c r="C374" s="2"/>
      <c r="D374" s="77"/>
      <c r="E374" s="78" t="str">
        <f>IF($A374=0,"",VLOOKUP($A374,'BASE MATERIAL'!$A:$D,3))</f>
        <v/>
      </c>
      <c r="F374" s="55"/>
      <c r="G374" s="55" t="str">
        <f>IF($A374=0,"",VLOOKUP($A374,'BASE MATERIAL'!$A:$D,4))</f>
        <v/>
      </c>
      <c r="H374" s="56" t="str">
        <f t="shared" si="35"/>
        <v/>
      </c>
      <c r="I374" s="2"/>
      <c r="L374" s="2"/>
      <c r="M374" s="2"/>
      <c r="N374" s="39"/>
      <c r="O374" s="2"/>
      <c r="P374" s="2"/>
    </row>
    <row r="375" spans="1:16" x14ac:dyDescent="0.25">
      <c r="B375" s="38" t="str">
        <f>IF($A375=0,"",VLOOKUP($A375,'BASE MATERIAL'!$A:$D,2))</f>
        <v/>
      </c>
      <c r="C375" s="2"/>
      <c r="D375" s="77"/>
      <c r="E375" s="78" t="str">
        <f>IF($A375=0,"",VLOOKUP($A375,'BASE MATERIAL'!$A:$D,3))</f>
        <v/>
      </c>
      <c r="F375" s="55"/>
      <c r="G375" s="55" t="str">
        <f>IF($A375=0,"",VLOOKUP($A375,'BASE MATERIAL'!$A:$D,4))</f>
        <v/>
      </c>
      <c r="H375" s="56" t="str">
        <f t="shared" si="35"/>
        <v/>
      </c>
      <c r="I375" s="2"/>
      <c r="L375" s="2"/>
      <c r="M375" s="2"/>
      <c r="N375" s="39"/>
      <c r="O375" s="2"/>
      <c r="P375" s="2"/>
    </row>
    <row r="376" spans="1:16" x14ac:dyDescent="0.25">
      <c r="B376" s="38" t="str">
        <f>IF($A376=0,"",VLOOKUP($A376,'BASE MATERIAL'!$A:$D,2))</f>
        <v/>
      </c>
      <c r="C376" s="2"/>
      <c r="D376" s="77"/>
      <c r="E376" s="78" t="str">
        <f>IF($A376=0,"",VLOOKUP($A376,'BASE MATERIAL'!$A:$D,3))</f>
        <v/>
      </c>
      <c r="F376" s="55"/>
      <c r="G376" s="55" t="str">
        <f>IF($A376=0,"",VLOOKUP($A376,'BASE MATERIAL'!$A:$D,4))</f>
        <v/>
      </c>
      <c r="H376" s="56" t="str">
        <f t="shared" si="35"/>
        <v/>
      </c>
      <c r="I376" s="2"/>
    </row>
    <row r="377" spans="1:16" x14ac:dyDescent="0.25">
      <c r="B377" s="38" t="str">
        <f>IF($A377=0,"",VLOOKUP($A377,'BASE MATERIAL'!$A:$D,2))</f>
        <v/>
      </c>
      <c r="C377" s="2"/>
      <c r="D377" s="77"/>
      <c r="E377" s="78" t="str">
        <f>IF($A377=0,"",VLOOKUP($A377,'BASE MATERIAL'!$A:$D,3))</f>
        <v/>
      </c>
      <c r="F377" s="55"/>
      <c r="G377" s="55" t="str">
        <f>IF($A377=0,"",VLOOKUP($A377,'BASE MATERIAL'!$A:$D,4))</f>
        <v/>
      </c>
      <c r="H377" s="56" t="str">
        <f t="shared" si="35"/>
        <v/>
      </c>
      <c r="I377" s="2"/>
    </row>
    <row r="378" spans="1:16" x14ac:dyDescent="0.25">
      <c r="B378" s="38" t="str">
        <f>IF($A378=0,"",VLOOKUP($A378,'BASE MATERIAL'!$A:$D,2))</f>
        <v/>
      </c>
      <c r="C378" s="2"/>
      <c r="D378" s="77"/>
      <c r="E378" s="78" t="str">
        <f>IF($A378=0,"",VLOOKUP($A378,'BASE MATERIAL'!$A:$D,3))</f>
        <v/>
      </c>
      <c r="F378" s="55"/>
      <c r="G378" s="55" t="str">
        <f>IF($A378=0,"",VLOOKUP($A378,'BASE MATERIAL'!$A:$D,4))</f>
        <v/>
      </c>
      <c r="H378" s="56" t="str">
        <f t="shared" si="35"/>
        <v/>
      </c>
      <c r="I378" s="2"/>
    </row>
    <row r="379" spans="1:16" x14ac:dyDescent="0.25">
      <c r="B379" s="38" t="str">
        <f>IF($A379=0,"",VLOOKUP($A379,'BASE MATERIAL'!$A:$D,2))</f>
        <v/>
      </c>
      <c r="C379" s="2"/>
      <c r="D379" s="77"/>
      <c r="E379" s="78" t="str">
        <f>IF($A379=0,"",VLOOKUP($A379,'BASE MATERIAL'!$A:$D,3))</f>
        <v/>
      </c>
      <c r="F379" s="55"/>
      <c r="G379" s="55" t="str">
        <f>IF($A379=0,"",VLOOKUP($A379,'BASE MATERIAL'!$A:$D,4))</f>
        <v/>
      </c>
      <c r="H379" s="56" t="str">
        <f t="shared" si="35"/>
        <v/>
      </c>
      <c r="I379" s="2"/>
    </row>
    <row r="380" spans="1:16" x14ac:dyDescent="0.25">
      <c r="B380" s="38" t="str">
        <f>IF($A380=0,"",VLOOKUP($A380,'BASE MATERIAL'!$A:$D,2))</f>
        <v/>
      </c>
      <c r="C380" s="2"/>
      <c r="D380" s="81" t="s">
        <v>1682</v>
      </c>
      <c r="E380" s="55" t="str">
        <f>IF($A380=0,"",VLOOKUP($A380,'BASE MATERIAL'!$A:$D,3))</f>
        <v/>
      </c>
      <c r="F380" s="55" t="s">
        <v>1682</v>
      </c>
      <c r="G380" s="55" t="str">
        <f>IF($A380=0,"",VLOOKUP($A380,'BASE MATERIAL'!$A:$D,4))</f>
        <v/>
      </c>
      <c r="H380" s="56" t="str">
        <f>IF($A380=0,"",ROUND(E380*F380,2))</f>
        <v/>
      </c>
      <c r="I380" s="2"/>
    </row>
    <row r="381" spans="1:16" x14ac:dyDescent="0.25">
      <c r="B381" s="73" t="s">
        <v>1681</v>
      </c>
      <c r="C381" s="65"/>
      <c r="D381" s="74"/>
      <c r="E381" s="74"/>
      <c r="F381" s="74"/>
      <c r="G381" s="74"/>
      <c r="H381" s="75">
        <f>ROUND(SUM(H364:H380),2)</f>
        <v>4500</v>
      </c>
      <c r="I381" s="2"/>
    </row>
    <row r="382" spans="1:16" x14ac:dyDescent="0.25">
      <c r="B382" s="38" t="s">
        <v>1680</v>
      </c>
      <c r="C382" s="2"/>
      <c r="D382" s="3"/>
      <c r="E382" s="3"/>
      <c r="F382" s="3"/>
      <c r="G382" s="3"/>
      <c r="H382" s="56"/>
      <c r="I382" s="2"/>
    </row>
    <row r="383" spans="1:16" ht="25.5" x14ac:dyDescent="0.25">
      <c r="B383" s="64" t="s">
        <v>1409</v>
      </c>
      <c r="C383" s="65"/>
      <c r="D383" s="76"/>
      <c r="E383" s="66" t="s">
        <v>1408</v>
      </c>
      <c r="F383" s="66" t="s">
        <v>1679</v>
      </c>
      <c r="G383" s="66" t="s">
        <v>1676</v>
      </c>
      <c r="H383" s="68" t="s">
        <v>1675</v>
      </c>
      <c r="I383" s="2"/>
    </row>
    <row r="384" spans="1:16" x14ac:dyDescent="0.25">
      <c r="A384" s="103">
        <v>19019</v>
      </c>
      <c r="B384" s="51" t="str">
        <f>IF($A384=0,"",VLOOKUP($A384,'BASE EQUIPO'!$A:$D,2))</f>
        <v>TRANSPORTE DE MATERIAL</v>
      </c>
      <c r="C384" s="52"/>
      <c r="D384" s="82"/>
      <c r="E384" s="78" t="str">
        <f>IF($A384=0,"",VLOOKUP($A384,'BASE EQUIPO'!$A:$D,3))</f>
        <v>GLOBAL</v>
      </c>
      <c r="F384" s="55">
        <v>1</v>
      </c>
      <c r="G384" s="83">
        <f>IF($A384=0,"",VLOOKUP($A384,'BASE EQUIPO'!$A:$D,4)*H381)</f>
        <v>135</v>
      </c>
      <c r="H384" s="56">
        <f>IF($A384=0,"",ROUND(F384*G384,2))</f>
        <v>135</v>
      </c>
      <c r="I384" s="2"/>
    </row>
    <row r="385" spans="1:15" x14ac:dyDescent="0.25">
      <c r="B385" s="38" t="str">
        <f>IF($A385=0,"",VLOOKUP($A385,'BASE EQUIPO'!$A:$D,2))</f>
        <v/>
      </c>
      <c r="C385" s="2"/>
      <c r="D385" s="84"/>
      <c r="E385" s="78" t="str">
        <f>IF($A385=0,"",VLOOKUP($A385,'BASE EQUIPO'!$A:$D,3))</f>
        <v/>
      </c>
      <c r="F385" s="55"/>
      <c r="G385" s="55" t="str">
        <f>IF($A385=0,"",VLOOKUP($A385,'BASE EQUIPO'!$A:$D,4)*H382)</f>
        <v/>
      </c>
      <c r="H385" s="56" t="str">
        <f>IF($A385=0,"",ROUND(F385*G385,2))</f>
        <v/>
      </c>
      <c r="I385" s="2"/>
    </row>
    <row r="386" spans="1:15" x14ac:dyDescent="0.25">
      <c r="B386" s="57" t="str">
        <f>IF($A386=0,"",VLOOKUP($A386,'BASE EQUIPO'!$A:$D,2))</f>
        <v/>
      </c>
      <c r="C386" s="58"/>
      <c r="D386" s="85"/>
      <c r="E386" s="86" t="str">
        <f>IF($A386=0,"",VLOOKUP($A386,'BASE EQUIPO'!$A:$D,3))</f>
        <v/>
      </c>
      <c r="F386" s="59"/>
      <c r="G386" s="59" t="str">
        <f>IF($A386=0,"",VLOOKUP($A386,'BASE EQUIPO'!$A:$D,4)*H383)</f>
        <v/>
      </c>
      <c r="H386" s="60" t="str">
        <f>IF($A386=0,"",ROUND(F386*G386,2))</f>
        <v/>
      </c>
      <c r="I386" s="2"/>
    </row>
    <row r="387" spans="1:15" ht="15.75" thickBot="1" x14ac:dyDescent="0.3">
      <c r="B387" s="87" t="s">
        <v>1674</v>
      </c>
      <c r="C387" s="88"/>
      <c r="D387" s="89"/>
      <c r="E387" s="89"/>
      <c r="F387" s="89"/>
      <c r="G387" s="89"/>
      <c r="H387" s="90">
        <f>ROUND(SUM(H383:H386),2)</f>
        <v>135</v>
      </c>
      <c r="I387" s="2"/>
    </row>
    <row r="388" spans="1:15" ht="15.75" x14ac:dyDescent="0.25">
      <c r="B388" s="2"/>
      <c r="C388" s="2"/>
      <c r="D388" s="91" t="s">
        <v>1673</v>
      </c>
      <c r="E388" s="47"/>
      <c r="F388" s="47"/>
      <c r="G388" s="47"/>
      <c r="H388" s="92">
        <f>ROUND(SUM(H387,H381,H362,H352),2)</f>
        <v>4982.32</v>
      </c>
      <c r="I388" s="2"/>
    </row>
    <row r="389" spans="1:15" ht="15.75" x14ac:dyDescent="0.25">
      <c r="A389" s="103">
        <v>40002</v>
      </c>
      <c r="B389" s="2"/>
      <c r="C389" s="2"/>
      <c r="D389" s="93" t="s">
        <v>1672</v>
      </c>
      <c r="E389" s="65"/>
      <c r="F389" s="65"/>
      <c r="G389" s="94">
        <f>IF($A389=0,"",VLOOKUP($A389,'BASE MATERIAL'!$M:$P,4))</f>
        <v>0</v>
      </c>
      <c r="H389" s="95">
        <f>IF($A389=0,"",ROUND(G389*H388,2))</f>
        <v>0</v>
      </c>
      <c r="I389" s="2"/>
    </row>
    <row r="390" spans="1:15" ht="15.75" x14ac:dyDescent="0.25">
      <c r="A390" s="103">
        <v>40003</v>
      </c>
      <c r="B390" s="2"/>
      <c r="C390" s="2"/>
      <c r="D390" s="93" t="s">
        <v>1671</v>
      </c>
      <c r="E390" s="65"/>
      <c r="F390" s="65"/>
      <c r="G390" s="94">
        <f>IF($A390=0,"",VLOOKUP($A390,'BASE MATERIAL'!$M:$P,4))</f>
        <v>0</v>
      </c>
      <c r="H390" s="95">
        <f>IF($A390=0,"",ROUND(G390*H388,2))</f>
        <v>0</v>
      </c>
      <c r="I390" s="2"/>
    </row>
    <row r="391" spans="1:15" ht="15.75" x14ac:dyDescent="0.25">
      <c r="B391" s="2"/>
      <c r="C391" s="2"/>
      <c r="D391" s="93" t="s">
        <v>1670</v>
      </c>
      <c r="E391" s="65"/>
      <c r="F391" s="65"/>
      <c r="G391" s="65"/>
      <c r="H391" s="96">
        <f>ROUND(SUM(H388:H390),2)</f>
        <v>4982.32</v>
      </c>
      <c r="I391" s="2"/>
    </row>
    <row r="392" spans="1:15" ht="16.5" thickBot="1" x14ac:dyDescent="0.3">
      <c r="B392" s="25"/>
      <c r="C392" s="2"/>
      <c r="D392" s="97" t="s">
        <v>1650</v>
      </c>
      <c r="E392" s="88"/>
      <c r="F392" s="88"/>
      <c r="G392" s="88"/>
      <c r="H392" s="98">
        <f>ROUND(H391,2)</f>
        <v>4982.32</v>
      </c>
      <c r="I392" s="2"/>
    </row>
    <row r="393" spans="1:15" ht="15.75" x14ac:dyDescent="0.25">
      <c r="B393" s="34" t="s">
        <v>1701</v>
      </c>
      <c r="C393" s="2"/>
      <c r="D393" s="3" t="str">
        <f>$D$1</f>
        <v>ESPOL</v>
      </c>
      <c r="E393" s="2"/>
      <c r="F393" s="2"/>
      <c r="H393" s="2" t="s">
        <v>108</v>
      </c>
      <c r="I393" s="2"/>
      <c r="L393" s="40">
        <f>A397</f>
        <v>11</v>
      </c>
      <c r="M393" s="1" t="str">
        <f>C398</f>
        <v>Medidor</v>
      </c>
      <c r="N393" s="2" t="str">
        <f>H397</f>
        <v>U</v>
      </c>
      <c r="O393" s="2">
        <f>H448</f>
        <v>123.57</v>
      </c>
    </row>
    <row r="394" spans="1:15" ht="15.75" x14ac:dyDescent="0.25">
      <c r="B394" s="34" t="s">
        <v>1700</v>
      </c>
      <c r="C394" s="3">
        <f>'1.1'!$C$2</f>
        <v>0</v>
      </c>
      <c r="D394" s="2"/>
      <c r="E394" s="2"/>
      <c r="F394" s="2"/>
      <c r="G394" s="41" t="s">
        <v>1699</v>
      </c>
      <c r="H394" s="42"/>
      <c r="I394" s="2" t="s">
        <v>1698</v>
      </c>
    </row>
    <row r="395" spans="1:15" ht="15.75" x14ac:dyDescent="0.25">
      <c r="B395" s="34"/>
      <c r="C395" s="3">
        <f>'1.1'!$C$3</f>
        <v>0</v>
      </c>
      <c r="D395" s="2"/>
      <c r="E395" s="2"/>
      <c r="F395" s="2"/>
      <c r="G395" s="2"/>
      <c r="H395" s="2"/>
      <c r="I395" s="2"/>
    </row>
    <row r="396" spans="1:15" ht="15.75" x14ac:dyDescent="0.25">
      <c r="B396" s="34" t="s">
        <v>1697</v>
      </c>
      <c r="C396" s="3"/>
      <c r="D396" s="2"/>
      <c r="E396" s="2"/>
      <c r="F396" s="2"/>
      <c r="G396" s="2"/>
      <c r="H396" s="2"/>
      <c r="I396" s="2"/>
    </row>
    <row r="397" spans="1:15" x14ac:dyDescent="0.25">
      <c r="A397" s="104">
        <v>11</v>
      </c>
      <c r="B397" s="2" t="s">
        <v>1586</v>
      </c>
      <c r="C397" s="101" t="s">
        <v>711</v>
      </c>
      <c r="D397" s="2"/>
      <c r="G397" s="2" t="s">
        <v>1696</v>
      </c>
      <c r="H397" s="3" t="s">
        <v>744</v>
      </c>
      <c r="I397" s="2"/>
    </row>
    <row r="398" spans="1:15" x14ac:dyDescent="0.25">
      <c r="B398" s="1" t="s">
        <v>1585</v>
      </c>
      <c r="C398" s="36" t="s">
        <v>1298</v>
      </c>
      <c r="D398" s="2"/>
      <c r="E398" s="2"/>
      <c r="F398" s="2"/>
      <c r="G398" s="2"/>
      <c r="H398" s="2"/>
      <c r="I398" s="2"/>
    </row>
    <row r="399" spans="1:15" ht="15.75" thickBot="1" x14ac:dyDescent="0.3">
      <c r="D399" s="2"/>
      <c r="E399" s="2"/>
      <c r="F399" s="2"/>
      <c r="G399" s="2"/>
      <c r="H399" s="2"/>
      <c r="I399" s="2"/>
    </row>
    <row r="400" spans="1:15" ht="15.75" thickBot="1" x14ac:dyDescent="0.3">
      <c r="B400" s="43" t="s">
        <v>1695</v>
      </c>
      <c r="C400" s="44"/>
      <c r="D400" s="44"/>
      <c r="E400" s="44"/>
      <c r="F400" s="44"/>
      <c r="G400" s="44"/>
      <c r="H400" s="45"/>
      <c r="I400" s="2"/>
    </row>
    <row r="401" spans="1:9" ht="25.5" x14ac:dyDescent="0.25">
      <c r="B401" s="46" t="s">
        <v>1409</v>
      </c>
      <c r="C401" s="47"/>
      <c r="D401" s="48" t="s">
        <v>1690</v>
      </c>
      <c r="E401" s="48" t="s">
        <v>1694</v>
      </c>
      <c r="F401" s="48" t="s">
        <v>1693</v>
      </c>
      <c r="G401" s="49" t="s">
        <v>1687</v>
      </c>
      <c r="H401" s="50" t="s">
        <v>1686</v>
      </c>
      <c r="I401" s="2"/>
    </row>
    <row r="402" spans="1:9" x14ac:dyDescent="0.25">
      <c r="A402" s="103">
        <v>19015</v>
      </c>
      <c r="B402" s="51" t="str">
        <f>IF($A402=0,"",VLOOKUP($A402,'BASE EQUIPO'!$A:$D,2))</f>
        <v>HERRAMIENTA MENOR</v>
      </c>
      <c r="C402" s="52"/>
      <c r="D402" s="53">
        <v>1</v>
      </c>
      <c r="E402" s="53">
        <f>IF($A402=0,"",VLOOKUP($A402,'BASE EQUIPO'!$A:$D,4)*H418)</f>
        <v>1.3464</v>
      </c>
      <c r="F402" s="53">
        <f t="shared" ref="F402:F407" si="36">IF($A402=0,"",ROUND(D402*E402,2))</f>
        <v>1.35</v>
      </c>
      <c r="G402" s="105">
        <v>1</v>
      </c>
      <c r="H402" s="54">
        <f t="shared" ref="H402:H407" si="37">IF($A402=0,"",ROUND(G402*F402,2))</f>
        <v>1.35</v>
      </c>
      <c r="I402" s="2"/>
    </row>
    <row r="403" spans="1:9" x14ac:dyDescent="0.25">
      <c r="B403" s="38" t="str">
        <f>IF($A403=0,"",VLOOKUP($A403,'BASE EQUIPO'!$A:$D,2))</f>
        <v/>
      </c>
      <c r="C403" s="2"/>
      <c r="D403" s="55"/>
      <c r="E403" s="55" t="str">
        <f>IF($A403=0,"",VLOOKUP($A403,'BASE EQUIPO'!$A:$D,4))</f>
        <v/>
      </c>
      <c r="F403" s="55" t="str">
        <f t="shared" si="36"/>
        <v/>
      </c>
      <c r="G403" s="106"/>
      <c r="H403" s="56" t="str">
        <f t="shared" si="37"/>
        <v/>
      </c>
      <c r="I403" s="2"/>
    </row>
    <row r="404" spans="1:9" x14ac:dyDescent="0.25">
      <c r="B404" s="38" t="str">
        <f>IF($A404=0,"",VLOOKUP($A404,'BASE EQUIPO'!$A:$D,2))</f>
        <v/>
      </c>
      <c r="C404" s="2"/>
      <c r="D404" s="55"/>
      <c r="E404" s="55" t="str">
        <f>IF($A404=0,"",VLOOKUP($A404,'BASE EQUIPO'!$A:$D,4))</f>
        <v/>
      </c>
      <c r="F404" s="55" t="str">
        <f t="shared" si="36"/>
        <v/>
      </c>
      <c r="G404" s="106"/>
      <c r="H404" s="56" t="str">
        <f t="shared" si="37"/>
        <v/>
      </c>
      <c r="I404" s="2"/>
    </row>
    <row r="405" spans="1:9" x14ac:dyDescent="0.25">
      <c r="B405" s="38" t="str">
        <f>IF($A405=0,"",VLOOKUP($A405,'BASE EQUIPO'!$A:$D,2))</f>
        <v/>
      </c>
      <c r="C405" s="2"/>
      <c r="D405" s="55"/>
      <c r="E405" s="55" t="str">
        <f>IF($A405=0,"",VLOOKUP($A405,'BASE EQUIPO'!$A:$D,4))</f>
        <v/>
      </c>
      <c r="F405" s="55" t="str">
        <f t="shared" si="36"/>
        <v/>
      </c>
      <c r="G405" s="106"/>
      <c r="H405" s="56" t="str">
        <f t="shared" si="37"/>
        <v/>
      </c>
      <c r="I405" s="2"/>
    </row>
    <row r="406" spans="1:9" x14ac:dyDescent="0.25">
      <c r="B406" s="38" t="str">
        <f>IF($A406=0,"",VLOOKUP($A406,'BASE EQUIPO'!$A:$D,2))</f>
        <v/>
      </c>
      <c r="C406" s="2"/>
      <c r="D406" s="55"/>
      <c r="E406" s="55" t="str">
        <f>IF($A406=0,"",VLOOKUP($A406,'BASE EQUIPO'!$A:$D,4))</f>
        <v/>
      </c>
      <c r="F406" s="55" t="str">
        <f t="shared" si="36"/>
        <v/>
      </c>
      <c r="G406" s="106"/>
      <c r="H406" s="56" t="str">
        <f t="shared" si="37"/>
        <v/>
      </c>
      <c r="I406" s="2"/>
    </row>
    <row r="407" spans="1:9" x14ac:dyDescent="0.25">
      <c r="B407" s="57" t="str">
        <f>IF($A407=0,"",VLOOKUP($A407,'BASE EQUIPO'!$A:$D,2))</f>
        <v/>
      </c>
      <c r="C407" s="58"/>
      <c r="D407" s="59"/>
      <c r="E407" s="59" t="str">
        <f>IF($A407=0,"",VLOOKUP($A407,'BASE EQUIPO'!$A:$D,4))</f>
        <v/>
      </c>
      <c r="F407" s="59" t="str">
        <f t="shared" si="36"/>
        <v/>
      </c>
      <c r="G407" s="107"/>
      <c r="H407" s="60" t="str">
        <f t="shared" si="37"/>
        <v/>
      </c>
      <c r="I407" s="2"/>
    </row>
    <row r="408" spans="1:9" x14ac:dyDescent="0.25">
      <c r="B408" s="57" t="s">
        <v>1692</v>
      </c>
      <c r="C408" s="58"/>
      <c r="D408" s="61"/>
      <c r="E408" s="61"/>
      <c r="F408" s="61"/>
      <c r="G408" s="62"/>
      <c r="H408" s="60">
        <f>ROUND(SUM(H401:H407),2)</f>
        <v>1.35</v>
      </c>
      <c r="I408" s="2"/>
    </row>
    <row r="409" spans="1:9" x14ac:dyDescent="0.25">
      <c r="B409" s="38" t="s">
        <v>1503</v>
      </c>
      <c r="C409" s="2"/>
      <c r="D409" s="3"/>
      <c r="E409" s="3"/>
      <c r="F409" s="3"/>
      <c r="G409" s="63"/>
      <c r="H409" s="56"/>
      <c r="I409" s="2"/>
    </row>
    <row r="410" spans="1:9" ht="25.5" x14ac:dyDescent="0.25">
      <c r="B410" s="64" t="s">
        <v>1691</v>
      </c>
      <c r="C410" s="65"/>
      <c r="D410" s="66" t="s">
        <v>1690</v>
      </c>
      <c r="E410" s="66" t="s">
        <v>1689</v>
      </c>
      <c r="F410" s="66" t="s">
        <v>1688</v>
      </c>
      <c r="G410" s="67" t="s">
        <v>1687</v>
      </c>
      <c r="H410" s="68" t="s">
        <v>1686</v>
      </c>
      <c r="I410" s="2"/>
    </row>
    <row r="411" spans="1:9" x14ac:dyDescent="0.25">
      <c r="B411" s="69" t="str">
        <f>IF($A411=0,"",VLOOKUP($A411,'BASE M-OBRA'!$A:$D,2))</f>
        <v/>
      </c>
      <c r="C411" s="2"/>
      <c r="D411" s="108"/>
      <c r="E411" s="70" t="str">
        <f>IF($A411=0,"",VLOOKUP($A411,'BASE M-OBRA'!$A:$D,4))</f>
        <v/>
      </c>
      <c r="F411" s="55" t="str">
        <f t="shared" ref="F411:F417" si="38">IF($A411=0,"",ROUND(D411*E411,2))</f>
        <v/>
      </c>
      <c r="G411" s="106" t="str">
        <f>IF($A411=0,"",ROUND(H411/F411,2))</f>
        <v/>
      </c>
      <c r="H411" s="56" t="str">
        <f>IF($A411=0,"",ROUND(SUM(H412:H417)*'BASE M-OBRA'!$D$23,2))</f>
        <v/>
      </c>
      <c r="I411" s="2"/>
    </row>
    <row r="412" spans="1:9" x14ac:dyDescent="0.25">
      <c r="A412" s="103">
        <v>20011</v>
      </c>
      <c r="B412" s="69" t="str">
        <f>IF($A412=0,"",VLOOKUP($A412,'BASE M-OBRA'!$A:$D,2))</f>
        <v>AYUDANTE ESPECIALISTA</v>
      </c>
      <c r="C412" s="2"/>
      <c r="D412" s="108">
        <v>1</v>
      </c>
      <c r="E412" s="70">
        <f>IF($A412=0,"",VLOOKUP($A412,'BASE M-OBRA'!$A:$D,4))</f>
        <v>2.79</v>
      </c>
      <c r="F412" s="55">
        <f t="shared" si="38"/>
        <v>2.79</v>
      </c>
      <c r="G412" s="106">
        <v>8</v>
      </c>
      <c r="H412" s="56">
        <f t="shared" ref="H412:H417" si="39">IF($A412=0,"",ROUND(G412*F412,2))</f>
        <v>22.32</v>
      </c>
      <c r="I412" s="2"/>
    </row>
    <row r="413" spans="1:9" x14ac:dyDescent="0.25">
      <c r="A413" s="103">
        <v>20016</v>
      </c>
      <c r="B413" s="69" t="str">
        <f>IF($A413=0,"",VLOOKUP($A413,'BASE M-OBRA'!$A:$D,2))</f>
        <v>GAFITERO</v>
      </c>
      <c r="C413" s="2"/>
      <c r="D413" s="108">
        <v>1</v>
      </c>
      <c r="E413" s="70">
        <f>IF($A413=0,"",VLOOKUP($A413,'BASE M-OBRA'!$A:$D,4))</f>
        <v>2.82</v>
      </c>
      <c r="F413" s="55">
        <f t="shared" si="38"/>
        <v>2.82</v>
      </c>
      <c r="G413" s="106">
        <f>+G412</f>
        <v>8</v>
      </c>
      <c r="H413" s="56">
        <f t="shared" si="39"/>
        <v>22.56</v>
      </c>
      <c r="I413" s="2"/>
    </row>
    <row r="414" spans="1:9" x14ac:dyDescent="0.25">
      <c r="B414" s="71" t="str">
        <f>IF($A414=0,"",VLOOKUP($A414,'BASE M-OBRA'!$A:$D,2))</f>
        <v/>
      </c>
      <c r="C414" s="2"/>
      <c r="D414" s="108"/>
      <c r="E414" s="70" t="str">
        <f>IF($A414=0,"",VLOOKUP($A414,'BASE M-OBRA'!$A:$D,4))</f>
        <v/>
      </c>
      <c r="F414" s="55" t="str">
        <f t="shared" si="38"/>
        <v/>
      </c>
      <c r="G414" s="106"/>
      <c r="H414" s="56" t="str">
        <f t="shared" si="39"/>
        <v/>
      </c>
      <c r="I414" s="2"/>
    </row>
    <row r="415" spans="1:9" x14ac:dyDescent="0.25">
      <c r="B415" s="72" t="str">
        <f>IF($A415=0,"",VLOOKUP($A415,'BASE M-OBRA'!$A:$D,2))</f>
        <v/>
      </c>
      <c r="C415" s="2"/>
      <c r="D415" s="108"/>
      <c r="E415" s="70" t="str">
        <f>IF($A415=0,"",VLOOKUP($A415,'BASE M-OBRA'!$A:$D,4))</f>
        <v/>
      </c>
      <c r="F415" s="55" t="str">
        <f t="shared" si="38"/>
        <v/>
      </c>
      <c r="G415" s="106"/>
      <c r="H415" s="56" t="str">
        <f t="shared" si="39"/>
        <v/>
      </c>
      <c r="I415" s="2"/>
    </row>
    <row r="416" spans="1:9" x14ac:dyDescent="0.25">
      <c r="B416" s="38" t="str">
        <f>IF($A416=0,"",VLOOKUP($A416,'BASE M-OBRA'!$A:$D,2))</f>
        <v/>
      </c>
      <c r="C416" s="2"/>
      <c r="D416" s="55"/>
      <c r="E416" s="55" t="str">
        <f>IF($A416=0,"",VLOOKUP($A416,'BASE M-OBRA'!$A:$D,4))</f>
        <v/>
      </c>
      <c r="F416" s="55" t="str">
        <f t="shared" si="38"/>
        <v/>
      </c>
      <c r="G416" s="106"/>
      <c r="H416" s="56" t="str">
        <f t="shared" si="39"/>
        <v/>
      </c>
      <c r="I416" s="2"/>
    </row>
    <row r="417" spans="1:16" x14ac:dyDescent="0.25">
      <c r="B417" s="57" t="str">
        <f>IF($A417=0,"",VLOOKUP($A417,'BASE M-OBRA'!$A:$D,2))</f>
        <v/>
      </c>
      <c r="C417" s="58"/>
      <c r="D417" s="59"/>
      <c r="E417" s="59" t="str">
        <f>IF($A417=0,"",VLOOKUP($A417,'BASE M-OBRA'!$A:$D,4))</f>
        <v/>
      </c>
      <c r="F417" s="59" t="str">
        <f t="shared" si="38"/>
        <v/>
      </c>
      <c r="G417" s="107"/>
      <c r="H417" s="60" t="str">
        <f t="shared" si="39"/>
        <v/>
      </c>
      <c r="I417" s="2"/>
    </row>
    <row r="418" spans="1:16" x14ac:dyDescent="0.25">
      <c r="B418" s="73" t="s">
        <v>1685</v>
      </c>
      <c r="C418" s="65"/>
      <c r="D418" s="74"/>
      <c r="E418" s="74"/>
      <c r="F418" s="74"/>
      <c r="G418" s="74"/>
      <c r="H418" s="75">
        <f>ROUND(SUM(H410:H417),2)</f>
        <v>44.88</v>
      </c>
      <c r="I418" s="2"/>
    </row>
    <row r="419" spans="1:16" x14ac:dyDescent="0.25">
      <c r="B419" s="38" t="s">
        <v>1684</v>
      </c>
      <c r="C419" s="2"/>
      <c r="D419" s="3"/>
      <c r="E419" s="3"/>
      <c r="F419" s="3"/>
      <c r="G419" s="3"/>
      <c r="H419" s="56"/>
      <c r="I419" s="2"/>
    </row>
    <row r="420" spans="1:16" ht="25.5" x14ac:dyDescent="0.25">
      <c r="B420" s="64" t="s">
        <v>1409</v>
      </c>
      <c r="C420" s="65"/>
      <c r="D420" s="76"/>
      <c r="E420" s="66" t="s">
        <v>1408</v>
      </c>
      <c r="F420" s="66" t="s">
        <v>1679</v>
      </c>
      <c r="G420" s="66" t="s">
        <v>1683</v>
      </c>
      <c r="H420" s="68" t="s">
        <v>1675</v>
      </c>
      <c r="I420" s="2"/>
    </row>
    <row r="421" spans="1:16" x14ac:dyDescent="0.25">
      <c r="A421" s="103">
        <v>16006</v>
      </c>
      <c r="B421" s="38" t="str">
        <f>IF($A421=0,"",VLOOKUP($A421,'BASE MATERIAL'!$A:$D,2))</f>
        <v>MEDIDOR DE AGUA</v>
      </c>
      <c r="C421" s="2"/>
      <c r="D421" s="77"/>
      <c r="E421" s="78" t="str">
        <f>IF($A421=0,"",VLOOKUP($A421,'BASE MATERIAL'!$A:$D,3))</f>
        <v>U</v>
      </c>
      <c r="F421" s="55">
        <v>1</v>
      </c>
      <c r="G421" s="55">
        <v>75</v>
      </c>
      <c r="H421" s="56">
        <f>IF($A421=0,"",ROUND(F421*G421,2))</f>
        <v>75</v>
      </c>
      <c r="I421" s="2"/>
      <c r="L421" s="2"/>
      <c r="M421" s="2"/>
      <c r="N421" s="39"/>
      <c r="O421" s="2"/>
      <c r="P421" s="2"/>
    </row>
    <row r="422" spans="1:16" x14ac:dyDescent="0.25">
      <c r="A422" s="103">
        <v>16002</v>
      </c>
      <c r="B422" s="38" t="str">
        <f>IF($A422=0,"",VLOOKUP($A422,'BASE MATERIAL'!$A:$D,2))</f>
        <v>CINTA TEFLON</v>
      </c>
      <c r="C422" s="2"/>
      <c r="D422" s="77"/>
      <c r="E422" s="78" t="str">
        <f>IF($A422=0,"",VLOOKUP($A422,'BASE MATERIAL'!$A:$D,3))</f>
        <v>ROLLO</v>
      </c>
      <c r="F422" s="55">
        <v>0.25</v>
      </c>
      <c r="G422" s="55">
        <f>IF($A422=0,"",VLOOKUP($A422,'BASE MATERIAL'!$A:$D,4))</f>
        <v>0.35</v>
      </c>
      <c r="H422" s="56">
        <f>IF($A422=0,"",ROUND(F422*G422,2))</f>
        <v>0.09</v>
      </c>
      <c r="I422" s="2"/>
      <c r="L422" s="2"/>
      <c r="M422" s="2"/>
      <c r="N422" s="39"/>
      <c r="O422" s="2"/>
      <c r="P422" s="2"/>
    </row>
    <row r="423" spans="1:16" x14ac:dyDescent="0.25">
      <c r="B423" s="38"/>
      <c r="C423" s="2"/>
      <c r="D423" s="77"/>
      <c r="E423" s="78"/>
      <c r="F423" s="55"/>
      <c r="G423" s="55"/>
      <c r="H423" s="56" t="str">
        <f t="shared" ref="H423:H435" si="40">IF($A423=0,"",ROUND(F423*G423,2))</f>
        <v/>
      </c>
      <c r="I423" s="2"/>
      <c r="L423" s="2"/>
      <c r="M423" s="2"/>
      <c r="N423" s="39"/>
      <c r="O423" s="2"/>
      <c r="P423" s="2"/>
    </row>
    <row r="424" spans="1:16" x14ac:dyDescent="0.25">
      <c r="B424" s="38"/>
      <c r="C424" s="2"/>
      <c r="D424" s="77"/>
      <c r="E424" s="78"/>
      <c r="F424" s="55"/>
      <c r="G424" s="55"/>
      <c r="H424" s="56" t="str">
        <f t="shared" si="40"/>
        <v/>
      </c>
      <c r="I424" s="2"/>
      <c r="L424" s="2"/>
      <c r="M424" s="2"/>
      <c r="N424" s="39"/>
      <c r="O424" s="2"/>
      <c r="P424" s="2"/>
    </row>
    <row r="425" spans="1:16" x14ac:dyDescent="0.25">
      <c r="B425" s="38"/>
      <c r="C425" s="2"/>
      <c r="D425" s="77"/>
      <c r="E425" s="78"/>
      <c r="F425" s="55"/>
      <c r="G425" s="55"/>
      <c r="H425" s="56" t="str">
        <f t="shared" si="40"/>
        <v/>
      </c>
      <c r="I425" s="2"/>
      <c r="L425" s="2"/>
      <c r="M425" s="2"/>
      <c r="N425" s="39"/>
      <c r="O425" s="2"/>
      <c r="P425" s="2"/>
    </row>
    <row r="426" spans="1:16" x14ac:dyDescent="0.25">
      <c r="B426" s="38"/>
      <c r="C426" s="2"/>
      <c r="D426" s="77"/>
      <c r="E426" s="78"/>
      <c r="F426" s="55"/>
      <c r="G426" s="55"/>
      <c r="H426" s="56" t="str">
        <f t="shared" si="40"/>
        <v/>
      </c>
      <c r="I426" s="2"/>
      <c r="L426" s="2"/>
      <c r="M426" s="2"/>
      <c r="N426" s="39"/>
      <c r="O426" s="2"/>
      <c r="P426" s="2"/>
    </row>
    <row r="427" spans="1:16" x14ac:dyDescent="0.25">
      <c r="B427" s="38"/>
      <c r="C427" s="2"/>
      <c r="D427" s="77"/>
      <c r="E427" s="78"/>
      <c r="F427" s="55"/>
      <c r="G427" s="55"/>
      <c r="H427" s="56" t="str">
        <f t="shared" si="40"/>
        <v/>
      </c>
      <c r="I427" s="2"/>
      <c r="L427" s="2"/>
      <c r="M427" s="2"/>
      <c r="N427" s="39"/>
      <c r="O427" s="2"/>
      <c r="P427" s="2"/>
    </row>
    <row r="428" spans="1:16" x14ac:dyDescent="0.25">
      <c r="B428" s="38"/>
      <c r="C428" s="2"/>
      <c r="D428" s="77"/>
      <c r="E428" s="78"/>
      <c r="F428" s="55"/>
      <c r="G428" s="55"/>
      <c r="H428" s="56" t="str">
        <f t="shared" si="40"/>
        <v/>
      </c>
      <c r="I428" s="2"/>
      <c r="L428" s="2"/>
      <c r="M428" s="2"/>
      <c r="N428" s="39"/>
      <c r="O428" s="2"/>
      <c r="P428" s="2"/>
    </row>
    <row r="429" spans="1:16" x14ac:dyDescent="0.25">
      <c r="B429" s="38"/>
      <c r="C429" s="2"/>
      <c r="D429" s="77"/>
      <c r="E429" s="78"/>
      <c r="F429" s="55"/>
      <c r="G429" s="55"/>
      <c r="H429" s="56" t="str">
        <f t="shared" si="40"/>
        <v/>
      </c>
      <c r="I429" s="2"/>
    </row>
    <row r="430" spans="1:16" x14ac:dyDescent="0.25">
      <c r="B430" s="38" t="str">
        <f>IF($A430=0,"",VLOOKUP($A430,'BASE MATERIAL'!$A:$D,2))</f>
        <v/>
      </c>
      <c r="C430" s="2"/>
      <c r="D430" s="77"/>
      <c r="E430" s="78" t="str">
        <f>IF($A430=0,"",VLOOKUP($A430,'BASE MATERIAL'!$A:$D,3))</f>
        <v/>
      </c>
      <c r="F430" s="55"/>
      <c r="G430" s="55" t="str">
        <f>IF($A430=0,"",VLOOKUP($A430,'BASE MATERIAL'!$A:$D,4))</f>
        <v/>
      </c>
      <c r="H430" s="56" t="str">
        <f t="shared" si="40"/>
        <v/>
      </c>
      <c r="I430" s="2"/>
      <c r="L430" s="2"/>
      <c r="M430" s="2"/>
      <c r="N430" s="39"/>
      <c r="O430" s="2"/>
      <c r="P430" s="2"/>
    </row>
    <row r="431" spans="1:16" x14ac:dyDescent="0.25">
      <c r="B431" s="38" t="str">
        <f>IF($A431=0,"",VLOOKUP($A431,'BASE MATERIAL'!$A:$D,2))</f>
        <v/>
      </c>
      <c r="C431" s="2"/>
      <c r="D431" s="77"/>
      <c r="E431" s="78" t="str">
        <f>IF($A431=0,"",VLOOKUP($A431,'BASE MATERIAL'!$A:$D,3))</f>
        <v/>
      </c>
      <c r="F431" s="55"/>
      <c r="G431" s="55" t="str">
        <f>IF($A431=0,"",VLOOKUP($A431,'BASE MATERIAL'!$A:$D,4))</f>
        <v/>
      </c>
      <c r="H431" s="56" t="str">
        <f t="shared" si="40"/>
        <v/>
      </c>
      <c r="I431" s="2"/>
      <c r="L431" s="2"/>
      <c r="M431" s="2"/>
      <c r="N431" s="39"/>
      <c r="O431" s="2"/>
      <c r="P431" s="2"/>
    </row>
    <row r="432" spans="1:16" x14ac:dyDescent="0.25">
      <c r="B432" s="38" t="str">
        <f>IF($A432=0,"",VLOOKUP($A432,'BASE MATERIAL'!$A:$D,2))</f>
        <v/>
      </c>
      <c r="C432" s="2"/>
      <c r="D432" s="77"/>
      <c r="E432" s="78" t="str">
        <f>IF($A432=0,"",VLOOKUP($A432,'BASE MATERIAL'!$A:$D,3))</f>
        <v/>
      </c>
      <c r="F432" s="55"/>
      <c r="G432" s="55" t="str">
        <f>IF($A432=0,"",VLOOKUP($A432,'BASE MATERIAL'!$A:$D,4))</f>
        <v/>
      </c>
      <c r="H432" s="56" t="str">
        <f t="shared" si="40"/>
        <v/>
      </c>
      <c r="I432" s="2"/>
    </row>
    <row r="433" spans="1:9" x14ac:dyDescent="0.25">
      <c r="B433" s="38" t="str">
        <f>IF($A433=0,"",VLOOKUP($A433,'BASE MATERIAL'!$A:$D,2))</f>
        <v/>
      </c>
      <c r="C433" s="2"/>
      <c r="D433" s="77"/>
      <c r="E433" s="78" t="str">
        <f>IF($A433=0,"",VLOOKUP($A433,'BASE MATERIAL'!$A:$D,3))</f>
        <v/>
      </c>
      <c r="F433" s="55"/>
      <c r="G433" s="55" t="str">
        <f>IF($A433=0,"",VLOOKUP($A433,'BASE MATERIAL'!$A:$D,4))</f>
        <v/>
      </c>
      <c r="H433" s="56" t="str">
        <f t="shared" si="40"/>
        <v/>
      </c>
      <c r="I433" s="2"/>
    </row>
    <row r="434" spans="1:9" x14ac:dyDescent="0.25">
      <c r="B434" s="38" t="str">
        <f>IF($A434=0,"",VLOOKUP($A434,'BASE MATERIAL'!$A:$D,2))</f>
        <v/>
      </c>
      <c r="C434" s="2"/>
      <c r="D434" s="77"/>
      <c r="E434" s="78" t="str">
        <f>IF($A434=0,"",VLOOKUP($A434,'BASE MATERIAL'!$A:$D,3))</f>
        <v/>
      </c>
      <c r="F434" s="55"/>
      <c r="G434" s="55" t="str">
        <f>IF($A434=0,"",VLOOKUP($A434,'BASE MATERIAL'!$A:$D,4))</f>
        <v/>
      </c>
      <c r="H434" s="56" t="str">
        <f t="shared" si="40"/>
        <v/>
      </c>
      <c r="I434" s="2"/>
    </row>
    <row r="435" spans="1:9" x14ac:dyDescent="0.25">
      <c r="B435" s="38" t="str">
        <f>IF($A435=0,"",VLOOKUP($A435,'BASE MATERIAL'!$A:$D,2))</f>
        <v/>
      </c>
      <c r="C435" s="2"/>
      <c r="D435" s="77"/>
      <c r="E435" s="78" t="str">
        <f>IF($A435=0,"",VLOOKUP($A435,'BASE MATERIAL'!$A:$D,3))</f>
        <v/>
      </c>
      <c r="F435" s="55"/>
      <c r="G435" s="55" t="str">
        <f>IF($A435=0,"",VLOOKUP($A435,'BASE MATERIAL'!$A:$D,4))</f>
        <v/>
      </c>
      <c r="H435" s="56" t="str">
        <f t="shared" si="40"/>
        <v/>
      </c>
      <c r="I435" s="2"/>
    </row>
    <row r="436" spans="1:9" x14ac:dyDescent="0.25">
      <c r="B436" s="38" t="str">
        <f>IF($A436=0,"",VLOOKUP($A436,'BASE MATERIAL'!$A:$D,2))</f>
        <v/>
      </c>
      <c r="C436" s="2"/>
      <c r="D436" s="81" t="s">
        <v>1682</v>
      </c>
      <c r="E436" s="55" t="str">
        <f>IF($A436=0,"",VLOOKUP($A436,'BASE MATERIAL'!$A:$D,3))</f>
        <v/>
      </c>
      <c r="F436" s="55" t="s">
        <v>1682</v>
      </c>
      <c r="G436" s="55" t="str">
        <f>IF($A436=0,"",VLOOKUP($A436,'BASE MATERIAL'!$A:$D,4))</f>
        <v/>
      </c>
      <c r="H436" s="56" t="str">
        <f>IF($A436=0,"",ROUND(E436*F436,2))</f>
        <v/>
      </c>
      <c r="I436" s="2"/>
    </row>
    <row r="437" spans="1:9" x14ac:dyDescent="0.25">
      <c r="B437" s="73" t="s">
        <v>1681</v>
      </c>
      <c r="C437" s="65"/>
      <c r="D437" s="74"/>
      <c r="E437" s="74"/>
      <c r="F437" s="74"/>
      <c r="G437" s="74"/>
      <c r="H437" s="75">
        <f>ROUND(SUM(H420:H436),2)</f>
        <v>75.09</v>
      </c>
      <c r="I437" s="2"/>
    </row>
    <row r="438" spans="1:9" x14ac:dyDescent="0.25">
      <c r="B438" s="38" t="s">
        <v>1680</v>
      </c>
      <c r="C438" s="2"/>
      <c r="D438" s="3"/>
      <c r="E438" s="3"/>
      <c r="F438" s="3"/>
      <c r="G438" s="3"/>
      <c r="H438" s="56"/>
      <c r="I438" s="2"/>
    </row>
    <row r="439" spans="1:9" ht="25.5" x14ac:dyDescent="0.25">
      <c r="B439" s="64" t="s">
        <v>1409</v>
      </c>
      <c r="C439" s="65"/>
      <c r="D439" s="76"/>
      <c r="E439" s="66" t="s">
        <v>1408</v>
      </c>
      <c r="F439" s="66" t="s">
        <v>1679</v>
      </c>
      <c r="G439" s="66" t="s">
        <v>1676</v>
      </c>
      <c r="H439" s="68" t="s">
        <v>1675</v>
      </c>
      <c r="I439" s="2"/>
    </row>
    <row r="440" spans="1:9" x14ac:dyDescent="0.25">
      <c r="A440" s="103">
        <v>19019</v>
      </c>
      <c r="B440" s="51" t="str">
        <f>IF($A440=0,"",VLOOKUP($A440,'BASE EQUIPO'!$A:$D,2))</f>
        <v>TRANSPORTE DE MATERIAL</v>
      </c>
      <c r="C440" s="52"/>
      <c r="D440" s="82"/>
      <c r="E440" s="78" t="str">
        <f>IF($A440=0,"",VLOOKUP($A440,'BASE EQUIPO'!$A:$D,3))</f>
        <v>GLOBAL</v>
      </c>
      <c r="F440" s="55">
        <v>1</v>
      </c>
      <c r="G440" s="83">
        <f>IF($A440=0,"",VLOOKUP($A440,'BASE EQUIPO'!$A:$D,4)*H437)</f>
        <v>2.2526999999999999</v>
      </c>
      <c r="H440" s="56">
        <f>IF($A440=0,"",ROUND(F440*G440,2))</f>
        <v>2.25</v>
      </c>
      <c r="I440" s="2"/>
    </row>
    <row r="441" spans="1:9" x14ac:dyDescent="0.25">
      <c r="B441" s="38" t="str">
        <f>IF($A441=0,"",VLOOKUP($A441,'BASE EQUIPO'!$A:$D,2))</f>
        <v/>
      </c>
      <c r="C441" s="2"/>
      <c r="D441" s="84"/>
      <c r="E441" s="78" t="str">
        <f>IF($A441=0,"",VLOOKUP($A441,'BASE EQUIPO'!$A:$D,3))</f>
        <v/>
      </c>
      <c r="F441" s="55"/>
      <c r="G441" s="55" t="str">
        <f>IF($A441=0,"",VLOOKUP($A441,'BASE EQUIPO'!$A:$D,4)*H438)</f>
        <v/>
      </c>
      <c r="H441" s="56" t="str">
        <f>IF($A441=0,"",ROUND(F441*G441,2))</f>
        <v/>
      </c>
      <c r="I441" s="2"/>
    </row>
    <row r="442" spans="1:9" x14ac:dyDescent="0.25">
      <c r="B442" s="57" t="str">
        <f>IF($A442=0,"",VLOOKUP($A442,'BASE EQUIPO'!$A:$D,2))</f>
        <v/>
      </c>
      <c r="C442" s="58"/>
      <c r="D442" s="85"/>
      <c r="E442" s="86" t="str">
        <f>IF($A442=0,"",VLOOKUP($A442,'BASE EQUIPO'!$A:$D,3))</f>
        <v/>
      </c>
      <c r="F442" s="59"/>
      <c r="G442" s="59" t="str">
        <f>IF($A442=0,"",VLOOKUP($A442,'BASE EQUIPO'!$A:$D,4)*H439)</f>
        <v/>
      </c>
      <c r="H442" s="60" t="str">
        <f>IF($A442=0,"",ROUND(F442*G442,2))</f>
        <v/>
      </c>
      <c r="I442" s="2"/>
    </row>
    <row r="443" spans="1:9" ht="15.75" thickBot="1" x14ac:dyDescent="0.3">
      <c r="B443" s="87" t="s">
        <v>1674</v>
      </c>
      <c r="C443" s="88"/>
      <c r="D443" s="89"/>
      <c r="E443" s="89"/>
      <c r="F443" s="89"/>
      <c r="G443" s="89"/>
      <c r="H443" s="90">
        <f>ROUND(SUM(H439:H442),2)</f>
        <v>2.25</v>
      </c>
      <c r="I443" s="2"/>
    </row>
    <row r="444" spans="1:9" ht="15.75" x14ac:dyDescent="0.25">
      <c r="B444" s="2"/>
      <c r="C444" s="2"/>
      <c r="D444" s="91" t="s">
        <v>1673</v>
      </c>
      <c r="E444" s="47"/>
      <c r="F444" s="47"/>
      <c r="G444" s="47"/>
      <c r="H444" s="92">
        <f>ROUND(SUM(H443,H437,H418,H408),2)</f>
        <v>123.57</v>
      </c>
      <c r="I444" s="2"/>
    </row>
    <row r="445" spans="1:9" ht="15.75" x14ac:dyDescent="0.25">
      <c r="A445" s="103">
        <v>40002</v>
      </c>
      <c r="B445" s="2"/>
      <c r="C445" s="2"/>
      <c r="D445" s="93" t="s">
        <v>1672</v>
      </c>
      <c r="E445" s="65"/>
      <c r="F445" s="65"/>
      <c r="G445" s="94">
        <f>IF($A445=0,"",VLOOKUP($A445,'BASE MATERIAL'!$M:$P,4))</f>
        <v>0</v>
      </c>
      <c r="H445" s="95">
        <f>IF($A445=0,"",ROUND(G445*H444,2))</f>
        <v>0</v>
      </c>
      <c r="I445" s="2"/>
    </row>
    <row r="446" spans="1:9" ht="15.75" x14ac:dyDescent="0.25">
      <c r="A446" s="103">
        <v>40003</v>
      </c>
      <c r="B446" s="2"/>
      <c r="C446" s="2"/>
      <c r="D446" s="93" t="s">
        <v>1671</v>
      </c>
      <c r="E446" s="65"/>
      <c r="F446" s="65"/>
      <c r="G446" s="94">
        <f>IF($A446=0,"",VLOOKUP($A446,'BASE MATERIAL'!$M:$P,4))</f>
        <v>0</v>
      </c>
      <c r="H446" s="95">
        <f>IF($A446=0,"",ROUND(G446*H444,2))</f>
        <v>0</v>
      </c>
      <c r="I446" s="2"/>
    </row>
    <row r="447" spans="1:9" ht="15.75" x14ac:dyDescent="0.25">
      <c r="B447" s="2"/>
      <c r="C447" s="2"/>
      <c r="D447" s="93" t="s">
        <v>1670</v>
      </c>
      <c r="E447" s="65"/>
      <c r="F447" s="65"/>
      <c r="G447" s="65"/>
      <c r="H447" s="96">
        <f>ROUND(SUM(H444:H446),2)</f>
        <v>123.57</v>
      </c>
      <c r="I447" s="2"/>
    </row>
    <row r="448" spans="1:9" ht="16.5" thickBot="1" x14ac:dyDescent="0.3">
      <c r="B448" s="25"/>
      <c r="C448" s="2"/>
      <c r="D448" s="97" t="s">
        <v>1650</v>
      </c>
      <c r="E448" s="88"/>
      <c r="F448" s="88"/>
      <c r="G448" s="88"/>
      <c r="H448" s="98">
        <f>ROUND(H447,2)</f>
        <v>123.57</v>
      </c>
      <c r="I448" s="2"/>
    </row>
    <row r="449" spans="1:15" ht="15.75" x14ac:dyDescent="0.25">
      <c r="B449" s="34" t="s">
        <v>1701</v>
      </c>
      <c r="C449" s="2"/>
      <c r="D449" s="3" t="str">
        <f>$D$1</f>
        <v>ESPOL</v>
      </c>
      <c r="E449" s="2"/>
      <c r="F449" s="2"/>
      <c r="H449" s="2" t="s">
        <v>108</v>
      </c>
      <c r="I449" s="2"/>
      <c r="L449" s="40">
        <f>A453</f>
        <v>9</v>
      </c>
      <c r="M449" s="1" t="str">
        <f>C454</f>
        <v>Llave de control 1/2 R/W</v>
      </c>
      <c r="N449" s="2" t="str">
        <f>H453</f>
        <v>U</v>
      </c>
      <c r="O449" s="2">
        <f>H504</f>
        <v>18.48</v>
      </c>
    </row>
    <row r="450" spans="1:15" ht="15.75" x14ac:dyDescent="0.25">
      <c r="B450" s="34" t="s">
        <v>1700</v>
      </c>
      <c r="C450" s="3">
        <f>'1.1'!$C$2</f>
        <v>0</v>
      </c>
      <c r="D450" s="2"/>
      <c r="E450" s="2"/>
      <c r="F450" s="2"/>
      <c r="G450" s="41" t="s">
        <v>1699</v>
      </c>
      <c r="H450" s="42"/>
      <c r="I450" s="2" t="s">
        <v>1698</v>
      </c>
    </row>
    <row r="451" spans="1:15" ht="15.75" x14ac:dyDescent="0.25">
      <c r="B451" s="34"/>
      <c r="C451" s="3">
        <f>'1.1'!$C$3</f>
        <v>0</v>
      </c>
      <c r="D451" s="2"/>
      <c r="E451" s="2"/>
      <c r="F451" s="2"/>
      <c r="G451" s="2"/>
      <c r="H451" s="2"/>
      <c r="I451" s="2"/>
    </row>
    <row r="452" spans="1:15" ht="15.75" x14ac:dyDescent="0.25">
      <c r="B452" s="34" t="s">
        <v>1697</v>
      </c>
      <c r="C452" s="3"/>
      <c r="D452" s="2"/>
      <c r="E452" s="2"/>
      <c r="F452" s="2"/>
      <c r="G452" s="2"/>
      <c r="H452" s="2"/>
      <c r="I452" s="2"/>
    </row>
    <row r="453" spans="1:15" x14ac:dyDescent="0.25">
      <c r="A453" s="104">
        <v>9</v>
      </c>
      <c r="B453" s="2" t="s">
        <v>1586</v>
      </c>
      <c r="C453" s="101" t="s">
        <v>608</v>
      </c>
      <c r="D453" s="2"/>
      <c r="G453" s="2" t="s">
        <v>1696</v>
      </c>
      <c r="H453" s="3" t="s">
        <v>744</v>
      </c>
      <c r="I453" s="2"/>
    </row>
    <row r="454" spans="1:15" x14ac:dyDescent="0.25">
      <c r="B454" s="1" t="s">
        <v>1585</v>
      </c>
      <c r="C454" s="36" t="s">
        <v>1436</v>
      </c>
      <c r="D454" s="2"/>
      <c r="E454" s="2"/>
      <c r="F454" s="2"/>
      <c r="G454" s="2"/>
      <c r="H454" s="2"/>
      <c r="I454" s="2"/>
    </row>
    <row r="455" spans="1:15" ht="15.75" thickBot="1" x14ac:dyDescent="0.3">
      <c r="D455" s="2"/>
      <c r="E455" s="2"/>
      <c r="F455" s="2"/>
      <c r="G455" s="2"/>
      <c r="H455" s="2"/>
      <c r="I455" s="2"/>
    </row>
    <row r="456" spans="1:15" ht="15.75" thickBot="1" x14ac:dyDescent="0.3">
      <c r="B456" s="43" t="s">
        <v>1695</v>
      </c>
      <c r="C456" s="44"/>
      <c r="D456" s="44"/>
      <c r="E456" s="44"/>
      <c r="F456" s="44"/>
      <c r="G456" s="44"/>
      <c r="H456" s="45"/>
      <c r="I456" s="2"/>
    </row>
    <row r="457" spans="1:15" ht="25.5" x14ac:dyDescent="0.25">
      <c r="B457" s="46" t="s">
        <v>1409</v>
      </c>
      <c r="C457" s="47"/>
      <c r="D457" s="48" t="s">
        <v>1690</v>
      </c>
      <c r="E457" s="48" t="s">
        <v>1694</v>
      </c>
      <c r="F457" s="48" t="s">
        <v>1693</v>
      </c>
      <c r="G457" s="49" t="s">
        <v>1687</v>
      </c>
      <c r="H457" s="50" t="s">
        <v>1686</v>
      </c>
      <c r="I457" s="2"/>
    </row>
    <row r="458" spans="1:15" x14ac:dyDescent="0.25">
      <c r="A458" s="103">
        <v>19015</v>
      </c>
      <c r="B458" s="51" t="str">
        <f>IF($A458=0,"",VLOOKUP($A458,'BASE EQUIPO'!$A:$D,2))</f>
        <v>HERRAMIENTA MENOR</v>
      </c>
      <c r="C458" s="52"/>
      <c r="D458" s="53">
        <v>1</v>
      </c>
      <c r="E458" s="53">
        <f>IF($A458=0,"",VLOOKUP($A458,'BASE EQUIPO'!$A:$D,4)*H474)</f>
        <v>0.16830000000000001</v>
      </c>
      <c r="F458" s="53">
        <f t="shared" ref="F458:F463" si="41">IF($A458=0,"",ROUND(D458*E458,2))</f>
        <v>0.17</v>
      </c>
      <c r="G458" s="105">
        <v>1</v>
      </c>
      <c r="H458" s="54">
        <f t="shared" ref="H458:H463" si="42">IF($A458=0,"",ROUND(G458*F458,2))</f>
        <v>0.17</v>
      </c>
      <c r="I458" s="2"/>
    </row>
    <row r="459" spans="1:15" x14ac:dyDescent="0.25">
      <c r="B459" s="38" t="str">
        <f>IF($A459=0,"",VLOOKUP($A459,'BASE EQUIPO'!$A:$D,2))</f>
        <v/>
      </c>
      <c r="C459" s="2"/>
      <c r="D459" s="55"/>
      <c r="E459" s="55" t="str">
        <f>IF($A459=0,"",VLOOKUP($A459,'BASE EQUIPO'!$A:$D,4))</f>
        <v/>
      </c>
      <c r="F459" s="55" t="str">
        <f t="shared" si="41"/>
        <v/>
      </c>
      <c r="G459" s="106"/>
      <c r="H459" s="56" t="str">
        <f t="shared" si="42"/>
        <v/>
      </c>
      <c r="I459" s="2"/>
    </row>
    <row r="460" spans="1:15" x14ac:dyDescent="0.25">
      <c r="B460" s="38" t="str">
        <f>IF($A460=0,"",VLOOKUP($A460,'BASE EQUIPO'!$A:$D,2))</f>
        <v/>
      </c>
      <c r="C460" s="2"/>
      <c r="D460" s="55"/>
      <c r="E460" s="55" t="str">
        <f>IF($A460=0,"",VLOOKUP($A460,'BASE EQUIPO'!$A:$D,4))</f>
        <v/>
      </c>
      <c r="F460" s="55" t="str">
        <f t="shared" si="41"/>
        <v/>
      </c>
      <c r="G460" s="106"/>
      <c r="H460" s="56" t="str">
        <f t="shared" si="42"/>
        <v/>
      </c>
      <c r="I460" s="2"/>
    </row>
    <row r="461" spans="1:15" x14ac:dyDescent="0.25">
      <c r="B461" s="38" t="str">
        <f>IF($A461=0,"",VLOOKUP($A461,'BASE EQUIPO'!$A:$D,2))</f>
        <v/>
      </c>
      <c r="C461" s="2"/>
      <c r="D461" s="55"/>
      <c r="E461" s="55" t="str">
        <f>IF($A461=0,"",VLOOKUP($A461,'BASE EQUIPO'!$A:$D,4))</f>
        <v/>
      </c>
      <c r="F461" s="55" t="str">
        <f t="shared" si="41"/>
        <v/>
      </c>
      <c r="G461" s="106"/>
      <c r="H461" s="56" t="str">
        <f t="shared" si="42"/>
        <v/>
      </c>
      <c r="I461" s="2"/>
    </row>
    <row r="462" spans="1:15" x14ac:dyDescent="0.25">
      <c r="B462" s="38" t="str">
        <f>IF($A462=0,"",VLOOKUP($A462,'BASE EQUIPO'!$A:$D,2))</f>
        <v/>
      </c>
      <c r="C462" s="2"/>
      <c r="D462" s="55"/>
      <c r="E462" s="55" t="str">
        <f>IF($A462=0,"",VLOOKUP($A462,'BASE EQUIPO'!$A:$D,4))</f>
        <v/>
      </c>
      <c r="F462" s="55" t="str">
        <f t="shared" si="41"/>
        <v/>
      </c>
      <c r="G462" s="106"/>
      <c r="H462" s="56" t="str">
        <f t="shared" si="42"/>
        <v/>
      </c>
      <c r="I462" s="2"/>
    </row>
    <row r="463" spans="1:15" x14ac:dyDescent="0.25">
      <c r="B463" s="57" t="str">
        <f>IF($A463=0,"",VLOOKUP($A463,'BASE EQUIPO'!$A:$D,2))</f>
        <v/>
      </c>
      <c r="C463" s="58"/>
      <c r="D463" s="59"/>
      <c r="E463" s="59" t="str">
        <f>IF($A463=0,"",VLOOKUP($A463,'BASE EQUIPO'!$A:$D,4))</f>
        <v/>
      </c>
      <c r="F463" s="59" t="str">
        <f t="shared" si="41"/>
        <v/>
      </c>
      <c r="G463" s="107"/>
      <c r="H463" s="60" t="str">
        <f t="shared" si="42"/>
        <v/>
      </c>
      <c r="I463" s="2"/>
    </row>
    <row r="464" spans="1:15" x14ac:dyDescent="0.25">
      <c r="B464" s="57" t="s">
        <v>1692</v>
      </c>
      <c r="C464" s="58"/>
      <c r="D464" s="61"/>
      <c r="E464" s="61"/>
      <c r="F464" s="61"/>
      <c r="G464" s="62"/>
      <c r="H464" s="60">
        <f>ROUND(SUM(H457:H463),2)</f>
        <v>0.17</v>
      </c>
      <c r="I464" s="2"/>
    </row>
    <row r="465" spans="1:16" x14ac:dyDescent="0.25">
      <c r="B465" s="38" t="s">
        <v>1503</v>
      </c>
      <c r="C465" s="2"/>
      <c r="D465" s="3"/>
      <c r="E465" s="3"/>
      <c r="F465" s="3"/>
      <c r="G465" s="63"/>
      <c r="H465" s="56"/>
      <c r="I465" s="2"/>
    </row>
    <row r="466" spans="1:16" ht="25.5" x14ac:dyDescent="0.25">
      <c r="B466" s="64" t="s">
        <v>1691</v>
      </c>
      <c r="C466" s="65"/>
      <c r="D466" s="66" t="s">
        <v>1690</v>
      </c>
      <c r="E466" s="66" t="s">
        <v>1689</v>
      </c>
      <c r="F466" s="66" t="s">
        <v>1688</v>
      </c>
      <c r="G466" s="67" t="s">
        <v>1687</v>
      </c>
      <c r="H466" s="68" t="s">
        <v>1686</v>
      </c>
      <c r="I466" s="2"/>
    </row>
    <row r="467" spans="1:16" x14ac:dyDescent="0.25">
      <c r="B467" s="69" t="str">
        <f>IF($A467=0,"",VLOOKUP($A467,'BASE M-OBRA'!$A:$D,2))</f>
        <v/>
      </c>
      <c r="C467" s="2"/>
      <c r="D467" s="108"/>
      <c r="E467" s="70" t="str">
        <f>IF($A467=0,"",VLOOKUP($A467,'BASE M-OBRA'!$A:$D,4))</f>
        <v/>
      </c>
      <c r="F467" s="55" t="str">
        <f t="shared" ref="F467:F473" si="43">IF($A467=0,"",ROUND(D467*E467,2))</f>
        <v/>
      </c>
      <c r="G467" s="106" t="str">
        <f>IF($A467=0,"",ROUND(H467/F467,2))</f>
        <v/>
      </c>
      <c r="H467" s="56" t="str">
        <f>IF($A467=0,"",ROUND(SUM(H468:H473)*'BASE M-OBRA'!$D$23,2))</f>
        <v/>
      </c>
      <c r="I467" s="2"/>
    </row>
    <row r="468" spans="1:16" x14ac:dyDescent="0.25">
      <c r="A468" s="103">
        <v>20011</v>
      </c>
      <c r="B468" s="69" t="str">
        <f>IF($A468=0,"",VLOOKUP($A468,'BASE M-OBRA'!$A:$D,2))</f>
        <v>AYUDANTE ESPECIALISTA</v>
      </c>
      <c r="C468" s="2"/>
      <c r="D468" s="108">
        <v>1</v>
      </c>
      <c r="E468" s="70">
        <f>IF($A468=0,"",VLOOKUP($A468,'BASE M-OBRA'!$A:$D,4))</f>
        <v>2.79</v>
      </c>
      <c r="F468" s="55">
        <f t="shared" si="43"/>
        <v>2.79</v>
      </c>
      <c r="G468" s="106">
        <v>1</v>
      </c>
      <c r="H468" s="56">
        <f t="shared" ref="H468:H473" si="44">IF($A468=0,"",ROUND(G468*F468,2))</f>
        <v>2.79</v>
      </c>
      <c r="I468" s="2"/>
    </row>
    <row r="469" spans="1:16" x14ac:dyDescent="0.25">
      <c r="A469" s="103">
        <v>20016</v>
      </c>
      <c r="B469" s="69" t="str">
        <f>IF($A469=0,"",VLOOKUP($A469,'BASE M-OBRA'!$A:$D,2))</f>
        <v>GAFITERO</v>
      </c>
      <c r="C469" s="2"/>
      <c r="D469" s="108">
        <v>1</v>
      </c>
      <c r="E469" s="70">
        <f>IF($A469=0,"",VLOOKUP($A469,'BASE M-OBRA'!$A:$D,4))</f>
        <v>2.82</v>
      </c>
      <c r="F469" s="55">
        <f t="shared" si="43"/>
        <v>2.82</v>
      </c>
      <c r="G469" s="106">
        <f>+G468</f>
        <v>1</v>
      </c>
      <c r="H469" s="56">
        <f t="shared" si="44"/>
        <v>2.82</v>
      </c>
      <c r="I469" s="2"/>
    </row>
    <row r="470" spans="1:16" x14ac:dyDescent="0.25">
      <c r="B470" s="71" t="str">
        <f>IF($A470=0,"",VLOOKUP($A470,'BASE M-OBRA'!$A:$D,2))</f>
        <v/>
      </c>
      <c r="C470" s="2"/>
      <c r="D470" s="108"/>
      <c r="E470" s="70" t="str">
        <f>IF($A470=0,"",VLOOKUP($A470,'BASE M-OBRA'!$A:$D,4))</f>
        <v/>
      </c>
      <c r="F470" s="55" t="str">
        <f t="shared" si="43"/>
        <v/>
      </c>
      <c r="G470" s="106"/>
      <c r="H470" s="56" t="str">
        <f t="shared" si="44"/>
        <v/>
      </c>
      <c r="I470" s="2"/>
    </row>
    <row r="471" spans="1:16" x14ac:dyDescent="0.25">
      <c r="B471" s="72" t="str">
        <f>IF($A471=0,"",VLOOKUP($A471,'BASE M-OBRA'!$A:$D,2))</f>
        <v/>
      </c>
      <c r="C471" s="2"/>
      <c r="D471" s="108"/>
      <c r="E471" s="70" t="str">
        <f>IF($A471=0,"",VLOOKUP($A471,'BASE M-OBRA'!$A:$D,4))</f>
        <v/>
      </c>
      <c r="F471" s="55" t="str">
        <f t="shared" si="43"/>
        <v/>
      </c>
      <c r="G471" s="106"/>
      <c r="H471" s="56" t="str">
        <f t="shared" si="44"/>
        <v/>
      </c>
      <c r="I471" s="2"/>
    </row>
    <row r="472" spans="1:16" x14ac:dyDescent="0.25">
      <c r="B472" s="38" t="str">
        <f>IF($A472=0,"",VLOOKUP($A472,'BASE M-OBRA'!$A:$D,2))</f>
        <v/>
      </c>
      <c r="C472" s="2"/>
      <c r="D472" s="55"/>
      <c r="E472" s="55" t="str">
        <f>IF($A472=0,"",VLOOKUP($A472,'BASE M-OBRA'!$A:$D,4))</f>
        <v/>
      </c>
      <c r="F472" s="55" t="str">
        <f t="shared" si="43"/>
        <v/>
      </c>
      <c r="G472" s="106"/>
      <c r="H472" s="56" t="str">
        <f t="shared" si="44"/>
        <v/>
      </c>
      <c r="I472" s="2"/>
    </row>
    <row r="473" spans="1:16" x14ac:dyDescent="0.25">
      <c r="B473" s="57" t="str">
        <f>IF($A473=0,"",VLOOKUP($A473,'BASE M-OBRA'!$A:$D,2))</f>
        <v/>
      </c>
      <c r="C473" s="58"/>
      <c r="D473" s="59"/>
      <c r="E473" s="59" t="str">
        <f>IF($A473=0,"",VLOOKUP($A473,'BASE M-OBRA'!$A:$D,4))</f>
        <v/>
      </c>
      <c r="F473" s="59" t="str">
        <f t="shared" si="43"/>
        <v/>
      </c>
      <c r="G473" s="107"/>
      <c r="H473" s="60" t="str">
        <f t="shared" si="44"/>
        <v/>
      </c>
      <c r="I473" s="2"/>
    </row>
    <row r="474" spans="1:16" x14ac:dyDescent="0.25">
      <c r="B474" s="73" t="s">
        <v>1685</v>
      </c>
      <c r="C474" s="65"/>
      <c r="D474" s="74"/>
      <c r="E474" s="74"/>
      <c r="F474" s="74"/>
      <c r="G474" s="74"/>
      <c r="H474" s="75">
        <f>ROUND(SUM(H466:H473),2)</f>
        <v>5.61</v>
      </c>
      <c r="I474" s="2"/>
    </row>
    <row r="475" spans="1:16" x14ac:dyDescent="0.25">
      <c r="B475" s="38" t="s">
        <v>1684</v>
      </c>
      <c r="C475" s="2"/>
      <c r="D475" s="3"/>
      <c r="E475" s="3"/>
      <c r="F475" s="3"/>
      <c r="G475" s="3"/>
      <c r="H475" s="56"/>
      <c r="I475" s="2"/>
    </row>
    <row r="476" spans="1:16" ht="25.5" x14ac:dyDescent="0.25">
      <c r="B476" s="64" t="s">
        <v>1409</v>
      </c>
      <c r="C476" s="65"/>
      <c r="D476" s="76"/>
      <c r="E476" s="66" t="s">
        <v>1408</v>
      </c>
      <c r="F476" s="66" t="s">
        <v>1679</v>
      </c>
      <c r="G476" s="66" t="s">
        <v>1683</v>
      </c>
      <c r="H476" s="68" t="s">
        <v>1675</v>
      </c>
      <c r="I476" s="2"/>
    </row>
    <row r="477" spans="1:16" x14ac:dyDescent="0.25">
      <c r="A477" s="103">
        <v>1</v>
      </c>
      <c r="B477" s="37" t="s">
        <v>1437</v>
      </c>
      <c r="C477" s="2"/>
      <c r="D477" s="77"/>
      <c r="E477" s="78" t="s">
        <v>1506</v>
      </c>
      <c r="F477" s="55">
        <v>1</v>
      </c>
      <c r="G477" s="55">
        <v>12</v>
      </c>
      <c r="H477" s="56">
        <f>IF($A477=0,"",ROUND(F477*G477,2))</f>
        <v>12</v>
      </c>
      <c r="I477" s="2"/>
      <c r="L477" s="2"/>
      <c r="M477" s="2"/>
      <c r="N477" s="39"/>
      <c r="O477" s="2"/>
      <c r="P477" s="2"/>
    </row>
    <row r="478" spans="1:16" x14ac:dyDescent="0.25">
      <c r="A478" s="103">
        <v>1</v>
      </c>
      <c r="B478" s="38" t="s">
        <v>1</v>
      </c>
      <c r="C478" s="2"/>
      <c r="D478" s="77"/>
      <c r="E478" s="78" t="s">
        <v>0</v>
      </c>
      <c r="F478" s="55">
        <v>1.3</v>
      </c>
      <c r="G478" s="55">
        <v>0.25</v>
      </c>
      <c r="H478" s="56">
        <f t="shared" ref="H478:H491" si="45">IF($A478=0,"",ROUND(F478*G478,2))</f>
        <v>0.33</v>
      </c>
      <c r="I478" s="2"/>
      <c r="L478" s="2"/>
      <c r="M478" s="2"/>
      <c r="N478" s="39"/>
      <c r="O478" s="2"/>
      <c r="P478" s="2"/>
    </row>
    <row r="479" spans="1:16" x14ac:dyDescent="0.25">
      <c r="B479" s="38"/>
      <c r="C479" s="2"/>
      <c r="D479" s="77"/>
      <c r="E479" s="78"/>
      <c r="F479" s="55"/>
      <c r="G479" s="55"/>
      <c r="H479" s="56" t="str">
        <f t="shared" si="45"/>
        <v/>
      </c>
      <c r="I479" s="2"/>
      <c r="L479" s="2"/>
      <c r="M479" s="2"/>
      <c r="N479" s="39"/>
      <c r="O479" s="2"/>
      <c r="P479" s="2"/>
    </row>
    <row r="480" spans="1:16" x14ac:dyDescent="0.25">
      <c r="B480" s="38"/>
      <c r="C480" s="2"/>
      <c r="D480" s="77"/>
      <c r="E480" s="78"/>
      <c r="F480" s="55"/>
      <c r="G480" s="55"/>
      <c r="H480" s="56" t="str">
        <f t="shared" si="45"/>
        <v/>
      </c>
      <c r="I480" s="2"/>
      <c r="L480" s="2"/>
      <c r="M480" s="2"/>
      <c r="N480" s="39"/>
      <c r="O480" s="2"/>
      <c r="P480" s="2"/>
    </row>
    <row r="481" spans="1:16" x14ac:dyDescent="0.25">
      <c r="B481" s="38"/>
      <c r="C481" s="2"/>
      <c r="D481" s="77"/>
      <c r="E481" s="78"/>
      <c r="F481" s="55"/>
      <c r="G481" s="55"/>
      <c r="H481" s="56" t="str">
        <f t="shared" si="45"/>
        <v/>
      </c>
      <c r="I481" s="2"/>
      <c r="L481" s="2"/>
      <c r="M481" s="2"/>
      <c r="N481" s="39"/>
      <c r="O481" s="2"/>
      <c r="P481" s="2"/>
    </row>
    <row r="482" spans="1:16" x14ac:dyDescent="0.25">
      <c r="B482" s="38"/>
      <c r="C482" s="2"/>
      <c r="D482" s="77"/>
      <c r="E482" s="78"/>
      <c r="F482" s="55"/>
      <c r="G482" s="55"/>
      <c r="H482" s="56" t="str">
        <f t="shared" si="45"/>
        <v/>
      </c>
      <c r="I482" s="2"/>
      <c r="L482" s="2"/>
      <c r="M482" s="2"/>
      <c r="N482" s="39"/>
      <c r="O482" s="2"/>
      <c r="P482" s="2"/>
    </row>
    <row r="483" spans="1:16" x14ac:dyDescent="0.25">
      <c r="B483" s="38"/>
      <c r="C483" s="2"/>
      <c r="D483" s="77"/>
      <c r="E483" s="78"/>
      <c r="F483" s="55"/>
      <c r="G483" s="55"/>
      <c r="H483" s="56" t="str">
        <f t="shared" si="45"/>
        <v/>
      </c>
      <c r="I483" s="2"/>
      <c r="L483" s="2"/>
      <c r="M483" s="2"/>
      <c r="N483" s="39"/>
      <c r="O483" s="2"/>
      <c r="P483" s="2"/>
    </row>
    <row r="484" spans="1:16" x14ac:dyDescent="0.25">
      <c r="B484" s="38"/>
      <c r="C484" s="2"/>
      <c r="D484" s="77"/>
      <c r="E484" s="78"/>
      <c r="F484" s="55"/>
      <c r="G484" s="55"/>
      <c r="H484" s="56" t="str">
        <f t="shared" si="45"/>
        <v/>
      </c>
      <c r="I484" s="2"/>
      <c r="L484" s="2"/>
      <c r="M484" s="2"/>
      <c r="N484" s="39"/>
      <c r="O484" s="2"/>
      <c r="P484" s="2"/>
    </row>
    <row r="485" spans="1:16" x14ac:dyDescent="0.25">
      <c r="B485" s="38"/>
      <c r="C485" s="2"/>
      <c r="D485" s="77"/>
      <c r="E485" s="78"/>
      <c r="F485" s="55"/>
      <c r="G485" s="55"/>
      <c r="H485" s="56" t="str">
        <f t="shared" si="45"/>
        <v/>
      </c>
      <c r="I485" s="2"/>
    </row>
    <row r="486" spans="1:16" x14ac:dyDescent="0.25">
      <c r="B486" s="38" t="str">
        <f>IF($A486=0,"",VLOOKUP($A486,'BASE MATERIAL'!$A:$D,2))</f>
        <v/>
      </c>
      <c r="C486" s="2"/>
      <c r="D486" s="77"/>
      <c r="E486" s="78" t="str">
        <f>IF($A486=0,"",VLOOKUP($A486,'BASE MATERIAL'!$A:$D,3))</f>
        <v/>
      </c>
      <c r="F486" s="55"/>
      <c r="G486" s="55" t="str">
        <f>IF($A486=0,"",VLOOKUP($A486,'BASE MATERIAL'!$A:$D,4))</f>
        <v/>
      </c>
      <c r="H486" s="56" t="str">
        <f t="shared" si="45"/>
        <v/>
      </c>
      <c r="I486" s="2"/>
      <c r="L486" s="2"/>
      <c r="M486" s="2"/>
      <c r="N486" s="39"/>
      <c r="O486" s="2"/>
      <c r="P486" s="2"/>
    </row>
    <row r="487" spans="1:16" x14ac:dyDescent="0.25">
      <c r="B487" s="38" t="str">
        <f>IF($A487=0,"",VLOOKUP($A487,'BASE MATERIAL'!$A:$D,2))</f>
        <v/>
      </c>
      <c r="C487" s="2"/>
      <c r="D487" s="77"/>
      <c r="E487" s="78" t="str">
        <f>IF($A487=0,"",VLOOKUP($A487,'BASE MATERIAL'!$A:$D,3))</f>
        <v/>
      </c>
      <c r="F487" s="55"/>
      <c r="G487" s="55" t="str">
        <f>IF($A487=0,"",VLOOKUP($A487,'BASE MATERIAL'!$A:$D,4))</f>
        <v/>
      </c>
      <c r="H487" s="56" t="str">
        <f t="shared" si="45"/>
        <v/>
      </c>
      <c r="I487" s="2"/>
      <c r="L487" s="2"/>
      <c r="M487" s="2"/>
      <c r="N487" s="39"/>
      <c r="O487" s="2"/>
      <c r="P487" s="2"/>
    </row>
    <row r="488" spans="1:16" x14ac:dyDescent="0.25">
      <c r="B488" s="38" t="str">
        <f>IF($A488=0,"",VLOOKUP($A488,'BASE MATERIAL'!$A:$D,2))</f>
        <v/>
      </c>
      <c r="C488" s="2"/>
      <c r="D488" s="77"/>
      <c r="E488" s="78" t="str">
        <f>IF($A488=0,"",VLOOKUP($A488,'BASE MATERIAL'!$A:$D,3))</f>
        <v/>
      </c>
      <c r="F488" s="55"/>
      <c r="G488" s="55" t="str">
        <f>IF($A488=0,"",VLOOKUP($A488,'BASE MATERIAL'!$A:$D,4))</f>
        <v/>
      </c>
      <c r="H488" s="56" t="str">
        <f t="shared" si="45"/>
        <v/>
      </c>
      <c r="I488" s="2"/>
    </row>
    <row r="489" spans="1:16" x14ac:dyDescent="0.25">
      <c r="B489" s="38" t="str">
        <f>IF($A489=0,"",VLOOKUP($A489,'BASE MATERIAL'!$A:$D,2))</f>
        <v/>
      </c>
      <c r="C489" s="2"/>
      <c r="D489" s="77"/>
      <c r="E489" s="78" t="str">
        <f>IF($A489=0,"",VLOOKUP($A489,'BASE MATERIAL'!$A:$D,3))</f>
        <v/>
      </c>
      <c r="F489" s="55"/>
      <c r="G489" s="55" t="str">
        <f>IF($A489=0,"",VLOOKUP($A489,'BASE MATERIAL'!$A:$D,4))</f>
        <v/>
      </c>
      <c r="H489" s="56" t="str">
        <f t="shared" si="45"/>
        <v/>
      </c>
      <c r="I489" s="2"/>
    </row>
    <row r="490" spans="1:16" x14ac:dyDescent="0.25">
      <c r="B490" s="38" t="str">
        <f>IF($A490=0,"",VLOOKUP($A490,'BASE MATERIAL'!$A:$D,2))</f>
        <v/>
      </c>
      <c r="C490" s="2"/>
      <c r="D490" s="77"/>
      <c r="E490" s="78" t="str">
        <f>IF($A490=0,"",VLOOKUP($A490,'BASE MATERIAL'!$A:$D,3))</f>
        <v/>
      </c>
      <c r="F490" s="55"/>
      <c r="G490" s="55" t="str">
        <f>IF($A490=0,"",VLOOKUP($A490,'BASE MATERIAL'!$A:$D,4))</f>
        <v/>
      </c>
      <c r="H490" s="56" t="str">
        <f t="shared" si="45"/>
        <v/>
      </c>
      <c r="I490" s="2"/>
    </row>
    <row r="491" spans="1:16" x14ac:dyDescent="0.25">
      <c r="B491" s="38" t="str">
        <f>IF($A491=0,"",VLOOKUP($A491,'BASE MATERIAL'!$A:$D,2))</f>
        <v/>
      </c>
      <c r="C491" s="2"/>
      <c r="D491" s="77"/>
      <c r="E491" s="78" t="str">
        <f>IF($A491=0,"",VLOOKUP($A491,'BASE MATERIAL'!$A:$D,3))</f>
        <v/>
      </c>
      <c r="F491" s="55"/>
      <c r="G491" s="55" t="str">
        <f>IF($A491=0,"",VLOOKUP($A491,'BASE MATERIAL'!$A:$D,4))</f>
        <v/>
      </c>
      <c r="H491" s="56" t="str">
        <f t="shared" si="45"/>
        <v/>
      </c>
      <c r="I491" s="2"/>
    </row>
    <row r="492" spans="1:16" x14ac:dyDescent="0.25">
      <c r="B492" s="38" t="str">
        <f>IF($A492=0,"",VLOOKUP($A492,'BASE MATERIAL'!$A:$D,2))</f>
        <v/>
      </c>
      <c r="C492" s="2"/>
      <c r="D492" s="81" t="s">
        <v>1682</v>
      </c>
      <c r="E492" s="55" t="str">
        <f>IF($A492=0,"",VLOOKUP($A492,'BASE MATERIAL'!$A:$D,3))</f>
        <v/>
      </c>
      <c r="F492" s="55" t="s">
        <v>1682</v>
      </c>
      <c r="G492" s="55" t="str">
        <f>IF($A492=0,"",VLOOKUP($A492,'BASE MATERIAL'!$A:$D,4))</f>
        <v/>
      </c>
      <c r="H492" s="56" t="str">
        <f>IF($A492=0,"",ROUND(E492*F492,2))</f>
        <v/>
      </c>
      <c r="I492" s="2"/>
    </row>
    <row r="493" spans="1:16" x14ac:dyDescent="0.25">
      <c r="B493" s="73" t="s">
        <v>1681</v>
      </c>
      <c r="C493" s="65"/>
      <c r="D493" s="74"/>
      <c r="E493" s="74"/>
      <c r="F493" s="74"/>
      <c r="G493" s="74"/>
      <c r="H493" s="75">
        <f>ROUND(SUM(H476:H492),2)</f>
        <v>12.33</v>
      </c>
      <c r="I493" s="2"/>
    </row>
    <row r="494" spans="1:16" x14ac:dyDescent="0.25">
      <c r="B494" s="38" t="s">
        <v>1680</v>
      </c>
      <c r="C494" s="2"/>
      <c r="D494" s="3"/>
      <c r="E494" s="3"/>
      <c r="F494" s="3"/>
      <c r="G494" s="3"/>
      <c r="H494" s="56"/>
      <c r="I494" s="2"/>
    </row>
    <row r="495" spans="1:16" ht="25.5" x14ac:dyDescent="0.25">
      <c r="B495" s="64" t="s">
        <v>1409</v>
      </c>
      <c r="C495" s="65"/>
      <c r="D495" s="76"/>
      <c r="E495" s="66" t="s">
        <v>1408</v>
      </c>
      <c r="F495" s="66" t="s">
        <v>1679</v>
      </c>
      <c r="G495" s="66" t="s">
        <v>1676</v>
      </c>
      <c r="H495" s="68" t="s">
        <v>1675</v>
      </c>
      <c r="I495" s="2"/>
    </row>
    <row r="496" spans="1:16" x14ac:dyDescent="0.25">
      <c r="A496" s="103">
        <v>19019</v>
      </c>
      <c r="B496" s="51" t="str">
        <f>IF($A496=0,"",VLOOKUP($A496,'BASE EQUIPO'!$A:$D,2))</f>
        <v>TRANSPORTE DE MATERIAL</v>
      </c>
      <c r="C496" s="52"/>
      <c r="D496" s="82"/>
      <c r="E496" s="78" t="str">
        <f>IF($A496=0,"",VLOOKUP($A496,'BASE EQUIPO'!$A:$D,3))</f>
        <v>GLOBAL</v>
      </c>
      <c r="F496" s="55">
        <v>1</v>
      </c>
      <c r="G496" s="83">
        <f>IF($A496=0,"",VLOOKUP($A496,'BASE EQUIPO'!$A:$D,4)*H493)</f>
        <v>0.36990000000000001</v>
      </c>
      <c r="H496" s="56">
        <f>IF($A496=0,"",ROUND(F496*G496,2))</f>
        <v>0.37</v>
      </c>
      <c r="I496" s="2"/>
    </row>
    <row r="497" spans="1:15" x14ac:dyDescent="0.25">
      <c r="B497" s="38" t="str">
        <f>IF($A497=0,"",VLOOKUP($A497,'BASE EQUIPO'!$A:$D,2))</f>
        <v/>
      </c>
      <c r="C497" s="2"/>
      <c r="D497" s="84"/>
      <c r="E497" s="78" t="str">
        <f>IF($A497=0,"",VLOOKUP($A497,'BASE EQUIPO'!$A:$D,3))</f>
        <v/>
      </c>
      <c r="F497" s="55"/>
      <c r="G497" s="55" t="str">
        <f>IF($A497=0,"",VLOOKUP($A497,'BASE EQUIPO'!$A:$D,4)*H494)</f>
        <v/>
      </c>
      <c r="H497" s="56" t="str">
        <f>IF($A497=0,"",ROUND(F497*G497,2))</f>
        <v/>
      </c>
      <c r="I497" s="2"/>
    </row>
    <row r="498" spans="1:15" x14ac:dyDescent="0.25">
      <c r="B498" s="57" t="str">
        <f>IF($A498=0,"",VLOOKUP($A498,'BASE EQUIPO'!$A:$D,2))</f>
        <v/>
      </c>
      <c r="C498" s="58"/>
      <c r="D498" s="85"/>
      <c r="E498" s="86" t="str">
        <f>IF($A498=0,"",VLOOKUP($A498,'BASE EQUIPO'!$A:$D,3))</f>
        <v/>
      </c>
      <c r="F498" s="59"/>
      <c r="G498" s="59" t="str">
        <f>IF($A498=0,"",VLOOKUP($A498,'BASE EQUIPO'!$A:$D,4)*H495)</f>
        <v/>
      </c>
      <c r="H498" s="60" t="str">
        <f>IF($A498=0,"",ROUND(F498*G498,2))</f>
        <v/>
      </c>
      <c r="I498" s="2"/>
    </row>
    <row r="499" spans="1:15" ht="15.75" thickBot="1" x14ac:dyDescent="0.3">
      <c r="B499" s="87" t="s">
        <v>1674</v>
      </c>
      <c r="C499" s="88"/>
      <c r="D499" s="89"/>
      <c r="E499" s="89"/>
      <c r="F499" s="89"/>
      <c r="G499" s="89"/>
      <c r="H499" s="90">
        <f>ROUND(SUM(H495:H498),2)</f>
        <v>0.37</v>
      </c>
      <c r="I499" s="2"/>
    </row>
    <row r="500" spans="1:15" ht="15.75" x14ac:dyDescent="0.25">
      <c r="B500" s="2"/>
      <c r="C500" s="2"/>
      <c r="D500" s="91" t="s">
        <v>1673</v>
      </c>
      <c r="E500" s="47"/>
      <c r="F500" s="47"/>
      <c r="G500" s="47"/>
      <c r="H500" s="92">
        <f>ROUND(SUM(H499,H493,H474,H464),2)</f>
        <v>18.48</v>
      </c>
      <c r="I500" s="2"/>
    </row>
    <row r="501" spans="1:15" ht="15.75" x14ac:dyDescent="0.25">
      <c r="A501" s="103">
        <v>40002</v>
      </c>
      <c r="B501" s="2"/>
      <c r="C501" s="2"/>
      <c r="D501" s="93" t="s">
        <v>1672</v>
      </c>
      <c r="E501" s="65"/>
      <c r="F501" s="65"/>
      <c r="G501" s="94">
        <f>IF($A501=0,"",VLOOKUP($A501,'BASE MATERIAL'!$M:$P,4))</f>
        <v>0</v>
      </c>
      <c r="H501" s="95">
        <f>IF($A501=0,"",ROUND(G501*H500,2))</f>
        <v>0</v>
      </c>
      <c r="I501" s="2"/>
    </row>
    <row r="502" spans="1:15" ht="15.75" x14ac:dyDescent="0.25">
      <c r="A502" s="103">
        <v>40003</v>
      </c>
      <c r="B502" s="2"/>
      <c r="C502" s="2"/>
      <c r="D502" s="93" t="s">
        <v>1671</v>
      </c>
      <c r="E502" s="65"/>
      <c r="F502" s="65"/>
      <c r="G502" s="94">
        <f>IF($A502=0,"",VLOOKUP($A502,'BASE MATERIAL'!$M:$P,4))</f>
        <v>0</v>
      </c>
      <c r="H502" s="95">
        <f>IF($A502=0,"",ROUND(G502*H500,2))</f>
        <v>0</v>
      </c>
      <c r="I502" s="2"/>
    </row>
    <row r="503" spans="1:15" ht="15.75" x14ac:dyDescent="0.25">
      <c r="B503" s="2"/>
      <c r="C503" s="2"/>
      <c r="D503" s="93" t="s">
        <v>1670</v>
      </c>
      <c r="E503" s="65"/>
      <c r="F503" s="65"/>
      <c r="G503" s="65"/>
      <c r="H503" s="96">
        <f>ROUND(SUM(H500:H502),2)</f>
        <v>18.48</v>
      </c>
      <c r="I503" s="2"/>
    </row>
    <row r="504" spans="1:15" ht="16.5" thickBot="1" x14ac:dyDescent="0.3">
      <c r="B504" s="25"/>
      <c r="C504" s="2"/>
      <c r="D504" s="97" t="s">
        <v>1650</v>
      </c>
      <c r="E504" s="88"/>
      <c r="F504" s="88"/>
      <c r="G504" s="88"/>
      <c r="H504" s="98">
        <f>ROUND(H503,2)</f>
        <v>18.48</v>
      </c>
      <c r="I504" s="2"/>
    </row>
    <row r="505" spans="1:15" ht="15.75" x14ac:dyDescent="0.25">
      <c r="B505" s="34" t="s">
        <v>1701</v>
      </c>
      <c r="C505" s="2"/>
      <c r="D505" s="3" t="str">
        <f>$D$1</f>
        <v>ESPOL</v>
      </c>
      <c r="E505" s="2"/>
      <c r="F505" s="2"/>
      <c r="H505" s="2" t="s">
        <v>108</v>
      </c>
      <c r="I505" s="2"/>
      <c r="L505" s="40">
        <f>A509</f>
        <v>9</v>
      </c>
      <c r="M505" s="1" t="str">
        <f>C510</f>
        <v>Llave de control 3/4 R/W</v>
      </c>
      <c r="N505" s="2" t="str">
        <f>H509</f>
        <v>U</v>
      </c>
      <c r="O505" s="2">
        <f>H560</f>
        <v>25.69</v>
      </c>
    </row>
    <row r="506" spans="1:15" ht="15.75" x14ac:dyDescent="0.25">
      <c r="B506" s="34" t="s">
        <v>1700</v>
      </c>
      <c r="C506" s="3">
        <f>'1.1'!$C$2</f>
        <v>0</v>
      </c>
      <c r="D506" s="2"/>
      <c r="E506" s="2"/>
      <c r="F506" s="2"/>
      <c r="G506" s="41" t="s">
        <v>1699</v>
      </c>
      <c r="H506" s="42"/>
      <c r="I506" s="2" t="s">
        <v>1698</v>
      </c>
    </row>
    <row r="507" spans="1:15" ht="15.75" x14ac:dyDescent="0.25">
      <c r="B507" s="34"/>
      <c r="C507" s="3">
        <f>'1.1'!$C$3</f>
        <v>0</v>
      </c>
      <c r="D507" s="2"/>
      <c r="E507" s="2"/>
      <c r="F507" s="2"/>
      <c r="G507" s="2"/>
      <c r="H507" s="2"/>
      <c r="I507" s="2"/>
    </row>
    <row r="508" spans="1:15" ht="15.75" x14ac:dyDescent="0.25">
      <c r="B508" s="34" t="s">
        <v>1697</v>
      </c>
      <c r="C508" s="3"/>
      <c r="D508" s="2"/>
      <c r="E508" s="2"/>
      <c r="F508" s="2"/>
      <c r="G508" s="2"/>
      <c r="H508" s="2"/>
      <c r="I508" s="2"/>
    </row>
    <row r="509" spans="1:15" x14ac:dyDescent="0.25">
      <c r="A509" s="104">
        <v>9</v>
      </c>
      <c r="B509" s="2" t="s">
        <v>1586</v>
      </c>
      <c r="C509" s="101" t="s">
        <v>608</v>
      </c>
      <c r="D509" s="2"/>
      <c r="G509" s="2" t="s">
        <v>1696</v>
      </c>
      <c r="H509" s="3" t="s">
        <v>744</v>
      </c>
      <c r="I509" s="2"/>
    </row>
    <row r="510" spans="1:15" x14ac:dyDescent="0.25">
      <c r="B510" s="1" t="s">
        <v>1585</v>
      </c>
      <c r="C510" s="36" t="s">
        <v>1438</v>
      </c>
      <c r="D510" s="2"/>
      <c r="E510" s="2"/>
      <c r="F510" s="2"/>
      <c r="G510" s="2"/>
      <c r="H510" s="2"/>
      <c r="I510" s="2"/>
    </row>
    <row r="511" spans="1:15" ht="15.75" thickBot="1" x14ac:dyDescent="0.3">
      <c r="D511" s="2"/>
      <c r="E511" s="2"/>
      <c r="F511" s="2"/>
      <c r="G511" s="2"/>
      <c r="H511" s="2"/>
      <c r="I511" s="2"/>
    </row>
    <row r="512" spans="1:15" ht="15.75" thickBot="1" x14ac:dyDescent="0.3">
      <c r="B512" s="43" t="s">
        <v>1695</v>
      </c>
      <c r="C512" s="44"/>
      <c r="D512" s="44"/>
      <c r="E512" s="44"/>
      <c r="F512" s="44"/>
      <c r="G512" s="44"/>
      <c r="H512" s="45"/>
      <c r="I512" s="2"/>
    </row>
    <row r="513" spans="1:9" ht="25.5" x14ac:dyDescent="0.25">
      <c r="B513" s="46" t="s">
        <v>1409</v>
      </c>
      <c r="C513" s="47"/>
      <c r="D513" s="48" t="s">
        <v>1690</v>
      </c>
      <c r="E513" s="48" t="s">
        <v>1694</v>
      </c>
      <c r="F513" s="48" t="s">
        <v>1693</v>
      </c>
      <c r="G513" s="49" t="s">
        <v>1687</v>
      </c>
      <c r="H513" s="50" t="s">
        <v>1686</v>
      </c>
      <c r="I513" s="2"/>
    </row>
    <row r="514" spans="1:9" x14ac:dyDescent="0.25">
      <c r="A514" s="103">
        <v>19015</v>
      </c>
      <c r="B514" s="51" t="str">
        <f>IF($A514=0,"",VLOOKUP($A514,'BASE EQUIPO'!$A:$D,2))</f>
        <v>HERRAMIENTA MENOR</v>
      </c>
      <c r="C514" s="52"/>
      <c r="D514" s="53">
        <v>1</v>
      </c>
      <c r="E514" s="53">
        <f>IF($A514=0,"",VLOOKUP($A514,'BASE EQUIPO'!$A:$D,4)*H530)</f>
        <v>0.16830000000000001</v>
      </c>
      <c r="F514" s="53">
        <f t="shared" ref="F514:F519" si="46">IF($A514=0,"",ROUND(D514*E514,2))</f>
        <v>0.17</v>
      </c>
      <c r="G514" s="105">
        <v>1</v>
      </c>
      <c r="H514" s="54">
        <f t="shared" ref="H514:H519" si="47">IF($A514=0,"",ROUND(G514*F514,2))</f>
        <v>0.17</v>
      </c>
      <c r="I514" s="2"/>
    </row>
    <row r="515" spans="1:9" x14ac:dyDescent="0.25">
      <c r="B515" s="38" t="str">
        <f>IF($A515=0,"",VLOOKUP($A515,'BASE EQUIPO'!$A:$D,2))</f>
        <v/>
      </c>
      <c r="C515" s="2"/>
      <c r="D515" s="55"/>
      <c r="E515" s="55" t="str">
        <f>IF($A515=0,"",VLOOKUP($A515,'BASE EQUIPO'!$A:$D,4))</f>
        <v/>
      </c>
      <c r="F515" s="55" t="str">
        <f t="shared" si="46"/>
        <v/>
      </c>
      <c r="G515" s="106"/>
      <c r="H515" s="56" t="str">
        <f t="shared" si="47"/>
        <v/>
      </c>
      <c r="I515" s="2"/>
    </row>
    <row r="516" spans="1:9" x14ac:dyDescent="0.25">
      <c r="B516" s="38" t="str">
        <f>IF($A516=0,"",VLOOKUP($A516,'BASE EQUIPO'!$A:$D,2))</f>
        <v/>
      </c>
      <c r="C516" s="2"/>
      <c r="D516" s="55"/>
      <c r="E516" s="55" t="str">
        <f>IF($A516=0,"",VLOOKUP($A516,'BASE EQUIPO'!$A:$D,4))</f>
        <v/>
      </c>
      <c r="F516" s="55" t="str">
        <f t="shared" si="46"/>
        <v/>
      </c>
      <c r="G516" s="106"/>
      <c r="H516" s="56" t="str">
        <f t="shared" si="47"/>
        <v/>
      </c>
      <c r="I516" s="2"/>
    </row>
    <row r="517" spans="1:9" x14ac:dyDescent="0.25">
      <c r="B517" s="38" t="str">
        <f>IF($A517=0,"",VLOOKUP($A517,'BASE EQUIPO'!$A:$D,2))</f>
        <v/>
      </c>
      <c r="C517" s="2"/>
      <c r="D517" s="55"/>
      <c r="E517" s="55" t="str">
        <f>IF($A517=0,"",VLOOKUP($A517,'BASE EQUIPO'!$A:$D,4))</f>
        <v/>
      </c>
      <c r="F517" s="55" t="str">
        <f t="shared" si="46"/>
        <v/>
      </c>
      <c r="G517" s="106"/>
      <c r="H517" s="56" t="str">
        <f t="shared" si="47"/>
        <v/>
      </c>
      <c r="I517" s="2"/>
    </row>
    <row r="518" spans="1:9" x14ac:dyDescent="0.25">
      <c r="B518" s="38" t="str">
        <f>IF($A518=0,"",VLOOKUP($A518,'BASE EQUIPO'!$A:$D,2))</f>
        <v/>
      </c>
      <c r="C518" s="2"/>
      <c r="D518" s="55"/>
      <c r="E518" s="55" t="str">
        <f>IF($A518=0,"",VLOOKUP($A518,'BASE EQUIPO'!$A:$D,4))</f>
        <v/>
      </c>
      <c r="F518" s="55" t="str">
        <f t="shared" si="46"/>
        <v/>
      </c>
      <c r="G518" s="106"/>
      <c r="H518" s="56" t="str">
        <f t="shared" si="47"/>
        <v/>
      </c>
      <c r="I518" s="2"/>
    </row>
    <row r="519" spans="1:9" x14ac:dyDescent="0.25">
      <c r="B519" s="57" t="str">
        <f>IF($A519=0,"",VLOOKUP($A519,'BASE EQUIPO'!$A:$D,2))</f>
        <v/>
      </c>
      <c r="C519" s="58"/>
      <c r="D519" s="59"/>
      <c r="E519" s="59" t="str">
        <f>IF($A519=0,"",VLOOKUP($A519,'BASE EQUIPO'!$A:$D,4))</f>
        <v/>
      </c>
      <c r="F519" s="59" t="str">
        <f t="shared" si="46"/>
        <v/>
      </c>
      <c r="G519" s="107"/>
      <c r="H519" s="60" t="str">
        <f t="shared" si="47"/>
        <v/>
      </c>
      <c r="I519" s="2"/>
    </row>
    <row r="520" spans="1:9" x14ac:dyDescent="0.25">
      <c r="B520" s="57" t="s">
        <v>1692</v>
      </c>
      <c r="C520" s="58"/>
      <c r="D520" s="61"/>
      <c r="E520" s="61"/>
      <c r="F520" s="61"/>
      <c r="G520" s="62"/>
      <c r="H520" s="60">
        <f>ROUND(SUM(H513:H519),2)</f>
        <v>0.17</v>
      </c>
      <c r="I520" s="2"/>
    </row>
    <row r="521" spans="1:9" x14ac:dyDescent="0.25">
      <c r="B521" s="38" t="s">
        <v>1503</v>
      </c>
      <c r="C521" s="2"/>
      <c r="D521" s="3"/>
      <c r="E521" s="3"/>
      <c r="F521" s="3"/>
      <c r="G521" s="63"/>
      <c r="H521" s="56"/>
      <c r="I521" s="2"/>
    </row>
    <row r="522" spans="1:9" ht="25.5" x14ac:dyDescent="0.25">
      <c r="B522" s="64" t="s">
        <v>1691</v>
      </c>
      <c r="C522" s="65"/>
      <c r="D522" s="66" t="s">
        <v>1690</v>
      </c>
      <c r="E522" s="66" t="s">
        <v>1689</v>
      </c>
      <c r="F522" s="66" t="s">
        <v>1688</v>
      </c>
      <c r="G522" s="67" t="s">
        <v>1687</v>
      </c>
      <c r="H522" s="68" t="s">
        <v>1686</v>
      </c>
      <c r="I522" s="2"/>
    </row>
    <row r="523" spans="1:9" x14ac:dyDescent="0.25">
      <c r="B523" s="69" t="str">
        <f>IF($A523=0,"",VLOOKUP($A523,'BASE M-OBRA'!$A:$D,2))</f>
        <v/>
      </c>
      <c r="C523" s="2"/>
      <c r="D523" s="108"/>
      <c r="E523" s="70" t="str">
        <f>IF($A523=0,"",VLOOKUP($A523,'BASE M-OBRA'!$A:$D,4))</f>
        <v/>
      </c>
      <c r="F523" s="55" t="str">
        <f t="shared" ref="F523:F529" si="48">IF($A523=0,"",ROUND(D523*E523,2))</f>
        <v/>
      </c>
      <c r="G523" s="106" t="str">
        <f>IF($A523=0,"",ROUND(H523/F523,2))</f>
        <v/>
      </c>
      <c r="H523" s="56" t="str">
        <f>IF($A523=0,"",ROUND(SUM(H524:H529)*'BASE M-OBRA'!$D$23,2))</f>
        <v/>
      </c>
      <c r="I523" s="2"/>
    </row>
    <row r="524" spans="1:9" x14ac:dyDescent="0.25">
      <c r="A524" s="103">
        <v>20011</v>
      </c>
      <c r="B524" s="69" t="str">
        <f>IF($A524=0,"",VLOOKUP($A524,'BASE M-OBRA'!$A:$D,2))</f>
        <v>AYUDANTE ESPECIALISTA</v>
      </c>
      <c r="C524" s="2"/>
      <c r="D524" s="108">
        <v>1</v>
      </c>
      <c r="E524" s="70">
        <f>IF($A524=0,"",VLOOKUP($A524,'BASE M-OBRA'!$A:$D,4))</f>
        <v>2.79</v>
      </c>
      <c r="F524" s="55">
        <f t="shared" si="48"/>
        <v>2.79</v>
      </c>
      <c r="G524" s="106">
        <v>1</v>
      </c>
      <c r="H524" s="56">
        <f t="shared" ref="H524:H529" si="49">IF($A524=0,"",ROUND(G524*F524,2))</f>
        <v>2.79</v>
      </c>
      <c r="I524" s="2"/>
    </row>
    <row r="525" spans="1:9" x14ac:dyDescent="0.25">
      <c r="A525" s="103">
        <v>20016</v>
      </c>
      <c r="B525" s="69" t="str">
        <f>IF($A525=0,"",VLOOKUP($A525,'BASE M-OBRA'!$A:$D,2))</f>
        <v>GAFITERO</v>
      </c>
      <c r="C525" s="2"/>
      <c r="D525" s="108">
        <v>1</v>
      </c>
      <c r="E525" s="70">
        <f>IF($A525=0,"",VLOOKUP($A525,'BASE M-OBRA'!$A:$D,4))</f>
        <v>2.82</v>
      </c>
      <c r="F525" s="55">
        <f t="shared" si="48"/>
        <v>2.82</v>
      </c>
      <c r="G525" s="106">
        <f>+G524</f>
        <v>1</v>
      </c>
      <c r="H525" s="56">
        <f t="shared" si="49"/>
        <v>2.82</v>
      </c>
      <c r="I525" s="2"/>
    </row>
    <row r="526" spans="1:9" x14ac:dyDescent="0.25">
      <c r="B526" s="71" t="str">
        <f>IF($A526=0,"",VLOOKUP($A526,'BASE M-OBRA'!$A:$D,2))</f>
        <v/>
      </c>
      <c r="C526" s="2"/>
      <c r="D526" s="108"/>
      <c r="E526" s="70" t="str">
        <f>IF($A526=0,"",VLOOKUP($A526,'BASE M-OBRA'!$A:$D,4))</f>
        <v/>
      </c>
      <c r="F526" s="55" t="str">
        <f t="shared" si="48"/>
        <v/>
      </c>
      <c r="G526" s="106"/>
      <c r="H526" s="56" t="str">
        <f t="shared" si="49"/>
        <v/>
      </c>
      <c r="I526" s="2"/>
    </row>
    <row r="527" spans="1:9" x14ac:dyDescent="0.25">
      <c r="B527" s="72" t="str">
        <f>IF($A527=0,"",VLOOKUP($A527,'BASE M-OBRA'!$A:$D,2))</f>
        <v/>
      </c>
      <c r="C527" s="2"/>
      <c r="D527" s="108"/>
      <c r="E527" s="70" t="str">
        <f>IF($A527=0,"",VLOOKUP($A527,'BASE M-OBRA'!$A:$D,4))</f>
        <v/>
      </c>
      <c r="F527" s="55" t="str">
        <f t="shared" si="48"/>
        <v/>
      </c>
      <c r="G527" s="106"/>
      <c r="H527" s="56" t="str">
        <f t="shared" si="49"/>
        <v/>
      </c>
      <c r="I527" s="2"/>
    </row>
    <row r="528" spans="1:9" x14ac:dyDescent="0.25">
      <c r="B528" s="38" t="str">
        <f>IF($A528=0,"",VLOOKUP($A528,'BASE M-OBRA'!$A:$D,2))</f>
        <v/>
      </c>
      <c r="C528" s="2"/>
      <c r="D528" s="55"/>
      <c r="E528" s="55" t="str">
        <f>IF($A528=0,"",VLOOKUP($A528,'BASE M-OBRA'!$A:$D,4))</f>
        <v/>
      </c>
      <c r="F528" s="55" t="str">
        <f t="shared" si="48"/>
        <v/>
      </c>
      <c r="G528" s="106"/>
      <c r="H528" s="56" t="str">
        <f t="shared" si="49"/>
        <v/>
      </c>
      <c r="I528" s="2"/>
    </row>
    <row r="529" spans="1:16" x14ac:dyDescent="0.25">
      <c r="B529" s="57" t="str">
        <f>IF($A529=0,"",VLOOKUP($A529,'BASE M-OBRA'!$A:$D,2))</f>
        <v/>
      </c>
      <c r="C529" s="58"/>
      <c r="D529" s="59"/>
      <c r="E529" s="59" t="str">
        <f>IF($A529=0,"",VLOOKUP($A529,'BASE M-OBRA'!$A:$D,4))</f>
        <v/>
      </c>
      <c r="F529" s="59" t="str">
        <f t="shared" si="48"/>
        <v/>
      </c>
      <c r="G529" s="107"/>
      <c r="H529" s="60" t="str">
        <f t="shared" si="49"/>
        <v/>
      </c>
      <c r="I529" s="2"/>
    </row>
    <row r="530" spans="1:16" x14ac:dyDescent="0.25">
      <c r="B530" s="73" t="s">
        <v>1685</v>
      </c>
      <c r="C530" s="65"/>
      <c r="D530" s="74"/>
      <c r="E530" s="74"/>
      <c r="F530" s="74"/>
      <c r="G530" s="74"/>
      <c r="H530" s="75">
        <f>ROUND(SUM(H522:H529),2)</f>
        <v>5.61</v>
      </c>
      <c r="I530" s="2"/>
    </row>
    <row r="531" spans="1:16" x14ac:dyDescent="0.25">
      <c r="B531" s="38" t="s">
        <v>1684</v>
      </c>
      <c r="C531" s="2"/>
      <c r="D531" s="3"/>
      <c r="E531" s="3"/>
      <c r="F531" s="3"/>
      <c r="G531" s="3"/>
      <c r="H531" s="56"/>
      <c r="I531" s="2"/>
    </row>
    <row r="532" spans="1:16" ht="25.5" x14ac:dyDescent="0.25">
      <c r="B532" s="64" t="s">
        <v>1409</v>
      </c>
      <c r="C532" s="65"/>
      <c r="D532" s="76"/>
      <c r="E532" s="66" t="s">
        <v>1408</v>
      </c>
      <c r="F532" s="66" t="s">
        <v>1679</v>
      </c>
      <c r="G532" s="66" t="s">
        <v>1683</v>
      </c>
      <c r="H532" s="68" t="s">
        <v>1675</v>
      </c>
      <c r="I532" s="2"/>
    </row>
    <row r="533" spans="1:16" x14ac:dyDescent="0.25">
      <c r="A533" s="103">
        <v>1</v>
      </c>
      <c r="B533" s="37" t="s">
        <v>1437</v>
      </c>
      <c r="C533" s="2"/>
      <c r="D533" s="77"/>
      <c r="E533" s="78" t="s">
        <v>1506</v>
      </c>
      <c r="F533" s="55">
        <v>1</v>
      </c>
      <c r="G533" s="55">
        <v>19</v>
      </c>
      <c r="H533" s="56">
        <f>IF($A533=0,"",ROUND(F533*G533,2))</f>
        <v>19</v>
      </c>
      <c r="I533" s="2"/>
      <c r="L533" s="2"/>
      <c r="M533" s="2"/>
      <c r="N533" s="39"/>
      <c r="O533" s="2"/>
      <c r="P533" s="2"/>
    </row>
    <row r="534" spans="1:16" x14ac:dyDescent="0.25">
      <c r="A534" s="103">
        <v>1</v>
      </c>
      <c r="B534" s="38" t="s">
        <v>1</v>
      </c>
      <c r="C534" s="2"/>
      <c r="D534" s="77"/>
      <c r="E534" s="78" t="s">
        <v>0</v>
      </c>
      <c r="F534" s="55">
        <v>1.3</v>
      </c>
      <c r="G534" s="55">
        <v>0.25</v>
      </c>
      <c r="H534" s="56">
        <f t="shared" ref="H534:H547" si="50">IF($A534=0,"",ROUND(F534*G534,2))</f>
        <v>0.33</v>
      </c>
      <c r="I534" s="2"/>
      <c r="L534" s="2"/>
      <c r="M534" s="2"/>
      <c r="N534" s="39"/>
      <c r="O534" s="2"/>
      <c r="P534" s="2"/>
    </row>
    <row r="535" spans="1:16" x14ac:dyDescent="0.25">
      <c r="B535" s="38"/>
      <c r="C535" s="2"/>
      <c r="D535" s="77"/>
      <c r="E535" s="78"/>
      <c r="F535" s="55"/>
      <c r="G535" s="55"/>
      <c r="H535" s="56" t="str">
        <f t="shared" si="50"/>
        <v/>
      </c>
      <c r="I535" s="2"/>
      <c r="L535" s="2"/>
      <c r="M535" s="2"/>
      <c r="N535" s="39"/>
      <c r="O535" s="2"/>
      <c r="P535" s="2"/>
    </row>
    <row r="536" spans="1:16" x14ac:dyDescent="0.25">
      <c r="B536" s="38"/>
      <c r="C536" s="2"/>
      <c r="D536" s="77"/>
      <c r="E536" s="78"/>
      <c r="F536" s="55"/>
      <c r="G536" s="55"/>
      <c r="H536" s="56" t="str">
        <f t="shared" si="50"/>
        <v/>
      </c>
      <c r="I536" s="2"/>
      <c r="L536" s="2"/>
      <c r="M536" s="2"/>
      <c r="N536" s="39"/>
      <c r="O536" s="2"/>
      <c r="P536" s="2"/>
    </row>
    <row r="537" spans="1:16" x14ac:dyDescent="0.25">
      <c r="B537" s="38"/>
      <c r="C537" s="2"/>
      <c r="D537" s="77"/>
      <c r="E537" s="78"/>
      <c r="F537" s="55"/>
      <c r="G537" s="55"/>
      <c r="H537" s="56" t="str">
        <f t="shared" si="50"/>
        <v/>
      </c>
      <c r="I537" s="2"/>
      <c r="L537" s="2"/>
      <c r="M537" s="2"/>
      <c r="N537" s="39"/>
      <c r="O537" s="2"/>
      <c r="P537" s="2"/>
    </row>
    <row r="538" spans="1:16" x14ac:dyDescent="0.25">
      <c r="B538" s="38"/>
      <c r="C538" s="2"/>
      <c r="D538" s="77"/>
      <c r="E538" s="78"/>
      <c r="F538" s="55"/>
      <c r="G538" s="55"/>
      <c r="H538" s="56" t="str">
        <f t="shared" si="50"/>
        <v/>
      </c>
      <c r="I538" s="2"/>
      <c r="L538" s="2"/>
      <c r="M538" s="2"/>
      <c r="N538" s="39"/>
      <c r="O538" s="2"/>
      <c r="P538" s="2"/>
    </row>
    <row r="539" spans="1:16" x14ac:dyDescent="0.25">
      <c r="B539" s="38"/>
      <c r="C539" s="2"/>
      <c r="D539" s="77"/>
      <c r="E539" s="78"/>
      <c r="F539" s="55"/>
      <c r="G539" s="55"/>
      <c r="H539" s="56" t="str">
        <f t="shared" si="50"/>
        <v/>
      </c>
      <c r="I539" s="2"/>
      <c r="L539" s="2"/>
      <c r="M539" s="2"/>
      <c r="N539" s="39"/>
      <c r="O539" s="2"/>
      <c r="P539" s="2"/>
    </row>
    <row r="540" spans="1:16" x14ac:dyDescent="0.25">
      <c r="B540" s="38"/>
      <c r="C540" s="2"/>
      <c r="D540" s="77"/>
      <c r="E540" s="78"/>
      <c r="F540" s="55"/>
      <c r="G540" s="55"/>
      <c r="H540" s="56" t="str">
        <f t="shared" si="50"/>
        <v/>
      </c>
      <c r="I540" s="2"/>
      <c r="L540" s="2"/>
      <c r="M540" s="2"/>
      <c r="N540" s="39"/>
      <c r="O540" s="2"/>
      <c r="P540" s="2"/>
    </row>
    <row r="541" spans="1:16" x14ac:dyDescent="0.25">
      <c r="B541" s="38"/>
      <c r="C541" s="2"/>
      <c r="D541" s="77"/>
      <c r="E541" s="78"/>
      <c r="F541" s="55"/>
      <c r="G541" s="55"/>
      <c r="H541" s="56" t="str">
        <f t="shared" si="50"/>
        <v/>
      </c>
      <c r="I541" s="2"/>
    </row>
    <row r="542" spans="1:16" x14ac:dyDescent="0.25">
      <c r="B542" s="38" t="str">
        <f>IF($A542=0,"",VLOOKUP($A542,'BASE MATERIAL'!$A:$D,2))</f>
        <v/>
      </c>
      <c r="C542" s="2"/>
      <c r="D542" s="77"/>
      <c r="E542" s="78" t="str">
        <f>IF($A542=0,"",VLOOKUP($A542,'BASE MATERIAL'!$A:$D,3))</f>
        <v/>
      </c>
      <c r="F542" s="55"/>
      <c r="G542" s="55" t="str">
        <f>IF($A542=0,"",VLOOKUP($A542,'BASE MATERIAL'!$A:$D,4))</f>
        <v/>
      </c>
      <c r="H542" s="56" t="str">
        <f t="shared" si="50"/>
        <v/>
      </c>
      <c r="I542" s="2"/>
      <c r="L542" s="2"/>
      <c r="M542" s="2"/>
      <c r="N542" s="39"/>
      <c r="O542" s="2"/>
      <c r="P542" s="2"/>
    </row>
    <row r="543" spans="1:16" x14ac:dyDescent="0.25">
      <c r="B543" s="38" t="str">
        <f>IF($A543=0,"",VLOOKUP($A543,'BASE MATERIAL'!$A:$D,2))</f>
        <v/>
      </c>
      <c r="C543" s="2"/>
      <c r="D543" s="77"/>
      <c r="E543" s="78" t="str">
        <f>IF($A543=0,"",VLOOKUP($A543,'BASE MATERIAL'!$A:$D,3))</f>
        <v/>
      </c>
      <c r="F543" s="55"/>
      <c r="G543" s="55" t="str">
        <f>IF($A543=0,"",VLOOKUP($A543,'BASE MATERIAL'!$A:$D,4))</f>
        <v/>
      </c>
      <c r="H543" s="56" t="str">
        <f t="shared" si="50"/>
        <v/>
      </c>
      <c r="I543" s="2"/>
      <c r="L543" s="2"/>
      <c r="M543" s="2"/>
      <c r="N543" s="39"/>
      <c r="O543" s="2"/>
      <c r="P543" s="2"/>
    </row>
    <row r="544" spans="1:16" x14ac:dyDescent="0.25">
      <c r="B544" s="38" t="str">
        <f>IF($A544=0,"",VLOOKUP($A544,'BASE MATERIAL'!$A:$D,2))</f>
        <v/>
      </c>
      <c r="C544" s="2"/>
      <c r="D544" s="77"/>
      <c r="E544" s="78" t="str">
        <f>IF($A544=0,"",VLOOKUP($A544,'BASE MATERIAL'!$A:$D,3))</f>
        <v/>
      </c>
      <c r="F544" s="55"/>
      <c r="G544" s="55" t="str">
        <f>IF($A544=0,"",VLOOKUP($A544,'BASE MATERIAL'!$A:$D,4))</f>
        <v/>
      </c>
      <c r="H544" s="56" t="str">
        <f t="shared" si="50"/>
        <v/>
      </c>
      <c r="I544" s="2"/>
    </row>
    <row r="545" spans="1:9" x14ac:dyDescent="0.25">
      <c r="B545" s="38" t="str">
        <f>IF($A545=0,"",VLOOKUP($A545,'BASE MATERIAL'!$A:$D,2))</f>
        <v/>
      </c>
      <c r="C545" s="2"/>
      <c r="D545" s="77"/>
      <c r="E545" s="78" t="str">
        <f>IF($A545=0,"",VLOOKUP($A545,'BASE MATERIAL'!$A:$D,3))</f>
        <v/>
      </c>
      <c r="F545" s="55"/>
      <c r="G545" s="55" t="str">
        <f>IF($A545=0,"",VLOOKUP($A545,'BASE MATERIAL'!$A:$D,4))</f>
        <v/>
      </c>
      <c r="H545" s="56" t="str">
        <f t="shared" si="50"/>
        <v/>
      </c>
      <c r="I545" s="2"/>
    </row>
    <row r="546" spans="1:9" x14ac:dyDescent="0.25">
      <c r="B546" s="38" t="str">
        <f>IF($A546=0,"",VLOOKUP($A546,'BASE MATERIAL'!$A:$D,2))</f>
        <v/>
      </c>
      <c r="C546" s="2"/>
      <c r="D546" s="77"/>
      <c r="E546" s="78" t="str">
        <f>IF($A546=0,"",VLOOKUP($A546,'BASE MATERIAL'!$A:$D,3))</f>
        <v/>
      </c>
      <c r="F546" s="55"/>
      <c r="G546" s="55" t="str">
        <f>IF($A546=0,"",VLOOKUP($A546,'BASE MATERIAL'!$A:$D,4))</f>
        <v/>
      </c>
      <c r="H546" s="56" t="str">
        <f t="shared" si="50"/>
        <v/>
      </c>
      <c r="I546" s="2"/>
    </row>
    <row r="547" spans="1:9" x14ac:dyDescent="0.25">
      <c r="B547" s="38" t="str">
        <f>IF($A547=0,"",VLOOKUP($A547,'BASE MATERIAL'!$A:$D,2))</f>
        <v/>
      </c>
      <c r="C547" s="2"/>
      <c r="D547" s="77"/>
      <c r="E547" s="78" t="str">
        <f>IF($A547=0,"",VLOOKUP($A547,'BASE MATERIAL'!$A:$D,3))</f>
        <v/>
      </c>
      <c r="F547" s="55"/>
      <c r="G547" s="55" t="str">
        <f>IF($A547=0,"",VLOOKUP($A547,'BASE MATERIAL'!$A:$D,4))</f>
        <v/>
      </c>
      <c r="H547" s="56" t="str">
        <f t="shared" si="50"/>
        <v/>
      </c>
      <c r="I547" s="2"/>
    </row>
    <row r="548" spans="1:9" x14ac:dyDescent="0.25">
      <c r="B548" s="38" t="str">
        <f>IF($A548=0,"",VLOOKUP($A548,'BASE MATERIAL'!$A:$D,2))</f>
        <v/>
      </c>
      <c r="C548" s="2"/>
      <c r="D548" s="81" t="s">
        <v>1682</v>
      </c>
      <c r="E548" s="55" t="str">
        <f>IF($A548=0,"",VLOOKUP($A548,'BASE MATERIAL'!$A:$D,3))</f>
        <v/>
      </c>
      <c r="F548" s="55" t="s">
        <v>1682</v>
      </c>
      <c r="G548" s="55" t="str">
        <f>IF($A548=0,"",VLOOKUP($A548,'BASE MATERIAL'!$A:$D,4))</f>
        <v/>
      </c>
      <c r="H548" s="56" t="str">
        <f>IF($A548=0,"",ROUND(E548*F548,2))</f>
        <v/>
      </c>
      <c r="I548" s="2"/>
    </row>
    <row r="549" spans="1:9" x14ac:dyDescent="0.25">
      <c r="B549" s="73" t="s">
        <v>1681</v>
      </c>
      <c r="C549" s="65"/>
      <c r="D549" s="74"/>
      <c r="E549" s="74"/>
      <c r="F549" s="74"/>
      <c r="G549" s="74"/>
      <c r="H549" s="75">
        <f>ROUND(SUM(H532:H548),2)</f>
        <v>19.329999999999998</v>
      </c>
      <c r="I549" s="2"/>
    </row>
    <row r="550" spans="1:9" x14ac:dyDescent="0.25">
      <c r="B550" s="38" t="s">
        <v>1680</v>
      </c>
      <c r="C550" s="2"/>
      <c r="D550" s="3"/>
      <c r="E550" s="3"/>
      <c r="F550" s="3"/>
      <c r="G550" s="3"/>
      <c r="H550" s="56"/>
      <c r="I550" s="2"/>
    </row>
    <row r="551" spans="1:9" ht="25.5" x14ac:dyDescent="0.25">
      <c r="B551" s="64" t="s">
        <v>1409</v>
      </c>
      <c r="C551" s="65"/>
      <c r="D551" s="76"/>
      <c r="E551" s="66" t="s">
        <v>1408</v>
      </c>
      <c r="F551" s="66" t="s">
        <v>1679</v>
      </c>
      <c r="G551" s="66" t="s">
        <v>1676</v>
      </c>
      <c r="H551" s="68" t="s">
        <v>1675</v>
      </c>
      <c r="I551" s="2"/>
    </row>
    <row r="552" spans="1:9" x14ac:dyDescent="0.25">
      <c r="A552" s="103">
        <v>19019</v>
      </c>
      <c r="B552" s="51" t="str">
        <f>IF($A552=0,"",VLOOKUP($A552,'BASE EQUIPO'!$A:$D,2))</f>
        <v>TRANSPORTE DE MATERIAL</v>
      </c>
      <c r="C552" s="52"/>
      <c r="D552" s="82"/>
      <c r="E552" s="78" t="str">
        <f>IF($A552=0,"",VLOOKUP($A552,'BASE EQUIPO'!$A:$D,3))</f>
        <v>GLOBAL</v>
      </c>
      <c r="F552" s="55">
        <v>1</v>
      </c>
      <c r="G552" s="83">
        <f>IF($A552=0,"",VLOOKUP($A552,'BASE EQUIPO'!$A:$D,4)*H549)</f>
        <v>0.57989999999999997</v>
      </c>
      <c r="H552" s="56">
        <f>IF($A552=0,"",ROUND(F552*G552,2))</f>
        <v>0.57999999999999996</v>
      </c>
      <c r="I552" s="2"/>
    </row>
    <row r="553" spans="1:9" x14ac:dyDescent="0.25">
      <c r="B553" s="38" t="str">
        <f>IF($A553=0,"",VLOOKUP($A553,'BASE EQUIPO'!$A:$D,2))</f>
        <v/>
      </c>
      <c r="C553" s="2"/>
      <c r="D553" s="84"/>
      <c r="E553" s="78" t="str">
        <f>IF($A553=0,"",VLOOKUP($A553,'BASE EQUIPO'!$A:$D,3))</f>
        <v/>
      </c>
      <c r="F553" s="55"/>
      <c r="G553" s="55" t="str">
        <f>IF($A553=0,"",VLOOKUP($A553,'BASE EQUIPO'!$A:$D,4)*H550)</f>
        <v/>
      </c>
      <c r="H553" s="56" t="str">
        <f>IF($A553=0,"",ROUND(F553*G553,2))</f>
        <v/>
      </c>
      <c r="I553" s="2"/>
    </row>
    <row r="554" spans="1:9" x14ac:dyDescent="0.25">
      <c r="B554" s="57" t="str">
        <f>IF($A554=0,"",VLOOKUP($A554,'BASE EQUIPO'!$A:$D,2))</f>
        <v/>
      </c>
      <c r="C554" s="58"/>
      <c r="D554" s="85"/>
      <c r="E554" s="86" t="str">
        <f>IF($A554=0,"",VLOOKUP($A554,'BASE EQUIPO'!$A:$D,3))</f>
        <v/>
      </c>
      <c r="F554" s="59"/>
      <c r="G554" s="59" t="str">
        <f>IF($A554=0,"",VLOOKUP($A554,'BASE EQUIPO'!$A:$D,4)*H551)</f>
        <v/>
      </c>
      <c r="H554" s="60" t="str">
        <f>IF($A554=0,"",ROUND(F554*G554,2))</f>
        <v/>
      </c>
      <c r="I554" s="2"/>
    </row>
    <row r="555" spans="1:9" ht="15.75" thickBot="1" x14ac:dyDescent="0.3">
      <c r="B555" s="87" t="s">
        <v>1674</v>
      </c>
      <c r="C555" s="88"/>
      <c r="D555" s="89"/>
      <c r="E555" s="89"/>
      <c r="F555" s="89"/>
      <c r="G555" s="89"/>
      <c r="H555" s="90">
        <f>ROUND(SUM(H551:H554),2)</f>
        <v>0.57999999999999996</v>
      </c>
      <c r="I555" s="2"/>
    </row>
    <row r="556" spans="1:9" ht="15.75" x14ac:dyDescent="0.25">
      <c r="B556" s="2"/>
      <c r="C556" s="2"/>
      <c r="D556" s="91" t="s">
        <v>1673</v>
      </c>
      <c r="E556" s="47"/>
      <c r="F556" s="47"/>
      <c r="G556" s="47"/>
      <c r="H556" s="92">
        <f>ROUND(SUM(H555,H549,H530,H520),2)</f>
        <v>25.69</v>
      </c>
      <c r="I556" s="2"/>
    </row>
    <row r="557" spans="1:9" ht="15.75" x14ac:dyDescent="0.25">
      <c r="A557" s="103">
        <v>40002</v>
      </c>
      <c r="B557" s="2"/>
      <c r="C557" s="2"/>
      <c r="D557" s="93" t="s">
        <v>1672</v>
      </c>
      <c r="E557" s="65"/>
      <c r="F557" s="65"/>
      <c r="G557" s="94">
        <f>IF($A557=0,"",VLOOKUP($A557,'BASE MATERIAL'!$M:$P,4))</f>
        <v>0</v>
      </c>
      <c r="H557" s="95">
        <f>IF($A557=0,"",ROUND(G557*H556,2))</f>
        <v>0</v>
      </c>
      <c r="I557" s="2"/>
    </row>
    <row r="558" spans="1:9" ht="15.75" x14ac:dyDescent="0.25">
      <c r="A558" s="103">
        <v>40003</v>
      </c>
      <c r="B558" s="2"/>
      <c r="C558" s="2"/>
      <c r="D558" s="93" t="s">
        <v>1671</v>
      </c>
      <c r="E558" s="65"/>
      <c r="F558" s="65"/>
      <c r="G558" s="94">
        <f>IF($A558=0,"",VLOOKUP($A558,'BASE MATERIAL'!$M:$P,4))</f>
        <v>0</v>
      </c>
      <c r="H558" s="95">
        <f>IF($A558=0,"",ROUND(G558*H556,2))</f>
        <v>0</v>
      </c>
      <c r="I558" s="2"/>
    </row>
    <row r="559" spans="1:9" ht="15.75" x14ac:dyDescent="0.25">
      <c r="B559" s="2"/>
      <c r="C559" s="2"/>
      <c r="D559" s="93" t="s">
        <v>1670</v>
      </c>
      <c r="E559" s="65"/>
      <c r="F559" s="65"/>
      <c r="G559" s="65"/>
      <c r="H559" s="96">
        <f>ROUND(SUM(H556:H558),2)</f>
        <v>25.69</v>
      </c>
      <c r="I559" s="2"/>
    </row>
    <row r="560" spans="1:9" ht="16.5" thickBot="1" x14ac:dyDescent="0.3">
      <c r="B560" s="25"/>
      <c r="C560" s="2"/>
      <c r="D560" s="97" t="s">
        <v>1650</v>
      </c>
      <c r="E560" s="88"/>
      <c r="F560" s="88"/>
      <c r="G560" s="88"/>
      <c r="H560" s="98">
        <f>ROUND(H559,2)</f>
        <v>25.69</v>
      </c>
      <c r="I560" s="2"/>
    </row>
  </sheetData>
  <phoneticPr fontId="2" type="noConversion"/>
  <pageMargins left="0.78740157480314965" right="0.78740157480314965" top="0.78740157480314965" bottom="0.78740157480314965" header="0" footer="0"/>
  <pageSetup paperSize="9" scale="84" orientation="portrait" r:id="rId1"/>
  <headerFooter alignWithMargins="0"/>
  <rowBreaks count="7" manualBreakCount="7">
    <brk id="56" max="16383" man="1"/>
    <brk id="112" min="1" max="7" man="1"/>
    <brk id="224" max="16383" man="1"/>
    <brk id="280" min="1" max="7" man="1"/>
    <brk id="336" max="16383" man="1"/>
    <brk id="392" min="1" max="7" man="1"/>
    <brk id="448" min="1" max="7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058B4-A7C3-4B5C-9A45-2E018A775F76}">
  <sheetPr codeName="Hoja21"/>
  <dimension ref="A1:P672"/>
  <sheetViews>
    <sheetView workbookViewId="0"/>
  </sheetViews>
  <sheetFormatPr baseColWidth="10" defaultColWidth="11.42578125" defaultRowHeight="15" x14ac:dyDescent="0.25"/>
  <cols>
    <col min="1" max="1" width="9.140625" style="103" bestFit="1" customWidth="1"/>
    <col min="2" max="2" width="12.140625" style="1" customWidth="1"/>
    <col min="3" max="3" width="26.28515625" style="1" customWidth="1"/>
    <col min="4" max="4" width="10.7109375" style="1" customWidth="1"/>
    <col min="5" max="5" width="12.140625" style="1" customWidth="1"/>
    <col min="6" max="6" width="13.28515625" style="1" customWidth="1"/>
    <col min="7" max="7" width="13.85546875" style="1" customWidth="1"/>
    <col min="8" max="8" width="12.42578125" style="1" customWidth="1"/>
    <col min="9" max="9" width="3.140625" style="1" bestFit="1" customWidth="1"/>
    <col min="10" max="10" width="7.42578125" style="1" customWidth="1"/>
    <col min="11" max="11" width="8.42578125" style="1" customWidth="1"/>
    <col min="12" max="12" width="8.5703125" style="1" customWidth="1"/>
    <col min="13" max="13" width="33.85546875" style="1" bestFit="1" customWidth="1"/>
    <col min="14" max="14" width="6" style="1" bestFit="1" customWidth="1"/>
    <col min="15" max="28" width="8.42578125" style="1" customWidth="1"/>
    <col min="29" max="16384" width="11.42578125" style="1"/>
  </cols>
  <sheetData>
    <row r="1" spans="1:15" ht="15.75" x14ac:dyDescent="0.25">
      <c r="B1" s="34" t="s">
        <v>1701</v>
      </c>
      <c r="C1" s="2"/>
      <c r="D1" s="3" t="str">
        <f>'1.1'!$D$1</f>
        <v>ESPOL</v>
      </c>
      <c r="E1" s="2"/>
      <c r="F1" s="2"/>
      <c r="H1" s="2" t="s">
        <v>108</v>
      </c>
      <c r="I1" s="2"/>
      <c r="L1" s="40">
        <f>A5</f>
        <v>14</v>
      </c>
      <c r="M1" s="1" t="str">
        <f>C6</f>
        <v>Colector PVC des ø 250mm</v>
      </c>
      <c r="N1" s="2" t="str">
        <f>H5</f>
        <v>ml</v>
      </c>
      <c r="O1" s="2">
        <f>H56</f>
        <v>53.09</v>
      </c>
    </row>
    <row r="2" spans="1:15" ht="15.75" x14ac:dyDescent="0.25">
      <c r="B2" s="34" t="s">
        <v>1700</v>
      </c>
      <c r="C2" s="3">
        <f>'1.1'!$C$2</f>
        <v>0</v>
      </c>
      <c r="D2" s="2"/>
      <c r="E2" s="2"/>
      <c r="F2" s="2"/>
      <c r="G2" s="41" t="s">
        <v>1699</v>
      </c>
      <c r="H2" s="42"/>
      <c r="I2" s="2" t="s">
        <v>1698</v>
      </c>
    </row>
    <row r="3" spans="1:15" ht="15.75" x14ac:dyDescent="0.25">
      <c r="B3" s="34"/>
      <c r="C3" s="3">
        <f>'1.1'!$C$3</f>
        <v>0</v>
      </c>
      <c r="D3" s="2"/>
      <c r="E3" s="2"/>
      <c r="F3" s="2"/>
      <c r="G3" s="2"/>
      <c r="H3" s="2"/>
      <c r="I3" s="2"/>
    </row>
    <row r="4" spans="1:15" ht="15.75" x14ac:dyDescent="0.25">
      <c r="B4" s="34" t="s">
        <v>1697</v>
      </c>
      <c r="C4" s="3"/>
      <c r="D4" s="2"/>
      <c r="E4" s="2"/>
      <c r="F4" s="2"/>
      <c r="G4" s="2"/>
      <c r="H4" s="2"/>
      <c r="I4" s="2"/>
    </row>
    <row r="5" spans="1:15" x14ac:dyDescent="0.25">
      <c r="A5" s="104">
        <v>14</v>
      </c>
      <c r="B5" s="2" t="s">
        <v>1586</v>
      </c>
      <c r="C5" s="101"/>
      <c r="D5" s="2"/>
      <c r="G5" s="2" t="s">
        <v>1696</v>
      </c>
      <c r="H5" s="3" t="s">
        <v>961</v>
      </c>
      <c r="I5" s="2"/>
    </row>
    <row r="6" spans="1:15" x14ac:dyDescent="0.25">
      <c r="B6" s="1" t="s">
        <v>1585</v>
      </c>
      <c r="C6" s="36" t="s">
        <v>601</v>
      </c>
      <c r="D6" s="2"/>
      <c r="E6" s="2"/>
      <c r="F6" s="2"/>
      <c r="G6" s="2"/>
      <c r="H6" s="2"/>
      <c r="I6" s="2"/>
    </row>
    <row r="7" spans="1:15" ht="15.75" thickBot="1" x14ac:dyDescent="0.3">
      <c r="D7" s="2"/>
      <c r="E7" s="2"/>
      <c r="F7" s="2"/>
      <c r="G7" s="2"/>
      <c r="H7" s="2"/>
      <c r="I7" s="2"/>
    </row>
    <row r="8" spans="1:15" ht="15.75" thickBot="1" x14ac:dyDescent="0.3">
      <c r="B8" s="43" t="s">
        <v>1695</v>
      </c>
      <c r="C8" s="44"/>
      <c r="D8" s="44"/>
      <c r="E8" s="44"/>
      <c r="F8" s="44"/>
      <c r="G8" s="44"/>
      <c r="H8" s="45"/>
      <c r="I8" s="2"/>
    </row>
    <row r="9" spans="1:15" ht="25.5" x14ac:dyDescent="0.25">
      <c r="B9" s="46" t="s">
        <v>1409</v>
      </c>
      <c r="C9" s="47"/>
      <c r="D9" s="48" t="s">
        <v>1690</v>
      </c>
      <c r="E9" s="48" t="s">
        <v>1694</v>
      </c>
      <c r="F9" s="48" t="s">
        <v>1693</v>
      </c>
      <c r="G9" s="49" t="s">
        <v>1687</v>
      </c>
      <c r="H9" s="50" t="s">
        <v>1686</v>
      </c>
      <c r="I9" s="2"/>
    </row>
    <row r="10" spans="1:15" x14ac:dyDescent="0.25">
      <c r="A10" s="103">
        <v>19016</v>
      </c>
      <c r="B10" s="51" t="str">
        <f>IF($A10=0,"",VLOOKUP($A10,'BASE EQUIPO'!$A:$D,2))</f>
        <v>HERRAMIENTA MENOR</v>
      </c>
      <c r="C10" s="52"/>
      <c r="D10" s="53">
        <v>1</v>
      </c>
      <c r="E10" s="53">
        <f>IF($A10=0,"",VLOOKUP($A10,'BASE EQUIPO'!$A:$D,4)*H26)</f>
        <v>0.70150000000000001</v>
      </c>
      <c r="F10" s="53">
        <f t="shared" ref="F10:F15" si="0">IF($A10=0,"",ROUND(D10*E10,2))</f>
        <v>0.7</v>
      </c>
      <c r="G10" s="105">
        <v>1</v>
      </c>
      <c r="H10" s="54">
        <f t="shared" ref="H10:H15" si="1">IF($A10=0,"",ROUND(G10*F10,2))</f>
        <v>0.7</v>
      </c>
      <c r="I10" s="2"/>
    </row>
    <row r="11" spans="1:15" x14ac:dyDescent="0.25">
      <c r="B11" s="38" t="str">
        <f>IF($A11=0,"",VLOOKUP($A11,'BASE EQUIPO'!$A:$D,2))</f>
        <v/>
      </c>
      <c r="C11" s="2"/>
      <c r="D11" s="55"/>
      <c r="E11" s="55" t="str">
        <f>IF($A11=0,"",VLOOKUP($A11,'BASE EQUIPO'!$A:$D,4))</f>
        <v/>
      </c>
      <c r="F11" s="55" t="str">
        <f t="shared" si="0"/>
        <v/>
      </c>
      <c r="G11" s="106"/>
      <c r="H11" s="56" t="str">
        <f t="shared" si="1"/>
        <v/>
      </c>
      <c r="I11" s="2"/>
    </row>
    <row r="12" spans="1:15" x14ac:dyDescent="0.25">
      <c r="B12" s="38" t="str">
        <f>IF($A12=0,"",VLOOKUP($A12,'BASE EQUIPO'!$A:$D,2))</f>
        <v/>
      </c>
      <c r="C12" s="2"/>
      <c r="D12" s="55"/>
      <c r="E12" s="55" t="str">
        <f>IF($A12=0,"",VLOOKUP($A12,'BASE EQUIPO'!$A:$D,4))</f>
        <v/>
      </c>
      <c r="F12" s="55" t="str">
        <f t="shared" si="0"/>
        <v/>
      </c>
      <c r="G12" s="106"/>
      <c r="H12" s="56" t="str">
        <f t="shared" si="1"/>
        <v/>
      </c>
      <c r="I12" s="2"/>
    </row>
    <row r="13" spans="1:15" x14ac:dyDescent="0.25">
      <c r="B13" s="38" t="str">
        <f>IF($A13=0,"",VLOOKUP($A13,'BASE EQUIPO'!$A:$D,2))</f>
        <v/>
      </c>
      <c r="C13" s="2"/>
      <c r="D13" s="55"/>
      <c r="E13" s="55" t="str">
        <f>IF($A13=0,"",VLOOKUP($A13,'BASE EQUIPO'!$A:$D,4))</f>
        <v/>
      </c>
      <c r="F13" s="55" t="str">
        <f t="shared" si="0"/>
        <v/>
      </c>
      <c r="G13" s="106"/>
      <c r="H13" s="56" t="str">
        <f t="shared" si="1"/>
        <v/>
      </c>
      <c r="I13" s="2"/>
    </row>
    <row r="14" spans="1:15" x14ac:dyDescent="0.25">
      <c r="B14" s="38" t="str">
        <f>IF($A14=0,"",VLOOKUP($A14,'BASE EQUIPO'!$A:$D,2))</f>
        <v/>
      </c>
      <c r="C14" s="2"/>
      <c r="D14" s="55"/>
      <c r="E14" s="55" t="str">
        <f>IF($A14=0,"",VLOOKUP($A14,'BASE EQUIPO'!$A:$D,4))</f>
        <v/>
      </c>
      <c r="F14" s="55" t="str">
        <f t="shared" si="0"/>
        <v/>
      </c>
      <c r="G14" s="106"/>
      <c r="H14" s="56" t="str">
        <f t="shared" si="1"/>
        <v/>
      </c>
      <c r="I14" s="2"/>
    </row>
    <row r="15" spans="1:15" x14ac:dyDescent="0.25">
      <c r="B15" s="57" t="str">
        <f>IF($A15=0,"",VLOOKUP($A15,'BASE EQUIPO'!$A:$D,2))</f>
        <v/>
      </c>
      <c r="C15" s="58"/>
      <c r="D15" s="59"/>
      <c r="E15" s="59" t="str">
        <f>IF($A15=0,"",VLOOKUP($A15,'BASE EQUIPO'!$A:$D,4))</f>
        <v/>
      </c>
      <c r="F15" s="59" t="str">
        <f t="shared" si="0"/>
        <v/>
      </c>
      <c r="G15" s="107"/>
      <c r="H15" s="60" t="str">
        <f t="shared" si="1"/>
        <v/>
      </c>
      <c r="I15" s="2"/>
    </row>
    <row r="16" spans="1:15" x14ac:dyDescent="0.25">
      <c r="B16" s="57" t="s">
        <v>1692</v>
      </c>
      <c r="C16" s="58"/>
      <c r="D16" s="61"/>
      <c r="E16" s="61"/>
      <c r="F16" s="61"/>
      <c r="G16" s="62"/>
      <c r="H16" s="60">
        <f>ROUND(SUM(H9:H15),2)</f>
        <v>0.7</v>
      </c>
      <c r="I16" s="2"/>
    </row>
    <row r="17" spans="1:16" x14ac:dyDescent="0.25">
      <c r="B17" s="38" t="s">
        <v>1503</v>
      </c>
      <c r="C17" s="2"/>
      <c r="D17" s="3"/>
      <c r="E17" s="3"/>
      <c r="F17" s="3"/>
      <c r="G17" s="63"/>
      <c r="H17" s="56"/>
      <c r="I17" s="2"/>
    </row>
    <row r="18" spans="1:16" ht="25.5" x14ac:dyDescent="0.25">
      <c r="B18" s="64" t="s">
        <v>1691</v>
      </c>
      <c r="C18" s="65"/>
      <c r="D18" s="66" t="s">
        <v>1690</v>
      </c>
      <c r="E18" s="66" t="s">
        <v>1689</v>
      </c>
      <c r="F18" s="66" t="s">
        <v>1688</v>
      </c>
      <c r="G18" s="67" t="s">
        <v>1687</v>
      </c>
      <c r="H18" s="68" t="s">
        <v>1686</v>
      </c>
      <c r="I18" s="2"/>
    </row>
    <row r="19" spans="1:16" x14ac:dyDescent="0.25">
      <c r="B19" s="69" t="str">
        <f>IF($A19=0,"",VLOOKUP($A19,'BASE M-OBRA'!$A:$D,2))</f>
        <v/>
      </c>
      <c r="C19" s="2"/>
      <c r="D19" s="108"/>
      <c r="E19" s="70" t="str">
        <f>IF($A19=0,"",VLOOKUP($A19,'BASE M-OBRA'!$A:$D,4))</f>
        <v/>
      </c>
      <c r="F19" s="55" t="str">
        <f t="shared" ref="F19:F25" si="2">IF($A19=0,"",ROUND(D19*E19,2))</f>
        <v/>
      </c>
      <c r="G19" s="106" t="str">
        <f>IF($A19=0,"",ROUND(H19/F19,2))</f>
        <v/>
      </c>
      <c r="H19" s="56" t="str">
        <f>IF($A19=0,"",ROUND(SUM(H20:H25)*'BASE M-OBRA'!$D$23,2))</f>
        <v/>
      </c>
      <c r="I19" s="2"/>
    </row>
    <row r="20" spans="1:16" x14ac:dyDescent="0.25">
      <c r="A20" s="103">
        <v>20011</v>
      </c>
      <c r="B20" s="69" t="str">
        <f>IF($A20=0,"",VLOOKUP($A20,'BASE M-OBRA'!$A:$D,2))</f>
        <v>AYUDANTE ESPECIALISTA</v>
      </c>
      <c r="C20" s="2"/>
      <c r="D20" s="108">
        <v>1</v>
      </c>
      <c r="E20" s="70">
        <f>IF($A20=0,"",VLOOKUP($A20,'BASE M-OBRA'!$A:$D,4))</f>
        <v>2.79</v>
      </c>
      <c r="F20" s="55">
        <f t="shared" si="2"/>
        <v>2.79</v>
      </c>
      <c r="G20" s="106">
        <v>2.5</v>
      </c>
      <c r="H20" s="56">
        <f t="shared" ref="H20:H25" si="3">IF($A20=0,"",ROUND(G20*F20,2))</f>
        <v>6.98</v>
      </c>
      <c r="I20" s="2"/>
    </row>
    <row r="21" spans="1:16" x14ac:dyDescent="0.25">
      <c r="A21" s="103">
        <v>20016</v>
      </c>
      <c r="B21" s="69" t="str">
        <f>IF($A21=0,"",VLOOKUP($A21,'BASE M-OBRA'!$A:$D,2))</f>
        <v>GAFITERO</v>
      </c>
      <c r="C21" s="2"/>
      <c r="D21" s="108">
        <v>1</v>
      </c>
      <c r="E21" s="70">
        <f>IF($A21=0,"",VLOOKUP($A21,'BASE M-OBRA'!$A:$D,4))</f>
        <v>2.82</v>
      </c>
      <c r="F21" s="55">
        <f t="shared" si="2"/>
        <v>2.82</v>
      </c>
      <c r="G21" s="106">
        <f>+G20</f>
        <v>2.5</v>
      </c>
      <c r="H21" s="56">
        <f t="shared" si="3"/>
        <v>7.05</v>
      </c>
      <c r="I21" s="2"/>
    </row>
    <row r="22" spans="1:16" x14ac:dyDescent="0.25">
      <c r="B22" s="71" t="str">
        <f>IF($A22=0,"",VLOOKUP($A22,'BASE M-OBRA'!$A:$D,2))</f>
        <v/>
      </c>
      <c r="C22" s="2"/>
      <c r="D22" s="108"/>
      <c r="E22" s="70" t="str">
        <f>IF($A22=0,"",VLOOKUP($A22,'BASE M-OBRA'!$A:$D,4))</f>
        <v/>
      </c>
      <c r="F22" s="55" t="str">
        <f t="shared" si="2"/>
        <v/>
      </c>
      <c r="G22" s="106"/>
      <c r="H22" s="56" t="str">
        <f t="shared" si="3"/>
        <v/>
      </c>
      <c r="I22" s="2"/>
    </row>
    <row r="23" spans="1:16" x14ac:dyDescent="0.25">
      <c r="B23" s="72" t="str">
        <f>IF($A23=0,"",VLOOKUP($A23,'BASE M-OBRA'!$A:$D,2))</f>
        <v/>
      </c>
      <c r="C23" s="2"/>
      <c r="D23" s="108"/>
      <c r="E23" s="70" t="str">
        <f>IF($A23=0,"",VLOOKUP($A23,'BASE M-OBRA'!$A:$D,4))</f>
        <v/>
      </c>
      <c r="F23" s="55" t="str">
        <f t="shared" si="2"/>
        <v/>
      </c>
      <c r="G23" s="106"/>
      <c r="H23" s="56" t="str">
        <f t="shared" si="3"/>
        <v/>
      </c>
      <c r="I23" s="2"/>
    </row>
    <row r="24" spans="1:16" x14ac:dyDescent="0.25">
      <c r="B24" s="38" t="str">
        <f>IF($A24=0,"",VLOOKUP($A24,'BASE M-OBRA'!$A:$D,2))</f>
        <v/>
      </c>
      <c r="C24" s="2"/>
      <c r="D24" s="55"/>
      <c r="E24" s="55" t="str">
        <f>IF($A24=0,"",VLOOKUP($A24,'BASE M-OBRA'!$A:$D,4))</f>
        <v/>
      </c>
      <c r="F24" s="55" t="str">
        <f t="shared" si="2"/>
        <v/>
      </c>
      <c r="G24" s="106"/>
      <c r="H24" s="56" t="str">
        <f t="shared" si="3"/>
        <v/>
      </c>
      <c r="I24" s="2"/>
    </row>
    <row r="25" spans="1:16" x14ac:dyDescent="0.25">
      <c r="B25" s="57" t="str">
        <f>IF($A25=0,"",VLOOKUP($A25,'BASE M-OBRA'!$A:$D,2))</f>
        <v/>
      </c>
      <c r="C25" s="58"/>
      <c r="D25" s="59"/>
      <c r="E25" s="59" t="str">
        <f>IF($A25=0,"",VLOOKUP($A25,'BASE M-OBRA'!$A:$D,4))</f>
        <v/>
      </c>
      <c r="F25" s="59" t="str">
        <f t="shared" si="2"/>
        <v/>
      </c>
      <c r="G25" s="107"/>
      <c r="H25" s="60" t="str">
        <f t="shared" si="3"/>
        <v/>
      </c>
      <c r="I25" s="2"/>
    </row>
    <row r="26" spans="1:16" x14ac:dyDescent="0.25">
      <c r="B26" s="73" t="s">
        <v>1685</v>
      </c>
      <c r="C26" s="65"/>
      <c r="D26" s="74"/>
      <c r="E26" s="74"/>
      <c r="F26" s="74"/>
      <c r="G26" s="74"/>
      <c r="H26" s="75">
        <f>ROUND(SUM(H18:H25),2)</f>
        <v>14.03</v>
      </c>
      <c r="I26" s="2"/>
    </row>
    <row r="27" spans="1:16" x14ac:dyDescent="0.25">
      <c r="B27" s="38" t="s">
        <v>1684</v>
      </c>
      <c r="C27" s="2"/>
      <c r="D27" s="3"/>
      <c r="E27" s="3"/>
      <c r="F27" s="3"/>
      <c r="G27" s="3"/>
      <c r="H27" s="56"/>
      <c r="I27" s="2"/>
    </row>
    <row r="28" spans="1:16" ht="25.5" x14ac:dyDescent="0.25">
      <c r="B28" s="64" t="s">
        <v>1409</v>
      </c>
      <c r="C28" s="65"/>
      <c r="D28" s="76"/>
      <c r="E28" s="66" t="s">
        <v>1408</v>
      </c>
      <c r="F28" s="66" t="s">
        <v>1679</v>
      </c>
      <c r="G28" s="66" t="s">
        <v>1683</v>
      </c>
      <c r="H28" s="68" t="s">
        <v>1675</v>
      </c>
      <c r="I28" s="2"/>
    </row>
    <row r="29" spans="1:16" x14ac:dyDescent="0.25">
      <c r="A29" s="103">
        <v>1</v>
      </c>
      <c r="B29" s="109" t="s">
        <v>600</v>
      </c>
      <c r="C29" s="2"/>
      <c r="D29" s="77"/>
      <c r="E29" s="78" t="s">
        <v>25</v>
      </c>
      <c r="F29" s="55">
        <v>1.05</v>
      </c>
      <c r="G29" s="55">
        <f>30.33*1.12</f>
        <v>33.9696</v>
      </c>
      <c r="H29" s="56">
        <f t="shared" ref="H29:H43" si="4">IF($A29=0,"",ROUND(F29*G29,2))</f>
        <v>35.67</v>
      </c>
      <c r="I29" s="2"/>
      <c r="J29" s="1">
        <f>182/6</f>
        <v>30.333333333333332</v>
      </c>
      <c r="L29" s="2"/>
      <c r="M29" s="2"/>
      <c r="N29" s="39"/>
      <c r="O29" s="2"/>
      <c r="P29" s="2"/>
    </row>
    <row r="30" spans="1:16" s="4" customFormat="1" x14ac:dyDescent="0.25">
      <c r="A30" s="103">
        <v>5004</v>
      </c>
      <c r="B30" s="38" t="str">
        <f>IF($A30=0,"",VLOOKUP($A30,'BASE MATERIAL'!$A:$D,2))</f>
        <v>ARENA</v>
      </c>
      <c r="C30" s="2"/>
      <c r="D30" s="77"/>
      <c r="E30" s="78" t="str">
        <f>IF($A30=0,"",VLOOKUP($A30,'BASE MATERIAL'!$A:$D,3))</f>
        <v>M3</v>
      </c>
      <c r="F30" s="55">
        <f>ROUND(F29*0.032*3,2)</f>
        <v>0.1</v>
      </c>
      <c r="G30" s="55">
        <f>IF($A30=0,"",VLOOKUP($A30,'BASE MATERIAL'!$A:$D,4))</f>
        <v>12.276249999999999</v>
      </c>
      <c r="H30" s="56">
        <f t="shared" si="4"/>
        <v>1.23</v>
      </c>
      <c r="I30" s="5"/>
      <c r="K30" s="4">
        <v>28.4</v>
      </c>
      <c r="L30" s="5"/>
      <c r="M30" s="5"/>
      <c r="N30" s="160"/>
      <c r="O30" s="5"/>
      <c r="P30" s="5"/>
    </row>
    <row r="31" spans="1:16" x14ac:dyDescent="0.25">
      <c r="A31" s="103">
        <v>1</v>
      </c>
      <c r="B31" s="38" t="s">
        <v>4</v>
      </c>
      <c r="C31" s="2"/>
      <c r="D31" s="77"/>
      <c r="E31" s="78" t="s">
        <v>2</v>
      </c>
      <c r="F31" s="55">
        <v>2.1000000000000001E-2</v>
      </c>
      <c r="G31" s="55">
        <v>12.63</v>
      </c>
      <c r="H31" s="56">
        <f t="shared" si="4"/>
        <v>0.27</v>
      </c>
      <c r="I31" s="2"/>
      <c r="L31" s="2"/>
      <c r="M31" s="2"/>
      <c r="N31" s="39"/>
      <c r="O31" s="2"/>
      <c r="P31" s="2"/>
    </row>
    <row r="32" spans="1:16" x14ac:dyDescent="0.25">
      <c r="A32" s="103">
        <v>1</v>
      </c>
      <c r="B32" s="38" t="s">
        <v>3</v>
      </c>
      <c r="C32" s="2"/>
      <c r="D32" s="77"/>
      <c r="E32" s="78" t="s">
        <v>2</v>
      </c>
      <c r="F32" s="55">
        <v>0.01</v>
      </c>
      <c r="G32" s="55">
        <v>6.89</v>
      </c>
      <c r="H32" s="56">
        <f t="shared" si="4"/>
        <v>7.0000000000000007E-2</v>
      </c>
      <c r="I32" s="2"/>
      <c r="L32" s="2"/>
      <c r="M32" s="2"/>
      <c r="N32" s="39"/>
      <c r="O32" s="2"/>
      <c r="P32" s="2"/>
    </row>
    <row r="33" spans="1:16" x14ac:dyDescent="0.25">
      <c r="B33" s="38"/>
      <c r="C33" s="2"/>
      <c r="D33" s="77"/>
      <c r="E33" s="78"/>
      <c r="F33" s="55"/>
      <c r="G33" s="55"/>
      <c r="H33" s="56" t="str">
        <f t="shared" si="4"/>
        <v/>
      </c>
      <c r="I33" s="2"/>
      <c r="L33" s="2"/>
      <c r="M33" s="2"/>
      <c r="N33" s="39"/>
      <c r="O33" s="2"/>
      <c r="P33" s="2"/>
    </row>
    <row r="34" spans="1:16" x14ac:dyDescent="0.25">
      <c r="B34" s="38"/>
      <c r="C34" s="2"/>
      <c r="D34" s="77"/>
      <c r="E34" s="78"/>
      <c r="F34" s="55"/>
      <c r="G34" s="55"/>
      <c r="H34" s="56" t="str">
        <f t="shared" si="4"/>
        <v/>
      </c>
      <c r="I34" s="2"/>
      <c r="L34" s="2"/>
      <c r="M34" s="2"/>
      <c r="N34" s="39"/>
      <c r="O34" s="2"/>
      <c r="P34" s="2"/>
    </row>
    <row r="35" spans="1:16" x14ac:dyDescent="0.25">
      <c r="B35" s="38"/>
      <c r="C35" s="2"/>
      <c r="D35" s="77"/>
      <c r="E35" s="78"/>
      <c r="F35" s="55"/>
      <c r="G35" s="55"/>
      <c r="H35" s="56" t="str">
        <f t="shared" si="4"/>
        <v/>
      </c>
      <c r="I35" s="2"/>
      <c r="L35" s="2"/>
      <c r="M35" s="2"/>
      <c r="N35" s="39"/>
      <c r="O35" s="2"/>
      <c r="P35" s="2"/>
    </row>
    <row r="36" spans="1:16" x14ac:dyDescent="0.25">
      <c r="B36" s="38"/>
      <c r="C36" s="2"/>
      <c r="D36" s="77"/>
      <c r="E36" s="78"/>
      <c r="F36" s="55"/>
      <c r="G36" s="55"/>
      <c r="H36" s="56" t="str">
        <f t="shared" si="4"/>
        <v/>
      </c>
      <c r="I36" s="2"/>
      <c r="L36" s="2"/>
      <c r="M36" s="2"/>
      <c r="N36" s="39"/>
      <c r="O36" s="2"/>
      <c r="P36" s="2"/>
    </row>
    <row r="37" spans="1:16" x14ac:dyDescent="0.25">
      <c r="B37" s="38"/>
      <c r="C37" s="2"/>
      <c r="D37" s="77"/>
      <c r="E37" s="78"/>
      <c r="F37" s="55"/>
      <c r="G37" s="55"/>
      <c r="H37" s="56" t="str">
        <f t="shared" si="4"/>
        <v/>
      </c>
      <c r="I37" s="2"/>
    </row>
    <row r="38" spans="1:16" x14ac:dyDescent="0.25">
      <c r="B38" s="38" t="str">
        <f>IF($A38=0,"",VLOOKUP($A38,'BASE MATERIAL'!$A:$D,2))</f>
        <v/>
      </c>
      <c r="C38" s="2"/>
      <c r="D38" s="77"/>
      <c r="E38" s="78" t="str">
        <f>IF($A38=0,"",VLOOKUP($A38,'BASE MATERIAL'!$A:$D,3))</f>
        <v/>
      </c>
      <c r="F38" s="55"/>
      <c r="G38" s="55" t="str">
        <f>IF($A38=0,"",VLOOKUP($A38,'BASE MATERIAL'!$A:$D,4))</f>
        <v/>
      </c>
      <c r="H38" s="56" t="str">
        <f t="shared" si="4"/>
        <v/>
      </c>
      <c r="I38" s="2"/>
      <c r="L38" s="2"/>
      <c r="M38" s="2"/>
      <c r="N38" s="39"/>
      <c r="O38" s="2"/>
      <c r="P38" s="2"/>
    </row>
    <row r="39" spans="1:16" x14ac:dyDescent="0.25">
      <c r="B39" s="38" t="str">
        <f>IF($A39=0,"",VLOOKUP($A39,'BASE MATERIAL'!$A:$D,2))</f>
        <v/>
      </c>
      <c r="C39" s="2"/>
      <c r="D39" s="77"/>
      <c r="E39" s="78" t="str">
        <f>IF($A39=0,"",VLOOKUP($A39,'BASE MATERIAL'!$A:$D,3))</f>
        <v/>
      </c>
      <c r="F39" s="55"/>
      <c r="G39" s="55" t="str">
        <f>IF($A39=0,"",VLOOKUP($A39,'BASE MATERIAL'!$A:$D,4))</f>
        <v/>
      </c>
      <c r="H39" s="56" t="str">
        <f t="shared" si="4"/>
        <v/>
      </c>
      <c r="I39" s="2"/>
      <c r="L39" s="2"/>
      <c r="M39" s="2"/>
      <c r="N39" s="39"/>
      <c r="O39" s="2"/>
      <c r="P39" s="2"/>
    </row>
    <row r="40" spans="1:16" x14ac:dyDescent="0.25">
      <c r="B40" s="38" t="str">
        <f>IF($A40=0,"",VLOOKUP($A40,'BASE MATERIAL'!$A:$D,2))</f>
        <v/>
      </c>
      <c r="C40" s="2"/>
      <c r="D40" s="77"/>
      <c r="E40" s="78" t="str">
        <f>IF($A40=0,"",VLOOKUP($A40,'BASE MATERIAL'!$A:$D,3))</f>
        <v/>
      </c>
      <c r="F40" s="55"/>
      <c r="G40" s="55" t="str">
        <f>IF($A40=0,"",VLOOKUP($A40,'BASE MATERIAL'!$A:$D,4))</f>
        <v/>
      </c>
      <c r="H40" s="56" t="str">
        <f t="shared" si="4"/>
        <v/>
      </c>
      <c r="I40" s="2"/>
    </row>
    <row r="41" spans="1:16" x14ac:dyDescent="0.25">
      <c r="B41" s="38" t="str">
        <f>IF($A41=0,"",VLOOKUP($A41,'BASE MATERIAL'!$A:$D,2))</f>
        <v/>
      </c>
      <c r="C41" s="2"/>
      <c r="D41" s="77"/>
      <c r="E41" s="78" t="str">
        <f>IF($A41=0,"",VLOOKUP($A41,'BASE MATERIAL'!$A:$D,3))</f>
        <v/>
      </c>
      <c r="F41" s="55"/>
      <c r="G41" s="55" t="str">
        <f>IF($A41=0,"",VLOOKUP($A41,'BASE MATERIAL'!$A:$D,4))</f>
        <v/>
      </c>
      <c r="H41" s="56" t="str">
        <f t="shared" si="4"/>
        <v/>
      </c>
      <c r="I41" s="2"/>
    </row>
    <row r="42" spans="1:16" x14ac:dyDescent="0.25">
      <c r="B42" s="38" t="str">
        <f>IF($A42=0,"",VLOOKUP($A42,'BASE MATERIAL'!$A:$D,2))</f>
        <v/>
      </c>
      <c r="C42" s="2"/>
      <c r="D42" s="77"/>
      <c r="E42" s="78" t="str">
        <f>IF($A42=0,"",VLOOKUP($A42,'BASE MATERIAL'!$A:$D,3))</f>
        <v/>
      </c>
      <c r="F42" s="55"/>
      <c r="G42" s="55" t="str">
        <f>IF($A42=0,"",VLOOKUP($A42,'BASE MATERIAL'!$A:$D,4))</f>
        <v/>
      </c>
      <c r="H42" s="56" t="str">
        <f t="shared" si="4"/>
        <v/>
      </c>
      <c r="I42" s="2"/>
    </row>
    <row r="43" spans="1:16" x14ac:dyDescent="0.25">
      <c r="B43" s="38" t="str">
        <f>IF($A43=0,"",VLOOKUP($A43,'BASE MATERIAL'!$A:$D,2))</f>
        <v/>
      </c>
      <c r="C43" s="2"/>
      <c r="D43" s="77"/>
      <c r="E43" s="78" t="str">
        <f>IF($A43=0,"",VLOOKUP($A43,'BASE MATERIAL'!$A:$D,3))</f>
        <v/>
      </c>
      <c r="F43" s="55"/>
      <c r="G43" s="55" t="str">
        <f>IF($A43=0,"",VLOOKUP($A43,'BASE MATERIAL'!$A:$D,4))</f>
        <v/>
      </c>
      <c r="H43" s="56" t="str">
        <f t="shared" si="4"/>
        <v/>
      </c>
      <c r="I43" s="2"/>
    </row>
    <row r="44" spans="1:16" x14ac:dyDescent="0.25">
      <c r="B44" s="38" t="str">
        <f>IF($A44=0,"",VLOOKUP($A44,'BASE MATERIAL'!$A:$D,2))</f>
        <v/>
      </c>
      <c r="C44" s="2"/>
      <c r="D44" s="81" t="s">
        <v>1682</v>
      </c>
      <c r="E44" s="55" t="str">
        <f>IF($A44=0,"",VLOOKUP($A44,'BASE MATERIAL'!$A:$D,3))</f>
        <v/>
      </c>
      <c r="F44" s="55" t="s">
        <v>1682</v>
      </c>
      <c r="G44" s="55" t="str">
        <f>IF($A44=0,"",VLOOKUP($A44,'BASE MATERIAL'!$A:$D,4))</f>
        <v/>
      </c>
      <c r="H44" s="56" t="str">
        <f>IF($A44=0,"",ROUND(E44*F44,2))</f>
        <v/>
      </c>
      <c r="I44" s="2"/>
    </row>
    <row r="45" spans="1:16" x14ac:dyDescent="0.25">
      <c r="B45" s="73" t="s">
        <v>1681</v>
      </c>
      <c r="C45" s="65"/>
      <c r="D45" s="74"/>
      <c r="E45" s="74"/>
      <c r="F45" s="74"/>
      <c r="G45" s="74"/>
      <c r="H45" s="75">
        <f>ROUND(SUM(H28:H44),2)</f>
        <v>37.24</v>
      </c>
      <c r="I45" s="2"/>
    </row>
    <row r="46" spans="1:16" x14ac:dyDescent="0.25">
      <c r="B46" s="38" t="s">
        <v>1680</v>
      </c>
      <c r="C46" s="2"/>
      <c r="D46" s="3"/>
      <c r="E46" s="3"/>
      <c r="F46" s="3"/>
      <c r="G46" s="3"/>
      <c r="H46" s="56"/>
      <c r="I46" s="2"/>
    </row>
    <row r="47" spans="1:16" ht="25.5" x14ac:dyDescent="0.25">
      <c r="B47" s="64" t="s">
        <v>1409</v>
      </c>
      <c r="C47" s="65"/>
      <c r="D47" s="76"/>
      <c r="E47" s="66" t="s">
        <v>1408</v>
      </c>
      <c r="F47" s="66" t="s">
        <v>1679</v>
      </c>
      <c r="G47" s="66" t="s">
        <v>1676</v>
      </c>
      <c r="H47" s="68" t="s">
        <v>1675</v>
      </c>
      <c r="I47" s="2"/>
    </row>
    <row r="48" spans="1:16" x14ac:dyDescent="0.25">
      <c r="A48" s="103">
        <v>19019</v>
      </c>
      <c r="B48" s="51" t="str">
        <f>IF($A48=0,"",VLOOKUP($A48,'BASE EQUIPO'!$A:$D,2))</f>
        <v>TRANSPORTE DE MATERIAL</v>
      </c>
      <c r="C48" s="52"/>
      <c r="D48" s="82"/>
      <c r="E48" s="78" t="str">
        <f>IF($A48=0,"",VLOOKUP($A48,'BASE EQUIPO'!$A:$D,3))</f>
        <v>GLOBAL</v>
      </c>
      <c r="F48" s="55">
        <v>1</v>
      </c>
      <c r="G48" s="83">
        <f>IF($A48=0,"",VLOOKUP($A48,'BASE EQUIPO'!$A:$D,4)*H45)</f>
        <v>1.1172</v>
      </c>
      <c r="H48" s="56">
        <f>IF($A48=0,"",ROUND(F48*G48,2))</f>
        <v>1.1200000000000001</v>
      </c>
      <c r="I48" s="2"/>
    </row>
    <row r="49" spans="1:15" x14ac:dyDescent="0.25">
      <c r="B49" s="38" t="str">
        <f>IF($A49=0,"",VLOOKUP($A49,'BASE EQUIPO'!$A:$D,2))</f>
        <v/>
      </c>
      <c r="C49" s="2"/>
      <c r="D49" s="84"/>
      <c r="E49" s="78" t="str">
        <f>IF($A49=0,"",VLOOKUP($A49,'BASE EQUIPO'!$A:$D,3))</f>
        <v/>
      </c>
      <c r="F49" s="55"/>
      <c r="G49" s="55" t="str">
        <f>IF($A49=0,"",VLOOKUP($A49,'BASE EQUIPO'!$A:$D,4)*H46)</f>
        <v/>
      </c>
      <c r="H49" s="56" t="str">
        <f>IF($A49=0,"",ROUND(F49*G49,2))</f>
        <v/>
      </c>
      <c r="I49" s="2"/>
    </row>
    <row r="50" spans="1:15" x14ac:dyDescent="0.25">
      <c r="B50" s="57" t="str">
        <f>IF($A50=0,"",VLOOKUP($A50,'BASE EQUIPO'!$A:$D,2))</f>
        <v/>
      </c>
      <c r="C50" s="58"/>
      <c r="D50" s="85"/>
      <c r="E50" s="86" t="str">
        <f>IF($A50=0,"",VLOOKUP($A50,'BASE EQUIPO'!$A:$D,3))</f>
        <v/>
      </c>
      <c r="F50" s="59"/>
      <c r="G50" s="59" t="str">
        <f>IF($A50=0,"",VLOOKUP($A50,'BASE EQUIPO'!$A:$D,4)*H47)</f>
        <v/>
      </c>
      <c r="H50" s="60" t="str">
        <f>IF($A50=0,"",ROUND(F50*G50,2))</f>
        <v/>
      </c>
      <c r="I50" s="2"/>
    </row>
    <row r="51" spans="1:15" ht="15.75" thickBot="1" x14ac:dyDescent="0.3">
      <c r="B51" s="87" t="s">
        <v>1674</v>
      </c>
      <c r="C51" s="88"/>
      <c r="D51" s="89"/>
      <c r="E51" s="89"/>
      <c r="F51" s="89"/>
      <c r="G51" s="89"/>
      <c r="H51" s="90">
        <f>ROUND(SUM(H47:H50),2)</f>
        <v>1.1200000000000001</v>
      </c>
      <c r="I51" s="2"/>
    </row>
    <row r="52" spans="1:15" ht="15.75" x14ac:dyDescent="0.25">
      <c r="B52" s="2"/>
      <c r="C52" s="2"/>
      <c r="D52" s="91" t="s">
        <v>1673</v>
      </c>
      <c r="E52" s="47"/>
      <c r="F52" s="47"/>
      <c r="G52" s="47"/>
      <c r="H52" s="92">
        <f>ROUND(SUM(H51,H45,H26,H16),2)</f>
        <v>53.09</v>
      </c>
      <c r="I52" s="2"/>
    </row>
    <row r="53" spans="1:15" ht="15.75" x14ac:dyDescent="0.25">
      <c r="A53" s="103">
        <v>40002</v>
      </c>
      <c r="B53" s="2"/>
      <c r="C53" s="2"/>
      <c r="D53" s="93" t="s">
        <v>1672</v>
      </c>
      <c r="E53" s="65"/>
      <c r="F53" s="65"/>
      <c r="G53" s="94">
        <f>IF($A53=0,"",VLOOKUP($A53,'BASE MATERIAL'!$M:$P,4))</f>
        <v>0</v>
      </c>
      <c r="H53" s="95">
        <f>IF($A53=0,"",ROUND(G53*H52,2))</f>
        <v>0</v>
      </c>
      <c r="I53" s="2"/>
    </row>
    <row r="54" spans="1:15" ht="15.75" x14ac:dyDescent="0.25">
      <c r="A54" s="103">
        <v>40003</v>
      </c>
      <c r="B54" s="2"/>
      <c r="C54" s="2"/>
      <c r="D54" s="93" t="s">
        <v>1671</v>
      </c>
      <c r="E54" s="65"/>
      <c r="F54" s="65"/>
      <c r="G54" s="94">
        <f>IF($A54=0,"",VLOOKUP($A54,'BASE MATERIAL'!$M:$P,4))</f>
        <v>0</v>
      </c>
      <c r="H54" s="95">
        <f>IF($A54=0,"",ROUND(G54*H52,2))</f>
        <v>0</v>
      </c>
      <c r="I54" s="2"/>
    </row>
    <row r="55" spans="1:15" ht="15.75" x14ac:dyDescent="0.25">
      <c r="B55" s="2"/>
      <c r="C55" s="2"/>
      <c r="D55" s="93" t="s">
        <v>1670</v>
      </c>
      <c r="E55" s="65"/>
      <c r="F55" s="65"/>
      <c r="G55" s="65"/>
      <c r="H55" s="96">
        <f>ROUND(SUM(H52:H54),2)</f>
        <v>53.09</v>
      </c>
      <c r="I55" s="2"/>
    </row>
    <row r="56" spans="1:15" ht="16.5" thickBot="1" x14ac:dyDescent="0.3">
      <c r="B56" s="25"/>
      <c r="C56" s="2"/>
      <c r="D56" s="97" t="s">
        <v>1650</v>
      </c>
      <c r="E56" s="88"/>
      <c r="F56" s="88"/>
      <c r="G56" s="88"/>
      <c r="H56" s="98">
        <f>ROUND(H55,2)</f>
        <v>53.09</v>
      </c>
      <c r="I56" s="2"/>
    </row>
    <row r="57" spans="1:15" ht="15.75" x14ac:dyDescent="0.25">
      <c r="B57" s="34" t="s">
        <v>1701</v>
      </c>
      <c r="C57" s="2"/>
      <c r="D57" s="3" t="str">
        <f>'1.1'!$D$1</f>
        <v>ESPOL</v>
      </c>
      <c r="E57" s="2"/>
      <c r="F57" s="2"/>
      <c r="H57" s="2" t="s">
        <v>108</v>
      </c>
      <c r="I57" s="2"/>
      <c r="L57" s="40">
        <f>A61</f>
        <v>1</v>
      </c>
      <c r="M57" s="1" t="str">
        <f>C62</f>
        <v>Colector   PVC des ø 160 mm AA.SS.</v>
      </c>
      <c r="N57" s="2" t="str">
        <f>H61</f>
        <v>ml</v>
      </c>
      <c r="O57" s="2">
        <f>H112</f>
        <v>24.3</v>
      </c>
    </row>
    <row r="58" spans="1:15" ht="15.75" x14ac:dyDescent="0.25">
      <c r="B58" s="34" t="s">
        <v>1700</v>
      </c>
      <c r="C58" s="3">
        <f>'1.1'!$C$2</f>
        <v>0</v>
      </c>
      <c r="D58" s="2"/>
      <c r="E58" s="2"/>
      <c r="F58" s="2"/>
      <c r="G58" s="41" t="s">
        <v>1699</v>
      </c>
      <c r="H58" s="42"/>
      <c r="I58" s="2" t="s">
        <v>1698</v>
      </c>
    </row>
    <row r="59" spans="1:15" ht="15.75" x14ac:dyDescent="0.25">
      <c r="B59" s="34"/>
      <c r="C59" s="3">
        <f>'1.1'!$C$3</f>
        <v>0</v>
      </c>
      <c r="D59" s="2"/>
      <c r="E59" s="2"/>
      <c r="F59" s="2"/>
      <c r="G59" s="2"/>
      <c r="H59" s="2"/>
      <c r="I59" s="2"/>
    </row>
    <row r="60" spans="1:15" ht="15.75" x14ac:dyDescent="0.25">
      <c r="B60" s="34" t="s">
        <v>1697</v>
      </c>
      <c r="C60" s="3"/>
      <c r="D60" s="2"/>
      <c r="E60" s="2"/>
      <c r="F60" s="2"/>
      <c r="G60" s="2"/>
      <c r="H60" s="2"/>
      <c r="I60" s="2"/>
    </row>
    <row r="61" spans="1:15" x14ac:dyDescent="0.25">
      <c r="A61" s="104">
        <v>1</v>
      </c>
      <c r="B61" s="2" t="s">
        <v>1586</v>
      </c>
      <c r="C61" s="36" t="s">
        <v>694</v>
      </c>
      <c r="D61" s="2"/>
      <c r="G61" s="2" t="s">
        <v>1696</v>
      </c>
      <c r="H61" s="3" t="s">
        <v>961</v>
      </c>
      <c r="I61" s="2"/>
    </row>
    <row r="62" spans="1:15" x14ac:dyDescent="0.25">
      <c r="B62" s="1" t="s">
        <v>1585</v>
      </c>
      <c r="C62" s="36" t="s">
        <v>81</v>
      </c>
      <c r="D62" s="2"/>
      <c r="E62" s="2"/>
      <c r="F62" s="2"/>
      <c r="G62" s="2"/>
      <c r="H62" s="2"/>
      <c r="I62" s="2"/>
    </row>
    <row r="63" spans="1:15" ht="15.75" thickBot="1" x14ac:dyDescent="0.3">
      <c r="D63" s="2"/>
      <c r="E63" s="2"/>
      <c r="F63" s="2"/>
      <c r="G63" s="2"/>
      <c r="H63" s="2"/>
      <c r="I63" s="2"/>
    </row>
    <row r="64" spans="1:15" ht="15.75" thickBot="1" x14ac:dyDescent="0.3">
      <c r="B64" s="43" t="s">
        <v>1695</v>
      </c>
      <c r="C64" s="44"/>
      <c r="D64" s="44"/>
      <c r="E64" s="44"/>
      <c r="F64" s="44"/>
      <c r="G64" s="44"/>
      <c r="H64" s="45"/>
      <c r="I64" s="2"/>
    </row>
    <row r="65" spans="1:9" ht="25.5" x14ac:dyDescent="0.25">
      <c r="B65" s="46" t="s">
        <v>1409</v>
      </c>
      <c r="C65" s="47"/>
      <c r="D65" s="48" t="s">
        <v>1690</v>
      </c>
      <c r="E65" s="48" t="s">
        <v>1694</v>
      </c>
      <c r="F65" s="48" t="s">
        <v>1693</v>
      </c>
      <c r="G65" s="49" t="s">
        <v>1687</v>
      </c>
      <c r="H65" s="50" t="s">
        <v>1686</v>
      </c>
      <c r="I65" s="2"/>
    </row>
    <row r="66" spans="1:9" x14ac:dyDescent="0.25">
      <c r="A66" s="103">
        <v>19016</v>
      </c>
      <c r="B66" s="51" t="str">
        <f>IF($A66=0,"",VLOOKUP($A66,'BASE EQUIPO'!$A:$D,2))</f>
        <v>HERRAMIENTA MENOR</v>
      </c>
      <c r="C66" s="52"/>
      <c r="D66" s="53">
        <v>1</v>
      </c>
      <c r="E66" s="53">
        <f>IF($A66=0,"",VLOOKUP($A66,'BASE EQUIPO'!$A:$D,4)*H82)</f>
        <v>0.51900000000000002</v>
      </c>
      <c r="F66" s="53">
        <f t="shared" ref="F66:F71" si="5">IF($A66=0,"",ROUND(D66*E66,2))</f>
        <v>0.52</v>
      </c>
      <c r="G66" s="105">
        <v>1</v>
      </c>
      <c r="H66" s="54">
        <f t="shared" ref="H66:H71" si="6">IF($A66=0,"",ROUND(G66*F66,2))</f>
        <v>0.52</v>
      </c>
      <c r="I66" s="2"/>
    </row>
    <row r="67" spans="1:9" x14ac:dyDescent="0.25">
      <c r="B67" s="38" t="str">
        <f>IF($A67=0,"",VLOOKUP($A67,'BASE EQUIPO'!$A:$D,2))</f>
        <v/>
      </c>
      <c r="C67" s="2"/>
      <c r="D67" s="55"/>
      <c r="E67" s="55" t="str">
        <f>IF($A67=0,"",VLOOKUP($A67,'BASE EQUIPO'!$A:$D,4))</f>
        <v/>
      </c>
      <c r="F67" s="55" t="str">
        <f t="shared" si="5"/>
        <v/>
      </c>
      <c r="G67" s="106"/>
      <c r="H67" s="56" t="str">
        <f t="shared" si="6"/>
        <v/>
      </c>
      <c r="I67" s="2"/>
    </row>
    <row r="68" spans="1:9" x14ac:dyDescent="0.25">
      <c r="B68" s="38" t="str">
        <f>IF($A68=0,"",VLOOKUP($A68,'BASE EQUIPO'!$A:$D,2))</f>
        <v/>
      </c>
      <c r="C68" s="2"/>
      <c r="D68" s="55"/>
      <c r="E68" s="55" t="str">
        <f>IF($A68=0,"",VLOOKUP($A68,'BASE EQUIPO'!$A:$D,4))</f>
        <v/>
      </c>
      <c r="F68" s="55" t="str">
        <f t="shared" si="5"/>
        <v/>
      </c>
      <c r="G68" s="106"/>
      <c r="H68" s="56" t="str">
        <f t="shared" si="6"/>
        <v/>
      </c>
      <c r="I68" s="2"/>
    </row>
    <row r="69" spans="1:9" x14ac:dyDescent="0.25">
      <c r="B69" s="38" t="str">
        <f>IF($A69=0,"",VLOOKUP($A69,'BASE EQUIPO'!$A:$D,2))</f>
        <v/>
      </c>
      <c r="C69" s="2"/>
      <c r="D69" s="55"/>
      <c r="E69" s="55" t="str">
        <f>IF($A69=0,"",VLOOKUP($A69,'BASE EQUIPO'!$A:$D,4))</f>
        <v/>
      </c>
      <c r="F69" s="55" t="str">
        <f t="shared" si="5"/>
        <v/>
      </c>
      <c r="G69" s="106"/>
      <c r="H69" s="56" t="str">
        <f t="shared" si="6"/>
        <v/>
      </c>
      <c r="I69" s="2"/>
    </row>
    <row r="70" spans="1:9" x14ac:dyDescent="0.25">
      <c r="B70" s="38" t="str">
        <f>IF($A70=0,"",VLOOKUP($A70,'BASE EQUIPO'!$A:$D,2))</f>
        <v/>
      </c>
      <c r="C70" s="2"/>
      <c r="D70" s="55"/>
      <c r="E70" s="55" t="str">
        <f>IF($A70=0,"",VLOOKUP($A70,'BASE EQUIPO'!$A:$D,4))</f>
        <v/>
      </c>
      <c r="F70" s="55" t="str">
        <f t="shared" si="5"/>
        <v/>
      </c>
      <c r="G70" s="106"/>
      <c r="H70" s="56" t="str">
        <f t="shared" si="6"/>
        <v/>
      </c>
      <c r="I70" s="2"/>
    </row>
    <row r="71" spans="1:9" x14ac:dyDescent="0.25">
      <c r="B71" s="57" t="str">
        <f>IF($A71=0,"",VLOOKUP($A71,'BASE EQUIPO'!$A:$D,2))</f>
        <v/>
      </c>
      <c r="C71" s="58"/>
      <c r="D71" s="59"/>
      <c r="E71" s="59" t="str">
        <f>IF($A71=0,"",VLOOKUP($A71,'BASE EQUIPO'!$A:$D,4))</f>
        <v/>
      </c>
      <c r="F71" s="59" t="str">
        <f t="shared" si="5"/>
        <v/>
      </c>
      <c r="G71" s="107"/>
      <c r="H71" s="60" t="str">
        <f t="shared" si="6"/>
        <v/>
      </c>
      <c r="I71" s="2"/>
    </row>
    <row r="72" spans="1:9" x14ac:dyDescent="0.25">
      <c r="B72" s="57" t="s">
        <v>1692</v>
      </c>
      <c r="C72" s="58"/>
      <c r="D72" s="61"/>
      <c r="E72" s="61"/>
      <c r="F72" s="61"/>
      <c r="G72" s="62"/>
      <c r="H72" s="60">
        <f>ROUND(SUM(H65:H71),2)</f>
        <v>0.52</v>
      </c>
      <c r="I72" s="2"/>
    </row>
    <row r="73" spans="1:9" x14ac:dyDescent="0.25">
      <c r="B73" s="38" t="s">
        <v>1503</v>
      </c>
      <c r="C73" s="2"/>
      <c r="D73" s="3"/>
      <c r="E73" s="3"/>
      <c r="F73" s="3"/>
      <c r="G73" s="63"/>
      <c r="H73" s="56"/>
      <c r="I73" s="2"/>
    </row>
    <row r="74" spans="1:9" ht="25.5" x14ac:dyDescent="0.25">
      <c r="B74" s="64" t="s">
        <v>1691</v>
      </c>
      <c r="C74" s="65"/>
      <c r="D74" s="66" t="s">
        <v>1690</v>
      </c>
      <c r="E74" s="66" t="s">
        <v>1689</v>
      </c>
      <c r="F74" s="66" t="s">
        <v>1688</v>
      </c>
      <c r="G74" s="67" t="s">
        <v>1687</v>
      </c>
      <c r="H74" s="68" t="s">
        <v>1686</v>
      </c>
      <c r="I74" s="2"/>
    </row>
    <row r="75" spans="1:9" x14ac:dyDescent="0.25">
      <c r="B75" s="69" t="str">
        <f>IF($A75=0,"",VLOOKUP($A75,'BASE M-OBRA'!$A:$D,2))</f>
        <v/>
      </c>
      <c r="C75" s="2"/>
      <c r="D75" s="108"/>
      <c r="E75" s="70" t="str">
        <f>IF($A75=0,"",VLOOKUP($A75,'BASE M-OBRA'!$A:$D,4))</f>
        <v/>
      </c>
      <c r="F75" s="55" t="str">
        <f t="shared" ref="F75:F81" si="7">IF($A75=0,"",ROUND(D75*E75,2))</f>
        <v/>
      </c>
      <c r="G75" s="106" t="str">
        <f>IF($A75=0,"",ROUND(H75/F75,2))</f>
        <v/>
      </c>
      <c r="H75" s="56" t="str">
        <f>IF($A75=0,"",ROUND(SUM(H76:H81)*'BASE M-OBRA'!$D$23,2))</f>
        <v/>
      </c>
      <c r="I75" s="2"/>
    </row>
    <row r="76" spans="1:9" x14ac:dyDescent="0.25">
      <c r="A76" s="103">
        <v>20011</v>
      </c>
      <c r="B76" s="69" t="str">
        <f>IF($A76=0,"",VLOOKUP($A76,'BASE M-OBRA'!$A:$D,2))</f>
        <v>AYUDANTE ESPECIALISTA</v>
      </c>
      <c r="C76" s="2"/>
      <c r="D76" s="108">
        <v>1</v>
      </c>
      <c r="E76" s="70">
        <f>IF($A76=0,"",VLOOKUP($A76,'BASE M-OBRA'!$A:$D,4))</f>
        <v>2.79</v>
      </c>
      <c r="F76" s="55">
        <f t="shared" si="7"/>
        <v>2.79</v>
      </c>
      <c r="G76" s="106">
        <v>1.85</v>
      </c>
      <c r="H76" s="56">
        <f t="shared" ref="H76:H81" si="8">IF($A76=0,"",ROUND(G76*F76,2))</f>
        <v>5.16</v>
      </c>
      <c r="I76" s="2"/>
    </row>
    <row r="77" spans="1:9" x14ac:dyDescent="0.25">
      <c r="A77" s="103">
        <v>20016</v>
      </c>
      <c r="B77" s="69" t="str">
        <f>IF($A77=0,"",VLOOKUP($A77,'BASE M-OBRA'!$A:$D,2))</f>
        <v>GAFITERO</v>
      </c>
      <c r="C77" s="2"/>
      <c r="D77" s="108">
        <v>1</v>
      </c>
      <c r="E77" s="70">
        <f>IF($A77=0,"",VLOOKUP($A77,'BASE M-OBRA'!$A:$D,4))</f>
        <v>2.82</v>
      </c>
      <c r="F77" s="55">
        <f t="shared" si="7"/>
        <v>2.82</v>
      </c>
      <c r="G77" s="106">
        <f>+G76</f>
        <v>1.85</v>
      </c>
      <c r="H77" s="56">
        <f t="shared" si="8"/>
        <v>5.22</v>
      </c>
      <c r="I77" s="2"/>
    </row>
    <row r="78" spans="1:9" x14ac:dyDescent="0.25">
      <c r="B78" s="71" t="str">
        <f>IF($A78=0,"",VLOOKUP($A78,'BASE M-OBRA'!$A:$D,2))</f>
        <v/>
      </c>
      <c r="C78" s="2"/>
      <c r="D78" s="108"/>
      <c r="E78" s="70" t="str">
        <f>IF($A78=0,"",VLOOKUP($A78,'BASE M-OBRA'!$A:$D,4))</f>
        <v/>
      </c>
      <c r="F78" s="55" t="str">
        <f t="shared" si="7"/>
        <v/>
      </c>
      <c r="G78" s="106"/>
      <c r="H78" s="56" t="str">
        <f t="shared" si="8"/>
        <v/>
      </c>
      <c r="I78" s="2"/>
    </row>
    <row r="79" spans="1:9" x14ac:dyDescent="0.25">
      <c r="B79" s="72" t="str">
        <f>IF($A79=0,"",VLOOKUP($A79,'BASE M-OBRA'!$A:$D,2))</f>
        <v/>
      </c>
      <c r="C79" s="2"/>
      <c r="D79" s="108"/>
      <c r="E79" s="70" t="str">
        <f>IF($A79=0,"",VLOOKUP($A79,'BASE M-OBRA'!$A:$D,4))</f>
        <v/>
      </c>
      <c r="F79" s="55" t="str">
        <f t="shared" si="7"/>
        <v/>
      </c>
      <c r="G79" s="106"/>
      <c r="H79" s="56" t="str">
        <f t="shared" si="8"/>
        <v/>
      </c>
      <c r="I79" s="2"/>
    </row>
    <row r="80" spans="1:9" x14ac:dyDescent="0.25">
      <c r="B80" s="38" t="str">
        <f>IF($A80=0,"",VLOOKUP($A80,'BASE M-OBRA'!$A:$D,2))</f>
        <v/>
      </c>
      <c r="C80" s="2"/>
      <c r="D80" s="55"/>
      <c r="E80" s="55" t="str">
        <f>IF($A80=0,"",VLOOKUP($A80,'BASE M-OBRA'!$A:$D,4))</f>
        <v/>
      </c>
      <c r="F80" s="55" t="str">
        <f t="shared" si="7"/>
        <v/>
      </c>
      <c r="G80" s="106"/>
      <c r="H80" s="56" t="str">
        <f t="shared" si="8"/>
        <v/>
      </c>
      <c r="I80" s="2"/>
    </row>
    <row r="81" spans="1:16" x14ac:dyDescent="0.25">
      <c r="B81" s="57" t="str">
        <f>IF($A81=0,"",VLOOKUP($A81,'BASE M-OBRA'!$A:$D,2))</f>
        <v/>
      </c>
      <c r="C81" s="58"/>
      <c r="D81" s="59"/>
      <c r="E81" s="59" t="str">
        <f>IF($A81=0,"",VLOOKUP($A81,'BASE M-OBRA'!$A:$D,4))</f>
        <v/>
      </c>
      <c r="F81" s="59" t="str">
        <f t="shared" si="7"/>
        <v/>
      </c>
      <c r="G81" s="107"/>
      <c r="H81" s="60" t="str">
        <f t="shared" si="8"/>
        <v/>
      </c>
      <c r="I81" s="2"/>
    </row>
    <row r="82" spans="1:16" x14ac:dyDescent="0.25">
      <c r="B82" s="73" t="s">
        <v>1685</v>
      </c>
      <c r="C82" s="65"/>
      <c r="D82" s="74"/>
      <c r="E82" s="74"/>
      <c r="F82" s="74"/>
      <c r="G82" s="74"/>
      <c r="H82" s="75">
        <f>ROUND(SUM(H74:H81),2)</f>
        <v>10.38</v>
      </c>
      <c r="I82" s="2"/>
    </row>
    <row r="83" spans="1:16" x14ac:dyDescent="0.25">
      <c r="B83" s="38" t="s">
        <v>1684</v>
      </c>
      <c r="C83" s="2"/>
      <c r="D83" s="3"/>
      <c r="E83" s="3"/>
      <c r="F83" s="3"/>
      <c r="G83" s="3"/>
      <c r="H83" s="56"/>
      <c r="I83" s="2"/>
    </row>
    <row r="84" spans="1:16" ht="25.5" x14ac:dyDescent="0.25">
      <c r="B84" s="64" t="s">
        <v>1409</v>
      </c>
      <c r="C84" s="65"/>
      <c r="D84" s="76"/>
      <c r="E84" s="66" t="s">
        <v>1408</v>
      </c>
      <c r="F84" s="66" t="s">
        <v>1679</v>
      </c>
      <c r="G84" s="66" t="s">
        <v>1683</v>
      </c>
      <c r="H84" s="68" t="s">
        <v>1675</v>
      </c>
      <c r="I84" s="2"/>
    </row>
    <row r="85" spans="1:16" x14ac:dyDescent="0.25">
      <c r="A85" s="103">
        <v>1</v>
      </c>
      <c r="B85" s="37" t="s">
        <v>80</v>
      </c>
      <c r="C85" s="2"/>
      <c r="D85" s="77"/>
      <c r="E85" s="78" t="s">
        <v>25</v>
      </c>
      <c r="F85" s="55">
        <v>1.05</v>
      </c>
      <c r="G85" s="55">
        <f>32.36/3</f>
        <v>10.786666666666667</v>
      </c>
      <c r="H85" s="56">
        <f t="shared" ref="H85:H99" si="9">IF($A85=0,"",ROUND(F85*G85,2))</f>
        <v>11.33</v>
      </c>
      <c r="I85" s="2"/>
      <c r="J85" s="1">
        <f>31.36/3</f>
        <v>10.453333333333333</v>
      </c>
      <c r="L85" s="2"/>
      <c r="M85" s="2"/>
      <c r="N85" s="39"/>
      <c r="O85" s="2"/>
      <c r="P85" s="2"/>
    </row>
    <row r="86" spans="1:16" s="4" customFormat="1" x14ac:dyDescent="0.25">
      <c r="A86" s="103">
        <v>5004</v>
      </c>
      <c r="B86" s="38" t="str">
        <f>IF($A86=0,"",VLOOKUP($A86,'BASE MATERIAL'!$A:$D,2))</f>
        <v>ARENA</v>
      </c>
      <c r="C86" s="2"/>
      <c r="D86" s="77"/>
      <c r="E86" s="78" t="str">
        <f>IF($A86=0,"",VLOOKUP($A86,'BASE MATERIAL'!$A:$D,3))</f>
        <v>M3</v>
      </c>
      <c r="F86" s="55">
        <f>ROUND(F85*0.032*3,2)</f>
        <v>0.1</v>
      </c>
      <c r="G86" s="55">
        <f>IF($A86=0,"",VLOOKUP($A86,'BASE MATERIAL'!$A:$D,4))</f>
        <v>12.276249999999999</v>
      </c>
      <c r="H86" s="56">
        <f t="shared" si="9"/>
        <v>1.23</v>
      </c>
      <c r="I86" s="5"/>
      <c r="K86" s="4">
        <v>28.4</v>
      </c>
      <c r="L86" s="5"/>
      <c r="M86" s="5"/>
      <c r="N86" s="160"/>
      <c r="O86" s="5"/>
      <c r="P86" s="5"/>
    </row>
    <row r="87" spans="1:16" x14ac:dyDescent="0.25">
      <c r="A87" s="103">
        <v>1</v>
      </c>
      <c r="B87" s="38" t="s">
        <v>4</v>
      </c>
      <c r="C87" s="2"/>
      <c r="D87" s="77"/>
      <c r="E87" s="78" t="s">
        <v>2</v>
      </c>
      <c r="F87" s="55">
        <v>0.03</v>
      </c>
      <c r="G87" s="55">
        <v>12.63</v>
      </c>
      <c r="H87" s="56">
        <f t="shared" si="9"/>
        <v>0.38</v>
      </c>
      <c r="I87" s="2"/>
      <c r="L87" s="2"/>
      <c r="M87" s="2"/>
      <c r="N87" s="39"/>
      <c r="O87" s="2"/>
      <c r="P87" s="2"/>
    </row>
    <row r="88" spans="1:16" x14ac:dyDescent="0.25">
      <c r="A88" s="103">
        <v>1</v>
      </c>
      <c r="B88" s="38" t="s">
        <v>3</v>
      </c>
      <c r="C88" s="2"/>
      <c r="D88" s="77"/>
      <c r="E88" s="78" t="s">
        <v>2</v>
      </c>
      <c r="F88" s="55">
        <v>0.01</v>
      </c>
      <c r="G88" s="55">
        <v>6.89</v>
      </c>
      <c r="H88" s="56">
        <f t="shared" si="9"/>
        <v>7.0000000000000007E-2</v>
      </c>
      <c r="I88" s="2"/>
      <c r="L88" s="2"/>
      <c r="M88" s="2"/>
      <c r="N88" s="39"/>
      <c r="O88" s="2"/>
      <c r="P88" s="2"/>
    </row>
    <row r="89" spans="1:16" x14ac:dyDescent="0.25">
      <c r="B89" s="38"/>
      <c r="C89" s="2"/>
      <c r="D89" s="77"/>
      <c r="E89" s="78"/>
      <c r="F89" s="55"/>
      <c r="G89" s="55"/>
      <c r="H89" s="56" t="str">
        <f t="shared" si="9"/>
        <v/>
      </c>
      <c r="I89" s="2"/>
      <c r="L89" s="2"/>
      <c r="M89" s="2"/>
      <c r="N89" s="39"/>
      <c r="O89" s="2"/>
      <c r="P89" s="2"/>
    </row>
    <row r="90" spans="1:16" x14ac:dyDescent="0.25">
      <c r="B90" s="38"/>
      <c r="C90" s="2"/>
      <c r="D90" s="77"/>
      <c r="E90" s="78"/>
      <c r="F90" s="55"/>
      <c r="G90" s="55"/>
      <c r="H90" s="56" t="str">
        <f t="shared" si="9"/>
        <v/>
      </c>
      <c r="I90" s="2"/>
      <c r="L90" s="2"/>
      <c r="M90" s="2"/>
      <c r="N90" s="39"/>
      <c r="O90" s="2"/>
      <c r="P90" s="2"/>
    </row>
    <row r="91" spans="1:16" x14ac:dyDescent="0.25">
      <c r="B91" s="38"/>
      <c r="C91" s="2"/>
      <c r="D91" s="77"/>
      <c r="E91" s="78"/>
      <c r="F91" s="55"/>
      <c r="G91" s="55"/>
      <c r="H91" s="56" t="str">
        <f t="shared" si="9"/>
        <v/>
      </c>
      <c r="I91" s="2"/>
      <c r="L91" s="2"/>
      <c r="M91" s="2"/>
      <c r="N91" s="39"/>
      <c r="O91" s="2"/>
      <c r="P91" s="2"/>
    </row>
    <row r="92" spans="1:16" x14ac:dyDescent="0.25">
      <c r="B92" s="38"/>
      <c r="C92" s="2"/>
      <c r="D92" s="77"/>
      <c r="E92" s="78"/>
      <c r="F92" s="55"/>
      <c r="G92" s="55"/>
      <c r="H92" s="56" t="str">
        <f t="shared" si="9"/>
        <v/>
      </c>
      <c r="I92" s="2"/>
      <c r="L92" s="2"/>
      <c r="M92" s="2"/>
      <c r="N92" s="39"/>
      <c r="O92" s="2"/>
      <c r="P92" s="2"/>
    </row>
    <row r="93" spans="1:16" x14ac:dyDescent="0.25">
      <c r="B93" s="38"/>
      <c r="C93" s="2"/>
      <c r="D93" s="77"/>
      <c r="E93" s="78"/>
      <c r="F93" s="55"/>
      <c r="G93" s="55"/>
      <c r="H93" s="56" t="str">
        <f t="shared" si="9"/>
        <v/>
      </c>
      <c r="I93" s="2"/>
    </row>
    <row r="94" spans="1:16" x14ac:dyDescent="0.25">
      <c r="B94" s="38" t="str">
        <f>IF($A94=0,"",VLOOKUP($A94,'BASE MATERIAL'!$A:$D,2))</f>
        <v/>
      </c>
      <c r="C94" s="2"/>
      <c r="D94" s="77"/>
      <c r="E94" s="78" t="str">
        <f>IF($A94=0,"",VLOOKUP($A94,'BASE MATERIAL'!$A:$D,3))</f>
        <v/>
      </c>
      <c r="F94" s="55"/>
      <c r="G94" s="55" t="str">
        <f>IF($A94=0,"",VLOOKUP($A94,'BASE MATERIAL'!$A:$D,4))</f>
        <v/>
      </c>
      <c r="H94" s="56" t="str">
        <f t="shared" si="9"/>
        <v/>
      </c>
      <c r="I94" s="2"/>
      <c r="L94" s="2"/>
      <c r="M94" s="2"/>
      <c r="N94" s="39"/>
      <c r="O94" s="2"/>
      <c r="P94" s="2"/>
    </row>
    <row r="95" spans="1:16" x14ac:dyDescent="0.25">
      <c r="B95" s="38" t="str">
        <f>IF($A95=0,"",VLOOKUP($A95,'BASE MATERIAL'!$A:$D,2))</f>
        <v/>
      </c>
      <c r="C95" s="2"/>
      <c r="D95" s="77"/>
      <c r="E95" s="78" t="str">
        <f>IF($A95=0,"",VLOOKUP($A95,'BASE MATERIAL'!$A:$D,3))</f>
        <v/>
      </c>
      <c r="F95" s="55"/>
      <c r="G95" s="55" t="str">
        <f>IF($A95=0,"",VLOOKUP($A95,'BASE MATERIAL'!$A:$D,4))</f>
        <v/>
      </c>
      <c r="H95" s="56" t="str">
        <f t="shared" si="9"/>
        <v/>
      </c>
      <c r="I95" s="2"/>
      <c r="L95" s="2"/>
      <c r="M95" s="2"/>
      <c r="N95" s="39"/>
      <c r="O95" s="2"/>
      <c r="P95" s="2"/>
    </row>
    <row r="96" spans="1:16" x14ac:dyDescent="0.25">
      <c r="B96" s="38" t="str">
        <f>IF($A96=0,"",VLOOKUP($A96,'BASE MATERIAL'!$A:$D,2))</f>
        <v/>
      </c>
      <c r="C96" s="2"/>
      <c r="D96" s="77"/>
      <c r="E96" s="78" t="str">
        <f>IF($A96=0,"",VLOOKUP($A96,'BASE MATERIAL'!$A:$D,3))</f>
        <v/>
      </c>
      <c r="F96" s="55"/>
      <c r="G96" s="55" t="str">
        <f>IF($A96=0,"",VLOOKUP($A96,'BASE MATERIAL'!$A:$D,4))</f>
        <v/>
      </c>
      <c r="H96" s="56" t="str">
        <f t="shared" si="9"/>
        <v/>
      </c>
      <c r="I96" s="2"/>
    </row>
    <row r="97" spans="1:10" x14ac:dyDescent="0.25">
      <c r="B97" s="38" t="str">
        <f>IF($A97=0,"",VLOOKUP($A97,'BASE MATERIAL'!$A:$D,2))</f>
        <v/>
      </c>
      <c r="C97" s="2"/>
      <c r="D97" s="77"/>
      <c r="E97" s="78" t="str">
        <f>IF($A97=0,"",VLOOKUP($A97,'BASE MATERIAL'!$A:$D,3))</f>
        <v/>
      </c>
      <c r="F97" s="55"/>
      <c r="G97" s="55" t="str">
        <f>IF($A97=0,"",VLOOKUP($A97,'BASE MATERIAL'!$A:$D,4))</f>
        <v/>
      </c>
      <c r="H97" s="56" t="str">
        <f t="shared" si="9"/>
        <v/>
      </c>
      <c r="I97" s="2"/>
    </row>
    <row r="98" spans="1:10" x14ac:dyDescent="0.25">
      <c r="B98" s="38" t="str">
        <f>IF($A98=0,"",VLOOKUP($A98,'BASE MATERIAL'!$A:$D,2))</f>
        <v/>
      </c>
      <c r="C98" s="2"/>
      <c r="D98" s="77"/>
      <c r="E98" s="78" t="str">
        <f>IF($A98=0,"",VLOOKUP($A98,'BASE MATERIAL'!$A:$D,3))</f>
        <v/>
      </c>
      <c r="F98" s="55"/>
      <c r="G98" s="55" t="str">
        <f>IF($A98=0,"",VLOOKUP($A98,'BASE MATERIAL'!$A:$D,4))</f>
        <v/>
      </c>
      <c r="H98" s="56" t="str">
        <f t="shared" si="9"/>
        <v/>
      </c>
      <c r="I98" s="2"/>
    </row>
    <row r="99" spans="1:10" x14ac:dyDescent="0.25">
      <c r="B99" s="38" t="str">
        <f>IF($A99=0,"",VLOOKUP($A99,'BASE MATERIAL'!$A:$D,2))</f>
        <v/>
      </c>
      <c r="C99" s="2"/>
      <c r="D99" s="77"/>
      <c r="E99" s="78" t="str">
        <f>IF($A99=0,"",VLOOKUP($A99,'BASE MATERIAL'!$A:$D,3))</f>
        <v/>
      </c>
      <c r="F99" s="55"/>
      <c r="G99" s="55" t="str">
        <f>IF($A99=0,"",VLOOKUP($A99,'BASE MATERIAL'!$A:$D,4))</f>
        <v/>
      </c>
      <c r="H99" s="56" t="str">
        <f t="shared" si="9"/>
        <v/>
      </c>
      <c r="I99" s="2"/>
    </row>
    <row r="100" spans="1:10" x14ac:dyDescent="0.25">
      <c r="B100" s="38" t="str">
        <f>IF($A100=0,"",VLOOKUP($A100,'BASE MATERIAL'!$A:$D,2))</f>
        <v/>
      </c>
      <c r="C100" s="2"/>
      <c r="D100" s="81" t="s">
        <v>1682</v>
      </c>
      <c r="E100" s="55" t="str">
        <f>IF($A100=0,"",VLOOKUP($A100,'BASE MATERIAL'!$A:$D,3))</f>
        <v/>
      </c>
      <c r="F100" s="55" t="s">
        <v>1682</v>
      </c>
      <c r="G100" s="55" t="str">
        <f>IF($A100=0,"",VLOOKUP($A100,'BASE MATERIAL'!$A:$D,4))</f>
        <v/>
      </c>
      <c r="H100" s="56" t="str">
        <f>IF($A100=0,"",ROUND(E100*F100,2))</f>
        <v/>
      </c>
      <c r="I100" s="2"/>
    </row>
    <row r="101" spans="1:10" x14ac:dyDescent="0.25">
      <c r="B101" s="73" t="s">
        <v>1681</v>
      </c>
      <c r="C101" s="65"/>
      <c r="D101" s="74"/>
      <c r="E101" s="74"/>
      <c r="F101" s="74"/>
      <c r="G101" s="74"/>
      <c r="H101" s="75">
        <f>ROUND(SUM(H84:H100),2)</f>
        <v>13.01</v>
      </c>
      <c r="I101" s="2"/>
    </row>
    <row r="102" spans="1:10" x14ac:dyDescent="0.25">
      <c r="B102" s="38" t="s">
        <v>1680</v>
      </c>
      <c r="C102" s="2"/>
      <c r="D102" s="3"/>
      <c r="E102" s="3"/>
      <c r="F102" s="3"/>
      <c r="G102" s="3"/>
      <c r="H102" s="56"/>
      <c r="I102" s="2"/>
    </row>
    <row r="103" spans="1:10" ht="25.5" x14ac:dyDescent="0.25">
      <c r="B103" s="64" t="s">
        <v>1409</v>
      </c>
      <c r="C103" s="65"/>
      <c r="D103" s="76"/>
      <c r="E103" s="66" t="s">
        <v>1408</v>
      </c>
      <c r="F103" s="66" t="s">
        <v>1679</v>
      </c>
      <c r="G103" s="66" t="s">
        <v>1676</v>
      </c>
      <c r="H103" s="68" t="s">
        <v>1675</v>
      </c>
      <c r="I103" s="2"/>
    </row>
    <row r="104" spans="1:10" x14ac:dyDescent="0.25">
      <c r="A104" s="103">
        <v>19019</v>
      </c>
      <c r="B104" s="51" t="str">
        <f>IF($A104=0,"",VLOOKUP($A104,'BASE EQUIPO'!$A:$D,2))</f>
        <v>TRANSPORTE DE MATERIAL</v>
      </c>
      <c r="C104" s="52"/>
      <c r="D104" s="82"/>
      <c r="E104" s="78" t="str">
        <f>IF($A104=0,"",VLOOKUP($A104,'BASE EQUIPO'!$A:$D,3))</f>
        <v>GLOBAL</v>
      </c>
      <c r="F104" s="55">
        <v>1</v>
      </c>
      <c r="G104" s="83">
        <f>IF($A104=0,"",VLOOKUP($A104,'BASE EQUIPO'!$A:$D,4)*H101)</f>
        <v>0.39029999999999998</v>
      </c>
      <c r="H104" s="56">
        <f>IF($A104=0,"",ROUND(F104*G104,2))</f>
        <v>0.39</v>
      </c>
      <c r="I104" s="2"/>
    </row>
    <row r="105" spans="1:10" x14ac:dyDescent="0.25">
      <c r="B105" s="38" t="str">
        <f>IF($A105=0,"",VLOOKUP($A105,'BASE EQUIPO'!$A:$D,2))</f>
        <v/>
      </c>
      <c r="C105" s="2"/>
      <c r="D105" s="84"/>
      <c r="E105" s="78" t="str">
        <f>IF($A105=0,"",VLOOKUP($A105,'BASE EQUIPO'!$A:$D,3))</f>
        <v/>
      </c>
      <c r="F105" s="55"/>
      <c r="G105" s="55" t="str">
        <f>IF($A105=0,"",VLOOKUP($A105,'BASE EQUIPO'!$A:$D,4)*H102)</f>
        <v/>
      </c>
      <c r="H105" s="56" t="str">
        <f>IF($A105=0,"",ROUND(F105*G105,2))</f>
        <v/>
      </c>
      <c r="I105" s="2"/>
    </row>
    <row r="106" spans="1:10" x14ac:dyDescent="0.25">
      <c r="B106" s="57" t="str">
        <f>IF($A106=0,"",VLOOKUP($A106,'BASE EQUIPO'!$A:$D,2))</f>
        <v/>
      </c>
      <c r="C106" s="58"/>
      <c r="D106" s="85"/>
      <c r="E106" s="86" t="str">
        <f>IF($A106=0,"",VLOOKUP($A106,'BASE EQUIPO'!$A:$D,3))</f>
        <v/>
      </c>
      <c r="F106" s="59"/>
      <c r="G106" s="59" t="str">
        <f>IF($A106=0,"",VLOOKUP($A106,'BASE EQUIPO'!$A:$D,4)*H103)</f>
        <v/>
      </c>
      <c r="H106" s="60" t="str">
        <f>IF($A106=0,"",ROUND(F106*G106,2))</f>
        <v/>
      </c>
      <c r="I106" s="2"/>
    </row>
    <row r="107" spans="1:10" ht="15.75" thickBot="1" x14ac:dyDescent="0.3">
      <c r="B107" s="87" t="s">
        <v>1674</v>
      </c>
      <c r="C107" s="88"/>
      <c r="D107" s="89"/>
      <c r="E107" s="89"/>
      <c r="F107" s="89"/>
      <c r="G107" s="89"/>
      <c r="H107" s="90">
        <f>ROUND(SUM(H103:H106),2)</f>
        <v>0.39</v>
      </c>
      <c r="I107" s="2"/>
    </row>
    <row r="108" spans="1:10" ht="15.75" x14ac:dyDescent="0.25">
      <c r="B108" s="2"/>
      <c r="C108" s="2"/>
      <c r="D108" s="91" t="s">
        <v>1673</v>
      </c>
      <c r="E108" s="47"/>
      <c r="F108" s="47"/>
      <c r="G108" s="47"/>
      <c r="H108" s="92">
        <f>ROUND(SUM(H107,H101,H82,H72),2)</f>
        <v>24.3</v>
      </c>
      <c r="I108" s="2"/>
    </row>
    <row r="109" spans="1:10" ht="15.75" x14ac:dyDescent="0.25">
      <c r="A109" s="103">
        <v>40002</v>
      </c>
      <c r="B109" s="2"/>
      <c r="C109" s="2"/>
      <c r="D109" s="93" t="s">
        <v>1672</v>
      </c>
      <c r="E109" s="65"/>
      <c r="F109" s="65"/>
      <c r="G109" s="94">
        <f>IF($A109=0,"",VLOOKUP($A109,'BASE MATERIAL'!$M:$P,4))</f>
        <v>0</v>
      </c>
      <c r="H109" s="95">
        <f>IF($A109=0,"",ROUND(G109*H108,2))</f>
        <v>0</v>
      </c>
      <c r="I109" s="2"/>
    </row>
    <row r="110" spans="1:10" ht="15.75" x14ac:dyDescent="0.25">
      <c r="A110" s="103">
        <v>40003</v>
      </c>
      <c r="B110" s="2"/>
      <c r="C110" s="2"/>
      <c r="D110" s="93" t="s">
        <v>1671</v>
      </c>
      <c r="E110" s="65"/>
      <c r="F110" s="65"/>
      <c r="G110" s="94">
        <f>IF($A110=0,"",VLOOKUP($A110,'BASE MATERIAL'!$M:$P,4))</f>
        <v>0</v>
      </c>
      <c r="H110" s="95">
        <f>IF($A110=0,"",ROUND(G110*H108,2))</f>
        <v>0</v>
      </c>
      <c r="I110" s="2"/>
    </row>
    <row r="111" spans="1:10" ht="15.75" x14ac:dyDescent="0.25">
      <c r="B111" s="2"/>
      <c r="C111" s="2"/>
      <c r="D111" s="93" t="s">
        <v>1670</v>
      </c>
      <c r="E111" s="65"/>
      <c r="F111" s="65"/>
      <c r="G111" s="65"/>
      <c r="H111" s="96">
        <f>ROUND(SUM(H108:H110),2)</f>
        <v>24.3</v>
      </c>
      <c r="I111" s="2"/>
    </row>
    <row r="112" spans="1:10" ht="16.5" thickBot="1" x14ac:dyDescent="0.3">
      <c r="B112" s="25"/>
      <c r="C112" s="2"/>
      <c r="D112" s="97" t="s">
        <v>1650</v>
      </c>
      <c r="E112" s="88"/>
      <c r="F112" s="88"/>
      <c r="G112" s="88"/>
      <c r="H112" s="98">
        <f>ROUND(H111,2)</f>
        <v>24.3</v>
      </c>
      <c r="I112" s="2"/>
      <c r="J112" s="1">
        <v>10.199999999999999</v>
      </c>
    </row>
    <row r="113" spans="1:15" ht="15.75" x14ac:dyDescent="0.25">
      <c r="B113" s="34" t="s">
        <v>1701</v>
      </c>
      <c r="C113" s="2"/>
      <c r="D113" s="3" t="str">
        <f>$D$57</f>
        <v>ESPOL</v>
      </c>
      <c r="E113" s="2"/>
      <c r="F113" s="2"/>
      <c r="H113" s="2" t="s">
        <v>108</v>
      </c>
      <c r="I113" s="2"/>
      <c r="L113" s="40">
        <f>A117</f>
        <v>13</v>
      </c>
      <c r="M113" s="1" t="str">
        <f>C118</f>
        <v>Colector   PVC des ø 110 mm AA.SS.</v>
      </c>
      <c r="N113" s="2" t="str">
        <f>H117</f>
        <v>ml</v>
      </c>
      <c r="O113" s="2">
        <f>H168</f>
        <v>15.81</v>
      </c>
    </row>
    <row r="114" spans="1:15" ht="15.75" x14ac:dyDescent="0.25">
      <c r="B114" s="34" t="s">
        <v>1700</v>
      </c>
      <c r="C114" s="3">
        <f>'1.1'!$C$2</f>
        <v>0</v>
      </c>
      <c r="D114" s="2"/>
      <c r="E114" s="2"/>
      <c r="F114" s="2"/>
      <c r="G114" s="41" t="s">
        <v>1699</v>
      </c>
      <c r="H114" s="42"/>
      <c r="I114" s="2" t="s">
        <v>1698</v>
      </c>
    </row>
    <row r="115" spans="1:15" ht="15.75" x14ac:dyDescent="0.25">
      <c r="B115" s="34"/>
      <c r="C115" s="3">
        <f>'1.1'!$C$3</f>
        <v>0</v>
      </c>
      <c r="D115" s="2"/>
      <c r="E115" s="2"/>
      <c r="F115" s="2"/>
      <c r="G115" s="2"/>
      <c r="H115" s="2"/>
      <c r="I115" s="2"/>
    </row>
    <row r="116" spans="1:15" ht="15.75" x14ac:dyDescent="0.25">
      <c r="B116" s="34" t="s">
        <v>1697</v>
      </c>
      <c r="C116" s="3"/>
      <c r="D116" s="2"/>
      <c r="E116" s="2"/>
      <c r="F116" s="2"/>
      <c r="G116" s="2"/>
      <c r="H116" s="2"/>
      <c r="I116" s="2"/>
    </row>
    <row r="117" spans="1:15" x14ac:dyDescent="0.25">
      <c r="A117" s="104">
        <v>13</v>
      </c>
      <c r="B117" s="2" t="s">
        <v>1586</v>
      </c>
      <c r="C117" s="101" t="s">
        <v>695</v>
      </c>
      <c r="D117" s="2"/>
      <c r="G117" s="2" t="s">
        <v>1696</v>
      </c>
      <c r="H117" s="3" t="s">
        <v>961</v>
      </c>
      <c r="I117" s="2"/>
    </row>
    <row r="118" spans="1:15" x14ac:dyDescent="0.25">
      <c r="B118" s="1" t="s">
        <v>1585</v>
      </c>
      <c r="C118" s="36" t="s">
        <v>36</v>
      </c>
      <c r="D118" s="2"/>
      <c r="E118" s="2"/>
      <c r="F118" s="2"/>
      <c r="G118" s="2"/>
      <c r="H118" s="2"/>
      <c r="I118" s="2"/>
    </row>
    <row r="119" spans="1:15" ht="15.75" thickBot="1" x14ac:dyDescent="0.3">
      <c r="D119" s="2"/>
      <c r="E119" s="2"/>
      <c r="F119" s="2"/>
      <c r="G119" s="2"/>
      <c r="H119" s="2"/>
      <c r="I119" s="2"/>
    </row>
    <row r="120" spans="1:15" ht="15.75" thickBot="1" x14ac:dyDescent="0.3">
      <c r="B120" s="43" t="s">
        <v>1695</v>
      </c>
      <c r="C120" s="44"/>
      <c r="D120" s="44"/>
      <c r="E120" s="44"/>
      <c r="F120" s="44"/>
      <c r="G120" s="44"/>
      <c r="H120" s="45"/>
      <c r="I120" s="2"/>
    </row>
    <row r="121" spans="1:15" ht="25.5" x14ac:dyDescent="0.25">
      <c r="B121" s="46" t="s">
        <v>1409</v>
      </c>
      <c r="C121" s="47"/>
      <c r="D121" s="48" t="s">
        <v>1690</v>
      </c>
      <c r="E121" s="48" t="s">
        <v>1694</v>
      </c>
      <c r="F121" s="48" t="s">
        <v>1693</v>
      </c>
      <c r="G121" s="49" t="s">
        <v>1687</v>
      </c>
      <c r="H121" s="50" t="s">
        <v>1686</v>
      </c>
      <c r="I121" s="2"/>
    </row>
    <row r="122" spans="1:15" x14ac:dyDescent="0.25">
      <c r="A122" s="103">
        <v>19016</v>
      </c>
      <c r="B122" s="51" t="str">
        <f>IF($A122=0,"",VLOOKUP($A122,'BASE EQUIPO'!$A:$D,2))</f>
        <v>HERRAMIENTA MENOR</v>
      </c>
      <c r="C122" s="52"/>
      <c r="D122" s="53">
        <v>1</v>
      </c>
      <c r="E122" s="53">
        <f>IF($A122=0,"",VLOOKUP($A122,'BASE EQUIPO'!$A:$D,4)*H138)</f>
        <v>0.42100000000000004</v>
      </c>
      <c r="F122" s="53">
        <f t="shared" ref="F122:F127" si="10">IF($A122=0,"",ROUND(D122*E122,2))</f>
        <v>0.42</v>
      </c>
      <c r="G122" s="105">
        <v>1</v>
      </c>
      <c r="H122" s="54">
        <f t="shared" ref="H122:H127" si="11">IF($A122=0,"",ROUND(G122*F122,2))</f>
        <v>0.42</v>
      </c>
      <c r="I122" s="2"/>
    </row>
    <row r="123" spans="1:15" x14ac:dyDescent="0.25">
      <c r="B123" s="38" t="str">
        <f>IF($A123=0,"",VLOOKUP($A123,'BASE EQUIPO'!$A:$D,2))</f>
        <v/>
      </c>
      <c r="C123" s="2"/>
      <c r="D123" s="55"/>
      <c r="E123" s="55" t="str">
        <f>IF($A123=0,"",VLOOKUP($A123,'BASE EQUIPO'!$A:$D,4))</f>
        <v/>
      </c>
      <c r="F123" s="55" t="str">
        <f t="shared" si="10"/>
        <v/>
      </c>
      <c r="G123" s="106"/>
      <c r="H123" s="56" t="str">
        <f t="shared" si="11"/>
        <v/>
      </c>
      <c r="I123" s="2"/>
    </row>
    <row r="124" spans="1:15" x14ac:dyDescent="0.25">
      <c r="B124" s="38" t="str">
        <f>IF($A124=0,"",VLOOKUP($A124,'BASE EQUIPO'!$A:$D,2))</f>
        <v/>
      </c>
      <c r="C124" s="2"/>
      <c r="D124" s="55"/>
      <c r="E124" s="55" t="str">
        <f>IF($A124=0,"",VLOOKUP($A124,'BASE EQUIPO'!$A:$D,4))</f>
        <v/>
      </c>
      <c r="F124" s="55" t="str">
        <f t="shared" si="10"/>
        <v/>
      </c>
      <c r="G124" s="106"/>
      <c r="H124" s="56" t="str">
        <f t="shared" si="11"/>
        <v/>
      </c>
      <c r="I124" s="2"/>
    </row>
    <row r="125" spans="1:15" x14ac:dyDescent="0.25">
      <c r="B125" s="38" t="str">
        <f>IF($A125=0,"",VLOOKUP($A125,'BASE EQUIPO'!$A:$D,2))</f>
        <v/>
      </c>
      <c r="C125" s="2"/>
      <c r="D125" s="55"/>
      <c r="E125" s="55" t="str">
        <f>IF($A125=0,"",VLOOKUP($A125,'BASE EQUIPO'!$A:$D,4))</f>
        <v/>
      </c>
      <c r="F125" s="55" t="str">
        <f t="shared" si="10"/>
        <v/>
      </c>
      <c r="G125" s="106"/>
      <c r="H125" s="56" t="str">
        <f t="shared" si="11"/>
        <v/>
      </c>
      <c r="I125" s="2"/>
    </row>
    <row r="126" spans="1:15" x14ac:dyDescent="0.25">
      <c r="B126" s="38" t="str">
        <f>IF($A126=0,"",VLOOKUP($A126,'BASE EQUIPO'!$A:$D,2))</f>
        <v/>
      </c>
      <c r="C126" s="2"/>
      <c r="D126" s="55"/>
      <c r="E126" s="55" t="str">
        <f>IF($A126=0,"",VLOOKUP($A126,'BASE EQUIPO'!$A:$D,4))</f>
        <v/>
      </c>
      <c r="F126" s="55" t="str">
        <f t="shared" si="10"/>
        <v/>
      </c>
      <c r="G126" s="106"/>
      <c r="H126" s="56" t="str">
        <f t="shared" si="11"/>
        <v/>
      </c>
      <c r="I126" s="2"/>
    </row>
    <row r="127" spans="1:15" x14ac:dyDescent="0.25">
      <c r="B127" s="57" t="str">
        <f>IF($A127=0,"",VLOOKUP($A127,'BASE EQUIPO'!$A:$D,2))</f>
        <v/>
      </c>
      <c r="C127" s="58"/>
      <c r="D127" s="59"/>
      <c r="E127" s="59" t="str">
        <f>IF($A127=0,"",VLOOKUP($A127,'BASE EQUIPO'!$A:$D,4))</f>
        <v/>
      </c>
      <c r="F127" s="59" t="str">
        <f t="shared" si="10"/>
        <v/>
      </c>
      <c r="G127" s="107"/>
      <c r="H127" s="60" t="str">
        <f t="shared" si="11"/>
        <v/>
      </c>
      <c r="I127" s="2"/>
    </row>
    <row r="128" spans="1:15" x14ac:dyDescent="0.25">
      <c r="B128" s="57" t="s">
        <v>1692</v>
      </c>
      <c r="C128" s="58"/>
      <c r="D128" s="61"/>
      <c r="E128" s="61"/>
      <c r="F128" s="61"/>
      <c r="G128" s="62"/>
      <c r="H128" s="60">
        <f>ROUND(SUM(H121:H127),2)</f>
        <v>0.42</v>
      </c>
      <c r="I128" s="2"/>
    </row>
    <row r="129" spans="1:16" x14ac:dyDescent="0.25">
      <c r="B129" s="38" t="s">
        <v>1503</v>
      </c>
      <c r="C129" s="2"/>
      <c r="D129" s="3"/>
      <c r="E129" s="3"/>
      <c r="F129" s="3"/>
      <c r="G129" s="63"/>
      <c r="H129" s="56"/>
      <c r="I129" s="2"/>
    </row>
    <row r="130" spans="1:16" ht="25.5" x14ac:dyDescent="0.25">
      <c r="B130" s="64" t="s">
        <v>1691</v>
      </c>
      <c r="C130" s="65"/>
      <c r="D130" s="66" t="s">
        <v>1690</v>
      </c>
      <c r="E130" s="66" t="s">
        <v>1689</v>
      </c>
      <c r="F130" s="66" t="s">
        <v>1688</v>
      </c>
      <c r="G130" s="67" t="s">
        <v>1687</v>
      </c>
      <c r="H130" s="68" t="s">
        <v>1686</v>
      </c>
      <c r="I130" s="2"/>
    </row>
    <row r="131" spans="1:16" x14ac:dyDescent="0.25">
      <c r="B131" s="69" t="str">
        <f>IF($A131=0,"",VLOOKUP($A131,'BASE M-OBRA'!$A:$D,2))</f>
        <v/>
      </c>
      <c r="C131" s="2"/>
      <c r="D131" s="108"/>
      <c r="E131" s="70" t="str">
        <f>IF($A131=0,"",VLOOKUP($A131,'BASE M-OBRA'!$A:$D,4))</f>
        <v/>
      </c>
      <c r="F131" s="55" t="str">
        <f t="shared" ref="F131:F137" si="12">IF($A131=0,"",ROUND(D131*E131,2))</f>
        <v/>
      </c>
      <c r="G131" s="106" t="str">
        <f>IF($A131=0,"",ROUND(H131/F131,2))</f>
        <v/>
      </c>
      <c r="H131" s="56" t="str">
        <f>IF($A131=0,"",ROUND(SUM(H132:H137)*'BASE M-OBRA'!$D$23,2))</f>
        <v/>
      </c>
      <c r="I131" s="2"/>
    </row>
    <row r="132" spans="1:16" x14ac:dyDescent="0.25">
      <c r="A132" s="103">
        <v>20011</v>
      </c>
      <c r="B132" s="69" t="str">
        <f>IF($A132=0,"",VLOOKUP($A132,'BASE M-OBRA'!$A:$D,2))</f>
        <v>AYUDANTE ESPECIALISTA</v>
      </c>
      <c r="C132" s="2"/>
      <c r="D132" s="108">
        <v>1</v>
      </c>
      <c r="E132" s="70">
        <f>IF($A132=0,"",VLOOKUP($A132,'BASE M-OBRA'!$A:$D,4))</f>
        <v>2.79</v>
      </c>
      <c r="F132" s="55">
        <f t="shared" si="12"/>
        <v>2.79</v>
      </c>
      <c r="G132" s="106">
        <v>1.5</v>
      </c>
      <c r="H132" s="56">
        <f t="shared" ref="H132:H137" si="13">IF($A132=0,"",ROUND(G132*F132,2))</f>
        <v>4.1900000000000004</v>
      </c>
      <c r="I132" s="2"/>
    </row>
    <row r="133" spans="1:16" x14ac:dyDescent="0.25">
      <c r="A133" s="103">
        <v>20016</v>
      </c>
      <c r="B133" s="69" t="str">
        <f>IF($A133=0,"",VLOOKUP($A133,'BASE M-OBRA'!$A:$D,2))</f>
        <v>GAFITERO</v>
      </c>
      <c r="C133" s="2"/>
      <c r="D133" s="108">
        <v>1</v>
      </c>
      <c r="E133" s="70">
        <f>IF($A133=0,"",VLOOKUP($A133,'BASE M-OBRA'!$A:$D,4))</f>
        <v>2.82</v>
      </c>
      <c r="F133" s="55">
        <f t="shared" si="12"/>
        <v>2.82</v>
      </c>
      <c r="G133" s="106">
        <f>+G132</f>
        <v>1.5</v>
      </c>
      <c r="H133" s="56">
        <f t="shared" si="13"/>
        <v>4.2300000000000004</v>
      </c>
      <c r="I133" s="2"/>
    </row>
    <row r="134" spans="1:16" x14ac:dyDescent="0.25">
      <c r="B134" s="71" t="str">
        <f>IF($A134=0,"",VLOOKUP($A134,'BASE M-OBRA'!$A:$D,2))</f>
        <v/>
      </c>
      <c r="C134" s="2"/>
      <c r="D134" s="108"/>
      <c r="E134" s="70" t="str">
        <f>IF($A134=0,"",VLOOKUP($A134,'BASE M-OBRA'!$A:$D,4))</f>
        <v/>
      </c>
      <c r="F134" s="55" t="str">
        <f t="shared" si="12"/>
        <v/>
      </c>
      <c r="G134" s="106"/>
      <c r="H134" s="56" t="str">
        <f t="shared" si="13"/>
        <v/>
      </c>
      <c r="I134" s="2"/>
    </row>
    <row r="135" spans="1:16" x14ac:dyDescent="0.25">
      <c r="B135" s="72" t="str">
        <f>IF($A135=0,"",VLOOKUP($A135,'BASE M-OBRA'!$A:$D,2))</f>
        <v/>
      </c>
      <c r="C135" s="2"/>
      <c r="D135" s="108"/>
      <c r="E135" s="70" t="str">
        <f>IF($A135=0,"",VLOOKUP($A135,'BASE M-OBRA'!$A:$D,4))</f>
        <v/>
      </c>
      <c r="F135" s="55" t="str">
        <f t="shared" si="12"/>
        <v/>
      </c>
      <c r="G135" s="106"/>
      <c r="H135" s="56" t="str">
        <f t="shared" si="13"/>
        <v/>
      </c>
      <c r="I135" s="2"/>
    </row>
    <row r="136" spans="1:16" x14ac:dyDescent="0.25">
      <c r="B136" s="38" t="str">
        <f>IF($A136=0,"",VLOOKUP($A136,'BASE M-OBRA'!$A:$D,2))</f>
        <v/>
      </c>
      <c r="C136" s="2"/>
      <c r="D136" s="55"/>
      <c r="E136" s="55" t="str">
        <f>IF($A136=0,"",VLOOKUP($A136,'BASE M-OBRA'!$A:$D,4))</f>
        <v/>
      </c>
      <c r="F136" s="55" t="str">
        <f t="shared" si="12"/>
        <v/>
      </c>
      <c r="G136" s="106"/>
      <c r="H136" s="56" t="str">
        <f t="shared" si="13"/>
        <v/>
      </c>
      <c r="I136" s="2"/>
    </row>
    <row r="137" spans="1:16" x14ac:dyDescent="0.25">
      <c r="B137" s="57" t="str">
        <f>IF($A137=0,"",VLOOKUP($A137,'BASE M-OBRA'!$A:$D,2))</f>
        <v/>
      </c>
      <c r="C137" s="58"/>
      <c r="D137" s="59"/>
      <c r="E137" s="59" t="str">
        <f>IF($A137=0,"",VLOOKUP($A137,'BASE M-OBRA'!$A:$D,4))</f>
        <v/>
      </c>
      <c r="F137" s="59" t="str">
        <f t="shared" si="12"/>
        <v/>
      </c>
      <c r="G137" s="107"/>
      <c r="H137" s="60" t="str">
        <f t="shared" si="13"/>
        <v/>
      </c>
      <c r="I137" s="2"/>
    </row>
    <row r="138" spans="1:16" x14ac:dyDescent="0.25">
      <c r="B138" s="73" t="s">
        <v>1685</v>
      </c>
      <c r="C138" s="65"/>
      <c r="D138" s="74"/>
      <c r="E138" s="74"/>
      <c r="F138" s="74"/>
      <c r="G138" s="74"/>
      <c r="H138" s="75">
        <f>ROUND(SUM(H130:H137),2)</f>
        <v>8.42</v>
      </c>
      <c r="I138" s="2"/>
    </row>
    <row r="139" spans="1:16" x14ac:dyDescent="0.25">
      <c r="B139" s="38" t="s">
        <v>1684</v>
      </c>
      <c r="C139" s="2"/>
      <c r="D139" s="3"/>
      <c r="E139" s="3"/>
      <c r="F139" s="3"/>
      <c r="G139" s="3"/>
      <c r="H139" s="56"/>
      <c r="I139" s="2"/>
    </row>
    <row r="140" spans="1:16" ht="25.5" x14ac:dyDescent="0.25">
      <c r="B140" s="64" t="s">
        <v>1409</v>
      </c>
      <c r="C140" s="65"/>
      <c r="D140" s="76"/>
      <c r="E140" s="66" t="s">
        <v>1408</v>
      </c>
      <c r="F140" s="66" t="s">
        <v>1679</v>
      </c>
      <c r="G140" s="66" t="s">
        <v>1683</v>
      </c>
      <c r="H140" s="68" t="s">
        <v>1675</v>
      </c>
      <c r="I140" s="2"/>
    </row>
    <row r="141" spans="1:16" x14ac:dyDescent="0.25">
      <c r="A141" s="103">
        <v>1</v>
      </c>
      <c r="B141" s="109" t="s">
        <v>35</v>
      </c>
      <c r="C141" s="2"/>
      <c r="D141" s="77"/>
      <c r="E141" s="78" t="s">
        <v>25</v>
      </c>
      <c r="F141" s="55">
        <v>1.05</v>
      </c>
      <c r="G141" s="55">
        <v>4.95</v>
      </c>
      <c r="H141" s="56">
        <f t="shared" ref="H141:H155" si="14">IF($A141=0,"",ROUND(F141*G141,2))</f>
        <v>5.2</v>
      </c>
      <c r="I141" s="2"/>
      <c r="J141" s="1">
        <f>14.84/3</f>
        <v>4.9466666666666663</v>
      </c>
      <c r="L141" s="2"/>
      <c r="M141" s="2"/>
      <c r="N141" s="39"/>
      <c r="O141" s="2"/>
      <c r="P141" s="2"/>
    </row>
    <row r="142" spans="1:16" s="4" customFormat="1" x14ac:dyDescent="0.25">
      <c r="A142" s="103">
        <v>5004</v>
      </c>
      <c r="B142" s="38" t="str">
        <f>IF($A142=0,"",VLOOKUP($A142,'BASE MATERIAL'!$A:$D,2))</f>
        <v>ARENA</v>
      </c>
      <c r="C142" s="2"/>
      <c r="D142" s="77"/>
      <c r="E142" s="78" t="str">
        <f>IF($A142=0,"",VLOOKUP($A142,'BASE MATERIAL'!$A:$D,3))</f>
        <v>M3</v>
      </c>
      <c r="F142" s="55">
        <f>ROUND(F141*0.032*3,2)</f>
        <v>0.1</v>
      </c>
      <c r="G142" s="55">
        <f>IF($A142=0,"",VLOOKUP($A142,'BASE MATERIAL'!$A:$D,4))</f>
        <v>12.276249999999999</v>
      </c>
      <c r="H142" s="56">
        <f t="shared" si="14"/>
        <v>1.23</v>
      </c>
      <c r="I142" s="5"/>
      <c r="K142" s="4">
        <v>28.4</v>
      </c>
      <c r="L142" s="5"/>
      <c r="M142" s="5"/>
      <c r="N142" s="160"/>
      <c r="O142" s="5"/>
      <c r="P142" s="5"/>
    </row>
    <row r="143" spans="1:16" x14ac:dyDescent="0.25">
      <c r="A143" s="103">
        <v>1</v>
      </c>
      <c r="B143" s="38" t="s">
        <v>4</v>
      </c>
      <c r="C143" s="2"/>
      <c r="D143" s="77"/>
      <c r="E143" s="78" t="s">
        <v>2</v>
      </c>
      <c r="F143" s="55">
        <v>2.1000000000000001E-2</v>
      </c>
      <c r="G143" s="55">
        <v>12.63</v>
      </c>
      <c r="H143" s="56">
        <f t="shared" si="14"/>
        <v>0.27</v>
      </c>
      <c r="I143" s="2"/>
      <c r="L143" s="2"/>
      <c r="M143" s="2"/>
      <c r="N143" s="39"/>
      <c r="O143" s="2"/>
      <c r="P143" s="2"/>
    </row>
    <row r="144" spans="1:16" x14ac:dyDescent="0.25">
      <c r="A144" s="103">
        <v>1</v>
      </c>
      <c r="B144" s="38" t="s">
        <v>3</v>
      </c>
      <c r="C144" s="2"/>
      <c r="D144" s="77"/>
      <c r="E144" s="78" t="s">
        <v>2</v>
      </c>
      <c r="F144" s="55">
        <v>0.01</v>
      </c>
      <c r="G144" s="55">
        <v>6.89</v>
      </c>
      <c r="H144" s="56">
        <f t="shared" si="14"/>
        <v>7.0000000000000007E-2</v>
      </c>
      <c r="I144" s="2"/>
      <c r="L144" s="2"/>
      <c r="M144" s="2"/>
      <c r="N144" s="39"/>
      <c r="O144" s="2"/>
      <c r="P144" s="2"/>
    </row>
    <row r="145" spans="1:16" x14ac:dyDescent="0.25">
      <c r="B145" s="38"/>
      <c r="C145" s="2"/>
      <c r="D145" s="77"/>
      <c r="E145" s="78"/>
      <c r="F145" s="55"/>
      <c r="G145" s="55"/>
      <c r="H145" s="56" t="str">
        <f t="shared" si="14"/>
        <v/>
      </c>
      <c r="I145" s="2"/>
      <c r="L145" s="2"/>
      <c r="M145" s="2"/>
      <c r="N145" s="39"/>
      <c r="O145" s="2"/>
      <c r="P145" s="2"/>
    </row>
    <row r="146" spans="1:16" x14ac:dyDescent="0.25">
      <c r="B146" s="38"/>
      <c r="C146" s="2"/>
      <c r="D146" s="77"/>
      <c r="E146" s="78"/>
      <c r="F146" s="55"/>
      <c r="G146" s="55"/>
      <c r="H146" s="56" t="str">
        <f t="shared" si="14"/>
        <v/>
      </c>
      <c r="I146" s="2"/>
      <c r="L146" s="2"/>
      <c r="M146" s="2"/>
      <c r="N146" s="39"/>
      <c r="O146" s="2"/>
      <c r="P146" s="2"/>
    </row>
    <row r="147" spans="1:16" x14ac:dyDescent="0.25">
      <c r="B147" s="38"/>
      <c r="C147" s="2"/>
      <c r="D147" s="77"/>
      <c r="E147" s="78"/>
      <c r="F147" s="55"/>
      <c r="G147" s="55"/>
      <c r="H147" s="56" t="str">
        <f t="shared" si="14"/>
        <v/>
      </c>
      <c r="I147" s="2"/>
      <c r="L147" s="2"/>
      <c r="M147" s="2"/>
      <c r="N147" s="39"/>
      <c r="O147" s="2"/>
      <c r="P147" s="2"/>
    </row>
    <row r="148" spans="1:16" x14ac:dyDescent="0.25">
      <c r="B148" s="38"/>
      <c r="C148" s="2"/>
      <c r="D148" s="77"/>
      <c r="E148" s="78"/>
      <c r="F148" s="55"/>
      <c r="G148" s="55"/>
      <c r="H148" s="56" t="str">
        <f t="shared" si="14"/>
        <v/>
      </c>
      <c r="I148" s="2"/>
      <c r="L148" s="2"/>
      <c r="M148" s="2"/>
      <c r="N148" s="39"/>
      <c r="O148" s="2"/>
      <c r="P148" s="2"/>
    </row>
    <row r="149" spans="1:16" x14ac:dyDescent="0.25">
      <c r="B149" s="38"/>
      <c r="C149" s="2"/>
      <c r="D149" s="77"/>
      <c r="E149" s="78"/>
      <c r="F149" s="55"/>
      <c r="G149" s="55"/>
      <c r="H149" s="56" t="str">
        <f t="shared" si="14"/>
        <v/>
      </c>
      <c r="I149" s="2"/>
    </row>
    <row r="150" spans="1:16" x14ac:dyDescent="0.25">
      <c r="B150" s="38" t="str">
        <f>IF($A150=0,"",VLOOKUP($A150,'BASE MATERIAL'!$A:$D,2))</f>
        <v/>
      </c>
      <c r="C150" s="2"/>
      <c r="D150" s="77"/>
      <c r="E150" s="78" t="str">
        <f>IF($A150=0,"",VLOOKUP($A150,'BASE MATERIAL'!$A:$D,3))</f>
        <v/>
      </c>
      <c r="F150" s="55"/>
      <c r="G150" s="55" t="str">
        <f>IF($A150=0,"",VLOOKUP($A150,'BASE MATERIAL'!$A:$D,4))</f>
        <v/>
      </c>
      <c r="H150" s="56" t="str">
        <f t="shared" si="14"/>
        <v/>
      </c>
      <c r="I150" s="2"/>
      <c r="L150" s="2"/>
      <c r="M150" s="2"/>
      <c r="N150" s="39"/>
      <c r="O150" s="2"/>
      <c r="P150" s="2"/>
    </row>
    <row r="151" spans="1:16" x14ac:dyDescent="0.25">
      <c r="B151" s="38" t="str">
        <f>IF($A151=0,"",VLOOKUP($A151,'BASE MATERIAL'!$A:$D,2))</f>
        <v/>
      </c>
      <c r="C151" s="2"/>
      <c r="D151" s="77"/>
      <c r="E151" s="78" t="str">
        <f>IF($A151=0,"",VLOOKUP($A151,'BASE MATERIAL'!$A:$D,3))</f>
        <v/>
      </c>
      <c r="F151" s="55"/>
      <c r="G151" s="55" t="str">
        <f>IF($A151=0,"",VLOOKUP($A151,'BASE MATERIAL'!$A:$D,4))</f>
        <v/>
      </c>
      <c r="H151" s="56" t="str">
        <f t="shared" si="14"/>
        <v/>
      </c>
      <c r="I151" s="2"/>
      <c r="L151" s="2"/>
      <c r="M151" s="2"/>
      <c r="N151" s="39"/>
      <c r="O151" s="2"/>
      <c r="P151" s="2"/>
    </row>
    <row r="152" spans="1:16" x14ac:dyDescent="0.25">
      <c r="B152" s="38" t="str">
        <f>IF($A152=0,"",VLOOKUP($A152,'BASE MATERIAL'!$A:$D,2))</f>
        <v/>
      </c>
      <c r="C152" s="2"/>
      <c r="D152" s="77"/>
      <c r="E152" s="78" t="str">
        <f>IF($A152=0,"",VLOOKUP($A152,'BASE MATERIAL'!$A:$D,3))</f>
        <v/>
      </c>
      <c r="F152" s="55"/>
      <c r="G152" s="55" t="str">
        <f>IF($A152=0,"",VLOOKUP($A152,'BASE MATERIAL'!$A:$D,4))</f>
        <v/>
      </c>
      <c r="H152" s="56" t="str">
        <f t="shared" si="14"/>
        <v/>
      </c>
      <c r="I152" s="2"/>
    </row>
    <row r="153" spans="1:16" x14ac:dyDescent="0.25">
      <c r="B153" s="38" t="str">
        <f>IF($A153=0,"",VLOOKUP($A153,'BASE MATERIAL'!$A:$D,2))</f>
        <v/>
      </c>
      <c r="C153" s="2"/>
      <c r="D153" s="77"/>
      <c r="E153" s="78" t="str">
        <f>IF($A153=0,"",VLOOKUP($A153,'BASE MATERIAL'!$A:$D,3))</f>
        <v/>
      </c>
      <c r="F153" s="55"/>
      <c r="G153" s="55" t="str">
        <f>IF($A153=0,"",VLOOKUP($A153,'BASE MATERIAL'!$A:$D,4))</f>
        <v/>
      </c>
      <c r="H153" s="56" t="str">
        <f t="shared" si="14"/>
        <v/>
      </c>
      <c r="I153" s="2"/>
    </row>
    <row r="154" spans="1:16" x14ac:dyDescent="0.25">
      <c r="B154" s="38" t="str">
        <f>IF($A154=0,"",VLOOKUP($A154,'BASE MATERIAL'!$A:$D,2))</f>
        <v/>
      </c>
      <c r="C154" s="2"/>
      <c r="D154" s="77"/>
      <c r="E154" s="78" t="str">
        <f>IF($A154=0,"",VLOOKUP($A154,'BASE MATERIAL'!$A:$D,3))</f>
        <v/>
      </c>
      <c r="F154" s="55"/>
      <c r="G154" s="55" t="str">
        <f>IF($A154=0,"",VLOOKUP($A154,'BASE MATERIAL'!$A:$D,4))</f>
        <v/>
      </c>
      <c r="H154" s="56" t="str">
        <f t="shared" si="14"/>
        <v/>
      </c>
      <c r="I154" s="2"/>
    </row>
    <row r="155" spans="1:16" x14ac:dyDescent="0.25">
      <c r="B155" s="38" t="str">
        <f>IF($A155=0,"",VLOOKUP($A155,'BASE MATERIAL'!$A:$D,2))</f>
        <v/>
      </c>
      <c r="C155" s="2"/>
      <c r="D155" s="77"/>
      <c r="E155" s="78" t="str">
        <f>IF($A155=0,"",VLOOKUP($A155,'BASE MATERIAL'!$A:$D,3))</f>
        <v/>
      </c>
      <c r="F155" s="55"/>
      <c r="G155" s="55" t="str">
        <f>IF($A155=0,"",VLOOKUP($A155,'BASE MATERIAL'!$A:$D,4))</f>
        <v/>
      </c>
      <c r="H155" s="56" t="str">
        <f t="shared" si="14"/>
        <v/>
      </c>
      <c r="I155" s="2"/>
    </row>
    <row r="156" spans="1:16" x14ac:dyDescent="0.25">
      <c r="B156" s="38" t="str">
        <f>IF($A156=0,"",VLOOKUP($A156,'BASE MATERIAL'!$A:$D,2))</f>
        <v/>
      </c>
      <c r="C156" s="2"/>
      <c r="D156" s="81" t="s">
        <v>1682</v>
      </c>
      <c r="E156" s="55" t="str">
        <f>IF($A156=0,"",VLOOKUP($A156,'BASE MATERIAL'!$A:$D,3))</f>
        <v/>
      </c>
      <c r="F156" s="55" t="s">
        <v>1682</v>
      </c>
      <c r="G156" s="55" t="str">
        <f>IF($A156=0,"",VLOOKUP($A156,'BASE MATERIAL'!$A:$D,4))</f>
        <v/>
      </c>
      <c r="H156" s="56" t="str">
        <f>IF($A156=0,"",ROUND(E156*F156,2))</f>
        <v/>
      </c>
      <c r="I156" s="2"/>
    </row>
    <row r="157" spans="1:16" x14ac:dyDescent="0.25">
      <c r="B157" s="73" t="s">
        <v>1681</v>
      </c>
      <c r="C157" s="65"/>
      <c r="D157" s="74"/>
      <c r="E157" s="74"/>
      <c r="F157" s="74"/>
      <c r="G157" s="74"/>
      <c r="H157" s="75">
        <f>ROUND(SUM(H140:H156),2)</f>
        <v>6.77</v>
      </c>
      <c r="I157" s="2"/>
    </row>
    <row r="158" spans="1:16" x14ac:dyDescent="0.25">
      <c r="B158" s="38" t="s">
        <v>1680</v>
      </c>
      <c r="C158" s="2"/>
      <c r="D158" s="3"/>
      <c r="E158" s="3"/>
      <c r="F158" s="3"/>
      <c r="G158" s="3"/>
      <c r="H158" s="56"/>
      <c r="I158" s="2"/>
    </row>
    <row r="159" spans="1:16" ht="25.5" x14ac:dyDescent="0.25">
      <c r="B159" s="64" t="s">
        <v>1409</v>
      </c>
      <c r="C159" s="65"/>
      <c r="D159" s="76"/>
      <c r="E159" s="66" t="s">
        <v>1408</v>
      </c>
      <c r="F159" s="66" t="s">
        <v>1679</v>
      </c>
      <c r="G159" s="66" t="s">
        <v>1676</v>
      </c>
      <c r="H159" s="68" t="s">
        <v>1675</v>
      </c>
      <c r="I159" s="2"/>
    </row>
    <row r="160" spans="1:16" x14ac:dyDescent="0.25">
      <c r="A160" s="103">
        <v>19019</v>
      </c>
      <c r="B160" s="51" t="str">
        <f>IF($A160=0,"",VLOOKUP($A160,'BASE EQUIPO'!$A:$D,2))</f>
        <v>TRANSPORTE DE MATERIAL</v>
      </c>
      <c r="C160" s="52"/>
      <c r="D160" s="82"/>
      <c r="E160" s="78" t="str">
        <f>IF($A160=0,"",VLOOKUP($A160,'BASE EQUIPO'!$A:$D,3))</f>
        <v>GLOBAL</v>
      </c>
      <c r="F160" s="55">
        <v>1</v>
      </c>
      <c r="G160" s="83">
        <f>IF($A160=0,"",VLOOKUP($A160,'BASE EQUIPO'!$A:$D,4)*H157)</f>
        <v>0.20309999999999997</v>
      </c>
      <c r="H160" s="56">
        <f>IF($A160=0,"",ROUND(F160*G160,2))</f>
        <v>0.2</v>
      </c>
      <c r="I160" s="2"/>
    </row>
    <row r="161" spans="1:15" x14ac:dyDescent="0.25">
      <c r="B161" s="38" t="str">
        <f>IF($A161=0,"",VLOOKUP($A161,'BASE EQUIPO'!$A:$D,2))</f>
        <v/>
      </c>
      <c r="C161" s="2"/>
      <c r="D161" s="84"/>
      <c r="E161" s="78" t="str">
        <f>IF($A161=0,"",VLOOKUP($A161,'BASE EQUIPO'!$A:$D,3))</f>
        <v/>
      </c>
      <c r="F161" s="55"/>
      <c r="G161" s="55" t="str">
        <f>IF($A161=0,"",VLOOKUP($A161,'BASE EQUIPO'!$A:$D,4)*H158)</f>
        <v/>
      </c>
      <c r="H161" s="56" t="str">
        <f>IF($A161=0,"",ROUND(F161*G161,2))</f>
        <v/>
      </c>
      <c r="I161" s="2"/>
    </row>
    <row r="162" spans="1:15" x14ac:dyDescent="0.25">
      <c r="B162" s="57" t="str">
        <f>IF($A162=0,"",VLOOKUP($A162,'BASE EQUIPO'!$A:$D,2))</f>
        <v/>
      </c>
      <c r="C162" s="58"/>
      <c r="D162" s="85"/>
      <c r="E162" s="86" t="str">
        <f>IF($A162=0,"",VLOOKUP($A162,'BASE EQUIPO'!$A:$D,3))</f>
        <v/>
      </c>
      <c r="F162" s="59"/>
      <c r="G162" s="59" t="str">
        <f>IF($A162=0,"",VLOOKUP($A162,'BASE EQUIPO'!$A:$D,4)*H159)</f>
        <v/>
      </c>
      <c r="H162" s="60" t="str">
        <f>IF($A162=0,"",ROUND(F162*G162,2))</f>
        <v/>
      </c>
      <c r="I162" s="2"/>
    </row>
    <row r="163" spans="1:15" ht="15.75" thickBot="1" x14ac:dyDescent="0.3">
      <c r="B163" s="87" t="s">
        <v>1674</v>
      </c>
      <c r="C163" s="88"/>
      <c r="D163" s="89"/>
      <c r="E163" s="89"/>
      <c r="F163" s="89"/>
      <c r="G163" s="89"/>
      <c r="H163" s="90">
        <f>ROUND(SUM(H159:H162),2)</f>
        <v>0.2</v>
      </c>
      <c r="I163" s="2"/>
    </row>
    <row r="164" spans="1:15" ht="15.75" x14ac:dyDescent="0.25">
      <c r="B164" s="2"/>
      <c r="C164" s="2"/>
      <c r="D164" s="91" t="s">
        <v>1673</v>
      </c>
      <c r="E164" s="47"/>
      <c r="F164" s="47"/>
      <c r="G164" s="47"/>
      <c r="H164" s="92">
        <f>ROUND(SUM(H163,H157,H138,H128),2)</f>
        <v>15.81</v>
      </c>
      <c r="I164" s="2"/>
    </row>
    <row r="165" spans="1:15" ht="15.75" x14ac:dyDescent="0.25">
      <c r="A165" s="103">
        <v>40002</v>
      </c>
      <c r="B165" s="2"/>
      <c r="C165" s="2"/>
      <c r="D165" s="93" t="s">
        <v>1672</v>
      </c>
      <c r="E165" s="65"/>
      <c r="F165" s="65"/>
      <c r="G165" s="94">
        <f>IF($A165=0,"",VLOOKUP($A165,'BASE MATERIAL'!$M:$P,4))</f>
        <v>0</v>
      </c>
      <c r="H165" s="95">
        <f>IF($A165=0,"",ROUND(G165*H164,2))</f>
        <v>0</v>
      </c>
      <c r="I165" s="2"/>
    </row>
    <row r="166" spans="1:15" ht="15.75" x14ac:dyDescent="0.25">
      <c r="A166" s="103">
        <v>40003</v>
      </c>
      <c r="B166" s="2"/>
      <c r="C166" s="2"/>
      <c r="D166" s="93" t="s">
        <v>1671</v>
      </c>
      <c r="E166" s="65"/>
      <c r="F166" s="65"/>
      <c r="G166" s="94">
        <f>IF($A166=0,"",VLOOKUP($A166,'BASE MATERIAL'!$M:$P,4))</f>
        <v>0</v>
      </c>
      <c r="H166" s="95">
        <f>IF($A166=0,"",ROUND(G166*H164,2))</f>
        <v>0</v>
      </c>
      <c r="I166" s="2"/>
    </row>
    <row r="167" spans="1:15" ht="15.75" x14ac:dyDescent="0.25">
      <c r="B167" s="2"/>
      <c r="C167" s="2"/>
      <c r="D167" s="93" t="s">
        <v>1670</v>
      </c>
      <c r="E167" s="65"/>
      <c r="F167" s="65"/>
      <c r="G167" s="65"/>
      <c r="H167" s="96">
        <f>ROUND(SUM(H164:H166),2)</f>
        <v>15.81</v>
      </c>
      <c r="I167" s="2"/>
    </row>
    <row r="168" spans="1:15" ht="16.5" thickBot="1" x14ac:dyDescent="0.3">
      <c r="B168" s="25"/>
      <c r="C168" s="2"/>
      <c r="D168" s="97" t="s">
        <v>1650</v>
      </c>
      <c r="E168" s="88"/>
      <c r="F168" s="88"/>
      <c r="G168" s="88"/>
      <c r="H168" s="98">
        <f>ROUND(H167,2)</f>
        <v>15.81</v>
      </c>
      <c r="I168" s="2"/>
    </row>
    <row r="169" spans="1:15" ht="15.75" x14ac:dyDescent="0.25">
      <c r="B169" s="34" t="s">
        <v>1701</v>
      </c>
      <c r="C169" s="2"/>
      <c r="D169" s="3" t="str">
        <f>$D$57</f>
        <v>ESPOL</v>
      </c>
      <c r="E169" s="2"/>
      <c r="F169" s="2"/>
      <c r="H169" s="2" t="s">
        <v>108</v>
      </c>
      <c r="I169" s="2"/>
      <c r="L169" s="40">
        <f>A173</f>
        <v>13</v>
      </c>
      <c r="M169" s="1" t="str">
        <f>C174</f>
        <v>TUBERIA   PVC des ø 110 mm AA.SS.</v>
      </c>
      <c r="N169" s="2" t="str">
        <f>H173</f>
        <v>ml</v>
      </c>
      <c r="O169" s="2">
        <f>H224</f>
        <v>12.78</v>
      </c>
    </row>
    <row r="170" spans="1:15" ht="15.75" x14ac:dyDescent="0.25">
      <c r="B170" s="34" t="s">
        <v>1700</v>
      </c>
      <c r="C170" s="3">
        <f>'1.1'!$C$2</f>
        <v>0</v>
      </c>
      <c r="D170" s="2"/>
      <c r="E170" s="2"/>
      <c r="F170" s="2"/>
      <c r="G170" s="41" t="s">
        <v>1699</v>
      </c>
      <c r="H170" s="42"/>
      <c r="I170" s="2" t="s">
        <v>1698</v>
      </c>
    </row>
    <row r="171" spans="1:15" ht="15.75" x14ac:dyDescent="0.25">
      <c r="B171" s="34"/>
      <c r="C171" s="3">
        <f>'1.1'!$C$3</f>
        <v>0</v>
      </c>
      <c r="D171" s="2"/>
      <c r="E171" s="2"/>
      <c r="F171" s="2"/>
      <c r="G171" s="2"/>
      <c r="H171" s="2"/>
      <c r="I171" s="2"/>
    </row>
    <row r="172" spans="1:15" ht="15.75" x14ac:dyDescent="0.25">
      <c r="B172" s="34" t="s">
        <v>1697</v>
      </c>
      <c r="C172" s="3"/>
      <c r="D172" s="2"/>
      <c r="E172" s="2"/>
      <c r="F172" s="2"/>
      <c r="G172" s="2"/>
      <c r="H172" s="2"/>
      <c r="I172" s="2"/>
    </row>
    <row r="173" spans="1:15" x14ac:dyDescent="0.25">
      <c r="A173" s="104">
        <v>13</v>
      </c>
      <c r="B173" s="2" t="s">
        <v>1586</v>
      </c>
      <c r="C173" s="101" t="s">
        <v>695</v>
      </c>
      <c r="D173" s="2"/>
      <c r="G173" s="2" t="s">
        <v>1696</v>
      </c>
      <c r="H173" s="3" t="s">
        <v>961</v>
      </c>
      <c r="I173" s="2"/>
    </row>
    <row r="174" spans="1:15" x14ac:dyDescent="0.25">
      <c r="B174" s="1" t="s">
        <v>1585</v>
      </c>
      <c r="C174" s="36" t="s">
        <v>66</v>
      </c>
      <c r="D174" s="2"/>
      <c r="E174" s="2"/>
      <c r="F174" s="2"/>
      <c r="G174" s="2"/>
      <c r="H174" s="2"/>
      <c r="I174" s="2"/>
    </row>
    <row r="175" spans="1:15" ht="15.75" thickBot="1" x14ac:dyDescent="0.3">
      <c r="D175" s="2"/>
      <c r="E175" s="2"/>
      <c r="F175" s="2"/>
      <c r="G175" s="2"/>
      <c r="H175" s="2"/>
      <c r="I175" s="2"/>
    </row>
    <row r="176" spans="1:15" ht="15.75" thickBot="1" x14ac:dyDescent="0.3">
      <c r="B176" s="43" t="s">
        <v>1695</v>
      </c>
      <c r="C176" s="44"/>
      <c r="D176" s="44"/>
      <c r="E176" s="44"/>
      <c r="F176" s="44"/>
      <c r="G176" s="44"/>
      <c r="H176" s="45"/>
      <c r="I176" s="2"/>
    </row>
    <row r="177" spans="1:9" ht="25.5" x14ac:dyDescent="0.25">
      <c r="B177" s="46" t="s">
        <v>1409</v>
      </c>
      <c r="C177" s="47"/>
      <c r="D177" s="48" t="s">
        <v>1690</v>
      </c>
      <c r="E177" s="48" t="s">
        <v>1694</v>
      </c>
      <c r="F177" s="48" t="s">
        <v>1693</v>
      </c>
      <c r="G177" s="49" t="s">
        <v>1687</v>
      </c>
      <c r="H177" s="50" t="s">
        <v>1686</v>
      </c>
      <c r="I177" s="2"/>
    </row>
    <row r="178" spans="1:9" x14ac:dyDescent="0.25">
      <c r="A178" s="103">
        <v>19016</v>
      </c>
      <c r="B178" s="51" t="str">
        <f>IF($A178=0,"",VLOOKUP($A178,'BASE EQUIPO'!$A:$D,2))</f>
        <v>HERRAMIENTA MENOR</v>
      </c>
      <c r="C178" s="52"/>
      <c r="D178" s="53">
        <v>1</v>
      </c>
      <c r="E178" s="53">
        <f>IF($A178=0,"",VLOOKUP($A178,'BASE EQUIPO'!$A:$D,4)*H194)</f>
        <v>0.33650000000000002</v>
      </c>
      <c r="F178" s="53">
        <f t="shared" ref="F178:F183" si="15">IF($A178=0,"",ROUND(D178*E178,2))</f>
        <v>0.34</v>
      </c>
      <c r="G178" s="105">
        <v>1</v>
      </c>
      <c r="H178" s="54">
        <f t="shared" ref="H178:H183" si="16">IF($A178=0,"",ROUND(G178*F178,2))</f>
        <v>0.34</v>
      </c>
      <c r="I178" s="2"/>
    </row>
    <row r="179" spans="1:9" x14ac:dyDescent="0.25">
      <c r="B179" s="38" t="str">
        <f>IF($A179=0,"",VLOOKUP($A179,'BASE EQUIPO'!$A:$D,2))</f>
        <v/>
      </c>
      <c r="C179" s="2"/>
      <c r="D179" s="55"/>
      <c r="E179" s="55" t="str">
        <f>IF($A179=0,"",VLOOKUP($A179,'BASE EQUIPO'!$A:$D,4))</f>
        <v/>
      </c>
      <c r="F179" s="55" t="str">
        <f t="shared" si="15"/>
        <v/>
      </c>
      <c r="G179" s="106"/>
      <c r="H179" s="56" t="str">
        <f t="shared" si="16"/>
        <v/>
      </c>
      <c r="I179" s="2"/>
    </row>
    <row r="180" spans="1:9" x14ac:dyDescent="0.25">
      <c r="B180" s="38" t="str">
        <f>IF($A180=0,"",VLOOKUP($A180,'BASE EQUIPO'!$A:$D,2))</f>
        <v/>
      </c>
      <c r="C180" s="2"/>
      <c r="D180" s="55"/>
      <c r="E180" s="55" t="str">
        <f>IF($A180=0,"",VLOOKUP($A180,'BASE EQUIPO'!$A:$D,4))</f>
        <v/>
      </c>
      <c r="F180" s="55" t="str">
        <f t="shared" si="15"/>
        <v/>
      </c>
      <c r="G180" s="106"/>
      <c r="H180" s="56" t="str">
        <f t="shared" si="16"/>
        <v/>
      </c>
      <c r="I180" s="2"/>
    </row>
    <row r="181" spans="1:9" x14ac:dyDescent="0.25">
      <c r="B181" s="38" t="str">
        <f>IF($A181=0,"",VLOOKUP($A181,'BASE EQUIPO'!$A:$D,2))</f>
        <v/>
      </c>
      <c r="C181" s="2"/>
      <c r="D181" s="55"/>
      <c r="E181" s="55" t="str">
        <f>IF($A181=0,"",VLOOKUP($A181,'BASE EQUIPO'!$A:$D,4))</f>
        <v/>
      </c>
      <c r="F181" s="55" t="str">
        <f t="shared" si="15"/>
        <v/>
      </c>
      <c r="G181" s="106"/>
      <c r="H181" s="56" t="str">
        <f t="shared" si="16"/>
        <v/>
      </c>
      <c r="I181" s="2"/>
    </row>
    <row r="182" spans="1:9" x14ac:dyDescent="0.25">
      <c r="B182" s="38" t="str">
        <f>IF($A182=0,"",VLOOKUP($A182,'BASE EQUIPO'!$A:$D,2))</f>
        <v/>
      </c>
      <c r="C182" s="2"/>
      <c r="D182" s="55"/>
      <c r="E182" s="55" t="str">
        <f>IF($A182=0,"",VLOOKUP($A182,'BASE EQUIPO'!$A:$D,4))</f>
        <v/>
      </c>
      <c r="F182" s="55" t="str">
        <f t="shared" si="15"/>
        <v/>
      </c>
      <c r="G182" s="106"/>
      <c r="H182" s="56" t="str">
        <f t="shared" si="16"/>
        <v/>
      </c>
      <c r="I182" s="2"/>
    </row>
    <row r="183" spans="1:9" x14ac:dyDescent="0.25">
      <c r="B183" s="57" t="str">
        <f>IF($A183=0,"",VLOOKUP($A183,'BASE EQUIPO'!$A:$D,2))</f>
        <v/>
      </c>
      <c r="C183" s="58"/>
      <c r="D183" s="59"/>
      <c r="E183" s="59" t="str">
        <f>IF($A183=0,"",VLOOKUP($A183,'BASE EQUIPO'!$A:$D,4))</f>
        <v/>
      </c>
      <c r="F183" s="59" t="str">
        <f t="shared" si="15"/>
        <v/>
      </c>
      <c r="G183" s="107"/>
      <c r="H183" s="60" t="str">
        <f t="shared" si="16"/>
        <v/>
      </c>
      <c r="I183" s="2"/>
    </row>
    <row r="184" spans="1:9" x14ac:dyDescent="0.25">
      <c r="B184" s="57" t="s">
        <v>1692</v>
      </c>
      <c r="C184" s="58"/>
      <c r="D184" s="61"/>
      <c r="E184" s="61"/>
      <c r="F184" s="61"/>
      <c r="G184" s="62"/>
      <c r="H184" s="60">
        <f>ROUND(SUM(H177:H183),2)</f>
        <v>0.34</v>
      </c>
      <c r="I184" s="2"/>
    </row>
    <row r="185" spans="1:9" x14ac:dyDescent="0.25">
      <c r="B185" s="38" t="s">
        <v>1503</v>
      </c>
      <c r="C185" s="2"/>
      <c r="D185" s="3"/>
      <c r="E185" s="3"/>
      <c r="F185" s="3"/>
      <c r="G185" s="63"/>
      <c r="H185" s="56"/>
      <c r="I185" s="2"/>
    </row>
    <row r="186" spans="1:9" ht="25.5" x14ac:dyDescent="0.25">
      <c r="B186" s="64" t="s">
        <v>1691</v>
      </c>
      <c r="C186" s="65"/>
      <c r="D186" s="66" t="s">
        <v>1690</v>
      </c>
      <c r="E186" s="66" t="s">
        <v>1689</v>
      </c>
      <c r="F186" s="66" t="s">
        <v>1688</v>
      </c>
      <c r="G186" s="67" t="s">
        <v>1687</v>
      </c>
      <c r="H186" s="68" t="s">
        <v>1686</v>
      </c>
      <c r="I186" s="2"/>
    </row>
    <row r="187" spans="1:9" x14ac:dyDescent="0.25">
      <c r="B187" s="69" t="str">
        <f>IF($A187=0,"",VLOOKUP($A187,'BASE M-OBRA'!$A:$D,2))</f>
        <v/>
      </c>
      <c r="C187" s="2"/>
      <c r="D187" s="108"/>
      <c r="E187" s="70" t="str">
        <f>IF($A187=0,"",VLOOKUP($A187,'BASE M-OBRA'!$A:$D,4))</f>
        <v/>
      </c>
      <c r="F187" s="55" t="str">
        <f t="shared" ref="F187:F193" si="17">IF($A187=0,"",ROUND(D187*E187,2))</f>
        <v/>
      </c>
      <c r="G187" s="106" t="str">
        <f>IF($A187=0,"",ROUND(H187/F187,2))</f>
        <v/>
      </c>
      <c r="H187" s="56" t="str">
        <f>IF($A187=0,"",ROUND(SUM(H188:H193)*'BASE M-OBRA'!$D$23,2))</f>
        <v/>
      </c>
      <c r="I187" s="2"/>
    </row>
    <row r="188" spans="1:9" x14ac:dyDescent="0.25">
      <c r="A188" s="103">
        <v>20011</v>
      </c>
      <c r="B188" s="69" t="str">
        <f>IF($A188=0,"",VLOOKUP($A188,'BASE M-OBRA'!$A:$D,2))</f>
        <v>AYUDANTE ESPECIALISTA</v>
      </c>
      <c r="C188" s="2"/>
      <c r="D188" s="108">
        <v>1</v>
      </c>
      <c r="E188" s="70">
        <f>IF($A188=0,"",VLOOKUP($A188,'BASE M-OBRA'!$A:$D,4))</f>
        <v>2.79</v>
      </c>
      <c r="F188" s="55">
        <f t="shared" si="17"/>
        <v>2.79</v>
      </c>
      <c r="G188" s="106">
        <v>1.2</v>
      </c>
      <c r="H188" s="56">
        <f t="shared" ref="H188:H193" si="18">IF($A188=0,"",ROUND(G188*F188,2))</f>
        <v>3.35</v>
      </c>
      <c r="I188" s="2"/>
    </row>
    <row r="189" spans="1:9" x14ac:dyDescent="0.25">
      <c r="A189" s="103">
        <v>20016</v>
      </c>
      <c r="B189" s="69" t="str">
        <f>IF($A189=0,"",VLOOKUP($A189,'BASE M-OBRA'!$A:$D,2))</f>
        <v>GAFITERO</v>
      </c>
      <c r="C189" s="2"/>
      <c r="D189" s="108">
        <v>1</v>
      </c>
      <c r="E189" s="70">
        <f>IF($A189=0,"",VLOOKUP($A189,'BASE M-OBRA'!$A:$D,4))</f>
        <v>2.82</v>
      </c>
      <c r="F189" s="55">
        <f t="shared" si="17"/>
        <v>2.82</v>
      </c>
      <c r="G189" s="106">
        <f>+G188</f>
        <v>1.2</v>
      </c>
      <c r="H189" s="56">
        <f t="shared" si="18"/>
        <v>3.38</v>
      </c>
      <c r="I189" s="2"/>
    </row>
    <row r="190" spans="1:9" x14ac:dyDescent="0.25">
      <c r="B190" s="71" t="str">
        <f>IF($A190=0,"",VLOOKUP($A190,'BASE M-OBRA'!$A:$D,2))</f>
        <v/>
      </c>
      <c r="C190" s="2"/>
      <c r="D190" s="108"/>
      <c r="E190" s="70" t="str">
        <f>IF($A190=0,"",VLOOKUP($A190,'BASE M-OBRA'!$A:$D,4))</f>
        <v/>
      </c>
      <c r="F190" s="55" t="str">
        <f t="shared" si="17"/>
        <v/>
      </c>
      <c r="G190" s="106"/>
      <c r="H190" s="56" t="str">
        <f t="shared" si="18"/>
        <v/>
      </c>
      <c r="I190" s="2"/>
    </row>
    <row r="191" spans="1:9" x14ac:dyDescent="0.25">
      <c r="B191" s="72" t="str">
        <f>IF($A191=0,"",VLOOKUP($A191,'BASE M-OBRA'!$A:$D,2))</f>
        <v/>
      </c>
      <c r="C191" s="2"/>
      <c r="D191" s="108"/>
      <c r="E191" s="70" t="str">
        <f>IF($A191=0,"",VLOOKUP($A191,'BASE M-OBRA'!$A:$D,4))</f>
        <v/>
      </c>
      <c r="F191" s="55" t="str">
        <f t="shared" si="17"/>
        <v/>
      </c>
      <c r="G191" s="106"/>
      <c r="H191" s="56" t="str">
        <f t="shared" si="18"/>
        <v/>
      </c>
      <c r="I191" s="2"/>
    </row>
    <row r="192" spans="1:9" x14ac:dyDescent="0.25">
      <c r="B192" s="38" t="str">
        <f>IF($A192=0,"",VLOOKUP($A192,'BASE M-OBRA'!$A:$D,2))</f>
        <v/>
      </c>
      <c r="C192" s="2"/>
      <c r="D192" s="55"/>
      <c r="E192" s="55" t="str">
        <f>IF($A192=0,"",VLOOKUP($A192,'BASE M-OBRA'!$A:$D,4))</f>
        <v/>
      </c>
      <c r="F192" s="55" t="str">
        <f t="shared" si="17"/>
        <v/>
      </c>
      <c r="G192" s="106"/>
      <c r="H192" s="56" t="str">
        <f t="shared" si="18"/>
        <v/>
      </c>
      <c r="I192" s="2"/>
    </row>
    <row r="193" spans="1:16" x14ac:dyDescent="0.25">
      <c r="B193" s="57" t="str">
        <f>IF($A193=0,"",VLOOKUP($A193,'BASE M-OBRA'!$A:$D,2))</f>
        <v/>
      </c>
      <c r="C193" s="58"/>
      <c r="D193" s="59"/>
      <c r="E193" s="59" t="str">
        <f>IF($A193=0,"",VLOOKUP($A193,'BASE M-OBRA'!$A:$D,4))</f>
        <v/>
      </c>
      <c r="F193" s="59" t="str">
        <f t="shared" si="17"/>
        <v/>
      </c>
      <c r="G193" s="107"/>
      <c r="H193" s="60" t="str">
        <f t="shared" si="18"/>
        <v/>
      </c>
      <c r="I193" s="2"/>
    </row>
    <row r="194" spans="1:16" x14ac:dyDescent="0.25">
      <c r="B194" s="73" t="s">
        <v>1685</v>
      </c>
      <c r="C194" s="65"/>
      <c r="D194" s="74"/>
      <c r="E194" s="74"/>
      <c r="F194" s="74"/>
      <c r="G194" s="74"/>
      <c r="H194" s="75">
        <f>ROUND(SUM(H186:H193),2)</f>
        <v>6.73</v>
      </c>
      <c r="I194" s="2"/>
    </row>
    <row r="195" spans="1:16" x14ac:dyDescent="0.25">
      <c r="B195" s="38" t="s">
        <v>1684</v>
      </c>
      <c r="C195" s="2"/>
      <c r="D195" s="3"/>
      <c r="E195" s="3"/>
      <c r="F195" s="3"/>
      <c r="G195" s="3"/>
      <c r="H195" s="56"/>
      <c r="I195" s="2"/>
    </row>
    <row r="196" spans="1:16" ht="25.5" x14ac:dyDescent="0.25">
      <c r="B196" s="64" t="s">
        <v>1409</v>
      </c>
      <c r="C196" s="65"/>
      <c r="D196" s="76"/>
      <c r="E196" s="66" t="s">
        <v>1408</v>
      </c>
      <c r="F196" s="66" t="s">
        <v>1679</v>
      </c>
      <c r="G196" s="66" t="s">
        <v>1683</v>
      </c>
      <c r="H196" s="68" t="s">
        <v>1675</v>
      </c>
      <c r="I196" s="2"/>
    </row>
    <row r="197" spans="1:16" x14ac:dyDescent="0.25">
      <c r="A197" s="103">
        <v>1</v>
      </c>
      <c r="B197" s="37" t="s">
        <v>35</v>
      </c>
      <c r="C197" s="2"/>
      <c r="D197" s="77"/>
      <c r="E197" s="78" t="s">
        <v>25</v>
      </c>
      <c r="F197" s="55">
        <v>1.05</v>
      </c>
      <c r="G197" s="55">
        <v>4.95</v>
      </c>
      <c r="H197" s="56">
        <f t="shared" ref="H197:H211" si="19">IF($A197=0,"",ROUND(F197*G197,2))</f>
        <v>5.2</v>
      </c>
      <c r="I197" s="2"/>
      <c r="J197" s="1">
        <f>14.84/3</f>
        <v>4.9466666666666663</v>
      </c>
      <c r="L197" s="2"/>
      <c r="M197" s="2"/>
      <c r="N197" s="39"/>
      <c r="O197" s="2"/>
      <c r="P197" s="2"/>
    </row>
    <row r="198" spans="1:16" x14ac:dyDescent="0.25">
      <c r="B198" s="38"/>
      <c r="C198" s="2"/>
      <c r="D198" s="77"/>
      <c r="E198" s="78"/>
      <c r="F198" s="55"/>
      <c r="G198" s="55"/>
      <c r="H198" s="56" t="str">
        <f t="shared" si="19"/>
        <v/>
      </c>
      <c r="I198" s="2"/>
      <c r="L198" s="2"/>
      <c r="M198" s="2"/>
      <c r="N198" s="39"/>
      <c r="O198" s="2"/>
      <c r="P198" s="2"/>
    </row>
    <row r="199" spans="1:16" x14ac:dyDescent="0.25">
      <c r="A199" s="103">
        <v>1</v>
      </c>
      <c r="B199" s="38" t="s">
        <v>4</v>
      </c>
      <c r="C199" s="2"/>
      <c r="D199" s="77"/>
      <c r="E199" s="78" t="s">
        <v>2</v>
      </c>
      <c r="F199" s="55">
        <v>2.1000000000000001E-2</v>
      </c>
      <c r="G199" s="55">
        <v>12.63</v>
      </c>
      <c r="H199" s="56">
        <f t="shared" si="19"/>
        <v>0.27</v>
      </c>
      <c r="I199" s="2"/>
      <c r="L199" s="2"/>
      <c r="M199" s="2"/>
      <c r="N199" s="39"/>
      <c r="O199" s="2"/>
      <c r="P199" s="2"/>
    </row>
    <row r="200" spans="1:16" x14ac:dyDescent="0.25">
      <c r="A200" s="103">
        <v>1</v>
      </c>
      <c r="B200" s="38" t="s">
        <v>3</v>
      </c>
      <c r="C200" s="2"/>
      <c r="D200" s="77"/>
      <c r="E200" s="78" t="s">
        <v>2</v>
      </c>
      <c r="F200" s="55">
        <v>0.01</v>
      </c>
      <c r="G200" s="55">
        <v>6.89</v>
      </c>
      <c r="H200" s="56">
        <f t="shared" si="19"/>
        <v>7.0000000000000007E-2</v>
      </c>
      <c r="I200" s="2"/>
      <c r="L200" s="2"/>
      <c r="M200" s="2"/>
      <c r="N200" s="39"/>
      <c r="O200" s="2"/>
      <c r="P200" s="2"/>
    </row>
    <row r="201" spans="1:16" x14ac:dyDescent="0.25">
      <c r="B201" s="38"/>
      <c r="C201" s="2"/>
      <c r="D201" s="77"/>
      <c r="E201" s="78"/>
      <c r="F201" s="55"/>
      <c r="G201" s="55"/>
      <c r="H201" s="56" t="str">
        <f t="shared" si="19"/>
        <v/>
      </c>
      <c r="I201" s="2"/>
      <c r="L201" s="2"/>
      <c r="M201" s="2"/>
      <c r="N201" s="39"/>
      <c r="O201" s="2"/>
      <c r="P201" s="2"/>
    </row>
    <row r="202" spans="1:16" x14ac:dyDescent="0.25">
      <c r="B202" s="38"/>
      <c r="C202" s="2"/>
      <c r="D202" s="77"/>
      <c r="E202" s="78"/>
      <c r="F202" s="55"/>
      <c r="G202" s="55"/>
      <c r="H202" s="56" t="str">
        <f t="shared" si="19"/>
        <v/>
      </c>
      <c r="I202" s="2"/>
      <c r="L202" s="2"/>
      <c r="M202" s="2"/>
      <c r="N202" s="39"/>
      <c r="O202" s="2"/>
      <c r="P202" s="2"/>
    </row>
    <row r="203" spans="1:16" x14ac:dyDescent="0.25">
      <c r="B203" s="38"/>
      <c r="C203" s="2"/>
      <c r="D203" s="77"/>
      <c r="E203" s="78"/>
      <c r="F203" s="55"/>
      <c r="G203" s="55"/>
      <c r="H203" s="56" t="str">
        <f t="shared" si="19"/>
        <v/>
      </c>
      <c r="I203" s="2"/>
      <c r="L203" s="2"/>
      <c r="M203" s="2"/>
      <c r="N203" s="39"/>
      <c r="O203" s="2"/>
      <c r="P203" s="2"/>
    </row>
    <row r="204" spans="1:16" x14ac:dyDescent="0.25">
      <c r="B204" s="38"/>
      <c r="C204" s="2"/>
      <c r="D204" s="77"/>
      <c r="E204" s="78"/>
      <c r="F204" s="55"/>
      <c r="G204" s="55"/>
      <c r="H204" s="56" t="str">
        <f t="shared" si="19"/>
        <v/>
      </c>
      <c r="I204" s="2"/>
      <c r="L204" s="2"/>
      <c r="M204" s="2"/>
      <c r="N204" s="39"/>
      <c r="O204" s="2"/>
      <c r="P204" s="2"/>
    </row>
    <row r="205" spans="1:16" x14ac:dyDescent="0.25">
      <c r="B205" s="38"/>
      <c r="C205" s="2"/>
      <c r="D205" s="77"/>
      <c r="E205" s="78"/>
      <c r="F205" s="55"/>
      <c r="G205" s="55"/>
      <c r="H205" s="56" t="str">
        <f t="shared" si="19"/>
        <v/>
      </c>
      <c r="I205" s="2"/>
    </row>
    <row r="206" spans="1:16" x14ac:dyDescent="0.25">
      <c r="B206" s="38" t="str">
        <f>IF($A206=0,"",VLOOKUP($A206,'BASE MATERIAL'!$A:$D,2))</f>
        <v/>
      </c>
      <c r="C206" s="2"/>
      <c r="D206" s="77"/>
      <c r="E206" s="78" t="str">
        <f>IF($A206=0,"",VLOOKUP($A206,'BASE MATERIAL'!$A:$D,3))</f>
        <v/>
      </c>
      <c r="F206" s="55"/>
      <c r="G206" s="55" t="str">
        <f>IF($A206=0,"",VLOOKUP($A206,'BASE MATERIAL'!$A:$D,4))</f>
        <v/>
      </c>
      <c r="H206" s="56" t="str">
        <f t="shared" si="19"/>
        <v/>
      </c>
      <c r="I206" s="2"/>
      <c r="L206" s="2"/>
      <c r="M206" s="2"/>
      <c r="N206" s="39"/>
      <c r="O206" s="2"/>
      <c r="P206" s="2"/>
    </row>
    <row r="207" spans="1:16" x14ac:dyDescent="0.25">
      <c r="B207" s="38" t="str">
        <f>IF($A207=0,"",VLOOKUP($A207,'BASE MATERIAL'!$A:$D,2))</f>
        <v/>
      </c>
      <c r="C207" s="2"/>
      <c r="D207" s="77"/>
      <c r="E207" s="78" t="str">
        <f>IF($A207=0,"",VLOOKUP($A207,'BASE MATERIAL'!$A:$D,3))</f>
        <v/>
      </c>
      <c r="F207" s="55"/>
      <c r="G207" s="55" t="str">
        <f>IF($A207=0,"",VLOOKUP($A207,'BASE MATERIAL'!$A:$D,4))</f>
        <v/>
      </c>
      <c r="H207" s="56" t="str">
        <f t="shared" si="19"/>
        <v/>
      </c>
      <c r="I207" s="2"/>
      <c r="L207" s="2"/>
      <c r="M207" s="2"/>
      <c r="N207" s="39"/>
      <c r="O207" s="2"/>
      <c r="P207" s="2"/>
    </row>
    <row r="208" spans="1:16" x14ac:dyDescent="0.25">
      <c r="B208" s="38" t="str">
        <f>IF($A208=0,"",VLOOKUP($A208,'BASE MATERIAL'!$A:$D,2))</f>
        <v/>
      </c>
      <c r="C208" s="2"/>
      <c r="D208" s="77"/>
      <c r="E208" s="78" t="str">
        <f>IF($A208=0,"",VLOOKUP($A208,'BASE MATERIAL'!$A:$D,3))</f>
        <v/>
      </c>
      <c r="F208" s="55"/>
      <c r="G208" s="55" t="str">
        <f>IF($A208=0,"",VLOOKUP($A208,'BASE MATERIAL'!$A:$D,4))</f>
        <v/>
      </c>
      <c r="H208" s="56" t="str">
        <f t="shared" si="19"/>
        <v/>
      </c>
      <c r="I208" s="2"/>
    </row>
    <row r="209" spans="1:9" x14ac:dyDescent="0.25">
      <c r="B209" s="38" t="str">
        <f>IF($A209=0,"",VLOOKUP($A209,'BASE MATERIAL'!$A:$D,2))</f>
        <v/>
      </c>
      <c r="C209" s="2"/>
      <c r="D209" s="77"/>
      <c r="E209" s="78" t="str">
        <f>IF($A209=0,"",VLOOKUP($A209,'BASE MATERIAL'!$A:$D,3))</f>
        <v/>
      </c>
      <c r="F209" s="55"/>
      <c r="G209" s="55" t="str">
        <f>IF($A209=0,"",VLOOKUP($A209,'BASE MATERIAL'!$A:$D,4))</f>
        <v/>
      </c>
      <c r="H209" s="56" t="str">
        <f t="shared" si="19"/>
        <v/>
      </c>
      <c r="I209" s="2"/>
    </row>
    <row r="210" spans="1:9" x14ac:dyDescent="0.25">
      <c r="B210" s="38" t="str">
        <f>IF($A210=0,"",VLOOKUP($A210,'BASE MATERIAL'!$A:$D,2))</f>
        <v/>
      </c>
      <c r="C210" s="2"/>
      <c r="D210" s="77"/>
      <c r="E210" s="78" t="str">
        <f>IF($A210=0,"",VLOOKUP($A210,'BASE MATERIAL'!$A:$D,3))</f>
        <v/>
      </c>
      <c r="F210" s="55"/>
      <c r="G210" s="55" t="str">
        <f>IF($A210=0,"",VLOOKUP($A210,'BASE MATERIAL'!$A:$D,4))</f>
        <v/>
      </c>
      <c r="H210" s="56" t="str">
        <f t="shared" si="19"/>
        <v/>
      </c>
      <c r="I210" s="2"/>
    </row>
    <row r="211" spans="1:9" x14ac:dyDescent="0.25">
      <c r="B211" s="38" t="str">
        <f>IF($A211=0,"",VLOOKUP($A211,'BASE MATERIAL'!$A:$D,2))</f>
        <v/>
      </c>
      <c r="C211" s="2"/>
      <c r="D211" s="77"/>
      <c r="E211" s="78" t="str">
        <f>IF($A211=0,"",VLOOKUP($A211,'BASE MATERIAL'!$A:$D,3))</f>
        <v/>
      </c>
      <c r="F211" s="55"/>
      <c r="G211" s="55" t="str">
        <f>IF($A211=0,"",VLOOKUP($A211,'BASE MATERIAL'!$A:$D,4))</f>
        <v/>
      </c>
      <c r="H211" s="56" t="str">
        <f t="shared" si="19"/>
        <v/>
      </c>
      <c r="I211" s="2"/>
    </row>
    <row r="212" spans="1:9" x14ac:dyDescent="0.25">
      <c r="B212" s="38" t="str">
        <f>IF($A212=0,"",VLOOKUP($A212,'BASE MATERIAL'!$A:$D,2))</f>
        <v/>
      </c>
      <c r="C212" s="2"/>
      <c r="D212" s="81" t="s">
        <v>1682</v>
      </c>
      <c r="E212" s="55" t="str">
        <f>IF($A212=0,"",VLOOKUP($A212,'BASE MATERIAL'!$A:$D,3))</f>
        <v/>
      </c>
      <c r="F212" s="55" t="s">
        <v>1682</v>
      </c>
      <c r="G212" s="55" t="str">
        <f>IF($A212=0,"",VLOOKUP($A212,'BASE MATERIAL'!$A:$D,4))</f>
        <v/>
      </c>
      <c r="H212" s="56" t="str">
        <f>IF($A212=0,"",ROUND(E212*F212,2))</f>
        <v/>
      </c>
      <c r="I212" s="2"/>
    </row>
    <row r="213" spans="1:9" x14ac:dyDescent="0.25">
      <c r="B213" s="73" t="s">
        <v>1681</v>
      </c>
      <c r="C213" s="65"/>
      <c r="D213" s="74"/>
      <c r="E213" s="74"/>
      <c r="F213" s="74"/>
      <c r="G213" s="74"/>
      <c r="H213" s="75">
        <f>ROUND(SUM(H196:H212),2)</f>
        <v>5.54</v>
      </c>
      <c r="I213" s="2"/>
    </row>
    <row r="214" spans="1:9" x14ac:dyDescent="0.25">
      <c r="B214" s="38" t="s">
        <v>1680</v>
      </c>
      <c r="C214" s="2"/>
      <c r="D214" s="3"/>
      <c r="E214" s="3"/>
      <c r="F214" s="3"/>
      <c r="G214" s="3"/>
      <c r="H214" s="56"/>
      <c r="I214" s="2"/>
    </row>
    <row r="215" spans="1:9" ht="25.5" x14ac:dyDescent="0.25">
      <c r="B215" s="64" t="s">
        <v>1409</v>
      </c>
      <c r="C215" s="65"/>
      <c r="D215" s="76"/>
      <c r="E215" s="66" t="s">
        <v>1408</v>
      </c>
      <c r="F215" s="66" t="s">
        <v>1679</v>
      </c>
      <c r="G215" s="66" t="s">
        <v>1676</v>
      </c>
      <c r="H215" s="68" t="s">
        <v>1675</v>
      </c>
      <c r="I215" s="2"/>
    </row>
    <row r="216" spans="1:9" x14ac:dyDescent="0.25">
      <c r="A216" s="103">
        <v>19019</v>
      </c>
      <c r="B216" s="51" t="str">
        <f>IF($A216=0,"",VLOOKUP($A216,'BASE EQUIPO'!$A:$D,2))</f>
        <v>TRANSPORTE DE MATERIAL</v>
      </c>
      <c r="C216" s="52"/>
      <c r="D216" s="82"/>
      <c r="E216" s="78" t="str">
        <f>IF($A216=0,"",VLOOKUP($A216,'BASE EQUIPO'!$A:$D,3))</f>
        <v>GLOBAL</v>
      </c>
      <c r="F216" s="55">
        <v>1</v>
      </c>
      <c r="G216" s="83">
        <f>IF($A216=0,"",VLOOKUP($A216,'BASE EQUIPO'!$A:$D,4)*H213)</f>
        <v>0.16619999999999999</v>
      </c>
      <c r="H216" s="56">
        <f>IF($A216=0,"",ROUND(F216*G216,2))</f>
        <v>0.17</v>
      </c>
      <c r="I216" s="2"/>
    </row>
    <row r="217" spans="1:9" x14ac:dyDescent="0.25">
      <c r="B217" s="38" t="str">
        <f>IF($A217=0,"",VLOOKUP($A217,'BASE EQUIPO'!$A:$D,2))</f>
        <v/>
      </c>
      <c r="C217" s="2"/>
      <c r="D217" s="84"/>
      <c r="E217" s="78" t="str">
        <f>IF($A217=0,"",VLOOKUP($A217,'BASE EQUIPO'!$A:$D,3))</f>
        <v/>
      </c>
      <c r="F217" s="55"/>
      <c r="G217" s="55" t="str">
        <f>IF($A217=0,"",VLOOKUP($A217,'BASE EQUIPO'!$A:$D,4)*H214)</f>
        <v/>
      </c>
      <c r="H217" s="56" t="str">
        <f>IF($A217=0,"",ROUND(F217*G217,2))</f>
        <v/>
      </c>
      <c r="I217" s="2"/>
    </row>
    <row r="218" spans="1:9" x14ac:dyDescent="0.25">
      <c r="B218" s="57" t="str">
        <f>IF($A218=0,"",VLOOKUP($A218,'BASE EQUIPO'!$A:$D,2))</f>
        <v/>
      </c>
      <c r="C218" s="58"/>
      <c r="D218" s="85"/>
      <c r="E218" s="86" t="str">
        <f>IF($A218=0,"",VLOOKUP($A218,'BASE EQUIPO'!$A:$D,3))</f>
        <v/>
      </c>
      <c r="F218" s="59"/>
      <c r="G218" s="59" t="str">
        <f>IF($A218=0,"",VLOOKUP($A218,'BASE EQUIPO'!$A:$D,4)*H215)</f>
        <v/>
      </c>
      <c r="H218" s="60" t="str">
        <f>IF($A218=0,"",ROUND(F218*G218,2))</f>
        <v/>
      </c>
      <c r="I218" s="2"/>
    </row>
    <row r="219" spans="1:9" ht="15.75" thickBot="1" x14ac:dyDescent="0.3">
      <c r="B219" s="87" t="s">
        <v>1674</v>
      </c>
      <c r="C219" s="88"/>
      <c r="D219" s="89"/>
      <c r="E219" s="89"/>
      <c r="F219" s="89"/>
      <c r="G219" s="89"/>
      <c r="H219" s="90">
        <f>ROUND(SUM(H215:H218),2)</f>
        <v>0.17</v>
      </c>
      <c r="I219" s="2"/>
    </row>
    <row r="220" spans="1:9" ht="15.75" x14ac:dyDescent="0.25">
      <c r="B220" s="2"/>
      <c r="C220" s="2"/>
      <c r="D220" s="91" t="s">
        <v>1673</v>
      </c>
      <c r="E220" s="47"/>
      <c r="F220" s="47"/>
      <c r="G220" s="47"/>
      <c r="H220" s="92">
        <f>ROUND(SUM(H219,H213,H194,H184),2)</f>
        <v>12.78</v>
      </c>
      <c r="I220" s="2"/>
    </row>
    <row r="221" spans="1:9" ht="15.75" x14ac:dyDescent="0.25">
      <c r="A221" s="103">
        <v>40002</v>
      </c>
      <c r="B221" s="2"/>
      <c r="C221" s="2"/>
      <c r="D221" s="93" t="s">
        <v>1672</v>
      </c>
      <c r="E221" s="65"/>
      <c r="F221" s="65"/>
      <c r="G221" s="94">
        <f>IF($A221=0,"",VLOOKUP($A221,'BASE MATERIAL'!$M:$P,4))</f>
        <v>0</v>
      </c>
      <c r="H221" s="95">
        <f>IF($A221=0,"",ROUND(G221*H220,2))</f>
        <v>0</v>
      </c>
      <c r="I221" s="2"/>
    </row>
    <row r="222" spans="1:9" ht="15.75" x14ac:dyDescent="0.25">
      <c r="A222" s="103">
        <v>40003</v>
      </c>
      <c r="B222" s="2"/>
      <c r="C222" s="2"/>
      <c r="D222" s="93" t="s">
        <v>1671</v>
      </c>
      <c r="E222" s="65"/>
      <c r="F222" s="65"/>
      <c r="G222" s="94">
        <f>IF($A222=0,"",VLOOKUP($A222,'BASE MATERIAL'!$M:$P,4))</f>
        <v>0</v>
      </c>
      <c r="H222" s="95">
        <f>IF($A222=0,"",ROUND(G222*H220,2))</f>
        <v>0</v>
      </c>
      <c r="I222" s="2"/>
    </row>
    <row r="223" spans="1:9" ht="15.75" x14ac:dyDescent="0.25">
      <c r="B223" s="2"/>
      <c r="C223" s="2"/>
      <c r="D223" s="93" t="s">
        <v>1670</v>
      </c>
      <c r="E223" s="65"/>
      <c r="F223" s="65"/>
      <c r="G223" s="65"/>
      <c r="H223" s="96">
        <f>ROUND(SUM(H220:H222),2)</f>
        <v>12.78</v>
      </c>
      <c r="I223" s="2"/>
    </row>
    <row r="224" spans="1:9" ht="16.5" thickBot="1" x14ac:dyDescent="0.3">
      <c r="B224" s="25"/>
      <c r="C224" s="2"/>
      <c r="D224" s="97" t="s">
        <v>1650</v>
      </c>
      <c r="E224" s="88"/>
      <c r="F224" s="88"/>
      <c r="G224" s="88"/>
      <c r="H224" s="98">
        <f>ROUND(H223,2)</f>
        <v>12.78</v>
      </c>
      <c r="I224" s="2"/>
    </row>
    <row r="225" spans="1:15" ht="15.75" x14ac:dyDescent="0.25">
      <c r="B225" s="34" t="s">
        <v>1701</v>
      </c>
      <c r="C225" s="2"/>
      <c r="D225" s="3" t="str">
        <f>$D$57</f>
        <v>ESPOL</v>
      </c>
      <c r="E225" s="2"/>
      <c r="F225" s="2"/>
      <c r="H225" s="2" t="s">
        <v>108</v>
      </c>
      <c r="I225" s="2"/>
      <c r="L225" s="40">
        <f>A229</f>
        <v>17</v>
      </c>
      <c r="M225" s="1" t="str">
        <f>C230</f>
        <v>Tuberia PVC des ø75mm</v>
      </c>
      <c r="N225" s="2" t="str">
        <f>H229</f>
        <v>ml</v>
      </c>
      <c r="O225" s="2">
        <f>H280</f>
        <v>10.37</v>
      </c>
    </row>
    <row r="226" spans="1:15" ht="15.75" x14ac:dyDescent="0.25">
      <c r="B226" s="34" t="s">
        <v>1700</v>
      </c>
      <c r="C226" s="3">
        <f>'1.1'!$C$2</f>
        <v>0</v>
      </c>
      <c r="D226" s="2"/>
      <c r="E226" s="2"/>
      <c r="F226" s="2"/>
      <c r="G226" s="41" t="s">
        <v>1699</v>
      </c>
      <c r="H226" s="42"/>
      <c r="I226" s="2" t="s">
        <v>1698</v>
      </c>
    </row>
    <row r="227" spans="1:15" ht="15.75" x14ac:dyDescent="0.25">
      <c r="B227" s="34"/>
      <c r="C227" s="3">
        <f>'1.1'!$C$3</f>
        <v>0</v>
      </c>
      <c r="D227" s="2"/>
      <c r="E227" s="2"/>
      <c r="F227" s="2"/>
      <c r="G227" s="2"/>
      <c r="H227" s="2"/>
      <c r="I227" s="2"/>
    </row>
    <row r="228" spans="1:15" ht="15.75" x14ac:dyDescent="0.25">
      <c r="B228" s="34" t="s">
        <v>1697</v>
      </c>
      <c r="C228" s="3"/>
      <c r="D228" s="2"/>
      <c r="E228" s="2"/>
      <c r="F228" s="2"/>
      <c r="G228" s="2"/>
      <c r="H228" s="2"/>
      <c r="I228" s="2"/>
    </row>
    <row r="229" spans="1:15" x14ac:dyDescent="0.25">
      <c r="A229" s="104">
        <v>17</v>
      </c>
      <c r="B229" s="2" t="s">
        <v>1586</v>
      </c>
      <c r="C229" s="101" t="s">
        <v>696</v>
      </c>
      <c r="D229" s="2"/>
      <c r="G229" s="2" t="s">
        <v>1696</v>
      </c>
      <c r="H229" s="3" t="s">
        <v>961</v>
      </c>
      <c r="I229" s="2"/>
    </row>
    <row r="230" spans="1:15" x14ac:dyDescent="0.25">
      <c r="B230" s="1" t="s">
        <v>1585</v>
      </c>
      <c r="C230" s="36" t="s">
        <v>64</v>
      </c>
      <c r="D230" s="2"/>
      <c r="E230" s="2"/>
      <c r="F230" s="2"/>
      <c r="G230" s="2"/>
      <c r="H230" s="2"/>
      <c r="I230" s="2"/>
    </row>
    <row r="231" spans="1:15" ht="15.75" thickBot="1" x14ac:dyDescent="0.3">
      <c r="D231" s="2"/>
      <c r="E231" s="2"/>
      <c r="F231" s="2"/>
      <c r="G231" s="2"/>
      <c r="H231" s="2"/>
      <c r="I231" s="2"/>
    </row>
    <row r="232" spans="1:15" ht="15.75" thickBot="1" x14ac:dyDescent="0.3">
      <c r="B232" s="43" t="s">
        <v>1695</v>
      </c>
      <c r="C232" s="44"/>
      <c r="D232" s="44"/>
      <c r="E232" s="44"/>
      <c r="F232" s="44"/>
      <c r="G232" s="44"/>
      <c r="H232" s="45"/>
      <c r="I232" s="2"/>
    </row>
    <row r="233" spans="1:15" ht="25.5" x14ac:dyDescent="0.25">
      <c r="B233" s="46" t="s">
        <v>1409</v>
      </c>
      <c r="C233" s="47"/>
      <c r="D233" s="48" t="s">
        <v>1690</v>
      </c>
      <c r="E233" s="48" t="s">
        <v>1694</v>
      </c>
      <c r="F233" s="48" t="s">
        <v>1693</v>
      </c>
      <c r="G233" s="49" t="s">
        <v>1687</v>
      </c>
      <c r="H233" s="50" t="s">
        <v>1686</v>
      </c>
      <c r="I233" s="2"/>
    </row>
    <row r="234" spans="1:15" x14ac:dyDescent="0.25">
      <c r="A234" s="103">
        <v>19015</v>
      </c>
      <c r="B234" s="51" t="str">
        <f>IF($A234=0,"",VLOOKUP($A234,'BASE EQUIPO'!$A:$D,2))</f>
        <v>HERRAMIENTA MENOR</v>
      </c>
      <c r="C234" s="52"/>
      <c r="D234" s="53">
        <v>1</v>
      </c>
      <c r="E234" s="53">
        <f>IF($A234=0,"",VLOOKUP($A234,'BASE EQUIPO'!$A:$D,4)*H250)</f>
        <v>0.16830000000000001</v>
      </c>
      <c r="F234" s="53">
        <f t="shared" ref="F234:F239" si="20">IF($A234=0,"",ROUND(D234*E234,2))</f>
        <v>0.17</v>
      </c>
      <c r="G234" s="105">
        <v>1</v>
      </c>
      <c r="H234" s="54">
        <f t="shared" ref="H234:H239" si="21">IF($A234=0,"",ROUND(G234*F234,2))</f>
        <v>0.17</v>
      </c>
      <c r="I234" s="2"/>
    </row>
    <row r="235" spans="1:15" x14ac:dyDescent="0.25">
      <c r="B235" s="38" t="str">
        <f>IF($A235=0,"",VLOOKUP($A235,'BASE EQUIPO'!$A:$D,2))</f>
        <v/>
      </c>
      <c r="C235" s="2"/>
      <c r="D235" s="55"/>
      <c r="E235" s="55" t="str">
        <f>IF($A235=0,"",VLOOKUP($A235,'BASE EQUIPO'!$A:$D,4))</f>
        <v/>
      </c>
      <c r="F235" s="55" t="str">
        <f t="shared" si="20"/>
        <v/>
      </c>
      <c r="G235" s="106"/>
      <c r="H235" s="56" t="str">
        <f t="shared" si="21"/>
        <v/>
      </c>
      <c r="I235" s="2"/>
    </row>
    <row r="236" spans="1:15" x14ac:dyDescent="0.25">
      <c r="B236" s="38" t="str">
        <f>IF($A236=0,"",VLOOKUP($A236,'BASE EQUIPO'!$A:$D,2))</f>
        <v/>
      </c>
      <c r="C236" s="2"/>
      <c r="D236" s="55"/>
      <c r="E236" s="55" t="str">
        <f>IF($A236=0,"",VLOOKUP($A236,'BASE EQUIPO'!$A:$D,4))</f>
        <v/>
      </c>
      <c r="F236" s="55" t="str">
        <f t="shared" si="20"/>
        <v/>
      </c>
      <c r="G236" s="106"/>
      <c r="H236" s="56" t="str">
        <f t="shared" si="21"/>
        <v/>
      </c>
      <c r="I236" s="2"/>
    </row>
    <row r="237" spans="1:15" x14ac:dyDescent="0.25">
      <c r="B237" s="38" t="str">
        <f>IF($A237=0,"",VLOOKUP($A237,'BASE EQUIPO'!$A:$D,2))</f>
        <v/>
      </c>
      <c r="C237" s="2"/>
      <c r="D237" s="55"/>
      <c r="E237" s="55" t="str">
        <f>IF($A237=0,"",VLOOKUP($A237,'BASE EQUIPO'!$A:$D,4))</f>
        <v/>
      </c>
      <c r="F237" s="55" t="str">
        <f t="shared" si="20"/>
        <v/>
      </c>
      <c r="G237" s="106"/>
      <c r="H237" s="56" t="str">
        <f t="shared" si="21"/>
        <v/>
      </c>
      <c r="I237" s="2"/>
    </row>
    <row r="238" spans="1:15" x14ac:dyDescent="0.25">
      <c r="B238" s="38" t="str">
        <f>IF($A238=0,"",VLOOKUP($A238,'BASE EQUIPO'!$A:$D,2))</f>
        <v/>
      </c>
      <c r="C238" s="2"/>
      <c r="D238" s="55"/>
      <c r="E238" s="55" t="str">
        <f>IF($A238=0,"",VLOOKUP($A238,'BASE EQUIPO'!$A:$D,4))</f>
        <v/>
      </c>
      <c r="F238" s="55" t="str">
        <f t="shared" si="20"/>
        <v/>
      </c>
      <c r="G238" s="106"/>
      <c r="H238" s="56" t="str">
        <f t="shared" si="21"/>
        <v/>
      </c>
      <c r="I238" s="2"/>
    </row>
    <row r="239" spans="1:15" x14ac:dyDescent="0.25">
      <c r="B239" s="57" t="str">
        <f>IF($A239=0,"",VLOOKUP($A239,'BASE EQUIPO'!$A:$D,2))</f>
        <v/>
      </c>
      <c r="C239" s="58"/>
      <c r="D239" s="59"/>
      <c r="E239" s="59" t="str">
        <f>IF($A239=0,"",VLOOKUP($A239,'BASE EQUIPO'!$A:$D,4))</f>
        <v/>
      </c>
      <c r="F239" s="59" t="str">
        <f t="shared" si="20"/>
        <v/>
      </c>
      <c r="G239" s="107"/>
      <c r="H239" s="60" t="str">
        <f t="shared" si="21"/>
        <v/>
      </c>
      <c r="I239" s="2"/>
    </row>
    <row r="240" spans="1:15" x14ac:dyDescent="0.25">
      <c r="B240" s="57" t="s">
        <v>1692</v>
      </c>
      <c r="C240" s="58"/>
      <c r="D240" s="61"/>
      <c r="E240" s="61"/>
      <c r="F240" s="61"/>
      <c r="G240" s="62"/>
      <c r="H240" s="60">
        <f>ROUND(SUM(H233:H239),2)</f>
        <v>0.17</v>
      </c>
      <c r="I240" s="2"/>
    </row>
    <row r="241" spans="1:16" x14ac:dyDescent="0.25">
      <c r="B241" s="38" t="s">
        <v>1503</v>
      </c>
      <c r="C241" s="2"/>
      <c r="D241" s="3"/>
      <c r="E241" s="3"/>
      <c r="F241" s="3"/>
      <c r="G241" s="63"/>
      <c r="H241" s="56"/>
      <c r="I241" s="2"/>
    </row>
    <row r="242" spans="1:16" ht="25.5" x14ac:dyDescent="0.25">
      <c r="B242" s="64" t="s">
        <v>1691</v>
      </c>
      <c r="C242" s="65"/>
      <c r="D242" s="66" t="s">
        <v>1690</v>
      </c>
      <c r="E242" s="66" t="s">
        <v>1689</v>
      </c>
      <c r="F242" s="66" t="s">
        <v>1688</v>
      </c>
      <c r="G242" s="67" t="s">
        <v>1687</v>
      </c>
      <c r="H242" s="68" t="s">
        <v>1686</v>
      </c>
      <c r="I242" s="2"/>
    </row>
    <row r="243" spans="1:16" x14ac:dyDescent="0.25">
      <c r="B243" s="69" t="str">
        <f>IF($A243=0,"",VLOOKUP($A243,'BASE M-OBRA'!$A:$D,2))</f>
        <v/>
      </c>
      <c r="C243" s="2"/>
      <c r="D243" s="108"/>
      <c r="E243" s="70" t="str">
        <f>IF($A243=0,"",VLOOKUP($A243,'BASE M-OBRA'!$A:$D,4))</f>
        <v/>
      </c>
      <c r="F243" s="55" t="str">
        <f t="shared" ref="F243:F249" si="22">IF($A243=0,"",ROUND(D243*E243,2))</f>
        <v/>
      </c>
      <c r="G243" s="106" t="str">
        <f>IF($A243=0,"",ROUND(H243/F243,2))</f>
        <v/>
      </c>
      <c r="H243" s="56" t="str">
        <f>IF($A243=0,"",ROUND(SUM(H244:H249)*'BASE M-OBRA'!$D$23,2))</f>
        <v/>
      </c>
      <c r="I243" s="2"/>
    </row>
    <row r="244" spans="1:16" x14ac:dyDescent="0.25">
      <c r="A244" s="103">
        <v>20011</v>
      </c>
      <c r="B244" s="69" t="str">
        <f>IF($A244=0,"",VLOOKUP($A244,'BASE M-OBRA'!$A:$D,2))</f>
        <v>AYUDANTE ESPECIALISTA</v>
      </c>
      <c r="C244" s="2"/>
      <c r="D244" s="108">
        <v>1</v>
      </c>
      <c r="E244" s="70">
        <f>IF($A244=0,"",VLOOKUP($A244,'BASE M-OBRA'!$A:$D,4))</f>
        <v>2.79</v>
      </c>
      <c r="F244" s="55">
        <f t="shared" si="22"/>
        <v>2.79</v>
      </c>
      <c r="G244" s="106">
        <v>1</v>
      </c>
      <c r="H244" s="56">
        <f t="shared" ref="H244:H249" si="23">IF($A244=0,"",ROUND(G244*F244,2))</f>
        <v>2.79</v>
      </c>
      <c r="I244" s="2"/>
    </row>
    <row r="245" spans="1:16" x14ac:dyDescent="0.25">
      <c r="A245" s="103">
        <v>20016</v>
      </c>
      <c r="B245" s="69" t="str">
        <f>IF($A245=0,"",VLOOKUP($A245,'BASE M-OBRA'!$A:$D,2))</f>
        <v>GAFITERO</v>
      </c>
      <c r="C245" s="2"/>
      <c r="D245" s="108">
        <v>1</v>
      </c>
      <c r="E245" s="70">
        <f>IF($A245=0,"",VLOOKUP($A245,'BASE M-OBRA'!$A:$D,4))</f>
        <v>2.82</v>
      </c>
      <c r="F245" s="55">
        <f t="shared" si="22"/>
        <v>2.82</v>
      </c>
      <c r="G245" s="106">
        <f>+G244</f>
        <v>1</v>
      </c>
      <c r="H245" s="56">
        <f t="shared" si="23"/>
        <v>2.82</v>
      </c>
      <c r="I245" s="2"/>
    </row>
    <row r="246" spans="1:16" x14ac:dyDescent="0.25">
      <c r="B246" s="71" t="str">
        <f>IF($A246=0,"",VLOOKUP($A246,'BASE M-OBRA'!$A:$D,2))</f>
        <v/>
      </c>
      <c r="C246" s="2"/>
      <c r="D246" s="108"/>
      <c r="E246" s="70" t="str">
        <f>IF($A246=0,"",VLOOKUP($A246,'BASE M-OBRA'!$A:$D,4))</f>
        <v/>
      </c>
      <c r="F246" s="55" t="str">
        <f t="shared" si="22"/>
        <v/>
      </c>
      <c r="G246" s="106"/>
      <c r="H246" s="56" t="str">
        <f t="shared" si="23"/>
        <v/>
      </c>
      <c r="I246" s="2"/>
    </row>
    <row r="247" spans="1:16" x14ac:dyDescent="0.25">
      <c r="B247" s="72" t="str">
        <f>IF($A247=0,"",VLOOKUP($A247,'BASE M-OBRA'!$A:$D,2))</f>
        <v/>
      </c>
      <c r="C247" s="2"/>
      <c r="D247" s="108"/>
      <c r="E247" s="70" t="str">
        <f>IF($A247=0,"",VLOOKUP($A247,'BASE M-OBRA'!$A:$D,4))</f>
        <v/>
      </c>
      <c r="F247" s="55" t="str">
        <f t="shared" si="22"/>
        <v/>
      </c>
      <c r="G247" s="106"/>
      <c r="H247" s="56" t="str">
        <f t="shared" si="23"/>
        <v/>
      </c>
      <c r="I247" s="2"/>
    </row>
    <row r="248" spans="1:16" x14ac:dyDescent="0.25">
      <c r="B248" s="38" t="str">
        <f>IF($A248=0,"",VLOOKUP($A248,'BASE M-OBRA'!$A:$D,2))</f>
        <v/>
      </c>
      <c r="C248" s="2"/>
      <c r="D248" s="55"/>
      <c r="E248" s="55" t="str">
        <f>IF($A248=0,"",VLOOKUP($A248,'BASE M-OBRA'!$A:$D,4))</f>
        <v/>
      </c>
      <c r="F248" s="55" t="str">
        <f t="shared" si="22"/>
        <v/>
      </c>
      <c r="G248" s="106"/>
      <c r="H248" s="56" t="str">
        <f t="shared" si="23"/>
        <v/>
      </c>
      <c r="I248" s="2"/>
    </row>
    <row r="249" spans="1:16" x14ac:dyDescent="0.25">
      <c r="B249" s="57" t="str">
        <f>IF($A249=0,"",VLOOKUP($A249,'BASE M-OBRA'!$A:$D,2))</f>
        <v/>
      </c>
      <c r="C249" s="58"/>
      <c r="D249" s="59"/>
      <c r="E249" s="59" t="str">
        <f>IF($A249=0,"",VLOOKUP($A249,'BASE M-OBRA'!$A:$D,4))</f>
        <v/>
      </c>
      <c r="F249" s="59" t="str">
        <f t="shared" si="22"/>
        <v/>
      </c>
      <c r="G249" s="107"/>
      <c r="H249" s="60" t="str">
        <f t="shared" si="23"/>
        <v/>
      </c>
      <c r="I249" s="2"/>
    </row>
    <row r="250" spans="1:16" x14ac:dyDescent="0.25">
      <c r="B250" s="73" t="s">
        <v>1685</v>
      </c>
      <c r="C250" s="65"/>
      <c r="D250" s="74"/>
      <c r="E250" s="74"/>
      <c r="F250" s="74"/>
      <c r="G250" s="74"/>
      <c r="H250" s="75">
        <f>ROUND(SUM(H242:H249),2)</f>
        <v>5.61</v>
      </c>
      <c r="I250" s="2"/>
    </row>
    <row r="251" spans="1:16" x14ac:dyDescent="0.25">
      <c r="B251" s="38" t="s">
        <v>1684</v>
      </c>
      <c r="C251" s="2"/>
      <c r="D251" s="3"/>
      <c r="E251" s="3"/>
      <c r="F251" s="3"/>
      <c r="G251" s="3"/>
      <c r="H251" s="56"/>
      <c r="I251" s="2"/>
    </row>
    <row r="252" spans="1:16" ht="25.5" x14ac:dyDescent="0.25">
      <c r="B252" s="64" t="s">
        <v>1409</v>
      </c>
      <c r="C252" s="65"/>
      <c r="D252" s="76"/>
      <c r="E252" s="66" t="s">
        <v>1408</v>
      </c>
      <c r="F252" s="66" t="s">
        <v>1679</v>
      </c>
      <c r="G252" s="66" t="s">
        <v>1683</v>
      </c>
      <c r="H252" s="68" t="s">
        <v>1675</v>
      </c>
      <c r="I252" s="2"/>
    </row>
    <row r="253" spans="1:16" x14ac:dyDescent="0.25">
      <c r="A253" s="103">
        <v>1</v>
      </c>
      <c r="B253" s="26" t="s">
        <v>603</v>
      </c>
      <c r="C253" s="2"/>
      <c r="D253" s="77"/>
      <c r="E253" s="78" t="s">
        <v>25</v>
      </c>
      <c r="F253" s="55">
        <v>1.05</v>
      </c>
      <c r="G253" s="55">
        <v>3.92</v>
      </c>
      <c r="H253" s="56">
        <f t="shared" ref="H253:H267" si="24">IF($A253=0,"",ROUND(F253*G253,2))</f>
        <v>4.12</v>
      </c>
      <c r="I253" s="2"/>
      <c r="J253" s="1">
        <f>11.76/3</f>
        <v>3.92</v>
      </c>
      <c r="L253" s="2"/>
      <c r="M253" s="2"/>
      <c r="N253" s="39"/>
      <c r="O253" s="2"/>
      <c r="P253" s="2"/>
    </row>
    <row r="254" spans="1:16" x14ac:dyDescent="0.25">
      <c r="B254" s="38"/>
      <c r="C254" s="2"/>
      <c r="D254" s="77"/>
      <c r="E254" s="78"/>
      <c r="F254" s="55"/>
      <c r="G254" s="55"/>
      <c r="H254" s="56" t="str">
        <f t="shared" si="24"/>
        <v/>
      </c>
      <c r="I254" s="2"/>
      <c r="L254" s="2"/>
      <c r="M254" s="2"/>
      <c r="N254" s="39"/>
      <c r="O254" s="2"/>
      <c r="P254" s="2"/>
    </row>
    <row r="255" spans="1:16" x14ac:dyDescent="0.25">
      <c r="A255" s="103">
        <v>1</v>
      </c>
      <c r="B255" s="38" t="s">
        <v>4</v>
      </c>
      <c r="C255" s="2"/>
      <c r="D255" s="77"/>
      <c r="E255" s="78" t="s">
        <v>2</v>
      </c>
      <c r="F255" s="55">
        <v>2.1000000000000001E-2</v>
      </c>
      <c r="G255" s="55">
        <v>12.63</v>
      </c>
      <c r="H255" s="56">
        <f>IF($A255=0,"",ROUND(F255*G255,2))</f>
        <v>0.27</v>
      </c>
      <c r="I255" s="2"/>
      <c r="L255" s="2"/>
      <c r="M255" s="2"/>
      <c r="N255" s="39"/>
      <c r="O255" s="2"/>
      <c r="P255" s="2"/>
    </row>
    <row r="256" spans="1:16" x14ac:dyDescent="0.25">
      <c r="A256" s="103">
        <v>1</v>
      </c>
      <c r="B256" s="38" t="s">
        <v>3</v>
      </c>
      <c r="C256" s="2"/>
      <c r="D256" s="77"/>
      <c r="E256" s="78" t="s">
        <v>2</v>
      </c>
      <c r="F256" s="55">
        <v>0.01</v>
      </c>
      <c r="G256" s="55">
        <v>6.89</v>
      </c>
      <c r="H256" s="56">
        <f>IF($A256=0,"",ROUND(F256*G256,2))</f>
        <v>7.0000000000000007E-2</v>
      </c>
      <c r="I256" s="2"/>
      <c r="L256" s="2"/>
      <c r="M256" s="2"/>
      <c r="N256" s="39"/>
      <c r="O256" s="2"/>
      <c r="P256" s="2"/>
    </row>
    <row r="257" spans="1:16" x14ac:dyDescent="0.25">
      <c r="B257" s="38"/>
      <c r="C257" s="2"/>
      <c r="D257" s="77"/>
      <c r="E257" s="78"/>
      <c r="F257" s="55"/>
      <c r="G257" s="55"/>
      <c r="H257" s="56" t="str">
        <f t="shared" si="24"/>
        <v/>
      </c>
      <c r="I257" s="2"/>
      <c r="L257" s="2"/>
      <c r="M257" s="2"/>
      <c r="N257" s="39"/>
      <c r="O257" s="2"/>
      <c r="P257" s="2"/>
    </row>
    <row r="258" spans="1:16" x14ac:dyDescent="0.25">
      <c r="B258" s="38"/>
      <c r="C258" s="2"/>
      <c r="D258" s="77"/>
      <c r="E258" s="78"/>
      <c r="F258" s="55"/>
      <c r="G258" s="55"/>
      <c r="H258" s="56" t="str">
        <f t="shared" si="24"/>
        <v/>
      </c>
      <c r="I258" s="2"/>
      <c r="L258" s="2"/>
      <c r="M258" s="2"/>
      <c r="N258" s="39"/>
      <c r="O258" s="2"/>
      <c r="P258" s="2"/>
    </row>
    <row r="259" spans="1:16" x14ac:dyDescent="0.25">
      <c r="B259" s="38"/>
      <c r="C259" s="2"/>
      <c r="D259" s="77"/>
      <c r="E259" s="78"/>
      <c r="F259" s="55"/>
      <c r="G259" s="55"/>
      <c r="H259" s="56" t="str">
        <f t="shared" si="24"/>
        <v/>
      </c>
      <c r="I259" s="2"/>
      <c r="L259" s="2"/>
      <c r="M259" s="2"/>
      <c r="N259" s="39"/>
      <c r="O259" s="2"/>
      <c r="P259" s="2"/>
    </row>
    <row r="260" spans="1:16" x14ac:dyDescent="0.25">
      <c r="B260" s="38"/>
      <c r="C260" s="2"/>
      <c r="D260" s="77"/>
      <c r="E260" s="78"/>
      <c r="F260" s="55"/>
      <c r="G260" s="55"/>
      <c r="H260" s="56" t="str">
        <f t="shared" si="24"/>
        <v/>
      </c>
      <c r="I260" s="2"/>
      <c r="L260" s="2"/>
      <c r="M260" s="2"/>
      <c r="N260" s="39"/>
      <c r="O260" s="2"/>
      <c r="P260" s="2"/>
    </row>
    <row r="261" spans="1:16" x14ac:dyDescent="0.25">
      <c r="B261" s="38"/>
      <c r="C261" s="2"/>
      <c r="D261" s="77"/>
      <c r="E261" s="78"/>
      <c r="F261" s="55"/>
      <c r="G261" s="55"/>
      <c r="H261" s="56" t="str">
        <f t="shared" si="24"/>
        <v/>
      </c>
      <c r="I261" s="2"/>
    </row>
    <row r="262" spans="1:16" x14ac:dyDescent="0.25">
      <c r="B262" s="38" t="str">
        <f>IF($A262=0,"",VLOOKUP($A262,'BASE MATERIAL'!$A:$D,2))</f>
        <v/>
      </c>
      <c r="C262" s="2"/>
      <c r="D262" s="77"/>
      <c r="E262" s="78" t="str">
        <f>IF($A262=0,"",VLOOKUP($A262,'BASE MATERIAL'!$A:$D,3))</f>
        <v/>
      </c>
      <c r="F262" s="55"/>
      <c r="G262" s="55" t="str">
        <f>IF($A262=0,"",VLOOKUP($A262,'BASE MATERIAL'!$A:$D,4))</f>
        <v/>
      </c>
      <c r="H262" s="56" t="str">
        <f t="shared" si="24"/>
        <v/>
      </c>
      <c r="I262" s="2"/>
      <c r="L262" s="2"/>
      <c r="M262" s="2"/>
      <c r="N262" s="39"/>
      <c r="O262" s="2"/>
      <c r="P262" s="2"/>
    </row>
    <row r="263" spans="1:16" x14ac:dyDescent="0.25">
      <c r="B263" s="38" t="str">
        <f>IF($A263=0,"",VLOOKUP($A263,'BASE MATERIAL'!$A:$D,2))</f>
        <v/>
      </c>
      <c r="C263" s="2"/>
      <c r="D263" s="77"/>
      <c r="E263" s="78" t="str">
        <f>IF($A263=0,"",VLOOKUP($A263,'BASE MATERIAL'!$A:$D,3))</f>
        <v/>
      </c>
      <c r="F263" s="55"/>
      <c r="G263" s="55" t="str">
        <f>IF($A263=0,"",VLOOKUP($A263,'BASE MATERIAL'!$A:$D,4))</f>
        <v/>
      </c>
      <c r="H263" s="56" t="str">
        <f t="shared" si="24"/>
        <v/>
      </c>
      <c r="I263" s="2"/>
      <c r="L263" s="2"/>
      <c r="M263" s="2"/>
      <c r="N263" s="39"/>
      <c r="O263" s="2"/>
      <c r="P263" s="2"/>
    </row>
    <row r="264" spans="1:16" x14ac:dyDescent="0.25">
      <c r="B264" s="38" t="str">
        <f>IF($A264=0,"",VLOOKUP($A264,'BASE MATERIAL'!$A:$D,2))</f>
        <v/>
      </c>
      <c r="C264" s="2"/>
      <c r="D264" s="77"/>
      <c r="E264" s="78" t="str">
        <f>IF($A264=0,"",VLOOKUP($A264,'BASE MATERIAL'!$A:$D,3))</f>
        <v/>
      </c>
      <c r="F264" s="55"/>
      <c r="G264" s="55" t="str">
        <f>IF($A264=0,"",VLOOKUP($A264,'BASE MATERIAL'!$A:$D,4))</f>
        <v/>
      </c>
      <c r="H264" s="56" t="str">
        <f t="shared" si="24"/>
        <v/>
      </c>
      <c r="I264" s="2"/>
    </row>
    <row r="265" spans="1:16" x14ac:dyDescent="0.25">
      <c r="B265" s="38" t="str">
        <f>IF($A265=0,"",VLOOKUP($A265,'BASE MATERIAL'!$A:$D,2))</f>
        <v/>
      </c>
      <c r="C265" s="2"/>
      <c r="D265" s="77"/>
      <c r="E265" s="78" t="str">
        <f>IF($A265=0,"",VLOOKUP($A265,'BASE MATERIAL'!$A:$D,3))</f>
        <v/>
      </c>
      <c r="F265" s="55"/>
      <c r="G265" s="55" t="str">
        <f>IF($A265=0,"",VLOOKUP($A265,'BASE MATERIAL'!$A:$D,4))</f>
        <v/>
      </c>
      <c r="H265" s="56" t="str">
        <f t="shared" si="24"/>
        <v/>
      </c>
      <c r="I265" s="2"/>
    </row>
    <row r="266" spans="1:16" x14ac:dyDescent="0.25">
      <c r="B266" s="38" t="str">
        <f>IF($A266=0,"",VLOOKUP($A266,'BASE MATERIAL'!$A:$D,2))</f>
        <v/>
      </c>
      <c r="C266" s="2"/>
      <c r="D266" s="77"/>
      <c r="E266" s="78" t="str">
        <f>IF($A266=0,"",VLOOKUP($A266,'BASE MATERIAL'!$A:$D,3))</f>
        <v/>
      </c>
      <c r="F266" s="55"/>
      <c r="G266" s="55" t="str">
        <f>IF($A266=0,"",VLOOKUP($A266,'BASE MATERIAL'!$A:$D,4))</f>
        <v/>
      </c>
      <c r="H266" s="56" t="str">
        <f t="shared" si="24"/>
        <v/>
      </c>
      <c r="I266" s="2"/>
    </row>
    <row r="267" spans="1:16" x14ac:dyDescent="0.25">
      <c r="B267" s="38" t="str">
        <f>IF($A267=0,"",VLOOKUP($A267,'BASE MATERIAL'!$A:$D,2))</f>
        <v/>
      </c>
      <c r="C267" s="2"/>
      <c r="D267" s="77"/>
      <c r="E267" s="78" t="str">
        <f>IF($A267=0,"",VLOOKUP($A267,'BASE MATERIAL'!$A:$D,3))</f>
        <v/>
      </c>
      <c r="F267" s="55"/>
      <c r="G267" s="55" t="str">
        <f>IF($A267=0,"",VLOOKUP($A267,'BASE MATERIAL'!$A:$D,4))</f>
        <v/>
      </c>
      <c r="H267" s="56" t="str">
        <f t="shared" si="24"/>
        <v/>
      </c>
      <c r="I267" s="2"/>
    </row>
    <row r="268" spans="1:16" x14ac:dyDescent="0.25">
      <c r="B268" s="38" t="str">
        <f>IF($A268=0,"",VLOOKUP($A268,'BASE MATERIAL'!$A:$D,2))</f>
        <v/>
      </c>
      <c r="C268" s="2"/>
      <c r="D268" s="81" t="s">
        <v>1682</v>
      </c>
      <c r="E268" s="55" t="str">
        <f>IF($A268=0,"",VLOOKUP($A268,'BASE MATERIAL'!$A:$D,3))</f>
        <v/>
      </c>
      <c r="F268" s="55" t="s">
        <v>1682</v>
      </c>
      <c r="G268" s="55" t="str">
        <f>IF($A268=0,"",VLOOKUP($A268,'BASE MATERIAL'!$A:$D,4))</f>
        <v/>
      </c>
      <c r="H268" s="56" t="str">
        <f>IF($A268=0,"",ROUND(E268*F268,2))</f>
        <v/>
      </c>
      <c r="I268" s="2"/>
    </row>
    <row r="269" spans="1:16" x14ac:dyDescent="0.25">
      <c r="B269" s="73" t="s">
        <v>1681</v>
      </c>
      <c r="C269" s="65"/>
      <c r="D269" s="74"/>
      <c r="E269" s="74"/>
      <c r="F269" s="74"/>
      <c r="G269" s="74"/>
      <c r="H269" s="75">
        <f>ROUND(SUM(H252:H268),2)</f>
        <v>4.46</v>
      </c>
      <c r="I269" s="2"/>
    </row>
    <row r="270" spans="1:16" x14ac:dyDescent="0.25">
      <c r="B270" s="38" t="s">
        <v>1680</v>
      </c>
      <c r="C270" s="2"/>
      <c r="D270" s="3"/>
      <c r="E270" s="3"/>
      <c r="F270" s="3"/>
      <c r="G270" s="3"/>
      <c r="H270" s="56"/>
      <c r="I270" s="2"/>
    </row>
    <row r="271" spans="1:16" ht="25.5" x14ac:dyDescent="0.25">
      <c r="B271" s="64" t="s">
        <v>1409</v>
      </c>
      <c r="C271" s="65"/>
      <c r="D271" s="76"/>
      <c r="E271" s="66" t="s">
        <v>1408</v>
      </c>
      <c r="F271" s="66" t="s">
        <v>1679</v>
      </c>
      <c r="G271" s="66" t="s">
        <v>1676</v>
      </c>
      <c r="H271" s="68" t="s">
        <v>1675</v>
      </c>
      <c r="I271" s="2"/>
    </row>
    <row r="272" spans="1:16" x14ac:dyDescent="0.25">
      <c r="A272" s="103">
        <v>19019</v>
      </c>
      <c r="B272" s="51" t="str">
        <f>IF($A272=0,"",VLOOKUP($A272,'BASE EQUIPO'!$A:$D,2))</f>
        <v>TRANSPORTE DE MATERIAL</v>
      </c>
      <c r="C272" s="52"/>
      <c r="D272" s="82"/>
      <c r="E272" s="78" t="str">
        <f>IF($A272=0,"",VLOOKUP($A272,'BASE EQUIPO'!$A:$D,3))</f>
        <v>GLOBAL</v>
      </c>
      <c r="F272" s="55">
        <v>1</v>
      </c>
      <c r="G272" s="83">
        <f>IF($A272=0,"",VLOOKUP($A272,'BASE EQUIPO'!$A:$D,4)*H269)</f>
        <v>0.1338</v>
      </c>
      <c r="H272" s="56">
        <f>IF($A272=0,"",ROUND(F272*G272,2))</f>
        <v>0.13</v>
      </c>
      <c r="I272" s="2"/>
    </row>
    <row r="273" spans="1:15" x14ac:dyDescent="0.25">
      <c r="B273" s="38" t="str">
        <f>IF($A273=0,"",VLOOKUP($A273,'BASE EQUIPO'!$A:$D,2))</f>
        <v/>
      </c>
      <c r="C273" s="2"/>
      <c r="D273" s="84"/>
      <c r="E273" s="78" t="str">
        <f>IF($A273=0,"",VLOOKUP($A273,'BASE EQUIPO'!$A:$D,3))</f>
        <v/>
      </c>
      <c r="F273" s="55"/>
      <c r="G273" s="55" t="str">
        <f>IF($A273=0,"",VLOOKUP($A273,'BASE EQUIPO'!$A:$D,4)*H270)</f>
        <v/>
      </c>
      <c r="H273" s="56" t="str">
        <f>IF($A273=0,"",ROUND(F273*G273,2))</f>
        <v/>
      </c>
      <c r="I273" s="2"/>
    </row>
    <row r="274" spans="1:15" x14ac:dyDescent="0.25">
      <c r="B274" s="57" t="str">
        <f>IF($A274=0,"",VLOOKUP($A274,'BASE EQUIPO'!$A:$D,2))</f>
        <v/>
      </c>
      <c r="C274" s="58"/>
      <c r="D274" s="85"/>
      <c r="E274" s="86" t="str">
        <f>IF($A274=0,"",VLOOKUP($A274,'BASE EQUIPO'!$A:$D,3))</f>
        <v/>
      </c>
      <c r="F274" s="59"/>
      <c r="G274" s="59" t="str">
        <f>IF($A274=0,"",VLOOKUP($A274,'BASE EQUIPO'!$A:$D,4)*H271)</f>
        <v/>
      </c>
      <c r="H274" s="60" t="str">
        <f>IF($A274=0,"",ROUND(F274*G274,2))</f>
        <v/>
      </c>
      <c r="I274" s="2"/>
    </row>
    <row r="275" spans="1:15" ht="15.75" thickBot="1" x14ac:dyDescent="0.3">
      <c r="B275" s="87" t="s">
        <v>1674</v>
      </c>
      <c r="C275" s="88"/>
      <c r="D275" s="89"/>
      <c r="E275" s="89"/>
      <c r="F275" s="89"/>
      <c r="G275" s="89"/>
      <c r="H275" s="90">
        <f>ROUND(SUM(H271:H274),2)</f>
        <v>0.13</v>
      </c>
      <c r="I275" s="2"/>
    </row>
    <row r="276" spans="1:15" ht="15.75" x14ac:dyDescent="0.25">
      <c r="B276" s="2"/>
      <c r="C276" s="2"/>
      <c r="D276" s="91" t="s">
        <v>1673</v>
      </c>
      <c r="E276" s="47"/>
      <c r="F276" s="47"/>
      <c r="G276" s="47"/>
      <c r="H276" s="92">
        <f>ROUND(SUM(H275,H269,H250,H240),2)</f>
        <v>10.37</v>
      </c>
      <c r="I276" s="2"/>
    </row>
    <row r="277" spans="1:15" ht="15.75" x14ac:dyDescent="0.25">
      <c r="A277" s="103">
        <v>40002</v>
      </c>
      <c r="B277" s="2"/>
      <c r="C277" s="2"/>
      <c r="D277" s="93" t="s">
        <v>1672</v>
      </c>
      <c r="E277" s="65"/>
      <c r="F277" s="65"/>
      <c r="G277" s="94">
        <f>IF($A277=0,"",VLOOKUP($A277,'BASE MATERIAL'!$M:$P,4))</f>
        <v>0</v>
      </c>
      <c r="H277" s="95">
        <f>IF($A277=0,"",ROUND(G277*H276,2))</f>
        <v>0</v>
      </c>
      <c r="I277" s="2"/>
    </row>
    <row r="278" spans="1:15" ht="15.75" x14ac:dyDescent="0.25">
      <c r="A278" s="103">
        <v>40003</v>
      </c>
      <c r="B278" s="2"/>
      <c r="C278" s="2"/>
      <c r="D278" s="93" t="s">
        <v>1671</v>
      </c>
      <c r="E278" s="65"/>
      <c r="F278" s="65"/>
      <c r="G278" s="94">
        <f>IF($A278=0,"",VLOOKUP($A278,'BASE MATERIAL'!$M:$P,4))</f>
        <v>0</v>
      </c>
      <c r="H278" s="95">
        <f>IF($A278=0,"",ROUND(G278*H276,2))</f>
        <v>0</v>
      </c>
      <c r="I278" s="2"/>
    </row>
    <row r="279" spans="1:15" ht="15.75" x14ac:dyDescent="0.25">
      <c r="B279" s="2"/>
      <c r="C279" s="2"/>
      <c r="D279" s="93" t="s">
        <v>1670</v>
      </c>
      <c r="E279" s="65"/>
      <c r="F279" s="65"/>
      <c r="G279" s="65"/>
      <c r="H279" s="96">
        <f>ROUND(SUM(H276:H278),2)</f>
        <v>10.37</v>
      </c>
      <c r="I279" s="2"/>
    </row>
    <row r="280" spans="1:15" ht="16.5" thickBot="1" x14ac:dyDescent="0.3">
      <c r="B280" s="25"/>
      <c r="C280" s="2"/>
      <c r="D280" s="97" t="s">
        <v>1650</v>
      </c>
      <c r="E280" s="88"/>
      <c r="F280" s="88"/>
      <c r="G280" s="88"/>
      <c r="H280" s="98">
        <f>ROUND(H279,2)</f>
        <v>10.37</v>
      </c>
      <c r="I280" s="2"/>
    </row>
    <row r="281" spans="1:15" ht="15.75" x14ac:dyDescent="0.25">
      <c r="B281" s="34" t="s">
        <v>1701</v>
      </c>
      <c r="C281" s="2"/>
      <c r="D281" s="3" t="str">
        <f>$D$57</f>
        <v>ESPOL</v>
      </c>
      <c r="E281" s="2"/>
      <c r="F281" s="2"/>
      <c r="H281" s="2" t="s">
        <v>108</v>
      </c>
      <c r="I281" s="2"/>
      <c r="L281" s="40">
        <f>A285</f>
        <v>17</v>
      </c>
      <c r="M281" s="1" t="str">
        <f>C286</f>
        <v>Tuberia PVC des ø50mm</v>
      </c>
      <c r="N281" s="2" t="str">
        <f>H285</f>
        <v>ml</v>
      </c>
      <c r="O281" s="2">
        <f>H336</f>
        <v>7.09</v>
      </c>
    </row>
    <row r="282" spans="1:15" ht="15.75" x14ac:dyDescent="0.25">
      <c r="B282" s="34" t="s">
        <v>1700</v>
      </c>
      <c r="C282" s="3">
        <f>'1.1'!$C$2</f>
        <v>0</v>
      </c>
      <c r="D282" s="2"/>
      <c r="E282" s="2"/>
      <c r="F282" s="2"/>
      <c r="G282" s="41" t="s">
        <v>1699</v>
      </c>
      <c r="H282" s="42"/>
      <c r="I282" s="2" t="s">
        <v>1698</v>
      </c>
    </row>
    <row r="283" spans="1:15" ht="15.75" x14ac:dyDescent="0.25">
      <c r="B283" s="34"/>
      <c r="C283" s="3">
        <f>'1.1'!$C$3</f>
        <v>0</v>
      </c>
      <c r="D283" s="2"/>
      <c r="E283" s="2"/>
      <c r="F283" s="2"/>
      <c r="G283" s="2"/>
      <c r="H283" s="2"/>
      <c r="I283" s="2"/>
    </row>
    <row r="284" spans="1:15" ht="15.75" x14ac:dyDescent="0.25">
      <c r="B284" s="34" t="s">
        <v>1697</v>
      </c>
      <c r="C284" s="3"/>
      <c r="D284" s="2"/>
      <c r="E284" s="2"/>
      <c r="F284" s="2"/>
      <c r="G284" s="2"/>
      <c r="H284" s="2"/>
      <c r="I284" s="2"/>
    </row>
    <row r="285" spans="1:15" x14ac:dyDescent="0.25">
      <c r="A285" s="104">
        <v>17</v>
      </c>
      <c r="B285" s="2" t="s">
        <v>1586</v>
      </c>
      <c r="C285" s="101" t="s">
        <v>696</v>
      </c>
      <c r="D285" s="2"/>
      <c r="G285" s="2" t="s">
        <v>1696</v>
      </c>
      <c r="H285" s="3" t="s">
        <v>961</v>
      </c>
      <c r="I285" s="2"/>
    </row>
    <row r="286" spans="1:15" x14ac:dyDescent="0.25">
      <c r="B286" s="1" t="s">
        <v>1585</v>
      </c>
      <c r="C286" s="36" t="s">
        <v>65</v>
      </c>
      <c r="D286" s="2"/>
      <c r="E286" s="2"/>
      <c r="F286" s="2"/>
      <c r="G286" s="2"/>
      <c r="H286" s="2"/>
      <c r="I286" s="2"/>
    </row>
    <row r="287" spans="1:15" ht="15.75" thickBot="1" x14ac:dyDescent="0.3">
      <c r="D287" s="2"/>
      <c r="E287" s="2"/>
      <c r="F287" s="2"/>
      <c r="G287" s="2"/>
      <c r="H287" s="2"/>
      <c r="I287" s="2"/>
    </row>
    <row r="288" spans="1:15" ht="15.75" thickBot="1" x14ac:dyDescent="0.3">
      <c r="B288" s="43" t="s">
        <v>1695</v>
      </c>
      <c r="C288" s="44"/>
      <c r="D288" s="44"/>
      <c r="E288" s="44"/>
      <c r="F288" s="44"/>
      <c r="G288" s="44"/>
      <c r="H288" s="45"/>
      <c r="I288" s="2"/>
    </row>
    <row r="289" spans="1:9" ht="25.5" x14ac:dyDescent="0.25">
      <c r="B289" s="46" t="s">
        <v>1409</v>
      </c>
      <c r="C289" s="47"/>
      <c r="D289" s="48" t="s">
        <v>1690</v>
      </c>
      <c r="E289" s="48" t="s">
        <v>1694</v>
      </c>
      <c r="F289" s="48" t="s">
        <v>1693</v>
      </c>
      <c r="G289" s="49" t="s">
        <v>1687</v>
      </c>
      <c r="H289" s="50" t="s">
        <v>1686</v>
      </c>
      <c r="I289" s="2"/>
    </row>
    <row r="290" spans="1:9" x14ac:dyDescent="0.25">
      <c r="A290" s="103">
        <v>19015</v>
      </c>
      <c r="B290" s="51" t="str">
        <f>IF($A290=0,"",VLOOKUP($A290,'BASE EQUIPO'!$A:$D,2))</f>
        <v>HERRAMIENTA MENOR</v>
      </c>
      <c r="C290" s="52"/>
      <c r="D290" s="53">
        <v>1</v>
      </c>
      <c r="E290" s="53">
        <f>IF($A290=0,"",VLOOKUP($A290,'BASE EQUIPO'!$A:$D,4)*H306)</f>
        <v>0.13470000000000001</v>
      </c>
      <c r="F290" s="53">
        <f t="shared" ref="F290:F295" si="25">IF($A290=0,"",ROUND(D290*E290,2))</f>
        <v>0.13</v>
      </c>
      <c r="G290" s="105">
        <v>1</v>
      </c>
      <c r="H290" s="54">
        <f t="shared" ref="H290:H295" si="26">IF($A290=0,"",ROUND(G290*F290,2))</f>
        <v>0.13</v>
      </c>
      <c r="I290" s="2"/>
    </row>
    <row r="291" spans="1:9" x14ac:dyDescent="0.25">
      <c r="B291" s="38" t="str">
        <f>IF($A291=0,"",VLOOKUP($A291,'BASE EQUIPO'!$A:$D,2))</f>
        <v/>
      </c>
      <c r="C291" s="2"/>
      <c r="D291" s="55"/>
      <c r="E291" s="55" t="str">
        <f>IF($A291=0,"",VLOOKUP($A291,'BASE EQUIPO'!$A:$D,4))</f>
        <v/>
      </c>
      <c r="F291" s="55" t="str">
        <f t="shared" si="25"/>
        <v/>
      </c>
      <c r="G291" s="106"/>
      <c r="H291" s="56" t="str">
        <f t="shared" si="26"/>
        <v/>
      </c>
      <c r="I291" s="2"/>
    </row>
    <row r="292" spans="1:9" x14ac:dyDescent="0.25">
      <c r="B292" s="38" t="str">
        <f>IF($A292=0,"",VLOOKUP($A292,'BASE EQUIPO'!$A:$D,2))</f>
        <v/>
      </c>
      <c r="C292" s="2"/>
      <c r="D292" s="55"/>
      <c r="E292" s="55" t="str">
        <f>IF($A292=0,"",VLOOKUP($A292,'BASE EQUIPO'!$A:$D,4))</f>
        <v/>
      </c>
      <c r="F292" s="55" t="str">
        <f t="shared" si="25"/>
        <v/>
      </c>
      <c r="G292" s="106"/>
      <c r="H292" s="56" t="str">
        <f t="shared" si="26"/>
        <v/>
      </c>
      <c r="I292" s="2"/>
    </row>
    <row r="293" spans="1:9" x14ac:dyDescent="0.25">
      <c r="B293" s="38" t="str">
        <f>IF($A293=0,"",VLOOKUP($A293,'BASE EQUIPO'!$A:$D,2))</f>
        <v/>
      </c>
      <c r="C293" s="2"/>
      <c r="D293" s="55"/>
      <c r="E293" s="55" t="str">
        <f>IF($A293=0,"",VLOOKUP($A293,'BASE EQUIPO'!$A:$D,4))</f>
        <v/>
      </c>
      <c r="F293" s="55" t="str">
        <f t="shared" si="25"/>
        <v/>
      </c>
      <c r="G293" s="106"/>
      <c r="H293" s="56" t="str">
        <f t="shared" si="26"/>
        <v/>
      </c>
      <c r="I293" s="2"/>
    </row>
    <row r="294" spans="1:9" x14ac:dyDescent="0.25">
      <c r="B294" s="38" t="str">
        <f>IF($A294=0,"",VLOOKUP($A294,'BASE EQUIPO'!$A:$D,2))</f>
        <v/>
      </c>
      <c r="C294" s="2"/>
      <c r="D294" s="55"/>
      <c r="E294" s="55" t="str">
        <f>IF($A294=0,"",VLOOKUP($A294,'BASE EQUIPO'!$A:$D,4))</f>
        <v/>
      </c>
      <c r="F294" s="55" t="str">
        <f t="shared" si="25"/>
        <v/>
      </c>
      <c r="G294" s="106"/>
      <c r="H294" s="56" t="str">
        <f t="shared" si="26"/>
        <v/>
      </c>
      <c r="I294" s="2"/>
    </row>
    <row r="295" spans="1:9" x14ac:dyDescent="0.25">
      <c r="B295" s="57" t="str">
        <f>IF($A295=0,"",VLOOKUP($A295,'BASE EQUIPO'!$A:$D,2))</f>
        <v/>
      </c>
      <c r="C295" s="58"/>
      <c r="D295" s="59"/>
      <c r="E295" s="59" t="str">
        <f>IF($A295=0,"",VLOOKUP($A295,'BASE EQUIPO'!$A:$D,4))</f>
        <v/>
      </c>
      <c r="F295" s="59" t="str">
        <f t="shared" si="25"/>
        <v/>
      </c>
      <c r="G295" s="107"/>
      <c r="H295" s="60" t="str">
        <f t="shared" si="26"/>
        <v/>
      </c>
      <c r="I295" s="2"/>
    </row>
    <row r="296" spans="1:9" x14ac:dyDescent="0.25">
      <c r="B296" s="57" t="s">
        <v>1692</v>
      </c>
      <c r="C296" s="58"/>
      <c r="D296" s="61"/>
      <c r="E296" s="61"/>
      <c r="F296" s="61"/>
      <c r="G296" s="62"/>
      <c r="H296" s="60">
        <f>ROUND(SUM(H289:H295),2)</f>
        <v>0.13</v>
      </c>
      <c r="I296" s="2"/>
    </row>
    <row r="297" spans="1:9" x14ac:dyDescent="0.25">
      <c r="B297" s="38" t="s">
        <v>1503</v>
      </c>
      <c r="C297" s="2"/>
      <c r="D297" s="3"/>
      <c r="E297" s="3"/>
      <c r="F297" s="3"/>
      <c r="G297" s="63"/>
      <c r="H297" s="56"/>
      <c r="I297" s="2"/>
    </row>
    <row r="298" spans="1:9" ht="25.5" x14ac:dyDescent="0.25">
      <c r="B298" s="64" t="s">
        <v>1691</v>
      </c>
      <c r="C298" s="65"/>
      <c r="D298" s="66" t="s">
        <v>1690</v>
      </c>
      <c r="E298" s="66" t="s">
        <v>1689</v>
      </c>
      <c r="F298" s="66" t="s">
        <v>1688</v>
      </c>
      <c r="G298" s="67" t="s">
        <v>1687</v>
      </c>
      <c r="H298" s="68" t="s">
        <v>1686</v>
      </c>
      <c r="I298" s="2"/>
    </row>
    <row r="299" spans="1:9" x14ac:dyDescent="0.25">
      <c r="B299" s="69" t="str">
        <f>IF($A299=0,"",VLOOKUP($A299,'BASE M-OBRA'!$A:$D,2))</f>
        <v/>
      </c>
      <c r="C299" s="2"/>
      <c r="D299" s="108"/>
      <c r="E299" s="70" t="str">
        <f>IF($A299=0,"",VLOOKUP($A299,'BASE M-OBRA'!$A:$D,4))</f>
        <v/>
      </c>
      <c r="F299" s="55" t="str">
        <f t="shared" ref="F299:F305" si="27">IF($A299=0,"",ROUND(D299*E299,2))</f>
        <v/>
      </c>
      <c r="G299" s="106" t="str">
        <f>IF($A299=0,"",ROUND(H299/F299,2))</f>
        <v/>
      </c>
      <c r="H299" s="56" t="str">
        <f>IF($A299=0,"",ROUND(SUM(H300:H305)*'BASE M-OBRA'!$D$23,2))</f>
        <v/>
      </c>
      <c r="I299" s="2"/>
    </row>
    <row r="300" spans="1:9" x14ac:dyDescent="0.25">
      <c r="A300" s="103">
        <v>20011</v>
      </c>
      <c r="B300" s="69" t="str">
        <f>IF($A300=0,"",VLOOKUP($A300,'BASE M-OBRA'!$A:$D,2))</f>
        <v>AYUDANTE ESPECIALISTA</v>
      </c>
      <c r="C300" s="2"/>
      <c r="D300" s="108">
        <v>1</v>
      </c>
      <c r="E300" s="70">
        <f>IF($A300=0,"",VLOOKUP($A300,'BASE M-OBRA'!$A:$D,4))</f>
        <v>2.79</v>
      </c>
      <c r="F300" s="55">
        <f t="shared" si="27"/>
        <v>2.79</v>
      </c>
      <c r="G300" s="106">
        <v>0.8</v>
      </c>
      <c r="H300" s="56">
        <f t="shared" ref="H300:H305" si="28">IF($A300=0,"",ROUND(G300*F300,2))</f>
        <v>2.23</v>
      </c>
      <c r="I300" s="2"/>
    </row>
    <row r="301" spans="1:9" x14ac:dyDescent="0.25">
      <c r="A301" s="103">
        <v>20016</v>
      </c>
      <c r="B301" s="69" t="str">
        <f>IF($A301=0,"",VLOOKUP($A301,'BASE M-OBRA'!$A:$D,2))</f>
        <v>GAFITERO</v>
      </c>
      <c r="C301" s="2"/>
      <c r="D301" s="108">
        <v>1</v>
      </c>
      <c r="E301" s="70">
        <f>IF($A301=0,"",VLOOKUP($A301,'BASE M-OBRA'!$A:$D,4))</f>
        <v>2.82</v>
      </c>
      <c r="F301" s="55">
        <f t="shared" si="27"/>
        <v>2.82</v>
      </c>
      <c r="G301" s="106">
        <f>+G300</f>
        <v>0.8</v>
      </c>
      <c r="H301" s="56">
        <f t="shared" si="28"/>
        <v>2.2599999999999998</v>
      </c>
      <c r="I301" s="2"/>
    </row>
    <row r="302" spans="1:9" x14ac:dyDescent="0.25">
      <c r="B302" s="71" t="str">
        <f>IF($A302=0,"",VLOOKUP($A302,'BASE M-OBRA'!$A:$D,2))</f>
        <v/>
      </c>
      <c r="C302" s="2"/>
      <c r="D302" s="108"/>
      <c r="E302" s="70" t="str">
        <f>IF($A302=0,"",VLOOKUP($A302,'BASE M-OBRA'!$A:$D,4))</f>
        <v/>
      </c>
      <c r="F302" s="55" t="str">
        <f t="shared" si="27"/>
        <v/>
      </c>
      <c r="G302" s="106"/>
      <c r="H302" s="56" t="str">
        <f t="shared" si="28"/>
        <v/>
      </c>
      <c r="I302" s="2"/>
    </row>
    <row r="303" spans="1:9" x14ac:dyDescent="0.25">
      <c r="B303" s="72" t="str">
        <f>IF($A303=0,"",VLOOKUP($A303,'BASE M-OBRA'!$A:$D,2))</f>
        <v/>
      </c>
      <c r="C303" s="2"/>
      <c r="D303" s="108"/>
      <c r="E303" s="70" t="str">
        <f>IF($A303=0,"",VLOOKUP($A303,'BASE M-OBRA'!$A:$D,4))</f>
        <v/>
      </c>
      <c r="F303" s="55" t="str">
        <f t="shared" si="27"/>
        <v/>
      </c>
      <c r="G303" s="106"/>
      <c r="H303" s="56" t="str">
        <f t="shared" si="28"/>
        <v/>
      </c>
      <c r="I303" s="2"/>
    </row>
    <row r="304" spans="1:9" x14ac:dyDescent="0.25">
      <c r="B304" s="38" t="str">
        <f>IF($A304=0,"",VLOOKUP($A304,'BASE M-OBRA'!$A:$D,2))</f>
        <v/>
      </c>
      <c r="C304" s="2"/>
      <c r="D304" s="55"/>
      <c r="E304" s="55" t="str">
        <f>IF($A304=0,"",VLOOKUP($A304,'BASE M-OBRA'!$A:$D,4))</f>
        <v/>
      </c>
      <c r="F304" s="55" t="str">
        <f t="shared" si="27"/>
        <v/>
      </c>
      <c r="G304" s="106"/>
      <c r="H304" s="56" t="str">
        <f t="shared" si="28"/>
        <v/>
      </c>
      <c r="I304" s="2"/>
    </row>
    <row r="305" spans="1:16" x14ac:dyDescent="0.25">
      <c r="B305" s="57" t="str">
        <f>IF($A305=0,"",VLOOKUP($A305,'BASE M-OBRA'!$A:$D,2))</f>
        <v/>
      </c>
      <c r="C305" s="58"/>
      <c r="D305" s="59"/>
      <c r="E305" s="59" t="str">
        <f>IF($A305=0,"",VLOOKUP($A305,'BASE M-OBRA'!$A:$D,4))</f>
        <v/>
      </c>
      <c r="F305" s="59" t="str">
        <f t="shared" si="27"/>
        <v/>
      </c>
      <c r="G305" s="107"/>
      <c r="H305" s="60" t="str">
        <f t="shared" si="28"/>
        <v/>
      </c>
      <c r="I305" s="2"/>
    </row>
    <row r="306" spans="1:16" x14ac:dyDescent="0.25">
      <c r="B306" s="73" t="s">
        <v>1685</v>
      </c>
      <c r="C306" s="65"/>
      <c r="D306" s="74"/>
      <c r="E306" s="74"/>
      <c r="F306" s="74"/>
      <c r="G306" s="74"/>
      <c r="H306" s="75">
        <f>ROUND(SUM(H298:H305),2)</f>
        <v>4.49</v>
      </c>
      <c r="I306" s="2"/>
    </row>
    <row r="307" spans="1:16" x14ac:dyDescent="0.25">
      <c r="B307" s="38" t="s">
        <v>1684</v>
      </c>
      <c r="C307" s="2"/>
      <c r="D307" s="3"/>
      <c r="E307" s="3"/>
      <c r="F307" s="3"/>
      <c r="G307" s="3"/>
      <c r="H307" s="56"/>
      <c r="I307" s="2"/>
    </row>
    <row r="308" spans="1:16" ht="25.5" x14ac:dyDescent="0.25">
      <c r="B308" s="64" t="s">
        <v>1409</v>
      </c>
      <c r="C308" s="65"/>
      <c r="D308" s="76"/>
      <c r="E308" s="66" t="s">
        <v>1408</v>
      </c>
      <c r="F308" s="66" t="s">
        <v>1679</v>
      </c>
      <c r="G308" s="66" t="s">
        <v>1683</v>
      </c>
      <c r="H308" s="68" t="s">
        <v>1675</v>
      </c>
      <c r="I308" s="2"/>
    </row>
    <row r="309" spans="1:16" x14ac:dyDescent="0.25">
      <c r="A309" s="103">
        <v>1</v>
      </c>
      <c r="B309" s="26" t="s">
        <v>26</v>
      </c>
      <c r="C309" s="2"/>
      <c r="D309" s="77"/>
      <c r="E309" s="78" t="s">
        <v>25</v>
      </c>
      <c r="F309" s="55">
        <v>1.05</v>
      </c>
      <c r="G309" s="55">
        <v>1.96</v>
      </c>
      <c r="H309" s="56">
        <f t="shared" ref="H309:H323" si="29">IF($A309=0,"",ROUND(F309*G309,2))</f>
        <v>2.06</v>
      </c>
      <c r="I309" s="2"/>
      <c r="J309" s="1">
        <f>11.76/3</f>
        <v>3.92</v>
      </c>
      <c r="L309" s="2"/>
      <c r="M309" s="2"/>
      <c r="N309" s="39"/>
      <c r="O309" s="2"/>
      <c r="P309" s="2"/>
    </row>
    <row r="310" spans="1:16" x14ac:dyDescent="0.25">
      <c r="B310" s="38"/>
      <c r="C310" s="2"/>
      <c r="D310" s="77"/>
      <c r="E310" s="78"/>
      <c r="F310" s="55"/>
      <c r="G310" s="55"/>
      <c r="H310" s="56" t="str">
        <f t="shared" si="29"/>
        <v/>
      </c>
      <c r="I310" s="2"/>
      <c r="L310" s="2"/>
      <c r="M310" s="2"/>
      <c r="N310" s="39"/>
      <c r="O310" s="2"/>
      <c r="P310" s="2"/>
    </row>
    <row r="311" spans="1:16" x14ac:dyDescent="0.25">
      <c r="B311" s="38"/>
      <c r="C311" s="2"/>
      <c r="D311" s="77"/>
      <c r="E311" s="78"/>
      <c r="F311" s="55"/>
      <c r="G311" s="55"/>
      <c r="H311" s="56" t="str">
        <f t="shared" si="29"/>
        <v/>
      </c>
      <c r="I311" s="2"/>
      <c r="L311" s="2"/>
      <c r="M311" s="2"/>
      <c r="N311" s="39"/>
      <c r="O311" s="2"/>
      <c r="P311" s="2"/>
    </row>
    <row r="312" spans="1:16" x14ac:dyDescent="0.25">
      <c r="A312" s="103">
        <v>1</v>
      </c>
      <c r="B312" s="38" t="s">
        <v>4</v>
      </c>
      <c r="C312" s="2"/>
      <c r="D312" s="77"/>
      <c r="E312" s="78" t="s">
        <v>2</v>
      </c>
      <c r="F312" s="55">
        <v>2.1000000000000001E-2</v>
      </c>
      <c r="G312" s="55">
        <v>12.63</v>
      </c>
      <c r="H312" s="56">
        <f t="shared" si="29"/>
        <v>0.27</v>
      </c>
      <c r="I312" s="2"/>
      <c r="L312" s="2"/>
      <c r="M312" s="2"/>
      <c r="N312" s="39"/>
      <c r="O312" s="2"/>
      <c r="P312" s="2"/>
    </row>
    <row r="313" spans="1:16" x14ac:dyDescent="0.25">
      <c r="A313" s="103">
        <v>1</v>
      </c>
      <c r="B313" s="38" t="s">
        <v>3</v>
      </c>
      <c r="C313" s="2"/>
      <c r="D313" s="77"/>
      <c r="E313" s="78" t="s">
        <v>2</v>
      </c>
      <c r="F313" s="55">
        <v>0.01</v>
      </c>
      <c r="G313" s="55">
        <v>6.89</v>
      </c>
      <c r="H313" s="56">
        <f t="shared" si="29"/>
        <v>7.0000000000000007E-2</v>
      </c>
      <c r="I313" s="2"/>
      <c r="L313" s="2"/>
      <c r="M313" s="2"/>
      <c r="N313" s="39"/>
      <c r="O313" s="2"/>
      <c r="P313" s="2"/>
    </row>
    <row r="314" spans="1:16" x14ac:dyDescent="0.25">
      <c r="B314" s="38"/>
      <c r="C314" s="2"/>
      <c r="D314" s="77"/>
      <c r="E314" s="78"/>
      <c r="F314" s="55"/>
      <c r="G314" s="55"/>
      <c r="H314" s="56" t="str">
        <f t="shared" si="29"/>
        <v/>
      </c>
      <c r="I314" s="2"/>
      <c r="L314" s="2"/>
      <c r="M314" s="2"/>
      <c r="N314" s="39"/>
      <c r="O314" s="2"/>
      <c r="P314" s="2"/>
    </row>
    <row r="315" spans="1:16" x14ac:dyDescent="0.25">
      <c r="B315" s="38"/>
      <c r="C315" s="2"/>
      <c r="D315" s="77"/>
      <c r="E315" s="78"/>
      <c r="F315" s="55"/>
      <c r="G315" s="55"/>
      <c r="H315" s="56" t="str">
        <f t="shared" si="29"/>
        <v/>
      </c>
      <c r="I315" s="2"/>
      <c r="L315" s="2"/>
      <c r="M315" s="2"/>
      <c r="N315" s="39"/>
      <c r="O315" s="2"/>
      <c r="P315" s="2"/>
    </row>
    <row r="316" spans="1:16" x14ac:dyDescent="0.25">
      <c r="B316" s="38"/>
      <c r="C316" s="2"/>
      <c r="D316" s="77"/>
      <c r="E316" s="78"/>
      <c r="F316" s="55"/>
      <c r="G316" s="55"/>
      <c r="H316" s="56" t="str">
        <f t="shared" si="29"/>
        <v/>
      </c>
      <c r="I316" s="2"/>
      <c r="L316" s="2"/>
      <c r="M316" s="2"/>
      <c r="N316" s="39"/>
      <c r="O316" s="2"/>
      <c r="P316" s="2"/>
    </row>
    <row r="317" spans="1:16" x14ac:dyDescent="0.25">
      <c r="B317" s="38"/>
      <c r="C317" s="2"/>
      <c r="D317" s="77"/>
      <c r="E317" s="78"/>
      <c r="F317" s="55"/>
      <c r="G317" s="55"/>
      <c r="H317" s="56" t="str">
        <f t="shared" si="29"/>
        <v/>
      </c>
      <c r="I317" s="2"/>
    </row>
    <row r="318" spans="1:16" x14ac:dyDescent="0.25">
      <c r="B318" s="38" t="str">
        <f>IF($A318=0,"",VLOOKUP($A318,'BASE MATERIAL'!$A:$D,2))</f>
        <v/>
      </c>
      <c r="C318" s="2"/>
      <c r="D318" s="77"/>
      <c r="E318" s="78" t="str">
        <f>IF($A318=0,"",VLOOKUP($A318,'BASE MATERIAL'!$A:$D,3))</f>
        <v/>
      </c>
      <c r="F318" s="55"/>
      <c r="G318" s="55" t="str">
        <f>IF($A318=0,"",VLOOKUP($A318,'BASE MATERIAL'!$A:$D,4))</f>
        <v/>
      </c>
      <c r="H318" s="56" t="str">
        <f t="shared" si="29"/>
        <v/>
      </c>
      <c r="I318" s="2"/>
      <c r="L318" s="2"/>
      <c r="M318" s="2"/>
      <c r="N318" s="39"/>
      <c r="O318" s="2"/>
      <c r="P318" s="2"/>
    </row>
    <row r="319" spans="1:16" x14ac:dyDescent="0.25">
      <c r="B319" s="38" t="str">
        <f>IF($A319=0,"",VLOOKUP($A319,'BASE MATERIAL'!$A:$D,2))</f>
        <v/>
      </c>
      <c r="C319" s="2"/>
      <c r="D319" s="77"/>
      <c r="E319" s="78" t="str">
        <f>IF($A319=0,"",VLOOKUP($A319,'BASE MATERIAL'!$A:$D,3))</f>
        <v/>
      </c>
      <c r="F319" s="55"/>
      <c r="G319" s="55" t="str">
        <f>IF($A319=0,"",VLOOKUP($A319,'BASE MATERIAL'!$A:$D,4))</f>
        <v/>
      </c>
      <c r="H319" s="56" t="str">
        <f t="shared" si="29"/>
        <v/>
      </c>
      <c r="I319" s="2"/>
      <c r="L319" s="2"/>
      <c r="M319" s="2"/>
      <c r="N319" s="39"/>
      <c r="O319" s="2"/>
      <c r="P319" s="2"/>
    </row>
    <row r="320" spans="1:16" x14ac:dyDescent="0.25">
      <c r="B320" s="38" t="str">
        <f>IF($A320=0,"",VLOOKUP($A320,'BASE MATERIAL'!$A:$D,2))</f>
        <v/>
      </c>
      <c r="C320" s="2"/>
      <c r="D320" s="77"/>
      <c r="E320" s="78" t="str">
        <f>IF($A320=0,"",VLOOKUP($A320,'BASE MATERIAL'!$A:$D,3))</f>
        <v/>
      </c>
      <c r="F320" s="55"/>
      <c r="G320" s="55" t="str">
        <f>IF($A320=0,"",VLOOKUP($A320,'BASE MATERIAL'!$A:$D,4))</f>
        <v/>
      </c>
      <c r="H320" s="56" t="str">
        <f t="shared" si="29"/>
        <v/>
      </c>
      <c r="I320" s="2"/>
    </row>
    <row r="321" spans="1:9" x14ac:dyDescent="0.25">
      <c r="B321" s="38" t="str">
        <f>IF($A321=0,"",VLOOKUP($A321,'BASE MATERIAL'!$A:$D,2))</f>
        <v/>
      </c>
      <c r="C321" s="2"/>
      <c r="D321" s="77"/>
      <c r="E321" s="78" t="str">
        <f>IF($A321=0,"",VLOOKUP($A321,'BASE MATERIAL'!$A:$D,3))</f>
        <v/>
      </c>
      <c r="F321" s="55"/>
      <c r="G321" s="55" t="str">
        <f>IF($A321=0,"",VLOOKUP($A321,'BASE MATERIAL'!$A:$D,4))</f>
        <v/>
      </c>
      <c r="H321" s="56" t="str">
        <f t="shared" si="29"/>
        <v/>
      </c>
      <c r="I321" s="2"/>
    </row>
    <row r="322" spans="1:9" x14ac:dyDescent="0.25">
      <c r="B322" s="38" t="str">
        <f>IF($A322=0,"",VLOOKUP($A322,'BASE MATERIAL'!$A:$D,2))</f>
        <v/>
      </c>
      <c r="C322" s="2"/>
      <c r="D322" s="77"/>
      <c r="E322" s="78" t="str">
        <f>IF($A322=0,"",VLOOKUP($A322,'BASE MATERIAL'!$A:$D,3))</f>
        <v/>
      </c>
      <c r="F322" s="55"/>
      <c r="G322" s="55" t="str">
        <f>IF($A322=0,"",VLOOKUP($A322,'BASE MATERIAL'!$A:$D,4))</f>
        <v/>
      </c>
      <c r="H322" s="56" t="str">
        <f t="shared" si="29"/>
        <v/>
      </c>
      <c r="I322" s="2"/>
    </row>
    <row r="323" spans="1:9" x14ac:dyDescent="0.25">
      <c r="B323" s="38" t="str">
        <f>IF($A323=0,"",VLOOKUP($A323,'BASE MATERIAL'!$A:$D,2))</f>
        <v/>
      </c>
      <c r="C323" s="2"/>
      <c r="D323" s="77"/>
      <c r="E323" s="78" t="str">
        <f>IF($A323=0,"",VLOOKUP($A323,'BASE MATERIAL'!$A:$D,3))</f>
        <v/>
      </c>
      <c r="F323" s="55"/>
      <c r="G323" s="55" t="str">
        <f>IF($A323=0,"",VLOOKUP($A323,'BASE MATERIAL'!$A:$D,4))</f>
        <v/>
      </c>
      <c r="H323" s="56" t="str">
        <f t="shared" si="29"/>
        <v/>
      </c>
      <c r="I323" s="2"/>
    </row>
    <row r="324" spans="1:9" x14ac:dyDescent="0.25">
      <c r="B324" s="38" t="str">
        <f>IF($A324=0,"",VLOOKUP($A324,'BASE MATERIAL'!$A:$D,2))</f>
        <v/>
      </c>
      <c r="C324" s="2"/>
      <c r="D324" s="81" t="s">
        <v>1682</v>
      </c>
      <c r="E324" s="55" t="str">
        <f>IF($A324=0,"",VLOOKUP($A324,'BASE MATERIAL'!$A:$D,3))</f>
        <v/>
      </c>
      <c r="F324" s="55" t="s">
        <v>1682</v>
      </c>
      <c r="G324" s="55" t="str">
        <f>IF($A324=0,"",VLOOKUP($A324,'BASE MATERIAL'!$A:$D,4))</f>
        <v/>
      </c>
      <c r="H324" s="56" t="str">
        <f>IF($A324=0,"",ROUND(E324*F324,2))</f>
        <v/>
      </c>
      <c r="I324" s="2"/>
    </row>
    <row r="325" spans="1:9" x14ac:dyDescent="0.25">
      <c r="B325" s="73" t="s">
        <v>1681</v>
      </c>
      <c r="C325" s="65"/>
      <c r="D325" s="74"/>
      <c r="E325" s="74"/>
      <c r="F325" s="74"/>
      <c r="G325" s="74"/>
      <c r="H325" s="75">
        <f>ROUND(SUM(H308:H324),2)</f>
        <v>2.4</v>
      </c>
      <c r="I325" s="2"/>
    </row>
    <row r="326" spans="1:9" x14ac:dyDescent="0.25">
      <c r="B326" s="38" t="s">
        <v>1680</v>
      </c>
      <c r="C326" s="2"/>
      <c r="D326" s="3"/>
      <c r="E326" s="3"/>
      <c r="F326" s="3"/>
      <c r="G326" s="3"/>
      <c r="H326" s="56"/>
      <c r="I326" s="2"/>
    </row>
    <row r="327" spans="1:9" ht="25.5" x14ac:dyDescent="0.25">
      <c r="B327" s="64" t="s">
        <v>1409</v>
      </c>
      <c r="C327" s="65"/>
      <c r="D327" s="76"/>
      <c r="E327" s="66" t="s">
        <v>1408</v>
      </c>
      <c r="F327" s="66" t="s">
        <v>1679</v>
      </c>
      <c r="G327" s="66" t="s">
        <v>1676</v>
      </c>
      <c r="H327" s="68" t="s">
        <v>1675</v>
      </c>
      <c r="I327" s="2"/>
    </row>
    <row r="328" spans="1:9" x14ac:dyDescent="0.25">
      <c r="A328" s="103">
        <v>19019</v>
      </c>
      <c r="B328" s="51" t="str">
        <f>IF($A328=0,"",VLOOKUP($A328,'BASE EQUIPO'!$A:$D,2))</f>
        <v>TRANSPORTE DE MATERIAL</v>
      </c>
      <c r="C328" s="52"/>
      <c r="D328" s="82"/>
      <c r="E328" s="78" t="str">
        <f>IF($A328=0,"",VLOOKUP($A328,'BASE EQUIPO'!$A:$D,3))</f>
        <v>GLOBAL</v>
      </c>
      <c r="F328" s="55">
        <v>1</v>
      </c>
      <c r="G328" s="83">
        <f>IF($A328=0,"",VLOOKUP($A328,'BASE EQUIPO'!$A:$D,4)*H325)</f>
        <v>7.1999999999999995E-2</v>
      </c>
      <c r="H328" s="56">
        <f>IF($A328=0,"",ROUND(F328*G328,2))</f>
        <v>7.0000000000000007E-2</v>
      </c>
      <c r="I328" s="2"/>
    </row>
    <row r="329" spans="1:9" x14ac:dyDescent="0.25">
      <c r="B329" s="38" t="str">
        <f>IF($A329=0,"",VLOOKUP($A329,'BASE EQUIPO'!$A:$D,2))</f>
        <v/>
      </c>
      <c r="C329" s="2"/>
      <c r="D329" s="84"/>
      <c r="E329" s="78" t="str">
        <f>IF($A329=0,"",VLOOKUP($A329,'BASE EQUIPO'!$A:$D,3))</f>
        <v/>
      </c>
      <c r="F329" s="55"/>
      <c r="G329" s="55" t="str">
        <f>IF($A329=0,"",VLOOKUP($A329,'BASE EQUIPO'!$A:$D,4)*H326)</f>
        <v/>
      </c>
      <c r="H329" s="56" t="str">
        <f>IF($A329=0,"",ROUND(F329*G329,2))</f>
        <v/>
      </c>
      <c r="I329" s="2"/>
    </row>
    <row r="330" spans="1:9" x14ac:dyDescent="0.25">
      <c r="B330" s="57" t="str">
        <f>IF($A330=0,"",VLOOKUP($A330,'BASE EQUIPO'!$A:$D,2))</f>
        <v/>
      </c>
      <c r="C330" s="58"/>
      <c r="D330" s="85"/>
      <c r="E330" s="86" t="str">
        <f>IF($A330=0,"",VLOOKUP($A330,'BASE EQUIPO'!$A:$D,3))</f>
        <v/>
      </c>
      <c r="F330" s="59"/>
      <c r="G330" s="59" t="str">
        <f>IF($A330=0,"",VLOOKUP($A330,'BASE EQUIPO'!$A:$D,4)*H327)</f>
        <v/>
      </c>
      <c r="H330" s="60" t="str">
        <f>IF($A330=0,"",ROUND(F330*G330,2))</f>
        <v/>
      </c>
      <c r="I330" s="2"/>
    </row>
    <row r="331" spans="1:9" ht="15.75" thickBot="1" x14ac:dyDescent="0.3">
      <c r="B331" s="87" t="s">
        <v>1674</v>
      </c>
      <c r="C331" s="88"/>
      <c r="D331" s="89"/>
      <c r="E331" s="89"/>
      <c r="F331" s="89"/>
      <c r="G331" s="89"/>
      <c r="H331" s="90">
        <f>ROUND(SUM(H327:H330),2)</f>
        <v>7.0000000000000007E-2</v>
      </c>
      <c r="I331" s="2"/>
    </row>
    <row r="332" spans="1:9" ht="15.75" x14ac:dyDescent="0.25">
      <c r="B332" s="2"/>
      <c r="C332" s="2"/>
      <c r="D332" s="91" t="s">
        <v>1673</v>
      </c>
      <c r="E332" s="47"/>
      <c r="F332" s="47"/>
      <c r="G332" s="47"/>
      <c r="H332" s="92">
        <f>ROUND(SUM(H331,H325,H306,H296),2)</f>
        <v>7.09</v>
      </c>
      <c r="I332" s="2"/>
    </row>
    <row r="333" spans="1:9" ht="15.75" x14ac:dyDescent="0.25">
      <c r="A333" s="103">
        <v>40002</v>
      </c>
      <c r="B333" s="2"/>
      <c r="C333" s="2"/>
      <c r="D333" s="93" t="s">
        <v>1672</v>
      </c>
      <c r="E333" s="65"/>
      <c r="F333" s="65"/>
      <c r="G333" s="94">
        <f>IF($A333=0,"",VLOOKUP($A333,'BASE MATERIAL'!$M:$P,4))</f>
        <v>0</v>
      </c>
      <c r="H333" s="95">
        <f>IF($A333=0,"",ROUND(G333*H332,2))</f>
        <v>0</v>
      </c>
      <c r="I333" s="2"/>
    </row>
    <row r="334" spans="1:9" ht="15.75" x14ac:dyDescent="0.25">
      <c r="A334" s="103">
        <v>40003</v>
      </c>
      <c r="B334" s="2"/>
      <c r="C334" s="2"/>
      <c r="D334" s="93" t="s">
        <v>1671</v>
      </c>
      <c r="E334" s="65"/>
      <c r="F334" s="65"/>
      <c r="G334" s="94">
        <f>IF($A334=0,"",VLOOKUP($A334,'BASE MATERIAL'!$M:$P,4))</f>
        <v>0</v>
      </c>
      <c r="H334" s="95">
        <f>IF($A334=0,"",ROUND(G334*H332,2))</f>
        <v>0</v>
      </c>
      <c r="I334" s="2"/>
    </row>
    <row r="335" spans="1:9" ht="15.75" x14ac:dyDescent="0.25">
      <c r="B335" s="2"/>
      <c r="C335" s="2"/>
      <c r="D335" s="93" t="s">
        <v>1670</v>
      </c>
      <c r="E335" s="65"/>
      <c r="F335" s="65"/>
      <c r="G335" s="65"/>
      <c r="H335" s="96">
        <f>ROUND(SUM(H332:H334),2)</f>
        <v>7.09</v>
      </c>
      <c r="I335" s="2"/>
    </row>
    <row r="336" spans="1:9" ht="16.5" thickBot="1" x14ac:dyDescent="0.3">
      <c r="B336" s="25"/>
      <c r="C336" s="2"/>
      <c r="D336" s="97" t="s">
        <v>1650</v>
      </c>
      <c r="E336" s="88"/>
      <c r="F336" s="88"/>
      <c r="G336" s="88"/>
      <c r="H336" s="98">
        <f>ROUND(H335,2)</f>
        <v>7.09</v>
      </c>
      <c r="I336" s="2"/>
    </row>
    <row r="337" spans="1:15" ht="15.75" x14ac:dyDescent="0.25">
      <c r="B337" s="34" t="s">
        <v>1701</v>
      </c>
      <c r="C337" s="2"/>
      <c r="D337" s="3" t="str">
        <f>$D$57</f>
        <v>ESPOL</v>
      </c>
      <c r="E337" s="2"/>
      <c r="F337" s="2"/>
      <c r="H337" s="2" t="s">
        <v>108</v>
      </c>
      <c r="I337" s="2"/>
      <c r="L337" s="40">
        <f>A341</f>
        <v>13</v>
      </c>
      <c r="M337" s="1" t="str">
        <f>C342</f>
        <v xml:space="preserve">Bajante PVC des ø 110mm </v>
      </c>
      <c r="N337" s="2" t="str">
        <f>H341</f>
        <v>ml</v>
      </c>
      <c r="O337" s="2">
        <f>H392</f>
        <v>13.26</v>
      </c>
    </row>
    <row r="338" spans="1:15" ht="15.75" x14ac:dyDescent="0.25">
      <c r="B338" s="34" t="s">
        <v>1700</v>
      </c>
      <c r="C338" s="3">
        <f>'1.1'!$C$2</f>
        <v>0</v>
      </c>
      <c r="D338" s="2"/>
      <c r="E338" s="2"/>
      <c r="F338" s="2"/>
      <c r="G338" s="41" t="s">
        <v>1699</v>
      </c>
      <c r="H338" s="42"/>
      <c r="I338" s="2" t="s">
        <v>1698</v>
      </c>
    </row>
    <row r="339" spans="1:15" ht="15.75" x14ac:dyDescent="0.25">
      <c r="B339" s="34"/>
      <c r="C339" s="3">
        <f>'1.1'!$C$3</f>
        <v>0</v>
      </c>
      <c r="D339" s="2"/>
      <c r="E339" s="2"/>
      <c r="F339" s="2"/>
      <c r="G339" s="2"/>
      <c r="H339" s="2"/>
      <c r="I339" s="2"/>
    </row>
    <row r="340" spans="1:15" ht="15.75" x14ac:dyDescent="0.25">
      <c r="B340" s="34" t="s">
        <v>1697</v>
      </c>
      <c r="C340" s="3"/>
      <c r="D340" s="2"/>
      <c r="E340" s="2"/>
      <c r="F340" s="2"/>
      <c r="G340" s="2"/>
      <c r="H340" s="2"/>
      <c r="I340" s="2"/>
    </row>
    <row r="341" spans="1:15" x14ac:dyDescent="0.25">
      <c r="A341" s="104">
        <v>13</v>
      </c>
      <c r="B341" s="2" t="s">
        <v>1586</v>
      </c>
      <c r="C341" s="101" t="s">
        <v>697</v>
      </c>
      <c r="D341" s="2"/>
      <c r="G341" s="2" t="s">
        <v>1696</v>
      </c>
      <c r="H341" s="3" t="s">
        <v>961</v>
      </c>
      <c r="I341" s="2"/>
    </row>
    <row r="342" spans="1:15" x14ac:dyDescent="0.25">
      <c r="B342" s="1" t="s">
        <v>1585</v>
      </c>
      <c r="C342" s="36" t="s">
        <v>1307</v>
      </c>
      <c r="D342" s="2"/>
      <c r="E342" s="2"/>
      <c r="F342" s="2"/>
      <c r="G342" s="2"/>
      <c r="H342" s="2"/>
      <c r="I342" s="2"/>
    </row>
    <row r="343" spans="1:15" ht="15.75" thickBot="1" x14ac:dyDescent="0.3">
      <c r="D343" s="2"/>
      <c r="E343" s="2"/>
      <c r="F343" s="2"/>
      <c r="G343" s="2"/>
      <c r="H343" s="2"/>
      <c r="I343" s="2"/>
    </row>
    <row r="344" spans="1:15" ht="15.75" thickBot="1" x14ac:dyDescent="0.3">
      <c r="B344" s="43" t="s">
        <v>1695</v>
      </c>
      <c r="C344" s="44"/>
      <c r="D344" s="44"/>
      <c r="E344" s="44"/>
      <c r="F344" s="44"/>
      <c r="G344" s="44"/>
      <c r="H344" s="45"/>
      <c r="I344" s="2"/>
    </row>
    <row r="345" spans="1:15" ht="25.5" x14ac:dyDescent="0.25">
      <c r="B345" s="46" t="s">
        <v>1409</v>
      </c>
      <c r="C345" s="47"/>
      <c r="D345" s="48" t="s">
        <v>1690</v>
      </c>
      <c r="E345" s="48" t="s">
        <v>1694</v>
      </c>
      <c r="F345" s="48" t="s">
        <v>1693</v>
      </c>
      <c r="G345" s="49" t="s">
        <v>1687</v>
      </c>
      <c r="H345" s="50" t="s">
        <v>1686</v>
      </c>
      <c r="I345" s="2"/>
    </row>
    <row r="346" spans="1:15" x14ac:dyDescent="0.25">
      <c r="A346" s="103">
        <v>19016</v>
      </c>
      <c r="B346" s="51" t="str">
        <f>IF($A346=0,"",VLOOKUP($A346,'BASE EQUIPO'!$A:$D,2))</f>
        <v>HERRAMIENTA MENOR</v>
      </c>
      <c r="C346" s="52"/>
      <c r="D346" s="53">
        <v>1</v>
      </c>
      <c r="E346" s="53">
        <f>IF($A346=0,"",VLOOKUP($A346,'BASE EQUIPO'!$A:$D,4)*H362)</f>
        <v>0.33650000000000002</v>
      </c>
      <c r="F346" s="53">
        <f t="shared" ref="F346:F351" si="30">IF($A346=0,"",ROUND(D346*E346,2))</f>
        <v>0.34</v>
      </c>
      <c r="G346" s="105">
        <v>1</v>
      </c>
      <c r="H346" s="54">
        <f t="shared" ref="H346:H351" si="31">IF($A346=0,"",ROUND(G346*F346,2))</f>
        <v>0.34</v>
      </c>
      <c r="I346" s="2"/>
    </row>
    <row r="347" spans="1:15" x14ac:dyDescent="0.25">
      <c r="B347" s="38" t="str">
        <f>IF($A347=0,"",VLOOKUP($A347,'BASE EQUIPO'!$A:$D,2))</f>
        <v/>
      </c>
      <c r="C347" s="2"/>
      <c r="D347" s="55"/>
      <c r="E347" s="55" t="str">
        <f>IF($A347=0,"",VLOOKUP($A347,'BASE EQUIPO'!$A:$D,4))</f>
        <v/>
      </c>
      <c r="F347" s="55" t="str">
        <f t="shared" si="30"/>
        <v/>
      </c>
      <c r="G347" s="106"/>
      <c r="H347" s="56" t="str">
        <f t="shared" si="31"/>
        <v/>
      </c>
      <c r="I347" s="2"/>
    </row>
    <row r="348" spans="1:15" x14ac:dyDescent="0.25">
      <c r="B348" s="38" t="str">
        <f>IF($A348=0,"",VLOOKUP($A348,'BASE EQUIPO'!$A:$D,2))</f>
        <v/>
      </c>
      <c r="C348" s="2"/>
      <c r="D348" s="55"/>
      <c r="E348" s="55" t="str">
        <f>IF($A348=0,"",VLOOKUP($A348,'BASE EQUIPO'!$A:$D,4))</f>
        <v/>
      </c>
      <c r="F348" s="55" t="str">
        <f t="shared" si="30"/>
        <v/>
      </c>
      <c r="G348" s="106"/>
      <c r="H348" s="56" t="str">
        <f t="shared" si="31"/>
        <v/>
      </c>
      <c r="I348" s="2"/>
    </row>
    <row r="349" spans="1:15" x14ac:dyDescent="0.25">
      <c r="B349" s="38" t="str">
        <f>IF($A349=0,"",VLOOKUP($A349,'BASE EQUIPO'!$A:$D,2))</f>
        <v/>
      </c>
      <c r="C349" s="2"/>
      <c r="D349" s="55"/>
      <c r="E349" s="55" t="str">
        <f>IF($A349=0,"",VLOOKUP($A349,'BASE EQUIPO'!$A:$D,4))</f>
        <v/>
      </c>
      <c r="F349" s="55" t="str">
        <f t="shared" si="30"/>
        <v/>
      </c>
      <c r="G349" s="106"/>
      <c r="H349" s="56" t="str">
        <f t="shared" si="31"/>
        <v/>
      </c>
      <c r="I349" s="2"/>
    </row>
    <row r="350" spans="1:15" x14ac:dyDescent="0.25">
      <c r="B350" s="38" t="str">
        <f>IF($A350=0,"",VLOOKUP($A350,'BASE EQUIPO'!$A:$D,2))</f>
        <v/>
      </c>
      <c r="C350" s="2"/>
      <c r="D350" s="55"/>
      <c r="E350" s="55" t="str">
        <f>IF($A350=0,"",VLOOKUP($A350,'BASE EQUIPO'!$A:$D,4))</f>
        <v/>
      </c>
      <c r="F350" s="55" t="str">
        <f t="shared" si="30"/>
        <v/>
      </c>
      <c r="G350" s="106"/>
      <c r="H350" s="56" t="str">
        <f t="shared" si="31"/>
        <v/>
      </c>
      <c r="I350" s="2"/>
    </row>
    <row r="351" spans="1:15" x14ac:dyDescent="0.25">
      <c r="B351" s="57" t="str">
        <f>IF($A351=0,"",VLOOKUP($A351,'BASE EQUIPO'!$A:$D,2))</f>
        <v/>
      </c>
      <c r="C351" s="58"/>
      <c r="D351" s="59"/>
      <c r="E351" s="59" t="str">
        <f>IF($A351=0,"",VLOOKUP($A351,'BASE EQUIPO'!$A:$D,4))</f>
        <v/>
      </c>
      <c r="F351" s="59" t="str">
        <f t="shared" si="30"/>
        <v/>
      </c>
      <c r="G351" s="107"/>
      <c r="H351" s="60" t="str">
        <f t="shared" si="31"/>
        <v/>
      </c>
      <c r="I351" s="2"/>
    </row>
    <row r="352" spans="1:15" x14ac:dyDescent="0.25">
      <c r="B352" s="57" t="s">
        <v>1692</v>
      </c>
      <c r="C352" s="58"/>
      <c r="D352" s="61"/>
      <c r="E352" s="61"/>
      <c r="F352" s="61"/>
      <c r="G352" s="62"/>
      <c r="H352" s="60">
        <f>ROUND(SUM(H345:H351),2)</f>
        <v>0.34</v>
      </c>
      <c r="I352" s="2"/>
    </row>
    <row r="353" spans="1:16" x14ac:dyDescent="0.25">
      <c r="B353" s="38" t="s">
        <v>1503</v>
      </c>
      <c r="C353" s="2"/>
      <c r="D353" s="3"/>
      <c r="E353" s="3"/>
      <c r="F353" s="3"/>
      <c r="G353" s="63"/>
      <c r="H353" s="56"/>
      <c r="I353" s="2"/>
    </row>
    <row r="354" spans="1:16" ht="25.5" x14ac:dyDescent="0.25">
      <c r="B354" s="64" t="s">
        <v>1691</v>
      </c>
      <c r="C354" s="65"/>
      <c r="D354" s="66" t="s">
        <v>1690</v>
      </c>
      <c r="E354" s="66" t="s">
        <v>1689</v>
      </c>
      <c r="F354" s="66" t="s">
        <v>1688</v>
      </c>
      <c r="G354" s="67" t="s">
        <v>1687</v>
      </c>
      <c r="H354" s="68" t="s">
        <v>1686</v>
      </c>
      <c r="I354" s="2"/>
    </row>
    <row r="355" spans="1:16" x14ac:dyDescent="0.25">
      <c r="B355" s="69" t="str">
        <f>IF($A355=0,"",VLOOKUP($A355,'BASE M-OBRA'!$A:$D,2))</f>
        <v/>
      </c>
      <c r="C355" s="2"/>
      <c r="D355" s="108"/>
      <c r="E355" s="70" t="str">
        <f>IF($A355=0,"",VLOOKUP($A355,'BASE M-OBRA'!$A:$D,4))</f>
        <v/>
      </c>
      <c r="F355" s="55" t="str">
        <f t="shared" ref="F355:F361" si="32">IF($A355=0,"",ROUND(D355*E355,2))</f>
        <v/>
      </c>
      <c r="G355" s="106" t="str">
        <f>IF($A355=0,"",ROUND(H355/F355,2))</f>
        <v/>
      </c>
      <c r="H355" s="56" t="str">
        <f>IF($A355=0,"",ROUND(SUM(H356:H361)*'BASE M-OBRA'!$D$23,2))</f>
        <v/>
      </c>
      <c r="I355" s="2"/>
    </row>
    <row r="356" spans="1:16" x14ac:dyDescent="0.25">
      <c r="A356" s="103">
        <v>20011</v>
      </c>
      <c r="B356" s="69" t="str">
        <f>IF($A356=0,"",VLOOKUP($A356,'BASE M-OBRA'!$A:$D,2))</f>
        <v>AYUDANTE ESPECIALISTA</v>
      </c>
      <c r="C356" s="2"/>
      <c r="D356" s="108">
        <v>1</v>
      </c>
      <c r="E356" s="70">
        <f>IF($A356=0,"",VLOOKUP($A356,'BASE M-OBRA'!$A:$D,4))</f>
        <v>2.79</v>
      </c>
      <c r="F356" s="55">
        <f t="shared" si="32"/>
        <v>2.79</v>
      </c>
      <c r="G356" s="106">
        <v>1.2</v>
      </c>
      <c r="H356" s="56">
        <f t="shared" ref="H356:H361" si="33">IF($A356=0,"",ROUND(G356*F356,2))</f>
        <v>3.35</v>
      </c>
      <c r="I356" s="2"/>
    </row>
    <row r="357" spans="1:16" x14ac:dyDescent="0.25">
      <c r="A357" s="103">
        <v>20016</v>
      </c>
      <c r="B357" s="69" t="str">
        <f>IF($A357=0,"",VLOOKUP($A357,'BASE M-OBRA'!$A:$D,2))</f>
        <v>GAFITERO</v>
      </c>
      <c r="C357" s="2"/>
      <c r="D357" s="108">
        <v>1</v>
      </c>
      <c r="E357" s="70">
        <f>IF($A357=0,"",VLOOKUP($A357,'BASE M-OBRA'!$A:$D,4))</f>
        <v>2.82</v>
      </c>
      <c r="F357" s="55">
        <f t="shared" si="32"/>
        <v>2.82</v>
      </c>
      <c r="G357" s="106">
        <f>+G356</f>
        <v>1.2</v>
      </c>
      <c r="H357" s="56">
        <f t="shared" si="33"/>
        <v>3.38</v>
      </c>
      <c r="I357" s="2"/>
    </row>
    <row r="358" spans="1:16" x14ac:dyDescent="0.25">
      <c r="B358" s="71" t="str">
        <f>IF($A358=0,"",VLOOKUP($A358,'BASE M-OBRA'!$A:$D,2))</f>
        <v/>
      </c>
      <c r="C358" s="2"/>
      <c r="D358" s="108"/>
      <c r="E358" s="70" t="str">
        <f>IF($A358=0,"",VLOOKUP($A358,'BASE M-OBRA'!$A:$D,4))</f>
        <v/>
      </c>
      <c r="F358" s="55" t="str">
        <f t="shared" si="32"/>
        <v/>
      </c>
      <c r="G358" s="106"/>
      <c r="H358" s="56" t="str">
        <f t="shared" si="33"/>
        <v/>
      </c>
      <c r="I358" s="2"/>
    </row>
    <row r="359" spans="1:16" x14ac:dyDescent="0.25">
      <c r="B359" s="72" t="str">
        <f>IF($A359=0,"",VLOOKUP($A359,'BASE M-OBRA'!$A:$D,2))</f>
        <v/>
      </c>
      <c r="C359" s="2"/>
      <c r="D359" s="108"/>
      <c r="E359" s="70" t="str">
        <f>IF($A359=0,"",VLOOKUP($A359,'BASE M-OBRA'!$A:$D,4))</f>
        <v/>
      </c>
      <c r="F359" s="55" t="str">
        <f t="shared" si="32"/>
        <v/>
      </c>
      <c r="G359" s="106"/>
      <c r="H359" s="56" t="str">
        <f t="shared" si="33"/>
        <v/>
      </c>
      <c r="I359" s="2"/>
    </row>
    <row r="360" spans="1:16" x14ac:dyDescent="0.25">
      <c r="B360" s="38" t="str">
        <f>IF($A360=0,"",VLOOKUP($A360,'BASE M-OBRA'!$A:$D,2))</f>
        <v/>
      </c>
      <c r="C360" s="2"/>
      <c r="D360" s="55"/>
      <c r="E360" s="55" t="str">
        <f>IF($A360=0,"",VLOOKUP($A360,'BASE M-OBRA'!$A:$D,4))</f>
        <v/>
      </c>
      <c r="F360" s="55" t="str">
        <f t="shared" si="32"/>
        <v/>
      </c>
      <c r="G360" s="106"/>
      <c r="H360" s="56" t="str">
        <f t="shared" si="33"/>
        <v/>
      </c>
      <c r="I360" s="2"/>
    </row>
    <row r="361" spans="1:16" x14ac:dyDescent="0.25">
      <c r="B361" s="57" t="str">
        <f>IF($A361=0,"",VLOOKUP($A361,'BASE M-OBRA'!$A:$D,2))</f>
        <v/>
      </c>
      <c r="C361" s="58"/>
      <c r="D361" s="59"/>
      <c r="E361" s="59" t="str">
        <f>IF($A361=0,"",VLOOKUP($A361,'BASE M-OBRA'!$A:$D,4))</f>
        <v/>
      </c>
      <c r="F361" s="59" t="str">
        <f t="shared" si="32"/>
        <v/>
      </c>
      <c r="G361" s="107"/>
      <c r="H361" s="60" t="str">
        <f t="shared" si="33"/>
        <v/>
      </c>
      <c r="I361" s="2"/>
    </row>
    <row r="362" spans="1:16" x14ac:dyDescent="0.25">
      <c r="B362" s="73" t="s">
        <v>1685</v>
      </c>
      <c r="C362" s="65"/>
      <c r="D362" s="74"/>
      <c r="E362" s="74"/>
      <c r="F362" s="74"/>
      <c r="G362" s="74"/>
      <c r="H362" s="75">
        <f>ROUND(SUM(H354:H361),2)</f>
        <v>6.73</v>
      </c>
      <c r="I362" s="2"/>
    </row>
    <row r="363" spans="1:16" x14ac:dyDescent="0.25">
      <c r="B363" s="38" t="s">
        <v>1684</v>
      </c>
      <c r="C363" s="2"/>
      <c r="D363" s="3"/>
      <c r="E363" s="3"/>
      <c r="F363" s="3"/>
      <c r="G363" s="3"/>
      <c r="H363" s="56"/>
      <c r="I363" s="2"/>
    </row>
    <row r="364" spans="1:16" ht="25.5" x14ac:dyDescent="0.25">
      <c r="B364" s="64" t="s">
        <v>1409</v>
      </c>
      <c r="C364" s="65"/>
      <c r="D364" s="76"/>
      <c r="E364" s="66" t="s">
        <v>1408</v>
      </c>
      <c r="F364" s="66" t="s">
        <v>1679</v>
      </c>
      <c r="G364" s="66" t="s">
        <v>1683</v>
      </c>
      <c r="H364" s="68" t="s">
        <v>1675</v>
      </c>
      <c r="I364" s="2"/>
    </row>
    <row r="365" spans="1:16" x14ac:dyDescent="0.25">
      <c r="A365" s="103">
        <v>1</v>
      </c>
      <c r="B365" s="109" t="s">
        <v>35</v>
      </c>
      <c r="C365" s="2"/>
      <c r="D365" s="77"/>
      <c r="E365" s="78" t="s">
        <v>25</v>
      </c>
      <c r="F365" s="55">
        <v>1.1000000000000001</v>
      </c>
      <c r="G365" s="55">
        <v>4.95</v>
      </c>
      <c r="H365" s="56">
        <f t="shared" ref="H365:H370" si="34">IF($A365=0,"",ROUND(F365*G365,2))</f>
        <v>5.45</v>
      </c>
      <c r="I365" s="2"/>
      <c r="J365" s="1">
        <f>14.84/3</f>
        <v>4.9466666666666663</v>
      </c>
      <c r="L365" s="2"/>
      <c r="M365" s="2"/>
      <c r="N365" s="39"/>
      <c r="O365" s="2"/>
      <c r="P365" s="2"/>
    </row>
    <row r="366" spans="1:16" x14ac:dyDescent="0.25">
      <c r="A366" s="103">
        <v>16001</v>
      </c>
      <c r="B366" s="38" t="str">
        <f>IF($A366=0,"",VLOOKUP($A366,'BASE MATERIAL'!$A:$D,2))</f>
        <v>ABRAZADERA 4" PVC</v>
      </c>
      <c r="C366" s="2"/>
      <c r="D366" s="77"/>
      <c r="E366" s="78" t="str">
        <f>IF($A366=0,"",VLOOKUP($A366,'BASE MATERIAL'!$A:$D,3))</f>
        <v>U</v>
      </c>
      <c r="F366" s="55">
        <v>0.35</v>
      </c>
      <c r="G366" s="55">
        <f>IF($A366=0,"",VLOOKUP($A366,'BASE MATERIAL'!$A:$D,4))</f>
        <v>0.63</v>
      </c>
      <c r="H366" s="56">
        <f t="shared" si="34"/>
        <v>0.22</v>
      </c>
      <c r="I366" s="2"/>
    </row>
    <row r="367" spans="1:16" x14ac:dyDescent="0.25">
      <c r="A367" s="103">
        <v>1</v>
      </c>
      <c r="B367" s="38" t="s">
        <v>4</v>
      </c>
      <c r="C367" s="2"/>
      <c r="D367" s="77"/>
      <c r="E367" s="78" t="s">
        <v>2</v>
      </c>
      <c r="F367" s="55">
        <v>2.1000000000000001E-2</v>
      </c>
      <c r="G367" s="55">
        <v>12.63</v>
      </c>
      <c r="H367" s="56">
        <f t="shared" si="34"/>
        <v>0.27</v>
      </c>
      <c r="I367" s="2"/>
      <c r="L367" s="2"/>
      <c r="M367" s="2"/>
      <c r="N367" s="39"/>
      <c r="O367" s="2"/>
      <c r="P367" s="2"/>
    </row>
    <row r="368" spans="1:16" x14ac:dyDescent="0.25">
      <c r="A368" s="103">
        <v>1</v>
      </c>
      <c r="B368" s="38" t="s">
        <v>3</v>
      </c>
      <c r="C368" s="2"/>
      <c r="D368" s="77"/>
      <c r="E368" s="78" t="s">
        <v>2</v>
      </c>
      <c r="F368" s="55">
        <v>0.01</v>
      </c>
      <c r="G368" s="55">
        <v>6.89</v>
      </c>
      <c r="H368" s="56">
        <f t="shared" si="34"/>
        <v>7.0000000000000007E-2</v>
      </c>
      <c r="I368" s="2"/>
      <c r="L368" s="2"/>
      <c r="M368" s="2"/>
      <c r="N368" s="39"/>
      <c r="O368" s="2"/>
      <c r="P368" s="2"/>
    </row>
    <row r="369" spans="1:16" x14ac:dyDescent="0.25">
      <c r="B369" s="38"/>
      <c r="C369" s="2"/>
      <c r="D369" s="77"/>
      <c r="E369" s="78"/>
      <c r="F369" s="55"/>
      <c r="G369" s="55"/>
      <c r="H369" s="56" t="str">
        <f t="shared" si="34"/>
        <v/>
      </c>
      <c r="I369" s="2"/>
      <c r="L369" s="2"/>
      <c r="M369" s="2"/>
      <c r="N369" s="39"/>
      <c r="O369" s="2"/>
      <c r="P369" s="2"/>
    </row>
    <row r="370" spans="1:16" x14ac:dyDescent="0.25">
      <c r="B370" s="38"/>
      <c r="C370" s="2"/>
      <c r="D370" s="77"/>
      <c r="E370" s="78"/>
      <c r="F370" s="55"/>
      <c r="G370" s="55"/>
      <c r="H370" s="56" t="str">
        <f t="shared" si="34"/>
        <v/>
      </c>
      <c r="I370" s="2"/>
      <c r="L370" s="2"/>
      <c r="M370" s="2"/>
      <c r="N370" s="39"/>
      <c r="O370" s="2"/>
      <c r="P370" s="2"/>
    </row>
    <row r="371" spans="1:16" x14ac:dyDescent="0.25">
      <c r="B371" s="38"/>
      <c r="C371" s="2"/>
      <c r="D371" s="77"/>
      <c r="E371" s="78"/>
      <c r="F371" s="55"/>
      <c r="G371" s="55"/>
      <c r="H371" s="56" t="str">
        <f t="shared" ref="H371:H379" si="35">IF($A371=0,"",ROUND(F371*G371,2))</f>
        <v/>
      </c>
      <c r="I371" s="2"/>
      <c r="L371" s="2"/>
      <c r="M371" s="2"/>
      <c r="N371" s="39"/>
      <c r="O371" s="2"/>
      <c r="P371" s="2"/>
    </row>
    <row r="372" spans="1:16" x14ac:dyDescent="0.25">
      <c r="B372" s="38"/>
      <c r="C372" s="2"/>
      <c r="D372" s="77"/>
      <c r="E372" s="78"/>
      <c r="F372" s="55"/>
      <c r="G372" s="55"/>
      <c r="H372" s="56" t="str">
        <f t="shared" si="35"/>
        <v/>
      </c>
      <c r="I372" s="2"/>
      <c r="L372" s="2"/>
      <c r="M372" s="2"/>
      <c r="N372" s="39"/>
      <c r="O372" s="2"/>
      <c r="P372" s="2"/>
    </row>
    <row r="373" spans="1:16" x14ac:dyDescent="0.25">
      <c r="B373" s="38"/>
      <c r="C373" s="2"/>
      <c r="D373" s="77"/>
      <c r="E373" s="78"/>
      <c r="F373" s="55"/>
      <c r="G373" s="55"/>
      <c r="H373" s="56" t="str">
        <f t="shared" si="35"/>
        <v/>
      </c>
      <c r="I373" s="2"/>
    </row>
    <row r="374" spans="1:16" x14ac:dyDescent="0.25">
      <c r="B374" s="38" t="str">
        <f>IF($A374=0,"",VLOOKUP($A374,'BASE MATERIAL'!$A:$D,2))</f>
        <v/>
      </c>
      <c r="C374" s="2"/>
      <c r="D374" s="77"/>
      <c r="E374" s="78" t="str">
        <f>IF($A374=0,"",VLOOKUP($A374,'BASE MATERIAL'!$A:$D,3))</f>
        <v/>
      </c>
      <c r="F374" s="55"/>
      <c r="G374" s="55" t="str">
        <f>IF($A374=0,"",VLOOKUP($A374,'BASE MATERIAL'!$A:$D,4))</f>
        <v/>
      </c>
      <c r="H374" s="56" t="str">
        <f t="shared" si="35"/>
        <v/>
      </c>
      <c r="I374" s="2"/>
      <c r="L374" s="2"/>
      <c r="M374" s="2"/>
      <c r="N374" s="39"/>
      <c r="O374" s="2"/>
      <c r="P374" s="2"/>
    </row>
    <row r="375" spans="1:16" x14ac:dyDescent="0.25">
      <c r="B375" s="38" t="str">
        <f>IF($A375=0,"",VLOOKUP($A375,'BASE MATERIAL'!$A:$D,2))</f>
        <v/>
      </c>
      <c r="C375" s="2"/>
      <c r="D375" s="77"/>
      <c r="E375" s="78" t="str">
        <f>IF($A375=0,"",VLOOKUP($A375,'BASE MATERIAL'!$A:$D,3))</f>
        <v/>
      </c>
      <c r="F375" s="55"/>
      <c r="G375" s="55" t="str">
        <f>IF($A375=0,"",VLOOKUP($A375,'BASE MATERIAL'!$A:$D,4))</f>
        <v/>
      </c>
      <c r="H375" s="56" t="str">
        <f t="shared" si="35"/>
        <v/>
      </c>
      <c r="I375" s="2"/>
      <c r="L375" s="2"/>
      <c r="M375" s="2"/>
      <c r="N375" s="39"/>
      <c r="O375" s="2"/>
      <c r="P375" s="2"/>
    </row>
    <row r="376" spans="1:16" x14ac:dyDescent="0.25">
      <c r="B376" s="38" t="str">
        <f>IF($A376=0,"",VLOOKUP($A376,'BASE MATERIAL'!$A:$D,2))</f>
        <v/>
      </c>
      <c r="C376" s="2"/>
      <c r="D376" s="77"/>
      <c r="E376" s="78" t="str">
        <f>IF($A376=0,"",VLOOKUP($A376,'BASE MATERIAL'!$A:$D,3))</f>
        <v/>
      </c>
      <c r="F376" s="55"/>
      <c r="G376" s="55" t="str">
        <f>IF($A376=0,"",VLOOKUP($A376,'BASE MATERIAL'!$A:$D,4))</f>
        <v/>
      </c>
      <c r="H376" s="56" t="str">
        <f t="shared" si="35"/>
        <v/>
      </c>
      <c r="I376" s="2"/>
    </row>
    <row r="377" spans="1:16" x14ac:dyDescent="0.25">
      <c r="B377" s="38" t="str">
        <f>IF($A377=0,"",VLOOKUP($A377,'BASE MATERIAL'!$A:$D,2))</f>
        <v/>
      </c>
      <c r="C377" s="2"/>
      <c r="D377" s="77"/>
      <c r="E377" s="78" t="str">
        <f>IF($A377=0,"",VLOOKUP($A377,'BASE MATERIAL'!$A:$D,3))</f>
        <v/>
      </c>
      <c r="F377" s="55"/>
      <c r="G377" s="55" t="str">
        <f>IF($A377=0,"",VLOOKUP($A377,'BASE MATERIAL'!$A:$D,4))</f>
        <v/>
      </c>
      <c r="H377" s="56" t="str">
        <f t="shared" si="35"/>
        <v/>
      </c>
      <c r="I377" s="2"/>
    </row>
    <row r="378" spans="1:16" x14ac:dyDescent="0.25">
      <c r="B378" s="38" t="str">
        <f>IF($A378=0,"",VLOOKUP($A378,'BASE MATERIAL'!$A:$D,2))</f>
        <v/>
      </c>
      <c r="C378" s="2"/>
      <c r="D378" s="77"/>
      <c r="E378" s="78" t="str">
        <f>IF($A378=0,"",VLOOKUP($A378,'BASE MATERIAL'!$A:$D,3))</f>
        <v/>
      </c>
      <c r="F378" s="55"/>
      <c r="G378" s="55" t="str">
        <f>IF($A378=0,"",VLOOKUP($A378,'BASE MATERIAL'!$A:$D,4))</f>
        <v/>
      </c>
      <c r="H378" s="56" t="str">
        <f t="shared" si="35"/>
        <v/>
      </c>
      <c r="I378" s="2"/>
    </row>
    <row r="379" spans="1:16" x14ac:dyDescent="0.25">
      <c r="B379" s="38" t="str">
        <f>IF($A379=0,"",VLOOKUP($A379,'BASE MATERIAL'!$A:$D,2))</f>
        <v/>
      </c>
      <c r="C379" s="2"/>
      <c r="D379" s="77"/>
      <c r="E379" s="78" t="str">
        <f>IF($A379=0,"",VLOOKUP($A379,'BASE MATERIAL'!$A:$D,3))</f>
        <v/>
      </c>
      <c r="F379" s="55"/>
      <c r="G379" s="55" t="str">
        <f>IF($A379=0,"",VLOOKUP($A379,'BASE MATERIAL'!$A:$D,4))</f>
        <v/>
      </c>
      <c r="H379" s="56" t="str">
        <f t="shared" si="35"/>
        <v/>
      </c>
      <c r="I379" s="2"/>
    </row>
    <row r="380" spans="1:16" x14ac:dyDescent="0.25">
      <c r="B380" s="38" t="str">
        <f>IF($A380=0,"",VLOOKUP($A380,'BASE MATERIAL'!$A:$D,2))</f>
        <v/>
      </c>
      <c r="C380" s="2"/>
      <c r="D380" s="81" t="s">
        <v>1682</v>
      </c>
      <c r="E380" s="55" t="str">
        <f>IF($A380=0,"",VLOOKUP($A380,'BASE MATERIAL'!$A:$D,3))</f>
        <v/>
      </c>
      <c r="F380" s="55" t="s">
        <v>1682</v>
      </c>
      <c r="G380" s="55" t="str">
        <f>IF($A380=0,"",VLOOKUP($A380,'BASE MATERIAL'!$A:$D,4))</f>
        <v/>
      </c>
      <c r="H380" s="56" t="str">
        <f>IF($A380=0,"",ROUND(E380*F380,2))</f>
        <v/>
      </c>
      <c r="I380" s="2"/>
    </row>
    <row r="381" spans="1:16" x14ac:dyDescent="0.25">
      <c r="B381" s="73" t="s">
        <v>1681</v>
      </c>
      <c r="C381" s="65"/>
      <c r="D381" s="74"/>
      <c r="E381" s="74"/>
      <c r="F381" s="74"/>
      <c r="G381" s="74"/>
      <c r="H381" s="75">
        <f>ROUND(SUM(H364:H380),2)</f>
        <v>6.01</v>
      </c>
      <c r="I381" s="2"/>
    </row>
    <row r="382" spans="1:16" x14ac:dyDescent="0.25">
      <c r="B382" s="38" t="s">
        <v>1680</v>
      </c>
      <c r="C382" s="2"/>
      <c r="D382" s="3"/>
      <c r="E382" s="3"/>
      <c r="F382" s="3"/>
      <c r="G382" s="3"/>
      <c r="H382" s="56"/>
      <c r="I382" s="2"/>
    </row>
    <row r="383" spans="1:16" ht="25.5" x14ac:dyDescent="0.25">
      <c r="B383" s="64" t="s">
        <v>1409</v>
      </c>
      <c r="C383" s="65"/>
      <c r="D383" s="76"/>
      <c r="E383" s="66" t="s">
        <v>1408</v>
      </c>
      <c r="F383" s="66" t="s">
        <v>1679</v>
      </c>
      <c r="G383" s="66" t="s">
        <v>1676</v>
      </c>
      <c r="H383" s="68" t="s">
        <v>1675</v>
      </c>
      <c r="I383" s="2"/>
    </row>
    <row r="384" spans="1:16" x14ac:dyDescent="0.25">
      <c r="A384" s="103">
        <v>19019</v>
      </c>
      <c r="B384" s="51" t="str">
        <f>IF($A384=0,"",VLOOKUP($A384,'BASE EQUIPO'!$A:$D,2))</f>
        <v>TRANSPORTE DE MATERIAL</v>
      </c>
      <c r="C384" s="52"/>
      <c r="D384" s="82"/>
      <c r="E384" s="78" t="str">
        <f>IF($A384=0,"",VLOOKUP($A384,'BASE EQUIPO'!$A:$D,3))</f>
        <v>GLOBAL</v>
      </c>
      <c r="F384" s="55">
        <v>1</v>
      </c>
      <c r="G384" s="83">
        <f>IF($A384=0,"",VLOOKUP($A384,'BASE EQUIPO'!$A:$D,4)*H381)</f>
        <v>0.18029999999999999</v>
      </c>
      <c r="H384" s="56">
        <f>IF($A384=0,"",ROUND(F384*G384,2))</f>
        <v>0.18</v>
      </c>
      <c r="I384" s="2"/>
    </row>
    <row r="385" spans="1:15" x14ac:dyDescent="0.25">
      <c r="B385" s="38" t="str">
        <f>IF($A385=0,"",VLOOKUP($A385,'BASE EQUIPO'!$A:$D,2))</f>
        <v/>
      </c>
      <c r="C385" s="2"/>
      <c r="D385" s="84"/>
      <c r="E385" s="78" t="str">
        <f>IF($A385=0,"",VLOOKUP($A385,'BASE EQUIPO'!$A:$D,3))</f>
        <v/>
      </c>
      <c r="F385" s="55"/>
      <c r="G385" s="55" t="str">
        <f>IF($A385=0,"",VLOOKUP($A385,'BASE EQUIPO'!$A:$D,4)*H382)</f>
        <v/>
      </c>
      <c r="H385" s="56" t="str">
        <f>IF($A385=0,"",ROUND(F385*G385,2))</f>
        <v/>
      </c>
      <c r="I385" s="2"/>
    </row>
    <row r="386" spans="1:15" x14ac:dyDescent="0.25">
      <c r="B386" s="57" t="str">
        <f>IF($A386=0,"",VLOOKUP($A386,'BASE EQUIPO'!$A:$D,2))</f>
        <v/>
      </c>
      <c r="C386" s="58"/>
      <c r="D386" s="85"/>
      <c r="E386" s="86" t="str">
        <f>IF($A386=0,"",VLOOKUP($A386,'BASE EQUIPO'!$A:$D,3))</f>
        <v/>
      </c>
      <c r="F386" s="59"/>
      <c r="G386" s="59" t="str">
        <f>IF($A386=0,"",VLOOKUP($A386,'BASE EQUIPO'!$A:$D,4)*H383)</f>
        <v/>
      </c>
      <c r="H386" s="60" t="str">
        <f>IF($A386=0,"",ROUND(F386*G386,2))</f>
        <v/>
      </c>
      <c r="I386" s="2"/>
    </row>
    <row r="387" spans="1:15" ht="15.75" thickBot="1" x14ac:dyDescent="0.3">
      <c r="B387" s="87" t="s">
        <v>1674</v>
      </c>
      <c r="C387" s="88"/>
      <c r="D387" s="89"/>
      <c r="E387" s="89"/>
      <c r="F387" s="89"/>
      <c r="G387" s="89"/>
      <c r="H387" s="90">
        <f>ROUND(SUM(H383:H386),2)</f>
        <v>0.18</v>
      </c>
      <c r="I387" s="2"/>
    </row>
    <row r="388" spans="1:15" ht="15.75" x14ac:dyDescent="0.25">
      <c r="B388" s="2"/>
      <c r="C388" s="2"/>
      <c r="D388" s="91" t="s">
        <v>1673</v>
      </c>
      <c r="E388" s="47"/>
      <c r="F388" s="47"/>
      <c r="G388" s="47"/>
      <c r="H388" s="92">
        <f>ROUND(SUM(H387,H381,H362,H352),2)</f>
        <v>13.26</v>
      </c>
      <c r="I388" s="2"/>
    </row>
    <row r="389" spans="1:15" ht="15.75" x14ac:dyDescent="0.25">
      <c r="A389" s="103">
        <v>40002</v>
      </c>
      <c r="B389" s="2"/>
      <c r="C389" s="2"/>
      <c r="D389" s="93" t="s">
        <v>1672</v>
      </c>
      <c r="E389" s="65"/>
      <c r="F389" s="65"/>
      <c r="G389" s="94">
        <f>IF($A389=0,"",VLOOKUP($A389,'BASE MATERIAL'!$M:$P,4))</f>
        <v>0</v>
      </c>
      <c r="H389" s="95">
        <f>IF($A389=0,"",ROUND(G389*H388,2))</f>
        <v>0</v>
      </c>
      <c r="I389" s="2"/>
    </row>
    <row r="390" spans="1:15" ht="15.75" x14ac:dyDescent="0.25">
      <c r="A390" s="103">
        <v>40003</v>
      </c>
      <c r="B390" s="2"/>
      <c r="C390" s="2"/>
      <c r="D390" s="93" t="s">
        <v>1671</v>
      </c>
      <c r="E390" s="65"/>
      <c r="F390" s="65"/>
      <c r="G390" s="94">
        <f>IF($A390=0,"",VLOOKUP($A390,'BASE MATERIAL'!$M:$P,4))</f>
        <v>0</v>
      </c>
      <c r="H390" s="95">
        <f>IF($A390=0,"",ROUND(G390*H388,2))</f>
        <v>0</v>
      </c>
      <c r="I390" s="2"/>
    </row>
    <row r="391" spans="1:15" ht="15.75" x14ac:dyDescent="0.25">
      <c r="B391" s="2"/>
      <c r="C391" s="2"/>
      <c r="D391" s="93" t="s">
        <v>1670</v>
      </c>
      <c r="E391" s="65"/>
      <c r="F391" s="65"/>
      <c r="G391" s="65"/>
      <c r="H391" s="96">
        <f>ROUND(SUM(H388:H390),2)</f>
        <v>13.26</v>
      </c>
      <c r="I391" s="2"/>
    </row>
    <row r="392" spans="1:15" ht="16.5" thickBot="1" x14ac:dyDescent="0.3">
      <c r="B392" s="25"/>
      <c r="C392" s="2"/>
      <c r="D392" s="97" t="s">
        <v>1650</v>
      </c>
      <c r="E392" s="88"/>
      <c r="F392" s="88"/>
      <c r="G392" s="88"/>
      <c r="H392" s="98">
        <f>ROUND(H391,2)</f>
        <v>13.26</v>
      </c>
      <c r="I392" s="2"/>
    </row>
    <row r="393" spans="1:15" ht="15.75" x14ac:dyDescent="0.25">
      <c r="B393" s="34" t="s">
        <v>1701</v>
      </c>
      <c r="C393" s="2"/>
      <c r="D393" s="3" t="str">
        <f>$D$57</f>
        <v>ESPOL</v>
      </c>
      <c r="E393" s="2"/>
      <c r="F393" s="2"/>
      <c r="H393" s="2" t="s">
        <v>108</v>
      </c>
      <c r="I393" s="2"/>
      <c r="L393" s="40">
        <f>A397</f>
        <v>16</v>
      </c>
      <c r="M393" s="1" t="str">
        <f>C398</f>
        <v>Puntos de 110mm</v>
      </c>
      <c r="N393" s="2" t="str">
        <f>H397</f>
        <v>U</v>
      </c>
      <c r="O393" s="2">
        <f>H448</f>
        <v>30.17</v>
      </c>
    </row>
    <row r="394" spans="1:15" ht="15.75" x14ac:dyDescent="0.25">
      <c r="B394" s="34" t="s">
        <v>1700</v>
      </c>
      <c r="C394" s="3">
        <f>'1.1'!$C$2</f>
        <v>0</v>
      </c>
      <c r="D394" s="2"/>
      <c r="E394" s="2"/>
      <c r="F394" s="2"/>
      <c r="G394" s="41" t="s">
        <v>1699</v>
      </c>
      <c r="H394" s="42"/>
      <c r="I394" s="2" t="s">
        <v>1698</v>
      </c>
    </row>
    <row r="395" spans="1:15" ht="15.75" x14ac:dyDescent="0.25">
      <c r="B395" s="34"/>
      <c r="C395" s="3">
        <f>'1.1'!$C$3</f>
        <v>0</v>
      </c>
      <c r="D395" s="2"/>
      <c r="E395" s="2"/>
      <c r="F395" s="2"/>
      <c r="G395" s="2"/>
      <c r="H395" s="2"/>
      <c r="I395" s="2"/>
    </row>
    <row r="396" spans="1:15" ht="15.75" x14ac:dyDescent="0.25">
      <c r="B396" s="34" t="s">
        <v>1697</v>
      </c>
      <c r="C396" s="3"/>
      <c r="D396" s="2"/>
      <c r="E396" s="2"/>
      <c r="F396" s="2"/>
      <c r="G396" s="2"/>
      <c r="H396" s="2"/>
      <c r="I396" s="2"/>
    </row>
    <row r="397" spans="1:15" x14ac:dyDescent="0.25">
      <c r="A397" s="104">
        <v>16</v>
      </c>
      <c r="B397" s="2" t="s">
        <v>1586</v>
      </c>
      <c r="C397" s="101" t="s">
        <v>659</v>
      </c>
      <c r="D397" s="2"/>
      <c r="G397" s="2" t="s">
        <v>1696</v>
      </c>
      <c r="H397" s="3" t="s">
        <v>744</v>
      </c>
      <c r="I397" s="2"/>
    </row>
    <row r="398" spans="1:15" x14ac:dyDescent="0.25">
      <c r="B398" s="1" t="s">
        <v>1585</v>
      </c>
      <c r="C398" s="36" t="s">
        <v>1515</v>
      </c>
      <c r="D398" s="2"/>
      <c r="E398" s="2"/>
      <c r="F398" s="2"/>
      <c r="G398" s="2"/>
      <c r="H398" s="2"/>
      <c r="I398" s="2"/>
    </row>
    <row r="399" spans="1:15" ht="15.75" thickBot="1" x14ac:dyDescent="0.3">
      <c r="D399" s="2"/>
      <c r="E399" s="2"/>
      <c r="F399" s="2"/>
      <c r="G399" s="2"/>
      <c r="H399" s="2"/>
      <c r="I399" s="2"/>
    </row>
    <row r="400" spans="1:15" ht="15.75" thickBot="1" x14ac:dyDescent="0.3">
      <c r="B400" s="43" t="s">
        <v>1695</v>
      </c>
      <c r="C400" s="44"/>
      <c r="D400" s="44"/>
      <c r="E400" s="44"/>
      <c r="F400" s="44"/>
      <c r="G400" s="44"/>
      <c r="H400" s="45"/>
      <c r="I400" s="2"/>
    </row>
    <row r="401" spans="1:9" ht="25.5" x14ac:dyDescent="0.25">
      <c r="B401" s="46" t="s">
        <v>1409</v>
      </c>
      <c r="C401" s="47"/>
      <c r="D401" s="48" t="s">
        <v>1690</v>
      </c>
      <c r="E401" s="48" t="s">
        <v>1694</v>
      </c>
      <c r="F401" s="48" t="s">
        <v>1693</v>
      </c>
      <c r="G401" s="49" t="s">
        <v>1687</v>
      </c>
      <c r="H401" s="50" t="s">
        <v>1686</v>
      </c>
      <c r="I401" s="2"/>
    </row>
    <row r="402" spans="1:9" x14ac:dyDescent="0.25">
      <c r="A402" s="103">
        <v>19015</v>
      </c>
      <c r="B402" s="51" t="str">
        <f>IF($A402=0,"",VLOOKUP($A402,'BASE EQUIPO'!$A:$D,2))</f>
        <v>HERRAMIENTA MENOR</v>
      </c>
      <c r="C402" s="52"/>
      <c r="D402" s="53">
        <v>1</v>
      </c>
      <c r="E402" s="53">
        <f>IF($A402=0,"",VLOOKUP($A402,'BASE EQUIPO'!$A:$D,4)*H418)</f>
        <v>0.46289999999999998</v>
      </c>
      <c r="F402" s="53">
        <f t="shared" ref="F402:F407" si="36">IF($A402=0,"",ROUND(D402*E402,2))</f>
        <v>0.46</v>
      </c>
      <c r="G402" s="105">
        <v>1</v>
      </c>
      <c r="H402" s="54">
        <f t="shared" ref="H402:H407" si="37">IF($A402=0,"",ROUND(G402*F402,2))</f>
        <v>0.46</v>
      </c>
      <c r="I402" s="2"/>
    </row>
    <row r="403" spans="1:9" x14ac:dyDescent="0.25">
      <c r="B403" s="38" t="str">
        <f>IF($A403=0,"",VLOOKUP($A403,'BASE EQUIPO'!$A:$D,2))</f>
        <v/>
      </c>
      <c r="C403" s="2"/>
      <c r="D403" s="55"/>
      <c r="E403" s="55" t="str">
        <f>IF($A403=0,"",VLOOKUP($A403,'BASE EQUIPO'!$A:$D,4))</f>
        <v/>
      </c>
      <c r="F403" s="55" t="str">
        <f t="shared" si="36"/>
        <v/>
      </c>
      <c r="G403" s="106"/>
      <c r="H403" s="56" t="str">
        <f t="shared" si="37"/>
        <v/>
      </c>
      <c r="I403" s="2"/>
    </row>
    <row r="404" spans="1:9" x14ac:dyDescent="0.25">
      <c r="B404" s="38" t="str">
        <f>IF($A404=0,"",VLOOKUP($A404,'BASE EQUIPO'!$A:$D,2))</f>
        <v/>
      </c>
      <c r="C404" s="2"/>
      <c r="D404" s="55"/>
      <c r="E404" s="55" t="str">
        <f>IF($A404=0,"",VLOOKUP($A404,'BASE EQUIPO'!$A:$D,4))</f>
        <v/>
      </c>
      <c r="F404" s="55" t="str">
        <f t="shared" si="36"/>
        <v/>
      </c>
      <c r="G404" s="106"/>
      <c r="H404" s="56" t="str">
        <f t="shared" si="37"/>
        <v/>
      </c>
      <c r="I404" s="2"/>
    </row>
    <row r="405" spans="1:9" x14ac:dyDescent="0.25">
      <c r="B405" s="38" t="str">
        <f>IF($A405=0,"",VLOOKUP($A405,'BASE EQUIPO'!$A:$D,2))</f>
        <v/>
      </c>
      <c r="C405" s="2"/>
      <c r="D405" s="55"/>
      <c r="E405" s="55" t="str">
        <f>IF($A405=0,"",VLOOKUP($A405,'BASE EQUIPO'!$A:$D,4))</f>
        <v/>
      </c>
      <c r="F405" s="55" t="str">
        <f t="shared" si="36"/>
        <v/>
      </c>
      <c r="G405" s="106"/>
      <c r="H405" s="56" t="str">
        <f t="shared" si="37"/>
        <v/>
      </c>
      <c r="I405" s="2"/>
    </row>
    <row r="406" spans="1:9" x14ac:dyDescent="0.25">
      <c r="B406" s="38" t="str">
        <f>IF($A406=0,"",VLOOKUP($A406,'BASE EQUIPO'!$A:$D,2))</f>
        <v/>
      </c>
      <c r="C406" s="2"/>
      <c r="D406" s="55"/>
      <c r="E406" s="55" t="str">
        <f>IF($A406=0,"",VLOOKUP($A406,'BASE EQUIPO'!$A:$D,4))</f>
        <v/>
      </c>
      <c r="F406" s="55" t="str">
        <f t="shared" si="36"/>
        <v/>
      </c>
      <c r="G406" s="106"/>
      <c r="H406" s="56" t="str">
        <f t="shared" si="37"/>
        <v/>
      </c>
      <c r="I406" s="2"/>
    </row>
    <row r="407" spans="1:9" x14ac:dyDescent="0.25">
      <c r="B407" s="57" t="str">
        <f>IF($A407=0,"",VLOOKUP($A407,'BASE EQUIPO'!$A:$D,2))</f>
        <v/>
      </c>
      <c r="C407" s="58"/>
      <c r="D407" s="59"/>
      <c r="E407" s="59" t="str">
        <f>IF($A407=0,"",VLOOKUP($A407,'BASE EQUIPO'!$A:$D,4))</f>
        <v/>
      </c>
      <c r="F407" s="59" t="str">
        <f t="shared" si="36"/>
        <v/>
      </c>
      <c r="G407" s="107"/>
      <c r="H407" s="60" t="str">
        <f t="shared" si="37"/>
        <v/>
      </c>
      <c r="I407" s="2"/>
    </row>
    <row r="408" spans="1:9" x14ac:dyDescent="0.25">
      <c r="B408" s="57" t="s">
        <v>1692</v>
      </c>
      <c r="C408" s="58"/>
      <c r="D408" s="61"/>
      <c r="E408" s="61"/>
      <c r="F408" s="61"/>
      <c r="G408" s="62"/>
      <c r="H408" s="60">
        <f>ROUND(SUM(H401:H407),2)</f>
        <v>0.46</v>
      </c>
      <c r="I408" s="2"/>
    </row>
    <row r="409" spans="1:9" x14ac:dyDescent="0.25">
      <c r="B409" s="38" t="s">
        <v>1503</v>
      </c>
      <c r="C409" s="2"/>
      <c r="D409" s="3"/>
      <c r="E409" s="3"/>
      <c r="F409" s="3"/>
      <c r="G409" s="63"/>
      <c r="H409" s="56"/>
      <c r="I409" s="2"/>
    </row>
    <row r="410" spans="1:9" ht="25.5" x14ac:dyDescent="0.25">
      <c r="B410" s="64" t="s">
        <v>1691</v>
      </c>
      <c r="C410" s="65"/>
      <c r="D410" s="66" t="s">
        <v>1690</v>
      </c>
      <c r="E410" s="66" t="s">
        <v>1689</v>
      </c>
      <c r="F410" s="66" t="s">
        <v>1688</v>
      </c>
      <c r="G410" s="67" t="s">
        <v>1687</v>
      </c>
      <c r="H410" s="68" t="s">
        <v>1686</v>
      </c>
      <c r="I410" s="2"/>
    </row>
    <row r="411" spans="1:9" x14ac:dyDescent="0.25">
      <c r="B411" s="69" t="str">
        <f>IF($A411=0,"",VLOOKUP($A411,'BASE M-OBRA'!$A:$D,2))</f>
        <v/>
      </c>
      <c r="C411" s="2"/>
      <c r="D411" s="108"/>
      <c r="E411" s="70" t="str">
        <f>IF($A411=0,"",VLOOKUP($A411,'BASE M-OBRA'!$A:$D,4))</f>
        <v/>
      </c>
      <c r="F411" s="55" t="str">
        <f t="shared" ref="F411:F417" si="38">IF($A411=0,"",ROUND(D411*E411,2))</f>
        <v/>
      </c>
      <c r="G411" s="106" t="str">
        <f>IF($A411=0,"",ROUND(H411/F411,2))</f>
        <v/>
      </c>
      <c r="H411" s="56" t="str">
        <f>IF($A411=0,"",ROUND(SUM(H412:H417)*'BASE M-OBRA'!$D$23,2))</f>
        <v/>
      </c>
      <c r="I411" s="2"/>
    </row>
    <row r="412" spans="1:9" x14ac:dyDescent="0.25">
      <c r="A412" s="103">
        <v>20011</v>
      </c>
      <c r="B412" s="69" t="str">
        <f>IF($A412=0,"",VLOOKUP($A412,'BASE M-OBRA'!$A:$D,2))</f>
        <v>AYUDANTE ESPECIALISTA</v>
      </c>
      <c r="C412" s="2"/>
      <c r="D412" s="108">
        <v>1</v>
      </c>
      <c r="E412" s="70">
        <f>IF($A412=0,"",VLOOKUP($A412,'BASE M-OBRA'!$A:$D,4))</f>
        <v>2.79</v>
      </c>
      <c r="F412" s="55">
        <f t="shared" si="38"/>
        <v>2.79</v>
      </c>
      <c r="G412" s="106">
        <v>2.75</v>
      </c>
      <c r="H412" s="56">
        <f t="shared" ref="H412:H417" si="39">IF($A412=0,"",ROUND(G412*F412,2))</f>
        <v>7.67</v>
      </c>
      <c r="I412" s="2"/>
    </row>
    <row r="413" spans="1:9" x14ac:dyDescent="0.25">
      <c r="A413" s="103">
        <v>20016</v>
      </c>
      <c r="B413" s="69" t="str">
        <f>IF($A413=0,"",VLOOKUP($A413,'BASE M-OBRA'!$A:$D,2))</f>
        <v>GAFITERO</v>
      </c>
      <c r="C413" s="2"/>
      <c r="D413" s="108">
        <v>1</v>
      </c>
      <c r="E413" s="70">
        <f>IF($A413=0,"",VLOOKUP($A413,'BASE M-OBRA'!$A:$D,4))</f>
        <v>2.82</v>
      </c>
      <c r="F413" s="55">
        <f t="shared" si="38"/>
        <v>2.82</v>
      </c>
      <c r="G413" s="106">
        <f>+G412</f>
        <v>2.75</v>
      </c>
      <c r="H413" s="56">
        <f t="shared" si="39"/>
        <v>7.76</v>
      </c>
      <c r="I413" s="2"/>
    </row>
    <row r="414" spans="1:9" x14ac:dyDescent="0.25">
      <c r="B414" s="71" t="str">
        <f>IF($A414=0,"",VLOOKUP($A414,'BASE M-OBRA'!$A:$D,2))</f>
        <v/>
      </c>
      <c r="C414" s="2"/>
      <c r="D414" s="108"/>
      <c r="E414" s="70" t="str">
        <f>IF($A414=0,"",VLOOKUP($A414,'BASE M-OBRA'!$A:$D,4))</f>
        <v/>
      </c>
      <c r="F414" s="55" t="str">
        <f t="shared" si="38"/>
        <v/>
      </c>
      <c r="G414" s="106"/>
      <c r="H414" s="56" t="str">
        <f t="shared" si="39"/>
        <v/>
      </c>
      <c r="I414" s="2"/>
    </row>
    <row r="415" spans="1:9" x14ac:dyDescent="0.25">
      <c r="B415" s="72" t="str">
        <f>IF($A415=0,"",VLOOKUP($A415,'BASE M-OBRA'!$A:$D,2))</f>
        <v/>
      </c>
      <c r="C415" s="2"/>
      <c r="D415" s="108"/>
      <c r="E415" s="70" t="str">
        <f>IF($A415=0,"",VLOOKUP($A415,'BASE M-OBRA'!$A:$D,4))</f>
        <v/>
      </c>
      <c r="F415" s="55" t="str">
        <f t="shared" si="38"/>
        <v/>
      </c>
      <c r="G415" s="106"/>
      <c r="H415" s="56" t="str">
        <f t="shared" si="39"/>
        <v/>
      </c>
      <c r="I415" s="2"/>
    </row>
    <row r="416" spans="1:9" x14ac:dyDescent="0.25">
      <c r="B416" s="38" t="str">
        <f>IF($A416=0,"",VLOOKUP($A416,'BASE M-OBRA'!$A:$D,2))</f>
        <v/>
      </c>
      <c r="C416" s="2"/>
      <c r="D416" s="55"/>
      <c r="E416" s="55" t="str">
        <f>IF($A416=0,"",VLOOKUP($A416,'BASE M-OBRA'!$A:$D,4))</f>
        <v/>
      </c>
      <c r="F416" s="55" t="str">
        <f t="shared" si="38"/>
        <v/>
      </c>
      <c r="G416" s="106"/>
      <c r="H416" s="56" t="str">
        <f t="shared" si="39"/>
        <v/>
      </c>
      <c r="I416" s="2"/>
    </row>
    <row r="417" spans="1:16" x14ac:dyDescent="0.25">
      <c r="B417" s="57" t="str">
        <f>IF($A417=0,"",VLOOKUP($A417,'BASE M-OBRA'!$A:$D,2))</f>
        <v/>
      </c>
      <c r="C417" s="58"/>
      <c r="D417" s="59"/>
      <c r="E417" s="59" t="str">
        <f>IF($A417=0,"",VLOOKUP($A417,'BASE M-OBRA'!$A:$D,4))</f>
        <v/>
      </c>
      <c r="F417" s="59" t="str">
        <f t="shared" si="38"/>
        <v/>
      </c>
      <c r="G417" s="107"/>
      <c r="H417" s="60" t="str">
        <f t="shared" si="39"/>
        <v/>
      </c>
      <c r="I417" s="2"/>
    </row>
    <row r="418" spans="1:16" x14ac:dyDescent="0.25">
      <c r="B418" s="73" t="s">
        <v>1685</v>
      </c>
      <c r="C418" s="65"/>
      <c r="D418" s="74"/>
      <c r="E418" s="74"/>
      <c r="F418" s="74"/>
      <c r="G418" s="74"/>
      <c r="H418" s="75">
        <f>ROUND(SUM(H410:H417),2)</f>
        <v>15.43</v>
      </c>
      <c r="I418" s="2"/>
    </row>
    <row r="419" spans="1:16" x14ac:dyDescent="0.25">
      <c r="B419" s="38" t="s">
        <v>1684</v>
      </c>
      <c r="C419" s="2"/>
      <c r="D419" s="3"/>
      <c r="E419" s="3"/>
      <c r="F419" s="3"/>
      <c r="G419" s="3"/>
      <c r="H419" s="56"/>
      <c r="I419" s="2"/>
    </row>
    <row r="420" spans="1:16" ht="25.5" x14ac:dyDescent="0.25">
      <c r="B420" s="64" t="s">
        <v>1409</v>
      </c>
      <c r="C420" s="65"/>
      <c r="D420" s="76"/>
      <c r="E420" s="66" t="s">
        <v>1408</v>
      </c>
      <c r="F420" s="66" t="s">
        <v>1679</v>
      </c>
      <c r="G420" s="66" t="s">
        <v>1683</v>
      </c>
      <c r="H420" s="68" t="s">
        <v>1675</v>
      </c>
      <c r="I420" s="2"/>
    </row>
    <row r="421" spans="1:16" x14ac:dyDescent="0.25">
      <c r="A421" s="103">
        <v>1</v>
      </c>
      <c r="B421" s="26" t="s">
        <v>35</v>
      </c>
      <c r="C421" s="2"/>
      <c r="D421" s="77"/>
      <c r="E421" s="78" t="s">
        <v>25</v>
      </c>
      <c r="F421" s="55">
        <v>1</v>
      </c>
      <c r="G421" s="55">
        <v>4.95</v>
      </c>
      <c r="H421" s="56">
        <f t="shared" ref="H421:H435" si="40">IF($A421=0,"",ROUND(F421*G421,2))</f>
        <v>4.95</v>
      </c>
      <c r="I421" s="2"/>
      <c r="J421" s="1">
        <f>11.13/1.12</f>
        <v>9.9375</v>
      </c>
      <c r="L421" s="2"/>
      <c r="M421" s="2"/>
      <c r="N421" s="39"/>
      <c r="O421" s="2"/>
      <c r="P421" s="2"/>
    </row>
    <row r="422" spans="1:16" x14ac:dyDescent="0.25">
      <c r="A422" s="103">
        <v>1</v>
      </c>
      <c r="B422" s="38" t="s">
        <v>34</v>
      </c>
      <c r="C422" s="2"/>
      <c r="D422" s="77"/>
      <c r="E422" s="78" t="s">
        <v>5</v>
      </c>
      <c r="F422" s="55">
        <v>1</v>
      </c>
      <c r="G422" s="55">
        <v>3.36</v>
      </c>
      <c r="H422" s="56">
        <f t="shared" si="40"/>
        <v>3.36</v>
      </c>
      <c r="I422" s="2"/>
      <c r="J422" s="1">
        <f>3.36/1.12</f>
        <v>2.9999999999999996</v>
      </c>
      <c r="L422" s="2"/>
      <c r="M422" s="2"/>
      <c r="N422" s="39"/>
      <c r="O422" s="2"/>
      <c r="P422" s="2"/>
    </row>
    <row r="423" spans="1:16" x14ac:dyDescent="0.25">
      <c r="A423" s="103">
        <v>1</v>
      </c>
      <c r="B423" s="38" t="s">
        <v>33</v>
      </c>
      <c r="C423" s="2"/>
      <c r="D423" s="77"/>
      <c r="E423" s="78" t="s">
        <v>5</v>
      </c>
      <c r="F423" s="55">
        <v>0.35</v>
      </c>
      <c r="G423" s="55">
        <f>3.5*1.12</f>
        <v>3.9200000000000004</v>
      </c>
      <c r="H423" s="56">
        <f t="shared" si="40"/>
        <v>1.37</v>
      </c>
      <c r="I423" s="2"/>
      <c r="L423" s="2"/>
      <c r="M423" s="2"/>
      <c r="N423" s="39"/>
      <c r="O423" s="2"/>
      <c r="P423" s="2"/>
    </row>
    <row r="424" spans="1:16" x14ac:dyDescent="0.25">
      <c r="A424" s="103">
        <v>1</v>
      </c>
      <c r="B424" s="38" t="s">
        <v>28</v>
      </c>
      <c r="C424" s="2"/>
      <c r="D424" s="77"/>
      <c r="E424" s="78" t="s">
        <v>5</v>
      </c>
      <c r="F424" s="55">
        <v>0.35</v>
      </c>
      <c r="G424" s="55">
        <f>3.8*1.12</f>
        <v>4.2560000000000002</v>
      </c>
      <c r="H424" s="56">
        <f t="shared" si="40"/>
        <v>1.49</v>
      </c>
      <c r="I424" s="2"/>
      <c r="L424" s="2"/>
      <c r="M424" s="2"/>
      <c r="N424" s="39"/>
      <c r="O424" s="2"/>
      <c r="P424" s="2"/>
    </row>
    <row r="425" spans="1:16" x14ac:dyDescent="0.25">
      <c r="A425" s="103">
        <v>1</v>
      </c>
      <c r="B425" s="38" t="s">
        <v>27</v>
      </c>
      <c r="C425" s="2"/>
      <c r="D425" s="77"/>
      <c r="E425" s="78" t="s">
        <v>5</v>
      </c>
      <c r="F425" s="55">
        <v>1</v>
      </c>
      <c r="G425" s="55">
        <f>1.2*1.12</f>
        <v>1.3440000000000001</v>
      </c>
      <c r="H425" s="56">
        <f t="shared" si="40"/>
        <v>1.34</v>
      </c>
      <c r="I425" s="2"/>
      <c r="L425" s="2"/>
      <c r="M425" s="2"/>
      <c r="N425" s="39"/>
      <c r="O425" s="2"/>
      <c r="P425" s="2"/>
    </row>
    <row r="426" spans="1:16" x14ac:dyDescent="0.25">
      <c r="A426" s="103">
        <v>1</v>
      </c>
      <c r="B426" s="38" t="s">
        <v>4</v>
      </c>
      <c r="C426" s="2"/>
      <c r="D426" s="77"/>
      <c r="E426" s="78" t="s">
        <v>2</v>
      </c>
      <c r="F426" s="55">
        <v>0.08</v>
      </c>
      <c r="G426" s="55">
        <v>12.63</v>
      </c>
      <c r="H426" s="56">
        <f t="shared" si="40"/>
        <v>1.01</v>
      </c>
      <c r="I426" s="2"/>
      <c r="L426" s="2"/>
      <c r="M426" s="2"/>
      <c r="N426" s="39"/>
      <c r="O426" s="2"/>
      <c r="P426" s="2"/>
    </row>
    <row r="427" spans="1:16" x14ac:dyDescent="0.25">
      <c r="A427" s="103">
        <v>1</v>
      </c>
      <c r="B427" s="38" t="s">
        <v>3</v>
      </c>
      <c r="C427" s="2"/>
      <c r="D427" s="77"/>
      <c r="E427" s="78" t="s">
        <v>2</v>
      </c>
      <c r="F427" s="55">
        <v>0.05</v>
      </c>
      <c r="G427" s="55">
        <v>6.89</v>
      </c>
      <c r="H427" s="56">
        <f t="shared" si="40"/>
        <v>0.34</v>
      </c>
      <c r="I427" s="2"/>
      <c r="L427" s="2"/>
      <c r="M427" s="2"/>
      <c r="N427" s="39"/>
      <c r="O427" s="2"/>
      <c r="P427" s="2"/>
    </row>
    <row r="428" spans="1:16" x14ac:dyDescent="0.25">
      <c r="B428" s="38"/>
      <c r="C428" s="2"/>
      <c r="D428" s="77"/>
      <c r="E428" s="78"/>
      <c r="F428" s="55"/>
      <c r="G428" s="55"/>
      <c r="H428" s="56" t="str">
        <f t="shared" si="40"/>
        <v/>
      </c>
      <c r="I428" s="2"/>
      <c r="L428" s="2"/>
      <c r="M428" s="2"/>
      <c r="N428" s="39"/>
      <c r="O428" s="2"/>
      <c r="P428" s="2"/>
    </row>
    <row r="429" spans="1:16" x14ac:dyDescent="0.25">
      <c r="B429" s="38"/>
      <c r="C429" s="2"/>
      <c r="D429" s="77"/>
      <c r="E429" s="78"/>
      <c r="F429" s="55"/>
      <c r="G429" s="55"/>
      <c r="H429" s="56" t="str">
        <f t="shared" si="40"/>
        <v/>
      </c>
      <c r="I429" s="2"/>
    </row>
    <row r="430" spans="1:16" x14ac:dyDescent="0.25">
      <c r="B430" s="38" t="str">
        <f>IF($A430=0,"",VLOOKUP($A430,'BASE MATERIAL'!$A:$D,2))</f>
        <v/>
      </c>
      <c r="C430" s="2"/>
      <c r="D430" s="77"/>
      <c r="E430" s="78" t="str">
        <f>IF($A430=0,"",VLOOKUP($A430,'BASE MATERIAL'!$A:$D,3))</f>
        <v/>
      </c>
      <c r="F430" s="55"/>
      <c r="G430" s="55" t="str">
        <f>IF($A430=0,"",VLOOKUP($A430,'BASE MATERIAL'!$A:$D,4))</f>
        <v/>
      </c>
      <c r="H430" s="56" t="str">
        <f t="shared" si="40"/>
        <v/>
      </c>
      <c r="I430" s="2"/>
      <c r="L430" s="2"/>
      <c r="M430" s="2"/>
      <c r="N430" s="39"/>
      <c r="O430" s="2"/>
      <c r="P430" s="2"/>
    </row>
    <row r="431" spans="1:16" x14ac:dyDescent="0.25">
      <c r="B431" s="38" t="str">
        <f>IF($A431=0,"",VLOOKUP($A431,'BASE MATERIAL'!$A:$D,2))</f>
        <v/>
      </c>
      <c r="C431" s="2"/>
      <c r="D431" s="77"/>
      <c r="E431" s="78" t="str">
        <f>IF($A431=0,"",VLOOKUP($A431,'BASE MATERIAL'!$A:$D,3))</f>
        <v/>
      </c>
      <c r="F431" s="55"/>
      <c r="G431" s="55" t="str">
        <f>IF($A431=0,"",VLOOKUP($A431,'BASE MATERIAL'!$A:$D,4))</f>
        <v/>
      </c>
      <c r="H431" s="56" t="str">
        <f t="shared" si="40"/>
        <v/>
      </c>
      <c r="I431" s="2"/>
      <c r="L431" s="2"/>
      <c r="M431" s="2"/>
      <c r="N431" s="39"/>
      <c r="O431" s="2"/>
      <c r="P431" s="2"/>
    </row>
    <row r="432" spans="1:16" x14ac:dyDescent="0.25">
      <c r="B432" s="38" t="str">
        <f>IF($A432=0,"",VLOOKUP($A432,'BASE MATERIAL'!$A:$D,2))</f>
        <v/>
      </c>
      <c r="C432" s="2"/>
      <c r="D432" s="77"/>
      <c r="E432" s="78" t="str">
        <f>IF($A432=0,"",VLOOKUP($A432,'BASE MATERIAL'!$A:$D,3))</f>
        <v/>
      </c>
      <c r="F432" s="55"/>
      <c r="G432" s="55" t="str">
        <f>IF($A432=0,"",VLOOKUP($A432,'BASE MATERIAL'!$A:$D,4))</f>
        <v/>
      </c>
      <c r="H432" s="56" t="str">
        <f t="shared" si="40"/>
        <v/>
      </c>
      <c r="I432" s="2"/>
    </row>
    <row r="433" spans="1:9" x14ac:dyDescent="0.25">
      <c r="B433" s="38" t="str">
        <f>IF($A433=0,"",VLOOKUP($A433,'BASE MATERIAL'!$A:$D,2))</f>
        <v/>
      </c>
      <c r="C433" s="2"/>
      <c r="D433" s="77"/>
      <c r="E433" s="78" t="str">
        <f>IF($A433=0,"",VLOOKUP($A433,'BASE MATERIAL'!$A:$D,3))</f>
        <v/>
      </c>
      <c r="F433" s="55"/>
      <c r="G433" s="55" t="str">
        <f>IF($A433=0,"",VLOOKUP($A433,'BASE MATERIAL'!$A:$D,4))</f>
        <v/>
      </c>
      <c r="H433" s="56" t="str">
        <f t="shared" si="40"/>
        <v/>
      </c>
      <c r="I433" s="2"/>
    </row>
    <row r="434" spans="1:9" x14ac:dyDescent="0.25">
      <c r="B434" s="38" t="str">
        <f>IF($A434=0,"",VLOOKUP($A434,'BASE MATERIAL'!$A:$D,2))</f>
        <v/>
      </c>
      <c r="C434" s="2"/>
      <c r="D434" s="77"/>
      <c r="E434" s="78" t="str">
        <f>IF($A434=0,"",VLOOKUP($A434,'BASE MATERIAL'!$A:$D,3))</f>
        <v/>
      </c>
      <c r="F434" s="55"/>
      <c r="G434" s="55" t="str">
        <f>IF($A434=0,"",VLOOKUP($A434,'BASE MATERIAL'!$A:$D,4))</f>
        <v/>
      </c>
      <c r="H434" s="56" t="str">
        <f t="shared" si="40"/>
        <v/>
      </c>
      <c r="I434" s="2"/>
    </row>
    <row r="435" spans="1:9" x14ac:dyDescent="0.25">
      <c r="B435" s="38" t="str">
        <f>IF($A435=0,"",VLOOKUP($A435,'BASE MATERIAL'!$A:$D,2))</f>
        <v/>
      </c>
      <c r="C435" s="2"/>
      <c r="D435" s="77"/>
      <c r="E435" s="78" t="str">
        <f>IF($A435=0,"",VLOOKUP($A435,'BASE MATERIAL'!$A:$D,3))</f>
        <v/>
      </c>
      <c r="F435" s="55"/>
      <c r="G435" s="55" t="str">
        <f>IF($A435=0,"",VLOOKUP($A435,'BASE MATERIAL'!$A:$D,4))</f>
        <v/>
      </c>
      <c r="H435" s="56" t="str">
        <f t="shared" si="40"/>
        <v/>
      </c>
      <c r="I435" s="2"/>
    </row>
    <row r="436" spans="1:9" x14ac:dyDescent="0.25">
      <c r="B436" s="38" t="str">
        <f>IF($A436=0,"",VLOOKUP($A436,'BASE MATERIAL'!$A:$D,2))</f>
        <v/>
      </c>
      <c r="C436" s="2"/>
      <c r="D436" s="81" t="s">
        <v>1682</v>
      </c>
      <c r="E436" s="55" t="str">
        <f>IF($A436=0,"",VLOOKUP($A436,'BASE MATERIAL'!$A:$D,3))</f>
        <v/>
      </c>
      <c r="F436" s="55" t="s">
        <v>1682</v>
      </c>
      <c r="G436" s="55" t="str">
        <f>IF($A436=0,"",VLOOKUP($A436,'BASE MATERIAL'!$A:$D,4))</f>
        <v/>
      </c>
      <c r="H436" s="56" t="str">
        <f>IF($A436=0,"",ROUND(E436*F436,2))</f>
        <v/>
      </c>
      <c r="I436" s="2"/>
    </row>
    <row r="437" spans="1:9" x14ac:dyDescent="0.25">
      <c r="B437" s="73" t="s">
        <v>1681</v>
      </c>
      <c r="C437" s="65"/>
      <c r="D437" s="74"/>
      <c r="E437" s="74"/>
      <c r="F437" s="74"/>
      <c r="G437" s="74"/>
      <c r="H437" s="75">
        <f>ROUND(SUM(H420:H436),2)</f>
        <v>13.86</v>
      </c>
      <c r="I437" s="2"/>
    </row>
    <row r="438" spans="1:9" x14ac:dyDescent="0.25">
      <c r="B438" s="38" t="s">
        <v>1680</v>
      </c>
      <c r="C438" s="2"/>
      <c r="D438" s="3"/>
      <c r="E438" s="3"/>
      <c r="F438" s="3"/>
      <c r="G438" s="3"/>
      <c r="H438" s="56"/>
      <c r="I438" s="2"/>
    </row>
    <row r="439" spans="1:9" ht="25.5" x14ac:dyDescent="0.25">
      <c r="B439" s="64" t="s">
        <v>1409</v>
      </c>
      <c r="C439" s="65"/>
      <c r="D439" s="76"/>
      <c r="E439" s="66" t="s">
        <v>1408</v>
      </c>
      <c r="F439" s="66" t="s">
        <v>1679</v>
      </c>
      <c r="G439" s="66" t="s">
        <v>1676</v>
      </c>
      <c r="H439" s="68" t="s">
        <v>1675</v>
      </c>
      <c r="I439" s="2"/>
    </row>
    <row r="440" spans="1:9" x14ac:dyDescent="0.25">
      <c r="A440" s="103">
        <v>19019</v>
      </c>
      <c r="B440" s="51" t="str">
        <f>IF($A440=0,"",VLOOKUP($A440,'BASE EQUIPO'!$A:$D,2))</f>
        <v>TRANSPORTE DE MATERIAL</v>
      </c>
      <c r="C440" s="52"/>
      <c r="D440" s="82"/>
      <c r="E440" s="78" t="str">
        <f>IF($A440=0,"",VLOOKUP($A440,'BASE EQUIPO'!$A:$D,3))</f>
        <v>GLOBAL</v>
      </c>
      <c r="F440" s="55">
        <v>1</v>
      </c>
      <c r="G440" s="83">
        <f>IF($A440=0,"",VLOOKUP($A440,'BASE EQUIPO'!$A:$D,4)*H437)</f>
        <v>0.41579999999999995</v>
      </c>
      <c r="H440" s="56">
        <f>IF($A440=0,"",ROUND(F440*G440,2))</f>
        <v>0.42</v>
      </c>
      <c r="I440" s="2"/>
    </row>
    <row r="441" spans="1:9" x14ac:dyDescent="0.25">
      <c r="B441" s="38" t="str">
        <f>IF($A441=0,"",VLOOKUP($A441,'BASE EQUIPO'!$A:$D,2))</f>
        <v/>
      </c>
      <c r="C441" s="2"/>
      <c r="D441" s="84"/>
      <c r="E441" s="78" t="str">
        <f>IF($A441=0,"",VLOOKUP($A441,'BASE EQUIPO'!$A:$D,3))</f>
        <v/>
      </c>
      <c r="F441" s="55"/>
      <c r="G441" s="55" t="str">
        <f>IF($A441=0,"",VLOOKUP($A441,'BASE EQUIPO'!$A:$D,4)*H438)</f>
        <v/>
      </c>
      <c r="H441" s="56" t="str">
        <f>IF($A441=0,"",ROUND(F441*G441,2))</f>
        <v/>
      </c>
      <c r="I441" s="2"/>
    </row>
    <row r="442" spans="1:9" x14ac:dyDescent="0.25">
      <c r="B442" s="57" t="str">
        <f>IF($A442=0,"",VLOOKUP($A442,'BASE EQUIPO'!$A:$D,2))</f>
        <v/>
      </c>
      <c r="C442" s="58"/>
      <c r="D442" s="85"/>
      <c r="E442" s="86" t="str">
        <f>IF($A442=0,"",VLOOKUP($A442,'BASE EQUIPO'!$A:$D,3))</f>
        <v/>
      </c>
      <c r="F442" s="59"/>
      <c r="G442" s="59" t="str">
        <f>IF($A442=0,"",VLOOKUP($A442,'BASE EQUIPO'!$A:$D,4)*H439)</f>
        <v/>
      </c>
      <c r="H442" s="60" t="str">
        <f>IF($A442=0,"",ROUND(F442*G442,2))</f>
        <v/>
      </c>
      <c r="I442" s="2"/>
    </row>
    <row r="443" spans="1:9" ht="15.75" thickBot="1" x14ac:dyDescent="0.3">
      <c r="B443" s="87" t="s">
        <v>1674</v>
      </c>
      <c r="C443" s="88"/>
      <c r="D443" s="89"/>
      <c r="E443" s="89"/>
      <c r="F443" s="89"/>
      <c r="G443" s="89"/>
      <c r="H443" s="90">
        <f>ROUND(SUM(H439:H442),2)</f>
        <v>0.42</v>
      </c>
      <c r="I443" s="2"/>
    </row>
    <row r="444" spans="1:9" ht="15.75" x14ac:dyDescent="0.25">
      <c r="B444" s="2"/>
      <c r="C444" s="2"/>
      <c r="D444" s="91" t="s">
        <v>1673</v>
      </c>
      <c r="E444" s="47"/>
      <c r="F444" s="47"/>
      <c r="G444" s="47"/>
      <c r="H444" s="92">
        <f>ROUND(SUM(H443,H437,H418,H408),2)</f>
        <v>30.17</v>
      </c>
      <c r="I444" s="2"/>
    </row>
    <row r="445" spans="1:9" ht="15.75" x14ac:dyDescent="0.25">
      <c r="A445" s="103">
        <v>40002</v>
      </c>
      <c r="B445" s="2"/>
      <c r="C445" s="2"/>
      <c r="D445" s="93" t="s">
        <v>1672</v>
      </c>
      <c r="E445" s="65"/>
      <c r="F445" s="65"/>
      <c r="G445" s="94">
        <f>IF($A445=0,"",VLOOKUP($A445,'BASE MATERIAL'!$M:$P,4))</f>
        <v>0</v>
      </c>
      <c r="H445" s="95">
        <f>IF($A445=0,"",ROUND(G445*H444,2))</f>
        <v>0</v>
      </c>
      <c r="I445" s="2"/>
    </row>
    <row r="446" spans="1:9" ht="15.75" x14ac:dyDescent="0.25">
      <c r="A446" s="103">
        <v>40003</v>
      </c>
      <c r="B446" s="2"/>
      <c r="C446" s="2"/>
      <c r="D446" s="93" t="s">
        <v>1671</v>
      </c>
      <c r="E446" s="65"/>
      <c r="F446" s="65"/>
      <c r="G446" s="94">
        <f>IF($A446=0,"",VLOOKUP($A446,'BASE MATERIAL'!$M:$P,4))</f>
        <v>0</v>
      </c>
      <c r="H446" s="95">
        <f>IF($A446=0,"",ROUND(G446*H444,2))</f>
        <v>0</v>
      </c>
      <c r="I446" s="2"/>
    </row>
    <row r="447" spans="1:9" ht="15.75" x14ac:dyDescent="0.25">
      <c r="B447" s="2"/>
      <c r="C447" s="2"/>
      <c r="D447" s="93" t="s">
        <v>1670</v>
      </c>
      <c r="E447" s="65"/>
      <c r="F447" s="65"/>
      <c r="G447" s="65"/>
      <c r="H447" s="96">
        <f>ROUND(SUM(H444:H446),2)</f>
        <v>30.17</v>
      </c>
      <c r="I447" s="2"/>
    </row>
    <row r="448" spans="1:9" ht="16.5" thickBot="1" x14ac:dyDescent="0.3">
      <c r="B448" s="25"/>
      <c r="C448" s="2"/>
      <c r="D448" s="97" t="s">
        <v>1650</v>
      </c>
      <c r="E448" s="88"/>
      <c r="F448" s="88"/>
      <c r="G448" s="88"/>
      <c r="H448" s="98">
        <f>ROUND(H447,2)</f>
        <v>30.17</v>
      </c>
      <c r="I448" s="2"/>
    </row>
    <row r="449" spans="1:15" ht="15.75" x14ac:dyDescent="0.25">
      <c r="B449" s="34" t="s">
        <v>1701</v>
      </c>
      <c r="C449" s="2"/>
      <c r="D449" s="3" t="str">
        <f>$D$57</f>
        <v>ESPOL</v>
      </c>
      <c r="E449" s="2"/>
      <c r="F449" s="2"/>
      <c r="H449" s="2" t="s">
        <v>108</v>
      </c>
      <c r="I449" s="2"/>
      <c r="L449" s="40">
        <f>A453</f>
        <v>17</v>
      </c>
      <c r="M449" s="1" t="str">
        <f>C454</f>
        <v>Puntos de 50mm</v>
      </c>
      <c r="N449" s="2" t="str">
        <f>H453</f>
        <v>U</v>
      </c>
      <c r="O449" s="2">
        <f>H504</f>
        <v>22.13</v>
      </c>
    </row>
    <row r="450" spans="1:15" ht="15.75" x14ac:dyDescent="0.25">
      <c r="B450" s="34" t="s">
        <v>1700</v>
      </c>
      <c r="C450" s="3">
        <f>'1.1'!$C$2</f>
        <v>0</v>
      </c>
      <c r="D450" s="2"/>
      <c r="E450" s="2"/>
      <c r="F450" s="2"/>
      <c r="G450" s="41" t="s">
        <v>1699</v>
      </c>
      <c r="H450" s="42"/>
      <c r="I450" s="2" t="s">
        <v>1698</v>
      </c>
    </row>
    <row r="451" spans="1:15" ht="15.75" x14ac:dyDescent="0.25">
      <c r="B451" s="34"/>
      <c r="C451" s="3">
        <f>'1.1'!$C$3</f>
        <v>0</v>
      </c>
      <c r="D451" s="2"/>
      <c r="E451" s="2"/>
      <c r="F451" s="2"/>
      <c r="G451" s="2"/>
      <c r="H451" s="2"/>
      <c r="I451" s="2"/>
    </row>
    <row r="452" spans="1:15" ht="15.75" x14ac:dyDescent="0.25">
      <c r="B452" s="34" t="s">
        <v>1697</v>
      </c>
      <c r="C452" s="3"/>
      <c r="D452" s="2"/>
      <c r="E452" s="2"/>
      <c r="F452" s="2"/>
      <c r="G452" s="2"/>
      <c r="H452" s="2"/>
      <c r="I452" s="2"/>
    </row>
    <row r="453" spans="1:15" x14ac:dyDescent="0.25">
      <c r="A453" s="104">
        <v>17</v>
      </c>
      <c r="B453" s="2" t="s">
        <v>1586</v>
      </c>
      <c r="C453" s="101" t="s">
        <v>698</v>
      </c>
      <c r="D453" s="2"/>
      <c r="G453" s="2" t="s">
        <v>1696</v>
      </c>
      <c r="H453" s="3" t="s">
        <v>744</v>
      </c>
      <c r="I453" s="2"/>
    </row>
    <row r="454" spans="1:15" x14ac:dyDescent="0.25">
      <c r="B454" s="1" t="s">
        <v>1585</v>
      </c>
      <c r="C454" s="36" t="s">
        <v>1514</v>
      </c>
      <c r="D454" s="2"/>
      <c r="E454" s="2"/>
      <c r="F454" s="2"/>
      <c r="G454" s="2"/>
      <c r="H454" s="2"/>
      <c r="I454" s="2"/>
    </row>
    <row r="455" spans="1:15" ht="15.75" thickBot="1" x14ac:dyDescent="0.3">
      <c r="D455" s="2"/>
      <c r="E455" s="2"/>
      <c r="F455" s="2"/>
      <c r="G455" s="2"/>
      <c r="H455" s="2"/>
      <c r="I455" s="2"/>
    </row>
    <row r="456" spans="1:15" ht="15.75" thickBot="1" x14ac:dyDescent="0.3">
      <c r="B456" s="43" t="s">
        <v>1695</v>
      </c>
      <c r="C456" s="44"/>
      <c r="D456" s="44"/>
      <c r="E456" s="44"/>
      <c r="F456" s="44"/>
      <c r="G456" s="44"/>
      <c r="H456" s="45"/>
      <c r="I456" s="2"/>
    </row>
    <row r="457" spans="1:15" ht="25.5" x14ac:dyDescent="0.25">
      <c r="B457" s="46" t="s">
        <v>1409</v>
      </c>
      <c r="C457" s="47"/>
      <c r="D457" s="48" t="s">
        <v>1690</v>
      </c>
      <c r="E457" s="48" t="s">
        <v>1694</v>
      </c>
      <c r="F457" s="48" t="s">
        <v>1693</v>
      </c>
      <c r="G457" s="49" t="s">
        <v>1687</v>
      </c>
      <c r="H457" s="50" t="s">
        <v>1686</v>
      </c>
      <c r="I457" s="2"/>
    </row>
    <row r="458" spans="1:15" x14ac:dyDescent="0.25">
      <c r="A458" s="103">
        <v>19015</v>
      </c>
      <c r="B458" s="51" t="str">
        <f>IF($A458=0,"",VLOOKUP($A458,'BASE EQUIPO'!$A:$D,2))</f>
        <v>HERRAMIENTA MENOR</v>
      </c>
      <c r="C458" s="52"/>
      <c r="D458" s="53">
        <v>1</v>
      </c>
      <c r="E458" s="53">
        <f>IF($A458=0,"",VLOOKUP($A458,'BASE EQUIPO'!$A:$D,4)*H474)</f>
        <v>0.46289999999999998</v>
      </c>
      <c r="F458" s="53">
        <f t="shared" ref="F458:F463" si="41">IF($A458=0,"",ROUND(D458*E458,2))</f>
        <v>0.46</v>
      </c>
      <c r="G458" s="105">
        <v>1</v>
      </c>
      <c r="H458" s="54">
        <f t="shared" ref="H458:H463" si="42">IF($A458=0,"",ROUND(G458*F458,2))</f>
        <v>0.46</v>
      </c>
      <c r="I458" s="2"/>
    </row>
    <row r="459" spans="1:15" x14ac:dyDescent="0.25">
      <c r="B459" s="38" t="str">
        <f>IF($A459=0,"",VLOOKUP($A459,'BASE EQUIPO'!$A:$D,2))</f>
        <v/>
      </c>
      <c r="C459" s="2"/>
      <c r="D459" s="55"/>
      <c r="E459" s="55" t="str">
        <f>IF($A459=0,"",VLOOKUP($A459,'BASE EQUIPO'!$A:$D,4))</f>
        <v/>
      </c>
      <c r="F459" s="55" t="str">
        <f t="shared" si="41"/>
        <v/>
      </c>
      <c r="G459" s="106"/>
      <c r="H459" s="56" t="str">
        <f t="shared" si="42"/>
        <v/>
      </c>
      <c r="I459" s="2"/>
    </row>
    <row r="460" spans="1:15" x14ac:dyDescent="0.25">
      <c r="B460" s="38" t="str">
        <f>IF($A460=0,"",VLOOKUP($A460,'BASE EQUIPO'!$A:$D,2))</f>
        <v/>
      </c>
      <c r="C460" s="2"/>
      <c r="D460" s="55"/>
      <c r="E460" s="55" t="str">
        <f>IF($A460=0,"",VLOOKUP($A460,'BASE EQUIPO'!$A:$D,4))</f>
        <v/>
      </c>
      <c r="F460" s="55" t="str">
        <f t="shared" si="41"/>
        <v/>
      </c>
      <c r="G460" s="106"/>
      <c r="H460" s="56" t="str">
        <f t="shared" si="42"/>
        <v/>
      </c>
      <c r="I460" s="2"/>
    </row>
    <row r="461" spans="1:15" x14ac:dyDescent="0.25">
      <c r="B461" s="38" t="str">
        <f>IF($A461=0,"",VLOOKUP($A461,'BASE EQUIPO'!$A:$D,2))</f>
        <v/>
      </c>
      <c r="C461" s="2"/>
      <c r="D461" s="55"/>
      <c r="E461" s="55" t="str">
        <f>IF($A461=0,"",VLOOKUP($A461,'BASE EQUIPO'!$A:$D,4))</f>
        <v/>
      </c>
      <c r="F461" s="55" t="str">
        <f t="shared" si="41"/>
        <v/>
      </c>
      <c r="G461" s="106"/>
      <c r="H461" s="56" t="str">
        <f t="shared" si="42"/>
        <v/>
      </c>
      <c r="I461" s="2"/>
    </row>
    <row r="462" spans="1:15" x14ac:dyDescent="0.25">
      <c r="B462" s="38" t="str">
        <f>IF($A462=0,"",VLOOKUP($A462,'BASE EQUIPO'!$A:$D,2))</f>
        <v/>
      </c>
      <c r="C462" s="2"/>
      <c r="D462" s="55"/>
      <c r="E462" s="55" t="str">
        <f>IF($A462=0,"",VLOOKUP($A462,'BASE EQUIPO'!$A:$D,4))</f>
        <v/>
      </c>
      <c r="F462" s="55" t="str">
        <f t="shared" si="41"/>
        <v/>
      </c>
      <c r="G462" s="106"/>
      <c r="H462" s="56" t="str">
        <f t="shared" si="42"/>
        <v/>
      </c>
      <c r="I462" s="2"/>
    </row>
    <row r="463" spans="1:15" x14ac:dyDescent="0.25">
      <c r="B463" s="57" t="str">
        <f>IF($A463=0,"",VLOOKUP($A463,'BASE EQUIPO'!$A:$D,2))</f>
        <v/>
      </c>
      <c r="C463" s="58"/>
      <c r="D463" s="59"/>
      <c r="E463" s="59" t="str">
        <f>IF($A463=0,"",VLOOKUP($A463,'BASE EQUIPO'!$A:$D,4))</f>
        <v/>
      </c>
      <c r="F463" s="59" t="str">
        <f t="shared" si="41"/>
        <v/>
      </c>
      <c r="G463" s="107"/>
      <c r="H463" s="60" t="str">
        <f t="shared" si="42"/>
        <v/>
      </c>
      <c r="I463" s="2"/>
    </row>
    <row r="464" spans="1:15" x14ac:dyDescent="0.25">
      <c r="B464" s="57" t="s">
        <v>1692</v>
      </c>
      <c r="C464" s="58"/>
      <c r="D464" s="61"/>
      <c r="E464" s="61"/>
      <c r="F464" s="61"/>
      <c r="G464" s="62"/>
      <c r="H464" s="60">
        <f>ROUND(SUM(H457:H463),2)</f>
        <v>0.46</v>
      </c>
      <c r="I464" s="2"/>
    </row>
    <row r="465" spans="1:16" x14ac:dyDescent="0.25">
      <c r="B465" s="38" t="s">
        <v>1503</v>
      </c>
      <c r="C465" s="2"/>
      <c r="D465" s="3"/>
      <c r="E465" s="3"/>
      <c r="F465" s="3"/>
      <c r="G465" s="63"/>
      <c r="H465" s="56"/>
      <c r="I465" s="2"/>
    </row>
    <row r="466" spans="1:16" ht="25.5" x14ac:dyDescent="0.25">
      <c r="B466" s="64" t="s">
        <v>1691</v>
      </c>
      <c r="C466" s="65"/>
      <c r="D466" s="66" t="s">
        <v>1690</v>
      </c>
      <c r="E466" s="66" t="s">
        <v>1689</v>
      </c>
      <c r="F466" s="66" t="s">
        <v>1688</v>
      </c>
      <c r="G466" s="67" t="s">
        <v>1687</v>
      </c>
      <c r="H466" s="68" t="s">
        <v>1686</v>
      </c>
      <c r="I466" s="2"/>
    </row>
    <row r="467" spans="1:16" x14ac:dyDescent="0.25">
      <c r="B467" s="69" t="str">
        <f>IF($A467=0,"",VLOOKUP($A467,'BASE M-OBRA'!$A:$D,2))</f>
        <v/>
      </c>
      <c r="C467" s="2"/>
      <c r="D467" s="108"/>
      <c r="E467" s="70" t="str">
        <f>IF($A467=0,"",VLOOKUP($A467,'BASE M-OBRA'!$A:$D,4))</f>
        <v/>
      </c>
      <c r="F467" s="55" t="str">
        <f t="shared" ref="F467:F473" si="43">IF($A467=0,"",ROUND(D467*E467,2))</f>
        <v/>
      </c>
      <c r="G467" s="106" t="str">
        <f>IF($A467=0,"",ROUND(H467/F467,2))</f>
        <v/>
      </c>
      <c r="H467" s="56" t="str">
        <f>IF($A467=0,"",ROUND(SUM(H468:H473)*'BASE M-OBRA'!$D$23,2))</f>
        <v/>
      </c>
      <c r="I467" s="2"/>
    </row>
    <row r="468" spans="1:16" x14ac:dyDescent="0.25">
      <c r="A468" s="103">
        <v>20011</v>
      </c>
      <c r="B468" s="69" t="str">
        <f>IF($A468=0,"",VLOOKUP($A468,'BASE M-OBRA'!$A:$D,2))</f>
        <v>AYUDANTE ESPECIALISTA</v>
      </c>
      <c r="C468" s="2"/>
      <c r="D468" s="108">
        <v>1</v>
      </c>
      <c r="E468" s="70">
        <f>IF($A468=0,"",VLOOKUP($A468,'BASE M-OBRA'!$A:$D,4))</f>
        <v>2.79</v>
      </c>
      <c r="F468" s="55">
        <f t="shared" si="43"/>
        <v>2.79</v>
      </c>
      <c r="G468" s="106">
        <v>2.75</v>
      </c>
      <c r="H468" s="56">
        <f t="shared" ref="H468:H473" si="44">IF($A468=0,"",ROUND(G468*F468,2))</f>
        <v>7.67</v>
      </c>
      <c r="I468" s="2"/>
    </row>
    <row r="469" spans="1:16" x14ac:dyDescent="0.25">
      <c r="A469" s="103">
        <v>20016</v>
      </c>
      <c r="B469" s="69" t="str">
        <f>IF($A469=0,"",VLOOKUP($A469,'BASE M-OBRA'!$A:$D,2))</f>
        <v>GAFITERO</v>
      </c>
      <c r="C469" s="2"/>
      <c r="D469" s="108">
        <v>1</v>
      </c>
      <c r="E469" s="70">
        <f>IF($A469=0,"",VLOOKUP($A469,'BASE M-OBRA'!$A:$D,4))</f>
        <v>2.82</v>
      </c>
      <c r="F469" s="55">
        <f t="shared" si="43"/>
        <v>2.82</v>
      </c>
      <c r="G469" s="106">
        <f>+G468</f>
        <v>2.75</v>
      </c>
      <c r="H469" s="56">
        <f t="shared" si="44"/>
        <v>7.76</v>
      </c>
      <c r="I469" s="2"/>
    </row>
    <row r="470" spans="1:16" x14ac:dyDescent="0.25">
      <c r="B470" s="71" t="str">
        <f>IF($A470=0,"",VLOOKUP($A470,'BASE M-OBRA'!$A:$D,2))</f>
        <v/>
      </c>
      <c r="C470" s="2"/>
      <c r="D470" s="108"/>
      <c r="E470" s="70" t="str">
        <f>IF($A470=0,"",VLOOKUP($A470,'BASE M-OBRA'!$A:$D,4))</f>
        <v/>
      </c>
      <c r="F470" s="55" t="str">
        <f t="shared" si="43"/>
        <v/>
      </c>
      <c r="G470" s="106"/>
      <c r="H470" s="56" t="str">
        <f t="shared" si="44"/>
        <v/>
      </c>
      <c r="I470" s="2"/>
    </row>
    <row r="471" spans="1:16" x14ac:dyDescent="0.25">
      <c r="B471" s="72" t="str">
        <f>IF($A471=0,"",VLOOKUP($A471,'BASE M-OBRA'!$A:$D,2))</f>
        <v/>
      </c>
      <c r="C471" s="2"/>
      <c r="D471" s="108"/>
      <c r="E471" s="70" t="str">
        <f>IF($A471=0,"",VLOOKUP($A471,'BASE M-OBRA'!$A:$D,4))</f>
        <v/>
      </c>
      <c r="F471" s="55" t="str">
        <f t="shared" si="43"/>
        <v/>
      </c>
      <c r="G471" s="106"/>
      <c r="H471" s="56" t="str">
        <f t="shared" si="44"/>
        <v/>
      </c>
      <c r="I471" s="2"/>
    </row>
    <row r="472" spans="1:16" x14ac:dyDescent="0.25">
      <c r="B472" s="38" t="str">
        <f>IF($A472=0,"",VLOOKUP($A472,'BASE M-OBRA'!$A:$D,2))</f>
        <v/>
      </c>
      <c r="C472" s="2"/>
      <c r="D472" s="55"/>
      <c r="E472" s="55" t="str">
        <f>IF($A472=0,"",VLOOKUP($A472,'BASE M-OBRA'!$A:$D,4))</f>
        <v/>
      </c>
      <c r="F472" s="55" t="str">
        <f t="shared" si="43"/>
        <v/>
      </c>
      <c r="G472" s="106"/>
      <c r="H472" s="56" t="str">
        <f t="shared" si="44"/>
        <v/>
      </c>
      <c r="I472" s="2"/>
    </row>
    <row r="473" spans="1:16" x14ac:dyDescent="0.25">
      <c r="B473" s="57" t="str">
        <f>IF($A473=0,"",VLOOKUP($A473,'BASE M-OBRA'!$A:$D,2))</f>
        <v/>
      </c>
      <c r="C473" s="58"/>
      <c r="D473" s="59"/>
      <c r="E473" s="59" t="str">
        <f>IF($A473=0,"",VLOOKUP($A473,'BASE M-OBRA'!$A:$D,4))</f>
        <v/>
      </c>
      <c r="F473" s="59" t="str">
        <f t="shared" si="43"/>
        <v/>
      </c>
      <c r="G473" s="107"/>
      <c r="H473" s="60" t="str">
        <f t="shared" si="44"/>
        <v/>
      </c>
      <c r="I473" s="2"/>
    </row>
    <row r="474" spans="1:16" x14ac:dyDescent="0.25">
      <c r="B474" s="73" t="s">
        <v>1685</v>
      </c>
      <c r="C474" s="65"/>
      <c r="D474" s="74"/>
      <c r="E474" s="74"/>
      <c r="F474" s="74"/>
      <c r="G474" s="74"/>
      <c r="H474" s="75">
        <f>ROUND(SUM(H466:H473),2)</f>
        <v>15.43</v>
      </c>
      <c r="I474" s="2"/>
    </row>
    <row r="475" spans="1:16" x14ac:dyDescent="0.25">
      <c r="B475" s="38" t="s">
        <v>1684</v>
      </c>
      <c r="C475" s="2"/>
      <c r="D475" s="3"/>
      <c r="E475" s="3"/>
      <c r="F475" s="3"/>
      <c r="G475" s="3"/>
      <c r="H475" s="56"/>
      <c r="I475" s="2"/>
    </row>
    <row r="476" spans="1:16" ht="25.5" x14ac:dyDescent="0.25">
      <c r="B476" s="64" t="s">
        <v>1409</v>
      </c>
      <c r="C476" s="65"/>
      <c r="D476" s="76"/>
      <c r="E476" s="66" t="s">
        <v>1408</v>
      </c>
      <c r="F476" s="66" t="s">
        <v>1679</v>
      </c>
      <c r="G476" s="66" t="s">
        <v>1683</v>
      </c>
      <c r="H476" s="68" t="s">
        <v>1675</v>
      </c>
      <c r="I476" s="2"/>
    </row>
    <row r="477" spans="1:16" x14ac:dyDescent="0.25">
      <c r="A477" s="103">
        <v>1</v>
      </c>
      <c r="B477" s="26" t="s">
        <v>26</v>
      </c>
      <c r="C477" s="2"/>
      <c r="D477" s="77"/>
      <c r="E477" s="78" t="s">
        <v>25</v>
      </c>
      <c r="F477" s="55">
        <v>1.5</v>
      </c>
      <c r="G477" s="55">
        <v>1.96</v>
      </c>
      <c r="H477" s="56">
        <f t="shared" ref="H477:H491" si="45">IF($A477=0,"",ROUND(F477*G477,2))</f>
        <v>2.94</v>
      </c>
      <c r="I477" s="2"/>
      <c r="J477" s="1">
        <f>5.88/3</f>
        <v>1.96</v>
      </c>
      <c r="L477" s="2"/>
      <c r="M477" s="2"/>
      <c r="N477" s="39"/>
      <c r="O477" s="2"/>
      <c r="P477" s="2"/>
    </row>
    <row r="478" spans="1:16" x14ac:dyDescent="0.25">
      <c r="A478" s="103">
        <v>1</v>
      </c>
      <c r="B478" s="38" t="s">
        <v>8</v>
      </c>
      <c r="C478" s="2"/>
      <c r="D478" s="77"/>
      <c r="E478" s="78" t="s">
        <v>5</v>
      </c>
      <c r="F478" s="55">
        <v>0.35</v>
      </c>
      <c r="G478" s="55">
        <v>1.1200000000000001</v>
      </c>
      <c r="H478" s="56">
        <f t="shared" si="45"/>
        <v>0.39</v>
      </c>
      <c r="I478" s="2"/>
      <c r="J478" s="1">
        <f>3.36/1.12</f>
        <v>2.9999999999999996</v>
      </c>
      <c r="L478" s="2"/>
      <c r="M478" s="2"/>
      <c r="N478" s="39"/>
      <c r="O478" s="2"/>
      <c r="P478" s="2"/>
    </row>
    <row r="479" spans="1:16" x14ac:dyDescent="0.25">
      <c r="A479" s="103">
        <v>1</v>
      </c>
      <c r="B479" s="38" t="s">
        <v>7</v>
      </c>
      <c r="C479" s="2"/>
      <c r="D479" s="77"/>
      <c r="E479" s="78" t="s">
        <v>5</v>
      </c>
      <c r="F479" s="55">
        <v>0.35</v>
      </c>
      <c r="G479" s="55">
        <v>1.2</v>
      </c>
      <c r="H479" s="56">
        <f t="shared" si="45"/>
        <v>0.42</v>
      </c>
      <c r="I479" s="2"/>
      <c r="L479" s="2"/>
      <c r="M479" s="2"/>
      <c r="N479" s="39"/>
      <c r="O479" s="2"/>
      <c r="P479" s="2"/>
    </row>
    <row r="480" spans="1:16" x14ac:dyDescent="0.25">
      <c r="A480" s="103">
        <v>1</v>
      </c>
      <c r="B480" s="38" t="s">
        <v>24</v>
      </c>
      <c r="C480" s="2"/>
      <c r="D480" s="77"/>
      <c r="E480" s="78" t="s">
        <v>5</v>
      </c>
      <c r="F480" s="55">
        <v>0.17</v>
      </c>
      <c r="G480" s="55">
        <f>3*1.12</f>
        <v>3.3600000000000003</v>
      </c>
      <c r="H480" s="56">
        <f t="shared" si="45"/>
        <v>0.56999999999999995</v>
      </c>
      <c r="I480" s="2"/>
      <c r="L480" s="2"/>
      <c r="M480" s="2"/>
      <c r="N480" s="39"/>
      <c r="O480" s="2"/>
      <c r="P480" s="2"/>
    </row>
    <row r="481" spans="1:16" x14ac:dyDescent="0.25">
      <c r="B481" s="38"/>
      <c r="C481" s="2"/>
      <c r="D481" s="77"/>
      <c r="E481" s="78"/>
      <c r="F481" s="55"/>
      <c r="G481" s="55"/>
      <c r="H481" s="56" t="str">
        <f t="shared" si="45"/>
        <v/>
      </c>
      <c r="I481" s="2"/>
      <c r="L481" s="2"/>
      <c r="M481" s="2"/>
      <c r="N481" s="39"/>
      <c r="O481" s="2"/>
      <c r="P481" s="2"/>
    </row>
    <row r="482" spans="1:16" x14ac:dyDescent="0.25">
      <c r="A482" s="103">
        <v>1</v>
      </c>
      <c r="B482" s="38" t="s">
        <v>6</v>
      </c>
      <c r="C482" s="2"/>
      <c r="D482" s="77"/>
      <c r="E482" s="78" t="s">
        <v>5</v>
      </c>
      <c r="F482" s="55">
        <v>1</v>
      </c>
      <c r="G482" s="55">
        <f>0.69*1.12</f>
        <v>0.77280000000000004</v>
      </c>
      <c r="H482" s="56">
        <f t="shared" si="45"/>
        <v>0.77</v>
      </c>
      <c r="I482" s="2"/>
      <c r="L482" s="2"/>
      <c r="M482" s="2"/>
      <c r="N482" s="39"/>
      <c r="O482" s="2"/>
      <c r="P482" s="2"/>
    </row>
    <row r="483" spans="1:16" x14ac:dyDescent="0.25">
      <c r="A483" s="103">
        <v>1</v>
      </c>
      <c r="B483" s="38" t="s">
        <v>4</v>
      </c>
      <c r="C483" s="2"/>
      <c r="D483" s="77"/>
      <c r="E483" s="78" t="s">
        <v>2</v>
      </c>
      <c r="F483" s="55">
        <v>0.06</v>
      </c>
      <c r="G483" s="55">
        <v>12.63</v>
      </c>
      <c r="H483" s="56">
        <f t="shared" si="45"/>
        <v>0.76</v>
      </c>
      <c r="I483" s="2"/>
      <c r="L483" s="2"/>
      <c r="M483" s="2"/>
      <c r="N483" s="39"/>
      <c r="O483" s="2"/>
      <c r="P483" s="2"/>
    </row>
    <row r="484" spans="1:16" x14ac:dyDescent="0.25">
      <c r="A484" s="103">
        <v>1</v>
      </c>
      <c r="B484" s="38" t="s">
        <v>3</v>
      </c>
      <c r="C484" s="2"/>
      <c r="D484" s="77"/>
      <c r="E484" s="78" t="s">
        <v>2</v>
      </c>
      <c r="F484" s="55">
        <v>0.03</v>
      </c>
      <c r="G484" s="55">
        <v>6.89</v>
      </c>
      <c r="H484" s="56">
        <f t="shared" si="45"/>
        <v>0.21</v>
      </c>
      <c r="I484" s="2"/>
      <c r="L484" s="2"/>
      <c r="M484" s="2"/>
      <c r="N484" s="39"/>
      <c r="O484" s="2"/>
      <c r="P484" s="2"/>
    </row>
    <row r="485" spans="1:16" x14ac:dyDescent="0.25">
      <c r="B485" s="38"/>
      <c r="C485" s="2"/>
      <c r="D485" s="77"/>
      <c r="E485" s="78"/>
      <c r="F485" s="55"/>
      <c r="G485" s="55"/>
      <c r="H485" s="56" t="str">
        <f t="shared" si="45"/>
        <v/>
      </c>
      <c r="I485" s="2"/>
    </row>
    <row r="486" spans="1:16" x14ac:dyDescent="0.25">
      <c r="B486" s="38" t="str">
        <f>IF($A486=0,"",VLOOKUP($A486,'BASE MATERIAL'!$A:$D,2))</f>
        <v/>
      </c>
      <c r="C486" s="2"/>
      <c r="D486" s="77"/>
      <c r="E486" s="78" t="str">
        <f>IF($A486=0,"",VLOOKUP($A486,'BASE MATERIAL'!$A:$D,3))</f>
        <v/>
      </c>
      <c r="F486" s="55"/>
      <c r="G486" s="55" t="str">
        <f>IF($A486=0,"",VLOOKUP($A486,'BASE MATERIAL'!$A:$D,4))</f>
        <v/>
      </c>
      <c r="H486" s="56" t="str">
        <f t="shared" si="45"/>
        <v/>
      </c>
      <c r="I486" s="2"/>
      <c r="L486" s="2"/>
      <c r="M486" s="2"/>
      <c r="N486" s="39"/>
      <c r="O486" s="2"/>
      <c r="P486" s="2"/>
    </row>
    <row r="487" spans="1:16" x14ac:dyDescent="0.25">
      <c r="B487" s="38" t="str">
        <f>IF($A487=0,"",VLOOKUP($A487,'BASE MATERIAL'!$A:$D,2))</f>
        <v/>
      </c>
      <c r="C487" s="2"/>
      <c r="D487" s="77"/>
      <c r="E487" s="78" t="str">
        <f>IF($A487=0,"",VLOOKUP($A487,'BASE MATERIAL'!$A:$D,3))</f>
        <v/>
      </c>
      <c r="F487" s="55"/>
      <c r="G487" s="55" t="str">
        <f>IF($A487=0,"",VLOOKUP($A487,'BASE MATERIAL'!$A:$D,4))</f>
        <v/>
      </c>
      <c r="H487" s="56" t="str">
        <f t="shared" si="45"/>
        <v/>
      </c>
      <c r="I487" s="2"/>
      <c r="L487" s="2"/>
      <c r="M487" s="2"/>
      <c r="N487" s="39"/>
      <c r="O487" s="2"/>
      <c r="P487" s="2"/>
    </row>
    <row r="488" spans="1:16" x14ac:dyDescent="0.25">
      <c r="B488" s="38" t="str">
        <f>IF($A488=0,"",VLOOKUP($A488,'BASE MATERIAL'!$A:$D,2))</f>
        <v/>
      </c>
      <c r="C488" s="2"/>
      <c r="D488" s="77"/>
      <c r="E488" s="78" t="str">
        <f>IF($A488=0,"",VLOOKUP($A488,'BASE MATERIAL'!$A:$D,3))</f>
        <v/>
      </c>
      <c r="F488" s="55"/>
      <c r="G488" s="55" t="str">
        <f>IF($A488=0,"",VLOOKUP($A488,'BASE MATERIAL'!$A:$D,4))</f>
        <v/>
      </c>
      <c r="H488" s="56" t="str">
        <f t="shared" si="45"/>
        <v/>
      </c>
      <c r="I488" s="2"/>
    </row>
    <row r="489" spans="1:16" x14ac:dyDescent="0.25">
      <c r="B489" s="38" t="str">
        <f>IF($A489=0,"",VLOOKUP($A489,'BASE MATERIAL'!$A:$D,2))</f>
        <v/>
      </c>
      <c r="C489" s="2"/>
      <c r="D489" s="77"/>
      <c r="E489" s="78" t="str">
        <f>IF($A489=0,"",VLOOKUP($A489,'BASE MATERIAL'!$A:$D,3))</f>
        <v/>
      </c>
      <c r="F489" s="55"/>
      <c r="G489" s="55" t="str">
        <f>IF($A489=0,"",VLOOKUP($A489,'BASE MATERIAL'!$A:$D,4))</f>
        <v/>
      </c>
      <c r="H489" s="56" t="str">
        <f t="shared" si="45"/>
        <v/>
      </c>
      <c r="I489" s="2"/>
    </row>
    <row r="490" spans="1:16" x14ac:dyDescent="0.25">
      <c r="B490" s="38" t="str">
        <f>IF($A490=0,"",VLOOKUP($A490,'BASE MATERIAL'!$A:$D,2))</f>
        <v/>
      </c>
      <c r="C490" s="2"/>
      <c r="D490" s="77"/>
      <c r="E490" s="78" t="str">
        <f>IF($A490=0,"",VLOOKUP($A490,'BASE MATERIAL'!$A:$D,3))</f>
        <v/>
      </c>
      <c r="F490" s="55"/>
      <c r="G490" s="55" t="str">
        <f>IF($A490=0,"",VLOOKUP($A490,'BASE MATERIAL'!$A:$D,4))</f>
        <v/>
      </c>
      <c r="H490" s="56" t="str">
        <f t="shared" si="45"/>
        <v/>
      </c>
      <c r="I490" s="2"/>
    </row>
    <row r="491" spans="1:16" x14ac:dyDescent="0.25">
      <c r="B491" s="38" t="str">
        <f>IF($A491=0,"",VLOOKUP($A491,'BASE MATERIAL'!$A:$D,2))</f>
        <v/>
      </c>
      <c r="C491" s="2"/>
      <c r="D491" s="77"/>
      <c r="E491" s="78" t="str">
        <f>IF($A491=0,"",VLOOKUP($A491,'BASE MATERIAL'!$A:$D,3))</f>
        <v/>
      </c>
      <c r="F491" s="55"/>
      <c r="G491" s="55" t="str">
        <f>IF($A491=0,"",VLOOKUP($A491,'BASE MATERIAL'!$A:$D,4))</f>
        <v/>
      </c>
      <c r="H491" s="56" t="str">
        <f t="shared" si="45"/>
        <v/>
      </c>
      <c r="I491" s="2"/>
    </row>
    <row r="492" spans="1:16" x14ac:dyDescent="0.25">
      <c r="B492" s="38" t="str">
        <f>IF($A492=0,"",VLOOKUP($A492,'BASE MATERIAL'!$A:$D,2))</f>
        <v/>
      </c>
      <c r="C492" s="2"/>
      <c r="D492" s="81" t="s">
        <v>1682</v>
      </c>
      <c r="E492" s="55" t="str">
        <f>IF($A492=0,"",VLOOKUP($A492,'BASE MATERIAL'!$A:$D,3))</f>
        <v/>
      </c>
      <c r="F492" s="55" t="s">
        <v>1682</v>
      </c>
      <c r="G492" s="55" t="str">
        <f>IF($A492=0,"",VLOOKUP($A492,'BASE MATERIAL'!$A:$D,4))</f>
        <v/>
      </c>
      <c r="H492" s="56" t="str">
        <f>IF($A492=0,"",ROUND(E492*F492,2))</f>
        <v/>
      </c>
      <c r="I492" s="2"/>
    </row>
    <row r="493" spans="1:16" x14ac:dyDescent="0.25">
      <c r="B493" s="73" t="s">
        <v>1681</v>
      </c>
      <c r="C493" s="65"/>
      <c r="D493" s="74"/>
      <c r="E493" s="74"/>
      <c r="F493" s="74"/>
      <c r="G493" s="74"/>
      <c r="H493" s="75">
        <f>ROUND(SUM(H476:H492),2)</f>
        <v>6.06</v>
      </c>
      <c r="I493" s="2"/>
    </row>
    <row r="494" spans="1:16" x14ac:dyDescent="0.25">
      <c r="B494" s="38" t="s">
        <v>1680</v>
      </c>
      <c r="C494" s="2"/>
      <c r="D494" s="3"/>
      <c r="E494" s="3"/>
      <c r="F494" s="3"/>
      <c r="G494" s="3"/>
      <c r="H494" s="56"/>
      <c r="I494" s="2"/>
    </row>
    <row r="495" spans="1:16" ht="25.5" x14ac:dyDescent="0.25">
      <c r="B495" s="64" t="s">
        <v>1409</v>
      </c>
      <c r="C495" s="65"/>
      <c r="D495" s="76"/>
      <c r="E495" s="66" t="s">
        <v>1408</v>
      </c>
      <c r="F495" s="66" t="s">
        <v>1679</v>
      </c>
      <c r="G495" s="66" t="s">
        <v>1676</v>
      </c>
      <c r="H495" s="68" t="s">
        <v>1675</v>
      </c>
      <c r="I495" s="2"/>
    </row>
    <row r="496" spans="1:16" x14ac:dyDescent="0.25">
      <c r="A496" s="103">
        <v>19019</v>
      </c>
      <c r="B496" s="51" t="str">
        <f>IF($A496=0,"",VLOOKUP($A496,'BASE EQUIPO'!$A:$D,2))</f>
        <v>TRANSPORTE DE MATERIAL</v>
      </c>
      <c r="C496" s="52"/>
      <c r="D496" s="82"/>
      <c r="E496" s="78" t="str">
        <f>IF($A496=0,"",VLOOKUP($A496,'BASE EQUIPO'!$A:$D,3))</f>
        <v>GLOBAL</v>
      </c>
      <c r="F496" s="55">
        <v>1</v>
      </c>
      <c r="G496" s="83">
        <f>IF($A496=0,"",VLOOKUP($A496,'BASE EQUIPO'!$A:$D,4)*H493)</f>
        <v>0.18179999999999999</v>
      </c>
      <c r="H496" s="56">
        <f>IF($A496=0,"",ROUND(F496*G496,2))</f>
        <v>0.18</v>
      </c>
      <c r="I496" s="2"/>
    </row>
    <row r="497" spans="1:15" x14ac:dyDescent="0.25">
      <c r="B497" s="38" t="str">
        <f>IF($A497=0,"",VLOOKUP($A497,'BASE EQUIPO'!$A:$D,2))</f>
        <v/>
      </c>
      <c r="C497" s="2"/>
      <c r="D497" s="84"/>
      <c r="E497" s="78" t="str">
        <f>IF($A497=0,"",VLOOKUP($A497,'BASE EQUIPO'!$A:$D,3))</f>
        <v/>
      </c>
      <c r="F497" s="55"/>
      <c r="G497" s="55" t="str">
        <f>IF($A497=0,"",VLOOKUP($A497,'BASE EQUIPO'!$A:$D,4)*H494)</f>
        <v/>
      </c>
      <c r="H497" s="56" t="str">
        <f>IF($A497=0,"",ROUND(F497*G497,2))</f>
        <v/>
      </c>
      <c r="I497" s="2"/>
    </row>
    <row r="498" spans="1:15" x14ac:dyDescent="0.25">
      <c r="B498" s="57" t="str">
        <f>IF($A498=0,"",VLOOKUP($A498,'BASE EQUIPO'!$A:$D,2))</f>
        <v/>
      </c>
      <c r="C498" s="58"/>
      <c r="D498" s="85"/>
      <c r="E498" s="86" t="str">
        <f>IF($A498=0,"",VLOOKUP($A498,'BASE EQUIPO'!$A:$D,3))</f>
        <v/>
      </c>
      <c r="F498" s="59"/>
      <c r="G498" s="59" t="str">
        <f>IF($A498=0,"",VLOOKUP($A498,'BASE EQUIPO'!$A:$D,4)*H495)</f>
        <v/>
      </c>
      <c r="H498" s="60" t="str">
        <f>IF($A498=0,"",ROUND(F498*G498,2))</f>
        <v/>
      </c>
      <c r="I498" s="2"/>
    </row>
    <row r="499" spans="1:15" ht="15.75" thickBot="1" x14ac:dyDescent="0.3">
      <c r="B499" s="87" t="s">
        <v>1674</v>
      </c>
      <c r="C499" s="88"/>
      <c r="D499" s="89"/>
      <c r="E499" s="89"/>
      <c r="F499" s="89"/>
      <c r="G499" s="89"/>
      <c r="H499" s="90">
        <f>ROUND(SUM(H495:H498),2)</f>
        <v>0.18</v>
      </c>
      <c r="I499" s="2"/>
    </row>
    <row r="500" spans="1:15" ht="15.75" x14ac:dyDescent="0.25">
      <c r="B500" s="2"/>
      <c r="C500" s="2"/>
      <c r="D500" s="91" t="s">
        <v>1673</v>
      </c>
      <c r="E500" s="47"/>
      <c r="F500" s="47"/>
      <c r="G500" s="47"/>
      <c r="H500" s="92">
        <f>ROUND(SUM(H499,H493,H474,H464),2)</f>
        <v>22.13</v>
      </c>
      <c r="I500" s="2"/>
    </row>
    <row r="501" spans="1:15" ht="15.75" x14ac:dyDescent="0.25">
      <c r="A501" s="103">
        <v>40002</v>
      </c>
      <c r="B501" s="2"/>
      <c r="C501" s="2"/>
      <c r="D501" s="93" t="s">
        <v>1672</v>
      </c>
      <c r="E501" s="65"/>
      <c r="F501" s="65"/>
      <c r="G501" s="94">
        <f>IF($A501=0,"",VLOOKUP($A501,'BASE MATERIAL'!$M:$P,4))</f>
        <v>0</v>
      </c>
      <c r="H501" s="95">
        <f>IF($A501=0,"",ROUND(G501*H500,2))</f>
        <v>0</v>
      </c>
      <c r="I501" s="2"/>
    </row>
    <row r="502" spans="1:15" ht="15.75" x14ac:dyDescent="0.25">
      <c r="A502" s="103">
        <v>40003</v>
      </c>
      <c r="B502" s="2"/>
      <c r="C502" s="2"/>
      <c r="D502" s="93" t="s">
        <v>1671</v>
      </c>
      <c r="E502" s="65"/>
      <c r="F502" s="65"/>
      <c r="G502" s="94">
        <f>IF($A502=0,"",VLOOKUP($A502,'BASE MATERIAL'!$M:$P,4))</f>
        <v>0</v>
      </c>
      <c r="H502" s="95">
        <f>IF($A502=0,"",ROUND(G502*H500,2))</f>
        <v>0</v>
      </c>
      <c r="I502" s="2"/>
    </row>
    <row r="503" spans="1:15" ht="15.75" x14ac:dyDescent="0.25">
      <c r="B503" s="2"/>
      <c r="C503" s="2"/>
      <c r="D503" s="93" t="s">
        <v>1670</v>
      </c>
      <c r="E503" s="65"/>
      <c r="F503" s="65"/>
      <c r="G503" s="65"/>
      <c r="H503" s="96">
        <f>ROUND(SUM(H500:H502),2)</f>
        <v>22.13</v>
      </c>
      <c r="I503" s="2"/>
    </row>
    <row r="504" spans="1:15" ht="16.5" thickBot="1" x14ac:dyDescent="0.3">
      <c r="B504" s="25"/>
      <c r="C504" s="2"/>
      <c r="D504" s="97" t="s">
        <v>1650</v>
      </c>
      <c r="E504" s="88"/>
      <c r="F504" s="88"/>
      <c r="G504" s="88"/>
      <c r="H504" s="98">
        <f>ROUND(H503,2)</f>
        <v>22.13</v>
      </c>
      <c r="I504" s="2"/>
    </row>
    <row r="505" spans="1:15" ht="15.75" x14ac:dyDescent="0.25">
      <c r="B505" s="34" t="s">
        <v>1701</v>
      </c>
      <c r="C505" s="2"/>
      <c r="D505" s="3" t="str">
        <f>$D$57</f>
        <v>ESPOL</v>
      </c>
      <c r="E505" s="2"/>
      <c r="F505" s="2"/>
      <c r="H505" s="2" t="s">
        <v>108</v>
      </c>
      <c r="I505" s="2"/>
      <c r="L505" s="40">
        <f>A509</f>
        <v>14</v>
      </c>
      <c r="M505" s="1" t="str">
        <f>C510</f>
        <v xml:space="preserve">Rejilla des 50mm </v>
      </c>
      <c r="N505" s="2" t="str">
        <f>H509</f>
        <v>U</v>
      </c>
      <c r="O505" s="2">
        <f>H560</f>
        <v>9.39</v>
      </c>
    </row>
    <row r="506" spans="1:15" ht="15.75" x14ac:dyDescent="0.25">
      <c r="B506" s="34" t="s">
        <v>1700</v>
      </c>
      <c r="C506" s="3">
        <f>'1.1'!$C$2</f>
        <v>0</v>
      </c>
      <c r="D506" s="2"/>
      <c r="E506" s="2"/>
      <c r="F506" s="2"/>
      <c r="G506" s="41" t="s">
        <v>1699</v>
      </c>
      <c r="H506" s="42"/>
      <c r="I506" s="2" t="s">
        <v>1698</v>
      </c>
    </row>
    <row r="507" spans="1:15" ht="15.75" x14ac:dyDescent="0.25">
      <c r="B507" s="34"/>
      <c r="C507" s="3">
        <f>'1.1'!$C$3</f>
        <v>0</v>
      </c>
      <c r="D507" s="2"/>
      <c r="E507" s="2"/>
      <c r="F507" s="2"/>
      <c r="G507" s="2"/>
      <c r="H507" s="2"/>
      <c r="I507" s="2"/>
    </row>
    <row r="508" spans="1:15" ht="15.75" x14ac:dyDescent="0.25">
      <c r="B508" s="34" t="s">
        <v>1697</v>
      </c>
      <c r="C508" s="3"/>
      <c r="D508" s="2"/>
      <c r="E508" s="2"/>
      <c r="F508" s="2"/>
      <c r="G508" s="2"/>
      <c r="H508" s="2"/>
      <c r="I508" s="2"/>
    </row>
    <row r="509" spans="1:15" x14ac:dyDescent="0.25">
      <c r="A509" s="104">
        <v>14</v>
      </c>
      <c r="B509" s="2" t="s">
        <v>1586</v>
      </c>
      <c r="C509" s="101" t="s">
        <v>699</v>
      </c>
      <c r="D509" s="2"/>
      <c r="G509" s="2" t="s">
        <v>1696</v>
      </c>
      <c r="H509" s="3" t="s">
        <v>744</v>
      </c>
      <c r="I509" s="2"/>
    </row>
    <row r="510" spans="1:15" x14ac:dyDescent="0.25">
      <c r="B510" s="1" t="s">
        <v>1585</v>
      </c>
      <c r="C510" s="36" t="s">
        <v>1109</v>
      </c>
      <c r="D510" s="2"/>
      <c r="E510" s="2"/>
      <c r="F510" s="2"/>
      <c r="G510" s="2"/>
      <c r="H510" s="2"/>
      <c r="I510" s="2"/>
    </row>
    <row r="511" spans="1:15" ht="15.75" thickBot="1" x14ac:dyDescent="0.3">
      <c r="D511" s="2"/>
      <c r="E511" s="2"/>
      <c r="F511" s="2"/>
      <c r="G511" s="2"/>
      <c r="H511" s="2"/>
      <c r="I511" s="2"/>
    </row>
    <row r="512" spans="1:15" ht="15.75" thickBot="1" x14ac:dyDescent="0.3">
      <c r="B512" s="43" t="s">
        <v>1695</v>
      </c>
      <c r="C512" s="44"/>
      <c r="D512" s="44"/>
      <c r="E512" s="44"/>
      <c r="F512" s="44"/>
      <c r="G512" s="44"/>
      <c r="H512" s="45"/>
      <c r="I512" s="2"/>
    </row>
    <row r="513" spans="1:9" ht="25.5" x14ac:dyDescent="0.25">
      <c r="B513" s="46" t="s">
        <v>1409</v>
      </c>
      <c r="C513" s="47"/>
      <c r="D513" s="48" t="s">
        <v>1690</v>
      </c>
      <c r="E513" s="48" t="s">
        <v>1694</v>
      </c>
      <c r="F513" s="48" t="s">
        <v>1693</v>
      </c>
      <c r="G513" s="49" t="s">
        <v>1687</v>
      </c>
      <c r="H513" s="50" t="s">
        <v>1686</v>
      </c>
      <c r="I513" s="2"/>
    </row>
    <row r="514" spans="1:9" x14ac:dyDescent="0.25">
      <c r="A514" s="103">
        <v>19015</v>
      </c>
      <c r="B514" s="51" t="str">
        <f>IF($A514=0,"",VLOOKUP($A514,'BASE EQUIPO'!$A:$D,2))</f>
        <v>HERRAMIENTA MENOR</v>
      </c>
      <c r="C514" s="52"/>
      <c r="D514" s="53">
        <v>1</v>
      </c>
      <c r="E514" s="53">
        <f>IF($A514=0,"",VLOOKUP($A514,'BASE EQUIPO'!$A:$D,4)*H530)</f>
        <v>0.16830000000000001</v>
      </c>
      <c r="F514" s="53">
        <f t="shared" ref="F514:F519" si="46">IF($A514=0,"",ROUND(D514*E514,2))</f>
        <v>0.17</v>
      </c>
      <c r="G514" s="105">
        <v>1</v>
      </c>
      <c r="H514" s="54">
        <f t="shared" ref="H514:H519" si="47">IF($A514=0,"",ROUND(G514*F514,2))</f>
        <v>0.17</v>
      </c>
      <c r="I514" s="2"/>
    </row>
    <row r="515" spans="1:9" x14ac:dyDescent="0.25">
      <c r="B515" s="38" t="str">
        <f>IF($A515=0,"",VLOOKUP($A515,'BASE EQUIPO'!$A:$D,2))</f>
        <v/>
      </c>
      <c r="C515" s="2"/>
      <c r="D515" s="55"/>
      <c r="E515" s="55" t="str">
        <f>IF($A515=0,"",VLOOKUP($A515,'BASE EQUIPO'!$A:$D,4))</f>
        <v/>
      </c>
      <c r="F515" s="55" t="str">
        <f t="shared" si="46"/>
        <v/>
      </c>
      <c r="G515" s="106"/>
      <c r="H515" s="56" t="str">
        <f t="shared" si="47"/>
        <v/>
      </c>
      <c r="I515" s="2"/>
    </row>
    <row r="516" spans="1:9" x14ac:dyDescent="0.25">
      <c r="B516" s="38" t="str">
        <f>IF($A516=0,"",VLOOKUP($A516,'BASE EQUIPO'!$A:$D,2))</f>
        <v/>
      </c>
      <c r="C516" s="2"/>
      <c r="D516" s="55"/>
      <c r="E516" s="55" t="str">
        <f>IF($A516=0,"",VLOOKUP($A516,'BASE EQUIPO'!$A:$D,4))</f>
        <v/>
      </c>
      <c r="F516" s="55" t="str">
        <f t="shared" si="46"/>
        <v/>
      </c>
      <c r="G516" s="106"/>
      <c r="H516" s="56" t="str">
        <f t="shared" si="47"/>
        <v/>
      </c>
      <c r="I516" s="2"/>
    </row>
    <row r="517" spans="1:9" x14ac:dyDescent="0.25">
      <c r="B517" s="38" t="str">
        <f>IF($A517=0,"",VLOOKUP($A517,'BASE EQUIPO'!$A:$D,2))</f>
        <v/>
      </c>
      <c r="C517" s="2"/>
      <c r="D517" s="55"/>
      <c r="E517" s="55" t="str">
        <f>IF($A517=0,"",VLOOKUP($A517,'BASE EQUIPO'!$A:$D,4))</f>
        <v/>
      </c>
      <c r="F517" s="55" t="str">
        <f t="shared" si="46"/>
        <v/>
      </c>
      <c r="G517" s="106"/>
      <c r="H517" s="56" t="str">
        <f t="shared" si="47"/>
        <v/>
      </c>
      <c r="I517" s="2"/>
    </row>
    <row r="518" spans="1:9" x14ac:dyDescent="0.25">
      <c r="B518" s="38" t="str">
        <f>IF($A518=0,"",VLOOKUP($A518,'BASE EQUIPO'!$A:$D,2))</f>
        <v/>
      </c>
      <c r="C518" s="2"/>
      <c r="D518" s="55"/>
      <c r="E518" s="55" t="str">
        <f>IF($A518=0,"",VLOOKUP($A518,'BASE EQUIPO'!$A:$D,4))</f>
        <v/>
      </c>
      <c r="F518" s="55" t="str">
        <f t="shared" si="46"/>
        <v/>
      </c>
      <c r="G518" s="106"/>
      <c r="H518" s="56" t="str">
        <f t="shared" si="47"/>
        <v/>
      </c>
      <c r="I518" s="2"/>
    </row>
    <row r="519" spans="1:9" x14ac:dyDescent="0.25">
      <c r="B519" s="57" t="str">
        <f>IF($A519=0,"",VLOOKUP($A519,'BASE EQUIPO'!$A:$D,2))</f>
        <v/>
      </c>
      <c r="C519" s="58"/>
      <c r="D519" s="59"/>
      <c r="E519" s="59" t="str">
        <f>IF($A519=0,"",VLOOKUP($A519,'BASE EQUIPO'!$A:$D,4))</f>
        <v/>
      </c>
      <c r="F519" s="59" t="str">
        <f t="shared" si="46"/>
        <v/>
      </c>
      <c r="G519" s="107"/>
      <c r="H519" s="60" t="str">
        <f t="shared" si="47"/>
        <v/>
      </c>
      <c r="I519" s="2"/>
    </row>
    <row r="520" spans="1:9" x14ac:dyDescent="0.25">
      <c r="B520" s="57" t="s">
        <v>1692</v>
      </c>
      <c r="C520" s="58"/>
      <c r="D520" s="61"/>
      <c r="E520" s="61"/>
      <c r="F520" s="61"/>
      <c r="G520" s="62"/>
      <c r="H520" s="60">
        <f>ROUND(SUM(H513:H519),2)</f>
        <v>0.17</v>
      </c>
      <c r="I520" s="2"/>
    </row>
    <row r="521" spans="1:9" x14ac:dyDescent="0.25">
      <c r="B521" s="38" t="s">
        <v>1503</v>
      </c>
      <c r="C521" s="2"/>
      <c r="D521" s="3"/>
      <c r="E521" s="3"/>
      <c r="F521" s="3"/>
      <c r="G521" s="63"/>
      <c r="H521" s="56"/>
      <c r="I521" s="2"/>
    </row>
    <row r="522" spans="1:9" ht="25.5" x14ac:dyDescent="0.25">
      <c r="B522" s="64" t="s">
        <v>1691</v>
      </c>
      <c r="C522" s="65"/>
      <c r="D522" s="66" t="s">
        <v>1690</v>
      </c>
      <c r="E522" s="66" t="s">
        <v>1689</v>
      </c>
      <c r="F522" s="66" t="s">
        <v>1688</v>
      </c>
      <c r="G522" s="67" t="s">
        <v>1687</v>
      </c>
      <c r="H522" s="68" t="s">
        <v>1686</v>
      </c>
      <c r="I522" s="2"/>
    </row>
    <row r="523" spans="1:9" x14ac:dyDescent="0.25">
      <c r="B523" s="69" t="str">
        <f>IF($A523=0,"",VLOOKUP($A523,'BASE M-OBRA'!$A:$D,2))</f>
        <v/>
      </c>
      <c r="C523" s="2"/>
      <c r="D523" s="108"/>
      <c r="E523" s="70" t="str">
        <f>IF($A523=0,"",VLOOKUP($A523,'BASE M-OBRA'!$A:$D,4))</f>
        <v/>
      </c>
      <c r="F523" s="55" t="str">
        <f t="shared" ref="F523:F529" si="48">IF($A523=0,"",ROUND(D523*E523,2))</f>
        <v/>
      </c>
      <c r="G523" s="106" t="str">
        <f>IF($A523=0,"",ROUND(H523/F523,2))</f>
        <v/>
      </c>
      <c r="H523" s="56" t="str">
        <f>IF($A523=0,"",ROUND(SUM(H524:H529)*'BASE M-OBRA'!$D$23,2))</f>
        <v/>
      </c>
      <c r="I523" s="2"/>
    </row>
    <row r="524" spans="1:9" x14ac:dyDescent="0.25">
      <c r="A524" s="103">
        <v>20011</v>
      </c>
      <c r="B524" s="69" t="str">
        <f>IF($A524=0,"",VLOOKUP($A524,'BASE M-OBRA'!$A:$D,2))</f>
        <v>AYUDANTE ESPECIALISTA</v>
      </c>
      <c r="C524" s="2"/>
      <c r="D524" s="108">
        <v>1</v>
      </c>
      <c r="E524" s="70">
        <f>IF($A524=0,"",VLOOKUP($A524,'BASE M-OBRA'!$A:$D,4))</f>
        <v>2.79</v>
      </c>
      <c r="F524" s="55">
        <f t="shared" si="48"/>
        <v>2.79</v>
      </c>
      <c r="G524" s="106">
        <v>1</v>
      </c>
      <c r="H524" s="56">
        <f t="shared" ref="H524:H529" si="49">IF($A524=0,"",ROUND(G524*F524,2))</f>
        <v>2.79</v>
      </c>
      <c r="I524" s="2"/>
    </row>
    <row r="525" spans="1:9" x14ac:dyDescent="0.25">
      <c r="A525" s="103">
        <v>20016</v>
      </c>
      <c r="B525" s="69" t="str">
        <f>IF($A525=0,"",VLOOKUP($A525,'BASE M-OBRA'!$A:$D,2))</f>
        <v>GAFITERO</v>
      </c>
      <c r="C525" s="2"/>
      <c r="D525" s="108">
        <v>1</v>
      </c>
      <c r="E525" s="70">
        <f>IF($A525=0,"",VLOOKUP($A525,'BASE M-OBRA'!$A:$D,4))</f>
        <v>2.82</v>
      </c>
      <c r="F525" s="55">
        <f t="shared" si="48"/>
        <v>2.82</v>
      </c>
      <c r="G525" s="106">
        <f>+G524</f>
        <v>1</v>
      </c>
      <c r="H525" s="56">
        <f t="shared" si="49"/>
        <v>2.82</v>
      </c>
      <c r="I525" s="2"/>
    </row>
    <row r="526" spans="1:9" x14ac:dyDescent="0.25">
      <c r="B526" s="71" t="str">
        <f>IF($A526=0,"",VLOOKUP($A526,'BASE M-OBRA'!$A:$D,2))</f>
        <v/>
      </c>
      <c r="C526" s="2"/>
      <c r="D526" s="108"/>
      <c r="E526" s="70" t="str">
        <f>IF($A526=0,"",VLOOKUP($A526,'BASE M-OBRA'!$A:$D,4))</f>
        <v/>
      </c>
      <c r="F526" s="55" t="str">
        <f t="shared" si="48"/>
        <v/>
      </c>
      <c r="G526" s="106"/>
      <c r="H526" s="56" t="str">
        <f t="shared" si="49"/>
        <v/>
      </c>
      <c r="I526" s="2"/>
    </row>
    <row r="527" spans="1:9" x14ac:dyDescent="0.25">
      <c r="B527" s="72" t="str">
        <f>IF($A527=0,"",VLOOKUP($A527,'BASE M-OBRA'!$A:$D,2))</f>
        <v/>
      </c>
      <c r="C527" s="2"/>
      <c r="D527" s="108"/>
      <c r="E527" s="70" t="str">
        <f>IF($A527=0,"",VLOOKUP($A527,'BASE M-OBRA'!$A:$D,4))</f>
        <v/>
      </c>
      <c r="F527" s="55" t="str">
        <f t="shared" si="48"/>
        <v/>
      </c>
      <c r="G527" s="106"/>
      <c r="H527" s="56" t="str">
        <f t="shared" si="49"/>
        <v/>
      </c>
      <c r="I527" s="2"/>
    </row>
    <row r="528" spans="1:9" x14ac:dyDescent="0.25">
      <c r="B528" s="38" t="str">
        <f>IF($A528=0,"",VLOOKUP($A528,'BASE M-OBRA'!$A:$D,2))</f>
        <v/>
      </c>
      <c r="C528" s="2"/>
      <c r="D528" s="55"/>
      <c r="E528" s="55" t="str">
        <f>IF($A528=0,"",VLOOKUP($A528,'BASE M-OBRA'!$A:$D,4))</f>
        <v/>
      </c>
      <c r="F528" s="55" t="str">
        <f t="shared" si="48"/>
        <v/>
      </c>
      <c r="G528" s="106"/>
      <c r="H528" s="56" t="str">
        <f t="shared" si="49"/>
        <v/>
      </c>
      <c r="I528" s="2"/>
    </row>
    <row r="529" spans="1:16" x14ac:dyDescent="0.25">
      <c r="B529" s="57" t="str">
        <f>IF($A529=0,"",VLOOKUP($A529,'BASE M-OBRA'!$A:$D,2))</f>
        <v/>
      </c>
      <c r="C529" s="58"/>
      <c r="D529" s="59"/>
      <c r="E529" s="59" t="str">
        <f>IF($A529=0,"",VLOOKUP($A529,'BASE M-OBRA'!$A:$D,4))</f>
        <v/>
      </c>
      <c r="F529" s="59" t="str">
        <f t="shared" si="48"/>
        <v/>
      </c>
      <c r="G529" s="107"/>
      <c r="H529" s="60" t="str">
        <f t="shared" si="49"/>
        <v/>
      </c>
      <c r="I529" s="2"/>
    </row>
    <row r="530" spans="1:16" x14ac:dyDescent="0.25">
      <c r="B530" s="73" t="s">
        <v>1685</v>
      </c>
      <c r="C530" s="65"/>
      <c r="D530" s="74"/>
      <c r="E530" s="74"/>
      <c r="F530" s="74"/>
      <c r="G530" s="74"/>
      <c r="H530" s="75">
        <f>ROUND(SUM(H522:H529),2)</f>
        <v>5.61</v>
      </c>
      <c r="I530" s="2"/>
    </row>
    <row r="531" spans="1:16" x14ac:dyDescent="0.25">
      <c r="B531" s="38" t="s">
        <v>1684</v>
      </c>
      <c r="C531" s="2"/>
      <c r="D531" s="3"/>
      <c r="E531" s="3"/>
      <c r="F531" s="3"/>
      <c r="G531" s="3"/>
      <c r="H531" s="56"/>
      <c r="I531" s="2"/>
    </row>
    <row r="532" spans="1:16" ht="25.5" x14ac:dyDescent="0.25">
      <c r="B532" s="64" t="s">
        <v>1409</v>
      </c>
      <c r="C532" s="65"/>
      <c r="D532" s="76"/>
      <c r="E532" s="66" t="s">
        <v>1408</v>
      </c>
      <c r="F532" s="66" t="s">
        <v>1679</v>
      </c>
      <c r="G532" s="66" t="s">
        <v>1683</v>
      </c>
      <c r="H532" s="68" t="s">
        <v>1675</v>
      </c>
      <c r="I532" s="2"/>
    </row>
    <row r="533" spans="1:16" x14ac:dyDescent="0.25">
      <c r="A533" s="103">
        <v>1</v>
      </c>
      <c r="B533" s="26" t="s">
        <v>660</v>
      </c>
      <c r="C533" s="2"/>
      <c r="D533" s="77"/>
      <c r="E533" s="78" t="s">
        <v>744</v>
      </c>
      <c r="F533" s="55">
        <v>1</v>
      </c>
      <c r="G533" s="55">
        <v>3.5</v>
      </c>
      <c r="H533" s="56">
        <f t="shared" ref="H533:H547" si="50">IF($A533=0,"",ROUND(F533*G533,2))</f>
        <v>3.5</v>
      </c>
      <c r="I533" s="2"/>
      <c r="J533" s="1">
        <f>8.55/3</f>
        <v>2.85</v>
      </c>
      <c r="L533" s="2"/>
      <c r="M533" s="2"/>
      <c r="N533" s="39"/>
      <c r="O533" s="2"/>
      <c r="P533" s="2"/>
    </row>
    <row r="534" spans="1:16" x14ac:dyDescent="0.25">
      <c r="B534" s="38"/>
      <c r="C534" s="2"/>
      <c r="D534" s="77"/>
      <c r="E534" s="78"/>
      <c r="F534" s="55"/>
      <c r="G534" s="55"/>
      <c r="H534" s="56" t="str">
        <f t="shared" si="50"/>
        <v/>
      </c>
      <c r="I534" s="2"/>
      <c r="J534" s="1">
        <f>9.58/1.12</f>
        <v>8.553571428571427</v>
      </c>
      <c r="L534" s="2"/>
      <c r="M534" s="2"/>
      <c r="N534" s="39"/>
      <c r="O534" s="2"/>
      <c r="P534" s="2"/>
    </row>
    <row r="535" spans="1:16" x14ac:dyDescent="0.25">
      <c r="B535" s="38"/>
      <c r="C535" s="2"/>
      <c r="D535" s="77"/>
      <c r="E535" s="78"/>
      <c r="F535" s="55"/>
      <c r="G535" s="55"/>
      <c r="H535" s="56" t="str">
        <f t="shared" si="50"/>
        <v/>
      </c>
      <c r="I535" s="2"/>
      <c r="L535" s="2"/>
      <c r="M535" s="2"/>
      <c r="N535" s="39"/>
      <c r="O535" s="2"/>
      <c r="P535" s="2"/>
    </row>
    <row r="536" spans="1:16" x14ac:dyDescent="0.25">
      <c r="B536" s="38"/>
      <c r="C536" s="2"/>
      <c r="D536" s="77"/>
      <c r="E536" s="78"/>
      <c r="F536" s="55"/>
      <c r="G536" s="55"/>
      <c r="H536" s="56" t="str">
        <f t="shared" si="50"/>
        <v/>
      </c>
      <c r="I536" s="2"/>
      <c r="L536" s="2"/>
      <c r="M536" s="2"/>
      <c r="N536" s="39"/>
      <c r="O536" s="2"/>
      <c r="P536" s="2"/>
    </row>
    <row r="537" spans="1:16" x14ac:dyDescent="0.25">
      <c r="B537" s="38"/>
      <c r="C537" s="2"/>
      <c r="D537" s="77"/>
      <c r="E537" s="78"/>
      <c r="F537" s="55"/>
      <c r="G537" s="55"/>
      <c r="H537" s="56" t="str">
        <f t="shared" si="50"/>
        <v/>
      </c>
      <c r="I537" s="2"/>
      <c r="L537" s="2"/>
      <c r="M537" s="2"/>
      <c r="N537" s="39"/>
      <c r="O537" s="2"/>
      <c r="P537" s="2"/>
    </row>
    <row r="538" spans="1:16" x14ac:dyDescent="0.25">
      <c r="B538" s="38"/>
      <c r="C538" s="2"/>
      <c r="D538" s="77"/>
      <c r="E538" s="78"/>
      <c r="F538" s="55"/>
      <c r="G538" s="55"/>
      <c r="H538" s="56" t="str">
        <f t="shared" si="50"/>
        <v/>
      </c>
      <c r="I538" s="2"/>
      <c r="L538" s="2"/>
      <c r="M538" s="2"/>
      <c r="N538" s="39"/>
      <c r="O538" s="2"/>
      <c r="P538" s="2"/>
    </row>
    <row r="539" spans="1:16" x14ac:dyDescent="0.25">
      <c r="B539" s="38"/>
      <c r="C539" s="2"/>
      <c r="D539" s="77"/>
      <c r="E539" s="78"/>
      <c r="F539" s="55"/>
      <c r="G539" s="55"/>
      <c r="H539" s="56" t="str">
        <f t="shared" si="50"/>
        <v/>
      </c>
      <c r="I539" s="2"/>
      <c r="L539" s="2"/>
      <c r="M539" s="2"/>
      <c r="N539" s="39"/>
      <c r="O539" s="2"/>
      <c r="P539" s="2"/>
    </row>
    <row r="540" spans="1:16" x14ac:dyDescent="0.25">
      <c r="B540" s="38"/>
      <c r="C540" s="2"/>
      <c r="D540" s="77"/>
      <c r="E540" s="78"/>
      <c r="F540" s="55"/>
      <c r="G540" s="55"/>
      <c r="H540" s="56" t="str">
        <f t="shared" si="50"/>
        <v/>
      </c>
      <c r="I540" s="2"/>
      <c r="L540" s="2"/>
      <c r="M540" s="2"/>
      <c r="N540" s="39"/>
      <c r="O540" s="2"/>
      <c r="P540" s="2"/>
    </row>
    <row r="541" spans="1:16" x14ac:dyDescent="0.25">
      <c r="B541" s="38"/>
      <c r="C541" s="2"/>
      <c r="D541" s="77"/>
      <c r="E541" s="78"/>
      <c r="F541" s="55"/>
      <c r="G541" s="55"/>
      <c r="H541" s="56" t="str">
        <f t="shared" si="50"/>
        <v/>
      </c>
      <c r="I541" s="2"/>
    </row>
    <row r="542" spans="1:16" x14ac:dyDescent="0.25">
      <c r="B542" s="38" t="str">
        <f>IF($A542=0,"",VLOOKUP($A542,'BASE MATERIAL'!$A:$D,2))</f>
        <v/>
      </c>
      <c r="C542" s="2"/>
      <c r="D542" s="77"/>
      <c r="E542" s="78" t="str">
        <f>IF($A542=0,"",VLOOKUP($A542,'BASE MATERIAL'!$A:$D,3))</f>
        <v/>
      </c>
      <c r="F542" s="55"/>
      <c r="G542" s="55" t="str">
        <f>IF($A542=0,"",VLOOKUP($A542,'BASE MATERIAL'!$A:$D,4))</f>
        <v/>
      </c>
      <c r="H542" s="56" t="str">
        <f t="shared" si="50"/>
        <v/>
      </c>
      <c r="I542" s="2"/>
      <c r="L542" s="2"/>
      <c r="M542" s="2"/>
      <c r="N542" s="39"/>
      <c r="O542" s="2"/>
      <c r="P542" s="2"/>
    </row>
    <row r="543" spans="1:16" x14ac:dyDescent="0.25">
      <c r="B543" s="38" t="str">
        <f>IF($A543=0,"",VLOOKUP($A543,'BASE MATERIAL'!$A:$D,2))</f>
        <v/>
      </c>
      <c r="C543" s="2"/>
      <c r="D543" s="77"/>
      <c r="E543" s="78" t="str">
        <f>IF($A543=0,"",VLOOKUP($A543,'BASE MATERIAL'!$A:$D,3))</f>
        <v/>
      </c>
      <c r="F543" s="55"/>
      <c r="G543" s="55" t="str">
        <f>IF($A543=0,"",VLOOKUP($A543,'BASE MATERIAL'!$A:$D,4))</f>
        <v/>
      </c>
      <c r="H543" s="56" t="str">
        <f t="shared" si="50"/>
        <v/>
      </c>
      <c r="I543" s="2"/>
      <c r="L543" s="2"/>
      <c r="M543" s="2"/>
      <c r="N543" s="39"/>
      <c r="O543" s="2"/>
      <c r="P543" s="2"/>
    </row>
    <row r="544" spans="1:16" x14ac:dyDescent="0.25">
      <c r="B544" s="38" t="str">
        <f>IF($A544=0,"",VLOOKUP($A544,'BASE MATERIAL'!$A:$D,2))</f>
        <v/>
      </c>
      <c r="C544" s="2"/>
      <c r="D544" s="77"/>
      <c r="E544" s="78" t="str">
        <f>IF($A544=0,"",VLOOKUP($A544,'BASE MATERIAL'!$A:$D,3))</f>
        <v/>
      </c>
      <c r="F544" s="55"/>
      <c r="G544" s="55" t="str">
        <f>IF($A544=0,"",VLOOKUP($A544,'BASE MATERIAL'!$A:$D,4))</f>
        <v/>
      </c>
      <c r="H544" s="56" t="str">
        <f t="shared" si="50"/>
        <v/>
      </c>
      <c r="I544" s="2"/>
    </row>
    <row r="545" spans="1:9" x14ac:dyDescent="0.25">
      <c r="B545" s="38" t="str">
        <f>IF($A545=0,"",VLOOKUP($A545,'BASE MATERIAL'!$A:$D,2))</f>
        <v/>
      </c>
      <c r="C545" s="2"/>
      <c r="D545" s="77"/>
      <c r="E545" s="78" t="str">
        <f>IF($A545=0,"",VLOOKUP($A545,'BASE MATERIAL'!$A:$D,3))</f>
        <v/>
      </c>
      <c r="F545" s="55"/>
      <c r="G545" s="55" t="str">
        <f>IF($A545=0,"",VLOOKUP($A545,'BASE MATERIAL'!$A:$D,4))</f>
        <v/>
      </c>
      <c r="H545" s="56" t="str">
        <f t="shared" si="50"/>
        <v/>
      </c>
      <c r="I545" s="2"/>
    </row>
    <row r="546" spans="1:9" x14ac:dyDescent="0.25">
      <c r="B546" s="38" t="str">
        <f>IF($A546=0,"",VLOOKUP($A546,'BASE MATERIAL'!$A:$D,2))</f>
        <v/>
      </c>
      <c r="C546" s="2"/>
      <c r="D546" s="77"/>
      <c r="E546" s="78" t="str">
        <f>IF($A546=0,"",VLOOKUP($A546,'BASE MATERIAL'!$A:$D,3))</f>
        <v/>
      </c>
      <c r="F546" s="55"/>
      <c r="G546" s="55" t="str">
        <f>IF($A546=0,"",VLOOKUP($A546,'BASE MATERIAL'!$A:$D,4))</f>
        <v/>
      </c>
      <c r="H546" s="56" t="str">
        <f t="shared" si="50"/>
        <v/>
      </c>
      <c r="I546" s="2"/>
    </row>
    <row r="547" spans="1:9" x14ac:dyDescent="0.25">
      <c r="B547" s="38" t="str">
        <f>IF($A547=0,"",VLOOKUP($A547,'BASE MATERIAL'!$A:$D,2))</f>
        <v/>
      </c>
      <c r="C547" s="2"/>
      <c r="D547" s="77"/>
      <c r="E547" s="78" t="str">
        <f>IF($A547=0,"",VLOOKUP($A547,'BASE MATERIAL'!$A:$D,3))</f>
        <v/>
      </c>
      <c r="F547" s="55"/>
      <c r="G547" s="55" t="str">
        <f>IF($A547=0,"",VLOOKUP($A547,'BASE MATERIAL'!$A:$D,4))</f>
        <v/>
      </c>
      <c r="H547" s="56" t="str">
        <f t="shared" si="50"/>
        <v/>
      </c>
      <c r="I547" s="2"/>
    </row>
    <row r="548" spans="1:9" x14ac:dyDescent="0.25">
      <c r="B548" s="38" t="str">
        <f>IF($A548=0,"",VLOOKUP($A548,'BASE MATERIAL'!$A:$D,2))</f>
        <v/>
      </c>
      <c r="C548" s="2"/>
      <c r="D548" s="81" t="s">
        <v>1682</v>
      </c>
      <c r="E548" s="55" t="str">
        <f>IF($A548=0,"",VLOOKUP($A548,'BASE MATERIAL'!$A:$D,3))</f>
        <v/>
      </c>
      <c r="F548" s="55" t="s">
        <v>1682</v>
      </c>
      <c r="G548" s="55" t="str">
        <f>IF($A548=0,"",VLOOKUP($A548,'BASE MATERIAL'!$A:$D,4))</f>
        <v/>
      </c>
      <c r="H548" s="56" t="str">
        <f>IF($A548=0,"",ROUND(E548*F548,2))</f>
        <v/>
      </c>
      <c r="I548" s="2"/>
    </row>
    <row r="549" spans="1:9" x14ac:dyDescent="0.25">
      <c r="B549" s="73" t="s">
        <v>1681</v>
      </c>
      <c r="C549" s="65"/>
      <c r="D549" s="74"/>
      <c r="E549" s="74"/>
      <c r="F549" s="74"/>
      <c r="G549" s="74"/>
      <c r="H549" s="75">
        <f>ROUND(SUM(H532:H548),2)</f>
        <v>3.5</v>
      </c>
      <c r="I549" s="2"/>
    </row>
    <row r="550" spans="1:9" x14ac:dyDescent="0.25">
      <c r="B550" s="38" t="s">
        <v>1680</v>
      </c>
      <c r="C550" s="2"/>
      <c r="D550" s="3"/>
      <c r="E550" s="3"/>
      <c r="F550" s="3"/>
      <c r="G550" s="3"/>
      <c r="H550" s="56"/>
      <c r="I550" s="2"/>
    </row>
    <row r="551" spans="1:9" ht="25.5" x14ac:dyDescent="0.25">
      <c r="B551" s="64" t="s">
        <v>1409</v>
      </c>
      <c r="C551" s="65"/>
      <c r="D551" s="76"/>
      <c r="E551" s="66" t="s">
        <v>1408</v>
      </c>
      <c r="F551" s="66" t="s">
        <v>1679</v>
      </c>
      <c r="G551" s="66" t="s">
        <v>1676</v>
      </c>
      <c r="H551" s="68" t="s">
        <v>1675</v>
      </c>
      <c r="I551" s="2"/>
    </row>
    <row r="552" spans="1:9" x14ac:dyDescent="0.25">
      <c r="A552" s="103">
        <v>19019</v>
      </c>
      <c r="B552" s="51" t="str">
        <f>IF($A552=0,"",VLOOKUP($A552,'BASE EQUIPO'!$A:$D,2))</f>
        <v>TRANSPORTE DE MATERIAL</v>
      </c>
      <c r="C552" s="52"/>
      <c r="D552" s="82"/>
      <c r="E552" s="78" t="str">
        <f>IF($A552=0,"",VLOOKUP($A552,'BASE EQUIPO'!$A:$D,3))</f>
        <v>GLOBAL</v>
      </c>
      <c r="F552" s="55">
        <v>1</v>
      </c>
      <c r="G552" s="83">
        <f>IF($A552=0,"",VLOOKUP($A552,'BASE EQUIPO'!$A:$D,4)*H549)</f>
        <v>0.105</v>
      </c>
      <c r="H552" s="56">
        <f>IF($A552=0,"",ROUND(F552*G552,2))</f>
        <v>0.11</v>
      </c>
      <c r="I552" s="2"/>
    </row>
    <row r="553" spans="1:9" x14ac:dyDescent="0.25">
      <c r="B553" s="38" t="str">
        <f>IF($A553=0,"",VLOOKUP($A553,'BASE EQUIPO'!$A:$D,2))</f>
        <v/>
      </c>
      <c r="C553" s="2"/>
      <c r="D553" s="84"/>
      <c r="E553" s="78" t="str">
        <f>IF($A553=0,"",VLOOKUP($A553,'BASE EQUIPO'!$A:$D,3))</f>
        <v/>
      </c>
      <c r="F553" s="55"/>
      <c r="G553" s="55" t="str">
        <f>IF($A553=0,"",VLOOKUP($A553,'BASE EQUIPO'!$A:$D,4)*H550)</f>
        <v/>
      </c>
      <c r="H553" s="56" t="str">
        <f>IF($A553=0,"",ROUND(F553*G553,2))</f>
        <v/>
      </c>
      <c r="I553" s="2"/>
    </row>
    <row r="554" spans="1:9" x14ac:dyDescent="0.25">
      <c r="B554" s="57" t="str">
        <f>IF($A554=0,"",VLOOKUP($A554,'BASE EQUIPO'!$A:$D,2))</f>
        <v/>
      </c>
      <c r="C554" s="58"/>
      <c r="D554" s="85"/>
      <c r="E554" s="86" t="str">
        <f>IF($A554=0,"",VLOOKUP($A554,'BASE EQUIPO'!$A:$D,3))</f>
        <v/>
      </c>
      <c r="F554" s="59"/>
      <c r="G554" s="59" t="str">
        <f>IF($A554=0,"",VLOOKUP($A554,'BASE EQUIPO'!$A:$D,4)*H551)</f>
        <v/>
      </c>
      <c r="H554" s="60" t="str">
        <f>IF($A554=0,"",ROUND(F554*G554,2))</f>
        <v/>
      </c>
      <c r="I554" s="2"/>
    </row>
    <row r="555" spans="1:9" ht="15.75" thickBot="1" x14ac:dyDescent="0.3">
      <c r="B555" s="87" t="s">
        <v>1674</v>
      </c>
      <c r="C555" s="88"/>
      <c r="D555" s="89"/>
      <c r="E555" s="89"/>
      <c r="F555" s="89"/>
      <c r="G555" s="89"/>
      <c r="H555" s="90">
        <f>ROUND(SUM(H551:H554),2)</f>
        <v>0.11</v>
      </c>
      <c r="I555" s="2"/>
    </row>
    <row r="556" spans="1:9" ht="15.75" x14ac:dyDescent="0.25">
      <c r="B556" s="2"/>
      <c r="C556" s="2"/>
      <c r="D556" s="91" t="s">
        <v>1673</v>
      </c>
      <c r="E556" s="47"/>
      <c r="F556" s="47"/>
      <c r="G556" s="47"/>
      <c r="H556" s="92">
        <f>ROUND(SUM(H555,H549,H530,H520),2)</f>
        <v>9.39</v>
      </c>
      <c r="I556" s="2"/>
    </row>
    <row r="557" spans="1:9" ht="15.75" x14ac:dyDescent="0.25">
      <c r="A557" s="103">
        <v>40002</v>
      </c>
      <c r="B557" s="2"/>
      <c r="C557" s="2"/>
      <c r="D557" s="93" t="s">
        <v>1672</v>
      </c>
      <c r="E557" s="65"/>
      <c r="F557" s="65"/>
      <c r="G557" s="94">
        <f>IF($A557=0,"",VLOOKUP($A557,'BASE MATERIAL'!$M:$P,4))</f>
        <v>0</v>
      </c>
      <c r="H557" s="95">
        <f>IF($A557=0,"",ROUND(G557*H556,2))</f>
        <v>0</v>
      </c>
      <c r="I557" s="2"/>
    </row>
    <row r="558" spans="1:9" ht="15.75" x14ac:dyDescent="0.25">
      <c r="A558" s="103">
        <v>40003</v>
      </c>
      <c r="B558" s="2"/>
      <c r="C558" s="2"/>
      <c r="D558" s="93" t="s">
        <v>1671</v>
      </c>
      <c r="E558" s="65"/>
      <c r="F558" s="65"/>
      <c r="G558" s="94">
        <f>IF($A558=0,"",VLOOKUP($A558,'BASE MATERIAL'!$M:$P,4))</f>
        <v>0</v>
      </c>
      <c r="H558" s="95">
        <f>IF($A558=0,"",ROUND(G558*H556,2))</f>
        <v>0</v>
      </c>
      <c r="I558" s="2"/>
    </row>
    <row r="559" spans="1:9" ht="15.75" x14ac:dyDescent="0.25">
      <c r="B559" s="2"/>
      <c r="C559" s="2"/>
      <c r="D559" s="93" t="s">
        <v>1670</v>
      </c>
      <c r="E559" s="65"/>
      <c r="F559" s="65"/>
      <c r="G559" s="65"/>
      <c r="H559" s="96">
        <f>ROUND(SUM(H556:H558),2)</f>
        <v>9.39</v>
      </c>
      <c r="I559" s="2"/>
    </row>
    <row r="560" spans="1:9" ht="16.5" thickBot="1" x14ac:dyDescent="0.3">
      <c r="B560" s="25"/>
      <c r="C560" s="2"/>
      <c r="D560" s="97" t="s">
        <v>1650</v>
      </c>
      <c r="E560" s="88"/>
      <c r="F560" s="88"/>
      <c r="G560" s="88"/>
      <c r="H560" s="98">
        <f>ROUND(H559,2)</f>
        <v>9.39</v>
      </c>
      <c r="I560" s="2"/>
    </row>
    <row r="561" spans="1:15" ht="15.75" x14ac:dyDescent="0.25">
      <c r="B561" s="34" t="s">
        <v>1701</v>
      </c>
      <c r="C561" s="2"/>
      <c r="D561" s="3" t="str">
        <f>$D$57</f>
        <v>ESPOL</v>
      </c>
      <c r="E561" s="2"/>
      <c r="F561" s="2"/>
      <c r="H561" s="2" t="s">
        <v>108</v>
      </c>
      <c r="I561" s="2"/>
      <c r="L561" s="40">
        <f>A565</f>
        <v>4</v>
      </c>
      <c r="M561" s="1" t="str">
        <f>C566</f>
        <v>Pozo Septico</v>
      </c>
      <c r="N561" s="2" t="str">
        <f>H565</f>
        <v>U</v>
      </c>
      <c r="O561" s="2">
        <f>H616</f>
        <v>69287.55</v>
      </c>
    </row>
    <row r="562" spans="1:15" ht="15.75" x14ac:dyDescent="0.25">
      <c r="B562" s="34" t="s">
        <v>1700</v>
      </c>
      <c r="C562" s="3">
        <f>'1.1'!$C$2</f>
        <v>0</v>
      </c>
      <c r="D562" s="2"/>
      <c r="E562" s="2"/>
      <c r="F562" s="2"/>
      <c r="G562" s="41" t="s">
        <v>1699</v>
      </c>
      <c r="H562" s="42"/>
      <c r="I562" s="2" t="s">
        <v>1698</v>
      </c>
    </row>
    <row r="563" spans="1:15" ht="15.75" x14ac:dyDescent="0.25">
      <c r="B563" s="34"/>
      <c r="C563" s="3">
        <f>'1.1'!$C$3</f>
        <v>0</v>
      </c>
      <c r="D563" s="2"/>
      <c r="E563" s="2"/>
      <c r="F563" s="2"/>
      <c r="G563" s="2"/>
      <c r="H563" s="2"/>
      <c r="I563" s="2"/>
    </row>
    <row r="564" spans="1:15" ht="15.75" x14ac:dyDescent="0.25">
      <c r="B564" s="34" t="s">
        <v>1697</v>
      </c>
      <c r="C564" s="3"/>
      <c r="D564" s="2"/>
      <c r="E564" s="2"/>
      <c r="F564" s="2"/>
      <c r="G564" s="2"/>
      <c r="H564" s="2"/>
      <c r="I564" s="2"/>
    </row>
    <row r="565" spans="1:15" x14ac:dyDescent="0.25">
      <c r="A565" s="104">
        <v>4</v>
      </c>
      <c r="B565" s="2" t="s">
        <v>1586</v>
      </c>
      <c r="C565" s="36" t="s">
        <v>674</v>
      </c>
      <c r="D565" s="2"/>
      <c r="G565" s="2" t="s">
        <v>1696</v>
      </c>
      <c r="H565" s="3" t="s">
        <v>744</v>
      </c>
      <c r="I565" s="2"/>
    </row>
    <row r="566" spans="1:15" x14ac:dyDescent="0.25">
      <c r="B566" s="1" t="s">
        <v>1585</v>
      </c>
      <c r="C566" s="36" t="s">
        <v>673</v>
      </c>
      <c r="D566" s="2"/>
      <c r="E566" s="2"/>
      <c r="F566" s="2"/>
      <c r="G566" s="2"/>
      <c r="H566" s="2"/>
      <c r="I566" s="2"/>
    </row>
    <row r="567" spans="1:15" ht="15.75" thickBot="1" x14ac:dyDescent="0.3">
      <c r="D567" s="2"/>
      <c r="E567" s="2"/>
      <c r="F567" s="2"/>
      <c r="G567" s="2"/>
      <c r="H567" s="2"/>
      <c r="I567" s="2"/>
    </row>
    <row r="568" spans="1:15" ht="15.75" thickBot="1" x14ac:dyDescent="0.3">
      <c r="B568" s="43" t="s">
        <v>1695</v>
      </c>
      <c r="C568" s="44"/>
      <c r="D568" s="44"/>
      <c r="E568" s="44"/>
      <c r="F568" s="44"/>
      <c r="G568" s="44"/>
      <c r="H568" s="45"/>
      <c r="I568" s="2"/>
    </row>
    <row r="569" spans="1:15" ht="25.5" x14ac:dyDescent="0.25">
      <c r="B569" s="46" t="s">
        <v>1409</v>
      </c>
      <c r="C569" s="47"/>
      <c r="D569" s="48" t="s">
        <v>1690</v>
      </c>
      <c r="E569" s="48" t="s">
        <v>1694</v>
      </c>
      <c r="F569" s="48" t="s">
        <v>1693</v>
      </c>
      <c r="G569" s="49" t="s">
        <v>1687</v>
      </c>
      <c r="H569" s="50" t="s">
        <v>1686</v>
      </c>
      <c r="I569" s="2"/>
    </row>
    <row r="570" spans="1:15" x14ac:dyDescent="0.25">
      <c r="A570" s="103">
        <v>19015</v>
      </c>
      <c r="B570" s="69" t="str">
        <f>IF($A570=0,"",VLOOKUP($A570,'BASE EQUIPO'!$A:$D,2))</f>
        <v>HERRAMIENTA MENOR</v>
      </c>
      <c r="C570" s="52"/>
      <c r="D570" s="53">
        <v>1</v>
      </c>
      <c r="E570" s="53">
        <f>IF($A570=0,"",VLOOKUP($A570,'BASE EQUIPO'!$A:$D,4)*H586)</f>
        <v>518.71559999999999</v>
      </c>
      <c r="F570" s="53">
        <f t="shared" ref="F570:F575" si="51">IF($A570=0,"",ROUND(D570*E570,2))</f>
        <v>518.72</v>
      </c>
      <c r="G570" s="105">
        <v>1</v>
      </c>
      <c r="H570" s="54">
        <f t="shared" ref="H570:H575" si="52">IF($A570=0,"",ROUND(G570*F570,2))</f>
        <v>518.72</v>
      </c>
      <c r="I570" s="2"/>
    </row>
    <row r="571" spans="1:15" x14ac:dyDescent="0.25">
      <c r="A571" s="103">
        <v>19003</v>
      </c>
      <c r="B571" s="69" t="str">
        <f>IF($A571=0,"",VLOOKUP($A571,'BASE EQUIPO'!$A:$D,2))</f>
        <v>CONCRETERA</v>
      </c>
      <c r="C571" s="2"/>
      <c r="D571" s="55">
        <v>2</v>
      </c>
      <c r="E571" s="55">
        <f>IF($A571=0,"",VLOOKUP($A571,'BASE EQUIPO'!$A:$D,4))</f>
        <v>3.5</v>
      </c>
      <c r="F571" s="55">
        <f t="shared" si="51"/>
        <v>7</v>
      </c>
      <c r="G571" s="106">
        <f>60*1.45</f>
        <v>87</v>
      </c>
      <c r="H571" s="56">
        <f t="shared" si="52"/>
        <v>609</v>
      </c>
      <c r="I571" s="2"/>
    </row>
    <row r="572" spans="1:15" x14ac:dyDescent="0.25">
      <c r="A572" s="103">
        <v>19008</v>
      </c>
      <c r="B572" s="69" t="str">
        <f>IF($A572=0,"",VLOOKUP($A572,'BASE EQUIPO'!$A:$D,2))</f>
        <v>VIBRADOR</v>
      </c>
      <c r="C572" s="2"/>
      <c r="D572" s="55">
        <v>2</v>
      </c>
      <c r="E572" s="55">
        <f>IF($A572=0,"",VLOOKUP($A572,'BASE EQUIPO'!$A:$D,4))</f>
        <v>2.5</v>
      </c>
      <c r="F572" s="55">
        <f t="shared" si="51"/>
        <v>5</v>
      </c>
      <c r="G572" s="106">
        <f>+G571</f>
        <v>87</v>
      </c>
      <c r="H572" s="56">
        <f t="shared" si="52"/>
        <v>435</v>
      </c>
      <c r="I572" s="2"/>
    </row>
    <row r="573" spans="1:15" x14ac:dyDescent="0.25">
      <c r="A573" s="103">
        <v>19004</v>
      </c>
      <c r="B573" s="69" t="str">
        <f>IF($A573=0,"",VLOOKUP($A573,'BASE EQUIPO'!$A:$D,2))</f>
        <v>COMPACTADOR MEDIANO</v>
      </c>
      <c r="C573" s="2"/>
      <c r="D573" s="55">
        <v>2</v>
      </c>
      <c r="E573" s="55">
        <f>IF($A573=0,"",VLOOKUP($A573,'BASE EQUIPO'!$A:$D,4))</f>
        <v>3.125</v>
      </c>
      <c r="F573" s="55">
        <f t="shared" si="51"/>
        <v>6.25</v>
      </c>
      <c r="G573" s="106">
        <f>15*1.45</f>
        <v>21.75</v>
      </c>
      <c r="H573" s="56">
        <f t="shared" si="52"/>
        <v>135.94</v>
      </c>
      <c r="I573" s="2"/>
    </row>
    <row r="574" spans="1:15" x14ac:dyDescent="0.25">
      <c r="A574" s="103">
        <v>19002</v>
      </c>
      <c r="B574" s="69" t="str">
        <f>IF($A574=0,"",VLOOKUP($A574,'BASE EQUIPO'!$A:$D,2))</f>
        <v>RETROEXCAVADORA</v>
      </c>
      <c r="C574" s="2"/>
      <c r="D574" s="55">
        <v>1</v>
      </c>
      <c r="E574" s="55">
        <f>IF($A574=0,"",VLOOKUP($A574,'BASE EQUIPO'!$A:$D,4))</f>
        <v>31.36</v>
      </c>
      <c r="F574" s="55">
        <f t="shared" si="51"/>
        <v>31.36</v>
      </c>
      <c r="G574" s="106">
        <f>8*1.45</f>
        <v>11.6</v>
      </c>
      <c r="H574" s="56">
        <f t="shared" si="52"/>
        <v>363.78</v>
      </c>
      <c r="I574" s="2"/>
    </row>
    <row r="575" spans="1:15" x14ac:dyDescent="0.25">
      <c r="B575" s="57" t="str">
        <f>IF($A575=0,"",VLOOKUP($A575,'BASE EQUIPO'!$A:$D,2))</f>
        <v/>
      </c>
      <c r="C575" s="58"/>
      <c r="D575" s="59"/>
      <c r="E575" s="59" t="str">
        <f>IF($A575=0,"",VLOOKUP($A575,'BASE EQUIPO'!$A:$D,4))</f>
        <v/>
      </c>
      <c r="F575" s="59" t="str">
        <f t="shared" si="51"/>
        <v/>
      </c>
      <c r="G575" s="107"/>
      <c r="H575" s="60" t="str">
        <f t="shared" si="52"/>
        <v/>
      </c>
      <c r="I575" s="2"/>
    </row>
    <row r="576" spans="1:15" x14ac:dyDescent="0.25">
      <c r="B576" s="57" t="s">
        <v>1692</v>
      </c>
      <c r="C576" s="58"/>
      <c r="D576" s="61"/>
      <c r="E576" s="61"/>
      <c r="F576" s="61"/>
      <c r="G576" s="62"/>
      <c r="H576" s="60">
        <f>ROUND(SUM(H569:H575),2)</f>
        <v>2062.44</v>
      </c>
      <c r="I576" s="2"/>
    </row>
    <row r="577" spans="1:16" x14ac:dyDescent="0.25">
      <c r="B577" s="38" t="s">
        <v>1503</v>
      </c>
      <c r="C577" s="2"/>
      <c r="D577" s="3"/>
      <c r="E577" s="3"/>
      <c r="F577" s="3"/>
      <c r="G577" s="63"/>
      <c r="H577" s="56"/>
      <c r="I577" s="2"/>
    </row>
    <row r="578" spans="1:16" ht="25.5" x14ac:dyDescent="0.25">
      <c r="B578" s="64" t="s">
        <v>1691</v>
      </c>
      <c r="C578" s="65"/>
      <c r="D578" s="66" t="s">
        <v>1690</v>
      </c>
      <c r="E578" s="66" t="s">
        <v>1689</v>
      </c>
      <c r="F578" s="66" t="s">
        <v>1688</v>
      </c>
      <c r="G578" s="67" t="s">
        <v>1687</v>
      </c>
      <c r="H578" s="68" t="s">
        <v>1686</v>
      </c>
      <c r="I578" s="2"/>
    </row>
    <row r="579" spans="1:16" x14ac:dyDescent="0.25">
      <c r="A579" s="103">
        <v>20001</v>
      </c>
      <c r="B579" s="69" t="str">
        <f>IF($A579=0,"",VLOOKUP($A579,'BASE M-OBRA'!$A:$D,2))</f>
        <v>MAESTRO</v>
      </c>
      <c r="C579" s="2"/>
      <c r="D579" s="108">
        <v>1</v>
      </c>
      <c r="E579" s="70">
        <f>IF($A579=0,"",VLOOKUP($A579,'BASE M-OBRA'!$A:$D,4))</f>
        <v>3.02</v>
      </c>
      <c r="F579" s="55">
        <f t="shared" ref="F579:F585" si="53">IF($A579=0,"",ROUND(D579*E579,2))</f>
        <v>3.02</v>
      </c>
      <c r="G579" s="106">
        <f>IF($A579=0,"",ROUND(H579/F579,2))</f>
        <v>954.22</v>
      </c>
      <c r="H579" s="56">
        <f>IF($A579=0,"",ROUND(SUM(H580:H585)*'BASE M-OBRA'!$D$23,2))</f>
        <v>2881.75</v>
      </c>
      <c r="I579" s="2"/>
    </row>
    <row r="580" spans="1:16" x14ac:dyDescent="0.25">
      <c r="A580" s="103">
        <v>20002</v>
      </c>
      <c r="B580" s="69" t="str">
        <f>IF($A580=0,"",VLOOKUP($A580,'BASE M-OBRA'!$A:$D,2))</f>
        <v>PEON</v>
      </c>
      <c r="C580" s="2"/>
      <c r="D580" s="108">
        <v>8</v>
      </c>
      <c r="E580" s="70">
        <f>IF($A580=0,"",VLOOKUP($A580,'BASE M-OBRA'!$A:$D,4))</f>
        <v>2.79</v>
      </c>
      <c r="F580" s="55">
        <f t="shared" si="53"/>
        <v>22.32</v>
      </c>
      <c r="G580" s="106">
        <f>120*1.45</f>
        <v>174</v>
      </c>
      <c r="H580" s="56">
        <f t="shared" ref="H580:H585" si="54">IF($A580=0,"",ROUND(G580*F580,2))</f>
        <v>3883.68</v>
      </c>
      <c r="I580" s="2"/>
      <c r="K580" s="1">
        <f>76.91*15</f>
        <v>1153.6499999999999</v>
      </c>
    </row>
    <row r="581" spans="1:16" x14ac:dyDescent="0.25">
      <c r="A581" s="103">
        <v>20003</v>
      </c>
      <c r="B581" s="69" t="str">
        <f>IF($A581=0,"",VLOOKUP($A581,'BASE M-OBRA'!$A:$D,2))</f>
        <v>ALBAÑIL</v>
      </c>
      <c r="C581" s="2"/>
      <c r="D581" s="108">
        <v>3</v>
      </c>
      <c r="E581" s="70">
        <f>IF($A581=0,"",VLOOKUP($A581,'BASE M-OBRA'!$A:$D,4))</f>
        <v>2.82</v>
      </c>
      <c r="F581" s="55">
        <f t="shared" si="53"/>
        <v>8.4600000000000009</v>
      </c>
      <c r="G581" s="106">
        <f>+G580</f>
        <v>174</v>
      </c>
      <c r="H581" s="56">
        <f t="shared" si="54"/>
        <v>1472.04</v>
      </c>
      <c r="I581" s="2"/>
      <c r="K581" s="1">
        <f>350*3</f>
        <v>1050</v>
      </c>
    </row>
    <row r="582" spans="1:16" x14ac:dyDescent="0.25">
      <c r="A582" s="103">
        <v>20004</v>
      </c>
      <c r="B582" s="71" t="str">
        <f>IF($A582=0,"",VLOOKUP($A582,'BASE M-OBRA'!$A:$D,2))</f>
        <v>CARPINTERO</v>
      </c>
      <c r="C582" s="2"/>
      <c r="D582" s="108">
        <v>3</v>
      </c>
      <c r="E582" s="70">
        <f>IF($A582=0,"",VLOOKUP($A582,'BASE M-OBRA'!$A:$D,4))</f>
        <v>2.82</v>
      </c>
      <c r="F582" s="55">
        <f t="shared" si="53"/>
        <v>8.4600000000000009</v>
      </c>
      <c r="G582" s="106">
        <f>240*1.45</f>
        <v>348</v>
      </c>
      <c r="H582" s="56">
        <f t="shared" si="54"/>
        <v>2944.08</v>
      </c>
      <c r="I582" s="2"/>
      <c r="K582" s="1">
        <f>330*2.9</f>
        <v>957</v>
      </c>
    </row>
    <row r="583" spans="1:16" x14ac:dyDescent="0.25">
      <c r="A583" s="103">
        <v>20005</v>
      </c>
      <c r="B583" s="72" t="str">
        <f>IF($A583=0,"",VLOOKUP($A583,'BASE M-OBRA'!$A:$D,2))</f>
        <v>FIERRERO</v>
      </c>
      <c r="C583" s="2"/>
      <c r="D583" s="108">
        <v>3</v>
      </c>
      <c r="E583" s="70">
        <f>IF($A583=0,"",VLOOKUP($A583,'BASE M-OBRA'!$A:$D,4))</f>
        <v>2.82</v>
      </c>
      <c r="F583" s="55">
        <f t="shared" si="53"/>
        <v>8.4600000000000009</v>
      </c>
      <c r="G583" s="106">
        <f>498*1.45</f>
        <v>722.1</v>
      </c>
      <c r="H583" s="56">
        <f t="shared" si="54"/>
        <v>6108.97</v>
      </c>
      <c r="I583" s="2"/>
      <c r="K583" s="1">
        <f>+F592*0.15</f>
        <v>2625</v>
      </c>
    </row>
    <row r="584" spans="1:16" x14ac:dyDescent="0.25">
      <c r="B584" s="71" t="str">
        <f>IF($A584=0,"",VLOOKUP($A584,'BASE M-OBRA'!$A:$D,2))</f>
        <v/>
      </c>
      <c r="C584" s="2"/>
      <c r="D584" s="55"/>
      <c r="E584" s="55" t="str">
        <f>IF($A584=0,"",VLOOKUP($A584,'BASE M-OBRA'!$A:$D,4))</f>
        <v/>
      </c>
      <c r="F584" s="55" t="str">
        <f t="shared" si="53"/>
        <v/>
      </c>
      <c r="G584" s="106"/>
      <c r="H584" s="56" t="str">
        <f t="shared" si="54"/>
        <v/>
      </c>
      <c r="I584" s="2"/>
    </row>
    <row r="585" spans="1:16" x14ac:dyDescent="0.25">
      <c r="B585" s="72" t="str">
        <f>IF($A585=0,"",VLOOKUP($A585,'BASE M-OBRA'!$A:$D,2))</f>
        <v/>
      </c>
      <c r="C585" s="58"/>
      <c r="D585" s="59"/>
      <c r="E585" s="59" t="str">
        <f>IF($A585=0,"",VLOOKUP($A585,'BASE M-OBRA'!$A:$D,4))</f>
        <v/>
      </c>
      <c r="F585" s="59" t="str">
        <f t="shared" si="53"/>
        <v/>
      </c>
      <c r="G585" s="107"/>
      <c r="H585" s="60" t="str">
        <f t="shared" si="54"/>
        <v/>
      </c>
      <c r="I585" s="2"/>
    </row>
    <row r="586" spans="1:16" x14ac:dyDescent="0.25">
      <c r="B586" s="73" t="s">
        <v>1685</v>
      </c>
      <c r="C586" s="65"/>
      <c r="D586" s="74"/>
      <c r="E586" s="74"/>
      <c r="F586" s="74"/>
      <c r="G586" s="74"/>
      <c r="H586" s="75">
        <f>ROUND(SUM(H578:H585),2)</f>
        <v>17290.52</v>
      </c>
      <c r="I586" s="2"/>
    </row>
    <row r="587" spans="1:16" x14ac:dyDescent="0.25">
      <c r="B587" s="38" t="s">
        <v>1684</v>
      </c>
      <c r="C587" s="2"/>
      <c r="D587" s="3"/>
      <c r="E587" s="3"/>
      <c r="F587" s="3"/>
      <c r="G587" s="3"/>
      <c r="H587" s="56"/>
      <c r="I587" s="2"/>
    </row>
    <row r="588" spans="1:16" ht="25.5" x14ac:dyDescent="0.25">
      <c r="B588" s="64" t="s">
        <v>1409</v>
      </c>
      <c r="C588" s="65"/>
      <c r="D588" s="76"/>
      <c r="E588" s="66" t="s">
        <v>1408</v>
      </c>
      <c r="F588" s="66" t="s">
        <v>1679</v>
      </c>
      <c r="G588" s="66" t="s">
        <v>1683</v>
      </c>
      <c r="H588" s="68" t="s">
        <v>1675</v>
      </c>
      <c r="I588" s="2"/>
    </row>
    <row r="589" spans="1:16" x14ac:dyDescent="0.25">
      <c r="A589" s="103">
        <v>11011</v>
      </c>
      <c r="B589" s="37" t="str">
        <f>IF($A589=0,"",VLOOKUP($A589,'BASE MATERIAL'!$A:$D,2))</f>
        <v>PLYWOOD ENCOFRADO 15 MM</v>
      </c>
      <c r="C589" s="2"/>
      <c r="D589" s="77"/>
      <c r="E589" s="78" t="str">
        <f>IF($A589=0,"",VLOOKUP($A589,'BASE MATERIAL'!$A:$D,3))</f>
        <v>U</v>
      </c>
      <c r="F589" s="55">
        <f>ROUND(330*1.45/(1.2*2.4*4),2)*2</f>
        <v>83.08</v>
      </c>
      <c r="G589" s="55">
        <f>IF($A589=0,"",VLOOKUP($A589,'BASE MATERIAL'!$A:$D,4))</f>
        <v>37.799999999999997</v>
      </c>
      <c r="H589" s="56">
        <f t="shared" ref="H589:H602" si="55">IF($A589=0,"",ROUND(F589*G589,2))</f>
        <v>3140.42</v>
      </c>
      <c r="I589" s="2"/>
      <c r="K589" s="1">
        <f>(21*2+5.6*2)*2*2+21*5.6</f>
        <v>330.4</v>
      </c>
      <c r="L589" s="2"/>
      <c r="M589" s="2"/>
      <c r="N589" s="39"/>
      <c r="O589" s="2"/>
      <c r="P589" s="2"/>
    </row>
    <row r="590" spans="1:16" x14ac:dyDescent="0.25">
      <c r="A590" s="103">
        <v>11009</v>
      </c>
      <c r="B590" s="38" t="str">
        <f>IF($A590=0,"",VLOOKUP($A590,'BASE MATERIAL'!$A:$D,2))</f>
        <v>CUARTON</v>
      </c>
      <c r="C590" s="2"/>
      <c r="D590" s="77"/>
      <c r="E590" s="78" t="str">
        <f>IF($A590=0,"",VLOOKUP($A590,'BASE MATERIAL'!$A:$D,3))</f>
        <v>U</v>
      </c>
      <c r="F590" s="55">
        <f>ROUND(330*1.45*8/(4*3),2)*2</f>
        <v>638</v>
      </c>
      <c r="G590" s="55">
        <f>IF($A590=0,"",VLOOKUP($A590,'BASE MATERIAL'!$A:$D,4))</f>
        <v>2.42</v>
      </c>
      <c r="H590" s="56">
        <f t="shared" si="55"/>
        <v>1543.96</v>
      </c>
      <c r="I590" s="2"/>
      <c r="L590" s="2"/>
      <c r="M590" s="2"/>
      <c r="N590" s="39"/>
      <c r="O590" s="2"/>
      <c r="P590" s="2"/>
    </row>
    <row r="591" spans="1:16" x14ac:dyDescent="0.25">
      <c r="A591" s="103">
        <v>11007</v>
      </c>
      <c r="B591" s="38" t="str">
        <f>IF($A591=0,"",VLOOKUP($A591,'BASE MATERIAL'!$A:$D,2))</f>
        <v>CLAVO 2 1/2"</v>
      </c>
      <c r="C591" s="2"/>
      <c r="D591" s="77"/>
      <c r="E591" s="78" t="str">
        <f>IF($A591=0,"",VLOOKUP($A591,'BASE MATERIAL'!$A:$D,3))</f>
        <v>KG</v>
      </c>
      <c r="F591" s="55">
        <f>ROUND(330*1.45*56/(178*1.5),2)*2</f>
        <v>200.72</v>
      </c>
      <c r="G591" s="55">
        <f>IF($A591=0,"",VLOOKUP($A591,'BASE MATERIAL'!$A:$D,4))</f>
        <v>2.6520000000000001</v>
      </c>
      <c r="H591" s="56">
        <f t="shared" si="55"/>
        <v>532.30999999999995</v>
      </c>
      <c r="I591" s="2"/>
      <c r="L591" s="2"/>
      <c r="M591" s="2"/>
      <c r="N591" s="39"/>
      <c r="O591" s="2"/>
      <c r="P591" s="2"/>
    </row>
    <row r="592" spans="1:16" x14ac:dyDescent="0.25">
      <c r="A592" s="103">
        <v>1001</v>
      </c>
      <c r="B592" s="38" t="str">
        <f>IF($A592=0,"",VLOOKUP($A592,'BASE MATERIAL'!$A:$D,2))</f>
        <v>HIERRO</v>
      </c>
      <c r="C592" s="2"/>
      <c r="D592" s="77"/>
      <c r="E592" s="78" t="str">
        <f>IF($A592=0,"",VLOOKUP($A592,'BASE MATERIAL'!$A:$D,3))</f>
        <v>KG</v>
      </c>
      <c r="F592" s="55">
        <v>17500</v>
      </c>
      <c r="G592" s="55">
        <f>IF($A592=0,"",VLOOKUP($A592,'BASE MATERIAL'!$A:$D,4))</f>
        <v>1.17</v>
      </c>
      <c r="H592" s="56">
        <f t="shared" si="55"/>
        <v>20475</v>
      </c>
      <c r="I592" s="2"/>
      <c r="L592" s="2"/>
      <c r="M592" s="2"/>
      <c r="N592" s="39"/>
      <c r="O592" s="2"/>
      <c r="P592" s="2"/>
    </row>
    <row r="593" spans="1:16" x14ac:dyDescent="0.25">
      <c r="A593" s="103">
        <v>11002</v>
      </c>
      <c r="B593" s="38" t="str">
        <f>IF($A593=0,"",VLOOKUP($A593,'BASE MATERIAL'!$A:$D,2))</f>
        <v>ALAMBRE #18 RECOCIDO</v>
      </c>
      <c r="C593" s="2"/>
      <c r="D593" s="77"/>
      <c r="E593" s="78" t="str">
        <f>IF($A593=0,"",VLOOKUP($A593,'BASE MATERIAL'!$A:$D,3))</f>
        <v>KG</v>
      </c>
      <c r="F593" s="55">
        <f>ROUND(F592*0.02,2)</f>
        <v>350</v>
      </c>
      <c r="G593" s="55">
        <f>IF($A593=0,"",VLOOKUP($A593,'BASE MATERIAL'!$A:$D,4))</f>
        <v>1.87</v>
      </c>
      <c r="H593" s="56">
        <f t="shared" si="55"/>
        <v>654.5</v>
      </c>
      <c r="I593" s="2"/>
      <c r="L593" s="2"/>
      <c r="M593" s="2"/>
      <c r="N593" s="39"/>
      <c r="O593" s="2"/>
      <c r="P593" s="2"/>
    </row>
    <row r="594" spans="1:16" x14ac:dyDescent="0.25">
      <c r="A594" s="103">
        <v>4001</v>
      </c>
      <c r="B594" s="38" t="str">
        <f>IF($A594=0,"",VLOOKUP($A594,'BASE MATERIAL'!$A:$D,2))</f>
        <v>CEMENTO</v>
      </c>
      <c r="C594" s="2"/>
      <c r="D594" s="77"/>
      <c r="E594" s="78" t="str">
        <f>IF($A594=0,"",VLOOKUP($A594,'BASE MATERIAL'!$A:$D,3))</f>
        <v>SACO</v>
      </c>
      <c r="F594" s="55">
        <f>ROUND(8*77*1.45,2)*2</f>
        <v>1786.4</v>
      </c>
      <c r="G594" s="55">
        <f>IF($A594=0,"",VLOOKUP($A594,'BASE MATERIAL'!$A:$D,4))</f>
        <v>7.09</v>
      </c>
      <c r="H594" s="56">
        <f t="shared" si="55"/>
        <v>12665.58</v>
      </c>
      <c r="I594" s="2"/>
      <c r="L594" s="2"/>
      <c r="M594" s="2"/>
      <c r="N594" s="39"/>
      <c r="O594" s="2"/>
      <c r="P594" s="2"/>
    </row>
    <row r="595" spans="1:16" x14ac:dyDescent="0.25">
      <c r="A595" s="103">
        <v>5004</v>
      </c>
      <c r="B595" s="38" t="str">
        <f>IF($A595=0,"",VLOOKUP($A595,'BASE MATERIAL'!$A:$D,2))</f>
        <v>ARENA</v>
      </c>
      <c r="C595" s="2"/>
      <c r="D595" s="77"/>
      <c r="E595" s="78" t="str">
        <f>IF($A595=0,"",VLOOKUP($A595,'BASE MATERIAL'!$A:$D,3))</f>
        <v>M3</v>
      </c>
      <c r="F595" s="55">
        <f>ROUND(F594*0.032*2,2)</f>
        <v>114.33</v>
      </c>
      <c r="G595" s="55">
        <f>IF($A595=0,"",VLOOKUP($A595,'BASE MATERIAL'!$A:$D,4))</f>
        <v>12.276249999999999</v>
      </c>
      <c r="H595" s="56">
        <f t="shared" si="55"/>
        <v>1403.54</v>
      </c>
      <c r="I595" s="2"/>
      <c r="L595" s="2"/>
      <c r="M595" s="2"/>
      <c r="N595" s="39"/>
      <c r="O595" s="2"/>
      <c r="P595" s="2"/>
    </row>
    <row r="596" spans="1:16" x14ac:dyDescent="0.25">
      <c r="A596" s="103">
        <v>5002</v>
      </c>
      <c r="B596" s="38" t="str">
        <f>IF($A596=0,"",VLOOKUP($A596,'BASE MATERIAL'!$A:$D,2))</f>
        <v>PIEDRA 3-4</v>
      </c>
      <c r="C596" s="2"/>
      <c r="D596" s="77"/>
      <c r="E596" s="78" t="str">
        <f>IF($A596=0,"",VLOOKUP($A596,'BASE MATERIAL'!$A:$D,3))</f>
        <v>M3</v>
      </c>
      <c r="F596" s="55">
        <f>ROUND(F594*0.032*3,2)</f>
        <v>171.49</v>
      </c>
      <c r="G596" s="55">
        <f>IF($A596=0,"",VLOOKUP($A596,'BASE MATERIAL'!$A:$D,4))</f>
        <v>13.75</v>
      </c>
      <c r="H596" s="56">
        <f t="shared" si="55"/>
        <v>2357.9899999999998</v>
      </c>
      <c r="I596" s="2"/>
      <c r="L596" s="2"/>
      <c r="M596" s="2"/>
      <c r="N596" s="39"/>
      <c r="O596" s="2"/>
      <c r="P596" s="2"/>
    </row>
    <row r="597" spans="1:16" x14ac:dyDescent="0.25">
      <c r="A597" s="103">
        <v>5005</v>
      </c>
      <c r="B597" s="38" t="str">
        <f>IF($A597=0,"",VLOOKUP($A597,'BASE MATERIAL'!$A:$D,2))</f>
        <v>AGUA</v>
      </c>
      <c r="C597" s="2"/>
      <c r="D597" s="77"/>
      <c r="E597" s="78" t="str">
        <f>IF($A597=0,"",VLOOKUP($A597,'BASE MATERIAL'!$A:$D,3))</f>
        <v>LT</v>
      </c>
      <c r="F597" s="55">
        <f>26*F594</f>
        <v>46446.400000000001</v>
      </c>
      <c r="G597" s="80">
        <f>IF($A597=0,"",VLOOKUP($A597,'BASE MATERIAL'!$A:$D,4))</f>
        <v>2E-3</v>
      </c>
      <c r="H597" s="56">
        <f t="shared" si="55"/>
        <v>92.89</v>
      </c>
      <c r="I597" s="2"/>
    </row>
    <row r="598" spans="1:16" x14ac:dyDescent="0.25">
      <c r="A598" s="103">
        <v>1</v>
      </c>
      <c r="B598" s="38" t="s">
        <v>236</v>
      </c>
      <c r="C598" s="2"/>
      <c r="D598" s="77"/>
      <c r="E598" s="78" t="s">
        <v>1506</v>
      </c>
      <c r="F598" s="55">
        <v>7</v>
      </c>
      <c r="G598" s="55">
        <v>144.54</v>
      </c>
      <c r="H598" s="56">
        <f t="shared" si="55"/>
        <v>1011.78</v>
      </c>
      <c r="I598" s="2"/>
    </row>
    <row r="599" spans="1:16" x14ac:dyDescent="0.25">
      <c r="A599" s="103">
        <v>1</v>
      </c>
      <c r="B599" s="38" t="s">
        <v>237</v>
      </c>
      <c r="C599" s="2"/>
      <c r="D599" s="77"/>
      <c r="E599" s="78" t="s">
        <v>1506</v>
      </c>
      <c r="F599" s="55">
        <v>1</v>
      </c>
      <c r="G599" s="55">
        <v>150</v>
      </c>
      <c r="H599" s="56">
        <f t="shared" si="55"/>
        <v>150</v>
      </c>
      <c r="I599" s="2"/>
    </row>
    <row r="600" spans="1:16" x14ac:dyDescent="0.25">
      <c r="A600" s="103">
        <v>1</v>
      </c>
      <c r="B600" s="38" t="s">
        <v>238</v>
      </c>
      <c r="C600" s="2"/>
      <c r="D600" s="77"/>
      <c r="E600" s="78" t="s">
        <v>1506</v>
      </c>
      <c r="F600" s="55">
        <v>1</v>
      </c>
      <c r="G600" s="55">
        <f>1550.16*1.35</f>
        <v>2092.7160000000003</v>
      </c>
      <c r="H600" s="56">
        <f t="shared" si="55"/>
        <v>2092.7199999999998</v>
      </c>
      <c r="I600" s="2"/>
    </row>
    <row r="601" spans="1:16" x14ac:dyDescent="0.25">
      <c r="B601" s="38"/>
      <c r="C601" s="2"/>
      <c r="D601" s="77"/>
      <c r="E601" s="78"/>
      <c r="F601" s="55"/>
      <c r="G601" s="55"/>
      <c r="H601" s="56" t="str">
        <f t="shared" si="55"/>
        <v/>
      </c>
      <c r="I601" s="2"/>
    </row>
    <row r="602" spans="1:16" x14ac:dyDescent="0.25">
      <c r="A602" s="103">
        <v>5001</v>
      </c>
      <c r="B602" s="38" t="str">
        <f>IF($A602=0,"",VLOOKUP($A602,'BASE MATERIAL'!$A:$D,2))</f>
        <v>CASCAJO MEDIO</v>
      </c>
      <c r="C602" s="2"/>
      <c r="D602" s="81" t="s">
        <v>1682</v>
      </c>
      <c r="E602" s="78" t="str">
        <f>IF($A602=0,"",VLOOKUP($A602,'BASE MATERIAL'!$A:$D,3))</f>
        <v>M3</v>
      </c>
      <c r="F602" s="55">
        <f>190*1.45</f>
        <v>275.5</v>
      </c>
      <c r="G602" s="55">
        <f>IF($A602=0,"",VLOOKUP($A602,'BASE MATERIAL'!$A:$D,4))</f>
        <v>5.5</v>
      </c>
      <c r="H602" s="56">
        <f t="shared" si="55"/>
        <v>1515.25</v>
      </c>
      <c r="I602" s="2"/>
    </row>
    <row r="603" spans="1:16" x14ac:dyDescent="0.25">
      <c r="A603" s="103">
        <v>4001</v>
      </c>
      <c r="B603" s="38" t="str">
        <f>IF($A603=0,"",VLOOKUP($A603,'BASE MATERIAL'!$A:$D,2))</f>
        <v>CEMENTO</v>
      </c>
      <c r="C603" s="2"/>
      <c r="D603" s="77"/>
      <c r="E603" s="78" t="str">
        <f>IF($A603=0,"",VLOOKUP($A603,'BASE MATERIAL'!$A:$D,3))</f>
        <v>SACO</v>
      </c>
      <c r="F603" s="55">
        <f>350*0.2*1.45</f>
        <v>101.5</v>
      </c>
      <c r="G603" s="55">
        <f>IF($A603=0,"",VLOOKUP($A603,'BASE MATERIAL'!$A:$D,4))</f>
        <v>7.09</v>
      </c>
      <c r="H603" s="56">
        <f>IF($A603=0,"",ROUND(F603*G603,2))</f>
        <v>719.64</v>
      </c>
      <c r="I603" s="2"/>
    </row>
    <row r="604" spans="1:16" x14ac:dyDescent="0.25">
      <c r="A604" s="103">
        <v>5004</v>
      </c>
      <c r="B604" s="38" t="str">
        <f>IF($A604=0,"",VLOOKUP($A604,'BASE MATERIAL'!$A:$D,2))</f>
        <v>ARENA</v>
      </c>
      <c r="C604" s="2"/>
      <c r="D604" s="77"/>
      <c r="E604" s="78" t="str">
        <f>IF($A604=0,"",VLOOKUP($A604,'BASE MATERIAL'!$A:$D,3))</f>
        <v>M3</v>
      </c>
      <c r="F604" s="55">
        <f>0.02*350*1.45</f>
        <v>10.15</v>
      </c>
      <c r="G604" s="55">
        <f>IF($A604=0,"",VLOOKUP($A604,'BASE MATERIAL'!$A:$D,4))</f>
        <v>12.276249999999999</v>
      </c>
      <c r="H604" s="56">
        <f>IF($A604=0,"",ROUND(F604*G604,2))</f>
        <v>124.6</v>
      </c>
      <c r="I604" s="2"/>
    </row>
    <row r="605" spans="1:16" x14ac:dyDescent="0.25">
      <c r="B605" s="73" t="s">
        <v>1681</v>
      </c>
      <c r="C605" s="65"/>
      <c r="D605" s="74"/>
      <c r="E605" s="74"/>
      <c r="F605" s="74"/>
      <c r="G605" s="74"/>
      <c r="H605" s="75">
        <f>ROUND(SUM(H588:H604),2)</f>
        <v>48480.18</v>
      </c>
      <c r="I605" s="2"/>
    </row>
    <row r="606" spans="1:16" x14ac:dyDescent="0.25">
      <c r="B606" s="38" t="s">
        <v>1680</v>
      </c>
      <c r="C606" s="2"/>
      <c r="D606" s="3"/>
      <c r="E606" s="3"/>
      <c r="F606" s="3"/>
      <c r="G606" s="3"/>
      <c r="H606" s="56"/>
      <c r="I606" s="2"/>
    </row>
    <row r="607" spans="1:16" ht="25.5" x14ac:dyDescent="0.25">
      <c r="B607" s="64" t="s">
        <v>1409</v>
      </c>
      <c r="C607" s="65"/>
      <c r="D607" s="76"/>
      <c r="E607" s="66" t="s">
        <v>1408</v>
      </c>
      <c r="F607" s="66" t="s">
        <v>1679</v>
      </c>
      <c r="G607" s="66" t="s">
        <v>1676</v>
      </c>
      <c r="H607" s="68" t="s">
        <v>1675</v>
      </c>
      <c r="I607" s="2"/>
    </row>
    <row r="608" spans="1:16" x14ac:dyDescent="0.25">
      <c r="A608" s="103">
        <v>19019</v>
      </c>
      <c r="B608" s="51" t="str">
        <f>IF($A608=0,"",VLOOKUP($A608,'BASE EQUIPO'!$A:$D,2))</f>
        <v>TRANSPORTE DE MATERIAL</v>
      </c>
      <c r="C608" s="52"/>
      <c r="D608" s="82"/>
      <c r="E608" s="78" t="str">
        <f>IF($A608=0,"",VLOOKUP($A608,'BASE EQUIPO'!$A:$D,3))</f>
        <v>GLOBAL</v>
      </c>
      <c r="F608" s="55">
        <v>1</v>
      </c>
      <c r="G608" s="83">
        <f>IF($A608=0,"",VLOOKUP($A608,'BASE EQUIPO'!$A:$D,4)*H605)</f>
        <v>1454.4053999999999</v>
      </c>
      <c r="H608" s="56">
        <f>IF($A608=0,"",ROUND(F608*G608,2))</f>
        <v>1454.41</v>
      </c>
      <c r="I608" s="2"/>
    </row>
    <row r="609" spans="1:15" x14ac:dyDescent="0.25">
      <c r="B609" s="38" t="str">
        <f>IF($A609=0,"",VLOOKUP($A609,'BASE EQUIPO'!$A:$D,2))</f>
        <v/>
      </c>
      <c r="C609" s="2"/>
      <c r="D609" s="84"/>
      <c r="E609" s="78" t="str">
        <f>IF($A609=0,"",VLOOKUP($A609,'BASE EQUIPO'!$A:$D,3))</f>
        <v/>
      </c>
      <c r="F609" s="55"/>
      <c r="G609" s="55" t="str">
        <f>IF($A609=0,"",VLOOKUP($A609,'BASE EQUIPO'!$A:$D,4)*H606)</f>
        <v/>
      </c>
      <c r="H609" s="56" t="str">
        <f>IF($A609=0,"",ROUND(F609*G609,2))</f>
        <v/>
      </c>
      <c r="I609" s="2"/>
    </row>
    <row r="610" spans="1:15" x14ac:dyDescent="0.25">
      <c r="B610" s="57" t="str">
        <f>IF($A610=0,"",VLOOKUP($A610,'BASE EQUIPO'!$A:$D,2))</f>
        <v/>
      </c>
      <c r="C610" s="58"/>
      <c r="D610" s="85"/>
      <c r="E610" s="86" t="str">
        <f>IF($A610=0,"",VLOOKUP($A610,'BASE EQUIPO'!$A:$D,3))</f>
        <v/>
      </c>
      <c r="F610" s="59"/>
      <c r="G610" s="59" t="str">
        <f>IF($A610=0,"",VLOOKUP($A610,'BASE EQUIPO'!$A:$D,4)*H607)</f>
        <v/>
      </c>
      <c r="H610" s="60" t="str">
        <f>IF($A610=0,"",ROUND(F610*G610,2))</f>
        <v/>
      </c>
      <c r="I610" s="2"/>
    </row>
    <row r="611" spans="1:15" ht="15.75" thickBot="1" x14ac:dyDescent="0.3">
      <c r="B611" s="87" t="s">
        <v>1674</v>
      </c>
      <c r="C611" s="88"/>
      <c r="D611" s="89"/>
      <c r="E611" s="89"/>
      <c r="F611" s="89"/>
      <c r="G611" s="89"/>
      <c r="H611" s="90">
        <f>ROUND(SUM(H607:H610),2)</f>
        <v>1454.41</v>
      </c>
      <c r="I611" s="2"/>
    </row>
    <row r="612" spans="1:15" ht="15.75" x14ac:dyDescent="0.25">
      <c r="B612" s="2"/>
      <c r="C612" s="2"/>
      <c r="D612" s="91" t="s">
        <v>1673</v>
      </c>
      <c r="E612" s="47"/>
      <c r="F612" s="47"/>
      <c r="G612" s="47"/>
      <c r="H612" s="92">
        <f>ROUND(SUM(H611,H605,H586,H576),2)</f>
        <v>69287.55</v>
      </c>
      <c r="I612" s="2"/>
      <c r="K612" s="1">
        <v>46003.88</v>
      </c>
      <c r="L612" s="1">
        <f>60/45</f>
        <v>1.3333333333333333</v>
      </c>
    </row>
    <row r="613" spans="1:15" ht="15.75" x14ac:dyDescent="0.25">
      <c r="A613" s="103">
        <v>40002</v>
      </c>
      <c r="B613" s="2"/>
      <c r="C613" s="2"/>
      <c r="D613" s="93" t="s">
        <v>1672</v>
      </c>
      <c r="E613" s="65"/>
      <c r="F613" s="65"/>
      <c r="G613" s="94">
        <f>IF($A613=0,"",VLOOKUP($A613,'BASE MATERIAL'!$M:$P,4))</f>
        <v>0</v>
      </c>
      <c r="H613" s="95">
        <f>IF($A613=0,"",ROUND(G613*H612,2))</f>
        <v>0</v>
      </c>
      <c r="I613" s="2"/>
      <c r="K613" s="1">
        <f>+K612*1.45</f>
        <v>66705.625999999989</v>
      </c>
    </row>
    <row r="614" spans="1:15" ht="15.75" x14ac:dyDescent="0.25">
      <c r="A614" s="103">
        <v>40003</v>
      </c>
      <c r="B614" s="2"/>
      <c r="C614" s="2"/>
      <c r="D614" s="93" t="s">
        <v>1671</v>
      </c>
      <c r="E614" s="65"/>
      <c r="F614" s="65"/>
      <c r="G614" s="94">
        <f>IF($A614=0,"",VLOOKUP($A614,'BASE MATERIAL'!$M:$P,4))</f>
        <v>0</v>
      </c>
      <c r="H614" s="95">
        <f>IF($A614=0,"",ROUND(G614*H612,2))</f>
        <v>0</v>
      </c>
      <c r="I614" s="2"/>
    </row>
    <row r="615" spans="1:15" ht="15.75" x14ac:dyDescent="0.25">
      <c r="B615" s="2"/>
      <c r="C615" s="2"/>
      <c r="D615" s="93" t="s">
        <v>1670</v>
      </c>
      <c r="E615" s="65"/>
      <c r="F615" s="65"/>
      <c r="G615" s="65"/>
      <c r="H615" s="96">
        <f>ROUND(SUM(H612:H614),2)</f>
        <v>69287.55</v>
      </c>
      <c r="I615" s="2"/>
    </row>
    <row r="616" spans="1:15" ht="16.5" thickBot="1" x14ac:dyDescent="0.3">
      <c r="B616" s="25"/>
      <c r="C616" s="2"/>
      <c r="D616" s="97" t="s">
        <v>1650</v>
      </c>
      <c r="E616" s="88"/>
      <c r="F616" s="88"/>
      <c r="G616" s="88"/>
      <c r="H616" s="98">
        <f>ROUND(H615,2)</f>
        <v>69287.55</v>
      </c>
      <c r="I616" s="2"/>
    </row>
    <row r="617" spans="1:15" ht="15.75" x14ac:dyDescent="0.25">
      <c r="B617" s="34" t="s">
        <v>1701</v>
      </c>
      <c r="C617" s="2"/>
      <c r="D617" s="3" t="str">
        <f>$D$57</f>
        <v>ESPOL</v>
      </c>
      <c r="E617" s="2"/>
      <c r="F617" s="2"/>
      <c r="H617" s="2" t="s">
        <v>108</v>
      </c>
      <c r="I617" s="2"/>
      <c r="L617" s="40">
        <f>A621</f>
        <v>4</v>
      </c>
      <c r="M617" s="1" t="str">
        <f>C622</f>
        <v>Muros hormigon armado a= 1.20m</v>
      </c>
      <c r="N617" s="2" t="str">
        <f>H621</f>
        <v>ml</v>
      </c>
      <c r="O617" s="2">
        <f>H672</f>
        <v>74.900000000000006</v>
      </c>
    </row>
    <row r="618" spans="1:15" ht="15.75" x14ac:dyDescent="0.25">
      <c r="B618" s="34" t="s">
        <v>1700</v>
      </c>
      <c r="C618" s="3">
        <f>'1.1'!$C$2</f>
        <v>0</v>
      </c>
      <c r="D618" s="2"/>
      <c r="E618" s="2"/>
      <c r="F618" s="2"/>
      <c r="G618" s="41" t="s">
        <v>1699</v>
      </c>
      <c r="H618" s="42"/>
      <c r="I618" s="2" t="s">
        <v>1698</v>
      </c>
    </row>
    <row r="619" spans="1:15" ht="15.75" x14ac:dyDescent="0.25">
      <c r="B619" s="34"/>
      <c r="C619" s="3">
        <f>'1.1'!$C$3</f>
        <v>0</v>
      </c>
      <c r="D619" s="2"/>
      <c r="E619" s="2"/>
      <c r="F619" s="2"/>
      <c r="G619" s="2"/>
      <c r="H619" s="2"/>
      <c r="I619" s="2"/>
    </row>
    <row r="620" spans="1:15" ht="15.75" x14ac:dyDescent="0.25">
      <c r="B620" s="34" t="s">
        <v>1697</v>
      </c>
      <c r="C620" s="3"/>
      <c r="D620" s="2"/>
      <c r="E620" s="2"/>
      <c r="F620" s="2"/>
      <c r="G620" s="2"/>
      <c r="H620" s="2"/>
      <c r="I620" s="2"/>
    </row>
    <row r="621" spans="1:15" x14ac:dyDescent="0.25">
      <c r="A621" s="104">
        <v>4</v>
      </c>
      <c r="B621" s="2" t="s">
        <v>1586</v>
      </c>
      <c r="C621" s="36" t="s">
        <v>234</v>
      </c>
      <c r="D621" s="2"/>
      <c r="G621" s="2" t="s">
        <v>1696</v>
      </c>
      <c r="H621" s="3" t="s">
        <v>961</v>
      </c>
      <c r="I621" s="2"/>
    </row>
    <row r="622" spans="1:15" x14ac:dyDescent="0.25">
      <c r="B622" s="1" t="s">
        <v>1585</v>
      </c>
      <c r="C622" s="36" t="s">
        <v>235</v>
      </c>
      <c r="D622" s="2"/>
      <c r="E622" s="2"/>
      <c r="F622" s="2"/>
      <c r="G622" s="2"/>
      <c r="H622" s="2"/>
      <c r="I622" s="2"/>
    </row>
    <row r="623" spans="1:15" ht="15.75" thickBot="1" x14ac:dyDescent="0.3">
      <c r="D623" s="2"/>
      <c r="E623" s="2"/>
      <c r="F623" s="2"/>
      <c r="G623" s="2"/>
      <c r="H623" s="2"/>
      <c r="I623" s="2"/>
    </row>
    <row r="624" spans="1:15" ht="15.75" thickBot="1" x14ac:dyDescent="0.3">
      <c r="B624" s="43" t="s">
        <v>1695</v>
      </c>
      <c r="C624" s="44"/>
      <c r="D624" s="44"/>
      <c r="E624" s="44"/>
      <c r="F624" s="44"/>
      <c r="G624" s="44"/>
      <c r="H624" s="45"/>
      <c r="I624" s="2"/>
    </row>
    <row r="625" spans="1:11" ht="25.5" x14ac:dyDescent="0.25">
      <c r="B625" s="46" t="s">
        <v>1409</v>
      </c>
      <c r="C625" s="47"/>
      <c r="D625" s="48" t="s">
        <v>1690</v>
      </c>
      <c r="E625" s="48" t="s">
        <v>1694</v>
      </c>
      <c r="F625" s="48" t="s">
        <v>1693</v>
      </c>
      <c r="G625" s="49" t="s">
        <v>1687</v>
      </c>
      <c r="H625" s="50" t="s">
        <v>1686</v>
      </c>
      <c r="I625" s="2"/>
    </row>
    <row r="626" spans="1:11" x14ac:dyDescent="0.25">
      <c r="A626" s="103">
        <v>19015</v>
      </c>
      <c r="B626" s="51" t="str">
        <f>IF($A626=0,"",VLOOKUP($A626,'BASE EQUIPO'!$A:$D,2))</f>
        <v>HERRAMIENTA MENOR</v>
      </c>
      <c r="C626" s="52"/>
      <c r="D626" s="53">
        <v>1</v>
      </c>
      <c r="E626" s="53">
        <f>IF($A626=0,"",VLOOKUP($A626,'BASE EQUIPO'!$A:$D,4)*H642)</f>
        <v>0.78989999999999994</v>
      </c>
      <c r="F626" s="53">
        <f t="shared" ref="F626:F631" si="56">IF($A626=0,"",ROUND(D626*E626,2))</f>
        <v>0.79</v>
      </c>
      <c r="G626" s="105">
        <v>1</v>
      </c>
      <c r="H626" s="54">
        <f t="shared" ref="H626:H631" si="57">IF($A626=0,"",ROUND(G626*F626,2))</f>
        <v>0.79</v>
      </c>
      <c r="I626" s="2"/>
    </row>
    <row r="627" spans="1:11" x14ac:dyDescent="0.25">
      <c r="A627" s="103">
        <v>19003</v>
      </c>
      <c r="B627" s="38" t="str">
        <f>IF($A627=0,"",VLOOKUP($A627,'BASE EQUIPO'!$A:$D,2))</f>
        <v>CONCRETERA</v>
      </c>
      <c r="C627" s="2"/>
      <c r="D627" s="55">
        <v>1</v>
      </c>
      <c r="E627" s="55">
        <f>IF($A627=0,"",VLOOKUP($A627,'BASE EQUIPO'!$A:$D,4))</f>
        <v>3.5</v>
      </c>
      <c r="F627" s="55">
        <f t="shared" si="56"/>
        <v>3.5</v>
      </c>
      <c r="G627" s="106">
        <f>+G636*0.25</f>
        <v>0.05</v>
      </c>
      <c r="H627" s="56">
        <f t="shared" si="57"/>
        <v>0.18</v>
      </c>
      <c r="I627" s="2"/>
    </row>
    <row r="628" spans="1:11" x14ac:dyDescent="0.25">
      <c r="A628" s="103">
        <v>19008</v>
      </c>
      <c r="B628" s="38" t="str">
        <f>IF($A628=0,"",VLOOKUP($A628,'BASE EQUIPO'!$A:$D,2))</f>
        <v>VIBRADOR</v>
      </c>
      <c r="C628" s="2"/>
      <c r="D628" s="55">
        <v>1</v>
      </c>
      <c r="E628" s="55">
        <f>IF($A628=0,"",VLOOKUP($A628,'BASE EQUIPO'!$A:$D,4))</f>
        <v>2.5</v>
      </c>
      <c r="F628" s="55">
        <f t="shared" si="56"/>
        <v>2.5</v>
      </c>
      <c r="G628" s="106">
        <f>+G627</f>
        <v>0.05</v>
      </c>
      <c r="H628" s="56">
        <f t="shared" si="57"/>
        <v>0.13</v>
      </c>
      <c r="I628" s="2"/>
    </row>
    <row r="629" spans="1:11" x14ac:dyDescent="0.25">
      <c r="B629" s="38" t="str">
        <f>IF($A629=0,"",VLOOKUP($A629,'BASE EQUIPO'!$A:$D,2))</f>
        <v/>
      </c>
      <c r="C629" s="2"/>
      <c r="D629" s="55"/>
      <c r="E629" s="55" t="str">
        <f>IF($A629=0,"",VLOOKUP($A629,'BASE EQUIPO'!$A:$D,4))</f>
        <v/>
      </c>
      <c r="F629" s="55" t="str">
        <f t="shared" si="56"/>
        <v/>
      </c>
      <c r="G629" s="106"/>
      <c r="H629" s="56" t="str">
        <f t="shared" si="57"/>
        <v/>
      </c>
      <c r="I629" s="2"/>
    </row>
    <row r="630" spans="1:11" x14ac:dyDescent="0.25">
      <c r="B630" s="38" t="str">
        <f>IF($A630=0,"",VLOOKUP($A630,'BASE EQUIPO'!$A:$D,2))</f>
        <v/>
      </c>
      <c r="C630" s="2"/>
      <c r="D630" s="55"/>
      <c r="E630" s="55" t="str">
        <f>IF($A630=0,"",VLOOKUP($A630,'BASE EQUIPO'!$A:$D,4))</f>
        <v/>
      </c>
      <c r="F630" s="55" t="str">
        <f t="shared" si="56"/>
        <v/>
      </c>
      <c r="G630" s="106"/>
      <c r="H630" s="56" t="str">
        <f t="shared" si="57"/>
        <v/>
      </c>
      <c r="I630" s="2"/>
    </row>
    <row r="631" spans="1:11" x14ac:dyDescent="0.25">
      <c r="B631" s="57" t="str">
        <f>IF($A631=0,"",VLOOKUP($A631,'BASE EQUIPO'!$A:$D,2))</f>
        <v/>
      </c>
      <c r="C631" s="58"/>
      <c r="D631" s="59"/>
      <c r="E631" s="59" t="str">
        <f>IF($A631=0,"",VLOOKUP($A631,'BASE EQUIPO'!$A:$D,4))</f>
        <v/>
      </c>
      <c r="F631" s="59" t="str">
        <f t="shared" si="56"/>
        <v/>
      </c>
      <c r="G631" s="107"/>
      <c r="H631" s="60" t="str">
        <f t="shared" si="57"/>
        <v/>
      </c>
      <c r="I631" s="2"/>
    </row>
    <row r="632" spans="1:11" x14ac:dyDescent="0.25">
      <c r="B632" s="57" t="s">
        <v>1692</v>
      </c>
      <c r="C632" s="58"/>
      <c r="D632" s="61"/>
      <c r="E632" s="61"/>
      <c r="F632" s="61"/>
      <c r="G632" s="62"/>
      <c r="H632" s="60">
        <f>ROUND(SUM(H625:H631),2)</f>
        <v>1.1000000000000001</v>
      </c>
      <c r="I632" s="2"/>
    </row>
    <row r="633" spans="1:11" x14ac:dyDescent="0.25">
      <c r="B633" s="38" t="s">
        <v>1503</v>
      </c>
      <c r="C633" s="2"/>
      <c r="D633" s="3"/>
      <c r="E633" s="3"/>
      <c r="F633" s="3"/>
      <c r="G633" s="63"/>
      <c r="H633" s="56"/>
      <c r="I633" s="2"/>
    </row>
    <row r="634" spans="1:11" ht="25.5" x14ac:dyDescent="0.25">
      <c r="B634" s="64" t="s">
        <v>1691</v>
      </c>
      <c r="C634" s="65"/>
      <c r="D634" s="66" t="s">
        <v>1690</v>
      </c>
      <c r="E634" s="66" t="s">
        <v>1689</v>
      </c>
      <c r="F634" s="66" t="s">
        <v>1688</v>
      </c>
      <c r="G634" s="67" t="s">
        <v>1687</v>
      </c>
      <c r="H634" s="68" t="s">
        <v>1686</v>
      </c>
      <c r="I634" s="2"/>
    </row>
    <row r="635" spans="1:11" x14ac:dyDescent="0.25">
      <c r="A635" s="103">
        <v>20001</v>
      </c>
      <c r="B635" s="69" t="str">
        <f>IF($A635=0,"",VLOOKUP($A635,'BASE M-OBRA'!$A:$D,2))</f>
        <v>MAESTRO</v>
      </c>
      <c r="C635" s="2"/>
      <c r="D635" s="108">
        <v>1</v>
      </c>
      <c r="E635" s="70">
        <f>IF($A635=0,"",VLOOKUP($A635,'BASE M-OBRA'!$A:$D,4))</f>
        <v>3.02</v>
      </c>
      <c r="F635" s="55">
        <f t="shared" ref="F635:F641" si="58">IF($A635=0,"",ROUND(D635*E635,2))</f>
        <v>3.02</v>
      </c>
      <c r="G635" s="106">
        <f>IF($A635=0,"",ROUND(H635/F635,2))</f>
        <v>1.45</v>
      </c>
      <c r="H635" s="56">
        <f>IF($A635=0,"",ROUND(SUM(H636:H641)*'BASE M-OBRA'!$D$23,2))</f>
        <v>4.3899999999999997</v>
      </c>
      <c r="I635" s="2"/>
    </row>
    <row r="636" spans="1:11" x14ac:dyDescent="0.25">
      <c r="A636" s="103">
        <v>20002</v>
      </c>
      <c r="B636" s="69" t="str">
        <f>IF($A636=0,"",VLOOKUP($A636,'BASE M-OBRA'!$A:$D,2))</f>
        <v>PEON</v>
      </c>
      <c r="C636" s="2"/>
      <c r="D636" s="108">
        <v>8</v>
      </c>
      <c r="E636" s="70">
        <f>IF($A636=0,"",VLOOKUP($A636,'BASE M-OBRA'!$A:$D,4))</f>
        <v>2.79</v>
      </c>
      <c r="F636" s="55">
        <f t="shared" si="58"/>
        <v>22.32</v>
      </c>
      <c r="G636" s="106">
        <f>0.1*2</f>
        <v>0.2</v>
      </c>
      <c r="H636" s="56">
        <f t="shared" ref="H636:H641" si="59">IF($A636=0,"",ROUND(G636*F636,2))</f>
        <v>4.46</v>
      </c>
      <c r="I636" s="2"/>
    </row>
    <row r="637" spans="1:11" x14ac:dyDescent="0.25">
      <c r="A637" s="103">
        <v>20003</v>
      </c>
      <c r="B637" s="69" t="str">
        <f>IF($A637=0,"",VLOOKUP($A637,'BASE M-OBRA'!$A:$D,2))</f>
        <v>ALBAÑIL</v>
      </c>
      <c r="C637" s="2"/>
      <c r="D637" s="108">
        <v>2</v>
      </c>
      <c r="E637" s="70">
        <f>IF($A637=0,"",VLOOKUP($A637,'BASE M-OBRA'!$A:$D,4))</f>
        <v>2.82</v>
      </c>
      <c r="F637" s="55">
        <f t="shared" si="58"/>
        <v>5.64</v>
      </c>
      <c r="G637" s="106">
        <f>+G636</f>
        <v>0.2</v>
      </c>
      <c r="H637" s="56">
        <f t="shared" si="59"/>
        <v>1.1299999999999999</v>
      </c>
      <c r="I637" s="2"/>
    </row>
    <row r="638" spans="1:11" x14ac:dyDescent="0.25">
      <c r="A638" s="103">
        <v>20004</v>
      </c>
      <c r="B638" s="71" t="str">
        <f>IF($A638=0,"",VLOOKUP($A638,'BASE M-OBRA'!$A:$D,2))</f>
        <v>CARPINTERO</v>
      </c>
      <c r="C638" s="2"/>
      <c r="D638" s="108">
        <v>2</v>
      </c>
      <c r="E638" s="70">
        <f>IF($A638=0,"",VLOOKUP($A638,'BASE M-OBRA'!$A:$D,4))</f>
        <v>2.82</v>
      </c>
      <c r="F638" s="55">
        <f t="shared" si="58"/>
        <v>5.64</v>
      </c>
      <c r="G638" s="106">
        <f>1.05*2</f>
        <v>2.1</v>
      </c>
      <c r="H638" s="56">
        <f t="shared" si="59"/>
        <v>11.84</v>
      </c>
      <c r="I638" s="2"/>
      <c r="K638" s="1">
        <f>2.9*1.3</f>
        <v>3.77</v>
      </c>
    </row>
    <row r="639" spans="1:11" x14ac:dyDescent="0.25">
      <c r="A639" s="103">
        <v>20005</v>
      </c>
      <c r="B639" s="72" t="str">
        <f>IF($A639=0,"",VLOOKUP($A639,'BASE M-OBRA'!$A:$D,2))</f>
        <v>FIERRERO</v>
      </c>
      <c r="C639" s="2"/>
      <c r="D639" s="108">
        <v>2</v>
      </c>
      <c r="E639" s="70">
        <f>IF($A639=0,"",VLOOKUP($A639,'BASE M-OBRA'!$A:$D,4))</f>
        <v>2.82</v>
      </c>
      <c r="F639" s="55">
        <f t="shared" si="58"/>
        <v>5.64</v>
      </c>
      <c r="G639" s="106">
        <f>0.4*2</f>
        <v>0.8</v>
      </c>
      <c r="H639" s="56">
        <f t="shared" si="59"/>
        <v>4.51</v>
      </c>
      <c r="I639" s="2"/>
      <c r="K639" s="1">
        <f>+F648*0.2</f>
        <v>2.556</v>
      </c>
    </row>
    <row r="640" spans="1:11" x14ac:dyDescent="0.25">
      <c r="B640" s="38" t="str">
        <f>IF($A640=0,"",VLOOKUP($A640,'BASE M-OBRA'!$A:$D,2))</f>
        <v/>
      </c>
      <c r="C640" s="2"/>
      <c r="D640" s="55"/>
      <c r="E640" s="55" t="str">
        <f>IF($A640=0,"",VLOOKUP($A640,'BASE M-OBRA'!$A:$D,4))</f>
        <v/>
      </c>
      <c r="F640" s="55" t="str">
        <f t="shared" si="58"/>
        <v/>
      </c>
      <c r="G640" s="106"/>
      <c r="H640" s="56" t="str">
        <f t="shared" si="59"/>
        <v/>
      </c>
      <c r="I640" s="2"/>
    </row>
    <row r="641" spans="1:16" x14ac:dyDescent="0.25">
      <c r="B641" s="57" t="str">
        <f>IF($A641=0,"",VLOOKUP($A641,'BASE M-OBRA'!$A:$D,2))</f>
        <v/>
      </c>
      <c r="C641" s="58"/>
      <c r="D641" s="59"/>
      <c r="E641" s="59" t="str">
        <f>IF($A641=0,"",VLOOKUP($A641,'BASE M-OBRA'!$A:$D,4))</f>
        <v/>
      </c>
      <c r="F641" s="59" t="str">
        <f t="shared" si="58"/>
        <v/>
      </c>
      <c r="G641" s="107"/>
      <c r="H641" s="60" t="str">
        <f t="shared" si="59"/>
        <v/>
      </c>
      <c r="I641" s="2"/>
    </row>
    <row r="642" spans="1:16" x14ac:dyDescent="0.25">
      <c r="B642" s="73" t="s">
        <v>1685</v>
      </c>
      <c r="C642" s="65"/>
      <c r="D642" s="74"/>
      <c r="E642" s="74"/>
      <c r="F642" s="74"/>
      <c r="G642" s="74"/>
      <c r="H642" s="75">
        <f>ROUND(SUM(H634:H641),2)</f>
        <v>26.33</v>
      </c>
      <c r="I642" s="2"/>
    </row>
    <row r="643" spans="1:16" x14ac:dyDescent="0.25">
      <c r="B643" s="38" t="s">
        <v>1684</v>
      </c>
      <c r="C643" s="2"/>
      <c r="D643" s="3"/>
      <c r="E643" s="3"/>
      <c r="F643" s="3"/>
      <c r="G643" s="3"/>
      <c r="H643" s="56"/>
      <c r="I643" s="2"/>
    </row>
    <row r="644" spans="1:16" ht="25.5" x14ac:dyDescent="0.25">
      <c r="B644" s="64" t="s">
        <v>1409</v>
      </c>
      <c r="C644" s="65"/>
      <c r="D644" s="76"/>
      <c r="E644" s="66" t="s">
        <v>1408</v>
      </c>
      <c r="F644" s="66" t="s">
        <v>1679</v>
      </c>
      <c r="G644" s="66" t="s">
        <v>1683</v>
      </c>
      <c r="H644" s="68" t="s">
        <v>1675</v>
      </c>
      <c r="I644" s="2"/>
    </row>
    <row r="645" spans="1:16" x14ac:dyDescent="0.25">
      <c r="A645" s="103">
        <v>11011</v>
      </c>
      <c r="B645" s="37" t="str">
        <f>IF($A645=0,"",VLOOKUP($A645,'BASE MATERIAL'!$A:$D,2))</f>
        <v>PLYWOOD ENCOFRADO 15 MM</v>
      </c>
      <c r="C645" s="2"/>
      <c r="D645" s="77"/>
      <c r="E645" s="78" t="str">
        <f>IF($A645=0,"",VLOOKUP($A645,'BASE MATERIAL'!$A:$D,3))</f>
        <v>U</v>
      </c>
      <c r="F645" s="55">
        <f>ROUND(1.3/(1.2*2.4*5),2)*2</f>
        <v>0.18</v>
      </c>
      <c r="G645" s="55">
        <f>IF($A645=0,"",VLOOKUP($A645,'BASE MATERIAL'!$A:$D,4))</f>
        <v>37.799999999999997</v>
      </c>
      <c r="H645" s="56">
        <f t="shared" ref="H645:H659" si="60">IF($A645=0,"",ROUND(F645*G645,2))</f>
        <v>6.8</v>
      </c>
      <c r="I645" s="2"/>
      <c r="K645" s="1">
        <f>2/0.2</f>
        <v>10</v>
      </c>
      <c r="L645" s="2"/>
      <c r="M645" s="2"/>
      <c r="N645" s="39"/>
      <c r="O645" s="2"/>
      <c r="P645" s="2"/>
    </row>
    <row r="646" spans="1:16" x14ac:dyDescent="0.25">
      <c r="A646" s="103">
        <v>11009</v>
      </c>
      <c r="B646" s="38" t="str">
        <f>IF($A646=0,"",VLOOKUP($A646,'BASE MATERIAL'!$A:$D,2))</f>
        <v>CUARTON</v>
      </c>
      <c r="C646" s="2"/>
      <c r="D646" s="77"/>
      <c r="E646" s="78" t="str">
        <f>IF($A646=0,"",VLOOKUP($A646,'BASE MATERIAL'!$A:$D,3))</f>
        <v>U</v>
      </c>
      <c r="F646" s="55">
        <f>ROUND(1.3*8/(4*3),2)*2</f>
        <v>1.74</v>
      </c>
      <c r="G646" s="55">
        <f>IF($A646=0,"",VLOOKUP($A646,'BASE MATERIAL'!$A:$D,4))</f>
        <v>2.42</v>
      </c>
      <c r="H646" s="56">
        <f t="shared" si="60"/>
        <v>4.21</v>
      </c>
      <c r="I646" s="2"/>
      <c r="L646" s="2"/>
      <c r="M646" s="2"/>
      <c r="N646" s="39"/>
      <c r="O646" s="2"/>
      <c r="P646" s="2"/>
    </row>
    <row r="647" spans="1:16" x14ac:dyDescent="0.25">
      <c r="A647" s="103">
        <v>11007</v>
      </c>
      <c r="B647" s="38" t="str">
        <f>IF($A647=0,"",VLOOKUP($A647,'BASE MATERIAL'!$A:$D,2))</f>
        <v>CLAVO 2 1/2"</v>
      </c>
      <c r="C647" s="2"/>
      <c r="D647" s="77"/>
      <c r="E647" s="78" t="str">
        <f>IF($A647=0,"",VLOOKUP($A647,'BASE MATERIAL'!$A:$D,3))</f>
        <v>KG</v>
      </c>
      <c r="F647" s="55">
        <f>ROUND(1.3*56/(178*1.5),2)*2</f>
        <v>0.54</v>
      </c>
      <c r="G647" s="55">
        <f>IF($A647=0,"",VLOOKUP($A647,'BASE MATERIAL'!$A:$D,4))</f>
        <v>2.6520000000000001</v>
      </c>
      <c r="H647" s="56">
        <f t="shared" si="60"/>
        <v>1.43</v>
      </c>
      <c r="I647" s="2"/>
      <c r="L647" s="2"/>
      <c r="M647" s="2"/>
      <c r="N647" s="39"/>
      <c r="O647" s="2"/>
      <c r="P647" s="2"/>
    </row>
    <row r="648" spans="1:16" x14ac:dyDescent="0.25">
      <c r="A648" s="103">
        <v>1001</v>
      </c>
      <c r="B648" s="38" t="str">
        <f>IF($A648=0,"",VLOOKUP($A648,'BASE MATERIAL'!$A:$D,2))</f>
        <v>HIERRO</v>
      </c>
      <c r="C648" s="2"/>
      <c r="D648" s="77"/>
      <c r="E648" s="78" t="str">
        <f>IF($A648=0,"",VLOOKUP($A648,'BASE MATERIAL'!$A:$D,3))</f>
        <v>KG</v>
      </c>
      <c r="F648" s="55">
        <v>12.78</v>
      </c>
      <c r="G648" s="55">
        <f>IF($A648=0,"",VLOOKUP($A648,'BASE MATERIAL'!$A:$D,4))</f>
        <v>1.17</v>
      </c>
      <c r="H648" s="56">
        <f t="shared" si="60"/>
        <v>14.95</v>
      </c>
      <c r="I648" s="2"/>
      <c r="L648" s="2"/>
      <c r="M648" s="2"/>
      <c r="N648" s="39"/>
      <c r="O648" s="2"/>
      <c r="P648" s="2"/>
    </row>
    <row r="649" spans="1:16" x14ac:dyDescent="0.25">
      <c r="A649" s="103">
        <v>11002</v>
      </c>
      <c r="B649" s="38" t="str">
        <f>IF($A649=0,"",VLOOKUP($A649,'BASE MATERIAL'!$A:$D,2))</f>
        <v>ALAMBRE #18 RECOCIDO</v>
      </c>
      <c r="C649" s="2"/>
      <c r="D649" s="77"/>
      <c r="E649" s="78" t="str">
        <f>IF($A649=0,"",VLOOKUP($A649,'BASE MATERIAL'!$A:$D,3))</f>
        <v>KG</v>
      </c>
      <c r="F649" s="55">
        <f>ROUND(F648*0.02,2)</f>
        <v>0.26</v>
      </c>
      <c r="G649" s="55">
        <f>IF($A649=0,"",VLOOKUP($A649,'BASE MATERIAL'!$A:$D,4))</f>
        <v>1.87</v>
      </c>
      <c r="H649" s="56">
        <f t="shared" si="60"/>
        <v>0.49</v>
      </c>
      <c r="I649" s="2"/>
      <c r="L649" s="2"/>
      <c r="M649" s="2"/>
      <c r="N649" s="39"/>
      <c r="O649" s="2"/>
      <c r="P649" s="2"/>
    </row>
    <row r="650" spans="1:16" x14ac:dyDescent="0.25">
      <c r="A650" s="103">
        <v>4001</v>
      </c>
      <c r="B650" s="38" t="str">
        <f>IF($A650=0,"",VLOOKUP($A650,'BASE MATERIAL'!$A:$D,2))</f>
        <v>CEMENTO</v>
      </c>
      <c r="C650" s="2"/>
      <c r="D650" s="77"/>
      <c r="E650" s="78" t="str">
        <f>IF($A650=0,"",VLOOKUP($A650,'BASE MATERIAL'!$A:$D,3))</f>
        <v>SACO</v>
      </c>
      <c r="F650" s="55">
        <f>ROUND(7.5*0.2*0.65,2)*2</f>
        <v>1.96</v>
      </c>
      <c r="G650" s="55">
        <f>IF($A650=0,"",VLOOKUP($A650,'BASE MATERIAL'!$A:$D,4))</f>
        <v>7.09</v>
      </c>
      <c r="H650" s="56">
        <f t="shared" si="60"/>
        <v>13.9</v>
      </c>
      <c r="I650" s="2"/>
      <c r="L650" s="2"/>
      <c r="M650" s="2"/>
      <c r="N650" s="39"/>
      <c r="O650" s="2"/>
      <c r="P650" s="2"/>
    </row>
    <row r="651" spans="1:16" x14ac:dyDescent="0.25">
      <c r="A651" s="103">
        <v>5004</v>
      </c>
      <c r="B651" s="38" t="str">
        <f>IF($A651=0,"",VLOOKUP($A651,'BASE MATERIAL'!$A:$D,2))</f>
        <v>ARENA</v>
      </c>
      <c r="C651" s="2"/>
      <c r="D651" s="77"/>
      <c r="E651" s="78" t="str">
        <f>IF($A651=0,"",VLOOKUP($A651,'BASE MATERIAL'!$A:$D,3))</f>
        <v>M3</v>
      </c>
      <c r="F651" s="55">
        <f>ROUND(F650*0.032*2,2)</f>
        <v>0.13</v>
      </c>
      <c r="G651" s="55">
        <f>IF($A651=0,"",VLOOKUP($A651,'BASE MATERIAL'!$A:$D,4))</f>
        <v>12.276249999999999</v>
      </c>
      <c r="H651" s="56">
        <f t="shared" si="60"/>
        <v>1.6</v>
      </c>
      <c r="I651" s="2"/>
      <c r="L651" s="2"/>
      <c r="M651" s="2"/>
      <c r="N651" s="39"/>
      <c r="O651" s="2"/>
      <c r="P651" s="2"/>
    </row>
    <row r="652" spans="1:16" x14ac:dyDescent="0.25">
      <c r="A652" s="103">
        <v>5002</v>
      </c>
      <c r="B652" s="38" t="str">
        <f>IF($A652=0,"",VLOOKUP($A652,'BASE MATERIAL'!$A:$D,2))</f>
        <v>PIEDRA 3-4</v>
      </c>
      <c r="C652" s="2"/>
      <c r="D652" s="77"/>
      <c r="E652" s="78" t="str">
        <f>IF($A652=0,"",VLOOKUP($A652,'BASE MATERIAL'!$A:$D,3))</f>
        <v>M3</v>
      </c>
      <c r="F652" s="55">
        <f>ROUND(F650*0.032*3,2)</f>
        <v>0.19</v>
      </c>
      <c r="G652" s="55">
        <f>IF($A652=0,"",VLOOKUP($A652,'BASE MATERIAL'!$A:$D,4))</f>
        <v>13.75</v>
      </c>
      <c r="H652" s="56">
        <f t="shared" si="60"/>
        <v>2.61</v>
      </c>
      <c r="I652" s="2"/>
      <c r="L652" s="2"/>
      <c r="M652" s="2"/>
      <c r="N652" s="39"/>
      <c r="O652" s="2"/>
      <c r="P652" s="2"/>
    </row>
    <row r="653" spans="1:16" x14ac:dyDescent="0.25">
      <c r="A653" s="103">
        <v>5005</v>
      </c>
      <c r="B653" s="38" t="str">
        <f>IF($A653=0,"",VLOOKUP($A653,'BASE MATERIAL'!$A:$D,2))</f>
        <v>AGUA</v>
      </c>
      <c r="C653" s="2"/>
      <c r="D653" s="77"/>
      <c r="E653" s="78" t="str">
        <f>IF($A653=0,"",VLOOKUP($A653,'BASE MATERIAL'!$A:$D,3))</f>
        <v>LT</v>
      </c>
      <c r="F653" s="55">
        <f>26*F650</f>
        <v>50.96</v>
      </c>
      <c r="G653" s="80">
        <f>IF($A653=0,"",VLOOKUP($A653,'BASE MATERIAL'!$A:$D,4))</f>
        <v>2E-3</v>
      </c>
      <c r="H653" s="56">
        <f t="shared" si="60"/>
        <v>0.1</v>
      </c>
      <c r="I653" s="2"/>
    </row>
    <row r="654" spans="1:16" x14ac:dyDescent="0.25">
      <c r="B654" s="38" t="str">
        <f>IF($A654=0,"",VLOOKUP($A654,'BASE MATERIAL'!$A:$D,2))</f>
        <v/>
      </c>
      <c r="C654" s="2"/>
      <c r="D654" s="77"/>
      <c r="E654" s="78" t="str">
        <f>IF($A654=0,"",VLOOKUP($A654,'BASE MATERIAL'!$A:$D,3))</f>
        <v/>
      </c>
      <c r="F654" s="55"/>
      <c r="G654" s="55" t="str">
        <f>IF($A654=0,"",VLOOKUP($A654,'BASE MATERIAL'!$A:$D,4))</f>
        <v/>
      </c>
      <c r="H654" s="56" t="str">
        <f t="shared" si="60"/>
        <v/>
      </c>
      <c r="I654" s="2"/>
      <c r="L654" s="2"/>
      <c r="M654" s="2"/>
      <c r="N654" s="39"/>
      <c r="O654" s="2"/>
      <c r="P654" s="2"/>
    </row>
    <row r="655" spans="1:16" x14ac:dyDescent="0.25">
      <c r="B655" s="38" t="str">
        <f>IF($A655=0,"",VLOOKUP($A655,'BASE MATERIAL'!$A:$D,2))</f>
        <v/>
      </c>
      <c r="C655" s="2"/>
      <c r="D655" s="77"/>
      <c r="E655" s="78" t="str">
        <f>IF($A655=0,"",VLOOKUP($A655,'BASE MATERIAL'!$A:$D,3))</f>
        <v/>
      </c>
      <c r="F655" s="55"/>
      <c r="G655" s="55" t="str">
        <f>IF($A655=0,"",VLOOKUP($A655,'BASE MATERIAL'!$A:$D,4))</f>
        <v/>
      </c>
      <c r="H655" s="56" t="str">
        <f t="shared" si="60"/>
        <v/>
      </c>
      <c r="I655" s="2"/>
      <c r="L655" s="2"/>
      <c r="M655" s="2"/>
      <c r="N655" s="39"/>
      <c r="O655" s="2"/>
      <c r="P655" s="2"/>
    </row>
    <row r="656" spans="1:16" x14ac:dyDescent="0.25">
      <c r="B656" s="38" t="str">
        <f>IF($A656=0,"",VLOOKUP($A656,'BASE MATERIAL'!$A:$D,2))</f>
        <v/>
      </c>
      <c r="C656" s="2"/>
      <c r="D656" s="77"/>
      <c r="E656" s="78" t="str">
        <f>IF($A656=0,"",VLOOKUP($A656,'BASE MATERIAL'!$A:$D,3))</f>
        <v/>
      </c>
      <c r="F656" s="55"/>
      <c r="G656" s="55" t="str">
        <f>IF($A656=0,"",VLOOKUP($A656,'BASE MATERIAL'!$A:$D,4))</f>
        <v/>
      </c>
      <c r="H656" s="56" t="str">
        <f t="shared" si="60"/>
        <v/>
      </c>
      <c r="I656" s="2"/>
    </row>
    <row r="657" spans="1:10" x14ac:dyDescent="0.25">
      <c r="B657" s="38" t="str">
        <f>IF($A657=0,"",VLOOKUP($A657,'BASE MATERIAL'!$A:$D,2))</f>
        <v/>
      </c>
      <c r="C657" s="2"/>
      <c r="D657" s="77"/>
      <c r="E657" s="78" t="str">
        <f>IF($A657=0,"",VLOOKUP($A657,'BASE MATERIAL'!$A:$D,3))</f>
        <v/>
      </c>
      <c r="F657" s="55"/>
      <c r="G657" s="55" t="str">
        <f>IF($A657=0,"",VLOOKUP($A657,'BASE MATERIAL'!$A:$D,4))</f>
        <v/>
      </c>
      <c r="H657" s="56" t="str">
        <f t="shared" si="60"/>
        <v/>
      </c>
      <c r="I657" s="2"/>
    </row>
    <row r="658" spans="1:10" x14ac:dyDescent="0.25">
      <c r="B658" s="38" t="str">
        <f>IF($A658=0,"",VLOOKUP($A658,'BASE MATERIAL'!$A:$D,2))</f>
        <v/>
      </c>
      <c r="C658" s="2"/>
      <c r="D658" s="77"/>
      <c r="E658" s="78" t="str">
        <f>IF($A658=0,"",VLOOKUP($A658,'BASE MATERIAL'!$A:$D,3))</f>
        <v/>
      </c>
      <c r="F658" s="55"/>
      <c r="G658" s="55" t="str">
        <f>IF($A658=0,"",VLOOKUP($A658,'BASE MATERIAL'!$A:$D,4))</f>
        <v/>
      </c>
      <c r="H658" s="56" t="str">
        <f t="shared" si="60"/>
        <v/>
      </c>
      <c r="I658" s="2"/>
    </row>
    <row r="659" spans="1:10" x14ac:dyDescent="0.25">
      <c r="B659" s="38" t="str">
        <f>IF($A659=0,"",VLOOKUP($A659,'BASE MATERIAL'!$A:$D,2))</f>
        <v/>
      </c>
      <c r="C659" s="2"/>
      <c r="D659" s="77"/>
      <c r="E659" s="78" t="str">
        <f>IF($A659=0,"",VLOOKUP($A659,'BASE MATERIAL'!$A:$D,3))</f>
        <v/>
      </c>
      <c r="F659" s="55"/>
      <c r="G659" s="55" t="str">
        <f>IF($A659=0,"",VLOOKUP($A659,'BASE MATERIAL'!$A:$D,4))</f>
        <v/>
      </c>
      <c r="H659" s="56" t="str">
        <f t="shared" si="60"/>
        <v/>
      </c>
      <c r="I659" s="2"/>
    </row>
    <row r="660" spans="1:10" x14ac:dyDescent="0.25">
      <c r="B660" s="38" t="str">
        <f>IF($A660=0,"",VLOOKUP($A660,'BASE MATERIAL'!$A:$D,2))</f>
        <v/>
      </c>
      <c r="C660" s="2"/>
      <c r="D660" s="81" t="s">
        <v>1682</v>
      </c>
      <c r="E660" s="55" t="str">
        <f>IF($A660=0,"",VLOOKUP($A660,'BASE MATERIAL'!$A:$D,3))</f>
        <v/>
      </c>
      <c r="F660" s="55" t="s">
        <v>1682</v>
      </c>
      <c r="G660" s="55" t="str">
        <f>IF($A660=0,"",VLOOKUP($A660,'BASE MATERIAL'!$A:$D,4))</f>
        <v/>
      </c>
      <c r="H660" s="56" t="str">
        <f>IF($A660=0,"",ROUND(E660*F660,2))</f>
        <v/>
      </c>
      <c r="I660" s="2"/>
    </row>
    <row r="661" spans="1:10" x14ac:dyDescent="0.25">
      <c r="B661" s="73" t="s">
        <v>1681</v>
      </c>
      <c r="C661" s="65"/>
      <c r="D661" s="74"/>
      <c r="E661" s="74"/>
      <c r="F661" s="74"/>
      <c r="G661" s="74"/>
      <c r="H661" s="75">
        <f>ROUND(SUM(H644:H660),2)</f>
        <v>46.09</v>
      </c>
      <c r="I661" s="2"/>
    </row>
    <row r="662" spans="1:10" x14ac:dyDescent="0.25">
      <c r="B662" s="38" t="s">
        <v>1680</v>
      </c>
      <c r="C662" s="2"/>
      <c r="D662" s="3"/>
      <c r="E662" s="3"/>
      <c r="F662" s="3"/>
      <c r="G662" s="3"/>
      <c r="H662" s="56"/>
      <c r="I662" s="2"/>
    </row>
    <row r="663" spans="1:10" ht="25.5" x14ac:dyDescent="0.25">
      <c r="B663" s="64" t="s">
        <v>1409</v>
      </c>
      <c r="C663" s="65"/>
      <c r="D663" s="76"/>
      <c r="E663" s="66" t="s">
        <v>1408</v>
      </c>
      <c r="F663" s="66" t="s">
        <v>1679</v>
      </c>
      <c r="G663" s="66" t="s">
        <v>1676</v>
      </c>
      <c r="H663" s="68" t="s">
        <v>1675</v>
      </c>
      <c r="I663" s="2"/>
    </row>
    <row r="664" spans="1:10" x14ac:dyDescent="0.25">
      <c r="A664" s="103">
        <v>19019</v>
      </c>
      <c r="B664" s="51" t="str">
        <f>IF($A664=0,"",VLOOKUP($A664,'BASE EQUIPO'!$A:$D,2))</f>
        <v>TRANSPORTE DE MATERIAL</v>
      </c>
      <c r="C664" s="52"/>
      <c r="D664" s="82"/>
      <c r="E664" s="78" t="str">
        <f>IF($A664=0,"",VLOOKUP($A664,'BASE EQUIPO'!$A:$D,3))</f>
        <v>GLOBAL</v>
      </c>
      <c r="F664" s="55">
        <v>1</v>
      </c>
      <c r="G664" s="83">
        <f>IF($A664=0,"",VLOOKUP($A664,'BASE EQUIPO'!$A:$D,4)*H661)</f>
        <v>1.3827</v>
      </c>
      <c r="H664" s="56">
        <f>IF($A664=0,"",ROUND(F664*G664,2))</f>
        <v>1.38</v>
      </c>
      <c r="I664" s="2"/>
    </row>
    <row r="665" spans="1:10" x14ac:dyDescent="0.25">
      <c r="B665" s="38" t="str">
        <f>IF($A665=0,"",VLOOKUP($A665,'BASE EQUIPO'!$A:$D,2))</f>
        <v/>
      </c>
      <c r="C665" s="2"/>
      <c r="D665" s="84"/>
      <c r="E665" s="78" t="str">
        <f>IF($A665=0,"",VLOOKUP($A665,'BASE EQUIPO'!$A:$D,3))</f>
        <v/>
      </c>
      <c r="F665" s="55"/>
      <c r="G665" s="55" t="str">
        <f>IF($A665=0,"",VLOOKUP($A665,'BASE EQUIPO'!$A:$D,4)*H662)</f>
        <v/>
      </c>
      <c r="H665" s="56" t="str">
        <f>IF($A665=0,"",ROUND(F665*G665,2))</f>
        <v/>
      </c>
      <c r="I665" s="2"/>
    </row>
    <row r="666" spans="1:10" x14ac:dyDescent="0.25">
      <c r="B666" s="57" t="str">
        <f>IF($A666=0,"",VLOOKUP($A666,'BASE EQUIPO'!$A:$D,2))</f>
        <v/>
      </c>
      <c r="C666" s="58"/>
      <c r="D666" s="85"/>
      <c r="E666" s="86" t="str">
        <f>IF($A666=0,"",VLOOKUP($A666,'BASE EQUIPO'!$A:$D,3))</f>
        <v/>
      </c>
      <c r="F666" s="59"/>
      <c r="G666" s="59" t="str">
        <f>IF($A666=0,"",VLOOKUP($A666,'BASE EQUIPO'!$A:$D,4)*H663)</f>
        <v/>
      </c>
      <c r="H666" s="60" t="str">
        <f>IF($A666=0,"",ROUND(F666*G666,2))</f>
        <v/>
      </c>
      <c r="I666" s="2"/>
    </row>
    <row r="667" spans="1:10" ht="15.75" thickBot="1" x14ac:dyDescent="0.3">
      <c r="B667" s="87" t="s">
        <v>1674</v>
      </c>
      <c r="C667" s="88"/>
      <c r="D667" s="89"/>
      <c r="E667" s="89"/>
      <c r="F667" s="89"/>
      <c r="G667" s="89"/>
      <c r="H667" s="90">
        <f>ROUND(SUM(H663:H666),2)</f>
        <v>1.38</v>
      </c>
      <c r="I667" s="2"/>
    </row>
    <row r="668" spans="1:10" ht="15.75" x14ac:dyDescent="0.25">
      <c r="B668" s="2"/>
      <c r="C668" s="2"/>
      <c r="D668" s="91" t="s">
        <v>1673</v>
      </c>
      <c r="E668" s="47"/>
      <c r="F668" s="47"/>
      <c r="G668" s="47"/>
      <c r="H668" s="92">
        <f>ROUND(SUM(H667,H661,H642,H632),2)</f>
        <v>74.900000000000006</v>
      </c>
      <c r="I668" s="2"/>
    </row>
    <row r="669" spans="1:10" ht="15.75" x14ac:dyDescent="0.25">
      <c r="A669" s="103">
        <v>40002</v>
      </c>
      <c r="B669" s="2"/>
      <c r="C669" s="2"/>
      <c r="D669" s="93" t="s">
        <v>1672</v>
      </c>
      <c r="E669" s="65"/>
      <c r="F669" s="65"/>
      <c r="G669" s="94">
        <f>IF($A669=0,"",VLOOKUP($A669,'BASE MATERIAL'!$M:$P,4))</f>
        <v>0</v>
      </c>
      <c r="H669" s="95">
        <f>IF($A669=0,"",ROUND(G669*H668,2))</f>
        <v>0</v>
      </c>
      <c r="I669" s="2"/>
    </row>
    <row r="670" spans="1:10" ht="15.75" x14ac:dyDescent="0.25">
      <c r="A670" s="103">
        <v>40003</v>
      </c>
      <c r="B670" s="2"/>
      <c r="C670" s="2"/>
      <c r="D670" s="93" t="s">
        <v>1671</v>
      </c>
      <c r="E670" s="65"/>
      <c r="F670" s="65"/>
      <c r="G670" s="94">
        <f>IF($A670=0,"",VLOOKUP($A670,'BASE MATERIAL'!$M:$P,4))</f>
        <v>0</v>
      </c>
      <c r="H670" s="95">
        <f>IF($A670=0,"",ROUND(G670*H668,2))</f>
        <v>0</v>
      </c>
      <c r="I670" s="2"/>
    </row>
    <row r="671" spans="1:10" ht="15.75" x14ac:dyDescent="0.25">
      <c r="B671" s="2"/>
      <c r="C671" s="2"/>
      <c r="D671" s="93" t="s">
        <v>1670</v>
      </c>
      <c r="E671" s="65"/>
      <c r="F671" s="65"/>
      <c r="G671" s="65"/>
      <c r="H671" s="96">
        <f>ROUND(SUM(H668:H670),2)</f>
        <v>74.900000000000006</v>
      </c>
      <c r="I671" s="2"/>
      <c r="J671" s="1">
        <v>65</v>
      </c>
    </row>
    <row r="672" spans="1:10" ht="16.5" thickBot="1" x14ac:dyDescent="0.3">
      <c r="B672" s="25"/>
      <c r="C672" s="2"/>
      <c r="D672" s="97" t="s">
        <v>1650</v>
      </c>
      <c r="E672" s="88"/>
      <c r="F672" s="88"/>
      <c r="G672" s="88"/>
      <c r="H672" s="98">
        <f>ROUND(H671,2)</f>
        <v>74.900000000000006</v>
      </c>
      <c r="I672" s="2"/>
    </row>
  </sheetData>
  <phoneticPr fontId="2" type="noConversion"/>
  <pageMargins left="0.75" right="0.75" top="1" bottom="1" header="0" footer="0"/>
  <pageSetup paperSize="9" scale="80" orientation="portrait" r:id="rId1"/>
  <headerFooter alignWithMargins="0"/>
  <rowBreaks count="8" manualBreakCount="8">
    <brk id="112" max="16383" man="1"/>
    <brk id="224" min="1" max="7" man="1"/>
    <brk id="336" max="16383" man="1"/>
    <brk id="392" min="1" max="7" man="1"/>
    <brk id="448" min="1" max="7" man="1"/>
    <brk id="504" min="1" max="7" man="1"/>
    <brk id="560" min="1" max="7" man="1"/>
    <brk id="616" min="1" max="7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FDA8C-133F-4E70-B323-C33F61D13A4C}">
  <sheetPr codeName="Hoja22"/>
  <dimension ref="A1:P728"/>
  <sheetViews>
    <sheetView workbookViewId="0"/>
  </sheetViews>
  <sheetFormatPr baseColWidth="10" defaultColWidth="11.42578125" defaultRowHeight="15" x14ac:dyDescent="0.25"/>
  <cols>
    <col min="1" max="1" width="9.140625" style="103" bestFit="1" customWidth="1"/>
    <col min="2" max="2" width="12.140625" style="1" customWidth="1"/>
    <col min="3" max="3" width="26.28515625" style="1" customWidth="1"/>
    <col min="4" max="4" width="10.7109375" style="1" customWidth="1"/>
    <col min="5" max="5" width="12.140625" style="1" customWidth="1"/>
    <col min="6" max="6" width="13.28515625" style="1" customWidth="1"/>
    <col min="7" max="7" width="13.85546875" style="1" customWidth="1"/>
    <col min="8" max="8" width="12.42578125" style="1" customWidth="1"/>
    <col min="9" max="9" width="3.140625" style="1" bestFit="1" customWidth="1"/>
    <col min="10" max="10" width="7.42578125" style="1" customWidth="1"/>
    <col min="11" max="11" width="8.42578125" style="1" customWidth="1"/>
    <col min="12" max="12" width="8.5703125" style="1" customWidth="1"/>
    <col min="13" max="13" width="33.85546875" style="1" bestFit="1" customWidth="1"/>
    <col min="14" max="14" width="6" style="1" bestFit="1" customWidth="1"/>
    <col min="15" max="28" width="8.42578125" style="1" customWidth="1"/>
    <col min="29" max="16384" width="11.42578125" style="1"/>
  </cols>
  <sheetData>
    <row r="1" spans="1:15" ht="15.75" x14ac:dyDescent="0.25">
      <c r="B1" s="34" t="s">
        <v>1701</v>
      </c>
      <c r="C1" s="2"/>
      <c r="D1" s="3" t="str">
        <f>'1.1'!$D$1</f>
        <v>ESPOL</v>
      </c>
      <c r="E1" s="2"/>
      <c r="F1" s="2"/>
      <c r="H1" s="2" t="s">
        <v>108</v>
      </c>
      <c r="I1" s="2"/>
      <c r="L1" s="40">
        <f>A5</f>
        <v>14</v>
      </c>
      <c r="M1" s="1" t="str">
        <f>C6</f>
        <v>Colector PVC des ø 250mm</v>
      </c>
      <c r="N1" s="2" t="str">
        <f>H5</f>
        <v>ml</v>
      </c>
      <c r="O1" s="2">
        <f>H56</f>
        <v>53.09</v>
      </c>
    </row>
    <row r="2" spans="1:15" ht="15.75" x14ac:dyDescent="0.25">
      <c r="B2" s="34" t="s">
        <v>1700</v>
      </c>
      <c r="C2" s="3">
        <f>'1.1'!$C$2</f>
        <v>0</v>
      </c>
      <c r="D2" s="2"/>
      <c r="E2" s="2"/>
      <c r="F2" s="2"/>
      <c r="G2" s="41" t="s">
        <v>1699</v>
      </c>
      <c r="H2" s="42"/>
      <c r="I2" s="2" t="s">
        <v>1698</v>
      </c>
    </row>
    <row r="3" spans="1:15" ht="15.75" x14ac:dyDescent="0.25">
      <c r="B3" s="34"/>
      <c r="C3" s="3">
        <f>'1.1'!$C$3</f>
        <v>0</v>
      </c>
      <c r="D3" s="2"/>
      <c r="E3" s="2"/>
      <c r="F3" s="2"/>
      <c r="G3" s="2"/>
      <c r="H3" s="2"/>
      <c r="I3" s="2"/>
    </row>
    <row r="4" spans="1:15" ht="15.75" x14ac:dyDescent="0.25">
      <c r="B4" s="34" t="s">
        <v>1697</v>
      </c>
      <c r="C4" s="3"/>
      <c r="D4" s="2"/>
      <c r="E4" s="2"/>
      <c r="F4" s="2"/>
      <c r="G4" s="2"/>
      <c r="H4" s="2"/>
      <c r="I4" s="2"/>
    </row>
    <row r="5" spans="1:15" x14ac:dyDescent="0.25">
      <c r="A5" s="104">
        <v>14</v>
      </c>
      <c r="B5" s="2" t="s">
        <v>1586</v>
      </c>
      <c r="C5" s="101"/>
      <c r="D5" s="2"/>
      <c r="G5" s="2" t="s">
        <v>1696</v>
      </c>
      <c r="H5" s="3" t="s">
        <v>961</v>
      </c>
      <c r="I5" s="2"/>
    </row>
    <row r="6" spans="1:15" x14ac:dyDescent="0.25">
      <c r="B6" s="1" t="s">
        <v>1585</v>
      </c>
      <c r="C6" s="36" t="s">
        <v>601</v>
      </c>
      <c r="D6" s="2"/>
      <c r="E6" s="2"/>
      <c r="F6" s="2"/>
      <c r="G6" s="2"/>
      <c r="H6" s="2"/>
      <c r="I6" s="2"/>
    </row>
    <row r="7" spans="1:15" ht="15.75" thickBot="1" x14ac:dyDescent="0.3">
      <c r="D7" s="2"/>
      <c r="E7" s="2"/>
      <c r="F7" s="2"/>
      <c r="G7" s="2"/>
      <c r="H7" s="2"/>
      <c r="I7" s="2"/>
    </row>
    <row r="8" spans="1:15" ht="15.75" thickBot="1" x14ac:dyDescent="0.3">
      <c r="B8" s="43" t="s">
        <v>1695</v>
      </c>
      <c r="C8" s="44"/>
      <c r="D8" s="44"/>
      <c r="E8" s="44"/>
      <c r="F8" s="44"/>
      <c r="G8" s="44"/>
      <c r="H8" s="45"/>
      <c r="I8" s="2"/>
    </row>
    <row r="9" spans="1:15" ht="25.5" x14ac:dyDescent="0.25">
      <c r="B9" s="46" t="s">
        <v>1409</v>
      </c>
      <c r="C9" s="47"/>
      <c r="D9" s="48" t="s">
        <v>1690</v>
      </c>
      <c r="E9" s="48" t="s">
        <v>1694</v>
      </c>
      <c r="F9" s="48" t="s">
        <v>1693</v>
      </c>
      <c r="G9" s="49" t="s">
        <v>1687</v>
      </c>
      <c r="H9" s="50" t="s">
        <v>1686</v>
      </c>
      <c r="I9" s="2"/>
    </row>
    <row r="10" spans="1:15" x14ac:dyDescent="0.25">
      <c r="A10" s="103">
        <v>19016</v>
      </c>
      <c r="B10" s="51" t="str">
        <f>IF($A10=0,"",VLOOKUP($A10,'BASE EQUIPO'!$A:$D,2))</f>
        <v>HERRAMIENTA MENOR</v>
      </c>
      <c r="C10" s="52"/>
      <c r="D10" s="53">
        <v>1</v>
      </c>
      <c r="E10" s="53">
        <f>IF($A10=0,"",VLOOKUP($A10,'BASE EQUIPO'!$A:$D,4)*H26)</f>
        <v>0.70150000000000001</v>
      </c>
      <c r="F10" s="53">
        <f t="shared" ref="F10:F15" si="0">IF($A10=0,"",ROUND(D10*E10,2))</f>
        <v>0.7</v>
      </c>
      <c r="G10" s="105">
        <v>1</v>
      </c>
      <c r="H10" s="54">
        <f t="shared" ref="H10:H15" si="1">IF($A10=0,"",ROUND(G10*F10,2))</f>
        <v>0.7</v>
      </c>
      <c r="I10" s="2"/>
    </row>
    <row r="11" spans="1:15" x14ac:dyDescent="0.25">
      <c r="B11" s="38" t="str">
        <f>IF($A11=0,"",VLOOKUP($A11,'BASE EQUIPO'!$A:$D,2))</f>
        <v/>
      </c>
      <c r="C11" s="2"/>
      <c r="D11" s="55"/>
      <c r="E11" s="55" t="str">
        <f>IF($A11=0,"",VLOOKUP($A11,'BASE EQUIPO'!$A:$D,4))</f>
        <v/>
      </c>
      <c r="F11" s="55" t="str">
        <f t="shared" si="0"/>
        <v/>
      </c>
      <c r="G11" s="106"/>
      <c r="H11" s="56" t="str">
        <f t="shared" si="1"/>
        <v/>
      </c>
      <c r="I11" s="2"/>
    </row>
    <row r="12" spans="1:15" x14ac:dyDescent="0.25">
      <c r="B12" s="38" t="str">
        <f>IF($A12=0,"",VLOOKUP($A12,'BASE EQUIPO'!$A:$D,2))</f>
        <v/>
      </c>
      <c r="C12" s="2"/>
      <c r="D12" s="55"/>
      <c r="E12" s="55" t="str">
        <f>IF($A12=0,"",VLOOKUP($A12,'BASE EQUIPO'!$A:$D,4))</f>
        <v/>
      </c>
      <c r="F12" s="55" t="str">
        <f t="shared" si="0"/>
        <v/>
      </c>
      <c r="G12" s="106"/>
      <c r="H12" s="56" t="str">
        <f t="shared" si="1"/>
        <v/>
      </c>
      <c r="I12" s="2"/>
    </row>
    <row r="13" spans="1:15" x14ac:dyDescent="0.25">
      <c r="B13" s="38" t="str">
        <f>IF($A13=0,"",VLOOKUP($A13,'BASE EQUIPO'!$A:$D,2))</f>
        <v/>
      </c>
      <c r="C13" s="2"/>
      <c r="D13" s="55"/>
      <c r="E13" s="55" t="str">
        <f>IF($A13=0,"",VLOOKUP($A13,'BASE EQUIPO'!$A:$D,4))</f>
        <v/>
      </c>
      <c r="F13" s="55" t="str">
        <f t="shared" si="0"/>
        <v/>
      </c>
      <c r="G13" s="106"/>
      <c r="H13" s="56" t="str">
        <f t="shared" si="1"/>
        <v/>
      </c>
      <c r="I13" s="2"/>
    </row>
    <row r="14" spans="1:15" x14ac:dyDescent="0.25">
      <c r="B14" s="38" t="str">
        <f>IF($A14=0,"",VLOOKUP($A14,'BASE EQUIPO'!$A:$D,2))</f>
        <v/>
      </c>
      <c r="C14" s="2"/>
      <c r="D14" s="55"/>
      <c r="E14" s="55" t="str">
        <f>IF($A14=0,"",VLOOKUP($A14,'BASE EQUIPO'!$A:$D,4))</f>
        <v/>
      </c>
      <c r="F14" s="55" t="str">
        <f t="shared" si="0"/>
        <v/>
      </c>
      <c r="G14" s="106"/>
      <c r="H14" s="56" t="str">
        <f t="shared" si="1"/>
        <v/>
      </c>
      <c r="I14" s="2"/>
    </row>
    <row r="15" spans="1:15" x14ac:dyDescent="0.25">
      <c r="B15" s="57" t="str">
        <f>IF($A15=0,"",VLOOKUP($A15,'BASE EQUIPO'!$A:$D,2))</f>
        <v/>
      </c>
      <c r="C15" s="58"/>
      <c r="D15" s="59"/>
      <c r="E15" s="59" t="str">
        <f>IF($A15=0,"",VLOOKUP($A15,'BASE EQUIPO'!$A:$D,4))</f>
        <v/>
      </c>
      <c r="F15" s="59" t="str">
        <f t="shared" si="0"/>
        <v/>
      </c>
      <c r="G15" s="107"/>
      <c r="H15" s="60" t="str">
        <f t="shared" si="1"/>
        <v/>
      </c>
      <c r="I15" s="2"/>
    </row>
    <row r="16" spans="1:15" x14ac:dyDescent="0.25">
      <c r="B16" s="57" t="s">
        <v>1692</v>
      </c>
      <c r="C16" s="58"/>
      <c r="D16" s="61"/>
      <c r="E16" s="61"/>
      <c r="F16" s="61"/>
      <c r="G16" s="62"/>
      <c r="H16" s="60">
        <f>ROUND(SUM(H9:H15),2)</f>
        <v>0.7</v>
      </c>
      <c r="I16" s="2"/>
    </row>
    <row r="17" spans="1:16" x14ac:dyDescent="0.25">
      <c r="B17" s="38" t="s">
        <v>1503</v>
      </c>
      <c r="C17" s="2"/>
      <c r="D17" s="3"/>
      <c r="E17" s="3"/>
      <c r="F17" s="3"/>
      <c r="G17" s="63"/>
      <c r="H17" s="56"/>
      <c r="I17" s="2"/>
    </row>
    <row r="18" spans="1:16" ht="25.5" x14ac:dyDescent="0.25">
      <c r="B18" s="64" t="s">
        <v>1691</v>
      </c>
      <c r="C18" s="65"/>
      <c r="D18" s="66" t="s">
        <v>1690</v>
      </c>
      <c r="E18" s="66" t="s">
        <v>1689</v>
      </c>
      <c r="F18" s="66" t="s">
        <v>1688</v>
      </c>
      <c r="G18" s="67" t="s">
        <v>1687</v>
      </c>
      <c r="H18" s="68" t="s">
        <v>1686</v>
      </c>
      <c r="I18" s="2"/>
    </row>
    <row r="19" spans="1:16" x14ac:dyDescent="0.25">
      <c r="B19" s="69" t="str">
        <f>IF($A19=0,"",VLOOKUP($A19,'BASE M-OBRA'!$A:$D,2))</f>
        <v/>
      </c>
      <c r="C19" s="2"/>
      <c r="D19" s="108"/>
      <c r="E19" s="70" t="str">
        <f>IF($A19=0,"",VLOOKUP($A19,'BASE M-OBRA'!$A:$D,4))</f>
        <v/>
      </c>
      <c r="F19" s="55" t="str">
        <f t="shared" ref="F19:F25" si="2">IF($A19=0,"",ROUND(D19*E19,2))</f>
        <v/>
      </c>
      <c r="G19" s="106" t="str">
        <f>IF($A19=0,"",ROUND(H19/F19,2))</f>
        <v/>
      </c>
      <c r="H19" s="56" t="str">
        <f>IF($A19=0,"",ROUND(SUM(H20:H25)*'BASE M-OBRA'!$D$23,2))</f>
        <v/>
      </c>
      <c r="I19" s="2"/>
    </row>
    <row r="20" spans="1:16" x14ac:dyDescent="0.25">
      <c r="A20" s="103">
        <v>20011</v>
      </c>
      <c r="B20" s="69" t="str">
        <f>IF($A20=0,"",VLOOKUP($A20,'BASE M-OBRA'!$A:$D,2))</f>
        <v>AYUDANTE ESPECIALISTA</v>
      </c>
      <c r="C20" s="2"/>
      <c r="D20" s="108">
        <v>1</v>
      </c>
      <c r="E20" s="70">
        <f>IF($A20=0,"",VLOOKUP($A20,'BASE M-OBRA'!$A:$D,4))</f>
        <v>2.79</v>
      </c>
      <c r="F20" s="55">
        <f t="shared" si="2"/>
        <v>2.79</v>
      </c>
      <c r="G20" s="106">
        <v>2.5</v>
      </c>
      <c r="H20" s="56">
        <f t="shared" ref="H20:H25" si="3">IF($A20=0,"",ROUND(G20*F20,2))</f>
        <v>6.98</v>
      </c>
      <c r="I20" s="2"/>
    </row>
    <row r="21" spans="1:16" x14ac:dyDescent="0.25">
      <c r="A21" s="103">
        <v>20016</v>
      </c>
      <c r="B21" s="69" t="str">
        <f>IF($A21=0,"",VLOOKUP($A21,'BASE M-OBRA'!$A:$D,2))</f>
        <v>GAFITERO</v>
      </c>
      <c r="C21" s="2"/>
      <c r="D21" s="108">
        <v>1</v>
      </c>
      <c r="E21" s="70">
        <f>IF($A21=0,"",VLOOKUP($A21,'BASE M-OBRA'!$A:$D,4))</f>
        <v>2.82</v>
      </c>
      <c r="F21" s="55">
        <f t="shared" si="2"/>
        <v>2.82</v>
      </c>
      <c r="G21" s="106">
        <f>+G20</f>
        <v>2.5</v>
      </c>
      <c r="H21" s="56">
        <f t="shared" si="3"/>
        <v>7.05</v>
      </c>
      <c r="I21" s="2"/>
    </row>
    <row r="22" spans="1:16" x14ac:dyDescent="0.25">
      <c r="B22" s="71" t="str">
        <f>IF($A22=0,"",VLOOKUP($A22,'BASE M-OBRA'!$A:$D,2))</f>
        <v/>
      </c>
      <c r="C22" s="2"/>
      <c r="D22" s="108"/>
      <c r="E22" s="70" t="str">
        <f>IF($A22=0,"",VLOOKUP($A22,'BASE M-OBRA'!$A:$D,4))</f>
        <v/>
      </c>
      <c r="F22" s="55" t="str">
        <f t="shared" si="2"/>
        <v/>
      </c>
      <c r="G22" s="106"/>
      <c r="H22" s="56" t="str">
        <f t="shared" si="3"/>
        <v/>
      </c>
      <c r="I22" s="2"/>
    </row>
    <row r="23" spans="1:16" x14ac:dyDescent="0.25">
      <c r="B23" s="72" t="str">
        <f>IF($A23=0,"",VLOOKUP($A23,'BASE M-OBRA'!$A:$D,2))</f>
        <v/>
      </c>
      <c r="C23" s="2"/>
      <c r="D23" s="108"/>
      <c r="E23" s="70" t="str">
        <f>IF($A23=0,"",VLOOKUP($A23,'BASE M-OBRA'!$A:$D,4))</f>
        <v/>
      </c>
      <c r="F23" s="55" t="str">
        <f t="shared" si="2"/>
        <v/>
      </c>
      <c r="G23" s="106"/>
      <c r="H23" s="56" t="str">
        <f t="shared" si="3"/>
        <v/>
      </c>
      <c r="I23" s="2"/>
    </row>
    <row r="24" spans="1:16" x14ac:dyDescent="0.25">
      <c r="B24" s="38" t="str">
        <f>IF($A24=0,"",VLOOKUP($A24,'BASE M-OBRA'!$A:$D,2))</f>
        <v/>
      </c>
      <c r="C24" s="2"/>
      <c r="D24" s="55"/>
      <c r="E24" s="55" t="str">
        <f>IF($A24=0,"",VLOOKUP($A24,'BASE M-OBRA'!$A:$D,4))</f>
        <v/>
      </c>
      <c r="F24" s="55" t="str">
        <f t="shared" si="2"/>
        <v/>
      </c>
      <c r="G24" s="106"/>
      <c r="H24" s="56" t="str">
        <f t="shared" si="3"/>
        <v/>
      </c>
      <c r="I24" s="2"/>
    </row>
    <row r="25" spans="1:16" x14ac:dyDescent="0.25">
      <c r="B25" s="57" t="str">
        <f>IF($A25=0,"",VLOOKUP($A25,'BASE M-OBRA'!$A:$D,2))</f>
        <v/>
      </c>
      <c r="C25" s="58"/>
      <c r="D25" s="59"/>
      <c r="E25" s="59" t="str">
        <f>IF($A25=0,"",VLOOKUP($A25,'BASE M-OBRA'!$A:$D,4))</f>
        <v/>
      </c>
      <c r="F25" s="59" t="str">
        <f t="shared" si="2"/>
        <v/>
      </c>
      <c r="G25" s="107"/>
      <c r="H25" s="60" t="str">
        <f t="shared" si="3"/>
        <v/>
      </c>
      <c r="I25" s="2"/>
    </row>
    <row r="26" spans="1:16" x14ac:dyDescent="0.25">
      <c r="B26" s="73" t="s">
        <v>1685</v>
      </c>
      <c r="C26" s="65"/>
      <c r="D26" s="74"/>
      <c r="E26" s="74"/>
      <c r="F26" s="74"/>
      <c r="G26" s="74"/>
      <c r="H26" s="75">
        <f>ROUND(SUM(H18:H25),2)</f>
        <v>14.03</v>
      </c>
      <c r="I26" s="2"/>
    </row>
    <row r="27" spans="1:16" x14ac:dyDescent="0.25">
      <c r="B27" s="38" t="s">
        <v>1684</v>
      </c>
      <c r="C27" s="2"/>
      <c r="D27" s="3"/>
      <c r="E27" s="3"/>
      <c r="F27" s="3"/>
      <c r="G27" s="3"/>
      <c r="H27" s="56"/>
      <c r="I27" s="2"/>
    </row>
    <row r="28" spans="1:16" ht="25.5" x14ac:dyDescent="0.25">
      <c r="B28" s="64" t="s">
        <v>1409</v>
      </c>
      <c r="C28" s="65"/>
      <c r="D28" s="76"/>
      <c r="E28" s="66" t="s">
        <v>1408</v>
      </c>
      <c r="F28" s="66" t="s">
        <v>1679</v>
      </c>
      <c r="G28" s="66" t="s">
        <v>1683</v>
      </c>
      <c r="H28" s="68" t="s">
        <v>1675</v>
      </c>
      <c r="I28" s="2"/>
    </row>
    <row r="29" spans="1:16" x14ac:dyDescent="0.25">
      <c r="A29" s="103">
        <v>1</v>
      </c>
      <c r="B29" s="109" t="s">
        <v>600</v>
      </c>
      <c r="C29" s="2"/>
      <c r="D29" s="77"/>
      <c r="E29" s="78" t="s">
        <v>25</v>
      </c>
      <c r="F29" s="55">
        <v>1.05</v>
      </c>
      <c r="G29" s="55">
        <f>30.33*1.12</f>
        <v>33.9696</v>
      </c>
      <c r="H29" s="56">
        <f t="shared" ref="H29:H43" si="4">IF($A29=0,"",ROUND(F29*G29,2))</f>
        <v>35.67</v>
      </c>
      <c r="I29" s="2"/>
      <c r="J29" s="1">
        <f>182/6</f>
        <v>30.333333333333332</v>
      </c>
      <c r="L29" s="2"/>
      <c r="M29" s="2"/>
      <c r="N29" s="39"/>
      <c r="O29" s="2"/>
      <c r="P29" s="2"/>
    </row>
    <row r="30" spans="1:16" s="4" customFormat="1" x14ac:dyDescent="0.25">
      <c r="A30" s="103">
        <v>5004</v>
      </c>
      <c r="B30" s="38" t="str">
        <f>IF($A30=0,"",VLOOKUP($A30,'BASE MATERIAL'!$A:$D,2))</f>
        <v>ARENA</v>
      </c>
      <c r="C30" s="2"/>
      <c r="D30" s="77"/>
      <c r="E30" s="78" t="str">
        <f>IF($A30=0,"",VLOOKUP($A30,'BASE MATERIAL'!$A:$D,3))</f>
        <v>M3</v>
      </c>
      <c r="F30" s="55">
        <f>ROUND(F29*0.032*3,2)</f>
        <v>0.1</v>
      </c>
      <c r="G30" s="55">
        <f>IF($A30=0,"",VLOOKUP($A30,'BASE MATERIAL'!$A:$D,4))</f>
        <v>12.276249999999999</v>
      </c>
      <c r="H30" s="56">
        <f t="shared" si="4"/>
        <v>1.23</v>
      </c>
      <c r="I30" s="5"/>
      <c r="K30" s="4">
        <v>28.4</v>
      </c>
      <c r="L30" s="5"/>
      <c r="M30" s="5"/>
      <c r="N30" s="160"/>
      <c r="O30" s="5"/>
      <c r="P30" s="5"/>
    </row>
    <row r="31" spans="1:16" x14ac:dyDescent="0.25">
      <c r="A31" s="103">
        <v>1</v>
      </c>
      <c r="B31" s="38" t="s">
        <v>4</v>
      </c>
      <c r="C31" s="2"/>
      <c r="D31" s="77"/>
      <c r="E31" s="78" t="s">
        <v>2</v>
      </c>
      <c r="F31" s="55">
        <v>2.1000000000000001E-2</v>
      </c>
      <c r="G31" s="55">
        <v>12.63</v>
      </c>
      <c r="H31" s="56">
        <f t="shared" si="4"/>
        <v>0.27</v>
      </c>
      <c r="I31" s="2"/>
      <c r="L31" s="2"/>
      <c r="M31" s="2"/>
      <c r="N31" s="39"/>
      <c r="O31" s="2"/>
      <c r="P31" s="2"/>
    </row>
    <row r="32" spans="1:16" x14ac:dyDescent="0.25">
      <c r="A32" s="103">
        <v>1</v>
      </c>
      <c r="B32" s="38" t="s">
        <v>3</v>
      </c>
      <c r="C32" s="2"/>
      <c r="D32" s="77"/>
      <c r="E32" s="78" t="s">
        <v>2</v>
      </c>
      <c r="F32" s="55">
        <v>0.01</v>
      </c>
      <c r="G32" s="55">
        <v>6.89</v>
      </c>
      <c r="H32" s="56">
        <f t="shared" si="4"/>
        <v>7.0000000000000007E-2</v>
      </c>
      <c r="I32" s="2"/>
      <c r="L32" s="2"/>
      <c r="M32" s="2"/>
      <c r="N32" s="39"/>
      <c r="O32" s="2"/>
      <c r="P32" s="2"/>
    </row>
    <row r="33" spans="1:16" x14ac:dyDescent="0.25">
      <c r="B33" s="38"/>
      <c r="C33" s="2"/>
      <c r="D33" s="77"/>
      <c r="E33" s="78"/>
      <c r="F33" s="55"/>
      <c r="G33" s="55"/>
      <c r="H33" s="56" t="str">
        <f t="shared" si="4"/>
        <v/>
      </c>
      <c r="I33" s="2"/>
      <c r="L33" s="2"/>
      <c r="M33" s="2"/>
      <c r="N33" s="39"/>
      <c r="O33" s="2"/>
      <c r="P33" s="2"/>
    </row>
    <row r="34" spans="1:16" x14ac:dyDescent="0.25">
      <c r="B34" s="38"/>
      <c r="C34" s="2"/>
      <c r="D34" s="77"/>
      <c r="E34" s="78"/>
      <c r="F34" s="55"/>
      <c r="G34" s="55"/>
      <c r="H34" s="56" t="str">
        <f t="shared" si="4"/>
        <v/>
      </c>
      <c r="I34" s="2"/>
      <c r="L34" s="2"/>
      <c r="M34" s="2"/>
      <c r="N34" s="39"/>
      <c r="O34" s="2"/>
      <c r="P34" s="2"/>
    </row>
    <row r="35" spans="1:16" x14ac:dyDescent="0.25">
      <c r="B35" s="38"/>
      <c r="C35" s="2"/>
      <c r="D35" s="77"/>
      <c r="E35" s="78"/>
      <c r="F35" s="55"/>
      <c r="G35" s="55"/>
      <c r="H35" s="56" t="str">
        <f t="shared" si="4"/>
        <v/>
      </c>
      <c r="I35" s="2"/>
      <c r="L35" s="2"/>
      <c r="M35" s="2"/>
      <c r="N35" s="39"/>
      <c r="O35" s="2"/>
      <c r="P35" s="2"/>
    </row>
    <row r="36" spans="1:16" x14ac:dyDescent="0.25">
      <c r="B36" s="38"/>
      <c r="C36" s="2"/>
      <c r="D36" s="77"/>
      <c r="E36" s="78"/>
      <c r="F36" s="55"/>
      <c r="G36" s="55"/>
      <c r="H36" s="56" t="str">
        <f t="shared" si="4"/>
        <v/>
      </c>
      <c r="I36" s="2"/>
      <c r="L36" s="2"/>
      <c r="M36" s="2"/>
      <c r="N36" s="39"/>
      <c r="O36" s="2"/>
      <c r="P36" s="2"/>
    </row>
    <row r="37" spans="1:16" x14ac:dyDescent="0.25">
      <c r="B37" s="38"/>
      <c r="C37" s="2"/>
      <c r="D37" s="77"/>
      <c r="E37" s="78"/>
      <c r="F37" s="55"/>
      <c r="G37" s="55"/>
      <c r="H37" s="56" t="str">
        <f t="shared" si="4"/>
        <v/>
      </c>
      <c r="I37" s="2"/>
    </row>
    <row r="38" spans="1:16" x14ac:dyDescent="0.25">
      <c r="B38" s="38" t="str">
        <f>IF($A38=0,"",VLOOKUP($A38,'BASE MATERIAL'!$A:$D,2))</f>
        <v/>
      </c>
      <c r="C38" s="2"/>
      <c r="D38" s="77"/>
      <c r="E38" s="78" t="str">
        <f>IF($A38=0,"",VLOOKUP($A38,'BASE MATERIAL'!$A:$D,3))</f>
        <v/>
      </c>
      <c r="F38" s="55"/>
      <c r="G38" s="55" t="str">
        <f>IF($A38=0,"",VLOOKUP($A38,'BASE MATERIAL'!$A:$D,4))</f>
        <v/>
      </c>
      <c r="H38" s="56" t="str">
        <f t="shared" si="4"/>
        <v/>
      </c>
      <c r="I38" s="2"/>
      <c r="L38" s="2"/>
      <c r="M38" s="2"/>
      <c r="N38" s="39"/>
      <c r="O38" s="2"/>
      <c r="P38" s="2"/>
    </row>
    <row r="39" spans="1:16" x14ac:dyDescent="0.25">
      <c r="B39" s="38" t="str">
        <f>IF($A39=0,"",VLOOKUP($A39,'BASE MATERIAL'!$A:$D,2))</f>
        <v/>
      </c>
      <c r="C39" s="2"/>
      <c r="D39" s="77"/>
      <c r="E39" s="78" t="str">
        <f>IF($A39=0,"",VLOOKUP($A39,'BASE MATERIAL'!$A:$D,3))</f>
        <v/>
      </c>
      <c r="F39" s="55"/>
      <c r="G39" s="55" t="str">
        <f>IF($A39=0,"",VLOOKUP($A39,'BASE MATERIAL'!$A:$D,4))</f>
        <v/>
      </c>
      <c r="H39" s="56" t="str">
        <f t="shared" si="4"/>
        <v/>
      </c>
      <c r="I39" s="2"/>
      <c r="L39" s="2"/>
      <c r="M39" s="2"/>
      <c r="N39" s="39"/>
      <c r="O39" s="2"/>
      <c r="P39" s="2"/>
    </row>
    <row r="40" spans="1:16" x14ac:dyDescent="0.25">
      <c r="B40" s="38" t="str">
        <f>IF($A40=0,"",VLOOKUP($A40,'BASE MATERIAL'!$A:$D,2))</f>
        <v/>
      </c>
      <c r="C40" s="2"/>
      <c r="D40" s="77"/>
      <c r="E40" s="78" t="str">
        <f>IF($A40=0,"",VLOOKUP($A40,'BASE MATERIAL'!$A:$D,3))</f>
        <v/>
      </c>
      <c r="F40" s="55"/>
      <c r="G40" s="55" t="str">
        <f>IF($A40=0,"",VLOOKUP($A40,'BASE MATERIAL'!$A:$D,4))</f>
        <v/>
      </c>
      <c r="H40" s="56" t="str">
        <f t="shared" si="4"/>
        <v/>
      </c>
      <c r="I40" s="2"/>
    </row>
    <row r="41" spans="1:16" x14ac:dyDescent="0.25">
      <c r="B41" s="38" t="str">
        <f>IF($A41=0,"",VLOOKUP($A41,'BASE MATERIAL'!$A:$D,2))</f>
        <v/>
      </c>
      <c r="C41" s="2"/>
      <c r="D41" s="77"/>
      <c r="E41" s="78" t="str">
        <f>IF($A41=0,"",VLOOKUP($A41,'BASE MATERIAL'!$A:$D,3))</f>
        <v/>
      </c>
      <c r="F41" s="55"/>
      <c r="G41" s="55" t="str">
        <f>IF($A41=0,"",VLOOKUP($A41,'BASE MATERIAL'!$A:$D,4))</f>
        <v/>
      </c>
      <c r="H41" s="56" t="str">
        <f t="shared" si="4"/>
        <v/>
      </c>
      <c r="I41" s="2"/>
    </row>
    <row r="42" spans="1:16" x14ac:dyDescent="0.25">
      <c r="B42" s="38" t="str">
        <f>IF($A42=0,"",VLOOKUP($A42,'BASE MATERIAL'!$A:$D,2))</f>
        <v/>
      </c>
      <c r="C42" s="2"/>
      <c r="D42" s="77"/>
      <c r="E42" s="78" t="str">
        <f>IF($A42=0,"",VLOOKUP($A42,'BASE MATERIAL'!$A:$D,3))</f>
        <v/>
      </c>
      <c r="F42" s="55"/>
      <c r="G42" s="55" t="str">
        <f>IF($A42=0,"",VLOOKUP($A42,'BASE MATERIAL'!$A:$D,4))</f>
        <v/>
      </c>
      <c r="H42" s="56" t="str">
        <f t="shared" si="4"/>
        <v/>
      </c>
      <c r="I42" s="2"/>
    </row>
    <row r="43" spans="1:16" x14ac:dyDescent="0.25">
      <c r="B43" s="38" t="str">
        <f>IF($A43=0,"",VLOOKUP($A43,'BASE MATERIAL'!$A:$D,2))</f>
        <v/>
      </c>
      <c r="C43" s="2"/>
      <c r="D43" s="77"/>
      <c r="E43" s="78" t="str">
        <f>IF($A43=0,"",VLOOKUP($A43,'BASE MATERIAL'!$A:$D,3))</f>
        <v/>
      </c>
      <c r="F43" s="55"/>
      <c r="G43" s="55" t="str">
        <f>IF($A43=0,"",VLOOKUP($A43,'BASE MATERIAL'!$A:$D,4))</f>
        <v/>
      </c>
      <c r="H43" s="56" t="str">
        <f t="shared" si="4"/>
        <v/>
      </c>
      <c r="I43" s="2"/>
    </row>
    <row r="44" spans="1:16" x14ac:dyDescent="0.25">
      <c r="B44" s="38" t="str">
        <f>IF($A44=0,"",VLOOKUP($A44,'BASE MATERIAL'!$A:$D,2))</f>
        <v/>
      </c>
      <c r="C44" s="2"/>
      <c r="D44" s="81" t="s">
        <v>1682</v>
      </c>
      <c r="E44" s="55" t="str">
        <f>IF($A44=0,"",VLOOKUP($A44,'BASE MATERIAL'!$A:$D,3))</f>
        <v/>
      </c>
      <c r="F44" s="55" t="s">
        <v>1682</v>
      </c>
      <c r="G44" s="55" t="str">
        <f>IF($A44=0,"",VLOOKUP($A44,'BASE MATERIAL'!$A:$D,4))</f>
        <v/>
      </c>
      <c r="H44" s="56" t="str">
        <f>IF($A44=0,"",ROUND(E44*F44,2))</f>
        <v/>
      </c>
      <c r="I44" s="2"/>
    </row>
    <row r="45" spans="1:16" x14ac:dyDescent="0.25">
      <c r="B45" s="73" t="s">
        <v>1681</v>
      </c>
      <c r="C45" s="65"/>
      <c r="D45" s="74"/>
      <c r="E45" s="74"/>
      <c r="F45" s="74"/>
      <c r="G45" s="74"/>
      <c r="H45" s="75">
        <f>ROUND(SUM(H28:H44),2)</f>
        <v>37.24</v>
      </c>
      <c r="I45" s="2"/>
    </row>
    <row r="46" spans="1:16" x14ac:dyDescent="0.25">
      <c r="B46" s="38" t="s">
        <v>1680</v>
      </c>
      <c r="C46" s="2"/>
      <c r="D46" s="3"/>
      <c r="E46" s="3"/>
      <c r="F46" s="3"/>
      <c r="G46" s="3"/>
      <c r="H46" s="56"/>
      <c r="I46" s="2"/>
    </row>
    <row r="47" spans="1:16" ht="25.5" x14ac:dyDescent="0.25">
      <c r="B47" s="64" t="s">
        <v>1409</v>
      </c>
      <c r="C47" s="65"/>
      <c r="D47" s="76"/>
      <c r="E47" s="66" t="s">
        <v>1408</v>
      </c>
      <c r="F47" s="66" t="s">
        <v>1679</v>
      </c>
      <c r="G47" s="66" t="s">
        <v>1676</v>
      </c>
      <c r="H47" s="68" t="s">
        <v>1675</v>
      </c>
      <c r="I47" s="2"/>
    </row>
    <row r="48" spans="1:16" x14ac:dyDescent="0.25">
      <c r="A48" s="103">
        <v>19019</v>
      </c>
      <c r="B48" s="51" t="str">
        <f>IF($A48=0,"",VLOOKUP($A48,'BASE EQUIPO'!$A:$D,2))</f>
        <v>TRANSPORTE DE MATERIAL</v>
      </c>
      <c r="C48" s="52"/>
      <c r="D48" s="82"/>
      <c r="E48" s="78" t="str">
        <f>IF($A48=0,"",VLOOKUP($A48,'BASE EQUIPO'!$A:$D,3))</f>
        <v>GLOBAL</v>
      </c>
      <c r="F48" s="55">
        <v>1</v>
      </c>
      <c r="G48" s="83">
        <f>IF($A48=0,"",VLOOKUP($A48,'BASE EQUIPO'!$A:$D,4)*H45)</f>
        <v>1.1172</v>
      </c>
      <c r="H48" s="56">
        <f>IF($A48=0,"",ROUND(F48*G48,2))</f>
        <v>1.1200000000000001</v>
      </c>
      <c r="I48" s="2"/>
    </row>
    <row r="49" spans="1:15" x14ac:dyDescent="0.25">
      <c r="B49" s="38" t="str">
        <f>IF($A49=0,"",VLOOKUP($A49,'BASE EQUIPO'!$A:$D,2))</f>
        <v/>
      </c>
      <c r="C49" s="2"/>
      <c r="D49" s="84"/>
      <c r="E49" s="78" t="str">
        <f>IF($A49=0,"",VLOOKUP($A49,'BASE EQUIPO'!$A:$D,3))</f>
        <v/>
      </c>
      <c r="F49" s="55"/>
      <c r="G49" s="55" t="str">
        <f>IF($A49=0,"",VLOOKUP($A49,'BASE EQUIPO'!$A:$D,4)*H46)</f>
        <v/>
      </c>
      <c r="H49" s="56" t="str">
        <f>IF($A49=0,"",ROUND(F49*G49,2))</f>
        <v/>
      </c>
      <c r="I49" s="2"/>
    </row>
    <row r="50" spans="1:15" x14ac:dyDescent="0.25">
      <c r="B50" s="57" t="str">
        <f>IF($A50=0,"",VLOOKUP($A50,'BASE EQUIPO'!$A:$D,2))</f>
        <v/>
      </c>
      <c r="C50" s="58"/>
      <c r="D50" s="85"/>
      <c r="E50" s="86" t="str">
        <f>IF($A50=0,"",VLOOKUP($A50,'BASE EQUIPO'!$A:$D,3))</f>
        <v/>
      </c>
      <c r="F50" s="59"/>
      <c r="G50" s="59" t="str">
        <f>IF($A50=0,"",VLOOKUP($A50,'BASE EQUIPO'!$A:$D,4)*H47)</f>
        <v/>
      </c>
      <c r="H50" s="60" t="str">
        <f>IF($A50=0,"",ROUND(F50*G50,2))</f>
        <v/>
      </c>
      <c r="I50" s="2"/>
    </row>
    <row r="51" spans="1:15" ht="15.75" thickBot="1" x14ac:dyDescent="0.3">
      <c r="B51" s="87" t="s">
        <v>1674</v>
      </c>
      <c r="C51" s="88"/>
      <c r="D51" s="89"/>
      <c r="E51" s="89"/>
      <c r="F51" s="89"/>
      <c r="G51" s="89"/>
      <c r="H51" s="90">
        <f>ROUND(SUM(H47:H50),2)</f>
        <v>1.1200000000000001</v>
      </c>
      <c r="I51" s="2"/>
    </row>
    <row r="52" spans="1:15" ht="15.75" x14ac:dyDescent="0.25">
      <c r="B52" s="2"/>
      <c r="C52" s="2"/>
      <c r="D52" s="91" t="s">
        <v>1673</v>
      </c>
      <c r="E52" s="47"/>
      <c r="F52" s="47"/>
      <c r="G52" s="47"/>
      <c r="H52" s="92">
        <f>ROUND(SUM(H51,H45,H26,H16),2)</f>
        <v>53.09</v>
      </c>
      <c r="I52" s="2"/>
    </row>
    <row r="53" spans="1:15" ht="15.75" x14ac:dyDescent="0.25">
      <c r="A53" s="103">
        <v>40002</v>
      </c>
      <c r="B53" s="2"/>
      <c r="C53" s="2"/>
      <c r="D53" s="93" t="s">
        <v>1672</v>
      </c>
      <c r="E53" s="65"/>
      <c r="F53" s="65"/>
      <c r="G53" s="94">
        <f>IF($A53=0,"",VLOOKUP($A53,'BASE MATERIAL'!$M:$P,4))</f>
        <v>0</v>
      </c>
      <c r="H53" s="95">
        <f>IF($A53=0,"",ROUND(G53*H52,2))</f>
        <v>0</v>
      </c>
      <c r="I53" s="2"/>
    </row>
    <row r="54" spans="1:15" ht="15.75" x14ac:dyDescent="0.25">
      <c r="A54" s="103">
        <v>40003</v>
      </c>
      <c r="B54" s="2"/>
      <c r="C54" s="2"/>
      <c r="D54" s="93" t="s">
        <v>1671</v>
      </c>
      <c r="E54" s="65"/>
      <c r="F54" s="65"/>
      <c r="G54" s="94">
        <f>IF($A54=0,"",VLOOKUP($A54,'BASE MATERIAL'!$M:$P,4))</f>
        <v>0</v>
      </c>
      <c r="H54" s="95">
        <f>IF($A54=0,"",ROUND(G54*H52,2))</f>
        <v>0</v>
      </c>
      <c r="I54" s="2"/>
    </row>
    <row r="55" spans="1:15" ht="15.75" x14ac:dyDescent="0.25">
      <c r="B55" s="2"/>
      <c r="C55" s="2"/>
      <c r="D55" s="93" t="s">
        <v>1670</v>
      </c>
      <c r="E55" s="65"/>
      <c r="F55" s="65"/>
      <c r="G55" s="65"/>
      <c r="H55" s="96">
        <f>ROUND(SUM(H52:H54),2)</f>
        <v>53.09</v>
      </c>
      <c r="I55" s="2"/>
    </row>
    <row r="56" spans="1:15" ht="16.5" thickBot="1" x14ac:dyDescent="0.3">
      <c r="B56" s="25"/>
      <c r="C56" s="2"/>
      <c r="D56" s="97" t="s">
        <v>1650</v>
      </c>
      <c r="E56" s="88"/>
      <c r="F56" s="88"/>
      <c r="G56" s="88"/>
      <c r="H56" s="98">
        <f>ROUND(H55,2)</f>
        <v>53.09</v>
      </c>
      <c r="I56" s="2"/>
    </row>
    <row r="57" spans="1:15" ht="15.75" x14ac:dyDescent="0.25">
      <c r="B57" s="34" t="s">
        <v>1701</v>
      </c>
      <c r="C57" s="2"/>
      <c r="D57" s="3" t="str">
        <f>'1.1'!$D$1</f>
        <v>ESPOL</v>
      </c>
      <c r="E57" s="2"/>
      <c r="F57" s="2"/>
      <c r="H57" s="2" t="s">
        <v>108</v>
      </c>
      <c r="I57" s="2"/>
      <c r="L57" s="40">
        <f>A61</f>
        <v>1</v>
      </c>
      <c r="M57" s="1" t="str">
        <f>C62</f>
        <v>Colector   PVC des ø 200mm AA.SS.</v>
      </c>
      <c r="N57" s="2" t="str">
        <f>H61</f>
        <v>ml</v>
      </c>
      <c r="O57" s="2">
        <f>H112</f>
        <v>28.27</v>
      </c>
    </row>
    <row r="58" spans="1:15" ht="15.75" x14ac:dyDescent="0.25">
      <c r="B58" s="34" t="s">
        <v>1700</v>
      </c>
      <c r="C58" s="3">
        <f>'1.1'!$C$2</f>
        <v>0</v>
      </c>
      <c r="D58" s="2"/>
      <c r="E58" s="2"/>
      <c r="F58" s="2"/>
      <c r="G58" s="41" t="s">
        <v>1699</v>
      </c>
      <c r="H58" s="42"/>
      <c r="I58" s="2" t="s">
        <v>1698</v>
      </c>
    </row>
    <row r="59" spans="1:15" ht="15.75" x14ac:dyDescent="0.25">
      <c r="B59" s="34"/>
      <c r="C59" s="3">
        <f>'1.1'!$C$3</f>
        <v>0</v>
      </c>
      <c r="D59" s="2"/>
      <c r="E59" s="2"/>
      <c r="F59" s="2"/>
      <c r="G59" s="2"/>
      <c r="H59" s="2"/>
      <c r="I59" s="2"/>
    </row>
    <row r="60" spans="1:15" ht="15.75" x14ac:dyDescent="0.25">
      <c r="B60" s="34" t="s">
        <v>1697</v>
      </c>
      <c r="C60" s="3"/>
      <c r="D60" s="2"/>
      <c r="E60" s="2"/>
      <c r="F60" s="2"/>
      <c r="G60" s="2"/>
      <c r="H60" s="2"/>
      <c r="I60" s="2"/>
    </row>
    <row r="61" spans="1:15" x14ac:dyDescent="0.25">
      <c r="A61" s="104">
        <v>1</v>
      </c>
      <c r="B61" s="2" t="s">
        <v>1586</v>
      </c>
      <c r="C61" s="115" t="s">
        <v>700</v>
      </c>
      <c r="D61" s="2"/>
      <c r="G61" s="2" t="s">
        <v>1696</v>
      </c>
      <c r="H61" s="3" t="s">
        <v>961</v>
      </c>
      <c r="I61" s="2"/>
    </row>
    <row r="62" spans="1:15" x14ac:dyDescent="0.25">
      <c r="B62" s="1" t="s">
        <v>1585</v>
      </c>
      <c r="C62" s="36" t="s">
        <v>1308</v>
      </c>
      <c r="D62" s="2"/>
      <c r="E62" s="2"/>
      <c r="F62" s="2"/>
      <c r="G62" s="2"/>
      <c r="H62" s="2"/>
      <c r="I62" s="2"/>
    </row>
    <row r="63" spans="1:15" ht="15.75" thickBot="1" x14ac:dyDescent="0.3">
      <c r="D63" s="2"/>
      <c r="E63" s="2"/>
      <c r="F63" s="2"/>
      <c r="G63" s="2"/>
      <c r="H63" s="2"/>
      <c r="I63" s="2"/>
    </row>
    <row r="64" spans="1:15" ht="15.75" thickBot="1" x14ac:dyDescent="0.3">
      <c r="B64" s="43" t="s">
        <v>1695</v>
      </c>
      <c r="C64" s="44"/>
      <c r="D64" s="44"/>
      <c r="E64" s="44"/>
      <c r="F64" s="44"/>
      <c r="G64" s="44"/>
      <c r="H64" s="45"/>
      <c r="I64" s="2"/>
    </row>
    <row r="65" spans="1:9" ht="25.5" x14ac:dyDescent="0.25">
      <c r="B65" s="46" t="s">
        <v>1409</v>
      </c>
      <c r="C65" s="47"/>
      <c r="D65" s="48" t="s">
        <v>1690</v>
      </c>
      <c r="E65" s="48" t="s">
        <v>1694</v>
      </c>
      <c r="F65" s="48" t="s">
        <v>1693</v>
      </c>
      <c r="G65" s="49" t="s">
        <v>1687</v>
      </c>
      <c r="H65" s="50" t="s">
        <v>1686</v>
      </c>
      <c r="I65" s="2"/>
    </row>
    <row r="66" spans="1:9" x14ac:dyDescent="0.25">
      <c r="A66" s="103">
        <v>19016</v>
      </c>
      <c r="B66" s="51" t="str">
        <f>IF($A66=0,"",VLOOKUP($A66,'BASE EQUIPO'!$A:$D,2))</f>
        <v>HERRAMIENTA MENOR</v>
      </c>
      <c r="C66" s="52"/>
      <c r="D66" s="53">
        <v>1</v>
      </c>
      <c r="E66" s="53">
        <f>IF($A66=0,"",VLOOKUP($A66,'BASE EQUIPO'!$A:$D,4)*H82)</f>
        <v>0.56100000000000005</v>
      </c>
      <c r="F66" s="53">
        <f t="shared" ref="F66:F71" si="5">IF($A66=0,"",ROUND(D66*E66,2))</f>
        <v>0.56000000000000005</v>
      </c>
      <c r="G66" s="105">
        <v>1</v>
      </c>
      <c r="H66" s="54">
        <f t="shared" ref="H66:H71" si="6">IF($A66=0,"",ROUND(G66*F66,2))</f>
        <v>0.56000000000000005</v>
      </c>
      <c r="I66" s="2"/>
    </row>
    <row r="67" spans="1:9" x14ac:dyDescent="0.25">
      <c r="B67" s="38" t="str">
        <f>IF($A67=0,"",VLOOKUP($A67,'BASE EQUIPO'!$A:$D,2))</f>
        <v/>
      </c>
      <c r="C67" s="2"/>
      <c r="D67" s="55"/>
      <c r="E67" s="55" t="str">
        <f>IF($A67=0,"",VLOOKUP($A67,'BASE EQUIPO'!$A:$D,4))</f>
        <v/>
      </c>
      <c r="F67" s="55" t="str">
        <f t="shared" si="5"/>
        <v/>
      </c>
      <c r="G67" s="106"/>
      <c r="H67" s="56" t="str">
        <f t="shared" si="6"/>
        <v/>
      </c>
      <c r="I67" s="2"/>
    </row>
    <row r="68" spans="1:9" x14ac:dyDescent="0.25">
      <c r="B68" s="38" t="str">
        <f>IF($A68=0,"",VLOOKUP($A68,'BASE EQUIPO'!$A:$D,2))</f>
        <v/>
      </c>
      <c r="C68" s="2"/>
      <c r="D68" s="55"/>
      <c r="E68" s="55" t="str">
        <f>IF($A68=0,"",VLOOKUP($A68,'BASE EQUIPO'!$A:$D,4))</f>
        <v/>
      </c>
      <c r="F68" s="55" t="str">
        <f t="shared" si="5"/>
        <v/>
      </c>
      <c r="G68" s="106"/>
      <c r="H68" s="56" t="str">
        <f t="shared" si="6"/>
        <v/>
      </c>
      <c r="I68" s="2"/>
    </row>
    <row r="69" spans="1:9" x14ac:dyDescent="0.25">
      <c r="B69" s="38" t="str">
        <f>IF($A69=0,"",VLOOKUP($A69,'BASE EQUIPO'!$A:$D,2))</f>
        <v/>
      </c>
      <c r="C69" s="2"/>
      <c r="D69" s="55"/>
      <c r="E69" s="55" t="str">
        <f>IF($A69=0,"",VLOOKUP($A69,'BASE EQUIPO'!$A:$D,4))</f>
        <v/>
      </c>
      <c r="F69" s="55" t="str">
        <f t="shared" si="5"/>
        <v/>
      </c>
      <c r="G69" s="106"/>
      <c r="H69" s="56" t="str">
        <f t="shared" si="6"/>
        <v/>
      </c>
      <c r="I69" s="2"/>
    </row>
    <row r="70" spans="1:9" x14ac:dyDescent="0.25">
      <c r="B70" s="38" t="str">
        <f>IF($A70=0,"",VLOOKUP($A70,'BASE EQUIPO'!$A:$D,2))</f>
        <v/>
      </c>
      <c r="C70" s="2"/>
      <c r="D70" s="55"/>
      <c r="E70" s="55" t="str">
        <f>IF($A70=0,"",VLOOKUP($A70,'BASE EQUIPO'!$A:$D,4))</f>
        <v/>
      </c>
      <c r="F70" s="55" t="str">
        <f t="shared" si="5"/>
        <v/>
      </c>
      <c r="G70" s="106"/>
      <c r="H70" s="56" t="str">
        <f t="shared" si="6"/>
        <v/>
      </c>
      <c r="I70" s="2"/>
    </row>
    <row r="71" spans="1:9" x14ac:dyDescent="0.25">
      <c r="B71" s="57" t="str">
        <f>IF($A71=0,"",VLOOKUP($A71,'BASE EQUIPO'!$A:$D,2))</f>
        <v/>
      </c>
      <c r="C71" s="58"/>
      <c r="D71" s="59"/>
      <c r="E71" s="59" t="str">
        <f>IF($A71=0,"",VLOOKUP($A71,'BASE EQUIPO'!$A:$D,4))</f>
        <v/>
      </c>
      <c r="F71" s="59" t="str">
        <f t="shared" si="5"/>
        <v/>
      </c>
      <c r="G71" s="107"/>
      <c r="H71" s="60" t="str">
        <f t="shared" si="6"/>
        <v/>
      </c>
      <c r="I71" s="2"/>
    </row>
    <row r="72" spans="1:9" x14ac:dyDescent="0.25">
      <c r="B72" s="57" t="s">
        <v>1692</v>
      </c>
      <c r="C72" s="58"/>
      <c r="D72" s="61"/>
      <c r="E72" s="61"/>
      <c r="F72" s="61"/>
      <c r="G72" s="62"/>
      <c r="H72" s="60">
        <f>ROUND(SUM(H65:H71),2)</f>
        <v>0.56000000000000005</v>
      </c>
      <c r="I72" s="2"/>
    </row>
    <row r="73" spans="1:9" x14ac:dyDescent="0.25">
      <c r="B73" s="38" t="s">
        <v>1503</v>
      </c>
      <c r="C73" s="2"/>
      <c r="D73" s="3"/>
      <c r="E73" s="3"/>
      <c r="F73" s="3"/>
      <c r="G73" s="63"/>
      <c r="H73" s="56"/>
      <c r="I73" s="2"/>
    </row>
    <row r="74" spans="1:9" ht="25.5" x14ac:dyDescent="0.25">
      <c r="B74" s="64" t="s">
        <v>1691</v>
      </c>
      <c r="C74" s="65"/>
      <c r="D74" s="66" t="s">
        <v>1690</v>
      </c>
      <c r="E74" s="66" t="s">
        <v>1689</v>
      </c>
      <c r="F74" s="66" t="s">
        <v>1688</v>
      </c>
      <c r="G74" s="67" t="s">
        <v>1687</v>
      </c>
      <c r="H74" s="68" t="s">
        <v>1686</v>
      </c>
      <c r="I74" s="2"/>
    </row>
    <row r="75" spans="1:9" x14ac:dyDescent="0.25">
      <c r="B75" s="69" t="str">
        <f>IF($A75=0,"",VLOOKUP($A75,'BASE M-OBRA'!$A:$D,2))</f>
        <v/>
      </c>
      <c r="C75" s="2"/>
      <c r="D75" s="108"/>
      <c r="E75" s="70" t="str">
        <f>IF($A75=0,"",VLOOKUP($A75,'BASE M-OBRA'!$A:$D,4))</f>
        <v/>
      </c>
      <c r="F75" s="55" t="str">
        <f t="shared" ref="F75:F81" si="7">IF($A75=0,"",ROUND(D75*E75,2))</f>
        <v/>
      </c>
      <c r="G75" s="106" t="str">
        <f>IF($A75=0,"",ROUND(H75/F75,2))</f>
        <v/>
      </c>
      <c r="H75" s="56" t="str">
        <f>IF($A75=0,"",ROUND(SUM(H76:H81)*'BASE M-OBRA'!$D$23,2))</f>
        <v/>
      </c>
      <c r="I75" s="2"/>
    </row>
    <row r="76" spans="1:9" x14ac:dyDescent="0.25">
      <c r="A76" s="103">
        <v>20011</v>
      </c>
      <c r="B76" s="69" t="str">
        <f>IF($A76=0,"",VLOOKUP($A76,'BASE M-OBRA'!$A:$D,2))</f>
        <v>AYUDANTE ESPECIALISTA</v>
      </c>
      <c r="C76" s="2"/>
      <c r="D76" s="108">
        <v>1</v>
      </c>
      <c r="E76" s="70">
        <f>IF($A76=0,"",VLOOKUP($A76,'BASE M-OBRA'!$A:$D,4))</f>
        <v>2.79</v>
      </c>
      <c r="F76" s="55">
        <f t="shared" si="7"/>
        <v>2.79</v>
      </c>
      <c r="G76" s="106">
        <v>2</v>
      </c>
      <c r="H76" s="56">
        <f t="shared" ref="H76:H81" si="8">IF($A76=0,"",ROUND(G76*F76,2))</f>
        <v>5.58</v>
      </c>
      <c r="I76" s="2"/>
    </row>
    <row r="77" spans="1:9" x14ac:dyDescent="0.25">
      <c r="A77" s="103">
        <v>20016</v>
      </c>
      <c r="B77" s="69" t="str">
        <f>IF($A77=0,"",VLOOKUP($A77,'BASE M-OBRA'!$A:$D,2))</f>
        <v>GAFITERO</v>
      </c>
      <c r="C77" s="2"/>
      <c r="D77" s="108">
        <v>1</v>
      </c>
      <c r="E77" s="70">
        <f>IF($A77=0,"",VLOOKUP($A77,'BASE M-OBRA'!$A:$D,4))</f>
        <v>2.82</v>
      </c>
      <c r="F77" s="55">
        <f t="shared" si="7"/>
        <v>2.82</v>
      </c>
      <c r="G77" s="106">
        <f>+G76</f>
        <v>2</v>
      </c>
      <c r="H77" s="56">
        <f t="shared" si="8"/>
        <v>5.64</v>
      </c>
      <c r="I77" s="2"/>
    </row>
    <row r="78" spans="1:9" x14ac:dyDescent="0.25">
      <c r="B78" s="71" t="str">
        <f>IF($A78=0,"",VLOOKUP($A78,'BASE M-OBRA'!$A:$D,2))</f>
        <v/>
      </c>
      <c r="C78" s="2"/>
      <c r="D78" s="108"/>
      <c r="E78" s="70" t="str">
        <f>IF($A78=0,"",VLOOKUP($A78,'BASE M-OBRA'!$A:$D,4))</f>
        <v/>
      </c>
      <c r="F78" s="55" t="str">
        <f t="shared" si="7"/>
        <v/>
      </c>
      <c r="G78" s="106"/>
      <c r="H78" s="56" t="str">
        <f t="shared" si="8"/>
        <v/>
      </c>
      <c r="I78" s="2"/>
    </row>
    <row r="79" spans="1:9" x14ac:dyDescent="0.25">
      <c r="B79" s="72" t="str">
        <f>IF($A79=0,"",VLOOKUP($A79,'BASE M-OBRA'!$A:$D,2))</f>
        <v/>
      </c>
      <c r="C79" s="2"/>
      <c r="D79" s="108"/>
      <c r="E79" s="70" t="str">
        <f>IF($A79=0,"",VLOOKUP($A79,'BASE M-OBRA'!$A:$D,4))</f>
        <v/>
      </c>
      <c r="F79" s="55" t="str">
        <f t="shared" si="7"/>
        <v/>
      </c>
      <c r="G79" s="106"/>
      <c r="H79" s="56" t="str">
        <f t="shared" si="8"/>
        <v/>
      </c>
      <c r="I79" s="2"/>
    </row>
    <row r="80" spans="1:9" x14ac:dyDescent="0.25">
      <c r="B80" s="38" t="str">
        <f>IF($A80=0,"",VLOOKUP($A80,'BASE M-OBRA'!$A:$D,2))</f>
        <v/>
      </c>
      <c r="C80" s="2"/>
      <c r="D80" s="55"/>
      <c r="E80" s="55" t="str">
        <f>IF($A80=0,"",VLOOKUP($A80,'BASE M-OBRA'!$A:$D,4))</f>
        <v/>
      </c>
      <c r="F80" s="55" t="str">
        <f t="shared" si="7"/>
        <v/>
      </c>
      <c r="G80" s="106"/>
      <c r="H80" s="56" t="str">
        <f t="shared" si="8"/>
        <v/>
      </c>
      <c r="I80" s="2"/>
    </row>
    <row r="81" spans="1:16" x14ac:dyDescent="0.25">
      <c r="B81" s="57" t="str">
        <f>IF($A81=0,"",VLOOKUP($A81,'BASE M-OBRA'!$A:$D,2))</f>
        <v/>
      </c>
      <c r="C81" s="58"/>
      <c r="D81" s="59"/>
      <c r="E81" s="59" t="str">
        <f>IF($A81=0,"",VLOOKUP($A81,'BASE M-OBRA'!$A:$D,4))</f>
        <v/>
      </c>
      <c r="F81" s="59" t="str">
        <f t="shared" si="7"/>
        <v/>
      </c>
      <c r="G81" s="107"/>
      <c r="H81" s="60" t="str">
        <f t="shared" si="8"/>
        <v/>
      </c>
      <c r="I81" s="2"/>
    </row>
    <row r="82" spans="1:16" x14ac:dyDescent="0.25">
      <c r="B82" s="73" t="s">
        <v>1685</v>
      </c>
      <c r="C82" s="65"/>
      <c r="D82" s="74"/>
      <c r="E82" s="74"/>
      <c r="F82" s="74"/>
      <c r="G82" s="74"/>
      <c r="H82" s="75">
        <f>ROUND(SUM(H74:H81),2)</f>
        <v>11.22</v>
      </c>
      <c r="I82" s="2"/>
    </row>
    <row r="83" spans="1:16" x14ac:dyDescent="0.25">
      <c r="B83" s="38" t="s">
        <v>1684</v>
      </c>
      <c r="C83" s="2"/>
      <c r="D83" s="3"/>
      <c r="E83" s="3"/>
      <c r="F83" s="3"/>
      <c r="G83" s="3"/>
      <c r="H83" s="56"/>
      <c r="I83" s="2"/>
    </row>
    <row r="84" spans="1:16" ht="25.5" x14ac:dyDescent="0.25">
      <c r="B84" s="64" t="s">
        <v>1409</v>
      </c>
      <c r="C84" s="65"/>
      <c r="D84" s="76"/>
      <c r="E84" s="66" t="s">
        <v>1408</v>
      </c>
      <c r="F84" s="66" t="s">
        <v>1679</v>
      </c>
      <c r="G84" s="66" t="s">
        <v>1683</v>
      </c>
      <c r="H84" s="68" t="s">
        <v>1675</v>
      </c>
      <c r="I84" s="2"/>
    </row>
    <row r="85" spans="1:16" x14ac:dyDescent="0.25">
      <c r="A85" s="103">
        <v>1</v>
      </c>
      <c r="B85" s="109" t="s">
        <v>680</v>
      </c>
      <c r="C85" s="2"/>
      <c r="D85" s="77"/>
      <c r="E85" s="78" t="s">
        <v>25</v>
      </c>
      <c r="F85" s="55">
        <v>1.05</v>
      </c>
      <c r="G85" s="55">
        <f>82.53/6</f>
        <v>13.755000000000001</v>
      </c>
      <c r="H85" s="56">
        <f t="shared" ref="H85:H99" si="9">IF($A85=0,"",ROUND(F85*G85,2))</f>
        <v>14.44</v>
      </c>
      <c r="I85" s="2"/>
      <c r="J85" s="1">
        <f>82.53/3</f>
        <v>27.51</v>
      </c>
      <c r="K85" s="1">
        <f>67.17*1.12/6</f>
        <v>12.538400000000001</v>
      </c>
      <c r="L85" s="2"/>
      <c r="M85" s="2"/>
      <c r="N85" s="39"/>
      <c r="O85" s="2"/>
      <c r="P85" s="2"/>
    </row>
    <row r="86" spans="1:16" s="4" customFormat="1" x14ac:dyDescent="0.25">
      <c r="A86" s="103">
        <v>5004</v>
      </c>
      <c r="B86" s="38" t="str">
        <f>IF($A86=0,"",VLOOKUP($A86,'BASE MATERIAL'!$A:$D,2))</f>
        <v>ARENA</v>
      </c>
      <c r="C86" s="2"/>
      <c r="D86" s="77"/>
      <c r="E86" s="78" t="str">
        <f>IF($A86=0,"",VLOOKUP($A86,'BASE MATERIAL'!$A:$D,3))</f>
        <v>M3</v>
      </c>
      <c r="F86" s="55">
        <f>ROUND(F85*0.032*3,2)</f>
        <v>0.1</v>
      </c>
      <c r="G86" s="55">
        <f>IF($A86=0,"",VLOOKUP($A86,'BASE MATERIAL'!$A:$D,4))</f>
        <v>12.276249999999999</v>
      </c>
      <c r="H86" s="56">
        <f t="shared" si="9"/>
        <v>1.23</v>
      </c>
      <c r="I86" s="5"/>
      <c r="K86" s="4">
        <v>28.4</v>
      </c>
      <c r="L86" s="5"/>
      <c r="M86" s="5"/>
      <c r="N86" s="160"/>
      <c r="O86" s="5"/>
      <c r="P86" s="5"/>
    </row>
    <row r="87" spans="1:16" x14ac:dyDescent="0.25">
      <c r="A87" s="103">
        <v>1</v>
      </c>
      <c r="B87" s="38" t="s">
        <v>4</v>
      </c>
      <c r="C87" s="2"/>
      <c r="D87" s="77"/>
      <c r="E87" s="78" t="s">
        <v>2</v>
      </c>
      <c r="F87" s="55">
        <v>2.1000000000000001E-2</v>
      </c>
      <c r="G87" s="55">
        <v>12.63</v>
      </c>
      <c r="H87" s="56">
        <f t="shared" si="9"/>
        <v>0.27</v>
      </c>
      <c r="I87" s="2"/>
      <c r="L87" s="2"/>
      <c r="M87" s="2"/>
      <c r="N87" s="39"/>
      <c r="O87" s="2"/>
      <c r="P87" s="2"/>
    </row>
    <row r="88" spans="1:16" x14ac:dyDescent="0.25">
      <c r="A88" s="103">
        <v>1</v>
      </c>
      <c r="B88" s="38" t="s">
        <v>3</v>
      </c>
      <c r="C88" s="2"/>
      <c r="D88" s="77"/>
      <c r="E88" s="78" t="s">
        <v>2</v>
      </c>
      <c r="F88" s="55">
        <v>0.01</v>
      </c>
      <c r="G88" s="55">
        <v>6.89</v>
      </c>
      <c r="H88" s="56">
        <f t="shared" si="9"/>
        <v>7.0000000000000007E-2</v>
      </c>
      <c r="I88" s="2"/>
      <c r="L88" s="2"/>
      <c r="M88" s="2"/>
      <c r="N88" s="39"/>
      <c r="O88" s="2"/>
      <c r="P88" s="2"/>
    </row>
    <row r="89" spans="1:16" x14ac:dyDescent="0.25">
      <c r="B89" s="38"/>
      <c r="C89" s="2"/>
      <c r="D89" s="77"/>
      <c r="E89" s="78"/>
      <c r="F89" s="55"/>
      <c r="G89" s="55"/>
      <c r="H89" s="56" t="str">
        <f t="shared" si="9"/>
        <v/>
      </c>
      <c r="I89" s="2"/>
      <c r="L89" s="2"/>
      <c r="M89" s="2"/>
      <c r="N89" s="39"/>
      <c r="O89" s="2"/>
      <c r="P89" s="2"/>
    </row>
    <row r="90" spans="1:16" x14ac:dyDescent="0.25">
      <c r="B90" s="38"/>
      <c r="C90" s="2"/>
      <c r="D90" s="77"/>
      <c r="E90" s="78"/>
      <c r="F90" s="55"/>
      <c r="G90" s="55"/>
      <c r="H90" s="56" t="str">
        <f t="shared" si="9"/>
        <v/>
      </c>
      <c r="I90" s="2"/>
      <c r="L90" s="2"/>
      <c r="M90" s="2"/>
      <c r="N90" s="39"/>
      <c r="O90" s="2"/>
      <c r="P90" s="2"/>
    </row>
    <row r="91" spans="1:16" x14ac:dyDescent="0.25">
      <c r="B91" s="38"/>
      <c r="C91" s="2"/>
      <c r="D91" s="77"/>
      <c r="E91" s="78"/>
      <c r="F91" s="55"/>
      <c r="G91" s="55"/>
      <c r="H91" s="56" t="str">
        <f t="shared" si="9"/>
        <v/>
      </c>
      <c r="I91" s="2"/>
      <c r="L91" s="2"/>
      <c r="M91" s="2"/>
      <c r="N91" s="39"/>
      <c r="O91" s="2"/>
      <c r="P91" s="2"/>
    </row>
    <row r="92" spans="1:16" x14ac:dyDescent="0.25">
      <c r="B92" s="38"/>
      <c r="C92" s="2"/>
      <c r="D92" s="77"/>
      <c r="E92" s="78"/>
      <c r="F92" s="55"/>
      <c r="G92" s="55"/>
      <c r="H92" s="56" t="str">
        <f t="shared" si="9"/>
        <v/>
      </c>
      <c r="I92" s="2"/>
      <c r="L92" s="2"/>
      <c r="M92" s="2"/>
      <c r="N92" s="39"/>
      <c r="O92" s="2"/>
      <c r="P92" s="2"/>
    </row>
    <row r="93" spans="1:16" x14ac:dyDescent="0.25">
      <c r="B93" s="38"/>
      <c r="C93" s="2"/>
      <c r="D93" s="77"/>
      <c r="E93" s="78"/>
      <c r="F93" s="55"/>
      <c r="G93" s="55"/>
      <c r="H93" s="56" t="str">
        <f t="shared" si="9"/>
        <v/>
      </c>
      <c r="I93" s="2"/>
    </row>
    <row r="94" spans="1:16" x14ac:dyDescent="0.25">
      <c r="B94" s="38" t="str">
        <f>IF($A94=0,"",VLOOKUP($A94,'BASE MATERIAL'!$A:$D,2))</f>
        <v/>
      </c>
      <c r="C94" s="2"/>
      <c r="D94" s="77"/>
      <c r="E94" s="78" t="str">
        <f>IF($A94=0,"",VLOOKUP($A94,'BASE MATERIAL'!$A:$D,3))</f>
        <v/>
      </c>
      <c r="F94" s="55"/>
      <c r="G94" s="55" t="str">
        <f>IF($A94=0,"",VLOOKUP($A94,'BASE MATERIAL'!$A:$D,4))</f>
        <v/>
      </c>
      <c r="H94" s="56" t="str">
        <f t="shared" si="9"/>
        <v/>
      </c>
      <c r="I94" s="2"/>
      <c r="L94" s="2"/>
      <c r="M94" s="2"/>
      <c r="N94" s="39"/>
      <c r="O94" s="2"/>
      <c r="P94" s="2"/>
    </row>
    <row r="95" spans="1:16" x14ac:dyDescent="0.25">
      <c r="B95" s="38" t="str">
        <f>IF($A95=0,"",VLOOKUP($A95,'BASE MATERIAL'!$A:$D,2))</f>
        <v/>
      </c>
      <c r="C95" s="2"/>
      <c r="D95" s="77"/>
      <c r="E95" s="78" t="str">
        <f>IF($A95=0,"",VLOOKUP($A95,'BASE MATERIAL'!$A:$D,3))</f>
        <v/>
      </c>
      <c r="F95" s="55"/>
      <c r="G95" s="55" t="str">
        <f>IF($A95=0,"",VLOOKUP($A95,'BASE MATERIAL'!$A:$D,4))</f>
        <v/>
      </c>
      <c r="H95" s="56" t="str">
        <f t="shared" si="9"/>
        <v/>
      </c>
      <c r="I95" s="2"/>
      <c r="L95" s="2"/>
      <c r="M95" s="2"/>
      <c r="N95" s="39"/>
      <c r="O95" s="2"/>
      <c r="P95" s="2"/>
    </row>
    <row r="96" spans="1:16" x14ac:dyDescent="0.25">
      <c r="B96" s="38" t="str">
        <f>IF($A96=0,"",VLOOKUP($A96,'BASE MATERIAL'!$A:$D,2))</f>
        <v/>
      </c>
      <c r="C96" s="2"/>
      <c r="D96" s="77"/>
      <c r="E96" s="78" t="str">
        <f>IF($A96=0,"",VLOOKUP($A96,'BASE MATERIAL'!$A:$D,3))</f>
        <v/>
      </c>
      <c r="F96" s="55"/>
      <c r="G96" s="55" t="str">
        <f>IF($A96=0,"",VLOOKUP($A96,'BASE MATERIAL'!$A:$D,4))</f>
        <v/>
      </c>
      <c r="H96" s="56" t="str">
        <f t="shared" si="9"/>
        <v/>
      </c>
      <c r="I96" s="2"/>
    </row>
    <row r="97" spans="1:10" x14ac:dyDescent="0.25">
      <c r="B97" s="38" t="str">
        <f>IF($A97=0,"",VLOOKUP($A97,'BASE MATERIAL'!$A:$D,2))</f>
        <v/>
      </c>
      <c r="C97" s="2"/>
      <c r="D97" s="77"/>
      <c r="E97" s="78" t="str">
        <f>IF($A97=0,"",VLOOKUP($A97,'BASE MATERIAL'!$A:$D,3))</f>
        <v/>
      </c>
      <c r="F97" s="55"/>
      <c r="G97" s="55" t="str">
        <f>IF($A97=0,"",VLOOKUP($A97,'BASE MATERIAL'!$A:$D,4))</f>
        <v/>
      </c>
      <c r="H97" s="56" t="str">
        <f t="shared" si="9"/>
        <v/>
      </c>
      <c r="I97" s="2"/>
    </row>
    <row r="98" spans="1:10" x14ac:dyDescent="0.25">
      <c r="B98" s="38" t="str">
        <f>IF($A98=0,"",VLOOKUP($A98,'BASE MATERIAL'!$A:$D,2))</f>
        <v/>
      </c>
      <c r="C98" s="2"/>
      <c r="D98" s="77"/>
      <c r="E98" s="78" t="str">
        <f>IF($A98=0,"",VLOOKUP($A98,'BASE MATERIAL'!$A:$D,3))</f>
        <v/>
      </c>
      <c r="F98" s="55"/>
      <c r="G98" s="55" t="str">
        <f>IF($A98=0,"",VLOOKUP($A98,'BASE MATERIAL'!$A:$D,4))</f>
        <v/>
      </c>
      <c r="H98" s="56" t="str">
        <f t="shared" si="9"/>
        <v/>
      </c>
      <c r="I98" s="2"/>
    </row>
    <row r="99" spans="1:10" x14ac:dyDescent="0.25">
      <c r="B99" s="38" t="str">
        <f>IF($A99=0,"",VLOOKUP($A99,'BASE MATERIAL'!$A:$D,2))</f>
        <v/>
      </c>
      <c r="C99" s="2"/>
      <c r="D99" s="77"/>
      <c r="E99" s="78" t="str">
        <f>IF($A99=0,"",VLOOKUP($A99,'BASE MATERIAL'!$A:$D,3))</f>
        <v/>
      </c>
      <c r="F99" s="55"/>
      <c r="G99" s="55" t="str">
        <f>IF($A99=0,"",VLOOKUP($A99,'BASE MATERIAL'!$A:$D,4))</f>
        <v/>
      </c>
      <c r="H99" s="56" t="str">
        <f t="shared" si="9"/>
        <v/>
      </c>
      <c r="I99" s="2"/>
    </row>
    <row r="100" spans="1:10" x14ac:dyDescent="0.25">
      <c r="B100" s="38" t="str">
        <f>IF($A100=0,"",VLOOKUP($A100,'BASE MATERIAL'!$A:$D,2))</f>
        <v/>
      </c>
      <c r="C100" s="2"/>
      <c r="D100" s="81" t="s">
        <v>1682</v>
      </c>
      <c r="E100" s="55" t="str">
        <f>IF($A100=0,"",VLOOKUP($A100,'BASE MATERIAL'!$A:$D,3))</f>
        <v/>
      </c>
      <c r="F100" s="55" t="s">
        <v>1682</v>
      </c>
      <c r="G100" s="55" t="str">
        <f>IF($A100=0,"",VLOOKUP($A100,'BASE MATERIAL'!$A:$D,4))</f>
        <v/>
      </c>
      <c r="H100" s="56" t="str">
        <f>IF($A100=0,"",ROUND(E100*F100,2))</f>
        <v/>
      </c>
      <c r="I100" s="2"/>
    </row>
    <row r="101" spans="1:10" x14ac:dyDescent="0.25">
      <c r="B101" s="73" t="s">
        <v>1681</v>
      </c>
      <c r="C101" s="65"/>
      <c r="D101" s="74"/>
      <c r="E101" s="74"/>
      <c r="F101" s="74"/>
      <c r="G101" s="74"/>
      <c r="H101" s="75">
        <f>ROUND(SUM(H84:H100),2)</f>
        <v>16.010000000000002</v>
      </c>
      <c r="I101" s="2"/>
    </row>
    <row r="102" spans="1:10" x14ac:dyDescent="0.25">
      <c r="B102" s="38" t="s">
        <v>1680</v>
      </c>
      <c r="C102" s="2"/>
      <c r="D102" s="3"/>
      <c r="E102" s="3"/>
      <c r="F102" s="3"/>
      <c r="G102" s="3"/>
      <c r="H102" s="56"/>
      <c r="I102" s="2"/>
    </row>
    <row r="103" spans="1:10" ht="25.5" x14ac:dyDescent="0.25">
      <c r="B103" s="64" t="s">
        <v>1409</v>
      </c>
      <c r="C103" s="65"/>
      <c r="D103" s="76"/>
      <c r="E103" s="66" t="s">
        <v>1408</v>
      </c>
      <c r="F103" s="66" t="s">
        <v>1679</v>
      </c>
      <c r="G103" s="66" t="s">
        <v>1676</v>
      </c>
      <c r="H103" s="68" t="s">
        <v>1675</v>
      </c>
      <c r="I103" s="2"/>
    </row>
    <row r="104" spans="1:10" x14ac:dyDescent="0.25">
      <c r="A104" s="103">
        <v>19019</v>
      </c>
      <c r="B104" s="51" t="str">
        <f>IF($A104=0,"",VLOOKUP($A104,'BASE EQUIPO'!$A:$D,2))</f>
        <v>TRANSPORTE DE MATERIAL</v>
      </c>
      <c r="C104" s="52"/>
      <c r="D104" s="82"/>
      <c r="E104" s="78" t="str">
        <f>IF($A104=0,"",VLOOKUP($A104,'BASE EQUIPO'!$A:$D,3))</f>
        <v>GLOBAL</v>
      </c>
      <c r="F104" s="55">
        <v>1</v>
      </c>
      <c r="G104" s="83">
        <f>IF($A104=0,"",VLOOKUP($A104,'BASE EQUIPO'!$A:$D,4)*H101)</f>
        <v>0.4803</v>
      </c>
      <c r="H104" s="56">
        <f>IF($A104=0,"",ROUND(F104*G104,2))</f>
        <v>0.48</v>
      </c>
      <c r="I104" s="2"/>
    </row>
    <row r="105" spans="1:10" x14ac:dyDescent="0.25">
      <c r="B105" s="38" t="str">
        <f>IF($A105=0,"",VLOOKUP($A105,'BASE EQUIPO'!$A:$D,2))</f>
        <v/>
      </c>
      <c r="C105" s="2"/>
      <c r="D105" s="84"/>
      <c r="E105" s="78" t="str">
        <f>IF($A105=0,"",VLOOKUP($A105,'BASE EQUIPO'!$A:$D,3))</f>
        <v/>
      </c>
      <c r="F105" s="55"/>
      <c r="G105" s="55" t="str">
        <f>IF($A105=0,"",VLOOKUP($A105,'BASE EQUIPO'!$A:$D,4)*H102)</f>
        <v/>
      </c>
      <c r="H105" s="56" t="str">
        <f>IF($A105=0,"",ROUND(F105*G105,2))</f>
        <v/>
      </c>
      <c r="I105" s="2"/>
    </row>
    <row r="106" spans="1:10" x14ac:dyDescent="0.25">
      <c r="B106" s="57" t="str">
        <f>IF($A106=0,"",VLOOKUP($A106,'BASE EQUIPO'!$A:$D,2))</f>
        <v/>
      </c>
      <c r="C106" s="58"/>
      <c r="D106" s="85"/>
      <c r="E106" s="86" t="str">
        <f>IF($A106=0,"",VLOOKUP($A106,'BASE EQUIPO'!$A:$D,3))</f>
        <v/>
      </c>
      <c r="F106" s="59"/>
      <c r="G106" s="59" t="str">
        <f>IF($A106=0,"",VLOOKUP($A106,'BASE EQUIPO'!$A:$D,4)*H103)</f>
        <v/>
      </c>
      <c r="H106" s="60" t="str">
        <f>IF($A106=0,"",ROUND(F106*G106,2))</f>
        <v/>
      </c>
      <c r="I106" s="2"/>
    </row>
    <row r="107" spans="1:10" ht="15.75" thickBot="1" x14ac:dyDescent="0.3">
      <c r="B107" s="87" t="s">
        <v>1674</v>
      </c>
      <c r="C107" s="88"/>
      <c r="D107" s="89"/>
      <c r="E107" s="89"/>
      <c r="F107" s="89"/>
      <c r="G107" s="89"/>
      <c r="H107" s="90">
        <f>ROUND(SUM(H103:H106),2)</f>
        <v>0.48</v>
      </c>
      <c r="I107" s="2"/>
    </row>
    <row r="108" spans="1:10" ht="15.75" x14ac:dyDescent="0.25">
      <c r="B108" s="2"/>
      <c r="C108" s="2"/>
      <c r="D108" s="91" t="s">
        <v>1673</v>
      </c>
      <c r="E108" s="47"/>
      <c r="F108" s="47"/>
      <c r="G108" s="47"/>
      <c r="H108" s="92">
        <f>ROUND(SUM(H107,H101,H82,H72),2)</f>
        <v>28.27</v>
      </c>
      <c r="I108" s="2"/>
    </row>
    <row r="109" spans="1:10" ht="15.75" x14ac:dyDescent="0.25">
      <c r="A109" s="103">
        <v>40002</v>
      </c>
      <c r="B109" s="2"/>
      <c r="C109" s="2"/>
      <c r="D109" s="93" t="s">
        <v>1672</v>
      </c>
      <c r="E109" s="65"/>
      <c r="F109" s="65"/>
      <c r="G109" s="94">
        <f>IF($A109=0,"",VLOOKUP($A109,'BASE MATERIAL'!$M:$P,4))</f>
        <v>0</v>
      </c>
      <c r="H109" s="95">
        <f>IF($A109=0,"",ROUND(G109*H108,2))</f>
        <v>0</v>
      </c>
      <c r="I109" s="2"/>
    </row>
    <row r="110" spans="1:10" ht="15.75" x14ac:dyDescent="0.25">
      <c r="A110" s="103">
        <v>40003</v>
      </c>
      <c r="B110" s="2"/>
      <c r="C110" s="2"/>
      <c r="D110" s="93" t="s">
        <v>1671</v>
      </c>
      <c r="E110" s="65"/>
      <c r="F110" s="65"/>
      <c r="G110" s="94">
        <f>IF($A110=0,"",VLOOKUP($A110,'BASE MATERIAL'!$M:$P,4))</f>
        <v>0</v>
      </c>
      <c r="H110" s="95">
        <f>IF($A110=0,"",ROUND(G110*H108,2))</f>
        <v>0</v>
      </c>
      <c r="I110" s="2"/>
    </row>
    <row r="111" spans="1:10" ht="15.75" x14ac:dyDescent="0.25">
      <c r="B111" s="2"/>
      <c r="C111" s="2"/>
      <c r="D111" s="93" t="s">
        <v>1670</v>
      </c>
      <c r="E111" s="65"/>
      <c r="F111" s="65"/>
      <c r="G111" s="65"/>
      <c r="H111" s="96">
        <f>ROUND(SUM(H108:H110),2)</f>
        <v>28.27</v>
      </c>
      <c r="I111" s="2"/>
    </row>
    <row r="112" spans="1:10" ht="16.5" thickBot="1" x14ac:dyDescent="0.3">
      <c r="B112" s="25"/>
      <c r="C112" s="2"/>
      <c r="D112" s="97" t="s">
        <v>1650</v>
      </c>
      <c r="E112" s="88"/>
      <c r="F112" s="88"/>
      <c r="G112" s="88"/>
      <c r="H112" s="98">
        <f>ROUND(H111,2)</f>
        <v>28.27</v>
      </c>
      <c r="I112" s="2"/>
      <c r="J112" s="1">
        <v>10.199999999999999</v>
      </c>
    </row>
    <row r="113" spans="1:15" ht="15.75" x14ac:dyDescent="0.25">
      <c r="B113" s="34" t="s">
        <v>1701</v>
      </c>
      <c r="C113" s="2"/>
      <c r="D113" s="3" t="str">
        <f>'1.1'!$D$1</f>
        <v>ESPOL</v>
      </c>
      <c r="E113" s="2"/>
      <c r="F113" s="2"/>
      <c r="H113" s="2" t="s">
        <v>108</v>
      </c>
      <c r="I113" s="2"/>
      <c r="L113" s="40">
        <f>A117</f>
        <v>1</v>
      </c>
      <c r="M113" s="1" t="str">
        <f>C118</f>
        <v>Colector   PVC des ø 160 mm AA.SS.</v>
      </c>
      <c r="N113" s="2" t="str">
        <f>H117</f>
        <v>ml</v>
      </c>
      <c r="O113" s="2">
        <f>H168</f>
        <v>24.3</v>
      </c>
    </row>
    <row r="114" spans="1:15" ht="15.75" x14ac:dyDescent="0.25">
      <c r="B114" s="34" t="s">
        <v>1700</v>
      </c>
      <c r="C114" s="3">
        <f>'1.1'!$C$2</f>
        <v>0</v>
      </c>
      <c r="D114" s="2"/>
      <c r="E114" s="2"/>
      <c r="F114" s="2"/>
      <c r="G114" s="41" t="s">
        <v>1699</v>
      </c>
      <c r="H114" s="42"/>
      <c r="I114" s="2" t="s">
        <v>1698</v>
      </c>
    </row>
    <row r="115" spans="1:15" ht="15.75" x14ac:dyDescent="0.25">
      <c r="B115" s="34"/>
      <c r="C115" s="3">
        <f>'1.1'!$C$3</f>
        <v>0</v>
      </c>
      <c r="D115" s="2"/>
      <c r="E115" s="2"/>
      <c r="F115" s="2"/>
      <c r="G115" s="2"/>
      <c r="H115" s="2"/>
      <c r="I115" s="2"/>
    </row>
    <row r="116" spans="1:15" ht="15.75" x14ac:dyDescent="0.25">
      <c r="B116" s="34" t="s">
        <v>1697</v>
      </c>
      <c r="C116" s="3"/>
      <c r="D116" s="2"/>
      <c r="E116" s="2"/>
      <c r="F116" s="2"/>
      <c r="G116" s="2"/>
      <c r="H116" s="2"/>
      <c r="I116" s="2"/>
    </row>
    <row r="117" spans="1:15" x14ac:dyDescent="0.25">
      <c r="A117" s="104">
        <v>1</v>
      </c>
      <c r="B117" s="2" t="s">
        <v>1586</v>
      </c>
      <c r="C117" s="115" t="s">
        <v>701</v>
      </c>
      <c r="D117" s="2"/>
      <c r="G117" s="2" t="s">
        <v>1696</v>
      </c>
      <c r="H117" s="3" t="s">
        <v>961</v>
      </c>
      <c r="I117" s="2"/>
    </row>
    <row r="118" spans="1:15" x14ac:dyDescent="0.25">
      <c r="B118" s="1" t="s">
        <v>1585</v>
      </c>
      <c r="C118" s="36" t="s">
        <v>81</v>
      </c>
      <c r="D118" s="2"/>
      <c r="E118" s="2"/>
      <c r="F118" s="2"/>
      <c r="G118" s="2"/>
      <c r="H118" s="2"/>
      <c r="I118" s="2"/>
    </row>
    <row r="119" spans="1:15" ht="15.75" thickBot="1" x14ac:dyDescent="0.3">
      <c r="D119" s="2"/>
      <c r="E119" s="2"/>
      <c r="F119" s="2"/>
      <c r="G119" s="2"/>
      <c r="H119" s="2"/>
      <c r="I119" s="2"/>
    </row>
    <row r="120" spans="1:15" ht="15.75" thickBot="1" x14ac:dyDescent="0.3">
      <c r="B120" s="43" t="s">
        <v>1695</v>
      </c>
      <c r="C120" s="44"/>
      <c r="D120" s="44"/>
      <c r="E120" s="44"/>
      <c r="F120" s="44"/>
      <c r="G120" s="44"/>
      <c r="H120" s="45"/>
      <c r="I120" s="2"/>
    </row>
    <row r="121" spans="1:15" ht="25.5" x14ac:dyDescent="0.25">
      <c r="B121" s="46" t="s">
        <v>1409</v>
      </c>
      <c r="C121" s="47"/>
      <c r="D121" s="48" t="s">
        <v>1690</v>
      </c>
      <c r="E121" s="48" t="s">
        <v>1694</v>
      </c>
      <c r="F121" s="48" t="s">
        <v>1693</v>
      </c>
      <c r="G121" s="49" t="s">
        <v>1687</v>
      </c>
      <c r="H121" s="50" t="s">
        <v>1686</v>
      </c>
      <c r="I121" s="2"/>
    </row>
    <row r="122" spans="1:15" x14ac:dyDescent="0.25">
      <c r="A122" s="103">
        <v>19016</v>
      </c>
      <c r="B122" s="51" t="str">
        <f>IF($A122=0,"",VLOOKUP($A122,'BASE EQUIPO'!$A:$D,2))</f>
        <v>HERRAMIENTA MENOR</v>
      </c>
      <c r="C122" s="52"/>
      <c r="D122" s="53">
        <v>1</v>
      </c>
      <c r="E122" s="53">
        <f>IF($A122=0,"",VLOOKUP($A122,'BASE EQUIPO'!$A:$D,4)*H138)</f>
        <v>0.51900000000000002</v>
      </c>
      <c r="F122" s="53">
        <f t="shared" ref="F122:F127" si="10">IF($A122=0,"",ROUND(D122*E122,2))</f>
        <v>0.52</v>
      </c>
      <c r="G122" s="105">
        <v>1</v>
      </c>
      <c r="H122" s="54">
        <f t="shared" ref="H122:H127" si="11">IF($A122=0,"",ROUND(G122*F122,2))</f>
        <v>0.52</v>
      </c>
      <c r="I122" s="2"/>
    </row>
    <row r="123" spans="1:15" x14ac:dyDescent="0.25">
      <c r="B123" s="38" t="str">
        <f>IF($A123=0,"",VLOOKUP($A123,'BASE EQUIPO'!$A:$D,2))</f>
        <v/>
      </c>
      <c r="C123" s="2"/>
      <c r="D123" s="55"/>
      <c r="E123" s="55" t="str">
        <f>IF($A123=0,"",VLOOKUP($A123,'BASE EQUIPO'!$A:$D,4))</f>
        <v/>
      </c>
      <c r="F123" s="55" t="str">
        <f t="shared" si="10"/>
        <v/>
      </c>
      <c r="G123" s="106"/>
      <c r="H123" s="56" t="str">
        <f t="shared" si="11"/>
        <v/>
      </c>
      <c r="I123" s="2"/>
    </row>
    <row r="124" spans="1:15" x14ac:dyDescent="0.25">
      <c r="B124" s="38" t="str">
        <f>IF($A124=0,"",VLOOKUP($A124,'BASE EQUIPO'!$A:$D,2))</f>
        <v/>
      </c>
      <c r="C124" s="2"/>
      <c r="D124" s="55"/>
      <c r="E124" s="55" t="str">
        <f>IF($A124=0,"",VLOOKUP($A124,'BASE EQUIPO'!$A:$D,4))</f>
        <v/>
      </c>
      <c r="F124" s="55" t="str">
        <f t="shared" si="10"/>
        <v/>
      </c>
      <c r="G124" s="106"/>
      <c r="H124" s="56" t="str">
        <f t="shared" si="11"/>
        <v/>
      </c>
      <c r="I124" s="2"/>
    </row>
    <row r="125" spans="1:15" x14ac:dyDescent="0.25">
      <c r="B125" s="38" t="str">
        <f>IF($A125=0,"",VLOOKUP($A125,'BASE EQUIPO'!$A:$D,2))</f>
        <v/>
      </c>
      <c r="C125" s="2"/>
      <c r="D125" s="55"/>
      <c r="E125" s="55" t="str">
        <f>IF($A125=0,"",VLOOKUP($A125,'BASE EQUIPO'!$A:$D,4))</f>
        <v/>
      </c>
      <c r="F125" s="55" t="str">
        <f t="shared" si="10"/>
        <v/>
      </c>
      <c r="G125" s="106"/>
      <c r="H125" s="56" t="str">
        <f t="shared" si="11"/>
        <v/>
      </c>
      <c r="I125" s="2"/>
    </row>
    <row r="126" spans="1:15" x14ac:dyDescent="0.25">
      <c r="B126" s="38" t="str">
        <f>IF($A126=0,"",VLOOKUP($A126,'BASE EQUIPO'!$A:$D,2))</f>
        <v/>
      </c>
      <c r="C126" s="2"/>
      <c r="D126" s="55"/>
      <c r="E126" s="55" t="str">
        <f>IF($A126=0,"",VLOOKUP($A126,'BASE EQUIPO'!$A:$D,4))</f>
        <v/>
      </c>
      <c r="F126" s="55" t="str">
        <f t="shared" si="10"/>
        <v/>
      </c>
      <c r="G126" s="106"/>
      <c r="H126" s="56" t="str">
        <f t="shared" si="11"/>
        <v/>
      </c>
      <c r="I126" s="2"/>
    </row>
    <row r="127" spans="1:15" x14ac:dyDescent="0.25">
      <c r="B127" s="57" t="str">
        <f>IF($A127=0,"",VLOOKUP($A127,'BASE EQUIPO'!$A:$D,2))</f>
        <v/>
      </c>
      <c r="C127" s="58"/>
      <c r="D127" s="59"/>
      <c r="E127" s="59" t="str">
        <f>IF($A127=0,"",VLOOKUP($A127,'BASE EQUIPO'!$A:$D,4))</f>
        <v/>
      </c>
      <c r="F127" s="59" t="str">
        <f t="shared" si="10"/>
        <v/>
      </c>
      <c r="G127" s="107"/>
      <c r="H127" s="60" t="str">
        <f t="shared" si="11"/>
        <v/>
      </c>
      <c r="I127" s="2"/>
    </row>
    <row r="128" spans="1:15" x14ac:dyDescent="0.25">
      <c r="B128" s="57" t="s">
        <v>1692</v>
      </c>
      <c r="C128" s="58"/>
      <c r="D128" s="61"/>
      <c r="E128" s="61"/>
      <c r="F128" s="61"/>
      <c r="G128" s="62"/>
      <c r="H128" s="60">
        <f>ROUND(SUM(H121:H127),2)</f>
        <v>0.52</v>
      </c>
      <c r="I128" s="2"/>
    </row>
    <row r="129" spans="1:16" x14ac:dyDescent="0.25">
      <c r="B129" s="38" t="s">
        <v>1503</v>
      </c>
      <c r="C129" s="2"/>
      <c r="D129" s="3"/>
      <c r="E129" s="3"/>
      <c r="F129" s="3"/>
      <c r="G129" s="63"/>
      <c r="H129" s="56"/>
      <c r="I129" s="2"/>
    </row>
    <row r="130" spans="1:16" ht="25.5" x14ac:dyDescent="0.25">
      <c r="B130" s="64" t="s">
        <v>1691</v>
      </c>
      <c r="C130" s="65"/>
      <c r="D130" s="66" t="s">
        <v>1690</v>
      </c>
      <c r="E130" s="66" t="s">
        <v>1689</v>
      </c>
      <c r="F130" s="66" t="s">
        <v>1688</v>
      </c>
      <c r="G130" s="67" t="s">
        <v>1687</v>
      </c>
      <c r="H130" s="68" t="s">
        <v>1686</v>
      </c>
      <c r="I130" s="2"/>
    </row>
    <row r="131" spans="1:16" x14ac:dyDescent="0.25">
      <c r="B131" s="69" t="str">
        <f>IF($A131=0,"",VLOOKUP($A131,'BASE M-OBRA'!$A:$D,2))</f>
        <v/>
      </c>
      <c r="C131" s="2"/>
      <c r="D131" s="108"/>
      <c r="E131" s="70" t="str">
        <f>IF($A131=0,"",VLOOKUP($A131,'BASE M-OBRA'!$A:$D,4))</f>
        <v/>
      </c>
      <c r="F131" s="55" t="str">
        <f t="shared" ref="F131:F137" si="12">IF($A131=0,"",ROUND(D131*E131,2))</f>
        <v/>
      </c>
      <c r="G131" s="106" t="str">
        <f>IF($A131=0,"",ROUND(H131/F131,2))</f>
        <v/>
      </c>
      <c r="H131" s="56" t="str">
        <f>IF($A131=0,"",ROUND(SUM(H132:H137)*'BASE M-OBRA'!$D$23,2))</f>
        <v/>
      </c>
      <c r="I131" s="2"/>
    </row>
    <row r="132" spans="1:16" x14ac:dyDescent="0.25">
      <c r="A132" s="103">
        <v>20011</v>
      </c>
      <c r="B132" s="69" t="str">
        <f>IF($A132=0,"",VLOOKUP($A132,'BASE M-OBRA'!$A:$D,2))</f>
        <v>AYUDANTE ESPECIALISTA</v>
      </c>
      <c r="C132" s="2"/>
      <c r="D132" s="108">
        <v>1</v>
      </c>
      <c r="E132" s="70">
        <f>IF($A132=0,"",VLOOKUP($A132,'BASE M-OBRA'!$A:$D,4))</f>
        <v>2.79</v>
      </c>
      <c r="F132" s="55">
        <f t="shared" si="12"/>
        <v>2.79</v>
      </c>
      <c r="G132" s="106">
        <v>1.85</v>
      </c>
      <c r="H132" s="56">
        <f t="shared" ref="H132:H137" si="13">IF($A132=0,"",ROUND(G132*F132,2))</f>
        <v>5.16</v>
      </c>
      <c r="I132" s="2"/>
    </row>
    <row r="133" spans="1:16" x14ac:dyDescent="0.25">
      <c r="A133" s="103">
        <v>20016</v>
      </c>
      <c r="B133" s="69" t="str">
        <f>IF($A133=0,"",VLOOKUP($A133,'BASE M-OBRA'!$A:$D,2))</f>
        <v>GAFITERO</v>
      </c>
      <c r="C133" s="2"/>
      <c r="D133" s="108">
        <v>1</v>
      </c>
      <c r="E133" s="70">
        <f>IF($A133=0,"",VLOOKUP($A133,'BASE M-OBRA'!$A:$D,4))</f>
        <v>2.82</v>
      </c>
      <c r="F133" s="55">
        <f t="shared" si="12"/>
        <v>2.82</v>
      </c>
      <c r="G133" s="106">
        <f>+G132</f>
        <v>1.85</v>
      </c>
      <c r="H133" s="56">
        <f t="shared" si="13"/>
        <v>5.22</v>
      </c>
      <c r="I133" s="2"/>
    </row>
    <row r="134" spans="1:16" x14ac:dyDescent="0.25">
      <c r="B134" s="71" t="str">
        <f>IF($A134=0,"",VLOOKUP($A134,'BASE M-OBRA'!$A:$D,2))</f>
        <v/>
      </c>
      <c r="C134" s="2"/>
      <c r="D134" s="108"/>
      <c r="E134" s="70" t="str">
        <f>IF($A134=0,"",VLOOKUP($A134,'BASE M-OBRA'!$A:$D,4))</f>
        <v/>
      </c>
      <c r="F134" s="55" t="str">
        <f t="shared" si="12"/>
        <v/>
      </c>
      <c r="G134" s="106"/>
      <c r="H134" s="56" t="str">
        <f t="shared" si="13"/>
        <v/>
      </c>
      <c r="I134" s="2"/>
    </row>
    <row r="135" spans="1:16" x14ac:dyDescent="0.25">
      <c r="B135" s="72" t="str">
        <f>IF($A135=0,"",VLOOKUP($A135,'BASE M-OBRA'!$A:$D,2))</f>
        <v/>
      </c>
      <c r="C135" s="2"/>
      <c r="D135" s="108"/>
      <c r="E135" s="70" t="str">
        <f>IF($A135=0,"",VLOOKUP($A135,'BASE M-OBRA'!$A:$D,4))</f>
        <v/>
      </c>
      <c r="F135" s="55" t="str">
        <f t="shared" si="12"/>
        <v/>
      </c>
      <c r="G135" s="106"/>
      <c r="H135" s="56" t="str">
        <f t="shared" si="13"/>
        <v/>
      </c>
      <c r="I135" s="2"/>
    </row>
    <row r="136" spans="1:16" x14ac:dyDescent="0.25">
      <c r="B136" s="38" t="str">
        <f>IF($A136=0,"",VLOOKUP($A136,'BASE M-OBRA'!$A:$D,2))</f>
        <v/>
      </c>
      <c r="C136" s="2"/>
      <c r="D136" s="55"/>
      <c r="E136" s="55" t="str">
        <f>IF($A136=0,"",VLOOKUP($A136,'BASE M-OBRA'!$A:$D,4))</f>
        <v/>
      </c>
      <c r="F136" s="55" t="str">
        <f t="shared" si="12"/>
        <v/>
      </c>
      <c r="G136" s="106"/>
      <c r="H136" s="56" t="str">
        <f t="shared" si="13"/>
        <v/>
      </c>
      <c r="I136" s="2"/>
    </row>
    <row r="137" spans="1:16" x14ac:dyDescent="0.25">
      <c r="B137" s="57" t="str">
        <f>IF($A137=0,"",VLOOKUP($A137,'BASE M-OBRA'!$A:$D,2))</f>
        <v/>
      </c>
      <c r="C137" s="58"/>
      <c r="D137" s="59"/>
      <c r="E137" s="59" t="str">
        <f>IF($A137=0,"",VLOOKUP($A137,'BASE M-OBRA'!$A:$D,4))</f>
        <v/>
      </c>
      <c r="F137" s="59" t="str">
        <f t="shared" si="12"/>
        <v/>
      </c>
      <c r="G137" s="107"/>
      <c r="H137" s="60" t="str">
        <f t="shared" si="13"/>
        <v/>
      </c>
      <c r="I137" s="2"/>
    </row>
    <row r="138" spans="1:16" x14ac:dyDescent="0.25">
      <c r="B138" s="73" t="s">
        <v>1685</v>
      </c>
      <c r="C138" s="65"/>
      <c r="D138" s="74"/>
      <c r="E138" s="74"/>
      <c r="F138" s="74"/>
      <c r="G138" s="74"/>
      <c r="H138" s="75">
        <f>ROUND(SUM(H130:H137),2)</f>
        <v>10.38</v>
      </c>
      <c r="I138" s="2"/>
    </row>
    <row r="139" spans="1:16" x14ac:dyDescent="0.25">
      <c r="B139" s="38" t="s">
        <v>1684</v>
      </c>
      <c r="C139" s="2"/>
      <c r="D139" s="3"/>
      <c r="E139" s="3"/>
      <c r="F139" s="3"/>
      <c r="G139" s="3"/>
      <c r="H139" s="56"/>
      <c r="I139" s="2"/>
    </row>
    <row r="140" spans="1:16" ht="25.5" x14ac:dyDescent="0.25">
      <c r="B140" s="64" t="s">
        <v>1409</v>
      </c>
      <c r="C140" s="65"/>
      <c r="D140" s="76"/>
      <c r="E140" s="66" t="s">
        <v>1408</v>
      </c>
      <c r="F140" s="66" t="s">
        <v>1679</v>
      </c>
      <c r="G140" s="66" t="s">
        <v>1683</v>
      </c>
      <c r="H140" s="68" t="s">
        <v>1675</v>
      </c>
      <c r="I140" s="2"/>
    </row>
    <row r="141" spans="1:16" x14ac:dyDescent="0.25">
      <c r="A141" s="103">
        <v>1</v>
      </c>
      <c r="B141" s="109" t="s">
        <v>80</v>
      </c>
      <c r="C141" s="2"/>
      <c r="D141" s="77"/>
      <c r="E141" s="78" t="s">
        <v>25</v>
      </c>
      <c r="F141" s="55">
        <v>1.05</v>
      </c>
      <c r="G141" s="55">
        <f>32.36/3</f>
        <v>10.786666666666667</v>
      </c>
      <c r="H141" s="56">
        <f t="shared" ref="H141:H155" si="14">IF($A141=0,"",ROUND(F141*G141,2))</f>
        <v>11.33</v>
      </c>
      <c r="I141" s="2"/>
      <c r="J141" s="1">
        <f>31.36/3</f>
        <v>10.453333333333333</v>
      </c>
      <c r="K141" s="1">
        <f>47.56*1.12/6</f>
        <v>8.8778666666666677</v>
      </c>
      <c r="L141" s="2"/>
      <c r="M141" s="2"/>
      <c r="N141" s="39"/>
      <c r="O141" s="2"/>
      <c r="P141" s="2"/>
    </row>
    <row r="142" spans="1:16" s="4" customFormat="1" x14ac:dyDescent="0.25">
      <c r="A142" s="103">
        <v>5004</v>
      </c>
      <c r="B142" s="38" t="str">
        <f>IF($A142=0,"",VLOOKUP($A142,'BASE MATERIAL'!$A:$D,2))</f>
        <v>ARENA</v>
      </c>
      <c r="C142" s="2"/>
      <c r="D142" s="77"/>
      <c r="E142" s="78" t="str">
        <f>IF($A142=0,"",VLOOKUP($A142,'BASE MATERIAL'!$A:$D,3))</f>
        <v>M3</v>
      </c>
      <c r="F142" s="55">
        <f>ROUND(F141*0.032*3,2)</f>
        <v>0.1</v>
      </c>
      <c r="G142" s="55">
        <f>IF($A142=0,"",VLOOKUP($A142,'BASE MATERIAL'!$A:$D,4))</f>
        <v>12.276249999999999</v>
      </c>
      <c r="H142" s="56">
        <f t="shared" si="14"/>
        <v>1.23</v>
      </c>
      <c r="I142" s="5"/>
      <c r="K142" s="4">
        <v>28.4</v>
      </c>
      <c r="L142" s="5"/>
      <c r="M142" s="5"/>
      <c r="N142" s="160"/>
      <c r="O142" s="5"/>
      <c r="P142" s="5"/>
    </row>
    <row r="143" spans="1:16" x14ac:dyDescent="0.25">
      <c r="A143" s="103">
        <v>1</v>
      </c>
      <c r="B143" s="38" t="s">
        <v>4</v>
      </c>
      <c r="C143" s="2"/>
      <c r="D143" s="77"/>
      <c r="E143" s="78" t="s">
        <v>2</v>
      </c>
      <c r="F143" s="55">
        <v>0.03</v>
      </c>
      <c r="G143" s="55">
        <v>12.63</v>
      </c>
      <c r="H143" s="56">
        <f t="shared" si="14"/>
        <v>0.38</v>
      </c>
      <c r="I143" s="2"/>
      <c r="L143" s="2"/>
      <c r="M143" s="2"/>
      <c r="N143" s="39"/>
      <c r="O143" s="2"/>
      <c r="P143" s="2"/>
    </row>
    <row r="144" spans="1:16" x14ac:dyDescent="0.25">
      <c r="A144" s="103">
        <v>1</v>
      </c>
      <c r="B144" s="38" t="s">
        <v>3</v>
      </c>
      <c r="C144" s="2"/>
      <c r="D144" s="77"/>
      <c r="E144" s="78" t="s">
        <v>2</v>
      </c>
      <c r="F144" s="55">
        <v>0.01</v>
      </c>
      <c r="G144" s="55">
        <v>6.89</v>
      </c>
      <c r="H144" s="56">
        <f t="shared" si="14"/>
        <v>7.0000000000000007E-2</v>
      </c>
      <c r="I144" s="2"/>
      <c r="L144" s="2"/>
      <c r="M144" s="2"/>
      <c r="N144" s="39"/>
      <c r="O144" s="2"/>
      <c r="P144" s="2"/>
    </row>
    <row r="145" spans="1:16" x14ac:dyDescent="0.25">
      <c r="B145" s="38"/>
      <c r="C145" s="2"/>
      <c r="D145" s="77"/>
      <c r="E145" s="78"/>
      <c r="F145" s="55"/>
      <c r="G145" s="55"/>
      <c r="H145" s="56" t="str">
        <f t="shared" si="14"/>
        <v/>
      </c>
      <c r="I145" s="2"/>
      <c r="L145" s="2"/>
      <c r="M145" s="2"/>
      <c r="N145" s="39"/>
      <c r="O145" s="2"/>
      <c r="P145" s="2"/>
    </row>
    <row r="146" spans="1:16" x14ac:dyDescent="0.25">
      <c r="B146" s="38"/>
      <c r="C146" s="2"/>
      <c r="D146" s="77"/>
      <c r="E146" s="78"/>
      <c r="F146" s="55"/>
      <c r="G146" s="55"/>
      <c r="H146" s="56" t="str">
        <f t="shared" si="14"/>
        <v/>
      </c>
      <c r="I146" s="2"/>
      <c r="L146" s="2"/>
      <c r="M146" s="2"/>
      <c r="N146" s="39"/>
      <c r="O146" s="2"/>
      <c r="P146" s="2"/>
    </row>
    <row r="147" spans="1:16" x14ac:dyDescent="0.25">
      <c r="B147" s="38"/>
      <c r="C147" s="2"/>
      <c r="D147" s="77"/>
      <c r="E147" s="78"/>
      <c r="F147" s="55"/>
      <c r="G147" s="55"/>
      <c r="H147" s="56" t="str">
        <f t="shared" si="14"/>
        <v/>
      </c>
      <c r="I147" s="2"/>
      <c r="L147" s="2"/>
      <c r="M147" s="2"/>
      <c r="N147" s="39"/>
      <c r="O147" s="2"/>
      <c r="P147" s="2"/>
    </row>
    <row r="148" spans="1:16" x14ac:dyDescent="0.25">
      <c r="B148" s="38"/>
      <c r="C148" s="2"/>
      <c r="D148" s="77"/>
      <c r="E148" s="78"/>
      <c r="F148" s="55"/>
      <c r="G148" s="55"/>
      <c r="H148" s="56" t="str">
        <f t="shared" si="14"/>
        <v/>
      </c>
      <c r="I148" s="2"/>
      <c r="L148" s="2"/>
      <c r="M148" s="2"/>
      <c r="N148" s="39"/>
      <c r="O148" s="2"/>
      <c r="P148" s="2"/>
    </row>
    <row r="149" spans="1:16" x14ac:dyDescent="0.25">
      <c r="B149" s="38"/>
      <c r="C149" s="2"/>
      <c r="D149" s="77"/>
      <c r="E149" s="78"/>
      <c r="F149" s="55"/>
      <c r="G149" s="55"/>
      <c r="H149" s="56" t="str">
        <f t="shared" si="14"/>
        <v/>
      </c>
      <c r="I149" s="2"/>
    </row>
    <row r="150" spans="1:16" x14ac:dyDescent="0.25">
      <c r="B150" s="38" t="str">
        <f>IF($A150=0,"",VLOOKUP($A150,'BASE MATERIAL'!$A:$D,2))</f>
        <v/>
      </c>
      <c r="C150" s="2"/>
      <c r="D150" s="77"/>
      <c r="E150" s="78" t="str">
        <f>IF($A150=0,"",VLOOKUP($A150,'BASE MATERIAL'!$A:$D,3))</f>
        <v/>
      </c>
      <c r="F150" s="55"/>
      <c r="G150" s="55" t="str">
        <f>IF($A150=0,"",VLOOKUP($A150,'BASE MATERIAL'!$A:$D,4))</f>
        <v/>
      </c>
      <c r="H150" s="56" t="str">
        <f t="shared" si="14"/>
        <v/>
      </c>
      <c r="I150" s="2"/>
      <c r="L150" s="2"/>
      <c r="M150" s="2"/>
      <c r="N150" s="39"/>
      <c r="O150" s="2"/>
      <c r="P150" s="2"/>
    </row>
    <row r="151" spans="1:16" x14ac:dyDescent="0.25">
      <c r="B151" s="38" t="str">
        <f>IF($A151=0,"",VLOOKUP($A151,'BASE MATERIAL'!$A:$D,2))</f>
        <v/>
      </c>
      <c r="C151" s="2"/>
      <c r="D151" s="77"/>
      <c r="E151" s="78" t="str">
        <f>IF($A151=0,"",VLOOKUP($A151,'BASE MATERIAL'!$A:$D,3))</f>
        <v/>
      </c>
      <c r="F151" s="55"/>
      <c r="G151" s="55" t="str">
        <f>IF($A151=0,"",VLOOKUP($A151,'BASE MATERIAL'!$A:$D,4))</f>
        <v/>
      </c>
      <c r="H151" s="56" t="str">
        <f t="shared" si="14"/>
        <v/>
      </c>
      <c r="I151" s="2"/>
      <c r="L151" s="2"/>
      <c r="M151" s="2"/>
      <c r="N151" s="39"/>
      <c r="O151" s="2"/>
      <c r="P151" s="2"/>
    </row>
    <row r="152" spans="1:16" x14ac:dyDescent="0.25">
      <c r="B152" s="38" t="str">
        <f>IF($A152=0,"",VLOOKUP($A152,'BASE MATERIAL'!$A:$D,2))</f>
        <v/>
      </c>
      <c r="C152" s="2"/>
      <c r="D152" s="77"/>
      <c r="E152" s="78" t="str">
        <f>IF($A152=0,"",VLOOKUP($A152,'BASE MATERIAL'!$A:$D,3))</f>
        <v/>
      </c>
      <c r="F152" s="55"/>
      <c r="G152" s="55" t="str">
        <f>IF($A152=0,"",VLOOKUP($A152,'BASE MATERIAL'!$A:$D,4))</f>
        <v/>
      </c>
      <c r="H152" s="56" t="str">
        <f t="shared" si="14"/>
        <v/>
      </c>
      <c r="I152" s="2"/>
    </row>
    <row r="153" spans="1:16" x14ac:dyDescent="0.25">
      <c r="B153" s="38" t="str">
        <f>IF($A153=0,"",VLOOKUP($A153,'BASE MATERIAL'!$A:$D,2))</f>
        <v/>
      </c>
      <c r="C153" s="2"/>
      <c r="D153" s="77"/>
      <c r="E153" s="78" t="str">
        <f>IF($A153=0,"",VLOOKUP($A153,'BASE MATERIAL'!$A:$D,3))</f>
        <v/>
      </c>
      <c r="F153" s="55"/>
      <c r="G153" s="55" t="str">
        <f>IF($A153=0,"",VLOOKUP($A153,'BASE MATERIAL'!$A:$D,4))</f>
        <v/>
      </c>
      <c r="H153" s="56" t="str">
        <f t="shared" si="14"/>
        <v/>
      </c>
      <c r="I153" s="2"/>
    </row>
    <row r="154" spans="1:16" x14ac:dyDescent="0.25">
      <c r="B154" s="38" t="str">
        <f>IF($A154=0,"",VLOOKUP($A154,'BASE MATERIAL'!$A:$D,2))</f>
        <v/>
      </c>
      <c r="C154" s="2"/>
      <c r="D154" s="77"/>
      <c r="E154" s="78" t="str">
        <f>IF($A154=0,"",VLOOKUP($A154,'BASE MATERIAL'!$A:$D,3))</f>
        <v/>
      </c>
      <c r="F154" s="55"/>
      <c r="G154" s="55" t="str">
        <f>IF($A154=0,"",VLOOKUP($A154,'BASE MATERIAL'!$A:$D,4))</f>
        <v/>
      </c>
      <c r="H154" s="56" t="str">
        <f t="shared" si="14"/>
        <v/>
      </c>
      <c r="I154" s="2"/>
    </row>
    <row r="155" spans="1:16" x14ac:dyDescent="0.25">
      <c r="B155" s="38" t="str">
        <f>IF($A155=0,"",VLOOKUP($A155,'BASE MATERIAL'!$A:$D,2))</f>
        <v/>
      </c>
      <c r="C155" s="2"/>
      <c r="D155" s="77"/>
      <c r="E155" s="78" t="str">
        <f>IF($A155=0,"",VLOOKUP($A155,'BASE MATERIAL'!$A:$D,3))</f>
        <v/>
      </c>
      <c r="F155" s="55"/>
      <c r="G155" s="55" t="str">
        <f>IF($A155=0,"",VLOOKUP($A155,'BASE MATERIAL'!$A:$D,4))</f>
        <v/>
      </c>
      <c r="H155" s="56" t="str">
        <f t="shared" si="14"/>
        <v/>
      </c>
      <c r="I155" s="2"/>
    </row>
    <row r="156" spans="1:16" x14ac:dyDescent="0.25">
      <c r="B156" s="38" t="str">
        <f>IF($A156=0,"",VLOOKUP($A156,'BASE MATERIAL'!$A:$D,2))</f>
        <v/>
      </c>
      <c r="C156" s="2"/>
      <c r="D156" s="81" t="s">
        <v>1682</v>
      </c>
      <c r="E156" s="55" t="str">
        <f>IF($A156=0,"",VLOOKUP($A156,'BASE MATERIAL'!$A:$D,3))</f>
        <v/>
      </c>
      <c r="F156" s="55" t="s">
        <v>1682</v>
      </c>
      <c r="G156" s="55" t="str">
        <f>IF($A156=0,"",VLOOKUP($A156,'BASE MATERIAL'!$A:$D,4))</f>
        <v/>
      </c>
      <c r="H156" s="56" t="str">
        <f>IF($A156=0,"",ROUND(E156*F156,2))</f>
        <v/>
      </c>
      <c r="I156" s="2"/>
    </row>
    <row r="157" spans="1:16" x14ac:dyDescent="0.25">
      <c r="B157" s="73" t="s">
        <v>1681</v>
      </c>
      <c r="C157" s="65"/>
      <c r="D157" s="74"/>
      <c r="E157" s="74"/>
      <c r="F157" s="74"/>
      <c r="G157" s="74"/>
      <c r="H157" s="75">
        <f>ROUND(SUM(H140:H156),2)</f>
        <v>13.01</v>
      </c>
      <c r="I157" s="2"/>
    </row>
    <row r="158" spans="1:16" x14ac:dyDescent="0.25">
      <c r="B158" s="38" t="s">
        <v>1680</v>
      </c>
      <c r="C158" s="2"/>
      <c r="D158" s="3"/>
      <c r="E158" s="3"/>
      <c r="F158" s="3"/>
      <c r="G158" s="3"/>
      <c r="H158" s="56"/>
      <c r="I158" s="2"/>
    </row>
    <row r="159" spans="1:16" ht="25.5" x14ac:dyDescent="0.25">
      <c r="B159" s="64" t="s">
        <v>1409</v>
      </c>
      <c r="C159" s="65"/>
      <c r="D159" s="76"/>
      <c r="E159" s="66" t="s">
        <v>1408</v>
      </c>
      <c r="F159" s="66" t="s">
        <v>1679</v>
      </c>
      <c r="G159" s="66" t="s">
        <v>1676</v>
      </c>
      <c r="H159" s="68" t="s">
        <v>1675</v>
      </c>
      <c r="I159" s="2"/>
    </row>
    <row r="160" spans="1:16" x14ac:dyDescent="0.25">
      <c r="A160" s="103">
        <v>19019</v>
      </c>
      <c r="B160" s="51" t="str">
        <f>IF($A160=0,"",VLOOKUP($A160,'BASE EQUIPO'!$A:$D,2))</f>
        <v>TRANSPORTE DE MATERIAL</v>
      </c>
      <c r="C160" s="52"/>
      <c r="D160" s="82"/>
      <c r="E160" s="78" t="str">
        <f>IF($A160=0,"",VLOOKUP($A160,'BASE EQUIPO'!$A:$D,3))</f>
        <v>GLOBAL</v>
      </c>
      <c r="F160" s="55">
        <v>1</v>
      </c>
      <c r="G160" s="83">
        <f>IF($A160=0,"",VLOOKUP($A160,'BASE EQUIPO'!$A:$D,4)*H157)</f>
        <v>0.39029999999999998</v>
      </c>
      <c r="H160" s="56">
        <f>IF($A160=0,"",ROUND(F160*G160,2))</f>
        <v>0.39</v>
      </c>
      <c r="I160" s="2"/>
    </row>
    <row r="161" spans="1:15" x14ac:dyDescent="0.25">
      <c r="B161" s="38" t="str">
        <f>IF($A161=0,"",VLOOKUP($A161,'BASE EQUIPO'!$A:$D,2))</f>
        <v/>
      </c>
      <c r="C161" s="2"/>
      <c r="D161" s="84"/>
      <c r="E161" s="78" t="str">
        <f>IF($A161=0,"",VLOOKUP($A161,'BASE EQUIPO'!$A:$D,3))</f>
        <v/>
      </c>
      <c r="F161" s="55"/>
      <c r="G161" s="55" t="str">
        <f>IF($A161=0,"",VLOOKUP($A161,'BASE EQUIPO'!$A:$D,4)*H158)</f>
        <v/>
      </c>
      <c r="H161" s="56" t="str">
        <f>IF($A161=0,"",ROUND(F161*G161,2))</f>
        <v/>
      </c>
      <c r="I161" s="2"/>
    </row>
    <row r="162" spans="1:15" x14ac:dyDescent="0.25">
      <c r="B162" s="57" t="str">
        <f>IF($A162=0,"",VLOOKUP($A162,'BASE EQUIPO'!$A:$D,2))</f>
        <v/>
      </c>
      <c r="C162" s="58"/>
      <c r="D162" s="85"/>
      <c r="E162" s="86" t="str">
        <f>IF($A162=0,"",VLOOKUP($A162,'BASE EQUIPO'!$A:$D,3))</f>
        <v/>
      </c>
      <c r="F162" s="59"/>
      <c r="G162" s="59" t="str">
        <f>IF($A162=0,"",VLOOKUP($A162,'BASE EQUIPO'!$A:$D,4)*H159)</f>
        <v/>
      </c>
      <c r="H162" s="60" t="str">
        <f>IF($A162=0,"",ROUND(F162*G162,2))</f>
        <v/>
      </c>
      <c r="I162" s="2"/>
    </row>
    <row r="163" spans="1:15" ht="15.75" thickBot="1" x14ac:dyDescent="0.3">
      <c r="B163" s="87" t="s">
        <v>1674</v>
      </c>
      <c r="C163" s="88"/>
      <c r="D163" s="89"/>
      <c r="E163" s="89"/>
      <c r="F163" s="89"/>
      <c r="G163" s="89"/>
      <c r="H163" s="90">
        <f>ROUND(SUM(H159:H162),2)</f>
        <v>0.39</v>
      </c>
      <c r="I163" s="2"/>
    </row>
    <row r="164" spans="1:15" ht="15.75" x14ac:dyDescent="0.25">
      <c r="B164" s="2"/>
      <c r="C164" s="2"/>
      <c r="D164" s="91" t="s">
        <v>1673</v>
      </c>
      <c r="E164" s="47"/>
      <c r="F164" s="47"/>
      <c r="G164" s="47"/>
      <c r="H164" s="92">
        <f>ROUND(SUM(H163,H157,H138,H128),2)</f>
        <v>24.3</v>
      </c>
      <c r="I164" s="2"/>
    </row>
    <row r="165" spans="1:15" ht="15.75" x14ac:dyDescent="0.25">
      <c r="A165" s="103">
        <v>40002</v>
      </c>
      <c r="B165" s="2"/>
      <c r="C165" s="2"/>
      <c r="D165" s="93" t="s">
        <v>1672</v>
      </c>
      <c r="E165" s="65"/>
      <c r="F165" s="65"/>
      <c r="G165" s="94">
        <f>IF($A165=0,"",VLOOKUP($A165,'BASE MATERIAL'!$M:$P,4))</f>
        <v>0</v>
      </c>
      <c r="H165" s="95">
        <f>IF($A165=0,"",ROUND(G165*H164,2))</f>
        <v>0</v>
      </c>
      <c r="I165" s="2"/>
    </row>
    <row r="166" spans="1:15" ht="15.75" x14ac:dyDescent="0.25">
      <c r="A166" s="103">
        <v>40003</v>
      </c>
      <c r="B166" s="2"/>
      <c r="C166" s="2"/>
      <c r="D166" s="93" t="s">
        <v>1671</v>
      </c>
      <c r="E166" s="65"/>
      <c r="F166" s="65"/>
      <c r="G166" s="94">
        <f>IF($A166=0,"",VLOOKUP($A166,'BASE MATERIAL'!$M:$P,4))</f>
        <v>0</v>
      </c>
      <c r="H166" s="95">
        <f>IF($A166=0,"",ROUND(G166*H164,2))</f>
        <v>0</v>
      </c>
      <c r="I166" s="2"/>
    </row>
    <row r="167" spans="1:15" ht="15.75" x14ac:dyDescent="0.25">
      <c r="B167" s="2"/>
      <c r="C167" s="2"/>
      <c r="D167" s="93" t="s">
        <v>1670</v>
      </c>
      <c r="E167" s="65"/>
      <c r="F167" s="65"/>
      <c r="G167" s="65"/>
      <c r="H167" s="96">
        <f>ROUND(SUM(H164:H166),2)</f>
        <v>24.3</v>
      </c>
      <c r="I167" s="2"/>
    </row>
    <row r="168" spans="1:15" ht="16.5" thickBot="1" x14ac:dyDescent="0.3">
      <c r="B168" s="25"/>
      <c r="C168" s="2"/>
      <c r="D168" s="97" t="s">
        <v>1650</v>
      </c>
      <c r="E168" s="88"/>
      <c r="F168" s="88"/>
      <c r="G168" s="88"/>
      <c r="H168" s="98">
        <f>ROUND(H167,2)</f>
        <v>24.3</v>
      </c>
      <c r="I168" s="2"/>
      <c r="J168" s="1">
        <v>10.199999999999999</v>
      </c>
    </row>
    <row r="169" spans="1:15" ht="15.75" x14ac:dyDescent="0.25">
      <c r="B169" s="34" t="s">
        <v>1701</v>
      </c>
      <c r="C169" s="2"/>
      <c r="D169" s="3" t="str">
        <f>$D$57</f>
        <v>ESPOL</v>
      </c>
      <c r="E169" s="2"/>
      <c r="F169" s="2"/>
      <c r="H169" s="2" t="s">
        <v>108</v>
      </c>
      <c r="I169" s="2"/>
      <c r="L169" s="40">
        <f>A173</f>
        <v>13</v>
      </c>
      <c r="M169" s="1" t="str">
        <f>C174</f>
        <v>Colector   PVC des ø 110 mm AA.SS.</v>
      </c>
      <c r="N169" s="2" t="str">
        <f>H173</f>
        <v>ml</v>
      </c>
      <c r="O169" s="2">
        <f>H224</f>
        <v>15.81</v>
      </c>
    </row>
    <row r="170" spans="1:15" ht="15.75" x14ac:dyDescent="0.25">
      <c r="B170" s="34" t="s">
        <v>1700</v>
      </c>
      <c r="C170" s="3">
        <f>'1.1'!$C$2</f>
        <v>0</v>
      </c>
      <c r="D170" s="2"/>
      <c r="E170" s="2"/>
      <c r="F170" s="2"/>
      <c r="G170" s="41" t="s">
        <v>1699</v>
      </c>
      <c r="H170" s="42"/>
      <c r="I170" s="2" t="s">
        <v>1698</v>
      </c>
    </row>
    <row r="171" spans="1:15" ht="15.75" x14ac:dyDescent="0.25">
      <c r="B171" s="34"/>
      <c r="C171" s="3">
        <f>'1.1'!$C$3</f>
        <v>0</v>
      </c>
      <c r="D171" s="2"/>
      <c r="E171" s="2"/>
      <c r="F171" s="2"/>
      <c r="G171" s="2"/>
      <c r="H171" s="2"/>
      <c r="I171" s="2"/>
    </row>
    <row r="172" spans="1:15" ht="15.75" x14ac:dyDescent="0.25">
      <c r="B172" s="34" t="s">
        <v>1697</v>
      </c>
      <c r="C172" s="3"/>
      <c r="D172" s="2"/>
      <c r="E172" s="2"/>
      <c r="F172" s="2"/>
      <c r="G172" s="2"/>
      <c r="H172" s="2"/>
      <c r="I172" s="2"/>
    </row>
    <row r="173" spans="1:15" x14ac:dyDescent="0.25">
      <c r="A173" s="104">
        <v>13</v>
      </c>
      <c r="B173" s="2" t="s">
        <v>1586</v>
      </c>
      <c r="C173" s="101" t="s">
        <v>695</v>
      </c>
      <c r="D173" s="2"/>
      <c r="G173" s="2" t="s">
        <v>1696</v>
      </c>
      <c r="H173" s="3" t="s">
        <v>961</v>
      </c>
      <c r="I173" s="2"/>
    </row>
    <row r="174" spans="1:15" x14ac:dyDescent="0.25">
      <c r="B174" s="1" t="s">
        <v>1585</v>
      </c>
      <c r="C174" s="36" t="s">
        <v>36</v>
      </c>
      <c r="D174" s="2"/>
      <c r="E174" s="2"/>
      <c r="F174" s="2"/>
      <c r="G174" s="2"/>
      <c r="H174" s="2"/>
      <c r="I174" s="2"/>
    </row>
    <row r="175" spans="1:15" ht="15.75" thickBot="1" x14ac:dyDescent="0.3">
      <c r="D175" s="2"/>
      <c r="E175" s="2"/>
      <c r="F175" s="2"/>
      <c r="G175" s="2"/>
      <c r="H175" s="2"/>
      <c r="I175" s="2"/>
    </row>
    <row r="176" spans="1:15" ht="15.75" thickBot="1" x14ac:dyDescent="0.3">
      <c r="B176" s="43" t="s">
        <v>1695</v>
      </c>
      <c r="C176" s="44"/>
      <c r="D176" s="44"/>
      <c r="E176" s="44"/>
      <c r="F176" s="44"/>
      <c r="G176" s="44"/>
      <c r="H176" s="45"/>
      <c r="I176" s="2"/>
    </row>
    <row r="177" spans="1:9" ht="25.5" x14ac:dyDescent="0.25">
      <c r="B177" s="46" t="s">
        <v>1409</v>
      </c>
      <c r="C177" s="47"/>
      <c r="D177" s="48" t="s">
        <v>1690</v>
      </c>
      <c r="E177" s="48" t="s">
        <v>1694</v>
      </c>
      <c r="F177" s="48" t="s">
        <v>1693</v>
      </c>
      <c r="G177" s="49" t="s">
        <v>1687</v>
      </c>
      <c r="H177" s="50" t="s">
        <v>1686</v>
      </c>
      <c r="I177" s="2"/>
    </row>
    <row r="178" spans="1:9" x14ac:dyDescent="0.25">
      <c r="A178" s="103">
        <v>19016</v>
      </c>
      <c r="B178" s="51" t="str">
        <f>IF($A178=0,"",VLOOKUP($A178,'BASE EQUIPO'!$A:$D,2))</f>
        <v>HERRAMIENTA MENOR</v>
      </c>
      <c r="C178" s="52"/>
      <c r="D178" s="53">
        <v>1</v>
      </c>
      <c r="E178" s="53">
        <f>IF($A178=0,"",VLOOKUP($A178,'BASE EQUIPO'!$A:$D,4)*H194)</f>
        <v>0.42100000000000004</v>
      </c>
      <c r="F178" s="53">
        <f t="shared" ref="F178:F183" si="15">IF($A178=0,"",ROUND(D178*E178,2))</f>
        <v>0.42</v>
      </c>
      <c r="G178" s="105">
        <v>1</v>
      </c>
      <c r="H178" s="54">
        <f t="shared" ref="H178:H183" si="16">IF($A178=0,"",ROUND(G178*F178,2))</f>
        <v>0.42</v>
      </c>
      <c r="I178" s="2"/>
    </row>
    <row r="179" spans="1:9" x14ac:dyDescent="0.25">
      <c r="B179" s="38" t="str">
        <f>IF($A179=0,"",VLOOKUP($A179,'BASE EQUIPO'!$A:$D,2))</f>
        <v/>
      </c>
      <c r="C179" s="2"/>
      <c r="D179" s="55"/>
      <c r="E179" s="55" t="str">
        <f>IF($A179=0,"",VLOOKUP($A179,'BASE EQUIPO'!$A:$D,4))</f>
        <v/>
      </c>
      <c r="F179" s="55" t="str">
        <f t="shared" si="15"/>
        <v/>
      </c>
      <c r="G179" s="106"/>
      <c r="H179" s="56" t="str">
        <f t="shared" si="16"/>
        <v/>
      </c>
      <c r="I179" s="2"/>
    </row>
    <row r="180" spans="1:9" x14ac:dyDescent="0.25">
      <c r="B180" s="38" t="str">
        <f>IF($A180=0,"",VLOOKUP($A180,'BASE EQUIPO'!$A:$D,2))</f>
        <v/>
      </c>
      <c r="C180" s="2"/>
      <c r="D180" s="55"/>
      <c r="E180" s="55" t="str">
        <f>IF($A180=0,"",VLOOKUP($A180,'BASE EQUIPO'!$A:$D,4))</f>
        <v/>
      </c>
      <c r="F180" s="55" t="str">
        <f t="shared" si="15"/>
        <v/>
      </c>
      <c r="G180" s="106"/>
      <c r="H180" s="56" t="str">
        <f t="shared" si="16"/>
        <v/>
      </c>
      <c r="I180" s="2"/>
    </row>
    <row r="181" spans="1:9" x14ac:dyDescent="0.25">
      <c r="B181" s="38" t="str">
        <f>IF($A181=0,"",VLOOKUP($A181,'BASE EQUIPO'!$A:$D,2))</f>
        <v/>
      </c>
      <c r="C181" s="2"/>
      <c r="D181" s="55"/>
      <c r="E181" s="55" t="str">
        <f>IF($A181=0,"",VLOOKUP($A181,'BASE EQUIPO'!$A:$D,4))</f>
        <v/>
      </c>
      <c r="F181" s="55" t="str">
        <f t="shared" si="15"/>
        <v/>
      </c>
      <c r="G181" s="106"/>
      <c r="H181" s="56" t="str">
        <f t="shared" si="16"/>
        <v/>
      </c>
      <c r="I181" s="2"/>
    </row>
    <row r="182" spans="1:9" x14ac:dyDescent="0.25">
      <c r="B182" s="38" t="str">
        <f>IF($A182=0,"",VLOOKUP($A182,'BASE EQUIPO'!$A:$D,2))</f>
        <v/>
      </c>
      <c r="C182" s="2"/>
      <c r="D182" s="55"/>
      <c r="E182" s="55" t="str">
        <f>IF($A182=0,"",VLOOKUP($A182,'BASE EQUIPO'!$A:$D,4))</f>
        <v/>
      </c>
      <c r="F182" s="55" t="str">
        <f t="shared" si="15"/>
        <v/>
      </c>
      <c r="G182" s="106"/>
      <c r="H182" s="56" t="str">
        <f t="shared" si="16"/>
        <v/>
      </c>
      <c r="I182" s="2"/>
    </row>
    <row r="183" spans="1:9" x14ac:dyDescent="0.25">
      <c r="B183" s="57" t="str">
        <f>IF($A183=0,"",VLOOKUP($A183,'BASE EQUIPO'!$A:$D,2))</f>
        <v/>
      </c>
      <c r="C183" s="58"/>
      <c r="D183" s="59"/>
      <c r="E183" s="59" t="str">
        <f>IF($A183=0,"",VLOOKUP($A183,'BASE EQUIPO'!$A:$D,4))</f>
        <v/>
      </c>
      <c r="F183" s="59" t="str">
        <f t="shared" si="15"/>
        <v/>
      </c>
      <c r="G183" s="107"/>
      <c r="H183" s="60" t="str">
        <f t="shared" si="16"/>
        <v/>
      </c>
      <c r="I183" s="2"/>
    </row>
    <row r="184" spans="1:9" x14ac:dyDescent="0.25">
      <c r="B184" s="57" t="s">
        <v>1692</v>
      </c>
      <c r="C184" s="58"/>
      <c r="D184" s="61"/>
      <c r="E184" s="61"/>
      <c r="F184" s="61"/>
      <c r="G184" s="62"/>
      <c r="H184" s="60">
        <f>ROUND(SUM(H177:H183),2)</f>
        <v>0.42</v>
      </c>
      <c r="I184" s="2"/>
    </row>
    <row r="185" spans="1:9" x14ac:dyDescent="0.25">
      <c r="B185" s="38" t="s">
        <v>1503</v>
      </c>
      <c r="C185" s="2"/>
      <c r="D185" s="3"/>
      <c r="E185" s="3"/>
      <c r="F185" s="3"/>
      <c r="G185" s="63"/>
      <c r="H185" s="56"/>
      <c r="I185" s="2"/>
    </row>
    <row r="186" spans="1:9" ht="25.5" x14ac:dyDescent="0.25">
      <c r="B186" s="64" t="s">
        <v>1691</v>
      </c>
      <c r="C186" s="65"/>
      <c r="D186" s="66" t="s">
        <v>1690</v>
      </c>
      <c r="E186" s="66" t="s">
        <v>1689</v>
      </c>
      <c r="F186" s="66" t="s">
        <v>1688</v>
      </c>
      <c r="G186" s="67" t="s">
        <v>1687</v>
      </c>
      <c r="H186" s="68" t="s">
        <v>1686</v>
      </c>
      <c r="I186" s="2"/>
    </row>
    <row r="187" spans="1:9" x14ac:dyDescent="0.25">
      <c r="B187" s="69" t="str">
        <f>IF($A187=0,"",VLOOKUP($A187,'BASE M-OBRA'!$A:$D,2))</f>
        <v/>
      </c>
      <c r="C187" s="2"/>
      <c r="D187" s="108"/>
      <c r="E187" s="70" t="str">
        <f>IF($A187=0,"",VLOOKUP($A187,'BASE M-OBRA'!$A:$D,4))</f>
        <v/>
      </c>
      <c r="F187" s="55" t="str">
        <f t="shared" ref="F187:F193" si="17">IF($A187=0,"",ROUND(D187*E187,2))</f>
        <v/>
      </c>
      <c r="G187" s="106" t="str">
        <f>IF($A187=0,"",ROUND(H187/F187,2))</f>
        <v/>
      </c>
      <c r="H187" s="56" t="str">
        <f>IF($A187=0,"",ROUND(SUM(H188:H193)*'BASE M-OBRA'!$D$23,2))</f>
        <v/>
      </c>
      <c r="I187" s="2"/>
    </row>
    <row r="188" spans="1:9" x14ac:dyDescent="0.25">
      <c r="A188" s="103">
        <v>20011</v>
      </c>
      <c r="B188" s="69" t="str">
        <f>IF($A188=0,"",VLOOKUP($A188,'BASE M-OBRA'!$A:$D,2))</f>
        <v>AYUDANTE ESPECIALISTA</v>
      </c>
      <c r="C188" s="2"/>
      <c r="D188" s="108">
        <v>1</v>
      </c>
      <c r="E188" s="70">
        <f>IF($A188=0,"",VLOOKUP($A188,'BASE M-OBRA'!$A:$D,4))</f>
        <v>2.79</v>
      </c>
      <c r="F188" s="55">
        <f t="shared" si="17"/>
        <v>2.79</v>
      </c>
      <c r="G188" s="106">
        <v>1.5</v>
      </c>
      <c r="H188" s="56">
        <f t="shared" ref="H188:H193" si="18">IF($A188=0,"",ROUND(G188*F188,2))</f>
        <v>4.1900000000000004</v>
      </c>
      <c r="I188" s="2"/>
    </row>
    <row r="189" spans="1:9" x14ac:dyDescent="0.25">
      <c r="A189" s="103">
        <v>20016</v>
      </c>
      <c r="B189" s="69" t="str">
        <f>IF($A189=0,"",VLOOKUP($A189,'BASE M-OBRA'!$A:$D,2))</f>
        <v>GAFITERO</v>
      </c>
      <c r="C189" s="2"/>
      <c r="D189" s="108">
        <v>1</v>
      </c>
      <c r="E189" s="70">
        <f>IF($A189=0,"",VLOOKUP($A189,'BASE M-OBRA'!$A:$D,4))</f>
        <v>2.82</v>
      </c>
      <c r="F189" s="55">
        <f t="shared" si="17"/>
        <v>2.82</v>
      </c>
      <c r="G189" s="106">
        <f>+G188</f>
        <v>1.5</v>
      </c>
      <c r="H189" s="56">
        <f t="shared" si="18"/>
        <v>4.2300000000000004</v>
      </c>
      <c r="I189" s="2"/>
    </row>
    <row r="190" spans="1:9" x14ac:dyDescent="0.25">
      <c r="B190" s="71" t="str">
        <f>IF($A190=0,"",VLOOKUP($A190,'BASE M-OBRA'!$A:$D,2))</f>
        <v/>
      </c>
      <c r="C190" s="2"/>
      <c r="D190" s="108"/>
      <c r="E190" s="70" t="str">
        <f>IF($A190=0,"",VLOOKUP($A190,'BASE M-OBRA'!$A:$D,4))</f>
        <v/>
      </c>
      <c r="F190" s="55" t="str">
        <f t="shared" si="17"/>
        <v/>
      </c>
      <c r="G190" s="106"/>
      <c r="H190" s="56" t="str">
        <f t="shared" si="18"/>
        <v/>
      </c>
      <c r="I190" s="2"/>
    </row>
    <row r="191" spans="1:9" x14ac:dyDescent="0.25">
      <c r="B191" s="72" t="str">
        <f>IF($A191=0,"",VLOOKUP($A191,'BASE M-OBRA'!$A:$D,2))</f>
        <v/>
      </c>
      <c r="C191" s="2"/>
      <c r="D191" s="108"/>
      <c r="E191" s="70" t="str">
        <f>IF($A191=0,"",VLOOKUP($A191,'BASE M-OBRA'!$A:$D,4))</f>
        <v/>
      </c>
      <c r="F191" s="55" t="str">
        <f t="shared" si="17"/>
        <v/>
      </c>
      <c r="G191" s="106"/>
      <c r="H191" s="56" t="str">
        <f t="shared" si="18"/>
        <v/>
      </c>
      <c r="I191" s="2"/>
    </row>
    <row r="192" spans="1:9" x14ac:dyDescent="0.25">
      <c r="B192" s="38" t="str">
        <f>IF($A192=0,"",VLOOKUP($A192,'BASE M-OBRA'!$A:$D,2))</f>
        <v/>
      </c>
      <c r="C192" s="2"/>
      <c r="D192" s="55"/>
      <c r="E192" s="55" t="str">
        <f>IF($A192=0,"",VLOOKUP($A192,'BASE M-OBRA'!$A:$D,4))</f>
        <v/>
      </c>
      <c r="F192" s="55" t="str">
        <f t="shared" si="17"/>
        <v/>
      </c>
      <c r="G192" s="106"/>
      <c r="H192" s="56" t="str">
        <f t="shared" si="18"/>
        <v/>
      </c>
      <c r="I192" s="2"/>
    </row>
    <row r="193" spans="1:16" x14ac:dyDescent="0.25">
      <c r="B193" s="57" t="str">
        <f>IF($A193=0,"",VLOOKUP($A193,'BASE M-OBRA'!$A:$D,2))</f>
        <v/>
      </c>
      <c r="C193" s="58"/>
      <c r="D193" s="59"/>
      <c r="E193" s="59" t="str">
        <f>IF($A193=0,"",VLOOKUP($A193,'BASE M-OBRA'!$A:$D,4))</f>
        <v/>
      </c>
      <c r="F193" s="59" t="str">
        <f t="shared" si="17"/>
        <v/>
      </c>
      <c r="G193" s="107"/>
      <c r="H193" s="60" t="str">
        <f t="shared" si="18"/>
        <v/>
      </c>
      <c r="I193" s="2"/>
    </row>
    <row r="194" spans="1:16" x14ac:dyDescent="0.25">
      <c r="B194" s="73" t="s">
        <v>1685</v>
      </c>
      <c r="C194" s="65"/>
      <c r="D194" s="74"/>
      <c r="E194" s="74"/>
      <c r="F194" s="74"/>
      <c r="G194" s="74"/>
      <c r="H194" s="75">
        <f>ROUND(SUM(H186:H193),2)</f>
        <v>8.42</v>
      </c>
      <c r="I194" s="2"/>
    </row>
    <row r="195" spans="1:16" x14ac:dyDescent="0.25">
      <c r="B195" s="38" t="s">
        <v>1684</v>
      </c>
      <c r="C195" s="2"/>
      <c r="D195" s="3"/>
      <c r="E195" s="3"/>
      <c r="F195" s="3"/>
      <c r="G195" s="3"/>
      <c r="H195" s="56"/>
      <c r="I195" s="2"/>
    </row>
    <row r="196" spans="1:16" ht="25.5" x14ac:dyDescent="0.25">
      <c r="B196" s="64" t="s">
        <v>1409</v>
      </c>
      <c r="C196" s="65"/>
      <c r="D196" s="76"/>
      <c r="E196" s="66" t="s">
        <v>1408</v>
      </c>
      <c r="F196" s="66" t="s">
        <v>1679</v>
      </c>
      <c r="G196" s="66" t="s">
        <v>1683</v>
      </c>
      <c r="H196" s="68" t="s">
        <v>1675</v>
      </c>
      <c r="I196" s="2"/>
    </row>
    <row r="197" spans="1:16" x14ac:dyDescent="0.25">
      <c r="A197" s="103">
        <v>1</v>
      </c>
      <c r="B197" s="109" t="s">
        <v>35</v>
      </c>
      <c r="C197" s="2"/>
      <c r="D197" s="77"/>
      <c r="E197" s="78" t="s">
        <v>25</v>
      </c>
      <c r="F197" s="55">
        <v>1.05</v>
      </c>
      <c r="G197" s="55">
        <v>4.95</v>
      </c>
      <c r="H197" s="56">
        <f t="shared" ref="H197:H211" si="19">IF($A197=0,"",ROUND(F197*G197,2))</f>
        <v>5.2</v>
      </c>
      <c r="I197" s="2"/>
      <c r="J197" s="1">
        <f>14.84/3</f>
        <v>4.9466666666666663</v>
      </c>
      <c r="L197" s="2"/>
      <c r="M197" s="2"/>
      <c r="N197" s="39"/>
      <c r="O197" s="2"/>
      <c r="P197" s="2"/>
    </row>
    <row r="198" spans="1:16" s="4" customFormat="1" x14ac:dyDescent="0.25">
      <c r="A198" s="103">
        <v>5004</v>
      </c>
      <c r="B198" s="38" t="str">
        <f>IF($A198=0,"",VLOOKUP($A198,'BASE MATERIAL'!$A:$D,2))</f>
        <v>ARENA</v>
      </c>
      <c r="C198" s="2"/>
      <c r="D198" s="77"/>
      <c r="E198" s="78" t="str">
        <f>IF($A198=0,"",VLOOKUP($A198,'BASE MATERIAL'!$A:$D,3))</f>
        <v>M3</v>
      </c>
      <c r="F198" s="55">
        <f>ROUND(F197*0.032*3,2)</f>
        <v>0.1</v>
      </c>
      <c r="G198" s="55">
        <f>IF($A198=0,"",VLOOKUP($A198,'BASE MATERIAL'!$A:$D,4))</f>
        <v>12.276249999999999</v>
      </c>
      <c r="H198" s="56">
        <f t="shared" si="19"/>
        <v>1.23</v>
      </c>
      <c r="I198" s="5"/>
      <c r="K198" s="4">
        <v>28.4</v>
      </c>
      <c r="L198" s="5"/>
      <c r="M198" s="5"/>
      <c r="N198" s="160"/>
      <c r="O198" s="5"/>
      <c r="P198" s="5"/>
    </row>
    <row r="199" spans="1:16" x14ac:dyDescent="0.25">
      <c r="A199" s="103">
        <v>1</v>
      </c>
      <c r="B199" s="38" t="s">
        <v>4</v>
      </c>
      <c r="C199" s="2"/>
      <c r="D199" s="77"/>
      <c r="E199" s="78" t="s">
        <v>2</v>
      </c>
      <c r="F199" s="55">
        <v>2.1000000000000001E-2</v>
      </c>
      <c r="G199" s="55">
        <v>12.63</v>
      </c>
      <c r="H199" s="56">
        <f t="shared" si="19"/>
        <v>0.27</v>
      </c>
      <c r="I199" s="2"/>
      <c r="L199" s="2"/>
      <c r="M199" s="2"/>
      <c r="N199" s="39"/>
      <c r="O199" s="2"/>
      <c r="P199" s="2"/>
    </row>
    <row r="200" spans="1:16" x14ac:dyDescent="0.25">
      <c r="A200" s="103">
        <v>1</v>
      </c>
      <c r="B200" s="38" t="s">
        <v>3</v>
      </c>
      <c r="C200" s="2"/>
      <c r="D200" s="77"/>
      <c r="E200" s="78" t="s">
        <v>2</v>
      </c>
      <c r="F200" s="55">
        <v>0.01</v>
      </c>
      <c r="G200" s="55">
        <v>6.89</v>
      </c>
      <c r="H200" s="56">
        <f t="shared" si="19"/>
        <v>7.0000000000000007E-2</v>
      </c>
      <c r="I200" s="2"/>
      <c r="L200" s="2"/>
      <c r="M200" s="2"/>
      <c r="N200" s="39"/>
      <c r="O200" s="2"/>
      <c r="P200" s="2"/>
    </row>
    <row r="201" spans="1:16" x14ac:dyDescent="0.25">
      <c r="B201" s="38"/>
      <c r="C201" s="2"/>
      <c r="D201" s="77"/>
      <c r="E201" s="78"/>
      <c r="F201" s="55"/>
      <c r="G201" s="55"/>
      <c r="H201" s="56" t="str">
        <f t="shared" si="19"/>
        <v/>
      </c>
      <c r="I201" s="2"/>
      <c r="L201" s="2"/>
      <c r="M201" s="2"/>
      <c r="N201" s="39"/>
      <c r="O201" s="2"/>
      <c r="P201" s="2"/>
    </row>
    <row r="202" spans="1:16" x14ac:dyDescent="0.25">
      <c r="B202" s="38"/>
      <c r="C202" s="2"/>
      <c r="D202" s="77"/>
      <c r="E202" s="78"/>
      <c r="F202" s="55"/>
      <c r="G202" s="55"/>
      <c r="H202" s="56" t="str">
        <f t="shared" si="19"/>
        <v/>
      </c>
      <c r="I202" s="2"/>
      <c r="L202" s="2"/>
      <c r="M202" s="2"/>
      <c r="N202" s="39"/>
      <c r="O202" s="2"/>
      <c r="P202" s="2"/>
    </row>
    <row r="203" spans="1:16" x14ac:dyDescent="0.25">
      <c r="B203" s="38"/>
      <c r="C203" s="2"/>
      <c r="D203" s="77"/>
      <c r="E203" s="78"/>
      <c r="F203" s="55"/>
      <c r="G203" s="55"/>
      <c r="H203" s="56" t="str">
        <f t="shared" si="19"/>
        <v/>
      </c>
      <c r="I203" s="2"/>
      <c r="L203" s="2"/>
      <c r="M203" s="2"/>
      <c r="N203" s="39"/>
      <c r="O203" s="2"/>
      <c r="P203" s="2"/>
    </row>
    <row r="204" spans="1:16" x14ac:dyDescent="0.25">
      <c r="B204" s="38"/>
      <c r="C204" s="2"/>
      <c r="D204" s="77"/>
      <c r="E204" s="78"/>
      <c r="F204" s="55"/>
      <c r="G204" s="55"/>
      <c r="H204" s="56" t="str">
        <f t="shared" si="19"/>
        <v/>
      </c>
      <c r="I204" s="2"/>
      <c r="L204" s="2"/>
      <c r="M204" s="2"/>
      <c r="N204" s="39"/>
      <c r="O204" s="2"/>
      <c r="P204" s="2"/>
    </row>
    <row r="205" spans="1:16" x14ac:dyDescent="0.25">
      <c r="B205" s="38"/>
      <c r="C205" s="2"/>
      <c r="D205" s="77"/>
      <c r="E205" s="78"/>
      <c r="F205" s="55"/>
      <c r="G205" s="55"/>
      <c r="H205" s="56" t="str">
        <f t="shared" si="19"/>
        <v/>
      </c>
      <c r="I205" s="2"/>
    </row>
    <row r="206" spans="1:16" x14ac:dyDescent="0.25">
      <c r="B206" s="38" t="str">
        <f>IF($A206=0,"",VLOOKUP($A206,'BASE MATERIAL'!$A:$D,2))</f>
        <v/>
      </c>
      <c r="C206" s="2"/>
      <c r="D206" s="77"/>
      <c r="E206" s="78" t="str">
        <f>IF($A206=0,"",VLOOKUP($A206,'BASE MATERIAL'!$A:$D,3))</f>
        <v/>
      </c>
      <c r="F206" s="55"/>
      <c r="G206" s="55" t="str">
        <f>IF($A206=0,"",VLOOKUP($A206,'BASE MATERIAL'!$A:$D,4))</f>
        <v/>
      </c>
      <c r="H206" s="56" t="str">
        <f t="shared" si="19"/>
        <v/>
      </c>
      <c r="I206" s="2"/>
      <c r="L206" s="2"/>
      <c r="M206" s="2"/>
      <c r="N206" s="39"/>
      <c r="O206" s="2"/>
      <c r="P206" s="2"/>
    </row>
    <row r="207" spans="1:16" x14ac:dyDescent="0.25">
      <c r="B207" s="38" t="str">
        <f>IF($A207=0,"",VLOOKUP($A207,'BASE MATERIAL'!$A:$D,2))</f>
        <v/>
      </c>
      <c r="C207" s="2"/>
      <c r="D207" s="77"/>
      <c r="E207" s="78" t="str">
        <f>IF($A207=0,"",VLOOKUP($A207,'BASE MATERIAL'!$A:$D,3))</f>
        <v/>
      </c>
      <c r="F207" s="55"/>
      <c r="G207" s="55" t="str">
        <f>IF($A207=0,"",VLOOKUP($A207,'BASE MATERIAL'!$A:$D,4))</f>
        <v/>
      </c>
      <c r="H207" s="56" t="str">
        <f t="shared" si="19"/>
        <v/>
      </c>
      <c r="I207" s="2"/>
      <c r="L207" s="2"/>
      <c r="M207" s="2"/>
      <c r="N207" s="39"/>
      <c r="O207" s="2"/>
      <c r="P207" s="2"/>
    </row>
    <row r="208" spans="1:16" x14ac:dyDescent="0.25">
      <c r="B208" s="38" t="str">
        <f>IF($A208=0,"",VLOOKUP($A208,'BASE MATERIAL'!$A:$D,2))</f>
        <v/>
      </c>
      <c r="C208" s="2"/>
      <c r="D208" s="77"/>
      <c r="E208" s="78" t="str">
        <f>IF($A208=0,"",VLOOKUP($A208,'BASE MATERIAL'!$A:$D,3))</f>
        <v/>
      </c>
      <c r="F208" s="55"/>
      <c r="G208" s="55" t="str">
        <f>IF($A208=0,"",VLOOKUP($A208,'BASE MATERIAL'!$A:$D,4))</f>
        <v/>
      </c>
      <c r="H208" s="56" t="str">
        <f t="shared" si="19"/>
        <v/>
      </c>
      <c r="I208" s="2"/>
    </row>
    <row r="209" spans="1:9" x14ac:dyDescent="0.25">
      <c r="B209" s="38" t="str">
        <f>IF($A209=0,"",VLOOKUP($A209,'BASE MATERIAL'!$A:$D,2))</f>
        <v/>
      </c>
      <c r="C209" s="2"/>
      <c r="D209" s="77"/>
      <c r="E209" s="78" t="str">
        <f>IF($A209=0,"",VLOOKUP($A209,'BASE MATERIAL'!$A:$D,3))</f>
        <v/>
      </c>
      <c r="F209" s="55"/>
      <c r="G209" s="55" t="str">
        <f>IF($A209=0,"",VLOOKUP($A209,'BASE MATERIAL'!$A:$D,4))</f>
        <v/>
      </c>
      <c r="H209" s="56" t="str">
        <f t="shared" si="19"/>
        <v/>
      </c>
      <c r="I209" s="2"/>
    </row>
    <row r="210" spans="1:9" x14ac:dyDescent="0.25">
      <c r="B210" s="38" t="str">
        <f>IF($A210=0,"",VLOOKUP($A210,'BASE MATERIAL'!$A:$D,2))</f>
        <v/>
      </c>
      <c r="C210" s="2"/>
      <c r="D210" s="77"/>
      <c r="E210" s="78" t="str">
        <f>IF($A210=0,"",VLOOKUP($A210,'BASE MATERIAL'!$A:$D,3))</f>
        <v/>
      </c>
      <c r="F210" s="55"/>
      <c r="G210" s="55" t="str">
        <f>IF($A210=0,"",VLOOKUP($A210,'BASE MATERIAL'!$A:$D,4))</f>
        <v/>
      </c>
      <c r="H210" s="56" t="str">
        <f t="shared" si="19"/>
        <v/>
      </c>
      <c r="I210" s="2"/>
    </row>
    <row r="211" spans="1:9" x14ac:dyDescent="0.25">
      <c r="B211" s="38" t="str">
        <f>IF($A211=0,"",VLOOKUP($A211,'BASE MATERIAL'!$A:$D,2))</f>
        <v/>
      </c>
      <c r="C211" s="2"/>
      <c r="D211" s="77"/>
      <c r="E211" s="78" t="str">
        <f>IF($A211=0,"",VLOOKUP($A211,'BASE MATERIAL'!$A:$D,3))</f>
        <v/>
      </c>
      <c r="F211" s="55"/>
      <c r="G211" s="55" t="str">
        <f>IF($A211=0,"",VLOOKUP($A211,'BASE MATERIAL'!$A:$D,4))</f>
        <v/>
      </c>
      <c r="H211" s="56" t="str">
        <f t="shared" si="19"/>
        <v/>
      </c>
      <c r="I211" s="2"/>
    </row>
    <row r="212" spans="1:9" x14ac:dyDescent="0.25">
      <c r="B212" s="38" t="str">
        <f>IF($A212=0,"",VLOOKUP($A212,'BASE MATERIAL'!$A:$D,2))</f>
        <v/>
      </c>
      <c r="C212" s="2"/>
      <c r="D212" s="81" t="s">
        <v>1682</v>
      </c>
      <c r="E212" s="55" t="str">
        <f>IF($A212=0,"",VLOOKUP($A212,'BASE MATERIAL'!$A:$D,3))</f>
        <v/>
      </c>
      <c r="F212" s="55" t="s">
        <v>1682</v>
      </c>
      <c r="G212" s="55" t="str">
        <f>IF($A212=0,"",VLOOKUP($A212,'BASE MATERIAL'!$A:$D,4))</f>
        <v/>
      </c>
      <c r="H212" s="56" t="str">
        <f>IF($A212=0,"",ROUND(E212*F212,2))</f>
        <v/>
      </c>
      <c r="I212" s="2"/>
    </row>
    <row r="213" spans="1:9" x14ac:dyDescent="0.25">
      <c r="B213" s="73" t="s">
        <v>1681</v>
      </c>
      <c r="C213" s="65"/>
      <c r="D213" s="74"/>
      <c r="E213" s="74"/>
      <c r="F213" s="74"/>
      <c r="G213" s="74"/>
      <c r="H213" s="75">
        <f>ROUND(SUM(H196:H212),2)</f>
        <v>6.77</v>
      </c>
      <c r="I213" s="2"/>
    </row>
    <row r="214" spans="1:9" x14ac:dyDescent="0.25">
      <c r="B214" s="38" t="s">
        <v>1680</v>
      </c>
      <c r="C214" s="2"/>
      <c r="D214" s="3"/>
      <c r="E214" s="3"/>
      <c r="F214" s="3"/>
      <c r="G214" s="3"/>
      <c r="H214" s="56"/>
      <c r="I214" s="2"/>
    </row>
    <row r="215" spans="1:9" ht="25.5" x14ac:dyDescent="0.25">
      <c r="B215" s="64" t="s">
        <v>1409</v>
      </c>
      <c r="C215" s="65"/>
      <c r="D215" s="76"/>
      <c r="E215" s="66" t="s">
        <v>1408</v>
      </c>
      <c r="F215" s="66" t="s">
        <v>1679</v>
      </c>
      <c r="G215" s="66" t="s">
        <v>1676</v>
      </c>
      <c r="H215" s="68" t="s">
        <v>1675</v>
      </c>
      <c r="I215" s="2"/>
    </row>
    <row r="216" spans="1:9" x14ac:dyDescent="0.25">
      <c r="A216" s="103">
        <v>19019</v>
      </c>
      <c r="B216" s="51" t="str">
        <f>IF($A216=0,"",VLOOKUP($A216,'BASE EQUIPO'!$A:$D,2))</f>
        <v>TRANSPORTE DE MATERIAL</v>
      </c>
      <c r="C216" s="52"/>
      <c r="D216" s="82"/>
      <c r="E216" s="78" t="str">
        <f>IF($A216=0,"",VLOOKUP($A216,'BASE EQUIPO'!$A:$D,3))</f>
        <v>GLOBAL</v>
      </c>
      <c r="F216" s="55">
        <v>1</v>
      </c>
      <c r="G216" s="83">
        <f>IF($A216=0,"",VLOOKUP($A216,'BASE EQUIPO'!$A:$D,4)*H213)</f>
        <v>0.20309999999999997</v>
      </c>
      <c r="H216" s="56">
        <f>IF($A216=0,"",ROUND(F216*G216,2))</f>
        <v>0.2</v>
      </c>
      <c r="I216" s="2"/>
    </row>
    <row r="217" spans="1:9" x14ac:dyDescent="0.25">
      <c r="B217" s="38" t="str">
        <f>IF($A217=0,"",VLOOKUP($A217,'BASE EQUIPO'!$A:$D,2))</f>
        <v/>
      </c>
      <c r="C217" s="2"/>
      <c r="D217" s="84"/>
      <c r="E217" s="78" t="str">
        <f>IF($A217=0,"",VLOOKUP($A217,'BASE EQUIPO'!$A:$D,3))</f>
        <v/>
      </c>
      <c r="F217" s="55"/>
      <c r="G217" s="55" t="str">
        <f>IF($A217=0,"",VLOOKUP($A217,'BASE EQUIPO'!$A:$D,4)*H214)</f>
        <v/>
      </c>
      <c r="H217" s="56" t="str">
        <f>IF($A217=0,"",ROUND(F217*G217,2))</f>
        <v/>
      </c>
      <c r="I217" s="2"/>
    </row>
    <row r="218" spans="1:9" x14ac:dyDescent="0.25">
      <c r="B218" s="57" t="str">
        <f>IF($A218=0,"",VLOOKUP($A218,'BASE EQUIPO'!$A:$D,2))</f>
        <v/>
      </c>
      <c r="C218" s="58"/>
      <c r="D218" s="85"/>
      <c r="E218" s="86" t="str">
        <f>IF($A218=0,"",VLOOKUP($A218,'BASE EQUIPO'!$A:$D,3))</f>
        <v/>
      </c>
      <c r="F218" s="59"/>
      <c r="G218" s="59" t="str">
        <f>IF($A218=0,"",VLOOKUP($A218,'BASE EQUIPO'!$A:$D,4)*H215)</f>
        <v/>
      </c>
      <c r="H218" s="60" t="str">
        <f>IF($A218=0,"",ROUND(F218*G218,2))</f>
        <v/>
      </c>
      <c r="I218" s="2"/>
    </row>
    <row r="219" spans="1:9" ht="15.75" thickBot="1" x14ac:dyDescent="0.3">
      <c r="B219" s="87" t="s">
        <v>1674</v>
      </c>
      <c r="C219" s="88"/>
      <c r="D219" s="89"/>
      <c r="E219" s="89"/>
      <c r="F219" s="89"/>
      <c r="G219" s="89"/>
      <c r="H219" s="90">
        <f>ROUND(SUM(H215:H218),2)</f>
        <v>0.2</v>
      </c>
      <c r="I219" s="2"/>
    </row>
    <row r="220" spans="1:9" ht="15.75" x14ac:dyDescent="0.25">
      <c r="B220" s="2"/>
      <c r="C220" s="2"/>
      <c r="D220" s="91" t="s">
        <v>1673</v>
      </c>
      <c r="E220" s="47"/>
      <c r="F220" s="47"/>
      <c r="G220" s="47"/>
      <c r="H220" s="92">
        <f>ROUND(SUM(H219,H213,H194,H184),2)</f>
        <v>15.81</v>
      </c>
      <c r="I220" s="2"/>
    </row>
    <row r="221" spans="1:9" ht="15.75" x14ac:dyDescent="0.25">
      <c r="A221" s="103">
        <v>40002</v>
      </c>
      <c r="B221" s="2"/>
      <c r="C221" s="2"/>
      <c r="D221" s="93" t="s">
        <v>1672</v>
      </c>
      <c r="E221" s="65"/>
      <c r="F221" s="65"/>
      <c r="G221" s="94">
        <f>IF($A221=0,"",VLOOKUP($A221,'BASE MATERIAL'!$M:$P,4))</f>
        <v>0</v>
      </c>
      <c r="H221" s="95">
        <f>IF($A221=0,"",ROUND(G221*H220,2))</f>
        <v>0</v>
      </c>
      <c r="I221" s="2"/>
    </row>
    <row r="222" spans="1:9" ht="15.75" x14ac:dyDescent="0.25">
      <c r="A222" s="103">
        <v>40003</v>
      </c>
      <c r="B222" s="2"/>
      <c r="C222" s="2"/>
      <c r="D222" s="93" t="s">
        <v>1671</v>
      </c>
      <c r="E222" s="65"/>
      <c r="F222" s="65"/>
      <c r="G222" s="94">
        <f>IF($A222=0,"",VLOOKUP($A222,'BASE MATERIAL'!$M:$P,4))</f>
        <v>0</v>
      </c>
      <c r="H222" s="95">
        <f>IF($A222=0,"",ROUND(G222*H220,2))</f>
        <v>0</v>
      </c>
      <c r="I222" s="2"/>
    </row>
    <row r="223" spans="1:9" ht="15.75" x14ac:dyDescent="0.25">
      <c r="B223" s="2"/>
      <c r="C223" s="2"/>
      <c r="D223" s="93" t="s">
        <v>1670</v>
      </c>
      <c r="E223" s="65"/>
      <c r="F223" s="65"/>
      <c r="G223" s="65"/>
      <c r="H223" s="96">
        <f>ROUND(SUM(H220:H222),2)</f>
        <v>15.81</v>
      </c>
      <c r="I223" s="2"/>
    </row>
    <row r="224" spans="1:9" ht="16.5" thickBot="1" x14ac:dyDescent="0.3">
      <c r="B224" s="25"/>
      <c r="C224" s="2"/>
      <c r="D224" s="97" t="s">
        <v>1650</v>
      </c>
      <c r="E224" s="88"/>
      <c r="F224" s="88"/>
      <c r="G224" s="88"/>
      <c r="H224" s="98">
        <f>ROUND(H223,2)</f>
        <v>15.81</v>
      </c>
      <c r="I224" s="2"/>
    </row>
    <row r="225" spans="1:15" ht="15.75" x14ac:dyDescent="0.25">
      <c r="B225" s="34" t="s">
        <v>1701</v>
      </c>
      <c r="C225" s="2"/>
      <c r="D225" s="3" t="str">
        <f>$D$57</f>
        <v>ESPOL</v>
      </c>
      <c r="E225" s="2"/>
      <c r="F225" s="2"/>
      <c r="H225" s="2" t="s">
        <v>108</v>
      </c>
      <c r="I225" s="2"/>
      <c r="L225" s="40">
        <f>A229</f>
        <v>13</v>
      </c>
      <c r="M225" s="1" t="str">
        <f>C230</f>
        <v>TUBERIA   PVC des ø 110 mm AA.SS.</v>
      </c>
      <c r="N225" s="2" t="str">
        <f>H229</f>
        <v>ml</v>
      </c>
      <c r="O225" s="2">
        <f>H280</f>
        <v>12.78</v>
      </c>
    </row>
    <row r="226" spans="1:15" ht="15.75" x14ac:dyDescent="0.25">
      <c r="B226" s="34" t="s">
        <v>1700</v>
      </c>
      <c r="C226" s="3">
        <f>'1.1'!$C$2</f>
        <v>0</v>
      </c>
      <c r="D226" s="2"/>
      <c r="E226" s="2"/>
      <c r="F226" s="2"/>
      <c r="G226" s="41" t="s">
        <v>1699</v>
      </c>
      <c r="H226" s="42"/>
      <c r="I226" s="2" t="s">
        <v>1698</v>
      </c>
    </row>
    <row r="227" spans="1:15" ht="15.75" x14ac:dyDescent="0.25">
      <c r="B227" s="34"/>
      <c r="C227" s="3">
        <f>'1.1'!$C$3</f>
        <v>0</v>
      </c>
      <c r="D227" s="2"/>
      <c r="E227" s="2"/>
      <c r="F227" s="2"/>
      <c r="G227" s="2"/>
      <c r="H227" s="2"/>
      <c r="I227" s="2"/>
    </row>
    <row r="228" spans="1:15" ht="15.75" x14ac:dyDescent="0.25">
      <c r="B228" s="34" t="s">
        <v>1697</v>
      </c>
      <c r="C228" s="3"/>
      <c r="D228" s="2"/>
      <c r="E228" s="2"/>
      <c r="F228" s="2"/>
      <c r="G228" s="2"/>
      <c r="H228" s="2"/>
      <c r="I228" s="2"/>
    </row>
    <row r="229" spans="1:15" x14ac:dyDescent="0.25">
      <c r="A229" s="104">
        <v>13</v>
      </c>
      <c r="B229" s="2" t="s">
        <v>1586</v>
      </c>
      <c r="C229" s="101" t="s">
        <v>695</v>
      </c>
      <c r="D229" s="2"/>
      <c r="G229" s="2" t="s">
        <v>1696</v>
      </c>
      <c r="H229" s="3" t="s">
        <v>961</v>
      </c>
      <c r="I229" s="2"/>
    </row>
    <row r="230" spans="1:15" x14ac:dyDescent="0.25">
      <c r="B230" s="1" t="s">
        <v>1585</v>
      </c>
      <c r="C230" s="36" t="s">
        <v>66</v>
      </c>
      <c r="D230" s="2"/>
      <c r="E230" s="2"/>
      <c r="F230" s="2"/>
      <c r="G230" s="2"/>
      <c r="H230" s="2"/>
      <c r="I230" s="2"/>
    </row>
    <row r="231" spans="1:15" ht="15.75" thickBot="1" x14ac:dyDescent="0.3">
      <c r="D231" s="2"/>
      <c r="E231" s="2"/>
      <c r="F231" s="2"/>
      <c r="G231" s="2"/>
      <c r="H231" s="2"/>
      <c r="I231" s="2"/>
    </row>
    <row r="232" spans="1:15" ht="15.75" thickBot="1" x14ac:dyDescent="0.3">
      <c r="B232" s="43" t="s">
        <v>1695</v>
      </c>
      <c r="C232" s="44"/>
      <c r="D232" s="44"/>
      <c r="E232" s="44"/>
      <c r="F232" s="44"/>
      <c r="G232" s="44"/>
      <c r="H232" s="45"/>
      <c r="I232" s="2"/>
    </row>
    <row r="233" spans="1:15" ht="25.5" x14ac:dyDescent="0.25">
      <c r="B233" s="46" t="s">
        <v>1409</v>
      </c>
      <c r="C233" s="47"/>
      <c r="D233" s="48" t="s">
        <v>1690</v>
      </c>
      <c r="E233" s="48" t="s">
        <v>1694</v>
      </c>
      <c r="F233" s="48" t="s">
        <v>1693</v>
      </c>
      <c r="G233" s="49" t="s">
        <v>1687</v>
      </c>
      <c r="H233" s="50" t="s">
        <v>1686</v>
      </c>
      <c r="I233" s="2"/>
    </row>
    <row r="234" spans="1:15" x14ac:dyDescent="0.25">
      <c r="A234" s="103">
        <v>19016</v>
      </c>
      <c r="B234" s="51" t="str">
        <f>IF($A234=0,"",VLOOKUP($A234,'BASE EQUIPO'!$A:$D,2))</f>
        <v>HERRAMIENTA MENOR</v>
      </c>
      <c r="C234" s="52"/>
      <c r="D234" s="53">
        <v>1</v>
      </c>
      <c r="E234" s="53">
        <f>IF($A234=0,"",VLOOKUP($A234,'BASE EQUIPO'!$A:$D,4)*H250)</f>
        <v>0.33650000000000002</v>
      </c>
      <c r="F234" s="53">
        <f t="shared" ref="F234:F239" si="20">IF($A234=0,"",ROUND(D234*E234,2))</f>
        <v>0.34</v>
      </c>
      <c r="G234" s="105">
        <v>1</v>
      </c>
      <c r="H234" s="54">
        <f t="shared" ref="H234:H239" si="21">IF($A234=0,"",ROUND(G234*F234,2))</f>
        <v>0.34</v>
      </c>
      <c r="I234" s="2"/>
    </row>
    <row r="235" spans="1:15" x14ac:dyDescent="0.25">
      <c r="B235" s="38" t="str">
        <f>IF($A235=0,"",VLOOKUP($A235,'BASE EQUIPO'!$A:$D,2))</f>
        <v/>
      </c>
      <c r="C235" s="2"/>
      <c r="D235" s="55"/>
      <c r="E235" s="55" t="str">
        <f>IF($A235=0,"",VLOOKUP($A235,'BASE EQUIPO'!$A:$D,4))</f>
        <v/>
      </c>
      <c r="F235" s="55" t="str">
        <f t="shared" si="20"/>
        <v/>
      </c>
      <c r="G235" s="106"/>
      <c r="H235" s="56" t="str">
        <f t="shared" si="21"/>
        <v/>
      </c>
      <c r="I235" s="2"/>
    </row>
    <row r="236" spans="1:15" x14ac:dyDescent="0.25">
      <c r="B236" s="38" t="str">
        <f>IF($A236=0,"",VLOOKUP($A236,'BASE EQUIPO'!$A:$D,2))</f>
        <v/>
      </c>
      <c r="C236" s="2"/>
      <c r="D236" s="55"/>
      <c r="E236" s="55" t="str">
        <f>IF($A236=0,"",VLOOKUP($A236,'BASE EQUIPO'!$A:$D,4))</f>
        <v/>
      </c>
      <c r="F236" s="55" t="str">
        <f t="shared" si="20"/>
        <v/>
      </c>
      <c r="G236" s="106"/>
      <c r="H236" s="56" t="str">
        <f t="shared" si="21"/>
        <v/>
      </c>
      <c r="I236" s="2"/>
    </row>
    <row r="237" spans="1:15" x14ac:dyDescent="0.25">
      <c r="B237" s="38" t="str">
        <f>IF($A237=0,"",VLOOKUP($A237,'BASE EQUIPO'!$A:$D,2))</f>
        <v/>
      </c>
      <c r="C237" s="2"/>
      <c r="D237" s="55"/>
      <c r="E237" s="55" t="str">
        <f>IF($A237=0,"",VLOOKUP($A237,'BASE EQUIPO'!$A:$D,4))</f>
        <v/>
      </c>
      <c r="F237" s="55" t="str">
        <f t="shared" si="20"/>
        <v/>
      </c>
      <c r="G237" s="106"/>
      <c r="H237" s="56" t="str">
        <f t="shared" si="21"/>
        <v/>
      </c>
      <c r="I237" s="2"/>
    </row>
    <row r="238" spans="1:15" x14ac:dyDescent="0.25">
      <c r="B238" s="38" t="str">
        <f>IF($A238=0,"",VLOOKUP($A238,'BASE EQUIPO'!$A:$D,2))</f>
        <v/>
      </c>
      <c r="C238" s="2"/>
      <c r="D238" s="55"/>
      <c r="E238" s="55" t="str">
        <f>IF($A238=0,"",VLOOKUP($A238,'BASE EQUIPO'!$A:$D,4))</f>
        <v/>
      </c>
      <c r="F238" s="55" t="str">
        <f t="shared" si="20"/>
        <v/>
      </c>
      <c r="G238" s="106"/>
      <c r="H238" s="56" t="str">
        <f t="shared" si="21"/>
        <v/>
      </c>
      <c r="I238" s="2"/>
    </row>
    <row r="239" spans="1:15" x14ac:dyDescent="0.25">
      <c r="B239" s="57" t="str">
        <f>IF($A239=0,"",VLOOKUP($A239,'BASE EQUIPO'!$A:$D,2))</f>
        <v/>
      </c>
      <c r="C239" s="58"/>
      <c r="D239" s="59"/>
      <c r="E239" s="59" t="str">
        <f>IF($A239=0,"",VLOOKUP($A239,'BASE EQUIPO'!$A:$D,4))</f>
        <v/>
      </c>
      <c r="F239" s="59" t="str">
        <f t="shared" si="20"/>
        <v/>
      </c>
      <c r="G239" s="107"/>
      <c r="H239" s="60" t="str">
        <f t="shared" si="21"/>
        <v/>
      </c>
      <c r="I239" s="2"/>
    </row>
    <row r="240" spans="1:15" x14ac:dyDescent="0.25">
      <c r="B240" s="57" t="s">
        <v>1692</v>
      </c>
      <c r="C240" s="58"/>
      <c r="D240" s="61"/>
      <c r="E240" s="61"/>
      <c r="F240" s="61"/>
      <c r="G240" s="62"/>
      <c r="H240" s="60">
        <f>ROUND(SUM(H233:H239),2)</f>
        <v>0.34</v>
      </c>
      <c r="I240" s="2"/>
    </row>
    <row r="241" spans="1:16" x14ac:dyDescent="0.25">
      <c r="B241" s="38" t="s">
        <v>1503</v>
      </c>
      <c r="C241" s="2"/>
      <c r="D241" s="3"/>
      <c r="E241" s="3"/>
      <c r="F241" s="3"/>
      <c r="G241" s="63"/>
      <c r="H241" s="56"/>
      <c r="I241" s="2"/>
    </row>
    <row r="242" spans="1:16" ht="25.5" x14ac:dyDescent="0.25">
      <c r="B242" s="64" t="s">
        <v>1691</v>
      </c>
      <c r="C242" s="65"/>
      <c r="D242" s="66" t="s">
        <v>1690</v>
      </c>
      <c r="E242" s="66" t="s">
        <v>1689</v>
      </c>
      <c r="F242" s="66" t="s">
        <v>1688</v>
      </c>
      <c r="G242" s="67" t="s">
        <v>1687</v>
      </c>
      <c r="H242" s="68" t="s">
        <v>1686</v>
      </c>
      <c r="I242" s="2"/>
    </row>
    <row r="243" spans="1:16" x14ac:dyDescent="0.25">
      <c r="B243" s="69" t="str">
        <f>IF($A243=0,"",VLOOKUP($A243,'BASE M-OBRA'!$A:$D,2))</f>
        <v/>
      </c>
      <c r="C243" s="2"/>
      <c r="D243" s="108"/>
      <c r="E243" s="70" t="str">
        <f>IF($A243=0,"",VLOOKUP($A243,'BASE M-OBRA'!$A:$D,4))</f>
        <v/>
      </c>
      <c r="F243" s="55" t="str">
        <f t="shared" ref="F243:F249" si="22">IF($A243=0,"",ROUND(D243*E243,2))</f>
        <v/>
      </c>
      <c r="G243" s="106" t="str">
        <f>IF($A243=0,"",ROUND(H243/F243,2))</f>
        <v/>
      </c>
      <c r="H243" s="56" t="str">
        <f>IF($A243=0,"",ROUND(SUM(H244:H249)*'BASE M-OBRA'!$D$23,2))</f>
        <v/>
      </c>
      <c r="I243" s="2"/>
    </row>
    <row r="244" spans="1:16" x14ac:dyDescent="0.25">
      <c r="A244" s="103">
        <v>20011</v>
      </c>
      <c r="B244" s="69" t="str">
        <f>IF($A244=0,"",VLOOKUP($A244,'BASE M-OBRA'!$A:$D,2))</f>
        <v>AYUDANTE ESPECIALISTA</v>
      </c>
      <c r="C244" s="2"/>
      <c r="D244" s="108">
        <v>1</v>
      </c>
      <c r="E244" s="70">
        <f>IF($A244=0,"",VLOOKUP($A244,'BASE M-OBRA'!$A:$D,4))</f>
        <v>2.79</v>
      </c>
      <c r="F244" s="55">
        <f t="shared" si="22"/>
        <v>2.79</v>
      </c>
      <c r="G244" s="106">
        <v>1.2</v>
      </c>
      <c r="H244" s="56">
        <f t="shared" ref="H244:H249" si="23">IF($A244=0,"",ROUND(G244*F244,2))</f>
        <v>3.35</v>
      </c>
      <c r="I244" s="2"/>
    </row>
    <row r="245" spans="1:16" x14ac:dyDescent="0.25">
      <c r="A245" s="103">
        <v>20016</v>
      </c>
      <c r="B245" s="69" t="str">
        <f>IF($A245=0,"",VLOOKUP($A245,'BASE M-OBRA'!$A:$D,2))</f>
        <v>GAFITERO</v>
      </c>
      <c r="C245" s="2"/>
      <c r="D245" s="108">
        <v>1</v>
      </c>
      <c r="E245" s="70">
        <f>IF($A245=0,"",VLOOKUP($A245,'BASE M-OBRA'!$A:$D,4))</f>
        <v>2.82</v>
      </c>
      <c r="F245" s="55">
        <f t="shared" si="22"/>
        <v>2.82</v>
      </c>
      <c r="G245" s="106">
        <f>+G244</f>
        <v>1.2</v>
      </c>
      <c r="H245" s="56">
        <f t="shared" si="23"/>
        <v>3.38</v>
      </c>
      <c r="I245" s="2"/>
    </row>
    <row r="246" spans="1:16" x14ac:dyDescent="0.25">
      <c r="B246" s="71" t="str">
        <f>IF($A246=0,"",VLOOKUP($A246,'BASE M-OBRA'!$A:$D,2))</f>
        <v/>
      </c>
      <c r="C246" s="2"/>
      <c r="D246" s="108"/>
      <c r="E246" s="70" t="str">
        <f>IF($A246=0,"",VLOOKUP($A246,'BASE M-OBRA'!$A:$D,4))</f>
        <v/>
      </c>
      <c r="F246" s="55" t="str">
        <f t="shared" si="22"/>
        <v/>
      </c>
      <c r="G246" s="106"/>
      <c r="H246" s="56" t="str">
        <f t="shared" si="23"/>
        <v/>
      </c>
      <c r="I246" s="2"/>
    </row>
    <row r="247" spans="1:16" x14ac:dyDescent="0.25">
      <c r="B247" s="72" t="str">
        <f>IF($A247=0,"",VLOOKUP($A247,'BASE M-OBRA'!$A:$D,2))</f>
        <v/>
      </c>
      <c r="C247" s="2"/>
      <c r="D247" s="108"/>
      <c r="E247" s="70" t="str">
        <f>IF($A247=0,"",VLOOKUP($A247,'BASE M-OBRA'!$A:$D,4))</f>
        <v/>
      </c>
      <c r="F247" s="55" t="str">
        <f t="shared" si="22"/>
        <v/>
      </c>
      <c r="G247" s="106"/>
      <c r="H247" s="56" t="str">
        <f t="shared" si="23"/>
        <v/>
      </c>
      <c r="I247" s="2"/>
    </row>
    <row r="248" spans="1:16" x14ac:dyDescent="0.25">
      <c r="B248" s="38" t="str">
        <f>IF($A248=0,"",VLOOKUP($A248,'BASE M-OBRA'!$A:$D,2))</f>
        <v/>
      </c>
      <c r="C248" s="2"/>
      <c r="D248" s="55"/>
      <c r="E248" s="55" t="str">
        <f>IF($A248=0,"",VLOOKUP($A248,'BASE M-OBRA'!$A:$D,4))</f>
        <v/>
      </c>
      <c r="F248" s="55" t="str">
        <f t="shared" si="22"/>
        <v/>
      </c>
      <c r="G248" s="106"/>
      <c r="H248" s="56" t="str">
        <f t="shared" si="23"/>
        <v/>
      </c>
      <c r="I248" s="2"/>
    </row>
    <row r="249" spans="1:16" x14ac:dyDescent="0.25">
      <c r="B249" s="57" t="str">
        <f>IF($A249=0,"",VLOOKUP($A249,'BASE M-OBRA'!$A:$D,2))</f>
        <v/>
      </c>
      <c r="C249" s="58"/>
      <c r="D249" s="59"/>
      <c r="E249" s="59" t="str">
        <f>IF($A249=0,"",VLOOKUP($A249,'BASE M-OBRA'!$A:$D,4))</f>
        <v/>
      </c>
      <c r="F249" s="59" t="str">
        <f t="shared" si="22"/>
        <v/>
      </c>
      <c r="G249" s="107"/>
      <c r="H249" s="60" t="str">
        <f t="shared" si="23"/>
        <v/>
      </c>
      <c r="I249" s="2"/>
    </row>
    <row r="250" spans="1:16" x14ac:dyDescent="0.25">
      <c r="B250" s="73" t="s">
        <v>1685</v>
      </c>
      <c r="C250" s="65"/>
      <c r="D250" s="74"/>
      <c r="E250" s="74"/>
      <c r="F250" s="74"/>
      <c r="G250" s="74"/>
      <c r="H250" s="75">
        <f>ROUND(SUM(H242:H249),2)</f>
        <v>6.73</v>
      </c>
      <c r="I250" s="2"/>
    </row>
    <row r="251" spans="1:16" x14ac:dyDescent="0.25">
      <c r="B251" s="38" t="s">
        <v>1684</v>
      </c>
      <c r="C251" s="2"/>
      <c r="D251" s="3"/>
      <c r="E251" s="3"/>
      <c r="F251" s="3"/>
      <c r="G251" s="3"/>
      <c r="H251" s="56"/>
      <c r="I251" s="2"/>
    </row>
    <row r="252" spans="1:16" ht="25.5" x14ac:dyDescent="0.25">
      <c r="B252" s="64" t="s">
        <v>1409</v>
      </c>
      <c r="C252" s="65"/>
      <c r="D252" s="76"/>
      <c r="E252" s="66" t="s">
        <v>1408</v>
      </c>
      <c r="F252" s="66" t="s">
        <v>1679</v>
      </c>
      <c r="G252" s="66" t="s">
        <v>1683</v>
      </c>
      <c r="H252" s="68" t="s">
        <v>1675</v>
      </c>
      <c r="I252" s="2"/>
    </row>
    <row r="253" spans="1:16" x14ac:dyDescent="0.25">
      <c r="A253" s="103">
        <v>1</v>
      </c>
      <c r="B253" s="37" t="s">
        <v>35</v>
      </c>
      <c r="C253" s="2"/>
      <c r="D253" s="77"/>
      <c r="E253" s="78" t="s">
        <v>25</v>
      </c>
      <c r="F253" s="55">
        <v>1.05</v>
      </c>
      <c r="G253" s="55">
        <v>4.95</v>
      </c>
      <c r="H253" s="56">
        <f t="shared" ref="H253:H267" si="24">IF($A253=0,"",ROUND(F253*G253,2))</f>
        <v>5.2</v>
      </c>
      <c r="I253" s="2"/>
      <c r="J253" s="1">
        <f>14.84/3</f>
        <v>4.9466666666666663</v>
      </c>
      <c r="L253" s="2"/>
      <c r="M253" s="2"/>
      <c r="N253" s="39"/>
      <c r="O253" s="2"/>
      <c r="P253" s="2"/>
    </row>
    <row r="254" spans="1:16" x14ac:dyDescent="0.25">
      <c r="B254" s="38"/>
      <c r="C254" s="2"/>
      <c r="D254" s="77"/>
      <c r="E254" s="78"/>
      <c r="F254" s="55"/>
      <c r="G254" s="55"/>
      <c r="H254" s="56" t="str">
        <f t="shared" si="24"/>
        <v/>
      </c>
      <c r="I254" s="2"/>
      <c r="L254" s="2"/>
      <c r="M254" s="2"/>
      <c r="N254" s="39"/>
      <c r="O254" s="2"/>
      <c r="P254" s="2"/>
    </row>
    <row r="255" spans="1:16" x14ac:dyDescent="0.25">
      <c r="A255" s="103">
        <v>1</v>
      </c>
      <c r="B255" s="38" t="s">
        <v>4</v>
      </c>
      <c r="C255" s="2"/>
      <c r="D255" s="77"/>
      <c r="E255" s="78" t="s">
        <v>2</v>
      </c>
      <c r="F255" s="55">
        <v>2.1000000000000001E-2</v>
      </c>
      <c r="G255" s="55">
        <v>12.63</v>
      </c>
      <c r="H255" s="56">
        <f t="shared" si="24"/>
        <v>0.27</v>
      </c>
      <c r="I255" s="2"/>
      <c r="L255" s="2"/>
      <c r="M255" s="2"/>
      <c r="N255" s="39"/>
      <c r="O255" s="2"/>
      <c r="P255" s="2"/>
    </row>
    <row r="256" spans="1:16" x14ac:dyDescent="0.25">
      <c r="A256" s="103">
        <v>1</v>
      </c>
      <c r="B256" s="38" t="s">
        <v>3</v>
      </c>
      <c r="C256" s="2"/>
      <c r="D256" s="77"/>
      <c r="E256" s="78" t="s">
        <v>2</v>
      </c>
      <c r="F256" s="55">
        <v>0.01</v>
      </c>
      <c r="G256" s="55">
        <v>6.89</v>
      </c>
      <c r="H256" s="56">
        <f t="shared" si="24"/>
        <v>7.0000000000000007E-2</v>
      </c>
      <c r="I256" s="2"/>
      <c r="L256" s="2"/>
      <c r="M256" s="2"/>
      <c r="N256" s="39"/>
      <c r="O256" s="2"/>
      <c r="P256" s="2"/>
    </row>
    <row r="257" spans="1:16" x14ac:dyDescent="0.25">
      <c r="B257" s="38"/>
      <c r="C257" s="2"/>
      <c r="D257" s="77"/>
      <c r="E257" s="78"/>
      <c r="F257" s="55"/>
      <c r="G257" s="55"/>
      <c r="H257" s="56" t="str">
        <f t="shared" si="24"/>
        <v/>
      </c>
      <c r="I257" s="2"/>
      <c r="L257" s="2"/>
      <c r="M257" s="2"/>
      <c r="N257" s="39"/>
      <c r="O257" s="2"/>
      <c r="P257" s="2"/>
    </row>
    <row r="258" spans="1:16" x14ac:dyDescent="0.25">
      <c r="B258" s="38"/>
      <c r="C258" s="2"/>
      <c r="D258" s="77"/>
      <c r="E258" s="78"/>
      <c r="F258" s="55"/>
      <c r="G258" s="55"/>
      <c r="H258" s="56" t="str">
        <f t="shared" si="24"/>
        <v/>
      </c>
      <c r="I258" s="2"/>
      <c r="L258" s="2"/>
      <c r="M258" s="2"/>
      <c r="N258" s="39"/>
      <c r="O258" s="2"/>
      <c r="P258" s="2"/>
    </row>
    <row r="259" spans="1:16" x14ac:dyDescent="0.25">
      <c r="B259" s="38"/>
      <c r="C259" s="2"/>
      <c r="D259" s="77"/>
      <c r="E259" s="78"/>
      <c r="F259" s="55"/>
      <c r="G259" s="55"/>
      <c r="H259" s="56" t="str">
        <f t="shared" si="24"/>
        <v/>
      </c>
      <c r="I259" s="2"/>
      <c r="L259" s="2"/>
      <c r="M259" s="2"/>
      <c r="N259" s="39"/>
      <c r="O259" s="2"/>
      <c r="P259" s="2"/>
    </row>
    <row r="260" spans="1:16" x14ac:dyDescent="0.25">
      <c r="B260" s="38"/>
      <c r="C260" s="2"/>
      <c r="D260" s="77"/>
      <c r="E260" s="78"/>
      <c r="F260" s="55"/>
      <c r="G260" s="55"/>
      <c r="H260" s="56" t="str">
        <f t="shared" si="24"/>
        <v/>
      </c>
      <c r="I260" s="2"/>
      <c r="L260" s="2"/>
      <c r="M260" s="2"/>
      <c r="N260" s="39"/>
      <c r="O260" s="2"/>
      <c r="P260" s="2"/>
    </row>
    <row r="261" spans="1:16" x14ac:dyDescent="0.25">
      <c r="B261" s="38"/>
      <c r="C261" s="2"/>
      <c r="D261" s="77"/>
      <c r="E261" s="78"/>
      <c r="F261" s="55"/>
      <c r="G261" s="55"/>
      <c r="H261" s="56" t="str">
        <f t="shared" si="24"/>
        <v/>
      </c>
      <c r="I261" s="2"/>
    </row>
    <row r="262" spans="1:16" x14ac:dyDescent="0.25">
      <c r="B262" s="38" t="str">
        <f>IF($A262=0,"",VLOOKUP($A262,'BASE MATERIAL'!$A:$D,2))</f>
        <v/>
      </c>
      <c r="C262" s="2"/>
      <c r="D262" s="77"/>
      <c r="E262" s="78" t="str">
        <f>IF($A262=0,"",VLOOKUP($A262,'BASE MATERIAL'!$A:$D,3))</f>
        <v/>
      </c>
      <c r="F262" s="55"/>
      <c r="G262" s="55" t="str">
        <f>IF($A262=0,"",VLOOKUP($A262,'BASE MATERIAL'!$A:$D,4))</f>
        <v/>
      </c>
      <c r="H262" s="56" t="str">
        <f t="shared" si="24"/>
        <v/>
      </c>
      <c r="I262" s="2"/>
      <c r="L262" s="2"/>
      <c r="M262" s="2"/>
      <c r="N262" s="39"/>
      <c r="O262" s="2"/>
      <c r="P262" s="2"/>
    </row>
    <row r="263" spans="1:16" x14ac:dyDescent="0.25">
      <c r="B263" s="38" t="str">
        <f>IF($A263=0,"",VLOOKUP($A263,'BASE MATERIAL'!$A:$D,2))</f>
        <v/>
      </c>
      <c r="C263" s="2"/>
      <c r="D263" s="77"/>
      <c r="E263" s="78" t="str">
        <f>IF($A263=0,"",VLOOKUP($A263,'BASE MATERIAL'!$A:$D,3))</f>
        <v/>
      </c>
      <c r="F263" s="55"/>
      <c r="G263" s="55" t="str">
        <f>IF($A263=0,"",VLOOKUP($A263,'BASE MATERIAL'!$A:$D,4))</f>
        <v/>
      </c>
      <c r="H263" s="56" t="str">
        <f t="shared" si="24"/>
        <v/>
      </c>
      <c r="I263" s="2"/>
      <c r="L263" s="2"/>
      <c r="M263" s="2"/>
      <c r="N263" s="39"/>
      <c r="O263" s="2"/>
      <c r="P263" s="2"/>
    </row>
    <row r="264" spans="1:16" x14ac:dyDescent="0.25">
      <c r="B264" s="38" t="str">
        <f>IF($A264=0,"",VLOOKUP($A264,'BASE MATERIAL'!$A:$D,2))</f>
        <v/>
      </c>
      <c r="C264" s="2"/>
      <c r="D264" s="77"/>
      <c r="E264" s="78" t="str">
        <f>IF($A264=0,"",VLOOKUP($A264,'BASE MATERIAL'!$A:$D,3))</f>
        <v/>
      </c>
      <c r="F264" s="55"/>
      <c r="G264" s="55" t="str">
        <f>IF($A264=0,"",VLOOKUP($A264,'BASE MATERIAL'!$A:$D,4))</f>
        <v/>
      </c>
      <c r="H264" s="56" t="str">
        <f t="shared" si="24"/>
        <v/>
      </c>
      <c r="I264" s="2"/>
    </row>
    <row r="265" spans="1:16" x14ac:dyDescent="0.25">
      <c r="B265" s="38" t="str">
        <f>IF($A265=0,"",VLOOKUP($A265,'BASE MATERIAL'!$A:$D,2))</f>
        <v/>
      </c>
      <c r="C265" s="2"/>
      <c r="D265" s="77"/>
      <c r="E265" s="78" t="str">
        <f>IF($A265=0,"",VLOOKUP($A265,'BASE MATERIAL'!$A:$D,3))</f>
        <v/>
      </c>
      <c r="F265" s="55"/>
      <c r="G265" s="55" t="str">
        <f>IF($A265=0,"",VLOOKUP($A265,'BASE MATERIAL'!$A:$D,4))</f>
        <v/>
      </c>
      <c r="H265" s="56" t="str">
        <f t="shared" si="24"/>
        <v/>
      </c>
      <c r="I265" s="2"/>
    </row>
    <row r="266" spans="1:16" x14ac:dyDescent="0.25">
      <c r="B266" s="38" t="str">
        <f>IF($A266=0,"",VLOOKUP($A266,'BASE MATERIAL'!$A:$D,2))</f>
        <v/>
      </c>
      <c r="C266" s="2"/>
      <c r="D266" s="77"/>
      <c r="E266" s="78" t="str">
        <f>IF($A266=0,"",VLOOKUP($A266,'BASE MATERIAL'!$A:$D,3))</f>
        <v/>
      </c>
      <c r="F266" s="55"/>
      <c r="G266" s="55" t="str">
        <f>IF($A266=0,"",VLOOKUP($A266,'BASE MATERIAL'!$A:$D,4))</f>
        <v/>
      </c>
      <c r="H266" s="56" t="str">
        <f t="shared" si="24"/>
        <v/>
      </c>
      <c r="I266" s="2"/>
    </row>
    <row r="267" spans="1:16" x14ac:dyDescent="0.25">
      <c r="B267" s="38" t="str">
        <f>IF($A267=0,"",VLOOKUP($A267,'BASE MATERIAL'!$A:$D,2))</f>
        <v/>
      </c>
      <c r="C267" s="2"/>
      <c r="D267" s="77"/>
      <c r="E267" s="78" t="str">
        <f>IF($A267=0,"",VLOOKUP($A267,'BASE MATERIAL'!$A:$D,3))</f>
        <v/>
      </c>
      <c r="F267" s="55"/>
      <c r="G267" s="55" t="str">
        <f>IF($A267=0,"",VLOOKUP($A267,'BASE MATERIAL'!$A:$D,4))</f>
        <v/>
      </c>
      <c r="H267" s="56" t="str">
        <f t="shared" si="24"/>
        <v/>
      </c>
      <c r="I267" s="2"/>
    </row>
    <row r="268" spans="1:16" x14ac:dyDescent="0.25">
      <c r="B268" s="38" t="str">
        <f>IF($A268=0,"",VLOOKUP($A268,'BASE MATERIAL'!$A:$D,2))</f>
        <v/>
      </c>
      <c r="C268" s="2"/>
      <c r="D268" s="81" t="s">
        <v>1682</v>
      </c>
      <c r="E268" s="55" t="str">
        <f>IF($A268=0,"",VLOOKUP($A268,'BASE MATERIAL'!$A:$D,3))</f>
        <v/>
      </c>
      <c r="F268" s="55" t="s">
        <v>1682</v>
      </c>
      <c r="G268" s="55" t="str">
        <f>IF($A268=0,"",VLOOKUP($A268,'BASE MATERIAL'!$A:$D,4))</f>
        <v/>
      </c>
      <c r="H268" s="56" t="str">
        <f>IF($A268=0,"",ROUND(E268*F268,2))</f>
        <v/>
      </c>
      <c r="I268" s="2"/>
    </row>
    <row r="269" spans="1:16" x14ac:dyDescent="0.25">
      <c r="B269" s="73" t="s">
        <v>1681</v>
      </c>
      <c r="C269" s="65"/>
      <c r="D269" s="74"/>
      <c r="E269" s="74"/>
      <c r="F269" s="74"/>
      <c r="G269" s="74"/>
      <c r="H269" s="75">
        <f>ROUND(SUM(H252:H268),2)</f>
        <v>5.54</v>
      </c>
      <c r="I269" s="2"/>
    </row>
    <row r="270" spans="1:16" x14ac:dyDescent="0.25">
      <c r="B270" s="38" t="s">
        <v>1680</v>
      </c>
      <c r="C270" s="2"/>
      <c r="D270" s="3"/>
      <c r="E270" s="3"/>
      <c r="F270" s="3"/>
      <c r="G270" s="3"/>
      <c r="H270" s="56"/>
      <c r="I270" s="2"/>
    </row>
    <row r="271" spans="1:16" ht="25.5" x14ac:dyDescent="0.25">
      <c r="B271" s="64" t="s">
        <v>1409</v>
      </c>
      <c r="C271" s="65"/>
      <c r="D271" s="76"/>
      <c r="E271" s="66" t="s">
        <v>1408</v>
      </c>
      <c r="F271" s="66" t="s">
        <v>1679</v>
      </c>
      <c r="G271" s="66" t="s">
        <v>1676</v>
      </c>
      <c r="H271" s="68" t="s">
        <v>1675</v>
      </c>
      <c r="I271" s="2"/>
    </row>
    <row r="272" spans="1:16" x14ac:dyDescent="0.25">
      <c r="A272" s="103">
        <v>19019</v>
      </c>
      <c r="B272" s="51" t="str">
        <f>IF($A272=0,"",VLOOKUP($A272,'BASE EQUIPO'!$A:$D,2))</f>
        <v>TRANSPORTE DE MATERIAL</v>
      </c>
      <c r="C272" s="52"/>
      <c r="D272" s="82"/>
      <c r="E272" s="78" t="str">
        <f>IF($A272=0,"",VLOOKUP($A272,'BASE EQUIPO'!$A:$D,3))</f>
        <v>GLOBAL</v>
      </c>
      <c r="F272" s="55">
        <v>1</v>
      </c>
      <c r="G272" s="83">
        <f>IF($A272=0,"",VLOOKUP($A272,'BASE EQUIPO'!$A:$D,4)*H269)</f>
        <v>0.16619999999999999</v>
      </c>
      <c r="H272" s="56">
        <f>IF($A272=0,"",ROUND(F272*G272,2))</f>
        <v>0.17</v>
      </c>
      <c r="I272" s="2"/>
    </row>
    <row r="273" spans="1:15" x14ac:dyDescent="0.25">
      <c r="B273" s="38" t="str">
        <f>IF($A273=0,"",VLOOKUP($A273,'BASE EQUIPO'!$A:$D,2))</f>
        <v/>
      </c>
      <c r="C273" s="2"/>
      <c r="D273" s="84"/>
      <c r="E273" s="78" t="str">
        <f>IF($A273=0,"",VLOOKUP($A273,'BASE EQUIPO'!$A:$D,3))</f>
        <v/>
      </c>
      <c r="F273" s="55"/>
      <c r="G273" s="55" t="str">
        <f>IF($A273=0,"",VLOOKUP($A273,'BASE EQUIPO'!$A:$D,4)*H270)</f>
        <v/>
      </c>
      <c r="H273" s="56" t="str">
        <f>IF($A273=0,"",ROUND(F273*G273,2))</f>
        <v/>
      </c>
      <c r="I273" s="2"/>
    </row>
    <row r="274" spans="1:15" x14ac:dyDescent="0.25">
      <c r="B274" s="57" t="str">
        <f>IF($A274=0,"",VLOOKUP($A274,'BASE EQUIPO'!$A:$D,2))</f>
        <v/>
      </c>
      <c r="C274" s="58"/>
      <c r="D274" s="85"/>
      <c r="E274" s="86" t="str">
        <f>IF($A274=0,"",VLOOKUP($A274,'BASE EQUIPO'!$A:$D,3))</f>
        <v/>
      </c>
      <c r="F274" s="59"/>
      <c r="G274" s="59" t="str">
        <f>IF($A274=0,"",VLOOKUP($A274,'BASE EQUIPO'!$A:$D,4)*H271)</f>
        <v/>
      </c>
      <c r="H274" s="60" t="str">
        <f>IF($A274=0,"",ROUND(F274*G274,2))</f>
        <v/>
      </c>
      <c r="I274" s="2"/>
    </row>
    <row r="275" spans="1:15" ht="15.75" thickBot="1" x14ac:dyDescent="0.3">
      <c r="B275" s="87" t="s">
        <v>1674</v>
      </c>
      <c r="C275" s="88"/>
      <c r="D275" s="89"/>
      <c r="E275" s="89"/>
      <c r="F275" s="89"/>
      <c r="G275" s="89"/>
      <c r="H275" s="90">
        <f>ROUND(SUM(H271:H274),2)</f>
        <v>0.17</v>
      </c>
      <c r="I275" s="2"/>
    </row>
    <row r="276" spans="1:15" ht="15.75" x14ac:dyDescent="0.25">
      <c r="B276" s="2"/>
      <c r="C276" s="2"/>
      <c r="D276" s="91" t="s">
        <v>1673</v>
      </c>
      <c r="E276" s="47"/>
      <c r="F276" s="47"/>
      <c r="G276" s="47"/>
      <c r="H276" s="92">
        <f>ROUND(SUM(H275,H269,H250,H240),2)</f>
        <v>12.78</v>
      </c>
      <c r="I276" s="2"/>
    </row>
    <row r="277" spans="1:15" ht="15.75" x14ac:dyDescent="0.25">
      <c r="A277" s="103">
        <v>40002</v>
      </c>
      <c r="B277" s="2"/>
      <c r="C277" s="2"/>
      <c r="D277" s="93" t="s">
        <v>1672</v>
      </c>
      <c r="E277" s="65"/>
      <c r="F277" s="65"/>
      <c r="G277" s="94">
        <f>IF($A277=0,"",VLOOKUP($A277,'BASE MATERIAL'!$M:$P,4))</f>
        <v>0</v>
      </c>
      <c r="H277" s="95">
        <f>IF($A277=0,"",ROUND(G277*H276,2))</f>
        <v>0</v>
      </c>
      <c r="I277" s="2"/>
    </row>
    <row r="278" spans="1:15" ht="15.75" x14ac:dyDescent="0.25">
      <c r="A278" s="103">
        <v>40003</v>
      </c>
      <c r="B278" s="2"/>
      <c r="C278" s="2"/>
      <c r="D278" s="93" t="s">
        <v>1671</v>
      </c>
      <c r="E278" s="65"/>
      <c r="F278" s="65"/>
      <c r="G278" s="94">
        <f>IF($A278=0,"",VLOOKUP($A278,'BASE MATERIAL'!$M:$P,4))</f>
        <v>0</v>
      </c>
      <c r="H278" s="95">
        <f>IF($A278=0,"",ROUND(G278*H276,2))</f>
        <v>0</v>
      </c>
      <c r="I278" s="2"/>
    </row>
    <row r="279" spans="1:15" ht="15.75" x14ac:dyDescent="0.25">
      <c r="B279" s="2"/>
      <c r="C279" s="2"/>
      <c r="D279" s="93" t="s">
        <v>1670</v>
      </c>
      <c r="E279" s="65"/>
      <c r="F279" s="65"/>
      <c r="G279" s="65"/>
      <c r="H279" s="96">
        <f>ROUND(SUM(H276:H278),2)</f>
        <v>12.78</v>
      </c>
      <c r="I279" s="2"/>
    </row>
    <row r="280" spans="1:15" ht="16.5" thickBot="1" x14ac:dyDescent="0.3">
      <c r="B280" s="25"/>
      <c r="C280" s="2"/>
      <c r="D280" s="97" t="s">
        <v>1650</v>
      </c>
      <c r="E280" s="88"/>
      <c r="F280" s="88"/>
      <c r="G280" s="88"/>
      <c r="H280" s="98">
        <f>ROUND(H279,2)</f>
        <v>12.78</v>
      </c>
      <c r="I280" s="2"/>
    </row>
    <row r="281" spans="1:15" ht="15.75" x14ac:dyDescent="0.25">
      <c r="B281" s="34" t="s">
        <v>1701</v>
      </c>
      <c r="C281" s="2"/>
      <c r="D281" s="3" t="str">
        <f>$D$57</f>
        <v>ESPOL</v>
      </c>
      <c r="E281" s="2"/>
      <c r="F281" s="2"/>
      <c r="H281" s="2" t="s">
        <v>108</v>
      </c>
      <c r="I281" s="2"/>
      <c r="L281" s="40">
        <f>A285</f>
        <v>13</v>
      </c>
      <c r="M281" s="1" t="str">
        <f>C286</f>
        <v>Bajante PVC des ø 110mm</v>
      </c>
      <c r="N281" s="2" t="str">
        <f>H285</f>
        <v>ml</v>
      </c>
      <c r="O281" s="2">
        <f>H336</f>
        <v>13.26</v>
      </c>
    </row>
    <row r="282" spans="1:15" ht="15.75" x14ac:dyDescent="0.25">
      <c r="B282" s="34" t="s">
        <v>1700</v>
      </c>
      <c r="C282" s="3">
        <f>'1.1'!$C$2</f>
        <v>0</v>
      </c>
      <c r="D282" s="2"/>
      <c r="E282" s="2"/>
      <c r="F282" s="2"/>
      <c r="G282" s="41" t="s">
        <v>1699</v>
      </c>
      <c r="H282" s="42"/>
      <c r="I282" s="2" t="s">
        <v>1698</v>
      </c>
    </row>
    <row r="283" spans="1:15" ht="15.75" x14ac:dyDescent="0.25">
      <c r="B283" s="34"/>
      <c r="C283" s="3">
        <f>'1.1'!$C$3</f>
        <v>0</v>
      </c>
      <c r="D283" s="2"/>
      <c r="E283" s="2"/>
      <c r="F283" s="2"/>
      <c r="G283" s="2"/>
      <c r="H283" s="2"/>
      <c r="I283" s="2"/>
    </row>
    <row r="284" spans="1:15" ht="15.75" x14ac:dyDescent="0.25">
      <c r="B284" s="34" t="s">
        <v>1697</v>
      </c>
      <c r="C284" s="3"/>
      <c r="D284" s="2"/>
      <c r="E284" s="2"/>
      <c r="F284" s="2"/>
      <c r="G284" s="2"/>
      <c r="H284" s="2"/>
      <c r="I284" s="2"/>
    </row>
    <row r="285" spans="1:15" x14ac:dyDescent="0.25">
      <c r="A285" s="104">
        <v>13</v>
      </c>
      <c r="B285" s="2" t="s">
        <v>1586</v>
      </c>
      <c r="C285" s="101" t="s">
        <v>702</v>
      </c>
      <c r="D285" s="2"/>
      <c r="G285" s="2" t="s">
        <v>1696</v>
      </c>
      <c r="H285" s="3" t="s">
        <v>961</v>
      </c>
      <c r="I285" s="2"/>
    </row>
    <row r="286" spans="1:15" x14ac:dyDescent="0.25">
      <c r="B286" s="1" t="s">
        <v>1585</v>
      </c>
      <c r="C286" s="36" t="s">
        <v>1513</v>
      </c>
      <c r="D286" s="2"/>
      <c r="E286" s="2"/>
      <c r="F286" s="2"/>
      <c r="G286" s="2"/>
      <c r="H286" s="2"/>
      <c r="I286" s="2"/>
    </row>
    <row r="287" spans="1:15" ht="15.75" thickBot="1" x14ac:dyDescent="0.3">
      <c r="D287" s="2"/>
      <c r="E287" s="2"/>
      <c r="F287" s="2"/>
      <c r="G287" s="2"/>
      <c r="H287" s="2"/>
      <c r="I287" s="2"/>
    </row>
    <row r="288" spans="1:15" ht="15.75" thickBot="1" x14ac:dyDescent="0.3">
      <c r="B288" s="43" t="s">
        <v>1695</v>
      </c>
      <c r="C288" s="44"/>
      <c r="D288" s="44"/>
      <c r="E288" s="44"/>
      <c r="F288" s="44"/>
      <c r="G288" s="44"/>
      <c r="H288" s="45"/>
      <c r="I288" s="2"/>
    </row>
    <row r="289" spans="1:9" ht="25.5" x14ac:dyDescent="0.25">
      <c r="B289" s="46" t="s">
        <v>1409</v>
      </c>
      <c r="C289" s="47"/>
      <c r="D289" s="48" t="s">
        <v>1690</v>
      </c>
      <c r="E289" s="48" t="s">
        <v>1694</v>
      </c>
      <c r="F289" s="48" t="s">
        <v>1693</v>
      </c>
      <c r="G289" s="49" t="s">
        <v>1687</v>
      </c>
      <c r="H289" s="50" t="s">
        <v>1686</v>
      </c>
      <c r="I289" s="2"/>
    </row>
    <row r="290" spans="1:9" x14ac:dyDescent="0.25">
      <c r="A290" s="103">
        <v>19016</v>
      </c>
      <c r="B290" s="51" t="str">
        <f>IF($A290=0,"",VLOOKUP($A290,'BASE EQUIPO'!$A:$D,2))</f>
        <v>HERRAMIENTA MENOR</v>
      </c>
      <c r="C290" s="52"/>
      <c r="D290" s="53">
        <v>1</v>
      </c>
      <c r="E290" s="53">
        <f>IF($A290=0,"",VLOOKUP($A290,'BASE EQUIPO'!$A:$D,4)*H306)</f>
        <v>0.33650000000000002</v>
      </c>
      <c r="F290" s="53">
        <f t="shared" ref="F290:F295" si="25">IF($A290=0,"",ROUND(D290*E290,2))</f>
        <v>0.34</v>
      </c>
      <c r="G290" s="105">
        <v>1</v>
      </c>
      <c r="H290" s="54">
        <f t="shared" ref="H290:H295" si="26">IF($A290=0,"",ROUND(G290*F290,2))</f>
        <v>0.34</v>
      </c>
      <c r="I290" s="2"/>
    </row>
    <row r="291" spans="1:9" x14ac:dyDescent="0.25">
      <c r="B291" s="38" t="str">
        <f>IF($A291=0,"",VLOOKUP($A291,'BASE EQUIPO'!$A:$D,2))</f>
        <v/>
      </c>
      <c r="C291" s="2"/>
      <c r="D291" s="55"/>
      <c r="E291" s="55" t="str">
        <f>IF($A291=0,"",VLOOKUP($A291,'BASE EQUIPO'!$A:$D,4))</f>
        <v/>
      </c>
      <c r="F291" s="55" t="str">
        <f t="shared" si="25"/>
        <v/>
      </c>
      <c r="G291" s="106"/>
      <c r="H291" s="56" t="str">
        <f t="shared" si="26"/>
        <v/>
      </c>
      <c r="I291" s="2"/>
    </row>
    <row r="292" spans="1:9" x14ac:dyDescent="0.25">
      <c r="B292" s="38" t="str">
        <f>IF($A292=0,"",VLOOKUP($A292,'BASE EQUIPO'!$A:$D,2))</f>
        <v/>
      </c>
      <c r="C292" s="2"/>
      <c r="D292" s="55"/>
      <c r="E292" s="55" t="str">
        <f>IF($A292=0,"",VLOOKUP($A292,'BASE EQUIPO'!$A:$D,4))</f>
        <v/>
      </c>
      <c r="F292" s="55" t="str">
        <f t="shared" si="25"/>
        <v/>
      </c>
      <c r="G292" s="106"/>
      <c r="H292" s="56" t="str">
        <f t="shared" si="26"/>
        <v/>
      </c>
      <c r="I292" s="2"/>
    </row>
    <row r="293" spans="1:9" x14ac:dyDescent="0.25">
      <c r="B293" s="38" t="str">
        <f>IF($A293=0,"",VLOOKUP($A293,'BASE EQUIPO'!$A:$D,2))</f>
        <v/>
      </c>
      <c r="C293" s="2"/>
      <c r="D293" s="55"/>
      <c r="E293" s="55" t="str">
        <f>IF($A293=0,"",VLOOKUP($A293,'BASE EQUIPO'!$A:$D,4))</f>
        <v/>
      </c>
      <c r="F293" s="55" t="str">
        <f t="shared" si="25"/>
        <v/>
      </c>
      <c r="G293" s="106"/>
      <c r="H293" s="56" t="str">
        <f t="shared" si="26"/>
        <v/>
      </c>
      <c r="I293" s="2"/>
    </row>
    <row r="294" spans="1:9" x14ac:dyDescent="0.25">
      <c r="B294" s="38" t="str">
        <f>IF($A294=0,"",VLOOKUP($A294,'BASE EQUIPO'!$A:$D,2))</f>
        <v/>
      </c>
      <c r="C294" s="2"/>
      <c r="D294" s="55"/>
      <c r="E294" s="55" t="str">
        <f>IF($A294=0,"",VLOOKUP($A294,'BASE EQUIPO'!$A:$D,4))</f>
        <v/>
      </c>
      <c r="F294" s="55" t="str">
        <f t="shared" si="25"/>
        <v/>
      </c>
      <c r="G294" s="106"/>
      <c r="H294" s="56" t="str">
        <f t="shared" si="26"/>
        <v/>
      </c>
      <c r="I294" s="2"/>
    </row>
    <row r="295" spans="1:9" x14ac:dyDescent="0.25">
      <c r="B295" s="57" t="str">
        <f>IF($A295=0,"",VLOOKUP($A295,'BASE EQUIPO'!$A:$D,2))</f>
        <v/>
      </c>
      <c r="C295" s="58"/>
      <c r="D295" s="59"/>
      <c r="E295" s="59" t="str">
        <f>IF($A295=0,"",VLOOKUP($A295,'BASE EQUIPO'!$A:$D,4))</f>
        <v/>
      </c>
      <c r="F295" s="59" t="str">
        <f t="shared" si="25"/>
        <v/>
      </c>
      <c r="G295" s="107"/>
      <c r="H295" s="60" t="str">
        <f t="shared" si="26"/>
        <v/>
      </c>
      <c r="I295" s="2"/>
    </row>
    <row r="296" spans="1:9" x14ac:dyDescent="0.25">
      <c r="B296" s="57" t="s">
        <v>1692</v>
      </c>
      <c r="C296" s="58"/>
      <c r="D296" s="61"/>
      <c r="E296" s="61"/>
      <c r="F296" s="61"/>
      <c r="G296" s="62"/>
      <c r="H296" s="60">
        <f>ROUND(SUM(H289:H295),2)</f>
        <v>0.34</v>
      </c>
      <c r="I296" s="2"/>
    </row>
    <row r="297" spans="1:9" x14ac:dyDescent="0.25">
      <c r="B297" s="38" t="s">
        <v>1503</v>
      </c>
      <c r="C297" s="2"/>
      <c r="D297" s="3"/>
      <c r="E297" s="3"/>
      <c r="F297" s="3"/>
      <c r="G297" s="63"/>
      <c r="H297" s="56"/>
      <c r="I297" s="2"/>
    </row>
    <row r="298" spans="1:9" ht="25.5" x14ac:dyDescent="0.25">
      <c r="B298" s="64" t="s">
        <v>1691</v>
      </c>
      <c r="C298" s="65"/>
      <c r="D298" s="66" t="s">
        <v>1690</v>
      </c>
      <c r="E298" s="66" t="s">
        <v>1689</v>
      </c>
      <c r="F298" s="66" t="s">
        <v>1688</v>
      </c>
      <c r="G298" s="67" t="s">
        <v>1687</v>
      </c>
      <c r="H298" s="68" t="s">
        <v>1686</v>
      </c>
      <c r="I298" s="2"/>
    </row>
    <row r="299" spans="1:9" x14ac:dyDescent="0.25">
      <c r="B299" s="69" t="str">
        <f>IF($A299=0,"",VLOOKUP($A299,'BASE M-OBRA'!$A:$D,2))</f>
        <v/>
      </c>
      <c r="C299" s="2"/>
      <c r="D299" s="108"/>
      <c r="E299" s="70" t="str">
        <f>IF($A299=0,"",VLOOKUP($A299,'BASE M-OBRA'!$A:$D,4))</f>
        <v/>
      </c>
      <c r="F299" s="55" t="str">
        <f t="shared" ref="F299:F305" si="27">IF($A299=0,"",ROUND(D299*E299,2))</f>
        <v/>
      </c>
      <c r="G299" s="106" t="str">
        <f>IF($A299=0,"",ROUND(H299/F299,2))</f>
        <v/>
      </c>
      <c r="H299" s="56" t="str">
        <f>IF($A299=0,"",ROUND(SUM(H300:H305)*'BASE M-OBRA'!$D$23,2))</f>
        <v/>
      </c>
      <c r="I299" s="2"/>
    </row>
    <row r="300" spans="1:9" x14ac:dyDescent="0.25">
      <c r="A300" s="103">
        <v>20011</v>
      </c>
      <c r="B300" s="69" t="str">
        <f>IF($A300=0,"",VLOOKUP($A300,'BASE M-OBRA'!$A:$D,2))</f>
        <v>AYUDANTE ESPECIALISTA</v>
      </c>
      <c r="C300" s="2"/>
      <c r="D300" s="108">
        <v>1</v>
      </c>
      <c r="E300" s="70">
        <f>IF($A300=0,"",VLOOKUP($A300,'BASE M-OBRA'!$A:$D,4))</f>
        <v>2.79</v>
      </c>
      <c r="F300" s="55">
        <f t="shared" si="27"/>
        <v>2.79</v>
      </c>
      <c r="G300" s="106">
        <v>1.2</v>
      </c>
      <c r="H300" s="56">
        <f t="shared" ref="H300:H305" si="28">IF($A300=0,"",ROUND(G300*F300,2))</f>
        <v>3.35</v>
      </c>
      <c r="I300" s="2"/>
    </row>
    <row r="301" spans="1:9" x14ac:dyDescent="0.25">
      <c r="A301" s="103">
        <v>20016</v>
      </c>
      <c r="B301" s="69" t="str">
        <f>IF($A301=0,"",VLOOKUP($A301,'BASE M-OBRA'!$A:$D,2))</f>
        <v>GAFITERO</v>
      </c>
      <c r="C301" s="2"/>
      <c r="D301" s="108">
        <v>1</v>
      </c>
      <c r="E301" s="70">
        <f>IF($A301=0,"",VLOOKUP($A301,'BASE M-OBRA'!$A:$D,4))</f>
        <v>2.82</v>
      </c>
      <c r="F301" s="55">
        <f t="shared" si="27"/>
        <v>2.82</v>
      </c>
      <c r="G301" s="106">
        <f>+G300</f>
        <v>1.2</v>
      </c>
      <c r="H301" s="56">
        <f t="shared" si="28"/>
        <v>3.38</v>
      </c>
      <c r="I301" s="2"/>
    </row>
    <row r="302" spans="1:9" x14ac:dyDescent="0.25">
      <c r="B302" s="71" t="str">
        <f>IF($A302=0,"",VLOOKUP($A302,'BASE M-OBRA'!$A:$D,2))</f>
        <v/>
      </c>
      <c r="C302" s="2"/>
      <c r="D302" s="108"/>
      <c r="E302" s="70" t="str">
        <f>IF($A302=0,"",VLOOKUP($A302,'BASE M-OBRA'!$A:$D,4))</f>
        <v/>
      </c>
      <c r="F302" s="55" t="str">
        <f t="shared" si="27"/>
        <v/>
      </c>
      <c r="G302" s="106"/>
      <c r="H302" s="56" t="str">
        <f t="shared" si="28"/>
        <v/>
      </c>
      <c r="I302" s="2"/>
    </row>
    <row r="303" spans="1:9" x14ac:dyDescent="0.25">
      <c r="B303" s="72" t="str">
        <f>IF($A303=0,"",VLOOKUP($A303,'BASE M-OBRA'!$A:$D,2))</f>
        <v/>
      </c>
      <c r="C303" s="2"/>
      <c r="D303" s="108"/>
      <c r="E303" s="70" t="str">
        <f>IF($A303=0,"",VLOOKUP($A303,'BASE M-OBRA'!$A:$D,4))</f>
        <v/>
      </c>
      <c r="F303" s="55" t="str">
        <f t="shared" si="27"/>
        <v/>
      </c>
      <c r="G303" s="106"/>
      <c r="H303" s="56" t="str">
        <f t="shared" si="28"/>
        <v/>
      </c>
      <c r="I303" s="2"/>
    </row>
    <row r="304" spans="1:9" x14ac:dyDescent="0.25">
      <c r="B304" s="38" t="str">
        <f>IF($A304=0,"",VLOOKUP($A304,'BASE M-OBRA'!$A:$D,2))</f>
        <v/>
      </c>
      <c r="C304" s="2"/>
      <c r="D304" s="55"/>
      <c r="E304" s="55" t="str">
        <f>IF($A304=0,"",VLOOKUP($A304,'BASE M-OBRA'!$A:$D,4))</f>
        <v/>
      </c>
      <c r="F304" s="55" t="str">
        <f t="shared" si="27"/>
        <v/>
      </c>
      <c r="G304" s="106"/>
      <c r="H304" s="56" t="str">
        <f t="shared" si="28"/>
        <v/>
      </c>
      <c r="I304" s="2"/>
    </row>
    <row r="305" spans="1:16" x14ac:dyDescent="0.25">
      <c r="B305" s="57" t="str">
        <f>IF($A305=0,"",VLOOKUP($A305,'BASE M-OBRA'!$A:$D,2))</f>
        <v/>
      </c>
      <c r="C305" s="58"/>
      <c r="D305" s="59"/>
      <c r="E305" s="59" t="str">
        <f>IF($A305=0,"",VLOOKUP($A305,'BASE M-OBRA'!$A:$D,4))</f>
        <v/>
      </c>
      <c r="F305" s="59" t="str">
        <f t="shared" si="27"/>
        <v/>
      </c>
      <c r="G305" s="107"/>
      <c r="H305" s="60" t="str">
        <f t="shared" si="28"/>
        <v/>
      </c>
      <c r="I305" s="2"/>
    </row>
    <row r="306" spans="1:16" x14ac:dyDescent="0.25">
      <c r="B306" s="73" t="s">
        <v>1685</v>
      </c>
      <c r="C306" s="65"/>
      <c r="D306" s="74"/>
      <c r="E306" s="74"/>
      <c r="F306" s="74"/>
      <c r="G306" s="74"/>
      <c r="H306" s="75">
        <f>ROUND(SUM(H298:H305),2)</f>
        <v>6.73</v>
      </c>
      <c r="I306" s="2"/>
    </row>
    <row r="307" spans="1:16" x14ac:dyDescent="0.25">
      <c r="B307" s="38" t="s">
        <v>1684</v>
      </c>
      <c r="C307" s="2"/>
      <c r="D307" s="3"/>
      <c r="E307" s="3"/>
      <c r="F307" s="3"/>
      <c r="G307" s="3"/>
      <c r="H307" s="56"/>
      <c r="I307" s="2"/>
    </row>
    <row r="308" spans="1:16" ht="25.5" x14ac:dyDescent="0.25">
      <c r="B308" s="64" t="s">
        <v>1409</v>
      </c>
      <c r="C308" s="65"/>
      <c r="D308" s="76"/>
      <c r="E308" s="66" t="s">
        <v>1408</v>
      </c>
      <c r="F308" s="66" t="s">
        <v>1679</v>
      </c>
      <c r="G308" s="66" t="s">
        <v>1683</v>
      </c>
      <c r="H308" s="68" t="s">
        <v>1675</v>
      </c>
      <c r="I308" s="2"/>
    </row>
    <row r="309" spans="1:16" x14ac:dyDescent="0.25">
      <c r="A309" s="103">
        <v>1</v>
      </c>
      <c r="B309" s="109" t="s">
        <v>35</v>
      </c>
      <c r="C309" s="2"/>
      <c r="D309" s="77"/>
      <c r="E309" s="78" t="s">
        <v>25</v>
      </c>
      <c r="F309" s="55">
        <v>1.1000000000000001</v>
      </c>
      <c r="G309" s="55">
        <v>4.95</v>
      </c>
      <c r="H309" s="56">
        <f t="shared" ref="H309:H323" si="29">IF($A309=0,"",ROUND(F309*G309,2))</f>
        <v>5.45</v>
      </c>
      <c r="I309" s="2"/>
      <c r="J309" s="1">
        <f>14.84/3</f>
        <v>4.9466666666666663</v>
      </c>
      <c r="L309" s="2"/>
      <c r="M309" s="2"/>
      <c r="N309" s="39"/>
      <c r="O309" s="2"/>
      <c r="P309" s="2"/>
    </row>
    <row r="310" spans="1:16" x14ac:dyDescent="0.25">
      <c r="A310" s="103">
        <v>16001</v>
      </c>
      <c r="B310" s="38" t="str">
        <f>IF($A310=0,"",VLOOKUP($A310,'BASE MATERIAL'!$A:$D,2))</f>
        <v>ABRAZADERA 4" PVC</v>
      </c>
      <c r="C310" s="2"/>
      <c r="D310" s="77"/>
      <c r="E310" s="78" t="str">
        <f>IF($A310=0,"",VLOOKUP($A310,'BASE MATERIAL'!$A:$D,3))</f>
        <v>U</v>
      </c>
      <c r="F310" s="55">
        <v>0.35</v>
      </c>
      <c r="G310" s="55">
        <f>IF($A310=0,"",VLOOKUP($A310,'BASE MATERIAL'!$A:$D,4))</f>
        <v>0.63</v>
      </c>
      <c r="H310" s="56">
        <f t="shared" si="29"/>
        <v>0.22</v>
      </c>
      <c r="I310" s="2"/>
    </row>
    <row r="311" spans="1:16" x14ac:dyDescent="0.25">
      <c r="A311" s="103">
        <v>1</v>
      </c>
      <c r="B311" s="38" t="s">
        <v>4</v>
      </c>
      <c r="C311" s="2"/>
      <c r="D311" s="77"/>
      <c r="E311" s="78" t="s">
        <v>2</v>
      </c>
      <c r="F311" s="55">
        <v>2.1000000000000001E-2</v>
      </c>
      <c r="G311" s="55">
        <v>12.63</v>
      </c>
      <c r="H311" s="56">
        <f t="shared" si="29"/>
        <v>0.27</v>
      </c>
      <c r="I311" s="2"/>
      <c r="L311" s="2"/>
      <c r="M311" s="2"/>
      <c r="N311" s="39"/>
      <c r="O311" s="2"/>
      <c r="P311" s="2"/>
    </row>
    <row r="312" spans="1:16" x14ac:dyDescent="0.25">
      <c r="A312" s="103">
        <v>1</v>
      </c>
      <c r="B312" s="38" t="s">
        <v>3</v>
      </c>
      <c r="C312" s="2"/>
      <c r="D312" s="77"/>
      <c r="E312" s="78" t="s">
        <v>2</v>
      </c>
      <c r="F312" s="55">
        <v>0.01</v>
      </c>
      <c r="G312" s="55">
        <v>6.89</v>
      </c>
      <c r="H312" s="56">
        <f t="shared" si="29"/>
        <v>7.0000000000000007E-2</v>
      </c>
      <c r="I312" s="2"/>
      <c r="L312" s="2"/>
      <c r="M312" s="2"/>
      <c r="N312" s="39"/>
      <c r="O312" s="2"/>
      <c r="P312" s="2"/>
    </row>
    <row r="313" spans="1:16" x14ac:dyDescent="0.25">
      <c r="B313" s="38"/>
      <c r="C313" s="2"/>
      <c r="D313" s="77"/>
      <c r="E313" s="78"/>
      <c r="F313" s="55"/>
      <c r="G313" s="55"/>
      <c r="H313" s="56" t="str">
        <f t="shared" si="29"/>
        <v/>
      </c>
      <c r="I313" s="2"/>
      <c r="L313" s="2"/>
      <c r="M313" s="2"/>
      <c r="N313" s="39"/>
      <c r="O313" s="2"/>
      <c r="P313" s="2"/>
    </row>
    <row r="314" spans="1:16" x14ac:dyDescent="0.25">
      <c r="B314" s="38"/>
      <c r="C314" s="2"/>
      <c r="D314" s="77"/>
      <c r="E314" s="78"/>
      <c r="F314" s="55"/>
      <c r="G314" s="55"/>
      <c r="H314" s="56" t="str">
        <f t="shared" si="29"/>
        <v/>
      </c>
      <c r="I314" s="2"/>
      <c r="L314" s="2"/>
      <c r="M314" s="2"/>
      <c r="N314" s="39"/>
      <c r="O314" s="2"/>
      <c r="P314" s="2"/>
    </row>
    <row r="315" spans="1:16" x14ac:dyDescent="0.25">
      <c r="B315" s="38"/>
      <c r="C315" s="2"/>
      <c r="D315" s="77"/>
      <c r="E315" s="78"/>
      <c r="F315" s="55"/>
      <c r="G315" s="55"/>
      <c r="H315" s="56" t="str">
        <f t="shared" si="29"/>
        <v/>
      </c>
      <c r="I315" s="2"/>
      <c r="L315" s="2"/>
      <c r="M315" s="2"/>
      <c r="N315" s="39"/>
      <c r="O315" s="2"/>
      <c r="P315" s="2"/>
    </row>
    <row r="316" spans="1:16" x14ac:dyDescent="0.25">
      <c r="B316" s="38"/>
      <c r="C316" s="2"/>
      <c r="D316" s="77"/>
      <c r="E316" s="78"/>
      <c r="F316" s="55"/>
      <c r="G316" s="55"/>
      <c r="H316" s="56" t="str">
        <f t="shared" si="29"/>
        <v/>
      </c>
      <c r="I316" s="2"/>
      <c r="L316" s="2"/>
      <c r="M316" s="2"/>
      <c r="N316" s="39"/>
      <c r="O316" s="2"/>
      <c r="P316" s="2"/>
    </row>
    <row r="317" spans="1:16" x14ac:dyDescent="0.25">
      <c r="B317" s="38"/>
      <c r="C317" s="2"/>
      <c r="D317" s="77"/>
      <c r="E317" s="78"/>
      <c r="F317" s="55"/>
      <c r="G317" s="55"/>
      <c r="H317" s="56" t="str">
        <f t="shared" si="29"/>
        <v/>
      </c>
      <c r="I317" s="2"/>
    </row>
    <row r="318" spans="1:16" x14ac:dyDescent="0.25">
      <c r="B318" s="38" t="str">
        <f>IF($A318=0,"",VLOOKUP($A318,'BASE MATERIAL'!$A:$D,2))</f>
        <v/>
      </c>
      <c r="C318" s="2"/>
      <c r="D318" s="77"/>
      <c r="E318" s="78" t="str">
        <f>IF($A318=0,"",VLOOKUP($A318,'BASE MATERIAL'!$A:$D,3))</f>
        <v/>
      </c>
      <c r="F318" s="55"/>
      <c r="G318" s="55" t="str">
        <f>IF($A318=0,"",VLOOKUP($A318,'BASE MATERIAL'!$A:$D,4))</f>
        <v/>
      </c>
      <c r="H318" s="56" t="str">
        <f t="shared" si="29"/>
        <v/>
      </c>
      <c r="I318" s="2"/>
      <c r="L318" s="2"/>
      <c r="M318" s="2"/>
      <c r="N318" s="39"/>
      <c r="O318" s="2"/>
      <c r="P318" s="2"/>
    </row>
    <row r="319" spans="1:16" x14ac:dyDescent="0.25">
      <c r="B319" s="38" t="str">
        <f>IF($A319=0,"",VLOOKUP($A319,'BASE MATERIAL'!$A:$D,2))</f>
        <v/>
      </c>
      <c r="C319" s="2"/>
      <c r="D319" s="77"/>
      <c r="E319" s="78" t="str">
        <f>IF($A319=0,"",VLOOKUP($A319,'BASE MATERIAL'!$A:$D,3))</f>
        <v/>
      </c>
      <c r="F319" s="55"/>
      <c r="G319" s="55" t="str">
        <f>IF($A319=0,"",VLOOKUP($A319,'BASE MATERIAL'!$A:$D,4))</f>
        <v/>
      </c>
      <c r="H319" s="56" t="str">
        <f t="shared" si="29"/>
        <v/>
      </c>
      <c r="I319" s="2"/>
      <c r="L319" s="2"/>
      <c r="M319" s="2"/>
      <c r="N319" s="39"/>
      <c r="O319" s="2"/>
      <c r="P319" s="2"/>
    </row>
    <row r="320" spans="1:16" x14ac:dyDescent="0.25">
      <c r="B320" s="38" t="str">
        <f>IF($A320=0,"",VLOOKUP($A320,'BASE MATERIAL'!$A:$D,2))</f>
        <v/>
      </c>
      <c r="C320" s="2"/>
      <c r="D320" s="77"/>
      <c r="E320" s="78" t="str">
        <f>IF($A320=0,"",VLOOKUP($A320,'BASE MATERIAL'!$A:$D,3))</f>
        <v/>
      </c>
      <c r="F320" s="55"/>
      <c r="G320" s="55" t="str">
        <f>IF($A320=0,"",VLOOKUP($A320,'BASE MATERIAL'!$A:$D,4))</f>
        <v/>
      </c>
      <c r="H320" s="56" t="str">
        <f t="shared" si="29"/>
        <v/>
      </c>
      <c r="I320" s="2"/>
    </row>
    <row r="321" spans="1:9" x14ac:dyDescent="0.25">
      <c r="B321" s="38" t="str">
        <f>IF($A321=0,"",VLOOKUP($A321,'BASE MATERIAL'!$A:$D,2))</f>
        <v/>
      </c>
      <c r="C321" s="2"/>
      <c r="D321" s="77"/>
      <c r="E321" s="78" t="str">
        <f>IF($A321=0,"",VLOOKUP($A321,'BASE MATERIAL'!$A:$D,3))</f>
        <v/>
      </c>
      <c r="F321" s="55"/>
      <c r="G321" s="55" t="str">
        <f>IF($A321=0,"",VLOOKUP($A321,'BASE MATERIAL'!$A:$D,4))</f>
        <v/>
      </c>
      <c r="H321" s="56" t="str">
        <f t="shared" si="29"/>
        <v/>
      </c>
      <c r="I321" s="2"/>
    </row>
    <row r="322" spans="1:9" x14ac:dyDescent="0.25">
      <c r="B322" s="38" t="str">
        <f>IF($A322=0,"",VLOOKUP($A322,'BASE MATERIAL'!$A:$D,2))</f>
        <v/>
      </c>
      <c r="C322" s="2"/>
      <c r="D322" s="77"/>
      <c r="E322" s="78" t="str">
        <f>IF($A322=0,"",VLOOKUP($A322,'BASE MATERIAL'!$A:$D,3))</f>
        <v/>
      </c>
      <c r="F322" s="55"/>
      <c r="G322" s="55" t="str">
        <f>IF($A322=0,"",VLOOKUP($A322,'BASE MATERIAL'!$A:$D,4))</f>
        <v/>
      </c>
      <c r="H322" s="56" t="str">
        <f t="shared" si="29"/>
        <v/>
      </c>
      <c r="I322" s="2"/>
    </row>
    <row r="323" spans="1:9" x14ac:dyDescent="0.25">
      <c r="B323" s="38" t="str">
        <f>IF($A323=0,"",VLOOKUP($A323,'BASE MATERIAL'!$A:$D,2))</f>
        <v/>
      </c>
      <c r="C323" s="2"/>
      <c r="D323" s="77"/>
      <c r="E323" s="78" t="str">
        <f>IF($A323=0,"",VLOOKUP($A323,'BASE MATERIAL'!$A:$D,3))</f>
        <v/>
      </c>
      <c r="F323" s="55"/>
      <c r="G323" s="55" t="str">
        <f>IF($A323=0,"",VLOOKUP($A323,'BASE MATERIAL'!$A:$D,4))</f>
        <v/>
      </c>
      <c r="H323" s="56" t="str">
        <f t="shared" si="29"/>
        <v/>
      </c>
      <c r="I323" s="2"/>
    </row>
    <row r="324" spans="1:9" x14ac:dyDescent="0.25">
      <c r="B324" s="38" t="str">
        <f>IF($A324=0,"",VLOOKUP($A324,'BASE MATERIAL'!$A:$D,2))</f>
        <v/>
      </c>
      <c r="C324" s="2"/>
      <c r="D324" s="81" t="s">
        <v>1682</v>
      </c>
      <c r="E324" s="55" t="str">
        <f>IF($A324=0,"",VLOOKUP($A324,'BASE MATERIAL'!$A:$D,3))</f>
        <v/>
      </c>
      <c r="F324" s="55" t="s">
        <v>1682</v>
      </c>
      <c r="G324" s="55" t="str">
        <f>IF($A324=0,"",VLOOKUP($A324,'BASE MATERIAL'!$A:$D,4))</f>
        <v/>
      </c>
      <c r="H324" s="56" t="str">
        <f>IF($A324=0,"",ROUND(E324*F324,2))</f>
        <v/>
      </c>
      <c r="I324" s="2"/>
    </row>
    <row r="325" spans="1:9" x14ac:dyDescent="0.25">
      <c r="B325" s="73" t="s">
        <v>1681</v>
      </c>
      <c r="C325" s="65"/>
      <c r="D325" s="74"/>
      <c r="E325" s="74"/>
      <c r="F325" s="74"/>
      <c r="G325" s="74"/>
      <c r="H325" s="75">
        <f>ROUND(SUM(H308:H324),2)</f>
        <v>6.01</v>
      </c>
      <c r="I325" s="2"/>
    </row>
    <row r="326" spans="1:9" x14ac:dyDescent="0.25">
      <c r="B326" s="38" t="s">
        <v>1680</v>
      </c>
      <c r="C326" s="2"/>
      <c r="D326" s="3"/>
      <c r="E326" s="3"/>
      <c r="F326" s="3"/>
      <c r="G326" s="3"/>
      <c r="H326" s="56"/>
      <c r="I326" s="2"/>
    </row>
    <row r="327" spans="1:9" ht="25.5" x14ac:dyDescent="0.25">
      <c r="B327" s="64" t="s">
        <v>1409</v>
      </c>
      <c r="C327" s="65"/>
      <c r="D327" s="76"/>
      <c r="E327" s="66" t="s">
        <v>1408</v>
      </c>
      <c r="F327" s="66" t="s">
        <v>1679</v>
      </c>
      <c r="G327" s="66" t="s">
        <v>1676</v>
      </c>
      <c r="H327" s="68" t="s">
        <v>1675</v>
      </c>
      <c r="I327" s="2"/>
    </row>
    <row r="328" spans="1:9" x14ac:dyDescent="0.25">
      <c r="A328" s="103">
        <v>19019</v>
      </c>
      <c r="B328" s="51" t="str">
        <f>IF($A328=0,"",VLOOKUP($A328,'BASE EQUIPO'!$A:$D,2))</f>
        <v>TRANSPORTE DE MATERIAL</v>
      </c>
      <c r="C328" s="52"/>
      <c r="D328" s="82"/>
      <c r="E328" s="78" t="str">
        <f>IF($A328=0,"",VLOOKUP($A328,'BASE EQUIPO'!$A:$D,3))</f>
        <v>GLOBAL</v>
      </c>
      <c r="F328" s="55">
        <v>1</v>
      </c>
      <c r="G328" s="83">
        <f>IF($A328=0,"",VLOOKUP($A328,'BASE EQUIPO'!$A:$D,4)*H325)</f>
        <v>0.18029999999999999</v>
      </c>
      <c r="H328" s="56">
        <f>IF($A328=0,"",ROUND(F328*G328,2))</f>
        <v>0.18</v>
      </c>
      <c r="I328" s="2"/>
    </row>
    <row r="329" spans="1:9" x14ac:dyDescent="0.25">
      <c r="B329" s="38" t="str">
        <f>IF($A329=0,"",VLOOKUP($A329,'BASE EQUIPO'!$A:$D,2))</f>
        <v/>
      </c>
      <c r="C329" s="2"/>
      <c r="D329" s="84"/>
      <c r="E329" s="78" t="str">
        <f>IF($A329=0,"",VLOOKUP($A329,'BASE EQUIPO'!$A:$D,3))</f>
        <v/>
      </c>
      <c r="F329" s="55"/>
      <c r="G329" s="55" t="str">
        <f>IF($A329=0,"",VLOOKUP($A329,'BASE EQUIPO'!$A:$D,4)*H326)</f>
        <v/>
      </c>
      <c r="H329" s="56" t="str">
        <f>IF($A329=0,"",ROUND(F329*G329,2))</f>
        <v/>
      </c>
      <c r="I329" s="2"/>
    </row>
    <row r="330" spans="1:9" x14ac:dyDescent="0.25">
      <c r="B330" s="57" t="str">
        <f>IF($A330=0,"",VLOOKUP($A330,'BASE EQUIPO'!$A:$D,2))</f>
        <v/>
      </c>
      <c r="C330" s="58"/>
      <c r="D330" s="85"/>
      <c r="E330" s="86" t="str">
        <f>IF($A330=0,"",VLOOKUP($A330,'BASE EQUIPO'!$A:$D,3))</f>
        <v/>
      </c>
      <c r="F330" s="59"/>
      <c r="G330" s="59" t="str">
        <f>IF($A330=0,"",VLOOKUP($A330,'BASE EQUIPO'!$A:$D,4)*H327)</f>
        <v/>
      </c>
      <c r="H330" s="60" t="str">
        <f>IF($A330=0,"",ROUND(F330*G330,2))</f>
        <v/>
      </c>
      <c r="I330" s="2"/>
    </row>
    <row r="331" spans="1:9" ht="15.75" thickBot="1" x14ac:dyDescent="0.3">
      <c r="B331" s="87" t="s">
        <v>1674</v>
      </c>
      <c r="C331" s="88"/>
      <c r="D331" s="89"/>
      <c r="E331" s="89"/>
      <c r="F331" s="89"/>
      <c r="G331" s="89"/>
      <c r="H331" s="90">
        <f>ROUND(SUM(H327:H330),2)</f>
        <v>0.18</v>
      </c>
      <c r="I331" s="2"/>
    </row>
    <row r="332" spans="1:9" ht="15.75" x14ac:dyDescent="0.25">
      <c r="B332" s="2"/>
      <c r="C332" s="2"/>
      <c r="D332" s="91" t="s">
        <v>1673</v>
      </c>
      <c r="E332" s="47"/>
      <c r="F332" s="47"/>
      <c r="G332" s="47"/>
      <c r="H332" s="92">
        <f>ROUND(SUM(H331,H325,H306,H296),2)</f>
        <v>13.26</v>
      </c>
      <c r="I332" s="2"/>
    </row>
    <row r="333" spans="1:9" ht="15.75" x14ac:dyDescent="0.25">
      <c r="A333" s="103">
        <v>40002</v>
      </c>
      <c r="B333" s="2"/>
      <c r="C333" s="2"/>
      <c r="D333" s="93" t="s">
        <v>1672</v>
      </c>
      <c r="E333" s="65"/>
      <c r="F333" s="65"/>
      <c r="G333" s="94">
        <f>IF($A333=0,"",VLOOKUP($A333,'BASE MATERIAL'!$M:$P,4))</f>
        <v>0</v>
      </c>
      <c r="H333" s="95">
        <f>IF($A333=0,"",ROUND(G333*H332,2))</f>
        <v>0</v>
      </c>
      <c r="I333" s="2"/>
    </row>
    <row r="334" spans="1:9" ht="15.75" x14ac:dyDescent="0.25">
      <c r="A334" s="103">
        <v>40003</v>
      </c>
      <c r="B334" s="2"/>
      <c r="C334" s="2"/>
      <c r="D334" s="93" t="s">
        <v>1671</v>
      </c>
      <c r="E334" s="65"/>
      <c r="F334" s="65"/>
      <c r="G334" s="94">
        <f>IF($A334=0,"",VLOOKUP($A334,'BASE MATERIAL'!$M:$P,4))</f>
        <v>0</v>
      </c>
      <c r="H334" s="95">
        <f>IF($A334=0,"",ROUND(G334*H332,2))</f>
        <v>0</v>
      </c>
      <c r="I334" s="2"/>
    </row>
    <row r="335" spans="1:9" ht="15.75" x14ac:dyDescent="0.25">
      <c r="B335" s="2"/>
      <c r="C335" s="2"/>
      <c r="D335" s="93" t="s">
        <v>1670</v>
      </c>
      <c r="E335" s="65"/>
      <c r="F335" s="65"/>
      <c r="G335" s="65"/>
      <c r="H335" s="96">
        <f>ROUND(SUM(H332:H334),2)</f>
        <v>13.26</v>
      </c>
      <c r="I335" s="2"/>
    </row>
    <row r="336" spans="1:9" ht="16.5" thickBot="1" x14ac:dyDescent="0.3">
      <c r="B336" s="25"/>
      <c r="C336" s="2"/>
      <c r="D336" s="97" t="s">
        <v>1650</v>
      </c>
      <c r="E336" s="88"/>
      <c r="F336" s="88"/>
      <c r="G336" s="88"/>
      <c r="H336" s="98">
        <f>ROUND(H335,2)</f>
        <v>13.26</v>
      </c>
      <c r="I336" s="2"/>
    </row>
    <row r="337" spans="1:15" ht="15.75" x14ac:dyDescent="0.25">
      <c r="B337" s="34" t="s">
        <v>1701</v>
      </c>
      <c r="C337" s="2"/>
      <c r="D337" s="3" t="str">
        <f>$D$57</f>
        <v>ESPOL</v>
      </c>
      <c r="E337" s="2"/>
      <c r="F337" s="2"/>
      <c r="H337" s="2" t="s">
        <v>108</v>
      </c>
      <c r="I337" s="2"/>
      <c r="L337" s="40">
        <f>A341</f>
        <v>16</v>
      </c>
      <c r="M337" s="1" t="str">
        <f>C342</f>
        <v>Puntos sumideros de 110mm</v>
      </c>
      <c r="N337" s="2" t="str">
        <f>H341</f>
        <v>U</v>
      </c>
      <c r="O337" s="2">
        <f>H392</f>
        <v>22.52</v>
      </c>
    </row>
    <row r="338" spans="1:15" ht="15.75" x14ac:dyDescent="0.25">
      <c r="B338" s="34" t="s">
        <v>1700</v>
      </c>
      <c r="C338" s="3">
        <f>'1.1'!$C$2</f>
        <v>0</v>
      </c>
      <c r="D338" s="2"/>
      <c r="E338" s="2"/>
      <c r="F338" s="2"/>
      <c r="G338" s="41" t="s">
        <v>1699</v>
      </c>
      <c r="H338" s="42"/>
      <c r="I338" s="2" t="s">
        <v>1698</v>
      </c>
    </row>
    <row r="339" spans="1:15" ht="15.75" x14ac:dyDescent="0.25">
      <c r="B339" s="34"/>
      <c r="C339" s="3">
        <f>'1.1'!$C$3</f>
        <v>0</v>
      </c>
      <c r="D339" s="2"/>
      <c r="E339" s="2"/>
      <c r="F339" s="2"/>
      <c r="G339" s="2"/>
      <c r="H339" s="2"/>
      <c r="I339" s="2"/>
    </row>
    <row r="340" spans="1:15" ht="15.75" x14ac:dyDescent="0.25">
      <c r="B340" s="34" t="s">
        <v>1697</v>
      </c>
      <c r="C340" s="3"/>
      <c r="D340" s="2"/>
      <c r="E340" s="2"/>
      <c r="F340" s="2"/>
      <c r="G340" s="2"/>
      <c r="H340" s="2"/>
      <c r="I340" s="2"/>
    </row>
    <row r="341" spans="1:15" x14ac:dyDescent="0.25">
      <c r="A341" s="104">
        <v>16</v>
      </c>
      <c r="B341" s="2" t="s">
        <v>1586</v>
      </c>
      <c r="C341" s="101" t="s">
        <v>1652</v>
      </c>
      <c r="D341" s="2"/>
      <c r="G341" s="2" t="s">
        <v>1696</v>
      </c>
      <c r="H341" s="3" t="s">
        <v>744</v>
      </c>
      <c r="I341" s="2"/>
    </row>
    <row r="342" spans="1:15" x14ac:dyDescent="0.25">
      <c r="B342" s="1" t="s">
        <v>1585</v>
      </c>
      <c r="C342" s="36" t="s">
        <v>1512</v>
      </c>
      <c r="D342" s="2"/>
      <c r="E342" s="2"/>
      <c r="F342" s="2"/>
      <c r="G342" s="2"/>
      <c r="H342" s="2"/>
      <c r="I342" s="2"/>
    </row>
    <row r="343" spans="1:15" ht="15.75" thickBot="1" x14ac:dyDescent="0.3">
      <c r="D343" s="2"/>
      <c r="E343" s="2"/>
      <c r="F343" s="2"/>
      <c r="G343" s="2"/>
      <c r="H343" s="2"/>
      <c r="I343" s="2"/>
    </row>
    <row r="344" spans="1:15" ht="15.75" thickBot="1" x14ac:dyDescent="0.3">
      <c r="B344" s="43" t="s">
        <v>1695</v>
      </c>
      <c r="C344" s="44"/>
      <c r="D344" s="44"/>
      <c r="E344" s="44"/>
      <c r="F344" s="44"/>
      <c r="G344" s="44"/>
      <c r="H344" s="45"/>
      <c r="I344" s="2"/>
    </row>
    <row r="345" spans="1:15" ht="25.5" x14ac:dyDescent="0.25">
      <c r="B345" s="46" t="s">
        <v>1409</v>
      </c>
      <c r="C345" s="47"/>
      <c r="D345" s="48" t="s">
        <v>1690</v>
      </c>
      <c r="E345" s="48" t="s">
        <v>1694</v>
      </c>
      <c r="F345" s="48" t="s">
        <v>1693</v>
      </c>
      <c r="G345" s="49" t="s">
        <v>1687</v>
      </c>
      <c r="H345" s="50" t="s">
        <v>1686</v>
      </c>
      <c r="I345" s="2"/>
    </row>
    <row r="346" spans="1:15" x14ac:dyDescent="0.25">
      <c r="A346" s="103">
        <v>19015</v>
      </c>
      <c r="B346" s="51" t="str">
        <f>IF($A346=0,"",VLOOKUP($A346,'BASE EQUIPO'!$A:$D,2))</f>
        <v>HERRAMIENTA MENOR</v>
      </c>
      <c r="C346" s="52"/>
      <c r="D346" s="53">
        <v>1</v>
      </c>
      <c r="E346" s="53">
        <f>IF($A346=0,"",VLOOKUP($A346,'BASE EQUIPO'!$A:$D,4)*H362)</f>
        <v>0.46289999999999998</v>
      </c>
      <c r="F346" s="53">
        <f t="shared" ref="F346:F351" si="30">IF($A346=0,"",ROUND(D346*E346,2))</f>
        <v>0.46</v>
      </c>
      <c r="G346" s="105">
        <v>1</v>
      </c>
      <c r="H346" s="54">
        <f t="shared" ref="H346:H351" si="31">IF($A346=0,"",ROUND(G346*F346,2))</f>
        <v>0.46</v>
      </c>
      <c r="I346" s="2"/>
    </row>
    <row r="347" spans="1:15" x14ac:dyDescent="0.25">
      <c r="B347" s="38" t="str">
        <f>IF($A347=0,"",VLOOKUP($A347,'BASE EQUIPO'!$A:$D,2))</f>
        <v/>
      </c>
      <c r="C347" s="2"/>
      <c r="D347" s="55"/>
      <c r="E347" s="55" t="str">
        <f>IF($A347=0,"",VLOOKUP($A347,'BASE EQUIPO'!$A:$D,4))</f>
        <v/>
      </c>
      <c r="F347" s="55" t="str">
        <f t="shared" si="30"/>
        <v/>
      </c>
      <c r="G347" s="106"/>
      <c r="H347" s="56" t="str">
        <f t="shared" si="31"/>
        <v/>
      </c>
      <c r="I347" s="2"/>
    </row>
    <row r="348" spans="1:15" x14ac:dyDescent="0.25">
      <c r="B348" s="38" t="str">
        <f>IF($A348=0,"",VLOOKUP($A348,'BASE EQUIPO'!$A:$D,2))</f>
        <v/>
      </c>
      <c r="C348" s="2"/>
      <c r="D348" s="55"/>
      <c r="E348" s="55" t="str">
        <f>IF($A348=0,"",VLOOKUP($A348,'BASE EQUIPO'!$A:$D,4))</f>
        <v/>
      </c>
      <c r="F348" s="55" t="str">
        <f t="shared" si="30"/>
        <v/>
      </c>
      <c r="G348" s="106"/>
      <c r="H348" s="56" t="str">
        <f t="shared" si="31"/>
        <v/>
      </c>
      <c r="I348" s="2"/>
    </row>
    <row r="349" spans="1:15" x14ac:dyDescent="0.25">
      <c r="B349" s="38" t="str">
        <f>IF($A349=0,"",VLOOKUP($A349,'BASE EQUIPO'!$A:$D,2))</f>
        <v/>
      </c>
      <c r="C349" s="2"/>
      <c r="D349" s="55"/>
      <c r="E349" s="55" t="str">
        <f>IF($A349=0,"",VLOOKUP($A349,'BASE EQUIPO'!$A:$D,4))</f>
        <v/>
      </c>
      <c r="F349" s="55" t="str">
        <f t="shared" si="30"/>
        <v/>
      </c>
      <c r="G349" s="106"/>
      <c r="H349" s="56" t="str">
        <f t="shared" si="31"/>
        <v/>
      </c>
      <c r="I349" s="2"/>
    </row>
    <row r="350" spans="1:15" x14ac:dyDescent="0.25">
      <c r="B350" s="38" t="str">
        <f>IF($A350=0,"",VLOOKUP($A350,'BASE EQUIPO'!$A:$D,2))</f>
        <v/>
      </c>
      <c r="C350" s="2"/>
      <c r="D350" s="55"/>
      <c r="E350" s="55" t="str">
        <f>IF($A350=0,"",VLOOKUP($A350,'BASE EQUIPO'!$A:$D,4))</f>
        <v/>
      </c>
      <c r="F350" s="55" t="str">
        <f t="shared" si="30"/>
        <v/>
      </c>
      <c r="G350" s="106"/>
      <c r="H350" s="56" t="str">
        <f t="shared" si="31"/>
        <v/>
      </c>
      <c r="I350" s="2"/>
    </row>
    <row r="351" spans="1:15" x14ac:dyDescent="0.25">
      <c r="B351" s="57" t="str">
        <f>IF($A351=0,"",VLOOKUP($A351,'BASE EQUIPO'!$A:$D,2))</f>
        <v/>
      </c>
      <c r="C351" s="58"/>
      <c r="D351" s="59"/>
      <c r="E351" s="59" t="str">
        <f>IF($A351=0,"",VLOOKUP($A351,'BASE EQUIPO'!$A:$D,4))</f>
        <v/>
      </c>
      <c r="F351" s="59" t="str">
        <f t="shared" si="30"/>
        <v/>
      </c>
      <c r="G351" s="107"/>
      <c r="H351" s="60" t="str">
        <f t="shared" si="31"/>
        <v/>
      </c>
      <c r="I351" s="2"/>
    </row>
    <row r="352" spans="1:15" x14ac:dyDescent="0.25">
      <c r="B352" s="57" t="s">
        <v>1692</v>
      </c>
      <c r="C352" s="58"/>
      <c r="D352" s="61"/>
      <c r="E352" s="61"/>
      <c r="F352" s="61"/>
      <c r="G352" s="62"/>
      <c r="H352" s="60">
        <f>ROUND(SUM(H345:H351),2)</f>
        <v>0.46</v>
      </c>
      <c r="I352" s="2"/>
    </row>
    <row r="353" spans="1:16" x14ac:dyDescent="0.25">
      <c r="B353" s="38" t="s">
        <v>1503</v>
      </c>
      <c r="C353" s="2"/>
      <c r="D353" s="3"/>
      <c r="E353" s="3"/>
      <c r="F353" s="3"/>
      <c r="G353" s="63"/>
      <c r="H353" s="56"/>
      <c r="I353" s="2"/>
    </row>
    <row r="354" spans="1:16" ht="25.5" x14ac:dyDescent="0.25">
      <c r="B354" s="64" t="s">
        <v>1691</v>
      </c>
      <c r="C354" s="65"/>
      <c r="D354" s="66" t="s">
        <v>1690</v>
      </c>
      <c r="E354" s="66" t="s">
        <v>1689</v>
      </c>
      <c r="F354" s="66" t="s">
        <v>1688</v>
      </c>
      <c r="G354" s="67" t="s">
        <v>1687</v>
      </c>
      <c r="H354" s="68" t="s">
        <v>1686</v>
      </c>
      <c r="I354" s="2"/>
    </row>
    <row r="355" spans="1:16" x14ac:dyDescent="0.25">
      <c r="B355" s="69" t="str">
        <f>IF($A355=0,"",VLOOKUP($A355,'BASE M-OBRA'!$A:$D,2))</f>
        <v/>
      </c>
      <c r="C355" s="2"/>
      <c r="D355" s="108"/>
      <c r="E355" s="70" t="str">
        <f>IF($A355=0,"",VLOOKUP($A355,'BASE M-OBRA'!$A:$D,4))</f>
        <v/>
      </c>
      <c r="F355" s="55" t="str">
        <f t="shared" ref="F355:F361" si="32">IF($A355=0,"",ROUND(D355*E355,2))</f>
        <v/>
      </c>
      <c r="G355" s="106" t="str">
        <f>IF($A355=0,"",ROUND(H355/F355,2))</f>
        <v/>
      </c>
      <c r="H355" s="56" t="str">
        <f>IF($A355=0,"",ROUND(SUM(H356:H361)*'BASE M-OBRA'!$D$23,2))</f>
        <v/>
      </c>
      <c r="I355" s="2"/>
    </row>
    <row r="356" spans="1:16" x14ac:dyDescent="0.25">
      <c r="A356" s="103">
        <v>20011</v>
      </c>
      <c r="B356" s="69" t="str">
        <f>IF($A356=0,"",VLOOKUP($A356,'BASE M-OBRA'!$A:$D,2))</f>
        <v>AYUDANTE ESPECIALISTA</v>
      </c>
      <c r="C356" s="2"/>
      <c r="D356" s="108">
        <v>1</v>
      </c>
      <c r="E356" s="70">
        <f>IF($A356=0,"",VLOOKUP($A356,'BASE M-OBRA'!$A:$D,4))</f>
        <v>2.79</v>
      </c>
      <c r="F356" s="55">
        <f t="shared" si="32"/>
        <v>2.79</v>
      </c>
      <c r="G356" s="106">
        <v>2.75</v>
      </c>
      <c r="H356" s="56">
        <f t="shared" ref="H356:H361" si="33">IF($A356=0,"",ROUND(G356*F356,2))</f>
        <v>7.67</v>
      </c>
      <c r="I356" s="2"/>
    </row>
    <row r="357" spans="1:16" x14ac:dyDescent="0.25">
      <c r="A357" s="103">
        <v>20016</v>
      </c>
      <c r="B357" s="69" t="str">
        <f>IF($A357=0,"",VLOOKUP($A357,'BASE M-OBRA'!$A:$D,2))</f>
        <v>GAFITERO</v>
      </c>
      <c r="C357" s="2"/>
      <c r="D357" s="108">
        <v>1</v>
      </c>
      <c r="E357" s="70">
        <f>IF($A357=0,"",VLOOKUP($A357,'BASE M-OBRA'!$A:$D,4))</f>
        <v>2.82</v>
      </c>
      <c r="F357" s="55">
        <f t="shared" si="32"/>
        <v>2.82</v>
      </c>
      <c r="G357" s="106">
        <f>+G356</f>
        <v>2.75</v>
      </c>
      <c r="H357" s="56">
        <f t="shared" si="33"/>
        <v>7.76</v>
      </c>
      <c r="I357" s="2"/>
    </row>
    <row r="358" spans="1:16" x14ac:dyDescent="0.25">
      <c r="B358" s="71" t="str">
        <f>IF($A358=0,"",VLOOKUP($A358,'BASE M-OBRA'!$A:$D,2))</f>
        <v/>
      </c>
      <c r="C358" s="2"/>
      <c r="D358" s="108"/>
      <c r="E358" s="70" t="str">
        <f>IF($A358=0,"",VLOOKUP($A358,'BASE M-OBRA'!$A:$D,4))</f>
        <v/>
      </c>
      <c r="F358" s="55" t="str">
        <f t="shared" si="32"/>
        <v/>
      </c>
      <c r="G358" s="106"/>
      <c r="H358" s="56" t="str">
        <f t="shared" si="33"/>
        <v/>
      </c>
      <c r="I358" s="2"/>
    </row>
    <row r="359" spans="1:16" x14ac:dyDescent="0.25">
      <c r="B359" s="72" t="str">
        <f>IF($A359=0,"",VLOOKUP($A359,'BASE M-OBRA'!$A:$D,2))</f>
        <v/>
      </c>
      <c r="C359" s="2"/>
      <c r="D359" s="108"/>
      <c r="E359" s="70" t="str">
        <f>IF($A359=0,"",VLOOKUP($A359,'BASE M-OBRA'!$A:$D,4))</f>
        <v/>
      </c>
      <c r="F359" s="55" t="str">
        <f t="shared" si="32"/>
        <v/>
      </c>
      <c r="G359" s="106"/>
      <c r="H359" s="56" t="str">
        <f t="shared" si="33"/>
        <v/>
      </c>
      <c r="I359" s="2"/>
    </row>
    <row r="360" spans="1:16" x14ac:dyDescent="0.25">
      <c r="B360" s="38" t="str">
        <f>IF($A360=0,"",VLOOKUP($A360,'BASE M-OBRA'!$A:$D,2))</f>
        <v/>
      </c>
      <c r="C360" s="2"/>
      <c r="D360" s="55"/>
      <c r="E360" s="55" t="str">
        <f>IF($A360=0,"",VLOOKUP($A360,'BASE M-OBRA'!$A:$D,4))</f>
        <v/>
      </c>
      <c r="F360" s="55" t="str">
        <f t="shared" si="32"/>
        <v/>
      </c>
      <c r="G360" s="106"/>
      <c r="H360" s="56" t="str">
        <f t="shared" si="33"/>
        <v/>
      </c>
      <c r="I360" s="2"/>
    </row>
    <row r="361" spans="1:16" x14ac:dyDescent="0.25">
      <c r="B361" s="57" t="str">
        <f>IF($A361=0,"",VLOOKUP($A361,'BASE M-OBRA'!$A:$D,2))</f>
        <v/>
      </c>
      <c r="C361" s="58"/>
      <c r="D361" s="59"/>
      <c r="E361" s="59" t="str">
        <f>IF($A361=0,"",VLOOKUP($A361,'BASE M-OBRA'!$A:$D,4))</f>
        <v/>
      </c>
      <c r="F361" s="59" t="str">
        <f t="shared" si="32"/>
        <v/>
      </c>
      <c r="G361" s="107"/>
      <c r="H361" s="60" t="str">
        <f t="shared" si="33"/>
        <v/>
      </c>
      <c r="I361" s="2"/>
    </row>
    <row r="362" spans="1:16" x14ac:dyDescent="0.25">
      <c r="B362" s="73" t="s">
        <v>1685</v>
      </c>
      <c r="C362" s="65"/>
      <c r="D362" s="74"/>
      <c r="E362" s="74"/>
      <c r="F362" s="74"/>
      <c r="G362" s="74"/>
      <c r="H362" s="75">
        <f>ROUND(SUM(H354:H361),2)</f>
        <v>15.43</v>
      </c>
      <c r="I362" s="2"/>
    </row>
    <row r="363" spans="1:16" x14ac:dyDescent="0.25">
      <c r="B363" s="38" t="s">
        <v>1684</v>
      </c>
      <c r="C363" s="2"/>
      <c r="D363" s="3"/>
      <c r="E363" s="3"/>
      <c r="F363" s="3"/>
      <c r="G363" s="3"/>
      <c r="H363" s="56"/>
      <c r="I363" s="2"/>
    </row>
    <row r="364" spans="1:16" ht="25.5" x14ac:dyDescent="0.25">
      <c r="B364" s="64" t="s">
        <v>1409</v>
      </c>
      <c r="C364" s="65"/>
      <c r="D364" s="76"/>
      <c r="E364" s="66" t="s">
        <v>1408</v>
      </c>
      <c r="F364" s="66" t="s">
        <v>1679</v>
      </c>
      <c r="G364" s="66" t="s">
        <v>1683</v>
      </c>
      <c r="H364" s="68" t="s">
        <v>1675</v>
      </c>
      <c r="I364" s="2"/>
    </row>
    <row r="365" spans="1:16" x14ac:dyDescent="0.25">
      <c r="A365" s="103">
        <v>1</v>
      </c>
      <c r="B365" s="26" t="s">
        <v>35</v>
      </c>
      <c r="C365" s="2"/>
      <c r="D365" s="77"/>
      <c r="E365" s="78" t="s">
        <v>25</v>
      </c>
      <c r="F365" s="55">
        <v>0.35</v>
      </c>
      <c r="G365" s="55">
        <v>4.95</v>
      </c>
      <c r="H365" s="56">
        <f t="shared" ref="H365:H379" si="34">IF($A365=0,"",ROUND(F365*G365,2))</f>
        <v>1.73</v>
      </c>
      <c r="I365" s="2"/>
      <c r="J365" s="1">
        <f>11.13/1.12</f>
        <v>9.9375</v>
      </c>
      <c r="L365" s="2"/>
      <c r="M365" s="2"/>
      <c r="N365" s="39"/>
      <c r="O365" s="2"/>
      <c r="P365" s="2"/>
    </row>
    <row r="366" spans="1:16" x14ac:dyDescent="0.25">
      <c r="A366" s="103">
        <v>1</v>
      </c>
      <c r="B366" s="38" t="s">
        <v>34</v>
      </c>
      <c r="C366" s="2"/>
      <c r="D366" s="77"/>
      <c r="E366" s="78" t="s">
        <v>5</v>
      </c>
      <c r="F366" s="55">
        <v>1</v>
      </c>
      <c r="G366" s="55">
        <v>3.36</v>
      </c>
      <c r="H366" s="56">
        <f t="shared" si="34"/>
        <v>3.36</v>
      </c>
      <c r="I366" s="2"/>
      <c r="J366" s="1">
        <f>3.36/1.12</f>
        <v>2.9999999999999996</v>
      </c>
      <c r="L366" s="2"/>
      <c r="M366" s="2"/>
      <c r="N366" s="39"/>
      <c r="O366" s="2"/>
      <c r="P366" s="2"/>
    </row>
    <row r="367" spans="1:16" x14ac:dyDescent="0.25">
      <c r="B367" s="38"/>
      <c r="C367" s="2"/>
      <c r="D367" s="77"/>
      <c r="E367" s="78"/>
      <c r="F367" s="55"/>
      <c r="G367" s="55"/>
      <c r="H367" s="56" t="str">
        <f t="shared" si="34"/>
        <v/>
      </c>
      <c r="I367" s="2"/>
      <c r="L367" s="2"/>
      <c r="M367" s="2"/>
      <c r="N367" s="39"/>
      <c r="O367" s="2"/>
      <c r="P367" s="2"/>
    </row>
    <row r="368" spans="1:16" x14ac:dyDescent="0.25">
      <c r="B368" s="38"/>
      <c r="C368" s="2"/>
      <c r="D368" s="77"/>
      <c r="E368" s="78"/>
      <c r="F368" s="55"/>
      <c r="G368" s="55"/>
      <c r="H368" s="56" t="str">
        <f t="shared" si="34"/>
        <v/>
      </c>
      <c r="I368" s="2"/>
      <c r="L368" s="2"/>
      <c r="M368" s="2"/>
      <c r="N368" s="39"/>
      <c r="O368" s="2"/>
      <c r="P368" s="2"/>
    </row>
    <row r="369" spans="1:16" x14ac:dyDescent="0.25">
      <c r="B369" s="38"/>
      <c r="C369" s="2"/>
      <c r="D369" s="77"/>
      <c r="E369" s="78"/>
      <c r="F369" s="55"/>
      <c r="G369" s="55"/>
      <c r="H369" s="56" t="str">
        <f t="shared" si="34"/>
        <v/>
      </c>
      <c r="I369" s="2"/>
      <c r="L369" s="2"/>
      <c r="M369" s="2"/>
      <c r="N369" s="39"/>
      <c r="O369" s="2"/>
      <c r="P369" s="2"/>
    </row>
    <row r="370" spans="1:16" x14ac:dyDescent="0.25">
      <c r="A370" s="103">
        <v>1</v>
      </c>
      <c r="B370" s="38" t="s">
        <v>4</v>
      </c>
      <c r="C370" s="2"/>
      <c r="D370" s="77"/>
      <c r="E370" s="78" t="s">
        <v>2</v>
      </c>
      <c r="F370" s="55">
        <v>0.08</v>
      </c>
      <c r="G370" s="55">
        <v>12.63</v>
      </c>
      <c r="H370" s="56">
        <f t="shared" si="34"/>
        <v>1.01</v>
      </c>
      <c r="I370" s="2"/>
      <c r="L370" s="2"/>
      <c r="M370" s="2"/>
      <c r="N370" s="39"/>
      <c r="O370" s="2"/>
      <c r="P370" s="2"/>
    </row>
    <row r="371" spans="1:16" x14ac:dyDescent="0.25">
      <c r="A371" s="103">
        <v>1</v>
      </c>
      <c r="B371" s="38" t="s">
        <v>3</v>
      </c>
      <c r="C371" s="2"/>
      <c r="D371" s="77"/>
      <c r="E371" s="78" t="s">
        <v>2</v>
      </c>
      <c r="F371" s="55">
        <v>0.05</v>
      </c>
      <c r="G371" s="55">
        <v>6.89</v>
      </c>
      <c r="H371" s="56">
        <f t="shared" si="34"/>
        <v>0.34</v>
      </c>
      <c r="I371" s="2"/>
      <c r="L371" s="2"/>
      <c r="M371" s="2"/>
      <c r="N371" s="39"/>
      <c r="O371" s="2"/>
      <c r="P371" s="2"/>
    </row>
    <row r="372" spans="1:16" x14ac:dyDescent="0.25">
      <c r="B372" s="38"/>
      <c r="C372" s="2"/>
      <c r="D372" s="77"/>
      <c r="E372" s="78"/>
      <c r="F372" s="55"/>
      <c r="G372" s="55"/>
      <c r="H372" s="56" t="str">
        <f t="shared" si="34"/>
        <v/>
      </c>
      <c r="I372" s="2"/>
      <c r="L372" s="2"/>
      <c r="M372" s="2"/>
      <c r="N372" s="39"/>
      <c r="O372" s="2"/>
      <c r="P372" s="2"/>
    </row>
    <row r="373" spans="1:16" x14ac:dyDescent="0.25">
      <c r="B373" s="38"/>
      <c r="C373" s="2"/>
      <c r="D373" s="77"/>
      <c r="E373" s="78"/>
      <c r="F373" s="55"/>
      <c r="G373" s="55"/>
      <c r="H373" s="56" t="str">
        <f t="shared" si="34"/>
        <v/>
      </c>
      <c r="I373" s="2"/>
    </row>
    <row r="374" spans="1:16" x14ac:dyDescent="0.25">
      <c r="B374" s="38" t="str">
        <f>IF($A374=0,"",VLOOKUP($A374,'BASE MATERIAL'!$A:$D,2))</f>
        <v/>
      </c>
      <c r="C374" s="2"/>
      <c r="D374" s="77"/>
      <c r="E374" s="78" t="str">
        <f>IF($A374=0,"",VLOOKUP($A374,'BASE MATERIAL'!$A:$D,3))</f>
        <v/>
      </c>
      <c r="F374" s="55"/>
      <c r="G374" s="55" t="str">
        <f>IF($A374=0,"",VLOOKUP($A374,'BASE MATERIAL'!$A:$D,4))</f>
        <v/>
      </c>
      <c r="H374" s="56" t="str">
        <f t="shared" si="34"/>
        <v/>
      </c>
      <c r="I374" s="2"/>
      <c r="L374" s="2"/>
      <c r="M374" s="2"/>
      <c r="N374" s="39"/>
      <c r="O374" s="2"/>
      <c r="P374" s="2"/>
    </row>
    <row r="375" spans="1:16" x14ac:dyDescent="0.25">
      <c r="B375" s="38" t="str">
        <f>IF($A375=0,"",VLOOKUP($A375,'BASE MATERIAL'!$A:$D,2))</f>
        <v/>
      </c>
      <c r="C375" s="2"/>
      <c r="D375" s="77"/>
      <c r="E375" s="78" t="str">
        <f>IF($A375=0,"",VLOOKUP($A375,'BASE MATERIAL'!$A:$D,3))</f>
        <v/>
      </c>
      <c r="F375" s="55"/>
      <c r="G375" s="55" t="str">
        <f>IF($A375=0,"",VLOOKUP($A375,'BASE MATERIAL'!$A:$D,4))</f>
        <v/>
      </c>
      <c r="H375" s="56" t="str">
        <f t="shared" si="34"/>
        <v/>
      </c>
      <c r="I375" s="2"/>
      <c r="L375" s="2"/>
      <c r="M375" s="2"/>
      <c r="N375" s="39"/>
      <c r="O375" s="2"/>
      <c r="P375" s="2"/>
    </row>
    <row r="376" spans="1:16" x14ac:dyDescent="0.25">
      <c r="B376" s="38" t="str">
        <f>IF($A376=0,"",VLOOKUP($A376,'BASE MATERIAL'!$A:$D,2))</f>
        <v/>
      </c>
      <c r="C376" s="2"/>
      <c r="D376" s="77"/>
      <c r="E376" s="78" t="str">
        <f>IF($A376=0,"",VLOOKUP($A376,'BASE MATERIAL'!$A:$D,3))</f>
        <v/>
      </c>
      <c r="F376" s="55"/>
      <c r="G376" s="55" t="str">
        <f>IF($A376=0,"",VLOOKUP($A376,'BASE MATERIAL'!$A:$D,4))</f>
        <v/>
      </c>
      <c r="H376" s="56" t="str">
        <f t="shared" si="34"/>
        <v/>
      </c>
      <c r="I376" s="2"/>
    </row>
    <row r="377" spans="1:16" x14ac:dyDescent="0.25">
      <c r="B377" s="38" t="str">
        <f>IF($A377=0,"",VLOOKUP($A377,'BASE MATERIAL'!$A:$D,2))</f>
        <v/>
      </c>
      <c r="C377" s="2"/>
      <c r="D377" s="77"/>
      <c r="E377" s="78" t="str">
        <f>IF($A377=0,"",VLOOKUP($A377,'BASE MATERIAL'!$A:$D,3))</f>
        <v/>
      </c>
      <c r="F377" s="55"/>
      <c r="G377" s="55" t="str">
        <f>IF($A377=0,"",VLOOKUP($A377,'BASE MATERIAL'!$A:$D,4))</f>
        <v/>
      </c>
      <c r="H377" s="56" t="str">
        <f t="shared" si="34"/>
        <v/>
      </c>
      <c r="I377" s="2"/>
    </row>
    <row r="378" spans="1:16" x14ac:dyDescent="0.25">
      <c r="B378" s="38" t="str">
        <f>IF($A378=0,"",VLOOKUP($A378,'BASE MATERIAL'!$A:$D,2))</f>
        <v/>
      </c>
      <c r="C378" s="2"/>
      <c r="D378" s="77"/>
      <c r="E378" s="78" t="str">
        <f>IF($A378=0,"",VLOOKUP($A378,'BASE MATERIAL'!$A:$D,3))</f>
        <v/>
      </c>
      <c r="F378" s="55"/>
      <c r="G378" s="55" t="str">
        <f>IF($A378=0,"",VLOOKUP($A378,'BASE MATERIAL'!$A:$D,4))</f>
        <v/>
      </c>
      <c r="H378" s="56" t="str">
        <f t="shared" si="34"/>
        <v/>
      </c>
      <c r="I378" s="2"/>
    </row>
    <row r="379" spans="1:16" x14ac:dyDescent="0.25">
      <c r="B379" s="38" t="str">
        <f>IF($A379=0,"",VLOOKUP($A379,'BASE MATERIAL'!$A:$D,2))</f>
        <v/>
      </c>
      <c r="C379" s="2"/>
      <c r="D379" s="77"/>
      <c r="E379" s="78" t="str">
        <f>IF($A379=0,"",VLOOKUP($A379,'BASE MATERIAL'!$A:$D,3))</f>
        <v/>
      </c>
      <c r="F379" s="55"/>
      <c r="G379" s="55" t="str">
        <f>IF($A379=0,"",VLOOKUP($A379,'BASE MATERIAL'!$A:$D,4))</f>
        <v/>
      </c>
      <c r="H379" s="56" t="str">
        <f t="shared" si="34"/>
        <v/>
      </c>
      <c r="I379" s="2"/>
    </row>
    <row r="380" spans="1:16" x14ac:dyDescent="0.25">
      <c r="B380" s="38" t="str">
        <f>IF($A380=0,"",VLOOKUP($A380,'BASE MATERIAL'!$A:$D,2))</f>
        <v/>
      </c>
      <c r="C380" s="2"/>
      <c r="D380" s="81" t="s">
        <v>1682</v>
      </c>
      <c r="E380" s="55" t="str">
        <f>IF($A380=0,"",VLOOKUP($A380,'BASE MATERIAL'!$A:$D,3))</f>
        <v/>
      </c>
      <c r="F380" s="55" t="s">
        <v>1682</v>
      </c>
      <c r="G380" s="55" t="str">
        <f>IF($A380=0,"",VLOOKUP($A380,'BASE MATERIAL'!$A:$D,4))</f>
        <v/>
      </c>
      <c r="H380" s="56" t="str">
        <f>IF($A380=0,"",ROUND(E380*F380,2))</f>
        <v/>
      </c>
      <c r="I380" s="2"/>
    </row>
    <row r="381" spans="1:16" x14ac:dyDescent="0.25">
      <c r="B381" s="73" t="s">
        <v>1681</v>
      </c>
      <c r="C381" s="65"/>
      <c r="D381" s="74"/>
      <c r="E381" s="74"/>
      <c r="F381" s="74"/>
      <c r="G381" s="74"/>
      <c r="H381" s="75">
        <f>ROUND(SUM(H364:H380),2)</f>
        <v>6.44</v>
      </c>
      <c r="I381" s="2"/>
    </row>
    <row r="382" spans="1:16" x14ac:dyDescent="0.25">
      <c r="B382" s="38" t="s">
        <v>1680</v>
      </c>
      <c r="C382" s="2"/>
      <c r="D382" s="3"/>
      <c r="E382" s="3"/>
      <c r="F382" s="3"/>
      <c r="G382" s="3"/>
      <c r="H382" s="56"/>
      <c r="I382" s="2"/>
    </row>
    <row r="383" spans="1:16" ht="25.5" x14ac:dyDescent="0.25">
      <c r="B383" s="64" t="s">
        <v>1409</v>
      </c>
      <c r="C383" s="65"/>
      <c r="D383" s="76"/>
      <c r="E383" s="66" t="s">
        <v>1408</v>
      </c>
      <c r="F383" s="66" t="s">
        <v>1679</v>
      </c>
      <c r="G383" s="66" t="s">
        <v>1676</v>
      </c>
      <c r="H383" s="68" t="s">
        <v>1675</v>
      </c>
      <c r="I383" s="2"/>
    </row>
    <row r="384" spans="1:16" x14ac:dyDescent="0.25">
      <c r="A384" s="103">
        <v>19019</v>
      </c>
      <c r="B384" s="51" t="str">
        <f>IF($A384=0,"",VLOOKUP($A384,'BASE EQUIPO'!$A:$D,2))</f>
        <v>TRANSPORTE DE MATERIAL</v>
      </c>
      <c r="C384" s="52"/>
      <c r="D384" s="82"/>
      <c r="E384" s="78" t="str">
        <f>IF($A384=0,"",VLOOKUP($A384,'BASE EQUIPO'!$A:$D,3))</f>
        <v>GLOBAL</v>
      </c>
      <c r="F384" s="55">
        <v>1</v>
      </c>
      <c r="G384" s="83">
        <f>IF($A384=0,"",VLOOKUP($A384,'BASE EQUIPO'!$A:$D,4)*H381)</f>
        <v>0.19320000000000001</v>
      </c>
      <c r="H384" s="56">
        <f>IF($A384=0,"",ROUND(F384*G384,2))</f>
        <v>0.19</v>
      </c>
      <c r="I384" s="2"/>
    </row>
    <row r="385" spans="1:15" x14ac:dyDescent="0.25">
      <c r="B385" s="38" t="str">
        <f>IF($A385=0,"",VLOOKUP($A385,'BASE EQUIPO'!$A:$D,2))</f>
        <v/>
      </c>
      <c r="C385" s="2"/>
      <c r="D385" s="84"/>
      <c r="E385" s="78" t="str">
        <f>IF($A385=0,"",VLOOKUP($A385,'BASE EQUIPO'!$A:$D,3))</f>
        <v/>
      </c>
      <c r="F385" s="55"/>
      <c r="G385" s="55" t="str">
        <f>IF($A385=0,"",VLOOKUP($A385,'BASE EQUIPO'!$A:$D,4)*H382)</f>
        <v/>
      </c>
      <c r="H385" s="56" t="str">
        <f>IF($A385=0,"",ROUND(F385*G385,2))</f>
        <v/>
      </c>
      <c r="I385" s="2"/>
    </row>
    <row r="386" spans="1:15" x14ac:dyDescent="0.25">
      <c r="B386" s="57" t="str">
        <f>IF($A386=0,"",VLOOKUP($A386,'BASE EQUIPO'!$A:$D,2))</f>
        <v/>
      </c>
      <c r="C386" s="58"/>
      <c r="D386" s="85"/>
      <c r="E386" s="86" t="str">
        <f>IF($A386=0,"",VLOOKUP($A386,'BASE EQUIPO'!$A:$D,3))</f>
        <v/>
      </c>
      <c r="F386" s="59"/>
      <c r="G386" s="59" t="str">
        <f>IF($A386=0,"",VLOOKUP($A386,'BASE EQUIPO'!$A:$D,4)*H383)</f>
        <v/>
      </c>
      <c r="H386" s="60" t="str">
        <f>IF($A386=0,"",ROUND(F386*G386,2))</f>
        <v/>
      </c>
      <c r="I386" s="2"/>
    </row>
    <row r="387" spans="1:15" ht="15.75" thickBot="1" x14ac:dyDescent="0.3">
      <c r="B387" s="87" t="s">
        <v>1674</v>
      </c>
      <c r="C387" s="88"/>
      <c r="D387" s="89"/>
      <c r="E387" s="89"/>
      <c r="F387" s="89"/>
      <c r="G387" s="89"/>
      <c r="H387" s="90">
        <f>ROUND(SUM(H383:H386),2)</f>
        <v>0.19</v>
      </c>
      <c r="I387" s="2"/>
    </row>
    <row r="388" spans="1:15" ht="15.75" x14ac:dyDescent="0.25">
      <c r="B388" s="2"/>
      <c r="C388" s="2"/>
      <c r="D388" s="91" t="s">
        <v>1673</v>
      </c>
      <c r="E388" s="47"/>
      <c r="F388" s="47"/>
      <c r="G388" s="47"/>
      <c r="H388" s="92">
        <f>ROUND(SUM(H387,H381,H362,H352),2)</f>
        <v>22.52</v>
      </c>
      <c r="I388" s="2"/>
    </row>
    <row r="389" spans="1:15" ht="15.75" x14ac:dyDescent="0.25">
      <c r="A389" s="103">
        <v>40002</v>
      </c>
      <c r="B389" s="2"/>
      <c r="C389" s="2"/>
      <c r="D389" s="93" t="s">
        <v>1672</v>
      </c>
      <c r="E389" s="65"/>
      <c r="F389" s="65"/>
      <c r="G389" s="94">
        <f>IF($A389=0,"",VLOOKUP($A389,'BASE MATERIAL'!$M:$P,4))</f>
        <v>0</v>
      </c>
      <c r="H389" s="95">
        <f>IF($A389=0,"",ROUND(G389*H388,2))</f>
        <v>0</v>
      </c>
      <c r="I389" s="2"/>
    </row>
    <row r="390" spans="1:15" ht="15.75" x14ac:dyDescent="0.25">
      <c r="A390" s="103">
        <v>40003</v>
      </c>
      <c r="B390" s="2"/>
      <c r="C390" s="2"/>
      <c r="D390" s="93" t="s">
        <v>1671</v>
      </c>
      <c r="E390" s="65"/>
      <c r="F390" s="65"/>
      <c r="G390" s="94">
        <f>IF($A390=0,"",VLOOKUP($A390,'BASE MATERIAL'!$M:$P,4))</f>
        <v>0</v>
      </c>
      <c r="H390" s="95">
        <f>IF($A390=0,"",ROUND(G390*H388,2))</f>
        <v>0</v>
      </c>
      <c r="I390" s="2"/>
    </row>
    <row r="391" spans="1:15" ht="15.75" x14ac:dyDescent="0.25">
      <c r="B391" s="2"/>
      <c r="C391" s="2"/>
      <c r="D391" s="93" t="s">
        <v>1670</v>
      </c>
      <c r="E391" s="65"/>
      <c r="F391" s="65"/>
      <c r="G391" s="65"/>
      <c r="H391" s="96">
        <f>ROUND(SUM(H388:H390),2)</f>
        <v>22.52</v>
      </c>
      <c r="I391" s="2"/>
    </row>
    <row r="392" spans="1:15" ht="16.5" thickBot="1" x14ac:dyDescent="0.3">
      <c r="B392" s="25"/>
      <c r="C392" s="2"/>
      <c r="D392" s="97" t="s">
        <v>1650</v>
      </c>
      <c r="E392" s="88"/>
      <c r="F392" s="88"/>
      <c r="G392" s="88"/>
      <c r="H392" s="98">
        <f>ROUND(H391,2)</f>
        <v>22.52</v>
      </c>
      <c r="I392" s="2"/>
    </row>
    <row r="393" spans="1:15" ht="15.75" x14ac:dyDescent="0.25">
      <c r="B393" s="34" t="s">
        <v>1701</v>
      </c>
      <c r="C393" s="2"/>
      <c r="D393" s="3" t="str">
        <f>$D$57</f>
        <v>ESPOL</v>
      </c>
      <c r="E393" s="2"/>
      <c r="F393" s="2"/>
      <c r="H393" s="2" t="s">
        <v>108</v>
      </c>
      <c r="I393" s="2"/>
      <c r="L393" s="40">
        <f>A397</f>
        <v>13</v>
      </c>
      <c r="M393" s="1" t="str">
        <f>C398</f>
        <v>Bajante PVC des ø 160mm</v>
      </c>
      <c r="N393" s="2" t="str">
        <f>H397</f>
        <v>ml</v>
      </c>
      <c r="O393" s="2">
        <f>H448</f>
        <v>24.83</v>
      </c>
    </row>
    <row r="394" spans="1:15" ht="15.75" x14ac:dyDescent="0.25">
      <c r="B394" s="34" t="s">
        <v>1700</v>
      </c>
      <c r="C394" s="3">
        <f>'1.1'!$C$2</f>
        <v>0</v>
      </c>
      <c r="D394" s="2"/>
      <c r="E394" s="2"/>
      <c r="F394" s="2"/>
      <c r="G394" s="41" t="s">
        <v>1699</v>
      </c>
      <c r="H394" s="42"/>
      <c r="I394" s="2" t="s">
        <v>1698</v>
      </c>
    </row>
    <row r="395" spans="1:15" ht="15.75" x14ac:dyDescent="0.25">
      <c r="B395" s="34"/>
      <c r="C395" s="3">
        <f>'1.1'!$C$3</f>
        <v>0</v>
      </c>
      <c r="D395" s="2"/>
      <c r="E395" s="2"/>
      <c r="F395" s="2"/>
      <c r="G395" s="2"/>
      <c r="H395" s="2"/>
      <c r="I395" s="2"/>
    </row>
    <row r="396" spans="1:15" ht="15.75" x14ac:dyDescent="0.25">
      <c r="B396" s="34" t="s">
        <v>1697</v>
      </c>
      <c r="C396" s="3"/>
      <c r="D396" s="2"/>
      <c r="E396" s="2"/>
      <c r="F396" s="2"/>
      <c r="G396" s="2"/>
      <c r="H396" s="2"/>
      <c r="I396" s="2"/>
    </row>
    <row r="397" spans="1:15" x14ac:dyDescent="0.25">
      <c r="A397" s="104">
        <v>13</v>
      </c>
      <c r="B397" s="2" t="s">
        <v>1586</v>
      </c>
      <c r="C397" s="101" t="s">
        <v>1653</v>
      </c>
      <c r="D397" s="2"/>
      <c r="G397" s="2" t="s">
        <v>1696</v>
      </c>
      <c r="H397" s="3" t="s">
        <v>961</v>
      </c>
      <c r="I397" s="2"/>
    </row>
    <row r="398" spans="1:15" x14ac:dyDescent="0.25">
      <c r="B398" s="1" t="s">
        <v>1585</v>
      </c>
      <c r="C398" s="36" t="s">
        <v>1299</v>
      </c>
      <c r="D398" s="2"/>
      <c r="E398" s="2"/>
      <c r="F398" s="2"/>
      <c r="G398" s="2"/>
      <c r="H398" s="2"/>
      <c r="I398" s="2"/>
    </row>
    <row r="399" spans="1:15" ht="15.75" thickBot="1" x14ac:dyDescent="0.3">
      <c r="D399" s="2"/>
      <c r="E399" s="2"/>
      <c r="F399" s="2"/>
      <c r="G399" s="2"/>
      <c r="H399" s="2"/>
      <c r="I399" s="2"/>
    </row>
    <row r="400" spans="1:15" ht="15.75" thickBot="1" x14ac:dyDescent="0.3">
      <c r="B400" s="43" t="s">
        <v>1695</v>
      </c>
      <c r="C400" s="44"/>
      <c r="D400" s="44"/>
      <c r="E400" s="44"/>
      <c r="F400" s="44"/>
      <c r="G400" s="44"/>
      <c r="H400" s="45"/>
      <c r="I400" s="2"/>
    </row>
    <row r="401" spans="1:9" ht="25.5" x14ac:dyDescent="0.25">
      <c r="B401" s="46" t="s">
        <v>1409</v>
      </c>
      <c r="C401" s="47"/>
      <c r="D401" s="48" t="s">
        <v>1690</v>
      </c>
      <c r="E401" s="48" t="s">
        <v>1694</v>
      </c>
      <c r="F401" s="48" t="s">
        <v>1693</v>
      </c>
      <c r="G401" s="49" t="s">
        <v>1687</v>
      </c>
      <c r="H401" s="50" t="s">
        <v>1686</v>
      </c>
      <c r="I401" s="2"/>
    </row>
    <row r="402" spans="1:9" x14ac:dyDescent="0.25">
      <c r="A402" s="103">
        <v>19016</v>
      </c>
      <c r="B402" s="51" t="str">
        <f>IF($A402=0,"",VLOOKUP($A402,'BASE EQUIPO'!$A:$D,2))</f>
        <v>HERRAMIENTA MENOR</v>
      </c>
      <c r="C402" s="52"/>
      <c r="D402" s="53">
        <v>1</v>
      </c>
      <c r="E402" s="53">
        <f>IF($A402=0,"",VLOOKUP($A402,'BASE EQUIPO'!$A:$D,4)*H418)</f>
        <v>0.51900000000000002</v>
      </c>
      <c r="F402" s="53">
        <f t="shared" ref="F402:F407" si="35">IF($A402=0,"",ROUND(D402*E402,2))</f>
        <v>0.52</v>
      </c>
      <c r="G402" s="105">
        <v>1</v>
      </c>
      <c r="H402" s="54">
        <f t="shared" ref="H402:H407" si="36">IF($A402=0,"",ROUND(G402*F402,2))</f>
        <v>0.52</v>
      </c>
      <c r="I402" s="2"/>
    </row>
    <row r="403" spans="1:9" x14ac:dyDescent="0.25">
      <c r="B403" s="38" t="str">
        <f>IF($A403=0,"",VLOOKUP($A403,'BASE EQUIPO'!$A:$D,2))</f>
        <v/>
      </c>
      <c r="C403" s="2"/>
      <c r="D403" s="55"/>
      <c r="E403" s="55" t="str">
        <f>IF($A403=0,"",VLOOKUP($A403,'BASE EQUIPO'!$A:$D,4))</f>
        <v/>
      </c>
      <c r="F403" s="55" t="str">
        <f t="shared" si="35"/>
        <v/>
      </c>
      <c r="G403" s="106"/>
      <c r="H403" s="56" t="str">
        <f t="shared" si="36"/>
        <v/>
      </c>
      <c r="I403" s="2"/>
    </row>
    <row r="404" spans="1:9" x14ac:dyDescent="0.25">
      <c r="B404" s="38" t="str">
        <f>IF($A404=0,"",VLOOKUP($A404,'BASE EQUIPO'!$A:$D,2))</f>
        <v/>
      </c>
      <c r="C404" s="2"/>
      <c r="D404" s="55"/>
      <c r="E404" s="55" t="str">
        <f>IF($A404=0,"",VLOOKUP($A404,'BASE EQUIPO'!$A:$D,4))</f>
        <v/>
      </c>
      <c r="F404" s="55" t="str">
        <f t="shared" si="35"/>
        <v/>
      </c>
      <c r="G404" s="106"/>
      <c r="H404" s="56" t="str">
        <f t="shared" si="36"/>
        <v/>
      </c>
      <c r="I404" s="2"/>
    </row>
    <row r="405" spans="1:9" x14ac:dyDescent="0.25">
      <c r="B405" s="38" t="str">
        <f>IF($A405=0,"",VLOOKUP($A405,'BASE EQUIPO'!$A:$D,2))</f>
        <v/>
      </c>
      <c r="C405" s="2"/>
      <c r="D405" s="55"/>
      <c r="E405" s="55" t="str">
        <f>IF($A405=0,"",VLOOKUP($A405,'BASE EQUIPO'!$A:$D,4))</f>
        <v/>
      </c>
      <c r="F405" s="55" t="str">
        <f t="shared" si="35"/>
        <v/>
      </c>
      <c r="G405" s="106"/>
      <c r="H405" s="56" t="str">
        <f t="shared" si="36"/>
        <v/>
      </c>
      <c r="I405" s="2"/>
    </row>
    <row r="406" spans="1:9" x14ac:dyDescent="0.25">
      <c r="B406" s="38" t="str">
        <f>IF($A406=0,"",VLOOKUP($A406,'BASE EQUIPO'!$A:$D,2))</f>
        <v/>
      </c>
      <c r="C406" s="2"/>
      <c r="D406" s="55"/>
      <c r="E406" s="55" t="str">
        <f>IF($A406=0,"",VLOOKUP($A406,'BASE EQUIPO'!$A:$D,4))</f>
        <v/>
      </c>
      <c r="F406" s="55" t="str">
        <f t="shared" si="35"/>
        <v/>
      </c>
      <c r="G406" s="106"/>
      <c r="H406" s="56" t="str">
        <f t="shared" si="36"/>
        <v/>
      </c>
      <c r="I406" s="2"/>
    </row>
    <row r="407" spans="1:9" x14ac:dyDescent="0.25">
      <c r="B407" s="57" t="str">
        <f>IF($A407=0,"",VLOOKUP($A407,'BASE EQUIPO'!$A:$D,2))</f>
        <v/>
      </c>
      <c r="C407" s="58"/>
      <c r="D407" s="59"/>
      <c r="E407" s="59" t="str">
        <f>IF($A407=0,"",VLOOKUP($A407,'BASE EQUIPO'!$A:$D,4))</f>
        <v/>
      </c>
      <c r="F407" s="59" t="str">
        <f t="shared" si="35"/>
        <v/>
      </c>
      <c r="G407" s="107"/>
      <c r="H407" s="60" t="str">
        <f t="shared" si="36"/>
        <v/>
      </c>
      <c r="I407" s="2"/>
    </row>
    <row r="408" spans="1:9" x14ac:dyDescent="0.25">
      <c r="B408" s="57" t="s">
        <v>1692</v>
      </c>
      <c r="C408" s="58"/>
      <c r="D408" s="61"/>
      <c r="E408" s="61"/>
      <c r="F408" s="61"/>
      <c r="G408" s="62"/>
      <c r="H408" s="60">
        <f>ROUND(SUM(H401:H407),2)</f>
        <v>0.52</v>
      </c>
      <c r="I408" s="2"/>
    </row>
    <row r="409" spans="1:9" x14ac:dyDescent="0.25">
      <c r="B409" s="38" t="s">
        <v>1503</v>
      </c>
      <c r="C409" s="2"/>
      <c r="D409" s="3"/>
      <c r="E409" s="3"/>
      <c r="F409" s="3"/>
      <c r="G409" s="63"/>
      <c r="H409" s="56"/>
      <c r="I409" s="2"/>
    </row>
    <row r="410" spans="1:9" ht="25.5" x14ac:dyDescent="0.25">
      <c r="B410" s="64" t="s">
        <v>1691</v>
      </c>
      <c r="C410" s="65"/>
      <c r="D410" s="66" t="s">
        <v>1690</v>
      </c>
      <c r="E410" s="66" t="s">
        <v>1689</v>
      </c>
      <c r="F410" s="66" t="s">
        <v>1688</v>
      </c>
      <c r="G410" s="67" t="s">
        <v>1687</v>
      </c>
      <c r="H410" s="68" t="s">
        <v>1686</v>
      </c>
      <c r="I410" s="2"/>
    </row>
    <row r="411" spans="1:9" x14ac:dyDescent="0.25">
      <c r="B411" s="69" t="str">
        <f>IF($A411=0,"",VLOOKUP($A411,'BASE M-OBRA'!$A:$D,2))</f>
        <v/>
      </c>
      <c r="C411" s="2"/>
      <c r="D411" s="108"/>
      <c r="E411" s="70" t="str">
        <f>IF($A411=0,"",VLOOKUP($A411,'BASE M-OBRA'!$A:$D,4))</f>
        <v/>
      </c>
      <c r="F411" s="55" t="str">
        <f t="shared" ref="F411:F417" si="37">IF($A411=0,"",ROUND(D411*E411,2))</f>
        <v/>
      </c>
      <c r="G411" s="106" t="str">
        <f>IF($A411=0,"",ROUND(H411/F411,2))</f>
        <v/>
      </c>
      <c r="H411" s="56" t="str">
        <f>IF($A411=0,"",ROUND(SUM(H412:H417)*'BASE M-OBRA'!$D$23,2))</f>
        <v/>
      </c>
      <c r="I411" s="2"/>
    </row>
    <row r="412" spans="1:9" x14ac:dyDescent="0.25">
      <c r="A412" s="103">
        <v>20011</v>
      </c>
      <c r="B412" s="69" t="str">
        <f>IF($A412=0,"",VLOOKUP($A412,'BASE M-OBRA'!$A:$D,2))</f>
        <v>AYUDANTE ESPECIALISTA</v>
      </c>
      <c r="C412" s="2"/>
      <c r="D412" s="108">
        <v>1</v>
      </c>
      <c r="E412" s="70">
        <f>IF($A412=0,"",VLOOKUP($A412,'BASE M-OBRA'!$A:$D,4))</f>
        <v>2.79</v>
      </c>
      <c r="F412" s="55">
        <f t="shared" si="37"/>
        <v>2.79</v>
      </c>
      <c r="G412" s="106">
        <v>1.85</v>
      </c>
      <c r="H412" s="56">
        <f t="shared" ref="H412:H417" si="38">IF($A412=0,"",ROUND(G412*F412,2))</f>
        <v>5.16</v>
      </c>
      <c r="I412" s="2"/>
    </row>
    <row r="413" spans="1:9" x14ac:dyDescent="0.25">
      <c r="A413" s="103">
        <v>20016</v>
      </c>
      <c r="B413" s="69" t="str">
        <f>IF($A413=0,"",VLOOKUP($A413,'BASE M-OBRA'!$A:$D,2))</f>
        <v>GAFITERO</v>
      </c>
      <c r="C413" s="2"/>
      <c r="D413" s="108">
        <v>1</v>
      </c>
      <c r="E413" s="70">
        <f>IF($A413=0,"",VLOOKUP($A413,'BASE M-OBRA'!$A:$D,4))</f>
        <v>2.82</v>
      </c>
      <c r="F413" s="55">
        <f t="shared" si="37"/>
        <v>2.82</v>
      </c>
      <c r="G413" s="106">
        <f>+G412</f>
        <v>1.85</v>
      </c>
      <c r="H413" s="56">
        <f t="shared" si="38"/>
        <v>5.22</v>
      </c>
      <c r="I413" s="2"/>
    </row>
    <row r="414" spans="1:9" x14ac:dyDescent="0.25">
      <c r="B414" s="71" t="str">
        <f>IF($A414=0,"",VLOOKUP($A414,'BASE M-OBRA'!$A:$D,2))</f>
        <v/>
      </c>
      <c r="C414" s="2"/>
      <c r="D414" s="108"/>
      <c r="E414" s="70" t="str">
        <f>IF($A414=0,"",VLOOKUP($A414,'BASE M-OBRA'!$A:$D,4))</f>
        <v/>
      </c>
      <c r="F414" s="55" t="str">
        <f t="shared" si="37"/>
        <v/>
      </c>
      <c r="G414" s="106"/>
      <c r="H414" s="56" t="str">
        <f t="shared" si="38"/>
        <v/>
      </c>
      <c r="I414" s="2"/>
    </row>
    <row r="415" spans="1:9" x14ac:dyDescent="0.25">
      <c r="B415" s="72" t="str">
        <f>IF($A415=0,"",VLOOKUP($A415,'BASE M-OBRA'!$A:$D,2))</f>
        <v/>
      </c>
      <c r="C415" s="2"/>
      <c r="D415" s="108"/>
      <c r="E415" s="70" t="str">
        <f>IF($A415=0,"",VLOOKUP($A415,'BASE M-OBRA'!$A:$D,4))</f>
        <v/>
      </c>
      <c r="F415" s="55" t="str">
        <f t="shared" si="37"/>
        <v/>
      </c>
      <c r="G415" s="106"/>
      <c r="H415" s="56" t="str">
        <f t="shared" si="38"/>
        <v/>
      </c>
      <c r="I415" s="2"/>
    </row>
    <row r="416" spans="1:9" x14ac:dyDescent="0.25">
      <c r="B416" s="38" t="str">
        <f>IF($A416=0,"",VLOOKUP($A416,'BASE M-OBRA'!$A:$D,2))</f>
        <v/>
      </c>
      <c r="C416" s="2"/>
      <c r="D416" s="55"/>
      <c r="E416" s="55" t="str">
        <f>IF($A416=0,"",VLOOKUP($A416,'BASE M-OBRA'!$A:$D,4))</f>
        <v/>
      </c>
      <c r="F416" s="55" t="str">
        <f t="shared" si="37"/>
        <v/>
      </c>
      <c r="G416" s="106"/>
      <c r="H416" s="56" t="str">
        <f t="shared" si="38"/>
        <v/>
      </c>
      <c r="I416" s="2"/>
    </row>
    <row r="417" spans="1:16" x14ac:dyDescent="0.25">
      <c r="B417" s="57" t="str">
        <f>IF($A417=0,"",VLOOKUP($A417,'BASE M-OBRA'!$A:$D,2))</f>
        <v/>
      </c>
      <c r="C417" s="58"/>
      <c r="D417" s="59"/>
      <c r="E417" s="59" t="str">
        <f>IF($A417=0,"",VLOOKUP($A417,'BASE M-OBRA'!$A:$D,4))</f>
        <v/>
      </c>
      <c r="F417" s="59" t="str">
        <f t="shared" si="37"/>
        <v/>
      </c>
      <c r="G417" s="107"/>
      <c r="H417" s="60" t="str">
        <f t="shared" si="38"/>
        <v/>
      </c>
      <c r="I417" s="2"/>
    </row>
    <row r="418" spans="1:16" x14ac:dyDescent="0.25">
      <c r="B418" s="73" t="s">
        <v>1685</v>
      </c>
      <c r="C418" s="65"/>
      <c r="D418" s="74"/>
      <c r="E418" s="74"/>
      <c r="F418" s="74"/>
      <c r="G418" s="74"/>
      <c r="H418" s="75">
        <f>ROUND(SUM(H410:H417),2)</f>
        <v>10.38</v>
      </c>
      <c r="I418" s="2"/>
    </row>
    <row r="419" spans="1:16" x14ac:dyDescent="0.25">
      <c r="B419" s="38" t="s">
        <v>1684</v>
      </c>
      <c r="C419" s="2"/>
      <c r="D419" s="3"/>
      <c r="E419" s="3"/>
      <c r="F419" s="3"/>
      <c r="G419" s="3"/>
      <c r="H419" s="56"/>
      <c r="I419" s="2"/>
    </row>
    <row r="420" spans="1:16" ht="25.5" x14ac:dyDescent="0.25">
      <c r="B420" s="64" t="s">
        <v>1409</v>
      </c>
      <c r="C420" s="65"/>
      <c r="D420" s="76"/>
      <c r="E420" s="66" t="s">
        <v>1408</v>
      </c>
      <c r="F420" s="66" t="s">
        <v>1679</v>
      </c>
      <c r="G420" s="66" t="s">
        <v>1683</v>
      </c>
      <c r="H420" s="68" t="s">
        <v>1675</v>
      </c>
      <c r="I420" s="2"/>
    </row>
    <row r="421" spans="1:16" x14ac:dyDescent="0.25">
      <c r="A421" s="103">
        <v>1</v>
      </c>
      <c r="B421" s="37" t="s">
        <v>80</v>
      </c>
      <c r="C421" s="2"/>
      <c r="D421" s="77"/>
      <c r="E421" s="78" t="s">
        <v>25</v>
      </c>
      <c r="F421" s="55">
        <v>1.1000000000000001</v>
      </c>
      <c r="G421" s="55">
        <f>32.36/3</f>
        <v>10.786666666666667</v>
      </c>
      <c r="H421" s="56">
        <f t="shared" ref="H421:H435" si="39">IF($A421=0,"",ROUND(F421*G421,2))</f>
        <v>11.87</v>
      </c>
      <c r="I421" s="2"/>
      <c r="J421" s="1">
        <f>31.36/3</f>
        <v>10.453333333333333</v>
      </c>
      <c r="L421" s="2"/>
      <c r="M421" s="2"/>
      <c r="N421" s="39"/>
      <c r="O421" s="2"/>
      <c r="P421" s="2"/>
    </row>
    <row r="422" spans="1:16" x14ac:dyDescent="0.25">
      <c r="A422" s="103">
        <v>1</v>
      </c>
      <c r="B422" s="38" t="s">
        <v>4</v>
      </c>
      <c r="C422" s="2"/>
      <c r="D422" s="77"/>
      <c r="E422" s="78" t="s">
        <v>2</v>
      </c>
      <c r="F422" s="55">
        <v>0.03</v>
      </c>
      <c r="G422" s="55">
        <v>12.63</v>
      </c>
      <c r="H422" s="56">
        <f t="shared" si="39"/>
        <v>0.38</v>
      </c>
      <c r="I422" s="2"/>
      <c r="L422" s="2"/>
      <c r="M422" s="2"/>
      <c r="N422" s="39"/>
      <c r="O422" s="2"/>
      <c r="P422" s="2"/>
    </row>
    <row r="423" spans="1:16" x14ac:dyDescent="0.25">
      <c r="A423" s="103">
        <v>1</v>
      </c>
      <c r="B423" s="38" t="s">
        <v>3</v>
      </c>
      <c r="C423" s="2"/>
      <c r="D423" s="77"/>
      <c r="E423" s="78" t="s">
        <v>2</v>
      </c>
      <c r="F423" s="55">
        <v>0.01</v>
      </c>
      <c r="G423" s="55">
        <v>6.89</v>
      </c>
      <c r="H423" s="56">
        <f t="shared" si="39"/>
        <v>7.0000000000000007E-2</v>
      </c>
      <c r="I423" s="2"/>
      <c r="L423" s="2"/>
      <c r="M423" s="2"/>
      <c r="N423" s="39"/>
      <c r="O423" s="2"/>
      <c r="P423" s="2"/>
    </row>
    <row r="424" spans="1:16" x14ac:dyDescent="0.25">
      <c r="A424" s="103">
        <v>1</v>
      </c>
      <c r="B424" s="38" t="s">
        <v>1301</v>
      </c>
      <c r="C424" s="2"/>
      <c r="D424" s="77"/>
      <c r="E424" s="78" t="s">
        <v>1506</v>
      </c>
      <c r="F424" s="55">
        <v>1</v>
      </c>
      <c r="G424" s="55">
        <v>1.2</v>
      </c>
      <c r="H424" s="56">
        <f t="shared" si="39"/>
        <v>1.2</v>
      </c>
      <c r="I424" s="2"/>
      <c r="L424" s="2"/>
      <c r="M424" s="2"/>
      <c r="N424" s="39"/>
      <c r="O424" s="2"/>
      <c r="P424" s="2"/>
    </row>
    <row r="425" spans="1:16" x14ac:dyDescent="0.25">
      <c r="B425" s="38"/>
      <c r="C425" s="2"/>
      <c r="D425" s="77"/>
      <c r="E425" s="78"/>
      <c r="F425" s="55"/>
      <c r="G425" s="55"/>
      <c r="H425" s="56" t="str">
        <f t="shared" si="39"/>
        <v/>
      </c>
      <c r="I425" s="2"/>
    </row>
    <row r="426" spans="1:16" x14ac:dyDescent="0.25">
      <c r="B426" s="38"/>
      <c r="C426" s="2"/>
      <c r="D426" s="77"/>
      <c r="E426" s="78"/>
      <c r="F426" s="55"/>
      <c r="G426" s="55"/>
      <c r="H426" s="56" t="str">
        <f t="shared" si="39"/>
        <v/>
      </c>
      <c r="I426" s="2"/>
      <c r="L426" s="2"/>
      <c r="M426" s="2"/>
      <c r="N426" s="39"/>
      <c r="O426" s="2"/>
      <c r="P426" s="2"/>
    </row>
    <row r="427" spans="1:16" x14ac:dyDescent="0.25">
      <c r="B427" s="38"/>
      <c r="C427" s="2"/>
      <c r="D427" s="77"/>
      <c r="E427" s="78"/>
      <c r="F427" s="55"/>
      <c r="G427" s="55"/>
      <c r="H427" s="56" t="str">
        <f t="shared" si="39"/>
        <v/>
      </c>
      <c r="I427" s="2"/>
      <c r="L427" s="2"/>
      <c r="M427" s="2"/>
      <c r="N427" s="39"/>
      <c r="O427" s="2"/>
      <c r="P427" s="2"/>
    </row>
    <row r="428" spans="1:16" x14ac:dyDescent="0.25">
      <c r="B428" s="38"/>
      <c r="C428" s="2"/>
      <c r="D428" s="77"/>
      <c r="E428" s="78"/>
      <c r="F428" s="55"/>
      <c r="G428" s="55"/>
      <c r="H428" s="56" t="str">
        <f t="shared" si="39"/>
        <v/>
      </c>
      <c r="I428" s="2"/>
      <c r="L428" s="2"/>
      <c r="M428" s="2"/>
      <c r="N428" s="39"/>
      <c r="O428" s="2"/>
      <c r="P428" s="2"/>
    </row>
    <row r="429" spans="1:16" x14ac:dyDescent="0.25">
      <c r="B429" s="38"/>
      <c r="C429" s="2"/>
      <c r="D429" s="77"/>
      <c r="E429" s="78"/>
      <c r="F429" s="55"/>
      <c r="G429" s="55"/>
      <c r="H429" s="56" t="str">
        <f t="shared" si="39"/>
        <v/>
      </c>
      <c r="I429" s="2"/>
    </row>
    <row r="430" spans="1:16" x14ac:dyDescent="0.25">
      <c r="B430" s="38" t="str">
        <f>IF($A430=0,"",VLOOKUP($A430,'BASE MATERIAL'!$A:$D,2))</f>
        <v/>
      </c>
      <c r="C430" s="2"/>
      <c r="D430" s="77"/>
      <c r="E430" s="78" t="str">
        <f>IF($A430=0,"",VLOOKUP($A430,'BASE MATERIAL'!$A:$D,3))</f>
        <v/>
      </c>
      <c r="F430" s="55"/>
      <c r="G430" s="55" t="str">
        <f>IF($A430=0,"",VLOOKUP($A430,'BASE MATERIAL'!$A:$D,4))</f>
        <v/>
      </c>
      <c r="H430" s="56" t="str">
        <f t="shared" si="39"/>
        <v/>
      </c>
      <c r="I430" s="2"/>
      <c r="L430" s="2"/>
      <c r="M430" s="2"/>
      <c r="N430" s="39"/>
      <c r="O430" s="2"/>
      <c r="P430" s="2"/>
    </row>
    <row r="431" spans="1:16" x14ac:dyDescent="0.25">
      <c r="B431" s="38" t="str">
        <f>IF($A431=0,"",VLOOKUP($A431,'BASE MATERIAL'!$A:$D,2))</f>
        <v/>
      </c>
      <c r="C431" s="2"/>
      <c r="D431" s="77"/>
      <c r="E431" s="78" t="str">
        <f>IF($A431=0,"",VLOOKUP($A431,'BASE MATERIAL'!$A:$D,3))</f>
        <v/>
      </c>
      <c r="F431" s="55"/>
      <c r="G431" s="55" t="str">
        <f>IF($A431=0,"",VLOOKUP($A431,'BASE MATERIAL'!$A:$D,4))</f>
        <v/>
      </c>
      <c r="H431" s="56" t="str">
        <f t="shared" si="39"/>
        <v/>
      </c>
      <c r="I431" s="2"/>
      <c r="L431" s="2"/>
      <c r="M431" s="2"/>
      <c r="N431" s="39"/>
      <c r="O431" s="2"/>
      <c r="P431" s="2"/>
    </row>
    <row r="432" spans="1:16" x14ac:dyDescent="0.25">
      <c r="B432" s="38" t="str">
        <f>IF($A432=0,"",VLOOKUP($A432,'BASE MATERIAL'!$A:$D,2))</f>
        <v/>
      </c>
      <c r="C432" s="2"/>
      <c r="D432" s="77"/>
      <c r="E432" s="78" t="str">
        <f>IF($A432=0,"",VLOOKUP($A432,'BASE MATERIAL'!$A:$D,3))</f>
        <v/>
      </c>
      <c r="F432" s="55"/>
      <c r="G432" s="55" t="str">
        <f>IF($A432=0,"",VLOOKUP($A432,'BASE MATERIAL'!$A:$D,4))</f>
        <v/>
      </c>
      <c r="H432" s="56" t="str">
        <f t="shared" si="39"/>
        <v/>
      </c>
      <c r="I432" s="2"/>
    </row>
    <row r="433" spans="1:9" x14ac:dyDescent="0.25">
      <c r="B433" s="38" t="str">
        <f>IF($A433=0,"",VLOOKUP($A433,'BASE MATERIAL'!$A:$D,2))</f>
        <v/>
      </c>
      <c r="C433" s="2"/>
      <c r="D433" s="77"/>
      <c r="E433" s="78" t="str">
        <f>IF($A433=0,"",VLOOKUP($A433,'BASE MATERIAL'!$A:$D,3))</f>
        <v/>
      </c>
      <c r="F433" s="55"/>
      <c r="G433" s="55" t="str">
        <f>IF($A433=0,"",VLOOKUP($A433,'BASE MATERIAL'!$A:$D,4))</f>
        <v/>
      </c>
      <c r="H433" s="56" t="str">
        <f t="shared" si="39"/>
        <v/>
      </c>
      <c r="I433" s="2"/>
    </row>
    <row r="434" spans="1:9" x14ac:dyDescent="0.25">
      <c r="B434" s="38" t="str">
        <f>IF($A434=0,"",VLOOKUP($A434,'BASE MATERIAL'!$A:$D,2))</f>
        <v/>
      </c>
      <c r="C434" s="2"/>
      <c r="D434" s="77"/>
      <c r="E434" s="78" t="str">
        <f>IF($A434=0,"",VLOOKUP($A434,'BASE MATERIAL'!$A:$D,3))</f>
        <v/>
      </c>
      <c r="F434" s="55"/>
      <c r="G434" s="55" t="str">
        <f>IF($A434=0,"",VLOOKUP($A434,'BASE MATERIAL'!$A:$D,4))</f>
        <v/>
      </c>
      <c r="H434" s="56" t="str">
        <f t="shared" si="39"/>
        <v/>
      </c>
      <c r="I434" s="2"/>
    </row>
    <row r="435" spans="1:9" x14ac:dyDescent="0.25">
      <c r="B435" s="38" t="str">
        <f>IF($A435=0,"",VLOOKUP($A435,'BASE MATERIAL'!$A:$D,2))</f>
        <v/>
      </c>
      <c r="C435" s="2"/>
      <c r="D435" s="77"/>
      <c r="E435" s="78" t="str">
        <f>IF($A435=0,"",VLOOKUP($A435,'BASE MATERIAL'!$A:$D,3))</f>
        <v/>
      </c>
      <c r="F435" s="55"/>
      <c r="G435" s="55" t="str">
        <f>IF($A435=0,"",VLOOKUP($A435,'BASE MATERIAL'!$A:$D,4))</f>
        <v/>
      </c>
      <c r="H435" s="56" t="str">
        <f t="shared" si="39"/>
        <v/>
      </c>
      <c r="I435" s="2"/>
    </row>
    <row r="436" spans="1:9" x14ac:dyDescent="0.25">
      <c r="B436" s="38" t="str">
        <f>IF($A436=0,"",VLOOKUP($A436,'BASE MATERIAL'!$A:$D,2))</f>
        <v/>
      </c>
      <c r="C436" s="2"/>
      <c r="D436" s="81" t="s">
        <v>1682</v>
      </c>
      <c r="E436" s="55" t="str">
        <f>IF($A436=0,"",VLOOKUP($A436,'BASE MATERIAL'!$A:$D,3))</f>
        <v/>
      </c>
      <c r="F436" s="55" t="s">
        <v>1682</v>
      </c>
      <c r="G436" s="55" t="str">
        <f>IF($A436=0,"",VLOOKUP($A436,'BASE MATERIAL'!$A:$D,4))</f>
        <v/>
      </c>
      <c r="H436" s="56" t="str">
        <f>IF($A436=0,"",ROUND(E436*F436,2))</f>
        <v/>
      </c>
      <c r="I436" s="2"/>
    </row>
    <row r="437" spans="1:9" x14ac:dyDescent="0.25">
      <c r="B437" s="73" t="s">
        <v>1681</v>
      </c>
      <c r="C437" s="65"/>
      <c r="D437" s="74"/>
      <c r="E437" s="74"/>
      <c r="F437" s="74"/>
      <c r="G437" s="74"/>
      <c r="H437" s="75">
        <f>ROUND(SUM(H420:H436),2)</f>
        <v>13.52</v>
      </c>
      <c r="I437" s="2"/>
    </row>
    <row r="438" spans="1:9" x14ac:dyDescent="0.25">
      <c r="B438" s="38" t="s">
        <v>1680</v>
      </c>
      <c r="C438" s="2"/>
      <c r="D438" s="3"/>
      <c r="E438" s="3"/>
      <c r="F438" s="3"/>
      <c r="G438" s="3"/>
      <c r="H438" s="56"/>
      <c r="I438" s="2"/>
    </row>
    <row r="439" spans="1:9" ht="25.5" x14ac:dyDescent="0.25">
      <c r="B439" s="64" t="s">
        <v>1409</v>
      </c>
      <c r="C439" s="65"/>
      <c r="D439" s="76"/>
      <c r="E439" s="66" t="s">
        <v>1408</v>
      </c>
      <c r="F439" s="66" t="s">
        <v>1679</v>
      </c>
      <c r="G439" s="66" t="s">
        <v>1676</v>
      </c>
      <c r="H439" s="68" t="s">
        <v>1675</v>
      </c>
      <c r="I439" s="2"/>
    </row>
    <row r="440" spans="1:9" x14ac:dyDescent="0.25">
      <c r="A440" s="103">
        <v>19019</v>
      </c>
      <c r="B440" s="51" t="str">
        <f>IF($A440=0,"",VLOOKUP($A440,'BASE EQUIPO'!$A:$D,2))</f>
        <v>TRANSPORTE DE MATERIAL</v>
      </c>
      <c r="C440" s="52"/>
      <c r="D440" s="82"/>
      <c r="E440" s="78" t="str">
        <f>IF($A440=0,"",VLOOKUP($A440,'BASE EQUIPO'!$A:$D,3))</f>
        <v>GLOBAL</v>
      </c>
      <c r="F440" s="55">
        <v>1</v>
      </c>
      <c r="G440" s="83">
        <f>IF($A440=0,"",VLOOKUP($A440,'BASE EQUIPO'!$A:$D,4)*H437)</f>
        <v>0.40559999999999996</v>
      </c>
      <c r="H440" s="56">
        <f>IF($A440=0,"",ROUND(F440*G440,2))</f>
        <v>0.41</v>
      </c>
      <c r="I440" s="2"/>
    </row>
    <row r="441" spans="1:9" x14ac:dyDescent="0.25">
      <c r="B441" s="38" t="str">
        <f>IF($A441=0,"",VLOOKUP($A441,'BASE EQUIPO'!$A:$D,2))</f>
        <v/>
      </c>
      <c r="C441" s="2"/>
      <c r="D441" s="84"/>
      <c r="E441" s="78" t="str">
        <f>IF($A441=0,"",VLOOKUP($A441,'BASE EQUIPO'!$A:$D,3))</f>
        <v/>
      </c>
      <c r="F441" s="55"/>
      <c r="G441" s="55" t="str">
        <f>IF($A441=0,"",VLOOKUP($A441,'BASE EQUIPO'!$A:$D,4)*H438)</f>
        <v/>
      </c>
      <c r="H441" s="56" t="str">
        <f>IF($A441=0,"",ROUND(F441*G441,2))</f>
        <v/>
      </c>
      <c r="I441" s="2"/>
    </row>
    <row r="442" spans="1:9" x14ac:dyDescent="0.25">
      <c r="B442" s="57" t="str">
        <f>IF($A442=0,"",VLOOKUP($A442,'BASE EQUIPO'!$A:$D,2))</f>
        <v/>
      </c>
      <c r="C442" s="58"/>
      <c r="D442" s="85"/>
      <c r="E442" s="86" t="str">
        <f>IF($A442=0,"",VLOOKUP($A442,'BASE EQUIPO'!$A:$D,3))</f>
        <v/>
      </c>
      <c r="F442" s="59"/>
      <c r="G442" s="59" t="str">
        <f>IF($A442=0,"",VLOOKUP($A442,'BASE EQUIPO'!$A:$D,4)*H439)</f>
        <v/>
      </c>
      <c r="H442" s="60" t="str">
        <f>IF($A442=0,"",ROUND(F442*G442,2))</f>
        <v/>
      </c>
      <c r="I442" s="2"/>
    </row>
    <row r="443" spans="1:9" ht="15.75" thickBot="1" x14ac:dyDescent="0.3">
      <c r="B443" s="87" t="s">
        <v>1674</v>
      </c>
      <c r="C443" s="88"/>
      <c r="D443" s="89"/>
      <c r="E443" s="89"/>
      <c r="F443" s="89"/>
      <c r="G443" s="89"/>
      <c r="H443" s="90">
        <f>ROUND(SUM(H439:H442),2)</f>
        <v>0.41</v>
      </c>
      <c r="I443" s="2"/>
    </row>
    <row r="444" spans="1:9" ht="15.75" x14ac:dyDescent="0.25">
      <c r="B444" s="2"/>
      <c r="C444" s="2"/>
      <c r="D444" s="91" t="s">
        <v>1673</v>
      </c>
      <c r="E444" s="47"/>
      <c r="F444" s="47"/>
      <c r="G444" s="47"/>
      <c r="H444" s="92">
        <f>ROUND(SUM(H443,H437,H418,H408),2)</f>
        <v>24.83</v>
      </c>
      <c r="I444" s="2"/>
    </row>
    <row r="445" spans="1:9" ht="15.75" x14ac:dyDescent="0.25">
      <c r="A445" s="103">
        <v>40002</v>
      </c>
      <c r="B445" s="2"/>
      <c r="C445" s="2"/>
      <c r="D445" s="93" t="s">
        <v>1672</v>
      </c>
      <c r="E445" s="65"/>
      <c r="F445" s="65"/>
      <c r="G445" s="94">
        <f>IF($A445=0,"",VLOOKUP($A445,'BASE MATERIAL'!$M:$P,4))</f>
        <v>0</v>
      </c>
      <c r="H445" s="95">
        <f>IF($A445=0,"",ROUND(G445*H444,2))</f>
        <v>0</v>
      </c>
      <c r="I445" s="2"/>
    </row>
    <row r="446" spans="1:9" ht="15.75" x14ac:dyDescent="0.25">
      <c r="A446" s="103">
        <v>40003</v>
      </c>
      <c r="B446" s="2"/>
      <c r="C446" s="2"/>
      <c r="D446" s="93" t="s">
        <v>1671</v>
      </c>
      <c r="E446" s="65"/>
      <c r="F446" s="65"/>
      <c r="G446" s="94">
        <f>IF($A446=0,"",VLOOKUP($A446,'BASE MATERIAL'!$M:$P,4))</f>
        <v>0</v>
      </c>
      <c r="H446" s="95">
        <f>IF($A446=0,"",ROUND(G446*H444,2))</f>
        <v>0</v>
      </c>
      <c r="I446" s="2"/>
    </row>
    <row r="447" spans="1:9" ht="15.75" x14ac:dyDescent="0.25">
      <c r="B447" s="2"/>
      <c r="C447" s="2"/>
      <c r="D447" s="93" t="s">
        <v>1670</v>
      </c>
      <c r="E447" s="65"/>
      <c r="F447" s="65"/>
      <c r="G447" s="65"/>
      <c r="H447" s="96">
        <f>ROUND(SUM(H444:H446),2)</f>
        <v>24.83</v>
      </c>
      <c r="I447" s="2"/>
    </row>
    <row r="448" spans="1:9" ht="16.5" thickBot="1" x14ac:dyDescent="0.3">
      <c r="B448" s="25"/>
      <c r="C448" s="2"/>
      <c r="D448" s="97" t="s">
        <v>1650</v>
      </c>
      <c r="E448" s="88"/>
      <c r="F448" s="88"/>
      <c r="G448" s="88"/>
      <c r="H448" s="98">
        <f>ROUND(H447,2)</f>
        <v>24.83</v>
      </c>
      <c r="I448" s="2"/>
    </row>
    <row r="449" spans="1:15" ht="15.75" x14ac:dyDescent="0.25">
      <c r="B449" s="34" t="s">
        <v>1701</v>
      </c>
      <c r="C449" s="2"/>
      <c r="D449" s="3" t="str">
        <f>$D$57</f>
        <v>ESPOL</v>
      </c>
      <c r="E449" s="2"/>
      <c r="F449" s="2"/>
      <c r="H449" s="2" t="s">
        <v>108</v>
      </c>
      <c r="I449" s="2"/>
      <c r="L449" s="40">
        <f>A453</f>
        <v>16</v>
      </c>
      <c r="M449" s="1" t="str">
        <f>C454</f>
        <v>Puntos sumideros de 160mm</v>
      </c>
      <c r="N449" s="2" t="str">
        <f>H453</f>
        <v>U</v>
      </c>
      <c r="O449" s="2">
        <f>H504</f>
        <v>40.49</v>
      </c>
    </row>
    <row r="450" spans="1:15" ht="15.75" x14ac:dyDescent="0.25">
      <c r="B450" s="34" t="s">
        <v>1700</v>
      </c>
      <c r="C450" s="3">
        <f>'1.1'!$C$2</f>
        <v>0</v>
      </c>
      <c r="D450" s="2"/>
      <c r="E450" s="2"/>
      <c r="F450" s="2"/>
      <c r="G450" s="41" t="s">
        <v>1699</v>
      </c>
      <c r="H450" s="42"/>
      <c r="I450" s="2" t="s">
        <v>1698</v>
      </c>
    </row>
    <row r="451" spans="1:15" ht="15.75" x14ac:dyDescent="0.25">
      <c r="B451" s="34"/>
      <c r="C451" s="3">
        <f>'1.1'!$C$3</f>
        <v>0</v>
      </c>
      <c r="D451" s="2"/>
      <c r="E451" s="2"/>
      <c r="F451" s="2"/>
      <c r="G451" s="2"/>
      <c r="H451" s="2"/>
      <c r="I451" s="2"/>
    </row>
    <row r="452" spans="1:15" ht="15.75" x14ac:dyDescent="0.25">
      <c r="B452" s="34" t="s">
        <v>1697</v>
      </c>
      <c r="C452" s="3"/>
      <c r="D452" s="2"/>
      <c r="E452" s="2"/>
      <c r="F452" s="2"/>
      <c r="G452" s="2"/>
      <c r="H452" s="2"/>
      <c r="I452" s="2"/>
    </row>
    <row r="453" spans="1:15" x14ac:dyDescent="0.25">
      <c r="A453" s="104">
        <v>16</v>
      </c>
      <c r="B453" s="2" t="s">
        <v>1586</v>
      </c>
      <c r="C453" s="101" t="s">
        <v>1654</v>
      </c>
      <c r="D453" s="2"/>
      <c r="G453" s="2" t="s">
        <v>1696</v>
      </c>
      <c r="H453" s="3" t="s">
        <v>744</v>
      </c>
      <c r="I453" s="2"/>
    </row>
    <row r="454" spans="1:15" x14ac:dyDescent="0.25">
      <c r="B454" s="1" t="s">
        <v>1585</v>
      </c>
      <c r="C454" s="36" t="s">
        <v>1302</v>
      </c>
      <c r="D454" s="2"/>
      <c r="E454" s="2"/>
      <c r="F454" s="2"/>
      <c r="G454" s="2"/>
      <c r="H454" s="2"/>
      <c r="I454" s="2"/>
    </row>
    <row r="455" spans="1:15" ht="15.75" thickBot="1" x14ac:dyDescent="0.3">
      <c r="D455" s="2"/>
      <c r="E455" s="2"/>
      <c r="F455" s="2"/>
      <c r="G455" s="2"/>
      <c r="H455" s="2"/>
      <c r="I455" s="2"/>
    </row>
    <row r="456" spans="1:15" ht="15.75" thickBot="1" x14ac:dyDescent="0.3">
      <c r="B456" s="43" t="s">
        <v>1695</v>
      </c>
      <c r="C456" s="44"/>
      <c r="D456" s="44"/>
      <c r="E456" s="44"/>
      <c r="F456" s="44"/>
      <c r="G456" s="44"/>
      <c r="H456" s="45"/>
      <c r="I456" s="2"/>
    </row>
    <row r="457" spans="1:15" ht="25.5" x14ac:dyDescent="0.25">
      <c r="B457" s="46" t="s">
        <v>1409</v>
      </c>
      <c r="C457" s="47"/>
      <c r="D457" s="48" t="s">
        <v>1690</v>
      </c>
      <c r="E457" s="48" t="s">
        <v>1694</v>
      </c>
      <c r="F457" s="48" t="s">
        <v>1693</v>
      </c>
      <c r="G457" s="49" t="s">
        <v>1687</v>
      </c>
      <c r="H457" s="50" t="s">
        <v>1686</v>
      </c>
      <c r="I457" s="2"/>
    </row>
    <row r="458" spans="1:15" x14ac:dyDescent="0.25">
      <c r="A458" s="103">
        <v>19015</v>
      </c>
      <c r="B458" s="51" t="str">
        <f>IF($A458=0,"",VLOOKUP($A458,'BASE EQUIPO'!$A:$D,2))</f>
        <v>HERRAMIENTA MENOR</v>
      </c>
      <c r="C458" s="52"/>
      <c r="D458" s="53">
        <v>1</v>
      </c>
      <c r="E458" s="53">
        <f>IF($A458=0,"",VLOOKUP($A458,'BASE EQUIPO'!$A:$D,4)*H474)</f>
        <v>0.58919999999999995</v>
      </c>
      <c r="F458" s="53">
        <f t="shared" ref="F458:F463" si="40">IF($A458=0,"",ROUND(D458*E458,2))</f>
        <v>0.59</v>
      </c>
      <c r="G458" s="105">
        <v>1</v>
      </c>
      <c r="H458" s="54">
        <f t="shared" ref="H458:H463" si="41">IF($A458=0,"",ROUND(G458*F458,2))</f>
        <v>0.59</v>
      </c>
      <c r="I458" s="2"/>
    </row>
    <row r="459" spans="1:15" x14ac:dyDescent="0.25">
      <c r="B459" s="38" t="str">
        <f>IF($A459=0,"",VLOOKUP($A459,'BASE EQUIPO'!$A:$D,2))</f>
        <v/>
      </c>
      <c r="C459" s="2"/>
      <c r="D459" s="55"/>
      <c r="E459" s="55" t="str">
        <f>IF($A459=0,"",VLOOKUP($A459,'BASE EQUIPO'!$A:$D,4))</f>
        <v/>
      </c>
      <c r="F459" s="55" t="str">
        <f t="shared" si="40"/>
        <v/>
      </c>
      <c r="G459" s="106"/>
      <c r="H459" s="56" t="str">
        <f t="shared" si="41"/>
        <v/>
      </c>
      <c r="I459" s="2"/>
    </row>
    <row r="460" spans="1:15" x14ac:dyDescent="0.25">
      <c r="B460" s="38" t="str">
        <f>IF($A460=0,"",VLOOKUP($A460,'BASE EQUIPO'!$A:$D,2))</f>
        <v/>
      </c>
      <c r="C460" s="2"/>
      <c r="D460" s="55"/>
      <c r="E460" s="55" t="str">
        <f>IF($A460=0,"",VLOOKUP($A460,'BASE EQUIPO'!$A:$D,4))</f>
        <v/>
      </c>
      <c r="F460" s="55" t="str">
        <f t="shared" si="40"/>
        <v/>
      </c>
      <c r="G460" s="106"/>
      <c r="H460" s="56" t="str">
        <f t="shared" si="41"/>
        <v/>
      </c>
      <c r="I460" s="2"/>
    </row>
    <row r="461" spans="1:15" x14ac:dyDescent="0.25">
      <c r="B461" s="38" t="str">
        <f>IF($A461=0,"",VLOOKUP($A461,'BASE EQUIPO'!$A:$D,2))</f>
        <v/>
      </c>
      <c r="C461" s="2"/>
      <c r="D461" s="55"/>
      <c r="E461" s="55" t="str">
        <f>IF($A461=0,"",VLOOKUP($A461,'BASE EQUIPO'!$A:$D,4))</f>
        <v/>
      </c>
      <c r="F461" s="55" t="str">
        <f t="shared" si="40"/>
        <v/>
      </c>
      <c r="G461" s="106"/>
      <c r="H461" s="56" t="str">
        <f t="shared" si="41"/>
        <v/>
      </c>
      <c r="I461" s="2"/>
    </row>
    <row r="462" spans="1:15" x14ac:dyDescent="0.25">
      <c r="B462" s="38" t="str">
        <f>IF($A462=0,"",VLOOKUP($A462,'BASE EQUIPO'!$A:$D,2))</f>
        <v/>
      </c>
      <c r="C462" s="2"/>
      <c r="D462" s="55"/>
      <c r="E462" s="55" t="str">
        <f>IF($A462=0,"",VLOOKUP($A462,'BASE EQUIPO'!$A:$D,4))</f>
        <v/>
      </c>
      <c r="F462" s="55" t="str">
        <f t="shared" si="40"/>
        <v/>
      </c>
      <c r="G462" s="106"/>
      <c r="H462" s="56" t="str">
        <f t="shared" si="41"/>
        <v/>
      </c>
      <c r="I462" s="2"/>
    </row>
    <row r="463" spans="1:15" x14ac:dyDescent="0.25">
      <c r="B463" s="57" t="str">
        <f>IF($A463=0,"",VLOOKUP($A463,'BASE EQUIPO'!$A:$D,2))</f>
        <v/>
      </c>
      <c r="C463" s="58"/>
      <c r="D463" s="59"/>
      <c r="E463" s="59" t="str">
        <f>IF($A463=0,"",VLOOKUP($A463,'BASE EQUIPO'!$A:$D,4))</f>
        <v/>
      </c>
      <c r="F463" s="59" t="str">
        <f t="shared" si="40"/>
        <v/>
      </c>
      <c r="G463" s="107"/>
      <c r="H463" s="60" t="str">
        <f t="shared" si="41"/>
        <v/>
      </c>
      <c r="I463" s="2"/>
    </row>
    <row r="464" spans="1:15" x14ac:dyDescent="0.25">
      <c r="B464" s="57" t="s">
        <v>1692</v>
      </c>
      <c r="C464" s="58"/>
      <c r="D464" s="61"/>
      <c r="E464" s="61"/>
      <c r="F464" s="61"/>
      <c r="G464" s="62"/>
      <c r="H464" s="60">
        <f>ROUND(SUM(H457:H463),2)</f>
        <v>0.59</v>
      </c>
      <c r="I464" s="2"/>
    </row>
    <row r="465" spans="1:16" x14ac:dyDescent="0.25">
      <c r="B465" s="38" t="s">
        <v>1503</v>
      </c>
      <c r="C465" s="2"/>
      <c r="D465" s="3"/>
      <c r="E465" s="3"/>
      <c r="F465" s="3"/>
      <c r="G465" s="63"/>
      <c r="H465" s="56"/>
      <c r="I465" s="2"/>
    </row>
    <row r="466" spans="1:16" ht="25.5" x14ac:dyDescent="0.25">
      <c r="B466" s="64" t="s">
        <v>1691</v>
      </c>
      <c r="C466" s="65"/>
      <c r="D466" s="66" t="s">
        <v>1690</v>
      </c>
      <c r="E466" s="66" t="s">
        <v>1689</v>
      </c>
      <c r="F466" s="66" t="s">
        <v>1688</v>
      </c>
      <c r="G466" s="67" t="s">
        <v>1687</v>
      </c>
      <c r="H466" s="68" t="s">
        <v>1686</v>
      </c>
      <c r="I466" s="2"/>
    </row>
    <row r="467" spans="1:16" x14ac:dyDescent="0.25">
      <c r="B467" s="69" t="str">
        <f>IF($A467=0,"",VLOOKUP($A467,'BASE M-OBRA'!$A:$D,2))</f>
        <v/>
      </c>
      <c r="C467" s="2"/>
      <c r="D467" s="108"/>
      <c r="E467" s="70" t="str">
        <f>IF($A467=0,"",VLOOKUP($A467,'BASE M-OBRA'!$A:$D,4))</f>
        <v/>
      </c>
      <c r="F467" s="55" t="str">
        <f t="shared" ref="F467:F473" si="42">IF($A467=0,"",ROUND(D467*E467,2))</f>
        <v/>
      </c>
      <c r="G467" s="106" t="str">
        <f>IF($A467=0,"",ROUND(H467/F467,2))</f>
        <v/>
      </c>
      <c r="H467" s="56" t="str">
        <f>IF($A467=0,"",ROUND(SUM(H468:H473)*'BASE M-OBRA'!$D$23,2))</f>
        <v/>
      </c>
      <c r="I467" s="2"/>
    </row>
    <row r="468" spans="1:16" x14ac:dyDescent="0.25">
      <c r="A468" s="103">
        <v>20011</v>
      </c>
      <c r="B468" s="69" t="str">
        <f>IF($A468=0,"",VLOOKUP($A468,'BASE M-OBRA'!$A:$D,2))</f>
        <v>AYUDANTE ESPECIALISTA</v>
      </c>
      <c r="C468" s="2"/>
      <c r="D468" s="108">
        <v>1</v>
      </c>
      <c r="E468" s="70">
        <f>IF($A468=0,"",VLOOKUP($A468,'BASE M-OBRA'!$A:$D,4))</f>
        <v>2.79</v>
      </c>
      <c r="F468" s="55">
        <f t="shared" si="42"/>
        <v>2.79</v>
      </c>
      <c r="G468" s="106">
        <v>3.5</v>
      </c>
      <c r="H468" s="56">
        <f t="shared" ref="H468:H473" si="43">IF($A468=0,"",ROUND(G468*F468,2))</f>
        <v>9.77</v>
      </c>
      <c r="I468" s="2"/>
    </row>
    <row r="469" spans="1:16" x14ac:dyDescent="0.25">
      <c r="A469" s="103">
        <v>20016</v>
      </c>
      <c r="B469" s="69" t="str">
        <f>IF($A469=0,"",VLOOKUP($A469,'BASE M-OBRA'!$A:$D,2))</f>
        <v>GAFITERO</v>
      </c>
      <c r="C469" s="2"/>
      <c r="D469" s="108">
        <v>1</v>
      </c>
      <c r="E469" s="70">
        <f>IF($A469=0,"",VLOOKUP($A469,'BASE M-OBRA'!$A:$D,4))</f>
        <v>2.82</v>
      </c>
      <c r="F469" s="55">
        <f t="shared" si="42"/>
        <v>2.82</v>
      </c>
      <c r="G469" s="106">
        <f>+G468</f>
        <v>3.5</v>
      </c>
      <c r="H469" s="56">
        <f t="shared" si="43"/>
        <v>9.8699999999999992</v>
      </c>
      <c r="I469" s="2"/>
    </row>
    <row r="470" spans="1:16" x14ac:dyDescent="0.25">
      <c r="B470" s="71" t="str">
        <f>IF($A470=0,"",VLOOKUP($A470,'BASE M-OBRA'!$A:$D,2))</f>
        <v/>
      </c>
      <c r="C470" s="2"/>
      <c r="D470" s="108"/>
      <c r="E470" s="70" t="str">
        <f>IF($A470=0,"",VLOOKUP($A470,'BASE M-OBRA'!$A:$D,4))</f>
        <v/>
      </c>
      <c r="F470" s="55" t="str">
        <f t="shared" si="42"/>
        <v/>
      </c>
      <c r="G470" s="106"/>
      <c r="H470" s="56" t="str">
        <f t="shared" si="43"/>
        <v/>
      </c>
      <c r="I470" s="2"/>
    </row>
    <row r="471" spans="1:16" x14ac:dyDescent="0.25">
      <c r="B471" s="72" t="str">
        <f>IF($A471=0,"",VLOOKUP($A471,'BASE M-OBRA'!$A:$D,2))</f>
        <v/>
      </c>
      <c r="C471" s="2"/>
      <c r="D471" s="108"/>
      <c r="E471" s="70" t="str">
        <f>IF($A471=0,"",VLOOKUP($A471,'BASE M-OBRA'!$A:$D,4))</f>
        <v/>
      </c>
      <c r="F471" s="55" t="str">
        <f t="shared" si="42"/>
        <v/>
      </c>
      <c r="G471" s="106"/>
      <c r="H471" s="56" t="str">
        <f t="shared" si="43"/>
        <v/>
      </c>
      <c r="I471" s="2"/>
    </row>
    <row r="472" spans="1:16" x14ac:dyDescent="0.25">
      <c r="B472" s="38" t="str">
        <f>IF($A472=0,"",VLOOKUP($A472,'BASE M-OBRA'!$A:$D,2))</f>
        <v/>
      </c>
      <c r="C472" s="2"/>
      <c r="D472" s="55"/>
      <c r="E472" s="55" t="str">
        <f>IF($A472=0,"",VLOOKUP($A472,'BASE M-OBRA'!$A:$D,4))</f>
        <v/>
      </c>
      <c r="F472" s="55" t="str">
        <f t="shared" si="42"/>
        <v/>
      </c>
      <c r="G472" s="106"/>
      <c r="H472" s="56" t="str">
        <f t="shared" si="43"/>
        <v/>
      </c>
      <c r="I472" s="2"/>
    </row>
    <row r="473" spans="1:16" x14ac:dyDescent="0.25">
      <c r="B473" s="57" t="str">
        <f>IF($A473=0,"",VLOOKUP($A473,'BASE M-OBRA'!$A:$D,2))</f>
        <v/>
      </c>
      <c r="C473" s="58"/>
      <c r="D473" s="59"/>
      <c r="E473" s="59" t="str">
        <f>IF($A473=0,"",VLOOKUP($A473,'BASE M-OBRA'!$A:$D,4))</f>
        <v/>
      </c>
      <c r="F473" s="59" t="str">
        <f t="shared" si="42"/>
        <v/>
      </c>
      <c r="G473" s="107"/>
      <c r="H473" s="60" t="str">
        <f t="shared" si="43"/>
        <v/>
      </c>
      <c r="I473" s="2"/>
    </row>
    <row r="474" spans="1:16" x14ac:dyDescent="0.25">
      <c r="B474" s="73" t="s">
        <v>1685</v>
      </c>
      <c r="C474" s="65"/>
      <c r="D474" s="74"/>
      <c r="E474" s="74"/>
      <c r="F474" s="74"/>
      <c r="G474" s="74"/>
      <c r="H474" s="75">
        <f>ROUND(SUM(H466:H473),2)</f>
        <v>19.64</v>
      </c>
      <c r="I474" s="2"/>
    </row>
    <row r="475" spans="1:16" x14ac:dyDescent="0.25">
      <c r="B475" s="38" t="s">
        <v>1684</v>
      </c>
      <c r="C475" s="2"/>
      <c r="D475" s="3"/>
      <c r="E475" s="3"/>
      <c r="F475" s="3"/>
      <c r="G475" s="3"/>
      <c r="H475" s="56"/>
      <c r="I475" s="2"/>
    </row>
    <row r="476" spans="1:16" ht="25.5" x14ac:dyDescent="0.25">
      <c r="B476" s="64" t="s">
        <v>1409</v>
      </c>
      <c r="C476" s="65"/>
      <c r="D476" s="76"/>
      <c r="E476" s="66" t="s">
        <v>1408</v>
      </c>
      <c r="F476" s="66" t="s">
        <v>1679</v>
      </c>
      <c r="G476" s="66" t="s">
        <v>1683</v>
      </c>
      <c r="H476" s="68" t="s">
        <v>1675</v>
      </c>
      <c r="I476" s="2"/>
    </row>
    <row r="477" spans="1:16" x14ac:dyDescent="0.25">
      <c r="A477" s="103">
        <v>1</v>
      </c>
      <c r="B477" s="99" t="s">
        <v>80</v>
      </c>
      <c r="C477" s="2"/>
      <c r="D477" s="77"/>
      <c r="E477" s="78" t="s">
        <v>25</v>
      </c>
      <c r="F477" s="55">
        <v>0.35</v>
      </c>
      <c r="G477" s="55">
        <f>32.36/3</f>
        <v>10.786666666666667</v>
      </c>
      <c r="H477" s="56">
        <f t="shared" ref="H477:H491" si="44">IF($A477=0,"",ROUND(F477*G477,2))</f>
        <v>3.78</v>
      </c>
      <c r="I477" s="2"/>
      <c r="J477" s="1">
        <f>11.13/1.12</f>
        <v>9.9375</v>
      </c>
      <c r="L477" s="2"/>
      <c r="M477" s="2"/>
      <c r="N477" s="39"/>
      <c r="O477" s="2"/>
      <c r="P477" s="2"/>
    </row>
    <row r="478" spans="1:16" x14ac:dyDescent="0.25">
      <c r="A478" s="103">
        <v>1</v>
      </c>
      <c r="B478" s="38" t="s">
        <v>1303</v>
      </c>
      <c r="C478" s="2"/>
      <c r="D478" s="77"/>
      <c r="E478" s="78" t="s">
        <v>5</v>
      </c>
      <c r="F478" s="55">
        <v>2</v>
      </c>
      <c r="G478" s="55">
        <v>5.36</v>
      </c>
      <c r="H478" s="56">
        <f t="shared" si="44"/>
        <v>10.72</v>
      </c>
      <c r="I478" s="2"/>
      <c r="J478" s="1">
        <f>3.36/1.12</f>
        <v>2.9999999999999996</v>
      </c>
      <c r="L478" s="2"/>
      <c r="M478" s="2"/>
      <c r="N478" s="39"/>
      <c r="O478" s="2"/>
      <c r="P478" s="2"/>
    </row>
    <row r="479" spans="1:16" x14ac:dyDescent="0.25">
      <c r="B479" s="38"/>
      <c r="C479" s="2"/>
      <c r="D479" s="77"/>
      <c r="E479" s="78"/>
      <c r="F479" s="55"/>
      <c r="G479" s="55"/>
      <c r="H479" s="56" t="str">
        <f t="shared" si="44"/>
        <v/>
      </c>
      <c r="I479" s="2"/>
      <c r="L479" s="2"/>
      <c r="M479" s="2"/>
      <c r="N479" s="39"/>
      <c r="O479" s="2"/>
      <c r="P479" s="2"/>
    </row>
    <row r="480" spans="1:16" x14ac:dyDescent="0.25">
      <c r="B480" s="38"/>
      <c r="C480" s="2"/>
      <c r="D480" s="77"/>
      <c r="E480" s="78"/>
      <c r="F480" s="55"/>
      <c r="G480" s="55"/>
      <c r="H480" s="56" t="str">
        <f t="shared" si="44"/>
        <v/>
      </c>
      <c r="I480" s="2"/>
      <c r="L480" s="2"/>
      <c r="M480" s="2"/>
      <c r="N480" s="39"/>
      <c r="O480" s="2"/>
      <c r="P480" s="2"/>
    </row>
    <row r="481" spans="1:16" x14ac:dyDescent="0.25">
      <c r="B481" s="38"/>
      <c r="C481" s="2"/>
      <c r="D481" s="77"/>
      <c r="E481" s="78"/>
      <c r="F481" s="55"/>
      <c r="G481" s="55"/>
      <c r="H481" s="56" t="str">
        <f t="shared" si="44"/>
        <v/>
      </c>
      <c r="I481" s="2"/>
      <c r="L481" s="2"/>
      <c r="M481" s="2"/>
      <c r="N481" s="39"/>
      <c r="O481" s="2"/>
      <c r="P481" s="2"/>
    </row>
    <row r="482" spans="1:16" x14ac:dyDescent="0.25">
      <c r="A482" s="103">
        <v>1</v>
      </c>
      <c r="B482" s="38" t="s">
        <v>4</v>
      </c>
      <c r="C482" s="2"/>
      <c r="D482" s="77"/>
      <c r="E482" s="78" t="s">
        <v>2</v>
      </c>
      <c r="F482" s="55">
        <v>0.3</v>
      </c>
      <c r="G482" s="55">
        <v>12.63</v>
      </c>
      <c r="H482" s="56">
        <f t="shared" si="44"/>
        <v>3.79</v>
      </c>
      <c r="I482" s="2"/>
      <c r="L482" s="2"/>
      <c r="M482" s="2"/>
      <c r="N482" s="39"/>
      <c r="O482" s="2"/>
      <c r="P482" s="2"/>
    </row>
    <row r="483" spans="1:16" x14ac:dyDescent="0.25">
      <c r="A483" s="103">
        <v>1</v>
      </c>
      <c r="B483" s="38" t="s">
        <v>3</v>
      </c>
      <c r="C483" s="2"/>
      <c r="D483" s="77"/>
      <c r="E483" s="78" t="s">
        <v>2</v>
      </c>
      <c r="F483" s="55">
        <v>0.2</v>
      </c>
      <c r="G483" s="55">
        <v>6.89</v>
      </c>
      <c r="H483" s="56">
        <f t="shared" si="44"/>
        <v>1.38</v>
      </c>
      <c r="I483" s="2"/>
      <c r="L483" s="2"/>
      <c r="M483" s="2"/>
      <c r="N483" s="39"/>
      <c r="O483" s="2"/>
      <c r="P483" s="2"/>
    </row>
    <row r="484" spans="1:16" x14ac:dyDescent="0.25">
      <c r="B484" s="38"/>
      <c r="C484" s="2"/>
      <c r="D484" s="77"/>
      <c r="E484" s="78"/>
      <c r="F484" s="55"/>
      <c r="G484" s="55"/>
      <c r="H484" s="56" t="str">
        <f t="shared" si="44"/>
        <v/>
      </c>
      <c r="I484" s="2"/>
      <c r="L484" s="2"/>
      <c r="M484" s="2"/>
      <c r="N484" s="39"/>
      <c r="O484" s="2"/>
      <c r="P484" s="2"/>
    </row>
    <row r="485" spans="1:16" x14ac:dyDescent="0.25">
      <c r="B485" s="38"/>
      <c r="C485" s="2"/>
      <c r="D485" s="77"/>
      <c r="E485" s="78"/>
      <c r="F485" s="55"/>
      <c r="G485" s="55"/>
      <c r="H485" s="56" t="str">
        <f t="shared" si="44"/>
        <v/>
      </c>
      <c r="I485" s="2"/>
    </row>
    <row r="486" spans="1:16" x14ac:dyDescent="0.25">
      <c r="B486" s="38" t="str">
        <f>IF($A486=0,"",VLOOKUP($A486,'BASE MATERIAL'!$A:$D,2))</f>
        <v/>
      </c>
      <c r="C486" s="2"/>
      <c r="D486" s="77"/>
      <c r="E486" s="78" t="str">
        <f>IF($A486=0,"",VLOOKUP($A486,'BASE MATERIAL'!$A:$D,3))</f>
        <v/>
      </c>
      <c r="F486" s="55"/>
      <c r="G486" s="55" t="str">
        <f>IF($A486=0,"",VLOOKUP($A486,'BASE MATERIAL'!$A:$D,4))</f>
        <v/>
      </c>
      <c r="H486" s="56" t="str">
        <f t="shared" si="44"/>
        <v/>
      </c>
      <c r="I486" s="2"/>
      <c r="L486" s="2"/>
      <c r="M486" s="2"/>
      <c r="N486" s="39"/>
      <c r="O486" s="2"/>
      <c r="P486" s="2"/>
    </row>
    <row r="487" spans="1:16" x14ac:dyDescent="0.25">
      <c r="B487" s="38" t="str">
        <f>IF($A487=0,"",VLOOKUP($A487,'BASE MATERIAL'!$A:$D,2))</f>
        <v/>
      </c>
      <c r="C487" s="2"/>
      <c r="D487" s="77"/>
      <c r="E487" s="78" t="str">
        <f>IF($A487=0,"",VLOOKUP($A487,'BASE MATERIAL'!$A:$D,3))</f>
        <v/>
      </c>
      <c r="F487" s="55"/>
      <c r="G487" s="55" t="str">
        <f>IF($A487=0,"",VLOOKUP($A487,'BASE MATERIAL'!$A:$D,4))</f>
        <v/>
      </c>
      <c r="H487" s="56" t="str">
        <f t="shared" si="44"/>
        <v/>
      </c>
      <c r="I487" s="2"/>
      <c r="L487" s="2"/>
      <c r="M487" s="2"/>
      <c r="N487" s="39"/>
      <c r="O487" s="2"/>
      <c r="P487" s="2"/>
    </row>
    <row r="488" spans="1:16" x14ac:dyDescent="0.25">
      <c r="B488" s="38" t="str">
        <f>IF($A488=0,"",VLOOKUP($A488,'BASE MATERIAL'!$A:$D,2))</f>
        <v/>
      </c>
      <c r="C488" s="2"/>
      <c r="D488" s="77"/>
      <c r="E488" s="78" t="str">
        <f>IF($A488=0,"",VLOOKUP($A488,'BASE MATERIAL'!$A:$D,3))</f>
        <v/>
      </c>
      <c r="F488" s="55"/>
      <c r="G488" s="55" t="str">
        <f>IF($A488=0,"",VLOOKUP($A488,'BASE MATERIAL'!$A:$D,4))</f>
        <v/>
      </c>
      <c r="H488" s="56" t="str">
        <f t="shared" si="44"/>
        <v/>
      </c>
      <c r="I488" s="2"/>
    </row>
    <row r="489" spans="1:16" x14ac:dyDescent="0.25">
      <c r="B489" s="38" t="str">
        <f>IF($A489=0,"",VLOOKUP($A489,'BASE MATERIAL'!$A:$D,2))</f>
        <v/>
      </c>
      <c r="C489" s="2"/>
      <c r="D489" s="77"/>
      <c r="E489" s="78" t="str">
        <f>IF($A489=0,"",VLOOKUP($A489,'BASE MATERIAL'!$A:$D,3))</f>
        <v/>
      </c>
      <c r="F489" s="55"/>
      <c r="G489" s="55" t="str">
        <f>IF($A489=0,"",VLOOKUP($A489,'BASE MATERIAL'!$A:$D,4))</f>
        <v/>
      </c>
      <c r="H489" s="56" t="str">
        <f t="shared" si="44"/>
        <v/>
      </c>
      <c r="I489" s="2"/>
    </row>
    <row r="490" spans="1:16" x14ac:dyDescent="0.25">
      <c r="B490" s="38" t="str">
        <f>IF($A490=0,"",VLOOKUP($A490,'BASE MATERIAL'!$A:$D,2))</f>
        <v/>
      </c>
      <c r="C490" s="2"/>
      <c r="D490" s="77"/>
      <c r="E490" s="78" t="str">
        <f>IF($A490=0,"",VLOOKUP($A490,'BASE MATERIAL'!$A:$D,3))</f>
        <v/>
      </c>
      <c r="F490" s="55"/>
      <c r="G490" s="55" t="str">
        <f>IF($A490=0,"",VLOOKUP($A490,'BASE MATERIAL'!$A:$D,4))</f>
        <v/>
      </c>
      <c r="H490" s="56" t="str">
        <f t="shared" si="44"/>
        <v/>
      </c>
      <c r="I490" s="2"/>
    </row>
    <row r="491" spans="1:16" x14ac:dyDescent="0.25">
      <c r="B491" s="38" t="str">
        <f>IF($A491=0,"",VLOOKUP($A491,'BASE MATERIAL'!$A:$D,2))</f>
        <v/>
      </c>
      <c r="C491" s="2"/>
      <c r="D491" s="77"/>
      <c r="E491" s="78" t="str">
        <f>IF($A491=0,"",VLOOKUP($A491,'BASE MATERIAL'!$A:$D,3))</f>
        <v/>
      </c>
      <c r="F491" s="55"/>
      <c r="G491" s="55" t="str">
        <f>IF($A491=0,"",VLOOKUP($A491,'BASE MATERIAL'!$A:$D,4))</f>
        <v/>
      </c>
      <c r="H491" s="56" t="str">
        <f t="shared" si="44"/>
        <v/>
      </c>
      <c r="I491" s="2"/>
    </row>
    <row r="492" spans="1:16" x14ac:dyDescent="0.25">
      <c r="B492" s="38" t="str">
        <f>IF($A492=0,"",VLOOKUP($A492,'BASE MATERIAL'!$A:$D,2))</f>
        <v/>
      </c>
      <c r="C492" s="2"/>
      <c r="D492" s="81" t="s">
        <v>1682</v>
      </c>
      <c r="E492" s="55" t="str">
        <f>IF($A492=0,"",VLOOKUP($A492,'BASE MATERIAL'!$A:$D,3))</f>
        <v/>
      </c>
      <c r="F492" s="55" t="s">
        <v>1682</v>
      </c>
      <c r="G492" s="55" t="str">
        <f>IF($A492=0,"",VLOOKUP($A492,'BASE MATERIAL'!$A:$D,4))</f>
        <v/>
      </c>
      <c r="H492" s="56" t="str">
        <f>IF($A492=0,"",ROUND(E492*F492,2))</f>
        <v/>
      </c>
      <c r="I492" s="2"/>
    </row>
    <row r="493" spans="1:16" x14ac:dyDescent="0.25">
      <c r="B493" s="73" t="s">
        <v>1681</v>
      </c>
      <c r="C493" s="65"/>
      <c r="D493" s="74"/>
      <c r="E493" s="74"/>
      <c r="F493" s="74"/>
      <c r="G493" s="74"/>
      <c r="H493" s="75">
        <f>ROUND(SUM(H476:H492),2)</f>
        <v>19.670000000000002</v>
      </c>
      <c r="I493" s="2"/>
    </row>
    <row r="494" spans="1:16" x14ac:dyDescent="0.25">
      <c r="B494" s="38" t="s">
        <v>1680</v>
      </c>
      <c r="C494" s="2"/>
      <c r="D494" s="3"/>
      <c r="E494" s="3"/>
      <c r="F494" s="3"/>
      <c r="G494" s="3"/>
      <c r="H494" s="56"/>
      <c r="I494" s="2"/>
    </row>
    <row r="495" spans="1:16" ht="25.5" x14ac:dyDescent="0.25">
      <c r="B495" s="64" t="s">
        <v>1409</v>
      </c>
      <c r="C495" s="65"/>
      <c r="D495" s="76"/>
      <c r="E495" s="66" t="s">
        <v>1408</v>
      </c>
      <c r="F495" s="66" t="s">
        <v>1679</v>
      </c>
      <c r="G495" s="66" t="s">
        <v>1676</v>
      </c>
      <c r="H495" s="68" t="s">
        <v>1675</v>
      </c>
      <c r="I495" s="2"/>
    </row>
    <row r="496" spans="1:16" x14ac:dyDescent="0.25">
      <c r="A496" s="103">
        <v>19019</v>
      </c>
      <c r="B496" s="51" t="str">
        <f>IF($A496=0,"",VLOOKUP($A496,'BASE EQUIPO'!$A:$D,2))</f>
        <v>TRANSPORTE DE MATERIAL</v>
      </c>
      <c r="C496" s="52"/>
      <c r="D496" s="82"/>
      <c r="E496" s="78" t="str">
        <f>IF($A496=0,"",VLOOKUP($A496,'BASE EQUIPO'!$A:$D,3))</f>
        <v>GLOBAL</v>
      </c>
      <c r="F496" s="55">
        <v>1</v>
      </c>
      <c r="G496" s="83">
        <f>IF($A496=0,"",VLOOKUP($A496,'BASE EQUIPO'!$A:$D,4)*H493)</f>
        <v>0.59010000000000007</v>
      </c>
      <c r="H496" s="56">
        <f>IF($A496=0,"",ROUND(F496*G496,2))</f>
        <v>0.59</v>
      </c>
      <c r="I496" s="2"/>
    </row>
    <row r="497" spans="1:15" x14ac:dyDescent="0.25">
      <c r="B497" s="38" t="str">
        <f>IF($A497=0,"",VLOOKUP($A497,'BASE EQUIPO'!$A:$D,2))</f>
        <v/>
      </c>
      <c r="C497" s="2"/>
      <c r="D497" s="84"/>
      <c r="E497" s="78" t="str">
        <f>IF($A497=0,"",VLOOKUP($A497,'BASE EQUIPO'!$A:$D,3))</f>
        <v/>
      </c>
      <c r="F497" s="55"/>
      <c r="G497" s="55" t="str">
        <f>IF($A497=0,"",VLOOKUP($A497,'BASE EQUIPO'!$A:$D,4)*H494)</f>
        <v/>
      </c>
      <c r="H497" s="56" t="str">
        <f>IF($A497=0,"",ROUND(F497*G497,2))</f>
        <v/>
      </c>
      <c r="I497" s="2"/>
    </row>
    <row r="498" spans="1:15" x14ac:dyDescent="0.25">
      <c r="B498" s="57" t="str">
        <f>IF($A498=0,"",VLOOKUP($A498,'BASE EQUIPO'!$A:$D,2))</f>
        <v/>
      </c>
      <c r="C498" s="58"/>
      <c r="D498" s="85"/>
      <c r="E498" s="86" t="str">
        <f>IF($A498=0,"",VLOOKUP($A498,'BASE EQUIPO'!$A:$D,3))</f>
        <v/>
      </c>
      <c r="F498" s="59"/>
      <c r="G498" s="59" t="str">
        <f>IF($A498=0,"",VLOOKUP($A498,'BASE EQUIPO'!$A:$D,4)*H495)</f>
        <v/>
      </c>
      <c r="H498" s="60" t="str">
        <f>IF($A498=0,"",ROUND(F498*G498,2))</f>
        <v/>
      </c>
      <c r="I498" s="2"/>
    </row>
    <row r="499" spans="1:15" ht="15.75" thickBot="1" x14ac:dyDescent="0.3">
      <c r="B499" s="87" t="s">
        <v>1674</v>
      </c>
      <c r="C499" s="88"/>
      <c r="D499" s="89"/>
      <c r="E499" s="89"/>
      <c r="F499" s="89"/>
      <c r="G499" s="89"/>
      <c r="H499" s="90">
        <f>ROUND(SUM(H495:H498),2)</f>
        <v>0.59</v>
      </c>
      <c r="I499" s="2"/>
    </row>
    <row r="500" spans="1:15" ht="15.75" x14ac:dyDescent="0.25">
      <c r="B500" s="2"/>
      <c r="C500" s="2"/>
      <c r="D500" s="91" t="s">
        <v>1673</v>
      </c>
      <c r="E500" s="47"/>
      <c r="F500" s="47"/>
      <c r="G500" s="47"/>
      <c r="H500" s="92">
        <f>ROUND(SUM(H499,H493,H474,H464),2)</f>
        <v>40.49</v>
      </c>
      <c r="I500" s="2"/>
    </row>
    <row r="501" spans="1:15" ht="15.75" x14ac:dyDescent="0.25">
      <c r="A501" s="103">
        <v>40002</v>
      </c>
      <c r="B501" s="2"/>
      <c r="C501" s="2"/>
      <c r="D501" s="93" t="s">
        <v>1672</v>
      </c>
      <c r="E501" s="65"/>
      <c r="F501" s="65"/>
      <c r="G501" s="94">
        <f>IF($A501=0,"",VLOOKUP($A501,'BASE MATERIAL'!$M:$P,4))</f>
        <v>0</v>
      </c>
      <c r="H501" s="95">
        <f>IF($A501=0,"",ROUND(G501*H500,2))</f>
        <v>0</v>
      </c>
      <c r="I501" s="2"/>
    </row>
    <row r="502" spans="1:15" ht="15.75" x14ac:dyDescent="0.25">
      <c r="A502" s="103">
        <v>40003</v>
      </c>
      <c r="B502" s="2"/>
      <c r="C502" s="2"/>
      <c r="D502" s="93" t="s">
        <v>1671</v>
      </c>
      <c r="E502" s="65"/>
      <c r="F502" s="65"/>
      <c r="G502" s="94">
        <f>IF($A502=0,"",VLOOKUP($A502,'BASE MATERIAL'!$M:$P,4))</f>
        <v>0</v>
      </c>
      <c r="H502" s="95">
        <f>IF($A502=0,"",ROUND(G502*H500,2))</f>
        <v>0</v>
      </c>
      <c r="I502" s="2"/>
    </row>
    <row r="503" spans="1:15" ht="15.75" x14ac:dyDescent="0.25">
      <c r="B503" s="2"/>
      <c r="C503" s="2"/>
      <c r="D503" s="93" t="s">
        <v>1670</v>
      </c>
      <c r="E503" s="65"/>
      <c r="F503" s="65"/>
      <c r="G503" s="65"/>
      <c r="H503" s="96">
        <f>ROUND(SUM(H500:H502),2)</f>
        <v>40.49</v>
      </c>
      <c r="I503" s="2"/>
    </row>
    <row r="504" spans="1:15" ht="16.5" thickBot="1" x14ac:dyDescent="0.3">
      <c r="B504" s="25"/>
      <c r="C504" s="2"/>
      <c r="D504" s="97" t="s">
        <v>1650</v>
      </c>
      <c r="E504" s="88"/>
      <c r="F504" s="88"/>
      <c r="G504" s="88"/>
      <c r="H504" s="98">
        <f>ROUND(H503,2)</f>
        <v>40.49</v>
      </c>
      <c r="I504" s="2"/>
    </row>
    <row r="505" spans="1:15" ht="15.75" x14ac:dyDescent="0.25">
      <c r="B505" s="34" t="s">
        <v>1701</v>
      </c>
      <c r="C505" s="2"/>
      <c r="D505" s="3" t="str">
        <f>$D$57</f>
        <v>ESPOL</v>
      </c>
      <c r="E505" s="2"/>
      <c r="F505" s="2"/>
      <c r="H505" s="2" t="s">
        <v>108</v>
      </c>
      <c r="I505" s="2"/>
      <c r="L505" s="40">
        <f>A509</f>
        <v>16</v>
      </c>
      <c r="M505" s="1" t="str">
        <f>C510</f>
        <v>Rejillas aluminio CC 150 x 110mm</v>
      </c>
      <c r="N505" s="2" t="str">
        <f>H509</f>
        <v>U</v>
      </c>
      <c r="O505" s="2">
        <f>H560</f>
        <v>38.630000000000003</v>
      </c>
    </row>
    <row r="506" spans="1:15" ht="15.75" x14ac:dyDescent="0.25">
      <c r="B506" s="34" t="s">
        <v>1700</v>
      </c>
      <c r="C506" s="3">
        <f>'1.1'!$C$2</f>
        <v>0</v>
      </c>
      <c r="D506" s="2"/>
      <c r="E506" s="2"/>
      <c r="F506" s="2"/>
      <c r="G506" s="41" t="s">
        <v>1699</v>
      </c>
      <c r="H506" s="42"/>
      <c r="I506" s="2" t="s">
        <v>1698</v>
      </c>
    </row>
    <row r="507" spans="1:15" ht="15.75" x14ac:dyDescent="0.25">
      <c r="B507" s="34"/>
      <c r="C507" s="3">
        <f>'1.1'!$C$3</f>
        <v>0</v>
      </c>
      <c r="D507" s="2"/>
      <c r="E507" s="2"/>
      <c r="F507" s="2"/>
      <c r="G507" s="2"/>
      <c r="H507" s="2"/>
      <c r="I507" s="2"/>
    </row>
    <row r="508" spans="1:15" ht="15.75" x14ac:dyDescent="0.25">
      <c r="B508" s="34" t="s">
        <v>1697</v>
      </c>
      <c r="C508" s="3"/>
      <c r="D508" s="2"/>
      <c r="E508" s="2"/>
      <c r="F508" s="2"/>
      <c r="G508" s="2"/>
      <c r="H508" s="2"/>
      <c r="I508" s="2"/>
    </row>
    <row r="509" spans="1:15" x14ac:dyDescent="0.25">
      <c r="A509" s="104">
        <v>16</v>
      </c>
      <c r="B509" s="2" t="s">
        <v>1586</v>
      </c>
      <c r="C509" s="101" t="s">
        <v>1655</v>
      </c>
      <c r="D509" s="2"/>
      <c r="G509" s="2" t="s">
        <v>1696</v>
      </c>
      <c r="H509" s="3" t="s">
        <v>744</v>
      </c>
      <c r="I509" s="2"/>
    </row>
    <row r="510" spans="1:15" x14ac:dyDescent="0.25">
      <c r="B510" s="1" t="s">
        <v>1585</v>
      </c>
      <c r="C510" s="36" t="s">
        <v>82</v>
      </c>
      <c r="D510" s="2"/>
      <c r="E510" s="2"/>
      <c r="F510" s="2"/>
      <c r="G510" s="2"/>
      <c r="H510" s="2"/>
      <c r="I510" s="2"/>
    </row>
    <row r="511" spans="1:15" ht="15.75" thickBot="1" x14ac:dyDescent="0.3">
      <c r="D511" s="2"/>
      <c r="E511" s="2"/>
      <c r="F511" s="2"/>
      <c r="G511" s="2"/>
      <c r="H511" s="2"/>
      <c r="I511" s="2"/>
    </row>
    <row r="512" spans="1:15" ht="15.75" thickBot="1" x14ac:dyDescent="0.3">
      <c r="B512" s="43" t="s">
        <v>1695</v>
      </c>
      <c r="C512" s="44"/>
      <c r="D512" s="44"/>
      <c r="E512" s="44"/>
      <c r="F512" s="44"/>
      <c r="G512" s="44"/>
      <c r="H512" s="45"/>
      <c r="I512" s="2"/>
    </row>
    <row r="513" spans="1:9" ht="25.5" x14ac:dyDescent="0.25">
      <c r="B513" s="46" t="s">
        <v>1409</v>
      </c>
      <c r="C513" s="47"/>
      <c r="D513" s="48" t="s">
        <v>1690</v>
      </c>
      <c r="E513" s="48" t="s">
        <v>1694</v>
      </c>
      <c r="F513" s="48" t="s">
        <v>1693</v>
      </c>
      <c r="G513" s="49" t="s">
        <v>1687</v>
      </c>
      <c r="H513" s="50" t="s">
        <v>1686</v>
      </c>
      <c r="I513" s="2"/>
    </row>
    <row r="514" spans="1:9" x14ac:dyDescent="0.25">
      <c r="A514" s="103">
        <v>19015</v>
      </c>
      <c r="B514" s="51" t="str">
        <f>IF($A514=0,"",VLOOKUP($A514,'BASE EQUIPO'!$A:$D,2))</f>
        <v>HERRAMIENTA MENOR</v>
      </c>
      <c r="C514" s="52"/>
      <c r="D514" s="53">
        <v>1</v>
      </c>
      <c r="E514" s="53">
        <f>IF($A514=0,"",VLOOKUP($A514,'BASE EQUIPO'!$A:$D,4)*H530)</f>
        <v>0.25259999999999999</v>
      </c>
      <c r="F514" s="53">
        <f t="shared" ref="F514:F519" si="45">IF($A514=0,"",ROUND(D514*E514,2))</f>
        <v>0.25</v>
      </c>
      <c r="G514" s="105">
        <v>1</v>
      </c>
      <c r="H514" s="54">
        <f t="shared" ref="H514:H519" si="46">IF($A514=0,"",ROUND(G514*F514,2))</f>
        <v>0.25</v>
      </c>
      <c r="I514" s="2"/>
    </row>
    <row r="515" spans="1:9" x14ac:dyDescent="0.25">
      <c r="B515" s="38" t="str">
        <f>IF($A515=0,"",VLOOKUP($A515,'BASE EQUIPO'!$A:$D,2))</f>
        <v/>
      </c>
      <c r="C515" s="2"/>
      <c r="D515" s="55"/>
      <c r="E515" s="55" t="str">
        <f>IF($A515=0,"",VLOOKUP($A515,'BASE EQUIPO'!$A:$D,4))</f>
        <v/>
      </c>
      <c r="F515" s="55" t="str">
        <f t="shared" si="45"/>
        <v/>
      </c>
      <c r="G515" s="106"/>
      <c r="H515" s="56" t="str">
        <f t="shared" si="46"/>
        <v/>
      </c>
      <c r="I515" s="2"/>
    </row>
    <row r="516" spans="1:9" x14ac:dyDescent="0.25">
      <c r="B516" s="38" t="str">
        <f>IF($A516=0,"",VLOOKUP($A516,'BASE EQUIPO'!$A:$D,2))</f>
        <v/>
      </c>
      <c r="C516" s="2"/>
      <c r="D516" s="55"/>
      <c r="E516" s="55" t="str">
        <f>IF($A516=0,"",VLOOKUP($A516,'BASE EQUIPO'!$A:$D,4))</f>
        <v/>
      </c>
      <c r="F516" s="55" t="str">
        <f t="shared" si="45"/>
        <v/>
      </c>
      <c r="G516" s="106"/>
      <c r="H516" s="56" t="str">
        <f t="shared" si="46"/>
        <v/>
      </c>
      <c r="I516" s="2"/>
    </row>
    <row r="517" spans="1:9" x14ac:dyDescent="0.25">
      <c r="B517" s="38" t="str">
        <f>IF($A517=0,"",VLOOKUP($A517,'BASE EQUIPO'!$A:$D,2))</f>
        <v/>
      </c>
      <c r="C517" s="2"/>
      <c r="D517" s="55"/>
      <c r="E517" s="55" t="str">
        <f>IF($A517=0,"",VLOOKUP($A517,'BASE EQUIPO'!$A:$D,4))</f>
        <v/>
      </c>
      <c r="F517" s="55" t="str">
        <f t="shared" si="45"/>
        <v/>
      </c>
      <c r="G517" s="106"/>
      <c r="H517" s="56" t="str">
        <f t="shared" si="46"/>
        <v/>
      </c>
      <c r="I517" s="2"/>
    </row>
    <row r="518" spans="1:9" x14ac:dyDescent="0.25">
      <c r="B518" s="38" t="str">
        <f>IF($A518=0,"",VLOOKUP($A518,'BASE EQUIPO'!$A:$D,2))</f>
        <v/>
      </c>
      <c r="C518" s="2"/>
      <c r="D518" s="55"/>
      <c r="E518" s="55" t="str">
        <f>IF($A518=0,"",VLOOKUP($A518,'BASE EQUIPO'!$A:$D,4))</f>
        <v/>
      </c>
      <c r="F518" s="55" t="str">
        <f t="shared" si="45"/>
        <v/>
      </c>
      <c r="G518" s="106"/>
      <c r="H518" s="56" t="str">
        <f t="shared" si="46"/>
        <v/>
      </c>
      <c r="I518" s="2"/>
    </row>
    <row r="519" spans="1:9" x14ac:dyDescent="0.25">
      <c r="B519" s="57" t="str">
        <f>IF($A519=0,"",VLOOKUP($A519,'BASE EQUIPO'!$A:$D,2))</f>
        <v/>
      </c>
      <c r="C519" s="58"/>
      <c r="D519" s="59"/>
      <c r="E519" s="59" t="str">
        <f>IF($A519=0,"",VLOOKUP($A519,'BASE EQUIPO'!$A:$D,4))</f>
        <v/>
      </c>
      <c r="F519" s="59" t="str">
        <f t="shared" si="45"/>
        <v/>
      </c>
      <c r="G519" s="107"/>
      <c r="H519" s="60" t="str">
        <f t="shared" si="46"/>
        <v/>
      </c>
      <c r="I519" s="2"/>
    </row>
    <row r="520" spans="1:9" x14ac:dyDescent="0.25">
      <c r="B520" s="57" t="s">
        <v>1692</v>
      </c>
      <c r="C520" s="58"/>
      <c r="D520" s="61"/>
      <c r="E520" s="61"/>
      <c r="F520" s="61"/>
      <c r="G520" s="62"/>
      <c r="H520" s="60">
        <f>ROUND(SUM(H513:H519),2)</f>
        <v>0.25</v>
      </c>
      <c r="I520" s="2"/>
    </row>
    <row r="521" spans="1:9" x14ac:dyDescent="0.25">
      <c r="B521" s="38" t="s">
        <v>1503</v>
      </c>
      <c r="C521" s="2"/>
      <c r="D521" s="3"/>
      <c r="E521" s="3"/>
      <c r="F521" s="3"/>
      <c r="G521" s="63"/>
      <c r="H521" s="56"/>
      <c r="I521" s="2"/>
    </row>
    <row r="522" spans="1:9" ht="25.5" x14ac:dyDescent="0.25">
      <c r="B522" s="64" t="s">
        <v>1691</v>
      </c>
      <c r="C522" s="65"/>
      <c r="D522" s="66" t="s">
        <v>1690</v>
      </c>
      <c r="E522" s="66" t="s">
        <v>1689</v>
      </c>
      <c r="F522" s="66" t="s">
        <v>1688</v>
      </c>
      <c r="G522" s="67" t="s">
        <v>1687</v>
      </c>
      <c r="H522" s="68" t="s">
        <v>1686</v>
      </c>
      <c r="I522" s="2"/>
    </row>
    <row r="523" spans="1:9" x14ac:dyDescent="0.25">
      <c r="B523" s="69" t="str">
        <f>IF($A523=0,"",VLOOKUP($A523,'BASE M-OBRA'!$A:$D,2))</f>
        <v/>
      </c>
      <c r="C523" s="2"/>
      <c r="D523" s="108"/>
      <c r="E523" s="70" t="str">
        <f>IF($A523=0,"",VLOOKUP($A523,'BASE M-OBRA'!$A:$D,4))</f>
        <v/>
      </c>
      <c r="F523" s="55" t="str">
        <f t="shared" ref="F523:F529" si="47">IF($A523=0,"",ROUND(D523*E523,2))</f>
        <v/>
      </c>
      <c r="G523" s="106" t="str">
        <f>IF($A523=0,"",ROUND(H523/F523,2))</f>
        <v/>
      </c>
      <c r="H523" s="56" t="str">
        <f>IF($A523=0,"",ROUND(SUM(H524:H529)*'BASE M-OBRA'!$D$23,2))</f>
        <v/>
      </c>
      <c r="I523" s="2"/>
    </row>
    <row r="524" spans="1:9" x14ac:dyDescent="0.25">
      <c r="A524" s="103">
        <v>20011</v>
      </c>
      <c r="B524" s="69" t="str">
        <f>IF($A524=0,"",VLOOKUP($A524,'BASE M-OBRA'!$A:$D,2))</f>
        <v>AYUDANTE ESPECIALISTA</v>
      </c>
      <c r="C524" s="2"/>
      <c r="D524" s="108">
        <v>1</v>
      </c>
      <c r="E524" s="70">
        <f>IF($A524=0,"",VLOOKUP($A524,'BASE M-OBRA'!$A:$D,4))</f>
        <v>2.79</v>
      </c>
      <c r="F524" s="55">
        <f t="shared" si="47"/>
        <v>2.79</v>
      </c>
      <c r="G524" s="106">
        <v>1.5</v>
      </c>
      <c r="H524" s="56">
        <f t="shared" ref="H524:H529" si="48">IF($A524=0,"",ROUND(G524*F524,2))</f>
        <v>4.1900000000000004</v>
      </c>
      <c r="I524" s="2"/>
    </row>
    <row r="525" spans="1:9" x14ac:dyDescent="0.25">
      <c r="A525" s="103">
        <v>20016</v>
      </c>
      <c r="B525" s="69" t="str">
        <f>IF($A525=0,"",VLOOKUP($A525,'BASE M-OBRA'!$A:$D,2))</f>
        <v>GAFITERO</v>
      </c>
      <c r="C525" s="2"/>
      <c r="D525" s="108">
        <v>1</v>
      </c>
      <c r="E525" s="70">
        <f>IF($A525=0,"",VLOOKUP($A525,'BASE M-OBRA'!$A:$D,4))</f>
        <v>2.82</v>
      </c>
      <c r="F525" s="55">
        <f t="shared" si="47"/>
        <v>2.82</v>
      </c>
      <c r="G525" s="106">
        <f>+G524</f>
        <v>1.5</v>
      </c>
      <c r="H525" s="56">
        <f t="shared" si="48"/>
        <v>4.2300000000000004</v>
      </c>
      <c r="I525" s="2"/>
    </row>
    <row r="526" spans="1:9" x14ac:dyDescent="0.25">
      <c r="B526" s="71" t="str">
        <f>IF($A526=0,"",VLOOKUP($A526,'BASE M-OBRA'!$A:$D,2))</f>
        <v/>
      </c>
      <c r="C526" s="2"/>
      <c r="D526" s="108"/>
      <c r="E526" s="70" t="str">
        <f>IF($A526=0,"",VLOOKUP($A526,'BASE M-OBRA'!$A:$D,4))</f>
        <v/>
      </c>
      <c r="F526" s="55" t="str">
        <f t="shared" si="47"/>
        <v/>
      </c>
      <c r="G526" s="106"/>
      <c r="H526" s="56" t="str">
        <f t="shared" si="48"/>
        <v/>
      </c>
      <c r="I526" s="2"/>
    </row>
    <row r="527" spans="1:9" x14ac:dyDescent="0.25">
      <c r="B527" s="72" t="str">
        <f>IF($A527=0,"",VLOOKUP($A527,'BASE M-OBRA'!$A:$D,2))</f>
        <v/>
      </c>
      <c r="C527" s="2"/>
      <c r="D527" s="108"/>
      <c r="E527" s="70" t="str">
        <f>IF($A527=0,"",VLOOKUP($A527,'BASE M-OBRA'!$A:$D,4))</f>
        <v/>
      </c>
      <c r="F527" s="55" t="str">
        <f t="shared" si="47"/>
        <v/>
      </c>
      <c r="G527" s="106"/>
      <c r="H527" s="56" t="str">
        <f t="shared" si="48"/>
        <v/>
      </c>
      <c r="I527" s="2"/>
    </row>
    <row r="528" spans="1:9" x14ac:dyDescent="0.25">
      <c r="B528" s="38" t="str">
        <f>IF($A528=0,"",VLOOKUP($A528,'BASE M-OBRA'!$A:$D,2))</f>
        <v/>
      </c>
      <c r="C528" s="2"/>
      <c r="D528" s="55"/>
      <c r="E528" s="55" t="str">
        <f>IF($A528=0,"",VLOOKUP($A528,'BASE M-OBRA'!$A:$D,4))</f>
        <v/>
      </c>
      <c r="F528" s="55" t="str">
        <f t="shared" si="47"/>
        <v/>
      </c>
      <c r="G528" s="106"/>
      <c r="H528" s="56" t="str">
        <f t="shared" si="48"/>
        <v/>
      </c>
      <c r="I528" s="2"/>
    </row>
    <row r="529" spans="1:16" x14ac:dyDescent="0.25">
      <c r="B529" s="57" t="str">
        <f>IF($A529=0,"",VLOOKUP($A529,'BASE M-OBRA'!$A:$D,2))</f>
        <v/>
      </c>
      <c r="C529" s="58"/>
      <c r="D529" s="59"/>
      <c r="E529" s="59" t="str">
        <f>IF($A529=0,"",VLOOKUP($A529,'BASE M-OBRA'!$A:$D,4))</f>
        <v/>
      </c>
      <c r="F529" s="59" t="str">
        <f t="shared" si="47"/>
        <v/>
      </c>
      <c r="G529" s="107"/>
      <c r="H529" s="60" t="str">
        <f t="shared" si="48"/>
        <v/>
      </c>
      <c r="I529" s="2"/>
    </row>
    <row r="530" spans="1:16" x14ac:dyDescent="0.25">
      <c r="B530" s="73" t="s">
        <v>1685</v>
      </c>
      <c r="C530" s="65"/>
      <c r="D530" s="74"/>
      <c r="E530" s="74"/>
      <c r="F530" s="74"/>
      <c r="G530" s="74"/>
      <c r="H530" s="75">
        <f>ROUND(SUM(H522:H529),2)</f>
        <v>8.42</v>
      </c>
      <c r="I530" s="2"/>
    </row>
    <row r="531" spans="1:16" x14ac:dyDescent="0.25">
      <c r="B531" s="38" t="s">
        <v>1684</v>
      </c>
      <c r="C531" s="2"/>
      <c r="D531" s="3"/>
      <c r="E531" s="3"/>
      <c r="F531" s="3"/>
      <c r="G531" s="3"/>
      <c r="H531" s="56"/>
      <c r="I531" s="2"/>
    </row>
    <row r="532" spans="1:16" ht="25.5" x14ac:dyDescent="0.25">
      <c r="B532" s="64" t="s">
        <v>1409</v>
      </c>
      <c r="C532" s="65"/>
      <c r="D532" s="76"/>
      <c r="E532" s="66" t="s">
        <v>1408</v>
      </c>
      <c r="F532" s="66" t="s">
        <v>1679</v>
      </c>
      <c r="G532" s="66" t="s">
        <v>1683</v>
      </c>
      <c r="H532" s="68" t="s">
        <v>1675</v>
      </c>
      <c r="I532" s="2"/>
    </row>
    <row r="533" spans="1:16" x14ac:dyDescent="0.25">
      <c r="A533" s="103">
        <v>1</v>
      </c>
      <c r="B533" s="26" t="s">
        <v>82</v>
      </c>
      <c r="C533" s="2"/>
      <c r="D533" s="77"/>
      <c r="E533" s="78" t="s">
        <v>744</v>
      </c>
      <c r="F533" s="55">
        <v>1</v>
      </c>
      <c r="G533" s="55">
        <v>26.4</v>
      </c>
      <c r="H533" s="56">
        <f t="shared" ref="H533:H547" si="49">IF($A533=0,"",ROUND(F533*G533,2))</f>
        <v>26.4</v>
      </c>
      <c r="I533" s="2"/>
      <c r="J533" s="1">
        <f>11.13/1.12</f>
        <v>9.9375</v>
      </c>
      <c r="L533" s="2"/>
      <c r="M533" s="2"/>
      <c r="N533" s="39"/>
      <c r="O533" s="2"/>
      <c r="P533" s="2"/>
    </row>
    <row r="534" spans="1:16" x14ac:dyDescent="0.25">
      <c r="A534" s="103">
        <v>1</v>
      </c>
      <c r="B534" s="38" t="s">
        <v>1305</v>
      </c>
      <c r="C534" s="2"/>
      <c r="D534" s="77"/>
      <c r="E534" s="78" t="s">
        <v>1306</v>
      </c>
      <c r="F534" s="55">
        <v>0.3</v>
      </c>
      <c r="G534" s="55">
        <f>8*1.12</f>
        <v>8.9600000000000009</v>
      </c>
      <c r="H534" s="56">
        <f t="shared" si="49"/>
        <v>2.69</v>
      </c>
      <c r="I534" s="2"/>
      <c r="J534" s="1">
        <f>3.36/1.12</f>
        <v>2.9999999999999996</v>
      </c>
      <c r="L534" s="2"/>
      <c r="M534" s="2"/>
      <c r="N534" s="39"/>
      <c r="O534" s="2"/>
      <c r="P534" s="2"/>
    </row>
    <row r="535" spans="1:16" x14ac:dyDescent="0.25">
      <c r="B535" s="38"/>
      <c r="C535" s="2"/>
      <c r="D535" s="77"/>
      <c r="E535" s="78"/>
      <c r="F535" s="55"/>
      <c r="G535" s="55"/>
      <c r="H535" s="56" t="str">
        <f t="shared" si="49"/>
        <v/>
      </c>
      <c r="I535" s="2"/>
      <c r="L535" s="2"/>
      <c r="M535" s="2"/>
      <c r="N535" s="39"/>
      <c r="O535" s="2"/>
      <c r="P535" s="2"/>
    </row>
    <row r="536" spans="1:16" x14ac:dyDescent="0.25">
      <c r="B536" s="38"/>
      <c r="C536" s="2"/>
      <c r="D536" s="77"/>
      <c r="E536" s="78"/>
      <c r="F536" s="55"/>
      <c r="G536" s="55"/>
      <c r="H536" s="56" t="str">
        <f t="shared" si="49"/>
        <v/>
      </c>
      <c r="I536" s="2"/>
      <c r="L536" s="2"/>
      <c r="M536" s="2"/>
      <c r="N536" s="39"/>
      <c r="O536" s="2"/>
      <c r="P536" s="2"/>
    </row>
    <row r="537" spans="1:16" x14ac:dyDescent="0.25">
      <c r="B537" s="38"/>
      <c r="C537" s="2"/>
      <c r="D537" s="77"/>
      <c r="E537" s="78"/>
      <c r="F537" s="55"/>
      <c r="G537" s="55"/>
      <c r="H537" s="56" t="str">
        <f t="shared" si="49"/>
        <v/>
      </c>
      <c r="I537" s="2"/>
      <c r="L537" s="2"/>
      <c r="M537" s="2"/>
      <c r="N537" s="39"/>
      <c r="O537" s="2"/>
      <c r="P537" s="2"/>
    </row>
    <row r="538" spans="1:16" x14ac:dyDescent="0.25">
      <c r="B538" s="38"/>
      <c r="C538" s="2"/>
      <c r="D538" s="77"/>
      <c r="E538" s="78"/>
      <c r="F538" s="55"/>
      <c r="G538" s="55"/>
      <c r="H538" s="56" t="str">
        <f t="shared" si="49"/>
        <v/>
      </c>
      <c r="I538" s="2"/>
      <c r="L538" s="2"/>
      <c r="M538" s="2"/>
      <c r="N538" s="39"/>
      <c r="O538" s="2"/>
      <c r="P538" s="2"/>
    </row>
    <row r="539" spans="1:16" x14ac:dyDescent="0.25">
      <c r="B539" s="38"/>
      <c r="C539" s="2"/>
      <c r="D539" s="77"/>
      <c r="E539" s="78"/>
      <c r="F539" s="55"/>
      <c r="G539" s="55"/>
      <c r="H539" s="56" t="str">
        <f t="shared" si="49"/>
        <v/>
      </c>
      <c r="I539" s="2"/>
      <c r="L539" s="2"/>
      <c r="M539" s="2"/>
      <c r="N539" s="39"/>
      <c r="O539" s="2"/>
      <c r="P539" s="2"/>
    </row>
    <row r="540" spans="1:16" x14ac:dyDescent="0.25">
      <c r="B540" s="38"/>
      <c r="C540" s="2"/>
      <c r="D540" s="77"/>
      <c r="E540" s="78"/>
      <c r="F540" s="55"/>
      <c r="G540" s="55"/>
      <c r="H540" s="56" t="str">
        <f t="shared" si="49"/>
        <v/>
      </c>
      <c r="I540" s="2"/>
      <c r="L540" s="2"/>
      <c r="M540" s="2"/>
      <c r="N540" s="39"/>
      <c r="O540" s="2"/>
      <c r="P540" s="2"/>
    </row>
    <row r="541" spans="1:16" x14ac:dyDescent="0.25">
      <c r="B541" s="38"/>
      <c r="C541" s="2"/>
      <c r="D541" s="77"/>
      <c r="E541" s="78"/>
      <c r="F541" s="55"/>
      <c r="G541" s="55"/>
      <c r="H541" s="56" t="str">
        <f t="shared" si="49"/>
        <v/>
      </c>
      <c r="I541" s="2"/>
    </row>
    <row r="542" spans="1:16" x14ac:dyDescent="0.25">
      <c r="B542" s="38" t="str">
        <f>IF($A542=0,"",VLOOKUP($A542,'BASE MATERIAL'!$A:$D,2))</f>
        <v/>
      </c>
      <c r="C542" s="2"/>
      <c r="D542" s="77"/>
      <c r="E542" s="78" t="str">
        <f>IF($A542=0,"",VLOOKUP($A542,'BASE MATERIAL'!$A:$D,3))</f>
        <v/>
      </c>
      <c r="F542" s="55"/>
      <c r="G542" s="55" t="str">
        <f>IF($A542=0,"",VLOOKUP($A542,'BASE MATERIAL'!$A:$D,4))</f>
        <v/>
      </c>
      <c r="H542" s="56" t="str">
        <f t="shared" si="49"/>
        <v/>
      </c>
      <c r="I542" s="2"/>
      <c r="L542" s="2"/>
      <c r="M542" s="2"/>
      <c r="N542" s="39"/>
      <c r="O542" s="2"/>
      <c r="P542" s="2"/>
    </row>
    <row r="543" spans="1:16" x14ac:dyDescent="0.25">
      <c r="B543" s="38" t="str">
        <f>IF($A543=0,"",VLOOKUP($A543,'BASE MATERIAL'!$A:$D,2))</f>
        <v/>
      </c>
      <c r="C543" s="2"/>
      <c r="D543" s="77"/>
      <c r="E543" s="78" t="str">
        <f>IF($A543=0,"",VLOOKUP($A543,'BASE MATERIAL'!$A:$D,3))</f>
        <v/>
      </c>
      <c r="F543" s="55"/>
      <c r="G543" s="55" t="str">
        <f>IF($A543=0,"",VLOOKUP($A543,'BASE MATERIAL'!$A:$D,4))</f>
        <v/>
      </c>
      <c r="H543" s="56" t="str">
        <f t="shared" si="49"/>
        <v/>
      </c>
      <c r="I543" s="2"/>
      <c r="L543" s="2"/>
      <c r="M543" s="2"/>
      <c r="N543" s="39"/>
      <c r="O543" s="2"/>
      <c r="P543" s="2"/>
    </row>
    <row r="544" spans="1:16" x14ac:dyDescent="0.25">
      <c r="B544" s="38" t="str">
        <f>IF($A544=0,"",VLOOKUP($A544,'BASE MATERIAL'!$A:$D,2))</f>
        <v/>
      </c>
      <c r="C544" s="2"/>
      <c r="D544" s="77"/>
      <c r="E544" s="78" t="str">
        <f>IF($A544=0,"",VLOOKUP($A544,'BASE MATERIAL'!$A:$D,3))</f>
        <v/>
      </c>
      <c r="F544" s="55"/>
      <c r="G544" s="55" t="str">
        <f>IF($A544=0,"",VLOOKUP($A544,'BASE MATERIAL'!$A:$D,4))</f>
        <v/>
      </c>
      <c r="H544" s="56" t="str">
        <f t="shared" si="49"/>
        <v/>
      </c>
      <c r="I544" s="2"/>
    </row>
    <row r="545" spans="1:9" x14ac:dyDescent="0.25">
      <c r="B545" s="38" t="str">
        <f>IF($A545=0,"",VLOOKUP($A545,'BASE MATERIAL'!$A:$D,2))</f>
        <v/>
      </c>
      <c r="C545" s="2"/>
      <c r="D545" s="77"/>
      <c r="E545" s="78" t="str">
        <f>IF($A545=0,"",VLOOKUP($A545,'BASE MATERIAL'!$A:$D,3))</f>
        <v/>
      </c>
      <c r="F545" s="55"/>
      <c r="G545" s="55" t="str">
        <f>IF($A545=0,"",VLOOKUP($A545,'BASE MATERIAL'!$A:$D,4))</f>
        <v/>
      </c>
      <c r="H545" s="56" t="str">
        <f t="shared" si="49"/>
        <v/>
      </c>
      <c r="I545" s="2"/>
    </row>
    <row r="546" spans="1:9" x14ac:dyDescent="0.25">
      <c r="B546" s="38" t="str">
        <f>IF($A546=0,"",VLOOKUP($A546,'BASE MATERIAL'!$A:$D,2))</f>
        <v/>
      </c>
      <c r="C546" s="2"/>
      <c r="D546" s="77"/>
      <c r="E546" s="78" t="str">
        <f>IF($A546=0,"",VLOOKUP($A546,'BASE MATERIAL'!$A:$D,3))</f>
        <v/>
      </c>
      <c r="F546" s="55"/>
      <c r="G546" s="55" t="str">
        <f>IF($A546=0,"",VLOOKUP($A546,'BASE MATERIAL'!$A:$D,4))</f>
        <v/>
      </c>
      <c r="H546" s="56" t="str">
        <f t="shared" si="49"/>
        <v/>
      </c>
      <c r="I546" s="2"/>
    </row>
    <row r="547" spans="1:9" x14ac:dyDescent="0.25">
      <c r="B547" s="38" t="str">
        <f>IF($A547=0,"",VLOOKUP($A547,'BASE MATERIAL'!$A:$D,2))</f>
        <v/>
      </c>
      <c r="C547" s="2"/>
      <c r="D547" s="77"/>
      <c r="E547" s="78" t="str">
        <f>IF($A547=0,"",VLOOKUP($A547,'BASE MATERIAL'!$A:$D,3))</f>
        <v/>
      </c>
      <c r="F547" s="55"/>
      <c r="G547" s="55" t="str">
        <f>IF($A547=0,"",VLOOKUP($A547,'BASE MATERIAL'!$A:$D,4))</f>
        <v/>
      </c>
      <c r="H547" s="56" t="str">
        <f t="shared" si="49"/>
        <v/>
      </c>
      <c r="I547" s="2"/>
    </row>
    <row r="548" spans="1:9" x14ac:dyDescent="0.25">
      <c r="B548" s="38" t="str">
        <f>IF($A548=0,"",VLOOKUP($A548,'BASE MATERIAL'!$A:$D,2))</f>
        <v/>
      </c>
      <c r="C548" s="2"/>
      <c r="D548" s="81" t="s">
        <v>1682</v>
      </c>
      <c r="E548" s="55" t="str">
        <f>IF($A548=0,"",VLOOKUP($A548,'BASE MATERIAL'!$A:$D,3))</f>
        <v/>
      </c>
      <c r="F548" s="55" t="s">
        <v>1682</v>
      </c>
      <c r="G548" s="55" t="str">
        <f>IF($A548=0,"",VLOOKUP($A548,'BASE MATERIAL'!$A:$D,4))</f>
        <v/>
      </c>
      <c r="H548" s="56" t="str">
        <f>IF($A548=0,"",ROUND(E548*F548,2))</f>
        <v/>
      </c>
      <c r="I548" s="2"/>
    </row>
    <row r="549" spans="1:9" x14ac:dyDescent="0.25">
      <c r="B549" s="73" t="s">
        <v>1681</v>
      </c>
      <c r="C549" s="65"/>
      <c r="D549" s="74"/>
      <c r="E549" s="74"/>
      <c r="F549" s="74"/>
      <c r="G549" s="74"/>
      <c r="H549" s="75">
        <f>ROUND(SUM(H532:H548),2)</f>
        <v>29.09</v>
      </c>
      <c r="I549" s="2"/>
    </row>
    <row r="550" spans="1:9" x14ac:dyDescent="0.25">
      <c r="B550" s="38" t="s">
        <v>1680</v>
      </c>
      <c r="C550" s="2"/>
      <c r="D550" s="3"/>
      <c r="E550" s="3"/>
      <c r="F550" s="3"/>
      <c r="G550" s="3"/>
      <c r="H550" s="56"/>
      <c r="I550" s="2"/>
    </row>
    <row r="551" spans="1:9" ht="25.5" x14ac:dyDescent="0.25">
      <c r="B551" s="64" t="s">
        <v>1409</v>
      </c>
      <c r="C551" s="65"/>
      <c r="D551" s="76"/>
      <c r="E551" s="66" t="s">
        <v>1408</v>
      </c>
      <c r="F551" s="66" t="s">
        <v>1679</v>
      </c>
      <c r="G551" s="66" t="s">
        <v>1676</v>
      </c>
      <c r="H551" s="68" t="s">
        <v>1675</v>
      </c>
      <c r="I551" s="2"/>
    </row>
    <row r="552" spans="1:9" x14ac:dyDescent="0.25">
      <c r="A552" s="103">
        <v>19019</v>
      </c>
      <c r="B552" s="51" t="str">
        <f>IF($A552=0,"",VLOOKUP($A552,'BASE EQUIPO'!$A:$D,2))</f>
        <v>TRANSPORTE DE MATERIAL</v>
      </c>
      <c r="C552" s="52"/>
      <c r="D552" s="82"/>
      <c r="E552" s="78" t="str">
        <f>IF($A552=0,"",VLOOKUP($A552,'BASE EQUIPO'!$A:$D,3))</f>
        <v>GLOBAL</v>
      </c>
      <c r="F552" s="55">
        <v>1</v>
      </c>
      <c r="G552" s="83">
        <f>IF($A552=0,"",VLOOKUP($A552,'BASE EQUIPO'!$A:$D,4)*H549)</f>
        <v>0.87269999999999992</v>
      </c>
      <c r="H552" s="56">
        <f>IF($A552=0,"",ROUND(F552*G552,2))</f>
        <v>0.87</v>
      </c>
      <c r="I552" s="2"/>
    </row>
    <row r="553" spans="1:9" x14ac:dyDescent="0.25">
      <c r="B553" s="38" t="str">
        <f>IF($A553=0,"",VLOOKUP($A553,'BASE EQUIPO'!$A:$D,2))</f>
        <v/>
      </c>
      <c r="C553" s="2"/>
      <c r="D553" s="84"/>
      <c r="E553" s="78" t="str">
        <f>IF($A553=0,"",VLOOKUP($A553,'BASE EQUIPO'!$A:$D,3))</f>
        <v/>
      </c>
      <c r="F553" s="55"/>
      <c r="G553" s="55" t="str">
        <f>IF($A553=0,"",VLOOKUP($A553,'BASE EQUIPO'!$A:$D,4)*H550)</f>
        <v/>
      </c>
      <c r="H553" s="56" t="str">
        <f>IF($A553=0,"",ROUND(F553*G553,2))</f>
        <v/>
      </c>
      <c r="I553" s="2"/>
    </row>
    <row r="554" spans="1:9" x14ac:dyDescent="0.25">
      <c r="B554" s="57" t="str">
        <f>IF($A554=0,"",VLOOKUP($A554,'BASE EQUIPO'!$A:$D,2))</f>
        <v/>
      </c>
      <c r="C554" s="58"/>
      <c r="D554" s="85"/>
      <c r="E554" s="86" t="str">
        <f>IF($A554=0,"",VLOOKUP($A554,'BASE EQUIPO'!$A:$D,3))</f>
        <v/>
      </c>
      <c r="F554" s="59"/>
      <c r="G554" s="59" t="str">
        <f>IF($A554=0,"",VLOOKUP($A554,'BASE EQUIPO'!$A:$D,4)*H551)</f>
        <v/>
      </c>
      <c r="H554" s="60" t="str">
        <f>IF($A554=0,"",ROUND(F554*G554,2))</f>
        <v/>
      </c>
      <c r="I554" s="2"/>
    </row>
    <row r="555" spans="1:9" ht="15.75" thickBot="1" x14ac:dyDescent="0.3">
      <c r="B555" s="87" t="s">
        <v>1674</v>
      </c>
      <c r="C555" s="88"/>
      <c r="D555" s="89"/>
      <c r="E555" s="89"/>
      <c r="F555" s="89"/>
      <c r="G555" s="89"/>
      <c r="H555" s="90">
        <f>ROUND(SUM(H551:H554),2)</f>
        <v>0.87</v>
      </c>
      <c r="I555" s="2"/>
    </row>
    <row r="556" spans="1:9" ht="15.75" x14ac:dyDescent="0.25">
      <c r="B556" s="2"/>
      <c r="C556" s="2"/>
      <c r="D556" s="91" t="s">
        <v>1673</v>
      </c>
      <c r="E556" s="47"/>
      <c r="F556" s="47"/>
      <c r="G556" s="47"/>
      <c r="H556" s="92">
        <f>ROUND(SUM(H555,H549,H530,H520),2)</f>
        <v>38.630000000000003</v>
      </c>
      <c r="I556" s="2"/>
    </row>
    <row r="557" spans="1:9" ht="15.75" x14ac:dyDescent="0.25">
      <c r="A557" s="103">
        <v>40002</v>
      </c>
      <c r="B557" s="2"/>
      <c r="C557" s="2"/>
      <c r="D557" s="93" t="s">
        <v>1672</v>
      </c>
      <c r="E557" s="65"/>
      <c r="F557" s="65"/>
      <c r="G557" s="94">
        <f>IF($A557=0,"",VLOOKUP($A557,'BASE MATERIAL'!$M:$P,4))</f>
        <v>0</v>
      </c>
      <c r="H557" s="95">
        <f>IF($A557=0,"",ROUND(G557*H556,2))</f>
        <v>0</v>
      </c>
      <c r="I557" s="2"/>
    </row>
    <row r="558" spans="1:9" ht="15.75" x14ac:dyDescent="0.25">
      <c r="A558" s="103">
        <v>40003</v>
      </c>
      <c r="B558" s="2"/>
      <c r="C558" s="2"/>
      <c r="D558" s="93" t="s">
        <v>1671</v>
      </c>
      <c r="E558" s="65"/>
      <c r="F558" s="65"/>
      <c r="G558" s="94">
        <f>IF($A558=0,"",VLOOKUP($A558,'BASE MATERIAL'!$M:$P,4))</f>
        <v>0</v>
      </c>
      <c r="H558" s="95">
        <f>IF($A558=0,"",ROUND(G558*H556,2))</f>
        <v>0</v>
      </c>
      <c r="I558" s="2"/>
    </row>
    <row r="559" spans="1:9" ht="15.75" x14ac:dyDescent="0.25">
      <c r="B559" s="2"/>
      <c r="C559" s="2"/>
      <c r="D559" s="93" t="s">
        <v>1670</v>
      </c>
      <c r="E559" s="65"/>
      <c r="F559" s="65"/>
      <c r="G559" s="65"/>
      <c r="H559" s="96">
        <f>ROUND(SUM(H556:H558),2)</f>
        <v>38.630000000000003</v>
      </c>
      <c r="I559" s="2"/>
    </row>
    <row r="560" spans="1:9" ht="16.5" thickBot="1" x14ac:dyDescent="0.3">
      <c r="B560" s="25"/>
      <c r="C560" s="2"/>
      <c r="D560" s="97" t="s">
        <v>1650</v>
      </c>
      <c r="E560" s="88"/>
      <c r="F560" s="88"/>
      <c r="G560" s="88"/>
      <c r="H560" s="98">
        <f>ROUND(H559,2)</f>
        <v>38.630000000000003</v>
      </c>
      <c r="I560" s="2"/>
    </row>
    <row r="561" spans="1:15" ht="15.75" x14ac:dyDescent="0.25">
      <c r="B561" s="34" t="s">
        <v>1701</v>
      </c>
      <c r="C561" s="2"/>
      <c r="D561" s="3" t="str">
        <f>$D$57</f>
        <v>ESPOL</v>
      </c>
      <c r="E561" s="2"/>
      <c r="F561" s="2"/>
      <c r="H561" s="2" t="s">
        <v>108</v>
      </c>
      <c r="I561" s="2"/>
      <c r="L561" s="40">
        <f>A565</f>
        <v>16</v>
      </c>
      <c r="M561" s="1" t="str">
        <f>C566</f>
        <v>Rejillas aluminio CC 200 x 160mm</v>
      </c>
      <c r="N561" s="2" t="str">
        <f>H565</f>
        <v>U</v>
      </c>
      <c r="O561" s="2">
        <f>H616</f>
        <v>61.52</v>
      </c>
    </row>
    <row r="562" spans="1:15" ht="15.75" x14ac:dyDescent="0.25">
      <c r="B562" s="34" t="s">
        <v>1700</v>
      </c>
      <c r="C562" s="3">
        <f>'1.1'!$C$2</f>
        <v>0</v>
      </c>
      <c r="D562" s="2"/>
      <c r="E562" s="2"/>
      <c r="F562" s="2"/>
      <c r="G562" s="41" t="s">
        <v>1699</v>
      </c>
      <c r="H562" s="42"/>
      <c r="I562" s="2" t="s">
        <v>1698</v>
      </c>
    </row>
    <row r="563" spans="1:15" ht="15.75" x14ac:dyDescent="0.25">
      <c r="B563" s="34"/>
      <c r="C563" s="3">
        <f>'1.1'!$C$3</f>
        <v>0</v>
      </c>
      <c r="D563" s="2"/>
      <c r="E563" s="2"/>
      <c r="F563" s="2"/>
      <c r="G563" s="2"/>
      <c r="H563" s="2"/>
      <c r="I563" s="2"/>
    </row>
    <row r="564" spans="1:15" ht="15.75" x14ac:dyDescent="0.25">
      <c r="B564" s="34" t="s">
        <v>1697</v>
      </c>
      <c r="C564" s="3"/>
      <c r="D564" s="2"/>
      <c r="E564" s="2"/>
      <c r="F564" s="2"/>
      <c r="G564" s="2"/>
      <c r="H564" s="2"/>
      <c r="I564" s="2"/>
    </row>
    <row r="565" spans="1:15" x14ac:dyDescent="0.25">
      <c r="A565" s="104">
        <v>16</v>
      </c>
      <c r="B565" s="2" t="s">
        <v>1586</v>
      </c>
      <c r="C565" s="101" t="s">
        <v>1656</v>
      </c>
      <c r="D565" s="2"/>
      <c r="G565" s="2" t="s">
        <v>1696</v>
      </c>
      <c r="H565" s="3" t="s">
        <v>744</v>
      </c>
      <c r="I565" s="2"/>
    </row>
    <row r="566" spans="1:15" x14ac:dyDescent="0.25">
      <c r="B566" s="1" t="s">
        <v>1585</v>
      </c>
      <c r="C566" s="36" t="s">
        <v>1304</v>
      </c>
      <c r="D566" s="2"/>
      <c r="E566" s="2"/>
      <c r="F566" s="2"/>
      <c r="G566" s="2"/>
      <c r="H566" s="2"/>
      <c r="I566" s="2"/>
    </row>
    <row r="567" spans="1:15" ht="15.75" thickBot="1" x14ac:dyDescent="0.3">
      <c r="D567" s="2"/>
      <c r="E567" s="2"/>
      <c r="F567" s="2"/>
      <c r="G567" s="2"/>
      <c r="H567" s="2"/>
      <c r="I567" s="2"/>
    </row>
    <row r="568" spans="1:15" ht="15.75" thickBot="1" x14ac:dyDescent="0.3">
      <c r="B568" s="43" t="s">
        <v>1695</v>
      </c>
      <c r="C568" s="44"/>
      <c r="D568" s="44"/>
      <c r="E568" s="44"/>
      <c r="F568" s="44"/>
      <c r="G568" s="44"/>
      <c r="H568" s="45"/>
      <c r="I568" s="2"/>
    </row>
    <row r="569" spans="1:15" ht="25.5" x14ac:dyDescent="0.25">
      <c r="B569" s="46" t="s">
        <v>1409</v>
      </c>
      <c r="C569" s="47"/>
      <c r="D569" s="48" t="s">
        <v>1690</v>
      </c>
      <c r="E569" s="48" t="s">
        <v>1694</v>
      </c>
      <c r="F569" s="48" t="s">
        <v>1693</v>
      </c>
      <c r="G569" s="49" t="s">
        <v>1687</v>
      </c>
      <c r="H569" s="50" t="s">
        <v>1686</v>
      </c>
      <c r="I569" s="2"/>
    </row>
    <row r="570" spans="1:15" x14ac:dyDescent="0.25">
      <c r="A570" s="103">
        <v>19015</v>
      </c>
      <c r="B570" s="51" t="str">
        <f>IF($A570=0,"",VLOOKUP($A570,'BASE EQUIPO'!$A:$D,2))</f>
        <v>HERRAMIENTA MENOR</v>
      </c>
      <c r="C570" s="52"/>
      <c r="D570" s="53">
        <v>1</v>
      </c>
      <c r="E570" s="53">
        <f>IF($A570=0,"",VLOOKUP($A570,'BASE EQUIPO'!$A:$D,4)*H586)</f>
        <v>0.28589999999999999</v>
      </c>
      <c r="F570" s="53">
        <f t="shared" ref="F570:F575" si="50">IF($A570=0,"",ROUND(D570*E570,2))</f>
        <v>0.28999999999999998</v>
      </c>
      <c r="G570" s="105">
        <v>1</v>
      </c>
      <c r="H570" s="54">
        <f t="shared" ref="H570:H575" si="51">IF($A570=0,"",ROUND(G570*F570,2))</f>
        <v>0.28999999999999998</v>
      </c>
      <c r="I570" s="2"/>
    </row>
    <row r="571" spans="1:15" x14ac:dyDescent="0.25">
      <c r="B571" s="38" t="str">
        <f>IF($A571=0,"",VLOOKUP($A571,'BASE EQUIPO'!$A:$D,2))</f>
        <v/>
      </c>
      <c r="C571" s="2"/>
      <c r="D571" s="55"/>
      <c r="E571" s="55" t="str">
        <f>IF($A571=0,"",VLOOKUP($A571,'BASE EQUIPO'!$A:$D,4))</f>
        <v/>
      </c>
      <c r="F571" s="55" t="str">
        <f t="shared" si="50"/>
        <v/>
      </c>
      <c r="G571" s="106"/>
      <c r="H571" s="56" t="str">
        <f t="shared" si="51"/>
        <v/>
      </c>
      <c r="I571" s="2"/>
    </row>
    <row r="572" spans="1:15" x14ac:dyDescent="0.25">
      <c r="B572" s="38" t="str">
        <f>IF($A572=0,"",VLOOKUP($A572,'BASE EQUIPO'!$A:$D,2))</f>
        <v/>
      </c>
      <c r="C572" s="2"/>
      <c r="D572" s="55"/>
      <c r="E572" s="55" t="str">
        <f>IF($A572=0,"",VLOOKUP($A572,'BASE EQUIPO'!$A:$D,4))</f>
        <v/>
      </c>
      <c r="F572" s="55" t="str">
        <f t="shared" si="50"/>
        <v/>
      </c>
      <c r="G572" s="106"/>
      <c r="H572" s="56" t="str">
        <f t="shared" si="51"/>
        <v/>
      </c>
      <c r="I572" s="2"/>
    </row>
    <row r="573" spans="1:15" x14ac:dyDescent="0.25">
      <c r="B573" s="38" t="str">
        <f>IF($A573=0,"",VLOOKUP($A573,'BASE EQUIPO'!$A:$D,2))</f>
        <v/>
      </c>
      <c r="C573" s="2"/>
      <c r="D573" s="55"/>
      <c r="E573" s="55" t="str">
        <f>IF($A573=0,"",VLOOKUP($A573,'BASE EQUIPO'!$A:$D,4))</f>
        <v/>
      </c>
      <c r="F573" s="55" t="str">
        <f t="shared" si="50"/>
        <v/>
      </c>
      <c r="G573" s="106"/>
      <c r="H573" s="56" t="str">
        <f t="shared" si="51"/>
        <v/>
      </c>
      <c r="I573" s="2"/>
    </row>
    <row r="574" spans="1:15" x14ac:dyDescent="0.25">
      <c r="B574" s="38" t="str">
        <f>IF($A574=0,"",VLOOKUP($A574,'BASE EQUIPO'!$A:$D,2))</f>
        <v/>
      </c>
      <c r="C574" s="2"/>
      <c r="D574" s="55"/>
      <c r="E574" s="55" t="str">
        <f>IF($A574=0,"",VLOOKUP($A574,'BASE EQUIPO'!$A:$D,4))</f>
        <v/>
      </c>
      <c r="F574" s="55" t="str">
        <f t="shared" si="50"/>
        <v/>
      </c>
      <c r="G574" s="106"/>
      <c r="H574" s="56" t="str">
        <f t="shared" si="51"/>
        <v/>
      </c>
      <c r="I574" s="2"/>
    </row>
    <row r="575" spans="1:15" x14ac:dyDescent="0.25">
      <c r="B575" s="57" t="str">
        <f>IF($A575=0,"",VLOOKUP($A575,'BASE EQUIPO'!$A:$D,2))</f>
        <v/>
      </c>
      <c r="C575" s="58"/>
      <c r="D575" s="59"/>
      <c r="E575" s="59" t="str">
        <f>IF($A575=0,"",VLOOKUP($A575,'BASE EQUIPO'!$A:$D,4))</f>
        <v/>
      </c>
      <c r="F575" s="59" t="str">
        <f t="shared" si="50"/>
        <v/>
      </c>
      <c r="G575" s="107"/>
      <c r="H575" s="60" t="str">
        <f t="shared" si="51"/>
        <v/>
      </c>
      <c r="I575" s="2"/>
    </row>
    <row r="576" spans="1:15" x14ac:dyDescent="0.25">
      <c r="B576" s="57" t="s">
        <v>1692</v>
      </c>
      <c r="C576" s="58"/>
      <c r="D576" s="61"/>
      <c r="E576" s="61"/>
      <c r="F576" s="61"/>
      <c r="G576" s="62"/>
      <c r="H576" s="60">
        <f>ROUND(SUM(H569:H575),2)</f>
        <v>0.28999999999999998</v>
      </c>
      <c r="I576" s="2"/>
    </row>
    <row r="577" spans="1:16" x14ac:dyDescent="0.25">
      <c r="B577" s="38" t="s">
        <v>1503</v>
      </c>
      <c r="C577" s="2"/>
      <c r="D577" s="3"/>
      <c r="E577" s="3"/>
      <c r="F577" s="3"/>
      <c r="G577" s="63"/>
      <c r="H577" s="56"/>
      <c r="I577" s="2"/>
    </row>
    <row r="578" spans="1:16" ht="25.5" x14ac:dyDescent="0.25">
      <c r="B578" s="64" t="s">
        <v>1691</v>
      </c>
      <c r="C578" s="65"/>
      <c r="D578" s="66" t="s">
        <v>1690</v>
      </c>
      <c r="E578" s="66" t="s">
        <v>1689</v>
      </c>
      <c r="F578" s="66" t="s">
        <v>1688</v>
      </c>
      <c r="G578" s="67" t="s">
        <v>1687</v>
      </c>
      <c r="H578" s="68" t="s">
        <v>1686</v>
      </c>
      <c r="I578" s="2"/>
    </row>
    <row r="579" spans="1:16" x14ac:dyDescent="0.25">
      <c r="B579" s="69" t="str">
        <f>IF($A579=0,"",VLOOKUP($A579,'BASE M-OBRA'!$A:$D,2))</f>
        <v/>
      </c>
      <c r="C579" s="2"/>
      <c r="D579" s="108"/>
      <c r="E579" s="70" t="str">
        <f>IF($A579=0,"",VLOOKUP($A579,'BASE M-OBRA'!$A:$D,4))</f>
        <v/>
      </c>
      <c r="F579" s="55" t="str">
        <f t="shared" ref="F579:F585" si="52">IF($A579=0,"",ROUND(D579*E579,2))</f>
        <v/>
      </c>
      <c r="G579" s="106" t="str">
        <f>IF($A579=0,"",ROUND(H579/F579,2))</f>
        <v/>
      </c>
      <c r="H579" s="56" t="str">
        <f>IF($A579=0,"",ROUND(SUM(H580:H585)*'BASE M-OBRA'!$D$23,2))</f>
        <v/>
      </c>
      <c r="I579" s="2"/>
    </row>
    <row r="580" spans="1:16" x14ac:dyDescent="0.25">
      <c r="A580" s="103">
        <v>20011</v>
      </c>
      <c r="B580" s="69" t="str">
        <f>IF($A580=0,"",VLOOKUP($A580,'BASE M-OBRA'!$A:$D,2))</f>
        <v>AYUDANTE ESPECIALISTA</v>
      </c>
      <c r="C580" s="2"/>
      <c r="D580" s="108">
        <v>1</v>
      </c>
      <c r="E580" s="70">
        <f>IF($A580=0,"",VLOOKUP($A580,'BASE M-OBRA'!$A:$D,4))</f>
        <v>2.79</v>
      </c>
      <c r="F580" s="55">
        <f t="shared" si="52"/>
        <v>2.79</v>
      </c>
      <c r="G580" s="106">
        <v>1.7</v>
      </c>
      <c r="H580" s="56">
        <f t="shared" ref="H580:H585" si="53">IF($A580=0,"",ROUND(G580*F580,2))</f>
        <v>4.74</v>
      </c>
      <c r="I580" s="2"/>
    </row>
    <row r="581" spans="1:16" x14ac:dyDescent="0.25">
      <c r="A581" s="103">
        <v>20016</v>
      </c>
      <c r="B581" s="69" t="str">
        <f>IF($A581=0,"",VLOOKUP($A581,'BASE M-OBRA'!$A:$D,2))</f>
        <v>GAFITERO</v>
      </c>
      <c r="C581" s="2"/>
      <c r="D581" s="108">
        <v>1</v>
      </c>
      <c r="E581" s="70">
        <f>IF($A581=0,"",VLOOKUP($A581,'BASE M-OBRA'!$A:$D,4))</f>
        <v>2.82</v>
      </c>
      <c r="F581" s="55">
        <f t="shared" si="52"/>
        <v>2.82</v>
      </c>
      <c r="G581" s="106">
        <f>+G580</f>
        <v>1.7</v>
      </c>
      <c r="H581" s="56">
        <f t="shared" si="53"/>
        <v>4.79</v>
      </c>
      <c r="I581" s="2"/>
    </row>
    <row r="582" spans="1:16" x14ac:dyDescent="0.25">
      <c r="B582" s="71" t="str">
        <f>IF($A582=0,"",VLOOKUP($A582,'BASE M-OBRA'!$A:$D,2))</f>
        <v/>
      </c>
      <c r="C582" s="2"/>
      <c r="D582" s="108"/>
      <c r="E582" s="70" t="str">
        <f>IF($A582=0,"",VLOOKUP($A582,'BASE M-OBRA'!$A:$D,4))</f>
        <v/>
      </c>
      <c r="F582" s="55" t="str">
        <f t="shared" si="52"/>
        <v/>
      </c>
      <c r="G582" s="106"/>
      <c r="H582" s="56" t="str">
        <f t="shared" si="53"/>
        <v/>
      </c>
      <c r="I582" s="2"/>
    </row>
    <row r="583" spans="1:16" x14ac:dyDescent="0.25">
      <c r="B583" s="72" t="str">
        <f>IF($A583=0,"",VLOOKUP($A583,'BASE M-OBRA'!$A:$D,2))</f>
        <v/>
      </c>
      <c r="C583" s="2"/>
      <c r="D583" s="108"/>
      <c r="E583" s="70" t="str">
        <f>IF($A583=0,"",VLOOKUP($A583,'BASE M-OBRA'!$A:$D,4))</f>
        <v/>
      </c>
      <c r="F583" s="55" t="str">
        <f t="shared" si="52"/>
        <v/>
      </c>
      <c r="G583" s="106"/>
      <c r="H583" s="56" t="str">
        <f t="shared" si="53"/>
        <v/>
      </c>
      <c r="I583" s="2"/>
    </row>
    <row r="584" spans="1:16" x14ac:dyDescent="0.25">
      <c r="B584" s="38" t="str">
        <f>IF($A584=0,"",VLOOKUP($A584,'BASE M-OBRA'!$A:$D,2))</f>
        <v/>
      </c>
      <c r="C584" s="2"/>
      <c r="D584" s="55"/>
      <c r="E584" s="55" t="str">
        <f>IF($A584=0,"",VLOOKUP($A584,'BASE M-OBRA'!$A:$D,4))</f>
        <v/>
      </c>
      <c r="F584" s="55" t="str">
        <f t="shared" si="52"/>
        <v/>
      </c>
      <c r="G584" s="106"/>
      <c r="H584" s="56" t="str">
        <f t="shared" si="53"/>
        <v/>
      </c>
      <c r="I584" s="2"/>
    </row>
    <row r="585" spans="1:16" x14ac:dyDescent="0.25">
      <c r="B585" s="57" t="str">
        <f>IF($A585=0,"",VLOOKUP($A585,'BASE M-OBRA'!$A:$D,2))</f>
        <v/>
      </c>
      <c r="C585" s="58"/>
      <c r="D585" s="59"/>
      <c r="E585" s="59" t="str">
        <f>IF($A585=0,"",VLOOKUP($A585,'BASE M-OBRA'!$A:$D,4))</f>
        <v/>
      </c>
      <c r="F585" s="59" t="str">
        <f t="shared" si="52"/>
        <v/>
      </c>
      <c r="G585" s="107"/>
      <c r="H585" s="60" t="str">
        <f t="shared" si="53"/>
        <v/>
      </c>
      <c r="I585" s="2"/>
    </row>
    <row r="586" spans="1:16" x14ac:dyDescent="0.25">
      <c r="B586" s="73" t="s">
        <v>1685</v>
      </c>
      <c r="C586" s="65"/>
      <c r="D586" s="74"/>
      <c r="E586" s="74"/>
      <c r="F586" s="74"/>
      <c r="G586" s="74"/>
      <c r="H586" s="75">
        <f>ROUND(SUM(H578:H585),2)</f>
        <v>9.5299999999999994</v>
      </c>
      <c r="I586" s="2"/>
    </row>
    <row r="587" spans="1:16" x14ac:dyDescent="0.25">
      <c r="B587" s="38" t="s">
        <v>1684</v>
      </c>
      <c r="C587" s="2"/>
      <c r="D587" s="3"/>
      <c r="E587" s="3"/>
      <c r="F587" s="3"/>
      <c r="G587" s="3"/>
      <c r="H587" s="56"/>
      <c r="I587" s="2"/>
    </row>
    <row r="588" spans="1:16" ht="25.5" x14ac:dyDescent="0.25">
      <c r="B588" s="64" t="s">
        <v>1409</v>
      </c>
      <c r="C588" s="65"/>
      <c r="D588" s="76"/>
      <c r="E588" s="66" t="s">
        <v>1408</v>
      </c>
      <c r="F588" s="66" t="s">
        <v>1679</v>
      </c>
      <c r="G588" s="66" t="s">
        <v>1683</v>
      </c>
      <c r="H588" s="68" t="s">
        <v>1675</v>
      </c>
      <c r="I588" s="2"/>
    </row>
    <row r="589" spans="1:16" x14ac:dyDescent="0.25">
      <c r="A589" s="103">
        <v>1</v>
      </c>
      <c r="B589" s="99" t="s">
        <v>1304</v>
      </c>
      <c r="C589" s="2"/>
      <c r="D589" s="77"/>
      <c r="E589" s="78" t="s">
        <v>744</v>
      </c>
      <c r="F589" s="55">
        <v>1</v>
      </c>
      <c r="G589" s="55">
        <v>47.5</v>
      </c>
      <c r="H589" s="56">
        <f t="shared" ref="H589:H603" si="54">IF($A589=0,"",ROUND(F589*G589,2))</f>
        <v>47.5</v>
      </c>
      <c r="I589" s="2"/>
      <c r="J589" s="1">
        <f>11.13/1.12</f>
        <v>9.9375</v>
      </c>
      <c r="L589" s="2"/>
      <c r="M589" s="2"/>
      <c r="N589" s="39"/>
      <c r="O589" s="2"/>
      <c r="P589" s="2"/>
    </row>
    <row r="590" spans="1:16" x14ac:dyDescent="0.25">
      <c r="A590" s="103">
        <v>1</v>
      </c>
      <c r="B590" s="38" t="s">
        <v>1305</v>
      </c>
      <c r="C590" s="2"/>
      <c r="D590" s="77"/>
      <c r="E590" s="78" t="s">
        <v>1306</v>
      </c>
      <c r="F590" s="55">
        <v>0.3</v>
      </c>
      <c r="G590" s="55">
        <f>8*1.12</f>
        <v>8.9600000000000009</v>
      </c>
      <c r="H590" s="56">
        <f t="shared" si="54"/>
        <v>2.69</v>
      </c>
      <c r="I590" s="2"/>
      <c r="J590" s="1">
        <f>3.36/1.12</f>
        <v>2.9999999999999996</v>
      </c>
      <c r="L590" s="2"/>
      <c r="M590" s="2"/>
      <c r="N590" s="39"/>
      <c r="O590" s="2"/>
      <c r="P590" s="2"/>
    </row>
    <row r="591" spans="1:16" x14ac:dyDescent="0.25">
      <c r="B591" s="38"/>
      <c r="C591" s="2"/>
      <c r="D591" s="77"/>
      <c r="E591" s="78"/>
      <c r="F591" s="55"/>
      <c r="G591" s="55"/>
      <c r="H591" s="56" t="str">
        <f t="shared" si="54"/>
        <v/>
      </c>
      <c r="I591" s="2"/>
      <c r="L591" s="2"/>
      <c r="M591" s="2"/>
      <c r="N591" s="39"/>
      <c r="O591" s="2"/>
      <c r="P591" s="2"/>
    </row>
    <row r="592" spans="1:16" x14ac:dyDescent="0.25">
      <c r="B592" s="38"/>
      <c r="C592" s="2"/>
      <c r="D592" s="77"/>
      <c r="E592" s="78"/>
      <c r="F592" s="55"/>
      <c r="G592" s="55"/>
      <c r="H592" s="56" t="str">
        <f t="shared" si="54"/>
        <v/>
      </c>
      <c r="I592" s="2"/>
      <c r="L592" s="2"/>
      <c r="M592" s="2"/>
      <c r="N592" s="39"/>
      <c r="O592" s="2"/>
      <c r="P592" s="2"/>
    </row>
    <row r="593" spans="1:16" x14ac:dyDescent="0.25">
      <c r="B593" s="38"/>
      <c r="C593" s="2"/>
      <c r="D593" s="77"/>
      <c r="E593" s="78"/>
      <c r="F593" s="55"/>
      <c r="G593" s="55"/>
      <c r="H593" s="56" t="str">
        <f t="shared" si="54"/>
        <v/>
      </c>
      <c r="I593" s="2"/>
      <c r="L593" s="2"/>
      <c r="M593" s="2"/>
      <c r="N593" s="39"/>
      <c r="O593" s="2"/>
      <c r="P593" s="2"/>
    </row>
    <row r="594" spans="1:16" x14ac:dyDescent="0.25">
      <c r="B594" s="38"/>
      <c r="C594" s="2"/>
      <c r="D594" s="77"/>
      <c r="E594" s="78"/>
      <c r="F594" s="55"/>
      <c r="G594" s="55"/>
      <c r="H594" s="56" t="str">
        <f t="shared" si="54"/>
        <v/>
      </c>
      <c r="I594" s="2"/>
      <c r="L594" s="2"/>
      <c r="M594" s="2"/>
      <c r="N594" s="39"/>
      <c r="O594" s="2"/>
      <c r="P594" s="2"/>
    </row>
    <row r="595" spans="1:16" x14ac:dyDescent="0.25">
      <c r="B595" s="38"/>
      <c r="C595" s="2"/>
      <c r="D595" s="77"/>
      <c r="E595" s="78"/>
      <c r="F595" s="55"/>
      <c r="G595" s="55"/>
      <c r="H595" s="56" t="str">
        <f t="shared" si="54"/>
        <v/>
      </c>
      <c r="I595" s="2"/>
      <c r="L595" s="2"/>
      <c r="M595" s="2"/>
      <c r="N595" s="39"/>
      <c r="O595" s="2"/>
      <c r="P595" s="2"/>
    </row>
    <row r="596" spans="1:16" x14ac:dyDescent="0.25">
      <c r="B596" s="38"/>
      <c r="C596" s="2"/>
      <c r="D596" s="77"/>
      <c r="E596" s="78"/>
      <c r="F596" s="55"/>
      <c r="G596" s="55"/>
      <c r="H596" s="56" t="str">
        <f t="shared" si="54"/>
        <v/>
      </c>
      <c r="I596" s="2"/>
      <c r="L596" s="2"/>
      <c r="M596" s="2"/>
      <c r="N596" s="39"/>
      <c r="O596" s="2"/>
      <c r="P596" s="2"/>
    </row>
    <row r="597" spans="1:16" x14ac:dyDescent="0.25">
      <c r="B597" s="38"/>
      <c r="C597" s="2"/>
      <c r="D597" s="77"/>
      <c r="E597" s="78"/>
      <c r="F597" s="55"/>
      <c r="G597" s="55"/>
      <c r="H597" s="56" t="str">
        <f t="shared" si="54"/>
        <v/>
      </c>
      <c r="I597" s="2"/>
    </row>
    <row r="598" spans="1:16" x14ac:dyDescent="0.25">
      <c r="B598" s="38" t="str">
        <f>IF($A598=0,"",VLOOKUP($A598,'BASE MATERIAL'!$A:$D,2))</f>
        <v/>
      </c>
      <c r="C598" s="2"/>
      <c r="D598" s="77"/>
      <c r="E598" s="78" t="str">
        <f>IF($A598=0,"",VLOOKUP($A598,'BASE MATERIAL'!$A:$D,3))</f>
        <v/>
      </c>
      <c r="F598" s="55"/>
      <c r="G598" s="55" t="str">
        <f>IF($A598=0,"",VLOOKUP($A598,'BASE MATERIAL'!$A:$D,4))</f>
        <v/>
      </c>
      <c r="H598" s="56" t="str">
        <f t="shared" si="54"/>
        <v/>
      </c>
      <c r="I598" s="2"/>
      <c r="L598" s="2"/>
      <c r="M598" s="2"/>
      <c r="N598" s="39"/>
      <c r="O598" s="2"/>
      <c r="P598" s="2"/>
    </row>
    <row r="599" spans="1:16" x14ac:dyDescent="0.25">
      <c r="B599" s="38" t="str">
        <f>IF($A599=0,"",VLOOKUP($A599,'BASE MATERIAL'!$A:$D,2))</f>
        <v/>
      </c>
      <c r="C599" s="2"/>
      <c r="D599" s="77"/>
      <c r="E599" s="78" t="str">
        <f>IF($A599=0,"",VLOOKUP($A599,'BASE MATERIAL'!$A:$D,3))</f>
        <v/>
      </c>
      <c r="F599" s="55"/>
      <c r="G599" s="55" t="str">
        <f>IF($A599=0,"",VLOOKUP($A599,'BASE MATERIAL'!$A:$D,4))</f>
        <v/>
      </c>
      <c r="H599" s="56" t="str">
        <f t="shared" si="54"/>
        <v/>
      </c>
      <c r="I599" s="2"/>
      <c r="L599" s="2"/>
      <c r="M599" s="2"/>
      <c r="N599" s="39"/>
      <c r="O599" s="2"/>
      <c r="P599" s="2"/>
    </row>
    <row r="600" spans="1:16" x14ac:dyDescent="0.25">
      <c r="B600" s="38" t="str">
        <f>IF($A600=0,"",VLOOKUP($A600,'BASE MATERIAL'!$A:$D,2))</f>
        <v/>
      </c>
      <c r="C600" s="2"/>
      <c r="D600" s="77"/>
      <c r="E600" s="78" t="str">
        <f>IF($A600=0,"",VLOOKUP($A600,'BASE MATERIAL'!$A:$D,3))</f>
        <v/>
      </c>
      <c r="F600" s="55"/>
      <c r="G600" s="55" t="str">
        <f>IF($A600=0,"",VLOOKUP($A600,'BASE MATERIAL'!$A:$D,4))</f>
        <v/>
      </c>
      <c r="H600" s="56" t="str">
        <f t="shared" si="54"/>
        <v/>
      </c>
      <c r="I600" s="2"/>
    </row>
    <row r="601" spans="1:16" x14ac:dyDescent="0.25">
      <c r="B601" s="38" t="str">
        <f>IF($A601=0,"",VLOOKUP($A601,'BASE MATERIAL'!$A:$D,2))</f>
        <v/>
      </c>
      <c r="C601" s="2"/>
      <c r="D601" s="77"/>
      <c r="E601" s="78" t="str">
        <f>IF($A601=0,"",VLOOKUP($A601,'BASE MATERIAL'!$A:$D,3))</f>
        <v/>
      </c>
      <c r="F601" s="55"/>
      <c r="G601" s="55" t="str">
        <f>IF($A601=0,"",VLOOKUP($A601,'BASE MATERIAL'!$A:$D,4))</f>
        <v/>
      </c>
      <c r="H601" s="56" t="str">
        <f t="shared" si="54"/>
        <v/>
      </c>
      <c r="I601" s="2"/>
    </row>
    <row r="602" spans="1:16" x14ac:dyDescent="0.25">
      <c r="B602" s="38" t="str">
        <f>IF($A602=0,"",VLOOKUP($A602,'BASE MATERIAL'!$A:$D,2))</f>
        <v/>
      </c>
      <c r="C602" s="2"/>
      <c r="D602" s="77"/>
      <c r="E602" s="78" t="str">
        <f>IF($A602=0,"",VLOOKUP($A602,'BASE MATERIAL'!$A:$D,3))</f>
        <v/>
      </c>
      <c r="F602" s="55"/>
      <c r="G602" s="55" t="str">
        <f>IF($A602=0,"",VLOOKUP($A602,'BASE MATERIAL'!$A:$D,4))</f>
        <v/>
      </c>
      <c r="H602" s="56" t="str">
        <f t="shared" si="54"/>
        <v/>
      </c>
      <c r="I602" s="2"/>
    </row>
    <row r="603" spans="1:16" x14ac:dyDescent="0.25">
      <c r="B603" s="38" t="str">
        <f>IF($A603=0,"",VLOOKUP($A603,'BASE MATERIAL'!$A:$D,2))</f>
        <v/>
      </c>
      <c r="C603" s="2"/>
      <c r="D603" s="77"/>
      <c r="E603" s="78" t="str">
        <f>IF($A603=0,"",VLOOKUP($A603,'BASE MATERIAL'!$A:$D,3))</f>
        <v/>
      </c>
      <c r="F603" s="55"/>
      <c r="G603" s="55" t="str">
        <f>IF($A603=0,"",VLOOKUP($A603,'BASE MATERIAL'!$A:$D,4))</f>
        <v/>
      </c>
      <c r="H603" s="56" t="str">
        <f t="shared" si="54"/>
        <v/>
      </c>
      <c r="I603" s="2"/>
    </row>
    <row r="604" spans="1:16" x14ac:dyDescent="0.25">
      <c r="B604" s="38" t="str">
        <f>IF($A604=0,"",VLOOKUP($A604,'BASE MATERIAL'!$A:$D,2))</f>
        <v/>
      </c>
      <c r="C604" s="2"/>
      <c r="D604" s="81" t="s">
        <v>1682</v>
      </c>
      <c r="E604" s="55" t="str">
        <f>IF($A604=0,"",VLOOKUP($A604,'BASE MATERIAL'!$A:$D,3))</f>
        <v/>
      </c>
      <c r="F604" s="55" t="s">
        <v>1682</v>
      </c>
      <c r="G604" s="55" t="str">
        <f>IF($A604=0,"",VLOOKUP($A604,'BASE MATERIAL'!$A:$D,4))</f>
        <v/>
      </c>
      <c r="H604" s="56" t="str">
        <f>IF($A604=0,"",ROUND(E604*F604,2))</f>
        <v/>
      </c>
      <c r="I604" s="2"/>
    </row>
    <row r="605" spans="1:16" x14ac:dyDescent="0.25">
      <c r="B605" s="73" t="s">
        <v>1681</v>
      </c>
      <c r="C605" s="65"/>
      <c r="D605" s="74"/>
      <c r="E605" s="74"/>
      <c r="F605" s="74"/>
      <c r="G605" s="74"/>
      <c r="H605" s="75">
        <f>ROUND(SUM(H588:H604),2)</f>
        <v>50.19</v>
      </c>
      <c r="I605" s="2"/>
    </row>
    <row r="606" spans="1:16" x14ac:dyDescent="0.25">
      <c r="B606" s="38" t="s">
        <v>1680</v>
      </c>
      <c r="C606" s="2"/>
      <c r="D606" s="3"/>
      <c r="E606" s="3"/>
      <c r="F606" s="3"/>
      <c r="G606" s="3"/>
      <c r="H606" s="56"/>
      <c r="I606" s="2"/>
    </row>
    <row r="607" spans="1:16" ht="25.5" x14ac:dyDescent="0.25">
      <c r="B607" s="64" t="s">
        <v>1409</v>
      </c>
      <c r="C607" s="65"/>
      <c r="D607" s="76"/>
      <c r="E607" s="66" t="s">
        <v>1408</v>
      </c>
      <c r="F607" s="66" t="s">
        <v>1679</v>
      </c>
      <c r="G607" s="66" t="s">
        <v>1676</v>
      </c>
      <c r="H607" s="68" t="s">
        <v>1675</v>
      </c>
      <c r="I607" s="2"/>
    </row>
    <row r="608" spans="1:16" x14ac:dyDescent="0.25">
      <c r="A608" s="103">
        <v>19019</v>
      </c>
      <c r="B608" s="51" t="str">
        <f>IF($A608=0,"",VLOOKUP($A608,'BASE EQUIPO'!$A:$D,2))</f>
        <v>TRANSPORTE DE MATERIAL</v>
      </c>
      <c r="C608" s="52"/>
      <c r="D608" s="82"/>
      <c r="E608" s="78" t="str">
        <f>IF($A608=0,"",VLOOKUP($A608,'BASE EQUIPO'!$A:$D,3))</f>
        <v>GLOBAL</v>
      </c>
      <c r="F608" s="55">
        <v>1</v>
      </c>
      <c r="G608" s="83">
        <f>IF($A608=0,"",VLOOKUP($A608,'BASE EQUIPO'!$A:$D,4)*H605)</f>
        <v>1.5056999999999998</v>
      </c>
      <c r="H608" s="56">
        <f>IF($A608=0,"",ROUND(F608*G608,2))</f>
        <v>1.51</v>
      </c>
      <c r="I608" s="2"/>
    </row>
    <row r="609" spans="1:15" x14ac:dyDescent="0.25">
      <c r="B609" s="38" t="str">
        <f>IF($A609=0,"",VLOOKUP($A609,'BASE EQUIPO'!$A:$D,2))</f>
        <v/>
      </c>
      <c r="C609" s="2"/>
      <c r="D609" s="84"/>
      <c r="E609" s="78" t="str">
        <f>IF($A609=0,"",VLOOKUP($A609,'BASE EQUIPO'!$A:$D,3))</f>
        <v/>
      </c>
      <c r="F609" s="55"/>
      <c r="G609" s="55" t="str">
        <f>IF($A609=0,"",VLOOKUP($A609,'BASE EQUIPO'!$A:$D,4)*H606)</f>
        <v/>
      </c>
      <c r="H609" s="56" t="str">
        <f>IF($A609=0,"",ROUND(F609*G609,2))</f>
        <v/>
      </c>
      <c r="I609" s="2"/>
    </row>
    <row r="610" spans="1:15" x14ac:dyDescent="0.25">
      <c r="B610" s="57" t="str">
        <f>IF($A610=0,"",VLOOKUP($A610,'BASE EQUIPO'!$A:$D,2))</f>
        <v/>
      </c>
      <c r="C610" s="58"/>
      <c r="D610" s="85"/>
      <c r="E610" s="86" t="str">
        <f>IF($A610=0,"",VLOOKUP($A610,'BASE EQUIPO'!$A:$D,3))</f>
        <v/>
      </c>
      <c r="F610" s="59"/>
      <c r="G610" s="59" t="str">
        <f>IF($A610=0,"",VLOOKUP($A610,'BASE EQUIPO'!$A:$D,4)*H607)</f>
        <v/>
      </c>
      <c r="H610" s="60" t="str">
        <f>IF($A610=0,"",ROUND(F610*G610,2))</f>
        <v/>
      </c>
      <c r="I610" s="2"/>
    </row>
    <row r="611" spans="1:15" ht="15.75" thickBot="1" x14ac:dyDescent="0.3">
      <c r="B611" s="87" t="s">
        <v>1674</v>
      </c>
      <c r="C611" s="88"/>
      <c r="D611" s="89"/>
      <c r="E611" s="89"/>
      <c r="F611" s="89"/>
      <c r="G611" s="89"/>
      <c r="H611" s="90">
        <f>ROUND(SUM(H607:H610),2)</f>
        <v>1.51</v>
      </c>
      <c r="I611" s="2"/>
    </row>
    <row r="612" spans="1:15" ht="15.75" x14ac:dyDescent="0.25">
      <c r="B612" s="2"/>
      <c r="C612" s="2"/>
      <c r="D612" s="91" t="s">
        <v>1673</v>
      </c>
      <c r="E612" s="47"/>
      <c r="F612" s="47"/>
      <c r="G612" s="47"/>
      <c r="H612" s="92">
        <f>ROUND(SUM(H611,H605,H586,H576),2)</f>
        <v>61.52</v>
      </c>
      <c r="I612" s="2"/>
    </row>
    <row r="613" spans="1:15" ht="15.75" x14ac:dyDescent="0.25">
      <c r="A613" s="103">
        <v>40002</v>
      </c>
      <c r="B613" s="2"/>
      <c r="C613" s="2"/>
      <c r="D613" s="93" t="s">
        <v>1672</v>
      </c>
      <c r="E613" s="65"/>
      <c r="F613" s="65"/>
      <c r="G613" s="94">
        <f>IF($A613=0,"",VLOOKUP($A613,'BASE MATERIAL'!$M:$P,4))</f>
        <v>0</v>
      </c>
      <c r="H613" s="95">
        <f>IF($A613=0,"",ROUND(G613*H612,2))</f>
        <v>0</v>
      </c>
      <c r="I613" s="2"/>
    </row>
    <row r="614" spans="1:15" ht="15.75" x14ac:dyDescent="0.25">
      <c r="A614" s="103">
        <v>40003</v>
      </c>
      <c r="B614" s="2"/>
      <c r="C614" s="2"/>
      <c r="D614" s="93" t="s">
        <v>1671</v>
      </c>
      <c r="E614" s="65"/>
      <c r="F614" s="65"/>
      <c r="G614" s="94">
        <f>IF($A614=0,"",VLOOKUP($A614,'BASE MATERIAL'!$M:$P,4))</f>
        <v>0</v>
      </c>
      <c r="H614" s="95">
        <f>IF($A614=0,"",ROUND(G614*H612,2))</f>
        <v>0</v>
      </c>
      <c r="I614" s="2"/>
    </row>
    <row r="615" spans="1:15" ht="15.75" x14ac:dyDescent="0.25">
      <c r="B615" s="2"/>
      <c r="C615" s="2"/>
      <c r="D615" s="93" t="s">
        <v>1670</v>
      </c>
      <c r="E615" s="65"/>
      <c r="F615" s="65"/>
      <c r="G615" s="65"/>
      <c r="H615" s="96">
        <f>ROUND(SUM(H612:H614),2)</f>
        <v>61.52</v>
      </c>
      <c r="I615" s="2"/>
    </row>
    <row r="616" spans="1:15" ht="16.5" thickBot="1" x14ac:dyDescent="0.3">
      <c r="B616" s="25"/>
      <c r="C616" s="2"/>
      <c r="D616" s="97" t="s">
        <v>1650</v>
      </c>
      <c r="E616" s="88"/>
      <c r="F616" s="88"/>
      <c r="G616" s="88"/>
      <c r="H616" s="98">
        <f>ROUND(H615,2)</f>
        <v>61.52</v>
      </c>
      <c r="I616" s="2"/>
    </row>
    <row r="617" spans="1:15" ht="15.75" x14ac:dyDescent="0.25">
      <c r="B617" s="34" t="s">
        <v>1701</v>
      </c>
      <c r="C617" s="2"/>
      <c r="D617" s="3" t="str">
        <f>$D$57</f>
        <v>ESPOL</v>
      </c>
      <c r="E617" s="2"/>
      <c r="F617" s="2"/>
      <c r="H617" s="2" t="s">
        <v>108</v>
      </c>
      <c r="I617" s="2"/>
      <c r="L617" s="40">
        <f>A621</f>
        <v>17</v>
      </c>
      <c r="M617" s="1" t="str">
        <f>C622</f>
        <v>Puntos de drenaje AA/CC PVC pegable d=1"</v>
      </c>
      <c r="N617" s="2" t="str">
        <f>H621</f>
        <v>U</v>
      </c>
      <c r="O617" s="2">
        <f>H672</f>
        <v>21.05</v>
      </c>
    </row>
    <row r="618" spans="1:15" ht="15.75" x14ac:dyDescent="0.25">
      <c r="B618" s="34" t="s">
        <v>1700</v>
      </c>
      <c r="C618" s="3">
        <f>'1.1'!$C$2</f>
        <v>0</v>
      </c>
      <c r="D618" s="2"/>
      <c r="E618" s="2"/>
      <c r="F618" s="2"/>
      <c r="G618" s="41" t="s">
        <v>1699</v>
      </c>
      <c r="H618" s="42"/>
      <c r="I618" s="2" t="s">
        <v>1698</v>
      </c>
    </row>
    <row r="619" spans="1:15" ht="15.75" x14ac:dyDescent="0.25">
      <c r="B619" s="34"/>
      <c r="C619" s="3">
        <f>'1.1'!$C$3</f>
        <v>0</v>
      </c>
      <c r="D619" s="2"/>
      <c r="E619" s="2"/>
      <c r="F619" s="2"/>
      <c r="G619" s="2"/>
      <c r="H619" s="2"/>
      <c r="I619" s="2"/>
    </row>
    <row r="620" spans="1:15" ht="15.75" x14ac:dyDescent="0.25">
      <c r="B620" s="34" t="s">
        <v>1697</v>
      </c>
      <c r="C620" s="3"/>
      <c r="D620" s="2"/>
      <c r="E620" s="2"/>
      <c r="F620" s="2"/>
      <c r="G620" s="2"/>
      <c r="H620" s="2"/>
      <c r="I620" s="2"/>
    </row>
    <row r="621" spans="1:15" x14ac:dyDescent="0.25">
      <c r="A621" s="104">
        <v>17</v>
      </c>
      <c r="B621" s="2" t="s">
        <v>1586</v>
      </c>
      <c r="C621" s="101" t="s">
        <v>1657</v>
      </c>
      <c r="D621" s="2"/>
      <c r="G621" s="2" t="s">
        <v>1696</v>
      </c>
      <c r="H621" s="3" t="s">
        <v>744</v>
      </c>
      <c r="I621" s="2"/>
    </row>
    <row r="622" spans="1:15" ht="15.75" x14ac:dyDescent="0.25">
      <c r="B622" s="1" t="s">
        <v>1585</v>
      </c>
      <c r="C622" s="35" t="s">
        <v>1462</v>
      </c>
      <c r="D622" s="2"/>
      <c r="E622" s="2"/>
      <c r="F622" s="2"/>
      <c r="G622" s="2"/>
      <c r="H622" s="2"/>
      <c r="I622" s="2"/>
    </row>
    <row r="623" spans="1:15" ht="15.75" thickBot="1" x14ac:dyDescent="0.3">
      <c r="D623" s="2"/>
      <c r="E623" s="2"/>
      <c r="F623" s="2"/>
      <c r="G623" s="2"/>
      <c r="H623" s="2"/>
      <c r="I623" s="2"/>
    </row>
    <row r="624" spans="1:15" ht="15.75" thickBot="1" x14ac:dyDescent="0.3">
      <c r="B624" s="43" t="s">
        <v>1695</v>
      </c>
      <c r="C624" s="44"/>
      <c r="D624" s="44"/>
      <c r="E624" s="44"/>
      <c r="F624" s="44"/>
      <c r="G624" s="44"/>
      <c r="H624" s="45"/>
      <c r="I624" s="2"/>
    </row>
    <row r="625" spans="1:9" ht="25.5" x14ac:dyDescent="0.25">
      <c r="B625" s="46" t="s">
        <v>1409</v>
      </c>
      <c r="C625" s="47"/>
      <c r="D625" s="48" t="s">
        <v>1690</v>
      </c>
      <c r="E625" s="48" t="s">
        <v>1694</v>
      </c>
      <c r="F625" s="48" t="s">
        <v>1693</v>
      </c>
      <c r="G625" s="49" t="s">
        <v>1687</v>
      </c>
      <c r="H625" s="50" t="s">
        <v>1686</v>
      </c>
      <c r="I625" s="2"/>
    </row>
    <row r="626" spans="1:9" x14ac:dyDescent="0.25">
      <c r="A626" s="103">
        <v>19015</v>
      </c>
      <c r="B626" s="51" t="str">
        <f>IF($A626=0,"",VLOOKUP($A626,'BASE EQUIPO'!$A:$D,2))</f>
        <v>HERRAMIENTA MENOR</v>
      </c>
      <c r="C626" s="52"/>
      <c r="D626" s="53">
        <v>1</v>
      </c>
      <c r="E626" s="53">
        <f>IF($A626=0,"",VLOOKUP($A626,'BASE EQUIPO'!$A:$D,4)*H642)</f>
        <v>0.33660000000000001</v>
      </c>
      <c r="F626" s="53">
        <f t="shared" ref="F626:F631" si="55">IF($A626=0,"",ROUND(D626*E626,2))</f>
        <v>0.34</v>
      </c>
      <c r="G626" s="105">
        <v>1</v>
      </c>
      <c r="H626" s="54">
        <f t="shared" ref="H626:H631" si="56">IF($A626=0,"",ROUND(G626*F626,2))</f>
        <v>0.34</v>
      </c>
      <c r="I626" s="2"/>
    </row>
    <row r="627" spans="1:9" x14ac:dyDescent="0.25">
      <c r="B627" s="38" t="str">
        <f>IF($A627=0,"",VLOOKUP($A627,'BASE EQUIPO'!$A:$D,2))</f>
        <v/>
      </c>
      <c r="C627" s="2"/>
      <c r="D627" s="55"/>
      <c r="E627" s="55" t="str">
        <f>IF($A627=0,"",VLOOKUP($A627,'BASE EQUIPO'!$A:$D,4))</f>
        <v/>
      </c>
      <c r="F627" s="55" t="str">
        <f t="shared" si="55"/>
        <v/>
      </c>
      <c r="G627" s="106"/>
      <c r="H627" s="56" t="str">
        <f t="shared" si="56"/>
        <v/>
      </c>
      <c r="I627" s="2"/>
    </row>
    <row r="628" spans="1:9" x14ac:dyDescent="0.25">
      <c r="B628" s="38" t="str">
        <f>IF($A628=0,"",VLOOKUP($A628,'BASE EQUIPO'!$A:$D,2))</f>
        <v/>
      </c>
      <c r="C628" s="2"/>
      <c r="D628" s="55"/>
      <c r="E628" s="55" t="str">
        <f>IF($A628=0,"",VLOOKUP($A628,'BASE EQUIPO'!$A:$D,4))</f>
        <v/>
      </c>
      <c r="F628" s="55" t="str">
        <f t="shared" si="55"/>
        <v/>
      </c>
      <c r="G628" s="106"/>
      <c r="H628" s="56" t="str">
        <f t="shared" si="56"/>
        <v/>
      </c>
      <c r="I628" s="2"/>
    </row>
    <row r="629" spans="1:9" x14ac:dyDescent="0.25">
      <c r="B629" s="38" t="str">
        <f>IF($A629=0,"",VLOOKUP($A629,'BASE EQUIPO'!$A:$D,2))</f>
        <v/>
      </c>
      <c r="C629" s="2"/>
      <c r="D629" s="55"/>
      <c r="E629" s="55" t="str">
        <f>IF($A629=0,"",VLOOKUP($A629,'BASE EQUIPO'!$A:$D,4))</f>
        <v/>
      </c>
      <c r="F629" s="55" t="str">
        <f t="shared" si="55"/>
        <v/>
      </c>
      <c r="G629" s="106"/>
      <c r="H629" s="56" t="str">
        <f t="shared" si="56"/>
        <v/>
      </c>
      <c r="I629" s="2"/>
    </row>
    <row r="630" spans="1:9" x14ac:dyDescent="0.25">
      <c r="B630" s="38" t="str">
        <f>IF($A630=0,"",VLOOKUP($A630,'BASE EQUIPO'!$A:$D,2))</f>
        <v/>
      </c>
      <c r="C630" s="2"/>
      <c r="D630" s="55"/>
      <c r="E630" s="55" t="str">
        <f>IF($A630=0,"",VLOOKUP($A630,'BASE EQUIPO'!$A:$D,4))</f>
        <v/>
      </c>
      <c r="F630" s="55" t="str">
        <f t="shared" si="55"/>
        <v/>
      </c>
      <c r="G630" s="106"/>
      <c r="H630" s="56" t="str">
        <f t="shared" si="56"/>
        <v/>
      </c>
      <c r="I630" s="2"/>
    </row>
    <row r="631" spans="1:9" x14ac:dyDescent="0.25">
      <c r="B631" s="57" t="str">
        <f>IF($A631=0,"",VLOOKUP($A631,'BASE EQUIPO'!$A:$D,2))</f>
        <v/>
      </c>
      <c r="C631" s="58"/>
      <c r="D631" s="59"/>
      <c r="E631" s="59" t="str">
        <f>IF($A631=0,"",VLOOKUP($A631,'BASE EQUIPO'!$A:$D,4))</f>
        <v/>
      </c>
      <c r="F631" s="59" t="str">
        <f t="shared" si="55"/>
        <v/>
      </c>
      <c r="G631" s="107"/>
      <c r="H631" s="60" t="str">
        <f t="shared" si="56"/>
        <v/>
      </c>
      <c r="I631" s="2"/>
    </row>
    <row r="632" spans="1:9" x14ac:dyDescent="0.25">
      <c r="B632" s="57" t="s">
        <v>1692</v>
      </c>
      <c r="C632" s="58"/>
      <c r="D632" s="61"/>
      <c r="E632" s="61"/>
      <c r="F632" s="61"/>
      <c r="G632" s="62"/>
      <c r="H632" s="60">
        <f>ROUND(SUM(H625:H631),2)</f>
        <v>0.34</v>
      </c>
      <c r="I632" s="2"/>
    </row>
    <row r="633" spans="1:9" x14ac:dyDescent="0.25">
      <c r="B633" s="38" t="s">
        <v>1503</v>
      </c>
      <c r="C633" s="2"/>
      <c r="D633" s="3"/>
      <c r="E633" s="3"/>
      <c r="F633" s="3"/>
      <c r="G633" s="63"/>
      <c r="H633" s="56"/>
      <c r="I633" s="2"/>
    </row>
    <row r="634" spans="1:9" ht="25.5" x14ac:dyDescent="0.25">
      <c r="B634" s="64" t="s">
        <v>1691</v>
      </c>
      <c r="C634" s="65"/>
      <c r="D634" s="66" t="s">
        <v>1690</v>
      </c>
      <c r="E634" s="66" t="s">
        <v>1689</v>
      </c>
      <c r="F634" s="66" t="s">
        <v>1688</v>
      </c>
      <c r="G634" s="67" t="s">
        <v>1687</v>
      </c>
      <c r="H634" s="68" t="s">
        <v>1686</v>
      </c>
      <c r="I634" s="2"/>
    </row>
    <row r="635" spans="1:9" x14ac:dyDescent="0.25">
      <c r="B635" s="69" t="str">
        <f>IF($A635=0,"",VLOOKUP($A635,'BASE M-OBRA'!$A:$D,2))</f>
        <v/>
      </c>
      <c r="C635" s="2"/>
      <c r="D635" s="108"/>
      <c r="E635" s="70" t="str">
        <f>IF($A635=0,"",VLOOKUP($A635,'BASE M-OBRA'!$A:$D,4))</f>
        <v/>
      </c>
      <c r="F635" s="55" t="str">
        <f t="shared" ref="F635:F641" si="57">IF($A635=0,"",ROUND(D635*E635,2))</f>
        <v/>
      </c>
      <c r="G635" s="106" t="str">
        <f>IF($A635=0,"",ROUND(H635/F635,2))</f>
        <v/>
      </c>
      <c r="H635" s="56" t="str">
        <f>IF($A635=0,"",ROUND(SUM(H636:H641)*'BASE M-OBRA'!$D$23,2))</f>
        <v/>
      </c>
      <c r="I635" s="2"/>
    </row>
    <row r="636" spans="1:9" x14ac:dyDescent="0.25">
      <c r="A636" s="103">
        <v>20011</v>
      </c>
      <c r="B636" s="69" t="str">
        <f>IF($A636=0,"",VLOOKUP($A636,'BASE M-OBRA'!$A:$D,2))</f>
        <v>AYUDANTE ESPECIALISTA</v>
      </c>
      <c r="C636" s="2"/>
      <c r="D636" s="108">
        <v>1</v>
      </c>
      <c r="E636" s="70">
        <f>IF($A636=0,"",VLOOKUP($A636,'BASE M-OBRA'!$A:$D,4))</f>
        <v>2.79</v>
      </c>
      <c r="F636" s="55">
        <f t="shared" si="57"/>
        <v>2.79</v>
      </c>
      <c r="G636" s="106">
        <v>2</v>
      </c>
      <c r="H636" s="56">
        <f t="shared" ref="H636:H641" si="58">IF($A636=0,"",ROUND(G636*F636,2))</f>
        <v>5.58</v>
      </c>
      <c r="I636" s="2"/>
    </row>
    <row r="637" spans="1:9" x14ac:dyDescent="0.25">
      <c r="A637" s="103">
        <v>20016</v>
      </c>
      <c r="B637" s="69" t="str">
        <f>IF($A637=0,"",VLOOKUP($A637,'BASE M-OBRA'!$A:$D,2))</f>
        <v>GAFITERO</v>
      </c>
      <c r="C637" s="2"/>
      <c r="D637" s="108">
        <v>1</v>
      </c>
      <c r="E637" s="70">
        <f>IF($A637=0,"",VLOOKUP($A637,'BASE M-OBRA'!$A:$D,4))</f>
        <v>2.82</v>
      </c>
      <c r="F637" s="55">
        <f t="shared" si="57"/>
        <v>2.82</v>
      </c>
      <c r="G637" s="106">
        <f>+G636</f>
        <v>2</v>
      </c>
      <c r="H637" s="56">
        <f t="shared" si="58"/>
        <v>5.64</v>
      </c>
      <c r="I637" s="2"/>
    </row>
    <row r="638" spans="1:9" x14ac:dyDescent="0.25">
      <c r="B638" s="71" t="str">
        <f>IF($A638=0,"",VLOOKUP($A638,'BASE M-OBRA'!$A:$D,2))</f>
        <v/>
      </c>
      <c r="C638" s="2"/>
      <c r="D638" s="108"/>
      <c r="E638" s="70" t="str">
        <f>IF($A638=0,"",VLOOKUP($A638,'BASE M-OBRA'!$A:$D,4))</f>
        <v/>
      </c>
      <c r="F638" s="55" t="str">
        <f t="shared" si="57"/>
        <v/>
      </c>
      <c r="G638" s="106"/>
      <c r="H638" s="56" t="str">
        <f t="shared" si="58"/>
        <v/>
      </c>
      <c r="I638" s="2"/>
    </row>
    <row r="639" spans="1:9" x14ac:dyDescent="0.25">
      <c r="B639" s="72" t="str">
        <f>IF($A639=0,"",VLOOKUP($A639,'BASE M-OBRA'!$A:$D,2))</f>
        <v/>
      </c>
      <c r="C639" s="2"/>
      <c r="D639" s="108"/>
      <c r="E639" s="70" t="str">
        <f>IF($A639=0,"",VLOOKUP($A639,'BASE M-OBRA'!$A:$D,4))</f>
        <v/>
      </c>
      <c r="F639" s="55" t="str">
        <f t="shared" si="57"/>
        <v/>
      </c>
      <c r="G639" s="106"/>
      <c r="H639" s="56" t="str">
        <f t="shared" si="58"/>
        <v/>
      </c>
      <c r="I639" s="2"/>
    </row>
    <row r="640" spans="1:9" x14ac:dyDescent="0.25">
      <c r="B640" s="38" t="str">
        <f>IF($A640=0,"",VLOOKUP($A640,'BASE M-OBRA'!$A:$D,2))</f>
        <v/>
      </c>
      <c r="C640" s="2"/>
      <c r="D640" s="55"/>
      <c r="E640" s="55" t="str">
        <f>IF($A640=0,"",VLOOKUP($A640,'BASE M-OBRA'!$A:$D,4))</f>
        <v/>
      </c>
      <c r="F640" s="55" t="str">
        <f t="shared" si="57"/>
        <v/>
      </c>
      <c r="G640" s="106"/>
      <c r="H640" s="56" t="str">
        <f t="shared" si="58"/>
        <v/>
      </c>
      <c r="I640" s="2"/>
    </row>
    <row r="641" spans="1:16" x14ac:dyDescent="0.25">
      <c r="B641" s="57" t="str">
        <f>IF($A641=0,"",VLOOKUP($A641,'BASE M-OBRA'!$A:$D,2))</f>
        <v/>
      </c>
      <c r="C641" s="58"/>
      <c r="D641" s="59"/>
      <c r="E641" s="59" t="str">
        <f>IF($A641=0,"",VLOOKUP($A641,'BASE M-OBRA'!$A:$D,4))</f>
        <v/>
      </c>
      <c r="F641" s="59" t="str">
        <f t="shared" si="57"/>
        <v/>
      </c>
      <c r="G641" s="107"/>
      <c r="H641" s="60" t="str">
        <f t="shared" si="58"/>
        <v/>
      </c>
      <c r="I641" s="2"/>
    </row>
    <row r="642" spans="1:16" x14ac:dyDescent="0.25">
      <c r="B642" s="73" t="s">
        <v>1685</v>
      </c>
      <c r="C642" s="65"/>
      <c r="D642" s="74"/>
      <c r="E642" s="74"/>
      <c r="F642" s="74"/>
      <c r="G642" s="74"/>
      <c r="H642" s="75">
        <f>ROUND(SUM(H634:H641),2)</f>
        <v>11.22</v>
      </c>
      <c r="I642" s="2"/>
    </row>
    <row r="643" spans="1:16" x14ac:dyDescent="0.25">
      <c r="B643" s="38" t="s">
        <v>1684</v>
      </c>
      <c r="C643" s="2"/>
      <c r="D643" s="3"/>
      <c r="E643" s="3"/>
      <c r="F643" s="3"/>
      <c r="G643" s="3"/>
      <c r="H643" s="56"/>
      <c r="I643" s="2"/>
    </row>
    <row r="644" spans="1:16" ht="25.5" x14ac:dyDescent="0.25">
      <c r="B644" s="64" t="s">
        <v>1409</v>
      </c>
      <c r="C644" s="65"/>
      <c r="D644" s="76"/>
      <c r="E644" s="66" t="s">
        <v>1408</v>
      </c>
      <c r="F644" s="66" t="s">
        <v>1679</v>
      </c>
      <c r="G644" s="66" t="s">
        <v>1683</v>
      </c>
      <c r="H644" s="68" t="s">
        <v>1675</v>
      </c>
      <c r="I644" s="2"/>
    </row>
    <row r="645" spans="1:16" x14ac:dyDescent="0.25">
      <c r="A645" s="103">
        <v>1</v>
      </c>
      <c r="B645" s="26" t="s">
        <v>588</v>
      </c>
      <c r="C645" s="2"/>
      <c r="D645" s="77"/>
      <c r="E645" s="78" t="s">
        <v>25</v>
      </c>
      <c r="F645" s="55">
        <v>3</v>
      </c>
      <c r="G645" s="55">
        <f>6.44/3</f>
        <v>2.1466666666666669</v>
      </c>
      <c r="H645" s="56">
        <f t="shared" ref="H645:H659" si="59">IF($A645=0,"",ROUND(F645*G645,2))</f>
        <v>6.44</v>
      </c>
      <c r="I645" s="2"/>
      <c r="J645" s="2">
        <f>5.88/3</f>
        <v>1.96</v>
      </c>
      <c r="L645" s="2"/>
      <c r="M645" s="2"/>
      <c r="N645" s="39"/>
      <c r="O645" s="2"/>
      <c r="P645" s="2"/>
    </row>
    <row r="646" spans="1:16" x14ac:dyDescent="0.25">
      <c r="A646" s="103">
        <v>1</v>
      </c>
      <c r="B646" s="38" t="s">
        <v>589</v>
      </c>
      <c r="C646" s="2"/>
      <c r="D646" s="77"/>
      <c r="E646" s="78" t="s">
        <v>5</v>
      </c>
      <c r="F646" s="55">
        <v>1</v>
      </c>
      <c r="G646" s="55">
        <v>1.8</v>
      </c>
      <c r="H646" s="56">
        <f t="shared" si="59"/>
        <v>1.8</v>
      </c>
      <c r="I646" s="2"/>
      <c r="J646" s="2">
        <f>3.36/1.12</f>
        <v>2.9999999999999996</v>
      </c>
      <c r="L646" s="2"/>
      <c r="M646" s="2"/>
      <c r="N646" s="39"/>
      <c r="O646" s="2"/>
      <c r="P646" s="2"/>
    </row>
    <row r="647" spans="1:16" x14ac:dyDescent="0.25">
      <c r="B647" s="38"/>
      <c r="C647" s="2"/>
      <c r="D647" s="77"/>
      <c r="E647" s="78"/>
      <c r="F647" s="55"/>
      <c r="G647" s="55"/>
      <c r="H647" s="56" t="str">
        <f t="shared" si="59"/>
        <v/>
      </c>
      <c r="I647" s="2"/>
      <c r="J647" s="2"/>
      <c r="L647" s="2"/>
      <c r="M647" s="2"/>
      <c r="N647" s="39"/>
      <c r="O647" s="2"/>
      <c r="P647" s="2"/>
    </row>
    <row r="648" spans="1:16" x14ac:dyDescent="0.25">
      <c r="B648" s="38"/>
      <c r="C648" s="2"/>
      <c r="D648" s="77"/>
      <c r="E648" s="78"/>
      <c r="F648" s="55"/>
      <c r="G648" s="55"/>
      <c r="H648" s="56" t="str">
        <f t="shared" si="59"/>
        <v/>
      </c>
      <c r="I648" s="2"/>
      <c r="J648" s="2">
        <f>+J645/1.5</f>
        <v>1.3066666666666666</v>
      </c>
      <c r="L648" s="2"/>
      <c r="M648" s="2"/>
      <c r="N648" s="39"/>
      <c r="O648" s="2"/>
      <c r="P648" s="2"/>
    </row>
    <row r="649" spans="1:16" x14ac:dyDescent="0.25">
      <c r="B649" s="38"/>
      <c r="C649" s="2"/>
      <c r="D649" s="77"/>
      <c r="E649" s="78"/>
      <c r="F649" s="55"/>
      <c r="G649" s="55"/>
      <c r="H649" s="56" t="str">
        <f t="shared" si="59"/>
        <v/>
      </c>
      <c r="I649" s="2"/>
      <c r="J649" s="2"/>
      <c r="L649" s="2"/>
      <c r="M649" s="2"/>
      <c r="N649" s="39"/>
      <c r="O649" s="2"/>
      <c r="P649" s="2"/>
    </row>
    <row r="650" spans="1:16" x14ac:dyDescent="0.25">
      <c r="B650" s="38"/>
      <c r="C650" s="2"/>
      <c r="D650" s="77"/>
      <c r="E650" s="78"/>
      <c r="F650" s="55"/>
      <c r="G650" s="55"/>
      <c r="H650" s="56" t="str">
        <f t="shared" si="59"/>
        <v/>
      </c>
      <c r="I650" s="2"/>
      <c r="L650" s="2"/>
      <c r="M650" s="2"/>
      <c r="N650" s="39"/>
      <c r="O650" s="2"/>
      <c r="P650" s="2"/>
    </row>
    <row r="651" spans="1:16" x14ac:dyDescent="0.25">
      <c r="A651" s="103">
        <v>1</v>
      </c>
      <c r="B651" s="38" t="s">
        <v>4</v>
      </c>
      <c r="C651" s="2"/>
      <c r="D651" s="77"/>
      <c r="E651" s="78" t="s">
        <v>2</v>
      </c>
      <c r="F651" s="55">
        <v>0.06</v>
      </c>
      <c r="G651" s="55">
        <v>12.63</v>
      </c>
      <c r="H651" s="56">
        <f t="shared" si="59"/>
        <v>0.76</v>
      </c>
      <c r="I651" s="2"/>
      <c r="L651" s="2"/>
      <c r="M651" s="2"/>
      <c r="N651" s="39"/>
      <c r="O651" s="2"/>
      <c r="P651" s="2"/>
    </row>
    <row r="652" spans="1:16" x14ac:dyDescent="0.25">
      <c r="A652" s="103">
        <v>1</v>
      </c>
      <c r="B652" s="38" t="s">
        <v>3</v>
      </c>
      <c r="C652" s="2"/>
      <c r="D652" s="77"/>
      <c r="E652" s="78" t="s">
        <v>2</v>
      </c>
      <c r="F652" s="55">
        <v>0.03</v>
      </c>
      <c r="G652" s="55">
        <v>6.89</v>
      </c>
      <c r="H652" s="56">
        <f t="shared" si="59"/>
        <v>0.21</v>
      </c>
      <c r="I652" s="2"/>
      <c r="L652" s="2"/>
      <c r="M652" s="2"/>
      <c r="N652" s="39"/>
      <c r="O652" s="2"/>
      <c r="P652" s="2"/>
    </row>
    <row r="653" spans="1:16" x14ac:dyDescent="0.25">
      <c r="B653" s="38"/>
      <c r="C653" s="2"/>
      <c r="D653" s="77"/>
      <c r="E653" s="78"/>
      <c r="F653" s="55"/>
      <c r="G653" s="55"/>
      <c r="H653" s="56" t="str">
        <f t="shared" si="59"/>
        <v/>
      </c>
      <c r="I653" s="2"/>
    </row>
    <row r="654" spans="1:16" x14ac:dyDescent="0.25">
      <c r="B654" s="38" t="str">
        <f>IF($A654=0,"",VLOOKUP($A654,'BASE MATERIAL'!$A:$D,2))</f>
        <v/>
      </c>
      <c r="C654" s="2"/>
      <c r="D654" s="77"/>
      <c r="E654" s="78" t="str">
        <f>IF($A654=0,"",VLOOKUP($A654,'BASE MATERIAL'!$A:$D,3))</f>
        <v/>
      </c>
      <c r="F654" s="55"/>
      <c r="G654" s="55" t="str">
        <f>IF($A654=0,"",VLOOKUP($A654,'BASE MATERIAL'!$A:$D,4))</f>
        <v/>
      </c>
      <c r="H654" s="56" t="str">
        <f t="shared" si="59"/>
        <v/>
      </c>
      <c r="I654" s="2"/>
      <c r="L654" s="2"/>
      <c r="M654" s="2"/>
      <c r="N654" s="39"/>
      <c r="O654" s="2"/>
      <c r="P654" s="2"/>
    </row>
    <row r="655" spans="1:16" x14ac:dyDescent="0.25">
      <c r="B655" s="38" t="str">
        <f>IF($A655=0,"",VLOOKUP($A655,'BASE MATERIAL'!$A:$D,2))</f>
        <v/>
      </c>
      <c r="C655" s="2"/>
      <c r="D655" s="77"/>
      <c r="E655" s="78" t="str">
        <f>IF($A655=0,"",VLOOKUP($A655,'BASE MATERIAL'!$A:$D,3))</f>
        <v/>
      </c>
      <c r="F655" s="55"/>
      <c r="G655" s="55" t="str">
        <f>IF($A655=0,"",VLOOKUP($A655,'BASE MATERIAL'!$A:$D,4))</f>
        <v/>
      </c>
      <c r="H655" s="56" t="str">
        <f t="shared" si="59"/>
        <v/>
      </c>
      <c r="I655" s="2"/>
      <c r="L655" s="2"/>
      <c r="M655" s="2"/>
      <c r="N655" s="39"/>
      <c r="O655" s="2"/>
      <c r="P655" s="2"/>
    </row>
    <row r="656" spans="1:16" x14ac:dyDescent="0.25">
      <c r="B656" s="38" t="str">
        <f>IF($A656=0,"",VLOOKUP($A656,'BASE MATERIAL'!$A:$D,2))</f>
        <v/>
      </c>
      <c r="C656" s="2"/>
      <c r="D656" s="77"/>
      <c r="E656" s="78" t="str">
        <f>IF($A656=0,"",VLOOKUP($A656,'BASE MATERIAL'!$A:$D,3))</f>
        <v/>
      </c>
      <c r="F656" s="55"/>
      <c r="G656" s="55" t="str">
        <f>IF($A656=0,"",VLOOKUP($A656,'BASE MATERIAL'!$A:$D,4))</f>
        <v/>
      </c>
      <c r="H656" s="56" t="str">
        <f t="shared" si="59"/>
        <v/>
      </c>
      <c r="I656" s="2"/>
    </row>
    <row r="657" spans="1:9" x14ac:dyDescent="0.25">
      <c r="B657" s="38" t="str">
        <f>IF($A657=0,"",VLOOKUP($A657,'BASE MATERIAL'!$A:$D,2))</f>
        <v/>
      </c>
      <c r="C657" s="2"/>
      <c r="D657" s="77"/>
      <c r="E657" s="78" t="str">
        <f>IF($A657=0,"",VLOOKUP($A657,'BASE MATERIAL'!$A:$D,3))</f>
        <v/>
      </c>
      <c r="F657" s="55"/>
      <c r="G657" s="55" t="str">
        <f>IF($A657=0,"",VLOOKUP($A657,'BASE MATERIAL'!$A:$D,4))</f>
        <v/>
      </c>
      <c r="H657" s="56" t="str">
        <f t="shared" si="59"/>
        <v/>
      </c>
      <c r="I657" s="2"/>
    </row>
    <row r="658" spans="1:9" x14ac:dyDescent="0.25">
      <c r="B658" s="38" t="str">
        <f>IF($A658=0,"",VLOOKUP($A658,'BASE MATERIAL'!$A:$D,2))</f>
        <v/>
      </c>
      <c r="C658" s="2"/>
      <c r="D658" s="77"/>
      <c r="E658" s="78" t="str">
        <f>IF($A658=0,"",VLOOKUP($A658,'BASE MATERIAL'!$A:$D,3))</f>
        <v/>
      </c>
      <c r="F658" s="55"/>
      <c r="G658" s="55" t="str">
        <f>IF($A658=0,"",VLOOKUP($A658,'BASE MATERIAL'!$A:$D,4))</f>
        <v/>
      </c>
      <c r="H658" s="56" t="str">
        <f t="shared" si="59"/>
        <v/>
      </c>
      <c r="I658" s="2"/>
    </row>
    <row r="659" spans="1:9" x14ac:dyDescent="0.25">
      <c r="B659" s="38" t="str">
        <f>IF($A659=0,"",VLOOKUP($A659,'BASE MATERIAL'!$A:$D,2))</f>
        <v/>
      </c>
      <c r="C659" s="2"/>
      <c r="D659" s="77"/>
      <c r="E659" s="78" t="str">
        <f>IF($A659=0,"",VLOOKUP($A659,'BASE MATERIAL'!$A:$D,3))</f>
        <v/>
      </c>
      <c r="F659" s="55"/>
      <c r="G659" s="55" t="str">
        <f>IF($A659=0,"",VLOOKUP($A659,'BASE MATERIAL'!$A:$D,4))</f>
        <v/>
      </c>
      <c r="H659" s="56" t="str">
        <f t="shared" si="59"/>
        <v/>
      </c>
      <c r="I659" s="2"/>
    </row>
    <row r="660" spans="1:9" x14ac:dyDescent="0.25">
      <c r="B660" s="38" t="str">
        <f>IF($A660=0,"",VLOOKUP($A660,'BASE MATERIAL'!$A:$D,2))</f>
        <v/>
      </c>
      <c r="C660" s="2"/>
      <c r="D660" s="81" t="s">
        <v>1682</v>
      </c>
      <c r="E660" s="55" t="str">
        <f>IF($A660=0,"",VLOOKUP($A660,'BASE MATERIAL'!$A:$D,3))</f>
        <v/>
      </c>
      <c r="F660" s="55" t="s">
        <v>1682</v>
      </c>
      <c r="G660" s="55" t="str">
        <f>IF($A660=0,"",VLOOKUP($A660,'BASE MATERIAL'!$A:$D,4))</f>
        <v/>
      </c>
      <c r="H660" s="56" t="str">
        <f>IF($A660=0,"",ROUND(E660*F660,2))</f>
        <v/>
      </c>
      <c r="I660" s="2"/>
    </row>
    <row r="661" spans="1:9" x14ac:dyDescent="0.25">
      <c r="B661" s="73" t="s">
        <v>1681</v>
      </c>
      <c r="C661" s="65"/>
      <c r="D661" s="74"/>
      <c r="E661" s="74"/>
      <c r="F661" s="74"/>
      <c r="G661" s="74"/>
      <c r="H661" s="75">
        <f>ROUND(SUM(H644:H660),2)</f>
        <v>9.2100000000000009</v>
      </c>
      <c r="I661" s="2"/>
    </row>
    <row r="662" spans="1:9" x14ac:dyDescent="0.25">
      <c r="B662" s="38" t="s">
        <v>1680</v>
      </c>
      <c r="C662" s="2"/>
      <c r="D662" s="3"/>
      <c r="E662" s="3"/>
      <c r="F662" s="3"/>
      <c r="G662" s="3"/>
      <c r="H662" s="56"/>
      <c r="I662" s="2"/>
    </row>
    <row r="663" spans="1:9" ht="25.5" x14ac:dyDescent="0.25">
      <c r="B663" s="64" t="s">
        <v>1409</v>
      </c>
      <c r="C663" s="65"/>
      <c r="D663" s="76"/>
      <c r="E663" s="66" t="s">
        <v>1408</v>
      </c>
      <c r="F663" s="66" t="s">
        <v>1679</v>
      </c>
      <c r="G663" s="66" t="s">
        <v>1676</v>
      </c>
      <c r="H663" s="68" t="s">
        <v>1675</v>
      </c>
      <c r="I663" s="2"/>
    </row>
    <row r="664" spans="1:9" x14ac:dyDescent="0.25">
      <c r="A664" s="103">
        <v>19019</v>
      </c>
      <c r="B664" s="51" t="str">
        <f>IF($A664=0,"",VLOOKUP($A664,'BASE EQUIPO'!$A:$D,2))</f>
        <v>TRANSPORTE DE MATERIAL</v>
      </c>
      <c r="C664" s="52"/>
      <c r="D664" s="82"/>
      <c r="E664" s="78" t="str">
        <f>IF($A664=0,"",VLOOKUP($A664,'BASE EQUIPO'!$A:$D,3))</f>
        <v>GLOBAL</v>
      </c>
      <c r="F664" s="55">
        <v>1</v>
      </c>
      <c r="G664" s="83">
        <f>IF($A664=0,"",VLOOKUP($A664,'BASE EQUIPO'!$A:$D,4)*H661)</f>
        <v>0.27629999999999999</v>
      </c>
      <c r="H664" s="56">
        <f>IF($A664=0,"",ROUND(F664*G664,2))</f>
        <v>0.28000000000000003</v>
      </c>
      <c r="I664" s="2"/>
    </row>
    <row r="665" spans="1:9" x14ac:dyDescent="0.25">
      <c r="B665" s="38" t="str">
        <f>IF($A665=0,"",VLOOKUP($A665,'BASE EQUIPO'!$A:$D,2))</f>
        <v/>
      </c>
      <c r="C665" s="2"/>
      <c r="D665" s="84"/>
      <c r="E665" s="78" t="str">
        <f>IF($A665=0,"",VLOOKUP($A665,'BASE EQUIPO'!$A:$D,3))</f>
        <v/>
      </c>
      <c r="F665" s="55"/>
      <c r="G665" s="55" t="str">
        <f>IF($A665=0,"",VLOOKUP($A665,'BASE EQUIPO'!$A:$D,4)*H662)</f>
        <v/>
      </c>
      <c r="H665" s="56" t="str">
        <f>IF($A665=0,"",ROUND(F665*G665,2))</f>
        <v/>
      </c>
      <c r="I665" s="2"/>
    </row>
    <row r="666" spans="1:9" x14ac:dyDescent="0.25">
      <c r="B666" s="57" t="str">
        <f>IF($A666=0,"",VLOOKUP($A666,'BASE EQUIPO'!$A:$D,2))</f>
        <v/>
      </c>
      <c r="C666" s="58"/>
      <c r="D666" s="85"/>
      <c r="E666" s="86" t="str">
        <f>IF($A666=0,"",VLOOKUP($A666,'BASE EQUIPO'!$A:$D,3))</f>
        <v/>
      </c>
      <c r="F666" s="59"/>
      <c r="G666" s="59" t="str">
        <f>IF($A666=0,"",VLOOKUP($A666,'BASE EQUIPO'!$A:$D,4)*H663)</f>
        <v/>
      </c>
      <c r="H666" s="60" t="str">
        <f>IF($A666=0,"",ROUND(F666*G666,2))</f>
        <v/>
      </c>
      <c r="I666" s="2"/>
    </row>
    <row r="667" spans="1:9" ht="15.75" thickBot="1" x14ac:dyDescent="0.3">
      <c r="B667" s="87" t="s">
        <v>1674</v>
      </c>
      <c r="C667" s="88"/>
      <c r="D667" s="89"/>
      <c r="E667" s="89"/>
      <c r="F667" s="89"/>
      <c r="G667" s="89"/>
      <c r="H667" s="90">
        <f>ROUND(SUM(H663:H666),2)</f>
        <v>0.28000000000000003</v>
      </c>
      <c r="I667" s="2"/>
    </row>
    <row r="668" spans="1:9" ht="15.75" x14ac:dyDescent="0.25">
      <c r="B668" s="2"/>
      <c r="C668" s="2"/>
      <c r="D668" s="91" t="s">
        <v>1673</v>
      </c>
      <c r="E668" s="47"/>
      <c r="F668" s="47"/>
      <c r="G668" s="47"/>
      <c r="H668" s="92">
        <f>ROUND(SUM(H667,H661,H642,H632),2)</f>
        <v>21.05</v>
      </c>
      <c r="I668" s="2"/>
    </row>
    <row r="669" spans="1:9" ht="15.75" x14ac:dyDescent="0.25">
      <c r="A669" s="103">
        <v>40002</v>
      </c>
      <c r="B669" s="2"/>
      <c r="C669" s="2"/>
      <c r="D669" s="93" t="s">
        <v>1672</v>
      </c>
      <c r="E669" s="65"/>
      <c r="F669" s="65"/>
      <c r="G669" s="94">
        <f>IF($A669=0,"",VLOOKUP($A669,'BASE MATERIAL'!$M:$P,4))</f>
        <v>0</v>
      </c>
      <c r="H669" s="95">
        <f>IF($A669=0,"",ROUND(G669*H668,2))</f>
        <v>0</v>
      </c>
      <c r="I669" s="2"/>
    </row>
    <row r="670" spans="1:9" ht="15.75" x14ac:dyDescent="0.25">
      <c r="A670" s="103">
        <v>40003</v>
      </c>
      <c r="B670" s="2"/>
      <c r="C670" s="2"/>
      <c r="D670" s="93" t="s">
        <v>1671</v>
      </c>
      <c r="E670" s="65"/>
      <c r="F670" s="65"/>
      <c r="G670" s="94">
        <f>IF($A670=0,"",VLOOKUP($A670,'BASE MATERIAL'!$M:$P,4))</f>
        <v>0</v>
      </c>
      <c r="H670" s="95">
        <f>IF($A670=0,"",ROUND(G670*H668,2))</f>
        <v>0</v>
      </c>
      <c r="I670" s="2"/>
    </row>
    <row r="671" spans="1:9" ht="15.75" x14ac:dyDescent="0.25">
      <c r="B671" s="2"/>
      <c r="C671" s="2"/>
      <c r="D671" s="93" t="s">
        <v>1670</v>
      </c>
      <c r="E671" s="65"/>
      <c r="F671" s="65"/>
      <c r="G671" s="65"/>
      <c r="H671" s="96">
        <f>ROUND(SUM(H668:H670),2)</f>
        <v>21.05</v>
      </c>
      <c r="I671" s="2"/>
    </row>
    <row r="672" spans="1:9" ht="16.5" thickBot="1" x14ac:dyDescent="0.3">
      <c r="B672" s="25"/>
      <c r="C672" s="2"/>
      <c r="D672" s="97" t="s">
        <v>1650</v>
      </c>
      <c r="E672" s="88"/>
      <c r="F672" s="88"/>
      <c r="G672" s="88"/>
      <c r="H672" s="98">
        <f>ROUND(H671,2)</f>
        <v>21.05</v>
      </c>
      <c r="I672" s="2"/>
    </row>
    <row r="673" spans="1:15" ht="15.75" x14ac:dyDescent="0.25">
      <c r="B673" s="34" t="s">
        <v>1701</v>
      </c>
      <c r="C673" s="2"/>
      <c r="D673" s="3" t="str">
        <f>$D$57</f>
        <v>ESPOL</v>
      </c>
      <c r="E673" s="2"/>
      <c r="F673" s="2"/>
      <c r="H673" s="2" t="s">
        <v>108</v>
      </c>
      <c r="I673" s="2"/>
      <c r="L673" s="40">
        <f>A677</f>
        <v>17</v>
      </c>
      <c r="M673" s="1" t="str">
        <f>C678</f>
        <v>Bajante drenaje AA.CC. PVC des d= 2"</v>
      </c>
      <c r="N673" s="2" t="str">
        <f>H677</f>
        <v>ml</v>
      </c>
      <c r="O673" s="2">
        <f>H728</f>
        <v>9.31</v>
      </c>
    </row>
    <row r="674" spans="1:15" ht="15.75" x14ac:dyDescent="0.25">
      <c r="B674" s="34" t="s">
        <v>1700</v>
      </c>
      <c r="C674" s="3">
        <f>'1.1'!$C$2</f>
        <v>0</v>
      </c>
      <c r="D674" s="2"/>
      <c r="E674" s="2"/>
      <c r="F674" s="2"/>
      <c r="G674" s="41" t="s">
        <v>1699</v>
      </c>
      <c r="H674" s="42"/>
      <c r="I674" s="2" t="s">
        <v>1698</v>
      </c>
    </row>
    <row r="675" spans="1:15" ht="15.75" x14ac:dyDescent="0.25">
      <c r="B675" s="34"/>
      <c r="C675" s="3">
        <f>'1.1'!$C$3</f>
        <v>0</v>
      </c>
      <c r="D675" s="2"/>
      <c r="E675" s="2"/>
      <c r="F675" s="2"/>
      <c r="G675" s="2"/>
      <c r="H675" s="2"/>
      <c r="I675" s="2"/>
    </row>
    <row r="676" spans="1:15" ht="15.75" x14ac:dyDescent="0.25">
      <c r="B676" s="34" t="s">
        <v>1697</v>
      </c>
      <c r="C676" s="3"/>
      <c r="D676" s="2"/>
      <c r="E676" s="2"/>
      <c r="F676" s="2"/>
      <c r="G676" s="2"/>
      <c r="H676" s="2"/>
      <c r="I676" s="2"/>
    </row>
    <row r="677" spans="1:15" x14ac:dyDescent="0.25">
      <c r="A677" s="104">
        <v>17</v>
      </c>
      <c r="B677" s="2" t="s">
        <v>1586</v>
      </c>
      <c r="C677" s="101" t="s">
        <v>1658</v>
      </c>
      <c r="D677" s="2"/>
      <c r="G677" s="2" t="s">
        <v>1696</v>
      </c>
      <c r="H677" s="3" t="s">
        <v>961</v>
      </c>
      <c r="I677" s="2"/>
    </row>
    <row r="678" spans="1:15" x14ac:dyDescent="0.25">
      <c r="B678" s="1" t="s">
        <v>1585</v>
      </c>
      <c r="C678" s="36" t="s">
        <v>1461</v>
      </c>
      <c r="D678" s="2"/>
      <c r="E678" s="2"/>
      <c r="F678" s="2"/>
      <c r="G678" s="2"/>
      <c r="H678" s="2"/>
      <c r="I678" s="2"/>
    </row>
    <row r="679" spans="1:15" ht="15.75" thickBot="1" x14ac:dyDescent="0.3">
      <c r="D679" s="2"/>
      <c r="E679" s="2"/>
      <c r="F679" s="2"/>
      <c r="G679" s="2"/>
      <c r="H679" s="2"/>
      <c r="I679" s="2"/>
    </row>
    <row r="680" spans="1:15" ht="15.75" thickBot="1" x14ac:dyDescent="0.3">
      <c r="B680" s="43" t="s">
        <v>1695</v>
      </c>
      <c r="C680" s="44"/>
      <c r="D680" s="44"/>
      <c r="E680" s="44"/>
      <c r="F680" s="44"/>
      <c r="G680" s="44"/>
      <c r="H680" s="45"/>
      <c r="I680" s="2"/>
    </row>
    <row r="681" spans="1:15" ht="25.5" x14ac:dyDescent="0.25">
      <c r="B681" s="46" t="s">
        <v>1409</v>
      </c>
      <c r="C681" s="47"/>
      <c r="D681" s="48" t="s">
        <v>1690</v>
      </c>
      <c r="E681" s="48" t="s">
        <v>1694</v>
      </c>
      <c r="F681" s="48" t="s">
        <v>1693</v>
      </c>
      <c r="G681" s="49" t="s">
        <v>1687</v>
      </c>
      <c r="H681" s="50" t="s">
        <v>1686</v>
      </c>
      <c r="I681" s="2"/>
    </row>
    <row r="682" spans="1:15" x14ac:dyDescent="0.25">
      <c r="A682" s="103">
        <v>19015</v>
      </c>
      <c r="B682" s="51" t="str">
        <f>IF($A682=0,"",VLOOKUP($A682,'BASE EQUIPO'!$A:$D,2))</f>
        <v>HERRAMIENTA MENOR</v>
      </c>
      <c r="C682" s="52"/>
      <c r="D682" s="53">
        <v>1</v>
      </c>
      <c r="E682" s="53">
        <f>IF($A682=0,"",VLOOKUP($A682,'BASE EQUIPO'!$A:$D,4)*H698)</f>
        <v>0.16830000000000001</v>
      </c>
      <c r="F682" s="53">
        <f t="shared" ref="F682:F687" si="60">IF($A682=0,"",ROUND(D682*E682,2))</f>
        <v>0.17</v>
      </c>
      <c r="G682" s="105">
        <v>1</v>
      </c>
      <c r="H682" s="54">
        <f t="shared" ref="H682:H687" si="61">IF($A682=0,"",ROUND(G682*F682,2))</f>
        <v>0.17</v>
      </c>
      <c r="I682" s="2"/>
    </row>
    <row r="683" spans="1:15" x14ac:dyDescent="0.25">
      <c r="B683" s="38" t="str">
        <f>IF($A683=0,"",VLOOKUP($A683,'BASE EQUIPO'!$A:$D,2))</f>
        <v/>
      </c>
      <c r="C683" s="2"/>
      <c r="D683" s="55"/>
      <c r="E683" s="55" t="str">
        <f>IF($A683=0,"",VLOOKUP($A683,'BASE EQUIPO'!$A:$D,4))</f>
        <v/>
      </c>
      <c r="F683" s="55" t="str">
        <f t="shared" si="60"/>
        <v/>
      </c>
      <c r="G683" s="106"/>
      <c r="H683" s="56" t="str">
        <f t="shared" si="61"/>
        <v/>
      </c>
      <c r="I683" s="2"/>
    </row>
    <row r="684" spans="1:15" x14ac:dyDescent="0.25">
      <c r="B684" s="38" t="str">
        <f>IF($A684=0,"",VLOOKUP($A684,'BASE EQUIPO'!$A:$D,2))</f>
        <v/>
      </c>
      <c r="C684" s="2"/>
      <c r="D684" s="55"/>
      <c r="E684" s="55" t="str">
        <f>IF($A684=0,"",VLOOKUP($A684,'BASE EQUIPO'!$A:$D,4))</f>
        <v/>
      </c>
      <c r="F684" s="55" t="str">
        <f t="shared" si="60"/>
        <v/>
      </c>
      <c r="G684" s="106"/>
      <c r="H684" s="56" t="str">
        <f t="shared" si="61"/>
        <v/>
      </c>
      <c r="I684" s="2"/>
    </row>
    <row r="685" spans="1:15" x14ac:dyDescent="0.25">
      <c r="B685" s="38" t="str">
        <f>IF($A685=0,"",VLOOKUP($A685,'BASE EQUIPO'!$A:$D,2))</f>
        <v/>
      </c>
      <c r="C685" s="2"/>
      <c r="D685" s="55"/>
      <c r="E685" s="55" t="str">
        <f>IF($A685=0,"",VLOOKUP($A685,'BASE EQUIPO'!$A:$D,4))</f>
        <v/>
      </c>
      <c r="F685" s="55" t="str">
        <f t="shared" si="60"/>
        <v/>
      </c>
      <c r="G685" s="106"/>
      <c r="H685" s="56" t="str">
        <f t="shared" si="61"/>
        <v/>
      </c>
      <c r="I685" s="2"/>
    </row>
    <row r="686" spans="1:15" x14ac:dyDescent="0.25">
      <c r="B686" s="38" t="str">
        <f>IF($A686=0,"",VLOOKUP($A686,'BASE EQUIPO'!$A:$D,2))</f>
        <v/>
      </c>
      <c r="C686" s="2"/>
      <c r="D686" s="55"/>
      <c r="E686" s="55" t="str">
        <f>IF($A686=0,"",VLOOKUP($A686,'BASE EQUIPO'!$A:$D,4))</f>
        <v/>
      </c>
      <c r="F686" s="55" t="str">
        <f t="shared" si="60"/>
        <v/>
      </c>
      <c r="G686" s="106"/>
      <c r="H686" s="56" t="str">
        <f t="shared" si="61"/>
        <v/>
      </c>
      <c r="I686" s="2"/>
    </row>
    <row r="687" spans="1:15" x14ac:dyDescent="0.25">
      <c r="B687" s="57" t="str">
        <f>IF($A687=0,"",VLOOKUP($A687,'BASE EQUIPO'!$A:$D,2))</f>
        <v/>
      </c>
      <c r="C687" s="58"/>
      <c r="D687" s="59"/>
      <c r="E687" s="59" t="str">
        <f>IF($A687=0,"",VLOOKUP($A687,'BASE EQUIPO'!$A:$D,4))</f>
        <v/>
      </c>
      <c r="F687" s="59" t="str">
        <f t="shared" si="60"/>
        <v/>
      </c>
      <c r="G687" s="107"/>
      <c r="H687" s="60" t="str">
        <f t="shared" si="61"/>
        <v/>
      </c>
      <c r="I687" s="2"/>
    </row>
    <row r="688" spans="1:15" x14ac:dyDescent="0.25">
      <c r="B688" s="57" t="s">
        <v>1692</v>
      </c>
      <c r="C688" s="58"/>
      <c r="D688" s="61"/>
      <c r="E688" s="61"/>
      <c r="F688" s="61"/>
      <c r="G688" s="62"/>
      <c r="H688" s="60">
        <f>ROUND(SUM(H681:H687),2)</f>
        <v>0.17</v>
      </c>
      <c r="I688" s="2"/>
    </row>
    <row r="689" spans="1:16" x14ac:dyDescent="0.25">
      <c r="B689" s="38" t="s">
        <v>1503</v>
      </c>
      <c r="C689" s="2"/>
      <c r="D689" s="3"/>
      <c r="E689" s="3"/>
      <c r="F689" s="3"/>
      <c r="G689" s="63"/>
      <c r="H689" s="56"/>
      <c r="I689" s="2"/>
    </row>
    <row r="690" spans="1:16" ht="25.5" x14ac:dyDescent="0.25">
      <c r="B690" s="64" t="s">
        <v>1691</v>
      </c>
      <c r="C690" s="65"/>
      <c r="D690" s="66" t="s">
        <v>1690</v>
      </c>
      <c r="E690" s="66" t="s">
        <v>1689</v>
      </c>
      <c r="F690" s="66" t="s">
        <v>1688</v>
      </c>
      <c r="G690" s="67" t="s">
        <v>1687</v>
      </c>
      <c r="H690" s="68" t="s">
        <v>1686</v>
      </c>
      <c r="I690" s="2"/>
    </row>
    <row r="691" spans="1:16" x14ac:dyDescent="0.25">
      <c r="B691" s="69" t="str">
        <f>IF($A691=0,"",VLOOKUP($A691,'BASE M-OBRA'!$A:$D,2))</f>
        <v/>
      </c>
      <c r="C691" s="2"/>
      <c r="D691" s="108"/>
      <c r="E691" s="70" t="str">
        <f>IF($A691=0,"",VLOOKUP($A691,'BASE M-OBRA'!$A:$D,4))</f>
        <v/>
      </c>
      <c r="F691" s="55" t="str">
        <f t="shared" ref="F691:F697" si="62">IF($A691=0,"",ROUND(D691*E691,2))</f>
        <v/>
      </c>
      <c r="G691" s="106" t="str">
        <f>IF($A691=0,"",ROUND(H691/F691,2))</f>
        <v/>
      </c>
      <c r="H691" s="56" t="str">
        <f>IF($A691=0,"",ROUND(SUM(H692:H697)*'BASE M-OBRA'!$D$23,2))</f>
        <v/>
      </c>
      <c r="I691" s="2"/>
    </row>
    <row r="692" spans="1:16" x14ac:dyDescent="0.25">
      <c r="A692" s="103">
        <v>20011</v>
      </c>
      <c r="B692" s="69" t="str">
        <f>IF($A692=0,"",VLOOKUP($A692,'BASE M-OBRA'!$A:$D,2))</f>
        <v>AYUDANTE ESPECIALISTA</v>
      </c>
      <c r="C692" s="2"/>
      <c r="D692" s="108">
        <v>1</v>
      </c>
      <c r="E692" s="70">
        <f>IF($A692=0,"",VLOOKUP($A692,'BASE M-OBRA'!$A:$D,4))</f>
        <v>2.79</v>
      </c>
      <c r="F692" s="55">
        <f t="shared" si="62"/>
        <v>2.79</v>
      </c>
      <c r="G692" s="106">
        <v>1</v>
      </c>
      <c r="H692" s="56">
        <f t="shared" ref="H692:H697" si="63">IF($A692=0,"",ROUND(G692*F692,2))</f>
        <v>2.79</v>
      </c>
      <c r="I692" s="2"/>
    </row>
    <row r="693" spans="1:16" x14ac:dyDescent="0.25">
      <c r="A693" s="103">
        <v>20016</v>
      </c>
      <c r="B693" s="69" t="str">
        <f>IF($A693=0,"",VLOOKUP($A693,'BASE M-OBRA'!$A:$D,2))</f>
        <v>GAFITERO</v>
      </c>
      <c r="C693" s="2"/>
      <c r="D693" s="108">
        <v>1</v>
      </c>
      <c r="E693" s="70">
        <f>IF($A693=0,"",VLOOKUP($A693,'BASE M-OBRA'!$A:$D,4))</f>
        <v>2.82</v>
      </c>
      <c r="F693" s="55">
        <f t="shared" si="62"/>
        <v>2.82</v>
      </c>
      <c r="G693" s="106">
        <f>+G692</f>
        <v>1</v>
      </c>
      <c r="H693" s="56">
        <f t="shared" si="63"/>
        <v>2.82</v>
      </c>
      <c r="I693" s="2"/>
    </row>
    <row r="694" spans="1:16" x14ac:dyDescent="0.25">
      <c r="B694" s="71" t="str">
        <f>IF($A694=0,"",VLOOKUP($A694,'BASE M-OBRA'!$A:$D,2))</f>
        <v/>
      </c>
      <c r="C694" s="2"/>
      <c r="D694" s="108"/>
      <c r="E694" s="70" t="str">
        <f>IF($A694=0,"",VLOOKUP($A694,'BASE M-OBRA'!$A:$D,4))</f>
        <v/>
      </c>
      <c r="F694" s="55" t="str">
        <f t="shared" si="62"/>
        <v/>
      </c>
      <c r="G694" s="106"/>
      <c r="H694" s="56" t="str">
        <f t="shared" si="63"/>
        <v/>
      </c>
      <c r="I694" s="2"/>
    </row>
    <row r="695" spans="1:16" x14ac:dyDescent="0.25">
      <c r="B695" s="72" t="str">
        <f>IF($A695=0,"",VLOOKUP($A695,'BASE M-OBRA'!$A:$D,2))</f>
        <v/>
      </c>
      <c r="C695" s="2"/>
      <c r="D695" s="108"/>
      <c r="E695" s="70" t="str">
        <f>IF($A695=0,"",VLOOKUP($A695,'BASE M-OBRA'!$A:$D,4))</f>
        <v/>
      </c>
      <c r="F695" s="55" t="str">
        <f t="shared" si="62"/>
        <v/>
      </c>
      <c r="G695" s="106"/>
      <c r="H695" s="56" t="str">
        <f t="shared" si="63"/>
        <v/>
      </c>
      <c r="I695" s="2"/>
    </row>
    <row r="696" spans="1:16" x14ac:dyDescent="0.25">
      <c r="B696" s="38" t="str">
        <f>IF($A696=0,"",VLOOKUP($A696,'BASE M-OBRA'!$A:$D,2))</f>
        <v/>
      </c>
      <c r="C696" s="2"/>
      <c r="D696" s="55"/>
      <c r="E696" s="55" t="str">
        <f>IF($A696=0,"",VLOOKUP($A696,'BASE M-OBRA'!$A:$D,4))</f>
        <v/>
      </c>
      <c r="F696" s="55" t="str">
        <f t="shared" si="62"/>
        <v/>
      </c>
      <c r="G696" s="106"/>
      <c r="H696" s="56" t="str">
        <f t="shared" si="63"/>
        <v/>
      </c>
      <c r="I696" s="2"/>
    </row>
    <row r="697" spans="1:16" x14ac:dyDescent="0.25">
      <c r="B697" s="57" t="str">
        <f>IF($A697=0,"",VLOOKUP($A697,'BASE M-OBRA'!$A:$D,2))</f>
        <v/>
      </c>
      <c r="C697" s="58"/>
      <c r="D697" s="59"/>
      <c r="E697" s="59" t="str">
        <f>IF($A697=0,"",VLOOKUP($A697,'BASE M-OBRA'!$A:$D,4))</f>
        <v/>
      </c>
      <c r="F697" s="59" t="str">
        <f t="shared" si="62"/>
        <v/>
      </c>
      <c r="G697" s="107"/>
      <c r="H697" s="60" t="str">
        <f t="shared" si="63"/>
        <v/>
      </c>
      <c r="I697" s="2"/>
    </row>
    <row r="698" spans="1:16" x14ac:dyDescent="0.25">
      <c r="B698" s="73" t="s">
        <v>1685</v>
      </c>
      <c r="C698" s="65"/>
      <c r="D698" s="74"/>
      <c r="E698" s="74"/>
      <c r="F698" s="74"/>
      <c r="G698" s="74"/>
      <c r="H698" s="75">
        <f>ROUND(SUM(H690:H697),2)</f>
        <v>5.61</v>
      </c>
      <c r="I698" s="2"/>
    </row>
    <row r="699" spans="1:16" x14ac:dyDescent="0.25">
      <c r="B699" s="38" t="s">
        <v>1684</v>
      </c>
      <c r="C699" s="2"/>
      <c r="D699" s="3"/>
      <c r="E699" s="3"/>
      <c r="F699" s="3"/>
      <c r="G699" s="3"/>
      <c r="H699" s="56"/>
      <c r="I699" s="2"/>
    </row>
    <row r="700" spans="1:16" ht="25.5" x14ac:dyDescent="0.25">
      <c r="B700" s="64" t="s">
        <v>1409</v>
      </c>
      <c r="C700" s="65"/>
      <c r="D700" s="76"/>
      <c r="E700" s="66" t="s">
        <v>1408</v>
      </c>
      <c r="F700" s="66" t="s">
        <v>1679</v>
      </c>
      <c r="G700" s="66" t="s">
        <v>1683</v>
      </c>
      <c r="H700" s="68" t="s">
        <v>1675</v>
      </c>
      <c r="I700" s="2"/>
    </row>
    <row r="701" spans="1:16" x14ac:dyDescent="0.25">
      <c r="A701" s="103">
        <v>1</v>
      </c>
      <c r="B701" s="26" t="s">
        <v>26</v>
      </c>
      <c r="C701" s="2"/>
      <c r="D701" s="77"/>
      <c r="E701" s="78" t="s">
        <v>25</v>
      </c>
      <c r="F701" s="55">
        <v>1.05</v>
      </c>
      <c r="G701" s="55">
        <v>1.96</v>
      </c>
      <c r="H701" s="56">
        <f t="shared" ref="H701:H715" si="64">IF($A701=0,"",ROUND(F701*G701,2))</f>
        <v>2.06</v>
      </c>
      <c r="I701" s="2"/>
      <c r="J701" s="1">
        <v>1.25</v>
      </c>
      <c r="L701" s="2"/>
      <c r="M701" s="2"/>
      <c r="N701" s="39"/>
      <c r="O701" s="2"/>
      <c r="P701" s="2"/>
    </row>
    <row r="702" spans="1:16" x14ac:dyDescent="0.25">
      <c r="A702" s="103">
        <v>1</v>
      </c>
      <c r="B702" s="38" t="s">
        <v>661</v>
      </c>
      <c r="C702" s="2"/>
      <c r="D702" s="77"/>
      <c r="E702" s="78" t="s">
        <v>744</v>
      </c>
      <c r="F702" s="55">
        <v>0.5</v>
      </c>
      <c r="G702" s="55">
        <v>0.8</v>
      </c>
      <c r="H702" s="56">
        <f t="shared" si="64"/>
        <v>0.4</v>
      </c>
      <c r="I702" s="2"/>
      <c r="L702" s="2"/>
      <c r="M702" s="2"/>
      <c r="N702" s="39"/>
      <c r="O702" s="2"/>
      <c r="P702" s="2"/>
    </row>
    <row r="703" spans="1:16" x14ac:dyDescent="0.25">
      <c r="B703" s="38"/>
      <c r="C703" s="2"/>
      <c r="D703" s="77"/>
      <c r="E703" s="78"/>
      <c r="F703" s="55"/>
      <c r="G703" s="55"/>
      <c r="H703" s="56" t="str">
        <f t="shared" si="64"/>
        <v/>
      </c>
      <c r="I703" s="2"/>
      <c r="L703" s="2"/>
      <c r="M703" s="2"/>
      <c r="N703" s="39"/>
      <c r="O703" s="2"/>
      <c r="P703" s="2"/>
    </row>
    <row r="704" spans="1:16" x14ac:dyDescent="0.25">
      <c r="A704" s="103">
        <v>1</v>
      </c>
      <c r="B704" s="38" t="s">
        <v>4</v>
      </c>
      <c r="C704" s="2"/>
      <c r="D704" s="77"/>
      <c r="E704" s="78" t="s">
        <v>2</v>
      </c>
      <c r="F704" s="55">
        <v>0.06</v>
      </c>
      <c r="G704" s="55">
        <v>12.63</v>
      </c>
      <c r="H704" s="56">
        <f t="shared" si="64"/>
        <v>0.76</v>
      </c>
      <c r="I704" s="2"/>
      <c r="L704" s="2"/>
      <c r="M704" s="2"/>
      <c r="N704" s="39"/>
      <c r="O704" s="2"/>
      <c r="P704" s="2"/>
    </row>
    <row r="705" spans="1:16" x14ac:dyDescent="0.25">
      <c r="A705" s="103">
        <v>1</v>
      </c>
      <c r="B705" s="38" t="s">
        <v>3</v>
      </c>
      <c r="C705" s="2"/>
      <c r="D705" s="77"/>
      <c r="E705" s="78" t="s">
        <v>2</v>
      </c>
      <c r="F705" s="55">
        <v>0.03</v>
      </c>
      <c r="G705" s="55">
        <v>6.89</v>
      </c>
      <c r="H705" s="56">
        <f t="shared" si="64"/>
        <v>0.21</v>
      </c>
      <c r="I705" s="2"/>
      <c r="L705" s="2"/>
      <c r="M705" s="2"/>
      <c r="N705" s="39"/>
      <c r="O705" s="2"/>
      <c r="P705" s="2"/>
    </row>
    <row r="706" spans="1:16" x14ac:dyDescent="0.25">
      <c r="B706" s="38"/>
      <c r="C706" s="2"/>
      <c r="D706" s="77"/>
      <c r="E706" s="78"/>
      <c r="F706" s="55"/>
      <c r="G706" s="55"/>
      <c r="H706" s="56" t="str">
        <f t="shared" si="64"/>
        <v/>
      </c>
      <c r="I706" s="2"/>
      <c r="L706" s="2"/>
      <c r="M706" s="2"/>
      <c r="N706" s="39"/>
      <c r="O706" s="2"/>
      <c r="P706" s="2"/>
    </row>
    <row r="707" spans="1:16" x14ac:dyDescent="0.25">
      <c r="B707" s="38"/>
      <c r="C707" s="2"/>
      <c r="D707" s="77"/>
      <c r="E707" s="78"/>
      <c r="F707" s="55"/>
      <c r="G707" s="55"/>
      <c r="H707" s="56" t="str">
        <f t="shared" si="64"/>
        <v/>
      </c>
      <c r="I707" s="2"/>
      <c r="L707" s="2"/>
      <c r="M707" s="2"/>
      <c r="N707" s="39"/>
      <c r="O707" s="2"/>
      <c r="P707" s="2"/>
    </row>
    <row r="708" spans="1:16" x14ac:dyDescent="0.25">
      <c r="B708" s="38"/>
      <c r="C708" s="2"/>
      <c r="D708" s="77"/>
      <c r="E708" s="78"/>
      <c r="F708" s="55"/>
      <c r="G708" s="55"/>
      <c r="H708" s="56" t="str">
        <f t="shared" si="64"/>
        <v/>
      </c>
      <c r="I708" s="2"/>
      <c r="L708" s="2"/>
      <c r="M708" s="2"/>
      <c r="N708" s="39"/>
      <c r="O708" s="2"/>
      <c r="P708" s="2"/>
    </row>
    <row r="709" spans="1:16" x14ac:dyDescent="0.25">
      <c r="B709" s="38"/>
      <c r="C709" s="2"/>
      <c r="D709" s="77"/>
      <c r="E709" s="78"/>
      <c r="F709" s="55"/>
      <c r="G709" s="55"/>
      <c r="H709" s="56" t="str">
        <f t="shared" si="64"/>
        <v/>
      </c>
      <c r="I709" s="2"/>
    </row>
    <row r="710" spans="1:16" x14ac:dyDescent="0.25">
      <c r="B710" s="38" t="str">
        <f>IF($A710=0,"",VLOOKUP($A710,'BASE MATERIAL'!$A:$D,2))</f>
        <v/>
      </c>
      <c r="C710" s="2"/>
      <c r="D710" s="77"/>
      <c r="E710" s="78" t="str">
        <f>IF($A710=0,"",VLOOKUP($A710,'BASE MATERIAL'!$A:$D,3))</f>
        <v/>
      </c>
      <c r="F710" s="55"/>
      <c r="G710" s="55" t="str">
        <f>IF($A710=0,"",VLOOKUP($A710,'BASE MATERIAL'!$A:$D,4))</f>
        <v/>
      </c>
      <c r="H710" s="56" t="str">
        <f t="shared" si="64"/>
        <v/>
      </c>
      <c r="I710" s="2"/>
      <c r="L710" s="2"/>
      <c r="M710" s="2"/>
      <c r="N710" s="39"/>
      <c r="O710" s="2"/>
      <c r="P710" s="2"/>
    </row>
    <row r="711" spans="1:16" x14ac:dyDescent="0.25">
      <c r="B711" s="38" t="str">
        <f>IF($A711=0,"",VLOOKUP($A711,'BASE MATERIAL'!$A:$D,2))</f>
        <v/>
      </c>
      <c r="C711" s="2"/>
      <c r="D711" s="77"/>
      <c r="E711" s="78" t="str">
        <f>IF($A711=0,"",VLOOKUP($A711,'BASE MATERIAL'!$A:$D,3))</f>
        <v/>
      </c>
      <c r="F711" s="55"/>
      <c r="G711" s="55" t="str">
        <f>IF($A711=0,"",VLOOKUP($A711,'BASE MATERIAL'!$A:$D,4))</f>
        <v/>
      </c>
      <c r="H711" s="56" t="str">
        <f t="shared" si="64"/>
        <v/>
      </c>
      <c r="I711" s="2"/>
      <c r="L711" s="2"/>
      <c r="M711" s="2"/>
      <c r="N711" s="39"/>
      <c r="O711" s="2"/>
      <c r="P711" s="2"/>
    </row>
    <row r="712" spans="1:16" x14ac:dyDescent="0.25">
      <c r="B712" s="38" t="str">
        <f>IF($A712=0,"",VLOOKUP($A712,'BASE MATERIAL'!$A:$D,2))</f>
        <v/>
      </c>
      <c r="C712" s="2"/>
      <c r="D712" s="77"/>
      <c r="E712" s="78" t="str">
        <f>IF($A712=0,"",VLOOKUP($A712,'BASE MATERIAL'!$A:$D,3))</f>
        <v/>
      </c>
      <c r="F712" s="55"/>
      <c r="G712" s="55" t="str">
        <f>IF($A712=0,"",VLOOKUP($A712,'BASE MATERIAL'!$A:$D,4))</f>
        <v/>
      </c>
      <c r="H712" s="56" t="str">
        <f t="shared" si="64"/>
        <v/>
      </c>
      <c r="I712" s="2"/>
    </row>
    <row r="713" spans="1:16" x14ac:dyDescent="0.25">
      <c r="B713" s="38" t="str">
        <f>IF($A713=0,"",VLOOKUP($A713,'BASE MATERIAL'!$A:$D,2))</f>
        <v/>
      </c>
      <c r="C713" s="2"/>
      <c r="D713" s="77"/>
      <c r="E713" s="78" t="str">
        <f>IF($A713=0,"",VLOOKUP($A713,'BASE MATERIAL'!$A:$D,3))</f>
        <v/>
      </c>
      <c r="F713" s="55"/>
      <c r="G713" s="55" t="str">
        <f>IF($A713=0,"",VLOOKUP($A713,'BASE MATERIAL'!$A:$D,4))</f>
        <v/>
      </c>
      <c r="H713" s="56" t="str">
        <f t="shared" si="64"/>
        <v/>
      </c>
      <c r="I713" s="2"/>
    </row>
    <row r="714" spans="1:16" x14ac:dyDescent="0.25">
      <c r="B714" s="38" t="str">
        <f>IF($A714=0,"",VLOOKUP($A714,'BASE MATERIAL'!$A:$D,2))</f>
        <v/>
      </c>
      <c r="C714" s="2"/>
      <c r="D714" s="77"/>
      <c r="E714" s="78" t="str">
        <f>IF($A714=0,"",VLOOKUP($A714,'BASE MATERIAL'!$A:$D,3))</f>
        <v/>
      </c>
      <c r="F714" s="55"/>
      <c r="G714" s="55" t="str">
        <f>IF($A714=0,"",VLOOKUP($A714,'BASE MATERIAL'!$A:$D,4))</f>
        <v/>
      </c>
      <c r="H714" s="56" t="str">
        <f t="shared" si="64"/>
        <v/>
      </c>
      <c r="I714" s="2"/>
    </row>
    <row r="715" spans="1:16" x14ac:dyDescent="0.25">
      <c r="B715" s="38" t="str">
        <f>IF($A715=0,"",VLOOKUP($A715,'BASE MATERIAL'!$A:$D,2))</f>
        <v/>
      </c>
      <c r="C715" s="2"/>
      <c r="D715" s="77"/>
      <c r="E715" s="78" t="str">
        <f>IF($A715=0,"",VLOOKUP($A715,'BASE MATERIAL'!$A:$D,3))</f>
        <v/>
      </c>
      <c r="F715" s="55"/>
      <c r="G715" s="55" t="str">
        <f>IF($A715=0,"",VLOOKUP($A715,'BASE MATERIAL'!$A:$D,4))</f>
        <v/>
      </c>
      <c r="H715" s="56" t="str">
        <f t="shared" si="64"/>
        <v/>
      </c>
      <c r="I715" s="2"/>
    </row>
    <row r="716" spans="1:16" x14ac:dyDescent="0.25">
      <c r="B716" s="38" t="str">
        <f>IF($A716=0,"",VLOOKUP($A716,'BASE MATERIAL'!$A:$D,2))</f>
        <v/>
      </c>
      <c r="C716" s="2"/>
      <c r="D716" s="81" t="s">
        <v>1682</v>
      </c>
      <c r="E716" s="55" t="str">
        <f>IF($A716=0,"",VLOOKUP($A716,'BASE MATERIAL'!$A:$D,3))</f>
        <v/>
      </c>
      <c r="F716" s="55" t="s">
        <v>1682</v>
      </c>
      <c r="G716" s="55" t="str">
        <f>IF($A716=0,"",VLOOKUP($A716,'BASE MATERIAL'!$A:$D,4))</f>
        <v/>
      </c>
      <c r="H716" s="56" t="str">
        <f>IF($A716=0,"",ROUND(E716*F716,2))</f>
        <v/>
      </c>
      <c r="I716" s="2"/>
    </row>
    <row r="717" spans="1:16" x14ac:dyDescent="0.25">
      <c r="B717" s="73" t="s">
        <v>1681</v>
      </c>
      <c r="C717" s="65"/>
      <c r="D717" s="74"/>
      <c r="E717" s="74"/>
      <c r="F717" s="74"/>
      <c r="G717" s="74"/>
      <c r="H717" s="75">
        <f>ROUND(SUM(H700:H716),2)</f>
        <v>3.43</v>
      </c>
      <c r="I717" s="2"/>
    </row>
    <row r="718" spans="1:16" x14ac:dyDescent="0.25">
      <c r="B718" s="38" t="s">
        <v>1680</v>
      </c>
      <c r="C718" s="2"/>
      <c r="D718" s="3"/>
      <c r="E718" s="3"/>
      <c r="F718" s="3"/>
      <c r="G718" s="3"/>
      <c r="H718" s="56"/>
      <c r="I718" s="2"/>
    </row>
    <row r="719" spans="1:16" ht="25.5" x14ac:dyDescent="0.25">
      <c r="B719" s="64" t="s">
        <v>1409</v>
      </c>
      <c r="C719" s="65"/>
      <c r="D719" s="76"/>
      <c r="E719" s="66" t="s">
        <v>1408</v>
      </c>
      <c r="F719" s="66" t="s">
        <v>1679</v>
      </c>
      <c r="G719" s="66" t="s">
        <v>1676</v>
      </c>
      <c r="H719" s="68" t="s">
        <v>1675</v>
      </c>
      <c r="I719" s="2"/>
    </row>
    <row r="720" spans="1:16" x14ac:dyDescent="0.25">
      <c r="A720" s="103">
        <v>19019</v>
      </c>
      <c r="B720" s="51" t="str">
        <f>IF($A720=0,"",VLOOKUP($A720,'BASE EQUIPO'!$A:$D,2))</f>
        <v>TRANSPORTE DE MATERIAL</v>
      </c>
      <c r="C720" s="52"/>
      <c r="D720" s="82"/>
      <c r="E720" s="78" t="str">
        <f>IF($A720=0,"",VLOOKUP($A720,'BASE EQUIPO'!$A:$D,3))</f>
        <v>GLOBAL</v>
      </c>
      <c r="F720" s="55">
        <v>1</v>
      </c>
      <c r="G720" s="83">
        <f>IF($A720=0,"",VLOOKUP($A720,'BASE EQUIPO'!$A:$D,4)*H717)</f>
        <v>0.10290000000000001</v>
      </c>
      <c r="H720" s="56">
        <f>IF($A720=0,"",ROUND(F720*G720,2))</f>
        <v>0.1</v>
      </c>
      <c r="I720" s="2"/>
    </row>
    <row r="721" spans="1:9" x14ac:dyDescent="0.25">
      <c r="B721" s="38" t="str">
        <f>IF($A721=0,"",VLOOKUP($A721,'BASE EQUIPO'!$A:$D,2))</f>
        <v/>
      </c>
      <c r="C721" s="2"/>
      <c r="D721" s="84"/>
      <c r="E721" s="78" t="str">
        <f>IF($A721=0,"",VLOOKUP($A721,'BASE EQUIPO'!$A:$D,3))</f>
        <v/>
      </c>
      <c r="F721" s="55"/>
      <c r="G721" s="55" t="str">
        <f>IF($A721=0,"",VLOOKUP($A721,'BASE EQUIPO'!$A:$D,4)*H718)</f>
        <v/>
      </c>
      <c r="H721" s="56" t="str">
        <f>IF($A721=0,"",ROUND(F721*G721,2))</f>
        <v/>
      </c>
      <c r="I721" s="2"/>
    </row>
    <row r="722" spans="1:9" x14ac:dyDescent="0.25">
      <c r="B722" s="57" t="str">
        <f>IF($A722=0,"",VLOOKUP($A722,'BASE EQUIPO'!$A:$D,2))</f>
        <v/>
      </c>
      <c r="C722" s="58"/>
      <c r="D722" s="85"/>
      <c r="E722" s="86" t="str">
        <f>IF($A722=0,"",VLOOKUP($A722,'BASE EQUIPO'!$A:$D,3))</f>
        <v/>
      </c>
      <c r="F722" s="59"/>
      <c r="G722" s="59" t="str">
        <f>IF($A722=0,"",VLOOKUP($A722,'BASE EQUIPO'!$A:$D,4)*H719)</f>
        <v/>
      </c>
      <c r="H722" s="60" t="str">
        <f>IF($A722=0,"",ROUND(F722*G722,2))</f>
        <v/>
      </c>
      <c r="I722" s="2"/>
    </row>
    <row r="723" spans="1:9" ht="15.75" thickBot="1" x14ac:dyDescent="0.3">
      <c r="B723" s="87" t="s">
        <v>1674</v>
      </c>
      <c r="C723" s="88"/>
      <c r="D723" s="89"/>
      <c r="E723" s="89"/>
      <c r="F723" s="89"/>
      <c r="G723" s="89"/>
      <c r="H723" s="90">
        <f>ROUND(SUM(H719:H722),2)</f>
        <v>0.1</v>
      </c>
      <c r="I723" s="2"/>
    </row>
    <row r="724" spans="1:9" ht="15.75" x14ac:dyDescent="0.25">
      <c r="B724" s="2"/>
      <c r="C724" s="2"/>
      <c r="D724" s="91" t="s">
        <v>1673</v>
      </c>
      <c r="E724" s="47"/>
      <c r="F724" s="47"/>
      <c r="G724" s="47"/>
      <c r="H724" s="92">
        <f>ROUND(SUM(H723,H717,H698,H688),2)</f>
        <v>9.31</v>
      </c>
      <c r="I724" s="2"/>
    </row>
    <row r="725" spans="1:9" ht="15.75" x14ac:dyDescent="0.25">
      <c r="A725" s="103">
        <v>40002</v>
      </c>
      <c r="B725" s="2"/>
      <c r="C725" s="2"/>
      <c r="D725" s="93" t="s">
        <v>1672</v>
      </c>
      <c r="E725" s="65"/>
      <c r="F725" s="65"/>
      <c r="G725" s="94">
        <f>IF($A725=0,"",VLOOKUP($A725,'BASE MATERIAL'!$M:$P,4))</f>
        <v>0</v>
      </c>
      <c r="H725" s="95">
        <f>IF($A725=0,"",ROUND(G725*H724,2))</f>
        <v>0</v>
      </c>
      <c r="I725" s="2"/>
    </row>
    <row r="726" spans="1:9" ht="15.75" x14ac:dyDescent="0.25">
      <c r="A726" s="103">
        <v>40003</v>
      </c>
      <c r="B726" s="2"/>
      <c r="C726" s="2"/>
      <c r="D726" s="93" t="s">
        <v>1671</v>
      </c>
      <c r="E726" s="65"/>
      <c r="F726" s="65"/>
      <c r="G726" s="94">
        <f>IF($A726=0,"",VLOOKUP($A726,'BASE MATERIAL'!$M:$P,4))</f>
        <v>0</v>
      </c>
      <c r="H726" s="95">
        <f>IF($A726=0,"",ROUND(G726*H724,2))</f>
        <v>0</v>
      </c>
      <c r="I726" s="2"/>
    </row>
    <row r="727" spans="1:9" ht="15.75" x14ac:dyDescent="0.25">
      <c r="B727" s="2"/>
      <c r="C727" s="2"/>
      <c r="D727" s="93" t="s">
        <v>1670</v>
      </c>
      <c r="E727" s="65"/>
      <c r="F727" s="65"/>
      <c r="G727" s="65"/>
      <c r="H727" s="96">
        <f>ROUND(SUM(H724:H726),2)</f>
        <v>9.31</v>
      </c>
      <c r="I727" s="2"/>
    </row>
    <row r="728" spans="1:9" ht="16.5" thickBot="1" x14ac:dyDescent="0.3">
      <c r="B728" s="25"/>
      <c r="C728" s="2"/>
      <c r="D728" s="97" t="s">
        <v>1650</v>
      </c>
      <c r="E728" s="88"/>
      <c r="F728" s="88"/>
      <c r="G728" s="88"/>
      <c r="H728" s="98">
        <f>ROUND(H727,2)</f>
        <v>9.31</v>
      </c>
      <c r="I728" s="2"/>
    </row>
  </sheetData>
  <phoneticPr fontId="2" type="noConversion"/>
  <pageMargins left="0.75" right="0.75" top="1" bottom="1" header="0" footer="0"/>
  <pageSetup paperSize="9" scale="80" orientation="portrait" r:id="rId1"/>
  <headerFooter alignWithMargins="0"/>
  <rowBreaks count="9" manualBreakCount="9">
    <brk id="112" min="1" max="7" man="1"/>
    <brk id="280" max="16383" man="1"/>
    <brk id="336" min="1" max="7" man="1"/>
    <brk id="392" min="1" max="7" man="1"/>
    <brk id="448" min="1" max="7" man="1"/>
    <brk id="504" min="1" max="7" man="1"/>
    <brk id="560" min="1" max="7" man="1"/>
    <brk id="616" min="1" max="7" man="1"/>
    <brk id="672" max="16383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0EC8E-2130-4189-8262-5715FEB3F0D5}">
  <sheetPr codeName="Hoja23"/>
  <dimension ref="A1:P560"/>
  <sheetViews>
    <sheetView workbookViewId="0"/>
  </sheetViews>
  <sheetFormatPr baseColWidth="10" defaultColWidth="11.42578125" defaultRowHeight="15" x14ac:dyDescent="0.25"/>
  <cols>
    <col min="1" max="1" width="9.140625" style="103" bestFit="1" customWidth="1"/>
    <col min="2" max="2" width="12.140625" style="1" customWidth="1"/>
    <col min="3" max="3" width="26.28515625" style="1" customWidth="1"/>
    <col min="4" max="4" width="10.7109375" style="1" customWidth="1"/>
    <col min="5" max="5" width="12.140625" style="1" customWidth="1"/>
    <col min="6" max="6" width="13.28515625" style="1" customWidth="1"/>
    <col min="7" max="7" width="13.85546875" style="1" customWidth="1"/>
    <col min="8" max="8" width="12.42578125" style="1" customWidth="1"/>
    <col min="9" max="9" width="3.140625" style="1" bestFit="1" customWidth="1"/>
    <col min="10" max="10" width="7.42578125" style="1" customWidth="1"/>
    <col min="11" max="11" width="8.42578125" style="1" customWidth="1"/>
    <col min="12" max="12" width="8.5703125" style="1" customWidth="1"/>
    <col min="13" max="13" width="33.85546875" style="1" bestFit="1" customWidth="1"/>
    <col min="14" max="14" width="6" style="1" bestFit="1" customWidth="1"/>
    <col min="15" max="28" width="8.42578125" style="1" customWidth="1"/>
    <col min="29" max="16384" width="11.42578125" style="1"/>
  </cols>
  <sheetData>
    <row r="1" spans="1:15" ht="15.75" x14ac:dyDescent="0.25">
      <c r="B1" s="34" t="s">
        <v>1701</v>
      </c>
      <c r="C1" s="2"/>
      <c r="D1" s="3" t="str">
        <f>'1.1'!$D$1</f>
        <v>ESPOL</v>
      </c>
      <c r="E1" s="2"/>
      <c r="F1" s="2"/>
      <c r="H1" s="2" t="s">
        <v>108</v>
      </c>
      <c r="I1" s="2"/>
      <c r="L1" s="40">
        <f>A5</f>
        <v>1</v>
      </c>
      <c r="M1" s="1" t="str">
        <f>C6</f>
        <v xml:space="preserve">Inodoros de tanque </v>
      </c>
      <c r="N1" s="2" t="str">
        <f>H5</f>
        <v>U</v>
      </c>
      <c r="O1" s="2">
        <f>H56</f>
        <v>170.31</v>
      </c>
    </row>
    <row r="2" spans="1:15" ht="15.75" x14ac:dyDescent="0.25">
      <c r="B2" s="34" t="s">
        <v>1700</v>
      </c>
      <c r="C2" s="3">
        <f>'1.1'!$C$2</f>
        <v>0</v>
      </c>
      <c r="D2" s="2"/>
      <c r="E2" s="2"/>
      <c r="F2" s="2"/>
      <c r="G2" s="41" t="s">
        <v>1699</v>
      </c>
      <c r="H2" s="42"/>
      <c r="I2" s="2" t="s">
        <v>1698</v>
      </c>
    </row>
    <row r="3" spans="1:15" ht="15.75" x14ac:dyDescent="0.25">
      <c r="B3" s="34"/>
      <c r="C3" s="3">
        <f>'1.1'!$C$3</f>
        <v>0</v>
      </c>
      <c r="D3" s="2"/>
      <c r="E3" s="2"/>
      <c r="F3" s="2"/>
      <c r="G3" s="2"/>
      <c r="H3" s="2"/>
      <c r="I3" s="2"/>
    </row>
    <row r="4" spans="1:15" ht="15.75" x14ac:dyDescent="0.25">
      <c r="B4" s="34" t="s">
        <v>1697</v>
      </c>
      <c r="C4" s="3"/>
      <c r="D4" s="2"/>
      <c r="E4" s="2"/>
      <c r="F4" s="2"/>
      <c r="G4" s="2"/>
      <c r="H4" s="2"/>
      <c r="I4" s="2"/>
    </row>
    <row r="5" spans="1:15" x14ac:dyDescent="0.25">
      <c r="A5" s="104">
        <v>1</v>
      </c>
      <c r="B5" s="2" t="s">
        <v>1586</v>
      </c>
      <c r="C5" s="36" t="s">
        <v>1659</v>
      </c>
      <c r="D5" s="2"/>
      <c r="G5" s="2" t="s">
        <v>1696</v>
      </c>
      <c r="H5" s="3" t="s">
        <v>744</v>
      </c>
      <c r="I5" s="2"/>
    </row>
    <row r="6" spans="1:15" x14ac:dyDescent="0.25">
      <c r="B6" s="1" t="s">
        <v>1585</v>
      </c>
      <c r="C6" s="36" t="s">
        <v>239</v>
      </c>
      <c r="D6" s="2"/>
      <c r="E6" s="2"/>
      <c r="F6" s="2"/>
      <c r="G6" s="2"/>
      <c r="H6" s="2"/>
      <c r="I6" s="2"/>
    </row>
    <row r="7" spans="1:15" ht="15.75" thickBot="1" x14ac:dyDescent="0.3">
      <c r="D7" s="2"/>
      <c r="E7" s="2"/>
      <c r="F7" s="2"/>
      <c r="G7" s="2"/>
      <c r="H7" s="2"/>
      <c r="I7" s="2"/>
    </row>
    <row r="8" spans="1:15" ht="15.75" thickBot="1" x14ac:dyDescent="0.3">
      <c r="B8" s="43" t="s">
        <v>1695</v>
      </c>
      <c r="C8" s="44"/>
      <c r="D8" s="44"/>
      <c r="E8" s="44"/>
      <c r="F8" s="44"/>
      <c r="G8" s="44"/>
      <c r="H8" s="45"/>
      <c r="I8" s="2"/>
    </row>
    <row r="9" spans="1:15" ht="25.5" x14ac:dyDescent="0.25">
      <c r="B9" s="46" t="s">
        <v>1409</v>
      </c>
      <c r="C9" s="47"/>
      <c r="D9" s="48" t="s">
        <v>1690</v>
      </c>
      <c r="E9" s="48" t="s">
        <v>1694</v>
      </c>
      <c r="F9" s="48" t="s">
        <v>1693</v>
      </c>
      <c r="G9" s="49" t="s">
        <v>1687</v>
      </c>
      <c r="H9" s="50" t="s">
        <v>1686</v>
      </c>
      <c r="I9" s="2"/>
    </row>
    <row r="10" spans="1:15" x14ac:dyDescent="0.25">
      <c r="A10" s="103">
        <v>19016</v>
      </c>
      <c r="B10" s="51" t="str">
        <f>IF($A10=0,"",VLOOKUP($A10,'BASE EQUIPO'!$A:$D,2))</f>
        <v>HERRAMIENTA MENOR</v>
      </c>
      <c r="C10" s="52"/>
      <c r="D10" s="53">
        <v>1</v>
      </c>
      <c r="E10" s="53">
        <f>IF($A10=0,"",VLOOKUP($A10,'BASE EQUIPO'!$A:$D,4)*H26)</f>
        <v>0.77150000000000007</v>
      </c>
      <c r="F10" s="53">
        <f t="shared" ref="F10:F15" si="0">IF($A10=0,"",ROUND(D10*E10,2))</f>
        <v>0.77</v>
      </c>
      <c r="G10" s="105">
        <v>1</v>
      </c>
      <c r="H10" s="54">
        <f t="shared" ref="H10:H15" si="1">IF($A10=0,"",ROUND(G10*F10,2))</f>
        <v>0.77</v>
      </c>
      <c r="I10" s="2"/>
    </row>
    <row r="11" spans="1:15" x14ac:dyDescent="0.25">
      <c r="B11" s="38" t="str">
        <f>IF($A11=0,"",VLOOKUP($A11,'BASE EQUIPO'!$A:$D,2))</f>
        <v/>
      </c>
      <c r="C11" s="2"/>
      <c r="D11" s="55"/>
      <c r="E11" s="55" t="str">
        <f>IF($A11=0,"",VLOOKUP($A11,'BASE EQUIPO'!$A:$D,4))</f>
        <v/>
      </c>
      <c r="F11" s="55" t="str">
        <f t="shared" si="0"/>
        <v/>
      </c>
      <c r="G11" s="106"/>
      <c r="H11" s="56" t="str">
        <f t="shared" si="1"/>
        <v/>
      </c>
      <c r="I11" s="2"/>
    </row>
    <row r="12" spans="1:15" x14ac:dyDescent="0.25">
      <c r="B12" s="38" t="str">
        <f>IF($A12=0,"",VLOOKUP($A12,'BASE EQUIPO'!$A:$D,2))</f>
        <v/>
      </c>
      <c r="C12" s="2"/>
      <c r="D12" s="55"/>
      <c r="E12" s="55" t="str">
        <f>IF($A12=0,"",VLOOKUP($A12,'BASE EQUIPO'!$A:$D,4))</f>
        <v/>
      </c>
      <c r="F12" s="55" t="str">
        <f t="shared" si="0"/>
        <v/>
      </c>
      <c r="G12" s="106"/>
      <c r="H12" s="56" t="str">
        <f t="shared" si="1"/>
        <v/>
      </c>
      <c r="I12" s="2"/>
    </row>
    <row r="13" spans="1:15" x14ac:dyDescent="0.25">
      <c r="B13" s="38" t="str">
        <f>IF($A13=0,"",VLOOKUP($A13,'BASE EQUIPO'!$A:$D,2))</f>
        <v/>
      </c>
      <c r="C13" s="2"/>
      <c r="D13" s="55"/>
      <c r="E13" s="55" t="str">
        <f>IF($A13=0,"",VLOOKUP($A13,'BASE EQUIPO'!$A:$D,4))</f>
        <v/>
      </c>
      <c r="F13" s="55" t="str">
        <f t="shared" si="0"/>
        <v/>
      </c>
      <c r="G13" s="106"/>
      <c r="H13" s="56" t="str">
        <f t="shared" si="1"/>
        <v/>
      </c>
      <c r="I13" s="2"/>
    </row>
    <row r="14" spans="1:15" x14ac:dyDescent="0.25">
      <c r="B14" s="38" t="str">
        <f>IF($A14=0,"",VLOOKUP($A14,'BASE EQUIPO'!$A:$D,2))</f>
        <v/>
      </c>
      <c r="C14" s="2"/>
      <c r="D14" s="55"/>
      <c r="E14" s="55" t="str">
        <f>IF($A14=0,"",VLOOKUP($A14,'BASE EQUIPO'!$A:$D,4))</f>
        <v/>
      </c>
      <c r="F14" s="55" t="str">
        <f t="shared" si="0"/>
        <v/>
      </c>
      <c r="G14" s="106"/>
      <c r="H14" s="56" t="str">
        <f t="shared" si="1"/>
        <v/>
      </c>
      <c r="I14" s="2"/>
    </row>
    <row r="15" spans="1:15" x14ac:dyDescent="0.25">
      <c r="B15" s="57" t="str">
        <f>IF($A15=0,"",VLOOKUP($A15,'BASE EQUIPO'!$A:$D,2))</f>
        <v/>
      </c>
      <c r="C15" s="58"/>
      <c r="D15" s="59"/>
      <c r="E15" s="59" t="str">
        <f>IF($A15=0,"",VLOOKUP($A15,'BASE EQUIPO'!$A:$D,4))</f>
        <v/>
      </c>
      <c r="F15" s="59" t="str">
        <f t="shared" si="0"/>
        <v/>
      </c>
      <c r="G15" s="107"/>
      <c r="H15" s="60" t="str">
        <f t="shared" si="1"/>
        <v/>
      </c>
      <c r="I15" s="2"/>
    </row>
    <row r="16" spans="1:15" x14ac:dyDescent="0.25">
      <c r="B16" s="57" t="s">
        <v>1692</v>
      </c>
      <c r="C16" s="58"/>
      <c r="D16" s="61"/>
      <c r="E16" s="61"/>
      <c r="F16" s="61"/>
      <c r="G16" s="62"/>
      <c r="H16" s="60">
        <f>ROUND(SUM(H9:H15),2)</f>
        <v>0.77</v>
      </c>
      <c r="I16" s="2"/>
    </row>
    <row r="17" spans="1:16" x14ac:dyDescent="0.25">
      <c r="B17" s="38" t="s">
        <v>1503</v>
      </c>
      <c r="C17" s="2"/>
      <c r="D17" s="3"/>
      <c r="E17" s="3"/>
      <c r="F17" s="3"/>
      <c r="G17" s="63"/>
      <c r="H17" s="56"/>
      <c r="I17" s="2"/>
    </row>
    <row r="18" spans="1:16" ht="25.5" x14ac:dyDescent="0.25">
      <c r="B18" s="64" t="s">
        <v>1691</v>
      </c>
      <c r="C18" s="65"/>
      <c r="D18" s="66" t="s">
        <v>1690</v>
      </c>
      <c r="E18" s="66" t="s">
        <v>1689</v>
      </c>
      <c r="F18" s="66" t="s">
        <v>1688</v>
      </c>
      <c r="G18" s="67" t="s">
        <v>1687</v>
      </c>
      <c r="H18" s="68" t="s">
        <v>1686</v>
      </c>
      <c r="I18" s="2"/>
    </row>
    <row r="19" spans="1:16" x14ac:dyDescent="0.25">
      <c r="B19" s="69" t="str">
        <f>IF($A19=0,"",VLOOKUP($A19,'BASE M-OBRA'!$A:$D,2))</f>
        <v/>
      </c>
      <c r="C19" s="2"/>
      <c r="D19" s="108"/>
      <c r="E19" s="70" t="str">
        <f>IF($A19=0,"",VLOOKUP($A19,'BASE M-OBRA'!$A:$D,4))</f>
        <v/>
      </c>
      <c r="F19" s="55" t="str">
        <f t="shared" ref="F19:F25" si="2">IF($A19=0,"",ROUND(D19*E19,2))</f>
        <v/>
      </c>
      <c r="G19" s="106" t="str">
        <f>IF($A19=0,"",ROUND(H19/F19,2))</f>
        <v/>
      </c>
      <c r="H19" s="56" t="str">
        <f>IF($A19=0,"",ROUND(SUM(H20:H25)*'BASE M-OBRA'!$D$23,2))</f>
        <v/>
      </c>
      <c r="I19" s="2"/>
    </row>
    <row r="20" spans="1:16" x14ac:dyDescent="0.25">
      <c r="A20" s="103">
        <v>20011</v>
      </c>
      <c r="B20" s="69" t="str">
        <f>IF($A20=0,"",VLOOKUP($A20,'BASE M-OBRA'!$A:$D,2))</f>
        <v>AYUDANTE ESPECIALISTA</v>
      </c>
      <c r="C20" s="2"/>
      <c r="D20" s="108">
        <v>1</v>
      </c>
      <c r="E20" s="70">
        <f>IF($A20=0,"",VLOOKUP($A20,'BASE M-OBRA'!$A:$D,4))</f>
        <v>2.79</v>
      </c>
      <c r="F20" s="55">
        <f t="shared" si="2"/>
        <v>2.79</v>
      </c>
      <c r="G20" s="106">
        <v>2.75</v>
      </c>
      <c r="H20" s="56">
        <f t="shared" ref="H20:H25" si="3">IF($A20=0,"",ROUND(G20*F20,2))</f>
        <v>7.67</v>
      </c>
      <c r="I20" s="2"/>
    </row>
    <row r="21" spans="1:16" x14ac:dyDescent="0.25">
      <c r="A21" s="103">
        <v>20016</v>
      </c>
      <c r="B21" s="69" t="str">
        <f>IF($A21=0,"",VLOOKUP($A21,'BASE M-OBRA'!$A:$D,2))</f>
        <v>GAFITERO</v>
      </c>
      <c r="C21" s="2"/>
      <c r="D21" s="108">
        <v>1</v>
      </c>
      <c r="E21" s="70">
        <f>IF($A21=0,"",VLOOKUP($A21,'BASE M-OBRA'!$A:$D,4))</f>
        <v>2.82</v>
      </c>
      <c r="F21" s="55">
        <f t="shared" si="2"/>
        <v>2.82</v>
      </c>
      <c r="G21" s="106">
        <f>+G20</f>
        <v>2.75</v>
      </c>
      <c r="H21" s="56">
        <f t="shared" si="3"/>
        <v>7.76</v>
      </c>
      <c r="I21" s="2"/>
    </row>
    <row r="22" spans="1:16" x14ac:dyDescent="0.25">
      <c r="B22" s="71" t="str">
        <f>IF($A22=0,"",VLOOKUP($A22,'BASE M-OBRA'!$A:$D,2))</f>
        <v/>
      </c>
      <c r="C22" s="2"/>
      <c r="D22" s="108"/>
      <c r="E22" s="70" t="str">
        <f>IF($A22=0,"",VLOOKUP($A22,'BASE M-OBRA'!$A:$D,4))</f>
        <v/>
      </c>
      <c r="F22" s="55" t="str">
        <f t="shared" si="2"/>
        <v/>
      </c>
      <c r="G22" s="106"/>
      <c r="H22" s="56" t="str">
        <f t="shared" si="3"/>
        <v/>
      </c>
      <c r="I22" s="2"/>
    </row>
    <row r="23" spans="1:16" x14ac:dyDescent="0.25">
      <c r="B23" s="72" t="str">
        <f>IF($A23=0,"",VLOOKUP($A23,'BASE M-OBRA'!$A:$D,2))</f>
        <v/>
      </c>
      <c r="C23" s="2"/>
      <c r="D23" s="108"/>
      <c r="E23" s="70" t="str">
        <f>IF($A23=0,"",VLOOKUP($A23,'BASE M-OBRA'!$A:$D,4))</f>
        <v/>
      </c>
      <c r="F23" s="55" t="str">
        <f t="shared" si="2"/>
        <v/>
      </c>
      <c r="G23" s="106"/>
      <c r="H23" s="56" t="str">
        <f t="shared" si="3"/>
        <v/>
      </c>
      <c r="I23" s="2"/>
    </row>
    <row r="24" spans="1:16" x14ac:dyDescent="0.25">
      <c r="B24" s="38" t="str">
        <f>IF($A24=0,"",VLOOKUP($A24,'BASE M-OBRA'!$A:$D,2))</f>
        <v/>
      </c>
      <c r="C24" s="2"/>
      <c r="D24" s="55"/>
      <c r="E24" s="55" t="str">
        <f>IF($A24=0,"",VLOOKUP($A24,'BASE M-OBRA'!$A:$D,4))</f>
        <v/>
      </c>
      <c r="F24" s="55" t="str">
        <f t="shared" si="2"/>
        <v/>
      </c>
      <c r="G24" s="106"/>
      <c r="H24" s="56" t="str">
        <f t="shared" si="3"/>
        <v/>
      </c>
      <c r="I24" s="2"/>
    </row>
    <row r="25" spans="1:16" x14ac:dyDescent="0.25">
      <c r="B25" s="57" t="str">
        <f>IF($A25=0,"",VLOOKUP($A25,'BASE M-OBRA'!$A:$D,2))</f>
        <v/>
      </c>
      <c r="C25" s="58"/>
      <c r="D25" s="59"/>
      <c r="E25" s="59" t="str">
        <f>IF($A25=0,"",VLOOKUP($A25,'BASE M-OBRA'!$A:$D,4))</f>
        <v/>
      </c>
      <c r="F25" s="59" t="str">
        <f t="shared" si="2"/>
        <v/>
      </c>
      <c r="G25" s="107"/>
      <c r="H25" s="60" t="str">
        <f t="shared" si="3"/>
        <v/>
      </c>
      <c r="I25" s="2"/>
    </row>
    <row r="26" spans="1:16" x14ac:dyDescent="0.25">
      <c r="B26" s="73" t="s">
        <v>1685</v>
      </c>
      <c r="C26" s="65"/>
      <c r="D26" s="74"/>
      <c r="E26" s="74"/>
      <c r="F26" s="74"/>
      <c r="G26" s="74"/>
      <c r="H26" s="75">
        <f>ROUND(SUM(H18:H25),2)</f>
        <v>15.43</v>
      </c>
      <c r="I26" s="2"/>
    </row>
    <row r="27" spans="1:16" x14ac:dyDescent="0.25">
      <c r="B27" s="38" t="s">
        <v>1684</v>
      </c>
      <c r="C27" s="2"/>
      <c r="D27" s="3"/>
      <c r="E27" s="3"/>
      <c r="F27" s="3"/>
      <c r="G27" s="3"/>
      <c r="H27" s="56"/>
      <c r="I27" s="2"/>
    </row>
    <row r="28" spans="1:16" ht="25.5" x14ac:dyDescent="0.25">
      <c r="B28" s="64" t="s">
        <v>1409</v>
      </c>
      <c r="C28" s="65"/>
      <c r="D28" s="76"/>
      <c r="E28" s="66" t="s">
        <v>1408</v>
      </c>
      <c r="F28" s="66" t="s">
        <v>1679</v>
      </c>
      <c r="G28" s="66" t="s">
        <v>1683</v>
      </c>
      <c r="H28" s="68" t="s">
        <v>1675</v>
      </c>
      <c r="I28" s="2"/>
    </row>
    <row r="29" spans="1:16" x14ac:dyDescent="0.25">
      <c r="A29" s="103">
        <v>1</v>
      </c>
      <c r="B29" s="37" t="s">
        <v>85</v>
      </c>
      <c r="C29" s="2"/>
      <c r="D29" s="77"/>
      <c r="E29" s="78" t="s">
        <v>84</v>
      </c>
      <c r="F29" s="55">
        <v>0.155</v>
      </c>
      <c r="G29" s="55">
        <v>4.5999999999999996</v>
      </c>
      <c r="H29" s="56">
        <f t="shared" ref="H29:H43" si="4">IF($A29=0,"",ROUND(F29*G29,2))</f>
        <v>0.71</v>
      </c>
      <c r="I29" s="2"/>
      <c r="J29" s="1">
        <f>31.36/3</f>
        <v>10.453333333333333</v>
      </c>
      <c r="L29" s="2"/>
      <c r="M29" s="2"/>
      <c r="N29" s="39"/>
      <c r="O29" s="2"/>
      <c r="P29" s="2"/>
    </row>
    <row r="30" spans="1:16" x14ac:dyDescent="0.25">
      <c r="A30" s="103">
        <v>1</v>
      </c>
      <c r="B30" s="38" t="s">
        <v>1</v>
      </c>
      <c r="C30" s="2"/>
      <c r="D30" s="77"/>
      <c r="E30" s="78" t="s">
        <v>0</v>
      </c>
      <c r="F30" s="55">
        <v>1.5</v>
      </c>
      <c r="G30" s="55">
        <v>0.35</v>
      </c>
      <c r="H30" s="56">
        <f t="shared" si="4"/>
        <v>0.53</v>
      </c>
      <c r="I30" s="2"/>
      <c r="L30" s="2"/>
      <c r="M30" s="2"/>
      <c r="N30" s="39"/>
      <c r="O30" s="2"/>
      <c r="P30" s="2"/>
    </row>
    <row r="31" spans="1:16" x14ac:dyDescent="0.25">
      <c r="A31" s="103">
        <v>1</v>
      </c>
      <c r="B31" s="38" t="s">
        <v>83</v>
      </c>
      <c r="C31" s="2"/>
      <c r="D31" s="77"/>
      <c r="E31" s="78" t="s">
        <v>5</v>
      </c>
      <c r="F31" s="55">
        <v>0.25</v>
      </c>
      <c r="G31" s="55">
        <v>4.72</v>
      </c>
      <c r="H31" s="56">
        <f t="shared" si="4"/>
        <v>1.18</v>
      </c>
      <c r="I31" s="2"/>
      <c r="L31" s="2"/>
      <c r="M31" s="2"/>
      <c r="N31" s="39"/>
      <c r="O31" s="2"/>
      <c r="P31" s="2"/>
    </row>
    <row r="32" spans="1:16" x14ac:dyDescent="0.25">
      <c r="A32" s="103">
        <v>1</v>
      </c>
      <c r="B32" s="38" t="s">
        <v>103</v>
      </c>
      <c r="C32" s="2"/>
      <c r="D32" s="77"/>
      <c r="E32" s="78" t="s">
        <v>5</v>
      </c>
      <c r="F32" s="55">
        <v>1</v>
      </c>
      <c r="G32" s="55">
        <v>1.25</v>
      </c>
      <c r="H32" s="56">
        <f t="shared" si="4"/>
        <v>1.25</v>
      </c>
      <c r="I32" s="2"/>
      <c r="L32" s="2"/>
      <c r="M32" s="2"/>
      <c r="N32" s="39"/>
      <c r="O32" s="2"/>
      <c r="P32" s="2"/>
    </row>
    <row r="33" spans="1:16" x14ac:dyDescent="0.25">
      <c r="A33" s="103">
        <v>1</v>
      </c>
      <c r="B33" s="38" t="s">
        <v>102</v>
      </c>
      <c r="C33" s="2"/>
      <c r="D33" s="77"/>
      <c r="E33" s="78" t="s">
        <v>101</v>
      </c>
      <c r="F33" s="55">
        <v>1</v>
      </c>
      <c r="G33" s="55">
        <v>0.45</v>
      </c>
      <c r="H33" s="56">
        <f t="shared" si="4"/>
        <v>0.45</v>
      </c>
      <c r="I33" s="2"/>
      <c r="L33" s="2"/>
      <c r="M33" s="2"/>
      <c r="N33" s="39"/>
      <c r="O33" s="2"/>
      <c r="P33" s="2"/>
    </row>
    <row r="34" spans="1:16" x14ac:dyDescent="0.25">
      <c r="A34" s="103">
        <v>1</v>
      </c>
      <c r="B34" s="38" t="s">
        <v>104</v>
      </c>
      <c r="C34" s="2"/>
      <c r="D34" s="77"/>
      <c r="E34" s="78" t="s">
        <v>1506</v>
      </c>
      <c r="F34" s="55">
        <v>1</v>
      </c>
      <c r="G34" s="55">
        <v>136</v>
      </c>
      <c r="H34" s="56">
        <f t="shared" si="4"/>
        <v>136</v>
      </c>
      <c r="I34" s="2"/>
      <c r="L34" s="2"/>
      <c r="M34" s="2"/>
      <c r="N34" s="39"/>
      <c r="O34" s="2"/>
      <c r="P34" s="2"/>
    </row>
    <row r="35" spans="1:16" x14ac:dyDescent="0.25">
      <c r="A35" s="103">
        <v>1</v>
      </c>
      <c r="B35" s="38" t="s">
        <v>92</v>
      </c>
      <c r="C35" s="2"/>
      <c r="D35" s="77"/>
      <c r="E35" s="78" t="s">
        <v>1506</v>
      </c>
      <c r="F35" s="55">
        <v>1</v>
      </c>
      <c r="G35" s="55">
        <v>9.5</v>
      </c>
      <c r="H35" s="56">
        <f t="shared" si="4"/>
        <v>9.5</v>
      </c>
      <c r="I35" s="2"/>
      <c r="L35" s="2"/>
      <c r="M35" s="2"/>
      <c r="N35" s="39"/>
      <c r="O35" s="2"/>
      <c r="P35" s="2"/>
    </row>
    <row r="36" spans="1:16" x14ac:dyDescent="0.25">
      <c r="B36" s="38"/>
      <c r="C36" s="2"/>
      <c r="D36" s="77"/>
      <c r="E36" s="78"/>
      <c r="F36" s="55"/>
      <c r="G36" s="55"/>
      <c r="H36" s="56" t="str">
        <f t="shared" si="4"/>
        <v/>
      </c>
      <c r="I36" s="2"/>
      <c r="L36" s="2"/>
      <c r="M36" s="2"/>
      <c r="N36" s="39"/>
      <c r="O36" s="2"/>
      <c r="P36" s="2"/>
    </row>
    <row r="37" spans="1:16" x14ac:dyDescent="0.25">
      <c r="B37" s="38"/>
      <c r="C37" s="2"/>
      <c r="D37" s="77"/>
      <c r="E37" s="78"/>
      <c r="F37" s="55"/>
      <c r="G37" s="55"/>
      <c r="H37" s="56" t="str">
        <f t="shared" si="4"/>
        <v/>
      </c>
      <c r="I37" s="2"/>
    </row>
    <row r="38" spans="1:16" x14ac:dyDescent="0.25">
      <c r="B38" s="38" t="str">
        <f>IF($A38=0,"",VLOOKUP($A38,'BASE MATERIAL'!$A:$D,2))</f>
        <v/>
      </c>
      <c r="C38" s="2"/>
      <c r="D38" s="77"/>
      <c r="E38" s="78" t="str">
        <f>IF($A38=0,"",VLOOKUP($A38,'BASE MATERIAL'!$A:$D,3))</f>
        <v/>
      </c>
      <c r="F38" s="55"/>
      <c r="G38" s="55" t="str">
        <f>IF($A38=0,"",VLOOKUP($A38,'BASE MATERIAL'!$A:$D,4))</f>
        <v/>
      </c>
      <c r="H38" s="56" t="str">
        <f t="shared" si="4"/>
        <v/>
      </c>
      <c r="I38" s="2"/>
      <c r="L38" s="2"/>
      <c r="M38" s="2"/>
      <c r="N38" s="39"/>
      <c r="O38" s="2"/>
      <c r="P38" s="2"/>
    </row>
    <row r="39" spans="1:16" x14ac:dyDescent="0.25">
      <c r="B39" s="38" t="str">
        <f>IF($A39=0,"",VLOOKUP($A39,'BASE MATERIAL'!$A:$D,2))</f>
        <v/>
      </c>
      <c r="C39" s="2"/>
      <c r="D39" s="77"/>
      <c r="E39" s="78" t="str">
        <f>IF($A39=0,"",VLOOKUP($A39,'BASE MATERIAL'!$A:$D,3))</f>
        <v/>
      </c>
      <c r="F39" s="55"/>
      <c r="G39" s="55" t="str">
        <f>IF($A39=0,"",VLOOKUP($A39,'BASE MATERIAL'!$A:$D,4))</f>
        <v/>
      </c>
      <c r="H39" s="56" t="str">
        <f t="shared" si="4"/>
        <v/>
      </c>
      <c r="I39" s="2"/>
      <c r="L39" s="2"/>
      <c r="M39" s="2"/>
      <c r="N39" s="39"/>
      <c r="O39" s="2"/>
      <c r="P39" s="2"/>
    </row>
    <row r="40" spans="1:16" x14ac:dyDescent="0.25">
      <c r="B40" s="38" t="str">
        <f>IF($A40=0,"",VLOOKUP($A40,'BASE MATERIAL'!$A:$D,2))</f>
        <v/>
      </c>
      <c r="C40" s="2"/>
      <c r="D40" s="77"/>
      <c r="E40" s="78" t="str">
        <f>IF($A40=0,"",VLOOKUP($A40,'BASE MATERIAL'!$A:$D,3))</f>
        <v/>
      </c>
      <c r="F40" s="55"/>
      <c r="G40" s="55" t="str">
        <f>IF($A40=0,"",VLOOKUP($A40,'BASE MATERIAL'!$A:$D,4))</f>
        <v/>
      </c>
      <c r="H40" s="56" t="str">
        <f t="shared" si="4"/>
        <v/>
      </c>
      <c r="I40" s="2"/>
    </row>
    <row r="41" spans="1:16" x14ac:dyDescent="0.25">
      <c r="B41" s="38" t="str">
        <f>IF($A41=0,"",VLOOKUP($A41,'BASE MATERIAL'!$A:$D,2))</f>
        <v/>
      </c>
      <c r="C41" s="2"/>
      <c r="D41" s="77"/>
      <c r="E41" s="78" t="str">
        <f>IF($A41=0,"",VLOOKUP($A41,'BASE MATERIAL'!$A:$D,3))</f>
        <v/>
      </c>
      <c r="F41" s="55"/>
      <c r="G41" s="55" t="str">
        <f>IF($A41=0,"",VLOOKUP($A41,'BASE MATERIAL'!$A:$D,4))</f>
        <v/>
      </c>
      <c r="H41" s="56" t="str">
        <f t="shared" si="4"/>
        <v/>
      </c>
      <c r="I41" s="2"/>
    </row>
    <row r="42" spans="1:16" x14ac:dyDescent="0.25">
      <c r="B42" s="38" t="str">
        <f>IF($A42=0,"",VLOOKUP($A42,'BASE MATERIAL'!$A:$D,2))</f>
        <v/>
      </c>
      <c r="C42" s="2"/>
      <c r="D42" s="77"/>
      <c r="E42" s="78" t="str">
        <f>IF($A42=0,"",VLOOKUP($A42,'BASE MATERIAL'!$A:$D,3))</f>
        <v/>
      </c>
      <c r="F42" s="55"/>
      <c r="G42" s="55" t="str">
        <f>IF($A42=0,"",VLOOKUP($A42,'BASE MATERIAL'!$A:$D,4))</f>
        <v/>
      </c>
      <c r="H42" s="56" t="str">
        <f t="shared" si="4"/>
        <v/>
      </c>
      <c r="I42" s="2"/>
    </row>
    <row r="43" spans="1:16" x14ac:dyDescent="0.25">
      <c r="B43" s="38" t="str">
        <f>IF($A43=0,"",VLOOKUP($A43,'BASE MATERIAL'!$A:$D,2))</f>
        <v/>
      </c>
      <c r="C43" s="2"/>
      <c r="D43" s="77"/>
      <c r="E43" s="78" t="str">
        <f>IF($A43=0,"",VLOOKUP($A43,'BASE MATERIAL'!$A:$D,3))</f>
        <v/>
      </c>
      <c r="F43" s="55"/>
      <c r="G43" s="55" t="str">
        <f>IF($A43=0,"",VLOOKUP($A43,'BASE MATERIAL'!$A:$D,4))</f>
        <v/>
      </c>
      <c r="H43" s="56" t="str">
        <f t="shared" si="4"/>
        <v/>
      </c>
      <c r="I43" s="2"/>
    </row>
    <row r="44" spans="1:16" x14ac:dyDescent="0.25">
      <c r="B44" s="38" t="str">
        <f>IF($A44=0,"",VLOOKUP($A44,'BASE MATERIAL'!$A:$D,2))</f>
        <v/>
      </c>
      <c r="C44" s="2"/>
      <c r="D44" s="81" t="s">
        <v>1682</v>
      </c>
      <c r="E44" s="55" t="str">
        <f>IF($A44=0,"",VLOOKUP($A44,'BASE MATERIAL'!$A:$D,3))</f>
        <v/>
      </c>
      <c r="F44" s="55" t="s">
        <v>1682</v>
      </c>
      <c r="G44" s="55" t="str">
        <f>IF($A44=0,"",VLOOKUP($A44,'BASE MATERIAL'!$A:$D,4))</f>
        <v/>
      </c>
      <c r="H44" s="56" t="str">
        <f>IF($A44=0,"",ROUND(E44*F44,2))</f>
        <v/>
      </c>
      <c r="I44" s="2"/>
    </row>
    <row r="45" spans="1:16" x14ac:dyDescent="0.25">
      <c r="B45" s="73" t="s">
        <v>1681</v>
      </c>
      <c r="C45" s="65"/>
      <c r="D45" s="74"/>
      <c r="E45" s="74"/>
      <c r="F45" s="74"/>
      <c r="G45" s="74"/>
      <c r="H45" s="75">
        <f>ROUND(SUM(H28:H44),2)</f>
        <v>149.62</v>
      </c>
      <c r="I45" s="2"/>
    </row>
    <row r="46" spans="1:16" x14ac:dyDescent="0.25">
      <c r="B46" s="38" t="s">
        <v>1680</v>
      </c>
      <c r="C46" s="2"/>
      <c r="D46" s="3"/>
      <c r="E46" s="3"/>
      <c r="F46" s="3"/>
      <c r="G46" s="3"/>
      <c r="H46" s="56"/>
      <c r="I46" s="2"/>
    </row>
    <row r="47" spans="1:16" ht="25.5" x14ac:dyDescent="0.25">
      <c r="B47" s="64" t="s">
        <v>1409</v>
      </c>
      <c r="C47" s="65"/>
      <c r="D47" s="76"/>
      <c r="E47" s="66" t="s">
        <v>1408</v>
      </c>
      <c r="F47" s="66" t="s">
        <v>1679</v>
      </c>
      <c r="G47" s="66" t="s">
        <v>1676</v>
      </c>
      <c r="H47" s="68" t="s">
        <v>1675</v>
      </c>
      <c r="I47" s="2"/>
    </row>
    <row r="48" spans="1:16" x14ac:dyDescent="0.25">
      <c r="A48" s="103">
        <v>19019</v>
      </c>
      <c r="B48" s="51" t="str">
        <f>IF($A48=0,"",VLOOKUP($A48,'BASE EQUIPO'!$A:$D,2))</f>
        <v>TRANSPORTE DE MATERIAL</v>
      </c>
      <c r="C48" s="52"/>
      <c r="D48" s="82"/>
      <c r="E48" s="78" t="str">
        <f>IF($A48=0,"",VLOOKUP($A48,'BASE EQUIPO'!$A:$D,3))</f>
        <v>GLOBAL</v>
      </c>
      <c r="F48" s="55">
        <v>1</v>
      </c>
      <c r="G48" s="83">
        <f>IF($A48=0,"",VLOOKUP($A48,'BASE EQUIPO'!$A:$D,4)*H45)</f>
        <v>4.4885999999999999</v>
      </c>
      <c r="H48" s="56">
        <f>IF($A48=0,"",ROUND(F48*G48,2))</f>
        <v>4.49</v>
      </c>
      <c r="I48" s="2"/>
    </row>
    <row r="49" spans="1:15" x14ac:dyDescent="0.25">
      <c r="B49" s="38" t="str">
        <f>IF($A49=0,"",VLOOKUP($A49,'BASE EQUIPO'!$A:$D,2))</f>
        <v/>
      </c>
      <c r="C49" s="2"/>
      <c r="D49" s="84"/>
      <c r="E49" s="78" t="str">
        <f>IF($A49=0,"",VLOOKUP($A49,'BASE EQUIPO'!$A:$D,3))</f>
        <v/>
      </c>
      <c r="F49" s="55"/>
      <c r="G49" s="55" t="str">
        <f>IF($A49=0,"",VLOOKUP($A49,'BASE EQUIPO'!$A:$D,4)*H46)</f>
        <v/>
      </c>
      <c r="H49" s="56" t="str">
        <f>IF($A49=0,"",ROUND(F49*G49,2))</f>
        <v/>
      </c>
      <c r="I49" s="2"/>
    </row>
    <row r="50" spans="1:15" x14ac:dyDescent="0.25">
      <c r="B50" s="57" t="str">
        <f>IF($A50=0,"",VLOOKUP($A50,'BASE EQUIPO'!$A:$D,2))</f>
        <v/>
      </c>
      <c r="C50" s="58"/>
      <c r="D50" s="85"/>
      <c r="E50" s="86" t="str">
        <f>IF($A50=0,"",VLOOKUP($A50,'BASE EQUIPO'!$A:$D,3))</f>
        <v/>
      </c>
      <c r="F50" s="59"/>
      <c r="G50" s="59" t="str">
        <f>IF($A50=0,"",VLOOKUP($A50,'BASE EQUIPO'!$A:$D,4)*H47)</f>
        <v/>
      </c>
      <c r="H50" s="60" t="str">
        <f>IF($A50=0,"",ROUND(F50*G50,2))</f>
        <v/>
      </c>
      <c r="I50" s="2"/>
    </row>
    <row r="51" spans="1:15" ht="15.75" thickBot="1" x14ac:dyDescent="0.3">
      <c r="B51" s="87" t="s">
        <v>1674</v>
      </c>
      <c r="C51" s="88"/>
      <c r="D51" s="89"/>
      <c r="E51" s="89"/>
      <c r="F51" s="89"/>
      <c r="G51" s="89"/>
      <c r="H51" s="90">
        <f>ROUND(SUM(H47:H50),2)</f>
        <v>4.49</v>
      </c>
      <c r="I51" s="2"/>
    </row>
    <row r="52" spans="1:15" ht="15.75" x14ac:dyDescent="0.25">
      <c r="B52" s="2"/>
      <c r="C52" s="2"/>
      <c r="D52" s="91" t="s">
        <v>1673</v>
      </c>
      <c r="E52" s="47"/>
      <c r="F52" s="47"/>
      <c r="G52" s="47"/>
      <c r="H52" s="92">
        <f>ROUND(SUM(H51,H45,H26,H16),2)</f>
        <v>170.31</v>
      </c>
      <c r="I52" s="2"/>
    </row>
    <row r="53" spans="1:15" ht="15.75" x14ac:dyDescent="0.25">
      <c r="A53" s="103">
        <v>40002</v>
      </c>
      <c r="B53" s="2"/>
      <c r="C53" s="2"/>
      <c r="D53" s="93" t="s">
        <v>1672</v>
      </c>
      <c r="E53" s="65"/>
      <c r="F53" s="65"/>
      <c r="G53" s="94">
        <f>IF($A53=0,"",VLOOKUP($A53,'BASE MATERIAL'!$M:$P,4))</f>
        <v>0</v>
      </c>
      <c r="H53" s="95">
        <f>IF($A53=0,"",ROUND(G53*H52,2))</f>
        <v>0</v>
      </c>
      <c r="I53" s="2"/>
    </row>
    <row r="54" spans="1:15" ht="15.75" x14ac:dyDescent="0.25">
      <c r="A54" s="103">
        <v>40003</v>
      </c>
      <c r="B54" s="2"/>
      <c r="C54" s="2"/>
      <c r="D54" s="93" t="s">
        <v>1671</v>
      </c>
      <c r="E54" s="65"/>
      <c r="F54" s="65"/>
      <c r="G54" s="94">
        <f>IF($A54=0,"",VLOOKUP($A54,'BASE MATERIAL'!$M:$P,4))</f>
        <v>0</v>
      </c>
      <c r="H54" s="95">
        <f>IF($A54=0,"",ROUND(G54*H52,2))</f>
        <v>0</v>
      </c>
      <c r="I54" s="2"/>
    </row>
    <row r="55" spans="1:15" ht="15.75" x14ac:dyDescent="0.25">
      <c r="B55" s="2"/>
      <c r="C55" s="2"/>
      <c r="D55" s="93" t="s">
        <v>1670</v>
      </c>
      <c r="E55" s="65"/>
      <c r="F55" s="65"/>
      <c r="G55" s="65"/>
      <c r="H55" s="96">
        <f>ROUND(SUM(H52:H54),2)</f>
        <v>170.31</v>
      </c>
      <c r="I55" s="2"/>
    </row>
    <row r="56" spans="1:15" ht="16.5" thickBot="1" x14ac:dyDescent="0.3">
      <c r="B56" s="25"/>
      <c r="C56" s="2"/>
      <c r="D56" s="97" t="s">
        <v>1650</v>
      </c>
      <c r="E56" s="88"/>
      <c r="F56" s="88"/>
      <c r="G56" s="88"/>
      <c r="H56" s="98">
        <f>ROUND(H55,2)</f>
        <v>170.31</v>
      </c>
      <c r="I56" s="2"/>
      <c r="J56" s="1">
        <v>10.199999999999999</v>
      </c>
    </row>
    <row r="57" spans="1:15" ht="15.75" x14ac:dyDescent="0.25">
      <c r="B57" s="34" t="s">
        <v>1701</v>
      </c>
      <c r="C57" s="2"/>
      <c r="D57" s="3" t="str">
        <f>$D$1</f>
        <v>ESPOL</v>
      </c>
      <c r="E57" s="2"/>
      <c r="F57" s="2"/>
      <c r="H57" s="2" t="s">
        <v>108</v>
      </c>
      <c r="I57" s="2"/>
      <c r="L57" s="40">
        <f>A61</f>
        <v>13</v>
      </c>
      <c r="M57" s="1" t="str">
        <f>C62</f>
        <v>Urinarios</v>
      </c>
      <c r="N57" s="2" t="str">
        <f>H61</f>
        <v>U</v>
      </c>
      <c r="O57" s="2">
        <f>H112</f>
        <v>137.29</v>
      </c>
    </row>
    <row r="58" spans="1:15" ht="15.75" x14ac:dyDescent="0.25">
      <c r="B58" s="34" t="s">
        <v>1700</v>
      </c>
      <c r="C58" s="3">
        <f>'1.1'!$C$2</f>
        <v>0</v>
      </c>
      <c r="D58" s="2"/>
      <c r="E58" s="2"/>
      <c r="F58" s="2"/>
      <c r="G58" s="41" t="s">
        <v>1699</v>
      </c>
      <c r="H58" s="42"/>
      <c r="I58" s="2" t="s">
        <v>1698</v>
      </c>
    </row>
    <row r="59" spans="1:15" ht="15.75" x14ac:dyDescent="0.25">
      <c r="B59" s="34"/>
      <c r="C59" s="3">
        <f>'1.1'!$C$3</f>
        <v>0</v>
      </c>
      <c r="D59" s="2"/>
      <c r="E59" s="2"/>
      <c r="F59" s="2"/>
      <c r="G59" s="2"/>
      <c r="H59" s="2"/>
      <c r="I59" s="2"/>
    </row>
    <row r="60" spans="1:15" ht="15.75" x14ac:dyDescent="0.25">
      <c r="B60" s="34" t="s">
        <v>1697</v>
      </c>
      <c r="C60" s="3"/>
      <c r="D60" s="2"/>
      <c r="E60" s="2"/>
      <c r="F60" s="2"/>
      <c r="G60" s="2"/>
      <c r="H60" s="2"/>
      <c r="I60" s="2"/>
    </row>
    <row r="61" spans="1:15" x14ac:dyDescent="0.25">
      <c r="A61" s="104">
        <v>13</v>
      </c>
      <c r="B61" s="2" t="s">
        <v>1586</v>
      </c>
      <c r="C61" s="101" t="s">
        <v>1660</v>
      </c>
      <c r="D61" s="2"/>
      <c r="G61" s="2" t="s">
        <v>1696</v>
      </c>
      <c r="H61" s="3" t="s">
        <v>744</v>
      </c>
      <c r="I61" s="2"/>
    </row>
    <row r="62" spans="1:15" x14ac:dyDescent="0.25">
      <c r="B62" s="1" t="s">
        <v>1585</v>
      </c>
      <c r="C62" s="36" t="s">
        <v>240</v>
      </c>
      <c r="D62" s="2"/>
      <c r="E62" s="2"/>
      <c r="F62" s="2"/>
      <c r="G62" s="2"/>
      <c r="H62" s="2"/>
      <c r="I62" s="2"/>
    </row>
    <row r="63" spans="1:15" ht="15.75" thickBot="1" x14ac:dyDescent="0.3">
      <c r="D63" s="2"/>
      <c r="E63" s="2"/>
      <c r="F63" s="2"/>
      <c r="G63" s="2"/>
      <c r="H63" s="2"/>
      <c r="I63" s="2"/>
    </row>
    <row r="64" spans="1:15" ht="15.75" thickBot="1" x14ac:dyDescent="0.3">
      <c r="B64" s="43" t="s">
        <v>1695</v>
      </c>
      <c r="C64" s="44"/>
      <c r="D64" s="44"/>
      <c r="E64" s="44"/>
      <c r="F64" s="44"/>
      <c r="G64" s="44"/>
      <c r="H64" s="45"/>
      <c r="I64" s="2"/>
    </row>
    <row r="65" spans="1:9" ht="25.5" x14ac:dyDescent="0.25">
      <c r="B65" s="46" t="s">
        <v>1409</v>
      </c>
      <c r="C65" s="47"/>
      <c r="D65" s="48" t="s">
        <v>1690</v>
      </c>
      <c r="E65" s="48" t="s">
        <v>1694</v>
      </c>
      <c r="F65" s="48" t="s">
        <v>1693</v>
      </c>
      <c r="G65" s="49" t="s">
        <v>1687</v>
      </c>
      <c r="H65" s="50" t="s">
        <v>1686</v>
      </c>
      <c r="I65" s="2"/>
    </row>
    <row r="66" spans="1:9" x14ac:dyDescent="0.25">
      <c r="A66" s="103">
        <v>19016</v>
      </c>
      <c r="B66" s="51" t="str">
        <f>IF($A66=0,"",VLOOKUP($A66,'BASE EQUIPO'!$A:$D,2))</f>
        <v>HERRAMIENTA MENOR</v>
      </c>
      <c r="C66" s="52"/>
      <c r="D66" s="53">
        <v>1</v>
      </c>
      <c r="E66" s="53">
        <f>IF($A66=0,"",VLOOKUP($A66,'BASE EQUIPO'!$A:$D,4)*H82)</f>
        <v>0.77150000000000007</v>
      </c>
      <c r="F66" s="53">
        <f t="shared" ref="F66:F71" si="5">IF($A66=0,"",ROUND(D66*E66,2))</f>
        <v>0.77</v>
      </c>
      <c r="G66" s="105">
        <v>1</v>
      </c>
      <c r="H66" s="54">
        <f t="shared" ref="H66:H71" si="6">IF($A66=0,"",ROUND(G66*F66,2))</f>
        <v>0.77</v>
      </c>
      <c r="I66" s="2"/>
    </row>
    <row r="67" spans="1:9" x14ac:dyDescent="0.25">
      <c r="B67" s="38" t="str">
        <f>IF($A67=0,"",VLOOKUP($A67,'BASE EQUIPO'!$A:$D,2))</f>
        <v/>
      </c>
      <c r="C67" s="2"/>
      <c r="D67" s="55"/>
      <c r="E67" s="55" t="str">
        <f>IF($A67=0,"",VLOOKUP($A67,'BASE EQUIPO'!$A:$D,4))</f>
        <v/>
      </c>
      <c r="F67" s="55" t="str">
        <f t="shared" si="5"/>
        <v/>
      </c>
      <c r="G67" s="106"/>
      <c r="H67" s="56" t="str">
        <f t="shared" si="6"/>
        <v/>
      </c>
      <c r="I67" s="2"/>
    </row>
    <row r="68" spans="1:9" x14ac:dyDescent="0.25">
      <c r="B68" s="38" t="str">
        <f>IF($A68=0,"",VLOOKUP($A68,'BASE EQUIPO'!$A:$D,2))</f>
        <v/>
      </c>
      <c r="C68" s="2"/>
      <c r="D68" s="55"/>
      <c r="E68" s="55" t="str">
        <f>IF($A68=0,"",VLOOKUP($A68,'BASE EQUIPO'!$A:$D,4))</f>
        <v/>
      </c>
      <c r="F68" s="55" t="str">
        <f t="shared" si="5"/>
        <v/>
      </c>
      <c r="G68" s="106"/>
      <c r="H68" s="56" t="str">
        <f t="shared" si="6"/>
        <v/>
      </c>
      <c r="I68" s="2"/>
    </row>
    <row r="69" spans="1:9" x14ac:dyDescent="0.25">
      <c r="B69" s="38" t="str">
        <f>IF($A69=0,"",VLOOKUP($A69,'BASE EQUIPO'!$A:$D,2))</f>
        <v/>
      </c>
      <c r="C69" s="2"/>
      <c r="D69" s="55"/>
      <c r="E69" s="55" t="str">
        <f>IF($A69=0,"",VLOOKUP($A69,'BASE EQUIPO'!$A:$D,4))</f>
        <v/>
      </c>
      <c r="F69" s="55" t="str">
        <f t="shared" si="5"/>
        <v/>
      </c>
      <c r="G69" s="106"/>
      <c r="H69" s="56" t="str">
        <f t="shared" si="6"/>
        <v/>
      </c>
      <c r="I69" s="2"/>
    </row>
    <row r="70" spans="1:9" x14ac:dyDescent="0.25">
      <c r="B70" s="38" t="str">
        <f>IF($A70=0,"",VLOOKUP($A70,'BASE EQUIPO'!$A:$D,2))</f>
        <v/>
      </c>
      <c r="C70" s="2"/>
      <c r="D70" s="55"/>
      <c r="E70" s="55" t="str">
        <f>IF($A70=0,"",VLOOKUP($A70,'BASE EQUIPO'!$A:$D,4))</f>
        <v/>
      </c>
      <c r="F70" s="55" t="str">
        <f t="shared" si="5"/>
        <v/>
      </c>
      <c r="G70" s="106"/>
      <c r="H70" s="56" t="str">
        <f t="shared" si="6"/>
        <v/>
      </c>
      <c r="I70" s="2"/>
    </row>
    <row r="71" spans="1:9" x14ac:dyDescent="0.25">
      <c r="B71" s="57" t="str">
        <f>IF($A71=0,"",VLOOKUP($A71,'BASE EQUIPO'!$A:$D,2))</f>
        <v/>
      </c>
      <c r="C71" s="58"/>
      <c r="D71" s="59"/>
      <c r="E71" s="59" t="str">
        <f>IF($A71=0,"",VLOOKUP($A71,'BASE EQUIPO'!$A:$D,4))</f>
        <v/>
      </c>
      <c r="F71" s="59" t="str">
        <f t="shared" si="5"/>
        <v/>
      </c>
      <c r="G71" s="107"/>
      <c r="H71" s="60" t="str">
        <f t="shared" si="6"/>
        <v/>
      </c>
      <c r="I71" s="2"/>
    </row>
    <row r="72" spans="1:9" x14ac:dyDescent="0.25">
      <c r="B72" s="57" t="s">
        <v>1692</v>
      </c>
      <c r="C72" s="58"/>
      <c r="D72" s="61"/>
      <c r="E72" s="61"/>
      <c r="F72" s="61"/>
      <c r="G72" s="62"/>
      <c r="H72" s="60">
        <f>ROUND(SUM(H65:H71),2)</f>
        <v>0.77</v>
      </c>
      <c r="I72" s="2"/>
    </row>
    <row r="73" spans="1:9" x14ac:dyDescent="0.25">
      <c r="B73" s="38" t="s">
        <v>1503</v>
      </c>
      <c r="C73" s="2"/>
      <c r="D73" s="3"/>
      <c r="E73" s="3"/>
      <c r="F73" s="3"/>
      <c r="G73" s="63"/>
      <c r="H73" s="56"/>
      <c r="I73" s="2"/>
    </row>
    <row r="74" spans="1:9" ht="25.5" x14ac:dyDescent="0.25">
      <c r="B74" s="64" t="s">
        <v>1691</v>
      </c>
      <c r="C74" s="65"/>
      <c r="D74" s="66" t="s">
        <v>1690</v>
      </c>
      <c r="E74" s="66" t="s">
        <v>1689</v>
      </c>
      <c r="F74" s="66" t="s">
        <v>1688</v>
      </c>
      <c r="G74" s="67" t="s">
        <v>1687</v>
      </c>
      <c r="H74" s="68" t="s">
        <v>1686</v>
      </c>
      <c r="I74" s="2"/>
    </row>
    <row r="75" spans="1:9" x14ac:dyDescent="0.25">
      <c r="B75" s="69" t="str">
        <f>IF($A75=0,"",VLOOKUP($A75,'BASE M-OBRA'!$A:$D,2))</f>
        <v/>
      </c>
      <c r="C75" s="2"/>
      <c r="D75" s="108"/>
      <c r="E75" s="70" t="str">
        <f>IF($A75=0,"",VLOOKUP($A75,'BASE M-OBRA'!$A:$D,4))</f>
        <v/>
      </c>
      <c r="F75" s="55" t="str">
        <f t="shared" ref="F75:F81" si="7">IF($A75=0,"",ROUND(D75*E75,2))</f>
        <v/>
      </c>
      <c r="G75" s="106" t="str">
        <f>IF($A75=0,"",ROUND(H75/F75,2))</f>
        <v/>
      </c>
      <c r="H75" s="56" t="str">
        <f>IF($A75=0,"",ROUND(SUM(H76:H81)*'BASE M-OBRA'!$D$23,2))</f>
        <v/>
      </c>
      <c r="I75" s="2"/>
    </row>
    <row r="76" spans="1:9" x14ac:dyDescent="0.25">
      <c r="A76" s="103">
        <v>20011</v>
      </c>
      <c r="B76" s="69" t="str">
        <f>IF($A76=0,"",VLOOKUP($A76,'BASE M-OBRA'!$A:$D,2))</f>
        <v>AYUDANTE ESPECIALISTA</v>
      </c>
      <c r="C76" s="2"/>
      <c r="D76" s="108">
        <v>1</v>
      </c>
      <c r="E76" s="70">
        <f>IF($A76=0,"",VLOOKUP($A76,'BASE M-OBRA'!$A:$D,4))</f>
        <v>2.79</v>
      </c>
      <c r="F76" s="55">
        <f t="shared" si="7"/>
        <v>2.79</v>
      </c>
      <c r="G76" s="106">
        <v>2.75</v>
      </c>
      <c r="H76" s="56">
        <f t="shared" ref="H76:H81" si="8">IF($A76=0,"",ROUND(G76*F76,2))</f>
        <v>7.67</v>
      </c>
      <c r="I76" s="2"/>
    </row>
    <row r="77" spans="1:9" x14ac:dyDescent="0.25">
      <c r="A77" s="103">
        <v>20016</v>
      </c>
      <c r="B77" s="69" t="str">
        <f>IF($A77=0,"",VLOOKUP($A77,'BASE M-OBRA'!$A:$D,2))</f>
        <v>GAFITERO</v>
      </c>
      <c r="C77" s="2"/>
      <c r="D77" s="108">
        <v>1</v>
      </c>
      <c r="E77" s="70">
        <f>IF($A77=0,"",VLOOKUP($A77,'BASE M-OBRA'!$A:$D,4))</f>
        <v>2.82</v>
      </c>
      <c r="F77" s="55">
        <f t="shared" si="7"/>
        <v>2.82</v>
      </c>
      <c r="G77" s="106">
        <f>+G76</f>
        <v>2.75</v>
      </c>
      <c r="H77" s="56">
        <f t="shared" si="8"/>
        <v>7.76</v>
      </c>
      <c r="I77" s="2"/>
    </row>
    <row r="78" spans="1:9" x14ac:dyDescent="0.25">
      <c r="B78" s="71" t="str">
        <f>IF($A78=0,"",VLOOKUP($A78,'BASE M-OBRA'!$A:$D,2))</f>
        <v/>
      </c>
      <c r="C78" s="2"/>
      <c r="D78" s="108"/>
      <c r="E78" s="70" t="str">
        <f>IF($A78=0,"",VLOOKUP($A78,'BASE M-OBRA'!$A:$D,4))</f>
        <v/>
      </c>
      <c r="F78" s="55" t="str">
        <f t="shared" si="7"/>
        <v/>
      </c>
      <c r="G78" s="106"/>
      <c r="H78" s="56" t="str">
        <f t="shared" si="8"/>
        <v/>
      </c>
      <c r="I78" s="2"/>
    </row>
    <row r="79" spans="1:9" x14ac:dyDescent="0.25">
      <c r="B79" s="72" t="str">
        <f>IF($A79=0,"",VLOOKUP($A79,'BASE M-OBRA'!$A:$D,2))</f>
        <v/>
      </c>
      <c r="C79" s="2"/>
      <c r="D79" s="108"/>
      <c r="E79" s="70" t="str">
        <f>IF($A79=0,"",VLOOKUP($A79,'BASE M-OBRA'!$A:$D,4))</f>
        <v/>
      </c>
      <c r="F79" s="55" t="str">
        <f t="shared" si="7"/>
        <v/>
      </c>
      <c r="G79" s="106"/>
      <c r="H79" s="56" t="str">
        <f t="shared" si="8"/>
        <v/>
      </c>
      <c r="I79" s="2"/>
    </row>
    <row r="80" spans="1:9" x14ac:dyDescent="0.25">
      <c r="B80" s="38" t="str">
        <f>IF($A80=0,"",VLOOKUP($A80,'BASE M-OBRA'!$A:$D,2))</f>
        <v/>
      </c>
      <c r="C80" s="2"/>
      <c r="D80" s="55"/>
      <c r="E80" s="55" t="str">
        <f>IF($A80=0,"",VLOOKUP($A80,'BASE M-OBRA'!$A:$D,4))</f>
        <v/>
      </c>
      <c r="F80" s="55" t="str">
        <f t="shared" si="7"/>
        <v/>
      </c>
      <c r="G80" s="106"/>
      <c r="H80" s="56" t="str">
        <f t="shared" si="8"/>
        <v/>
      </c>
      <c r="I80" s="2"/>
    </row>
    <row r="81" spans="1:16" x14ac:dyDescent="0.25">
      <c r="B81" s="57" t="str">
        <f>IF($A81=0,"",VLOOKUP($A81,'BASE M-OBRA'!$A:$D,2))</f>
        <v/>
      </c>
      <c r="C81" s="58"/>
      <c r="D81" s="59"/>
      <c r="E81" s="59" t="str">
        <f>IF($A81=0,"",VLOOKUP($A81,'BASE M-OBRA'!$A:$D,4))</f>
        <v/>
      </c>
      <c r="F81" s="59" t="str">
        <f t="shared" si="7"/>
        <v/>
      </c>
      <c r="G81" s="107"/>
      <c r="H81" s="60" t="str">
        <f t="shared" si="8"/>
        <v/>
      </c>
      <c r="I81" s="2"/>
    </row>
    <row r="82" spans="1:16" x14ac:dyDescent="0.25">
      <c r="B82" s="73" t="s">
        <v>1685</v>
      </c>
      <c r="C82" s="65"/>
      <c r="D82" s="74"/>
      <c r="E82" s="74"/>
      <c r="F82" s="74"/>
      <c r="G82" s="74"/>
      <c r="H82" s="75">
        <f>ROUND(SUM(H74:H81),2)</f>
        <v>15.43</v>
      </c>
      <c r="I82" s="2"/>
    </row>
    <row r="83" spans="1:16" x14ac:dyDescent="0.25">
      <c r="B83" s="38" t="s">
        <v>1684</v>
      </c>
      <c r="C83" s="2"/>
      <c r="D83" s="3"/>
      <c r="E83" s="3"/>
      <c r="F83" s="3"/>
      <c r="G83" s="3"/>
      <c r="H83" s="56"/>
      <c r="I83" s="2"/>
    </row>
    <row r="84" spans="1:16" ht="25.5" x14ac:dyDescent="0.25">
      <c r="B84" s="64" t="s">
        <v>1409</v>
      </c>
      <c r="C84" s="65"/>
      <c r="D84" s="76"/>
      <c r="E84" s="66" t="s">
        <v>1408</v>
      </c>
      <c r="F84" s="66" t="s">
        <v>1679</v>
      </c>
      <c r="G84" s="66" t="s">
        <v>1683</v>
      </c>
      <c r="H84" s="68" t="s">
        <v>1675</v>
      </c>
      <c r="I84" s="2"/>
    </row>
    <row r="85" spans="1:16" x14ac:dyDescent="0.25">
      <c r="A85" s="103">
        <v>1</v>
      </c>
      <c r="B85" s="37" t="s">
        <v>100</v>
      </c>
      <c r="C85" s="2"/>
      <c r="D85" s="77"/>
      <c r="E85" s="78" t="s">
        <v>1506</v>
      </c>
      <c r="F85" s="55">
        <v>1</v>
      </c>
      <c r="G85" s="55">
        <v>68</v>
      </c>
      <c r="H85" s="56">
        <f t="shared" ref="H85:H99" si="9">IF($A85=0,"",ROUND(F85*G85,2))</f>
        <v>68</v>
      </c>
      <c r="I85" s="2"/>
      <c r="J85" s="1">
        <f>14.84/3</f>
        <v>4.9466666666666663</v>
      </c>
      <c r="L85" s="2"/>
      <c r="M85" s="2"/>
      <c r="N85" s="39"/>
      <c r="O85" s="2"/>
      <c r="P85" s="2"/>
    </row>
    <row r="86" spans="1:16" x14ac:dyDescent="0.25">
      <c r="A86" s="103">
        <v>1</v>
      </c>
      <c r="B86" s="38" t="s">
        <v>94</v>
      </c>
      <c r="C86" s="2"/>
      <c r="D86" s="77"/>
      <c r="E86" s="78" t="s">
        <v>1506</v>
      </c>
      <c r="F86" s="55">
        <v>1</v>
      </c>
      <c r="G86" s="55">
        <v>5.5</v>
      </c>
      <c r="H86" s="56">
        <f t="shared" si="9"/>
        <v>5.5</v>
      </c>
      <c r="I86" s="2"/>
    </row>
    <row r="87" spans="1:16" x14ac:dyDescent="0.25">
      <c r="A87" s="103">
        <v>1</v>
      </c>
      <c r="B87" s="38" t="s">
        <v>93</v>
      </c>
      <c r="C87" s="2"/>
      <c r="D87" s="77"/>
      <c r="E87" s="78" t="s">
        <v>1506</v>
      </c>
      <c r="F87" s="55">
        <v>1</v>
      </c>
      <c r="G87" s="55">
        <v>5.5</v>
      </c>
      <c r="H87" s="56">
        <f t="shared" si="9"/>
        <v>5.5</v>
      </c>
      <c r="I87" s="2"/>
      <c r="L87" s="2"/>
      <c r="M87" s="2"/>
      <c r="N87" s="39"/>
      <c r="O87" s="2"/>
      <c r="P87" s="2"/>
    </row>
    <row r="88" spans="1:16" x14ac:dyDescent="0.25">
      <c r="A88" s="103">
        <v>1</v>
      </c>
      <c r="B88" s="38" t="s">
        <v>99</v>
      </c>
      <c r="C88" s="2"/>
      <c r="D88" s="77"/>
      <c r="E88" s="78" t="s">
        <v>1506</v>
      </c>
      <c r="F88" s="55">
        <v>1</v>
      </c>
      <c r="G88" s="55">
        <v>36.14</v>
      </c>
      <c r="H88" s="56">
        <f t="shared" si="9"/>
        <v>36.14</v>
      </c>
      <c r="I88" s="2"/>
      <c r="L88" s="2"/>
      <c r="M88" s="2"/>
      <c r="N88" s="39"/>
      <c r="O88" s="2"/>
      <c r="P88" s="2"/>
    </row>
    <row r="89" spans="1:16" x14ac:dyDescent="0.25">
      <c r="A89" s="103">
        <v>1</v>
      </c>
      <c r="B89" s="38"/>
      <c r="C89" s="2"/>
      <c r="D89" s="77"/>
      <c r="E89" s="78"/>
      <c r="F89" s="55"/>
      <c r="G89" s="55"/>
      <c r="H89" s="56">
        <f t="shared" si="9"/>
        <v>0</v>
      </c>
      <c r="I89" s="2"/>
      <c r="L89" s="2"/>
      <c r="M89" s="2"/>
      <c r="N89" s="39"/>
      <c r="O89" s="2"/>
      <c r="P89" s="2"/>
    </row>
    <row r="90" spans="1:16" x14ac:dyDescent="0.25">
      <c r="A90" s="103">
        <v>1</v>
      </c>
      <c r="B90" s="38" t="s">
        <v>85</v>
      </c>
      <c r="C90" s="2"/>
      <c r="D90" s="77"/>
      <c r="E90" s="78" t="s">
        <v>84</v>
      </c>
      <c r="F90" s="55">
        <v>0.155</v>
      </c>
      <c r="G90" s="55">
        <v>4.5999999999999996</v>
      </c>
      <c r="H90" s="56">
        <f t="shared" si="9"/>
        <v>0.71</v>
      </c>
      <c r="I90" s="2"/>
      <c r="L90" s="2"/>
      <c r="M90" s="2"/>
      <c r="N90" s="39"/>
      <c r="O90" s="2"/>
      <c r="P90" s="2"/>
    </row>
    <row r="91" spans="1:16" x14ac:dyDescent="0.25">
      <c r="A91" s="103">
        <v>1</v>
      </c>
      <c r="B91" s="38" t="s">
        <v>1</v>
      </c>
      <c r="C91" s="2"/>
      <c r="D91" s="77"/>
      <c r="E91" s="78" t="s">
        <v>0</v>
      </c>
      <c r="F91" s="55">
        <v>1.5</v>
      </c>
      <c r="G91" s="55">
        <v>0.35</v>
      </c>
      <c r="H91" s="56">
        <f t="shared" si="9"/>
        <v>0.53</v>
      </c>
      <c r="I91" s="2"/>
      <c r="L91" s="2"/>
      <c r="M91" s="2"/>
      <c r="N91" s="39"/>
      <c r="O91" s="2"/>
      <c r="P91" s="2"/>
    </row>
    <row r="92" spans="1:16" x14ac:dyDescent="0.25">
      <c r="A92" s="103">
        <v>1</v>
      </c>
      <c r="B92" s="38" t="s">
        <v>83</v>
      </c>
      <c r="C92" s="2"/>
      <c r="D92" s="77"/>
      <c r="E92" s="78" t="s">
        <v>5</v>
      </c>
      <c r="F92" s="55">
        <v>0.25</v>
      </c>
      <c r="G92" s="55">
        <v>4.72</v>
      </c>
      <c r="H92" s="56">
        <f t="shared" si="9"/>
        <v>1.18</v>
      </c>
      <c r="I92" s="2"/>
      <c r="L92" s="2"/>
      <c r="M92" s="2"/>
      <c r="N92" s="39"/>
      <c r="O92" s="2"/>
      <c r="P92" s="2"/>
    </row>
    <row r="93" spans="1:16" x14ac:dyDescent="0.25">
      <c r="B93" s="38"/>
      <c r="C93" s="2"/>
      <c r="D93" s="77"/>
      <c r="E93" s="78"/>
      <c r="F93" s="55"/>
      <c r="G93" s="55"/>
      <c r="H93" s="56" t="str">
        <f t="shared" si="9"/>
        <v/>
      </c>
      <c r="I93" s="2"/>
    </row>
    <row r="94" spans="1:16" x14ac:dyDescent="0.25">
      <c r="B94" s="38" t="str">
        <f>IF($A94=0,"",VLOOKUP($A94,'BASE MATERIAL'!$A:$D,2))</f>
        <v/>
      </c>
      <c r="C94" s="2"/>
      <c r="D94" s="77"/>
      <c r="E94" s="78" t="str">
        <f>IF($A94=0,"",VLOOKUP($A94,'BASE MATERIAL'!$A:$D,3))</f>
        <v/>
      </c>
      <c r="F94" s="55"/>
      <c r="G94" s="55" t="str">
        <f>IF($A94=0,"",VLOOKUP($A94,'BASE MATERIAL'!$A:$D,4))</f>
        <v/>
      </c>
      <c r="H94" s="56" t="str">
        <f t="shared" si="9"/>
        <v/>
      </c>
      <c r="I94" s="2"/>
      <c r="L94" s="2"/>
      <c r="M94" s="2"/>
      <c r="N94" s="39"/>
      <c r="O94" s="2"/>
      <c r="P94" s="2"/>
    </row>
    <row r="95" spans="1:16" x14ac:dyDescent="0.25">
      <c r="B95" s="38" t="str">
        <f>IF($A95=0,"",VLOOKUP($A95,'BASE MATERIAL'!$A:$D,2))</f>
        <v/>
      </c>
      <c r="C95" s="2"/>
      <c r="D95" s="77"/>
      <c r="E95" s="78" t="str">
        <f>IF($A95=0,"",VLOOKUP($A95,'BASE MATERIAL'!$A:$D,3))</f>
        <v/>
      </c>
      <c r="F95" s="55"/>
      <c r="G95" s="55" t="str">
        <f>IF($A95=0,"",VLOOKUP($A95,'BASE MATERIAL'!$A:$D,4))</f>
        <v/>
      </c>
      <c r="H95" s="56" t="str">
        <f t="shared" si="9"/>
        <v/>
      </c>
      <c r="I95" s="2"/>
      <c r="L95" s="2"/>
      <c r="M95" s="2"/>
      <c r="N95" s="39"/>
      <c r="O95" s="2"/>
      <c r="P95" s="2"/>
    </row>
    <row r="96" spans="1:16" x14ac:dyDescent="0.25">
      <c r="B96" s="38" t="str">
        <f>IF($A96=0,"",VLOOKUP($A96,'BASE MATERIAL'!$A:$D,2))</f>
        <v/>
      </c>
      <c r="C96" s="2"/>
      <c r="D96" s="77"/>
      <c r="E96" s="78" t="str">
        <f>IF($A96=0,"",VLOOKUP($A96,'BASE MATERIAL'!$A:$D,3))</f>
        <v/>
      </c>
      <c r="F96" s="55"/>
      <c r="G96" s="55" t="str">
        <f>IF($A96=0,"",VLOOKUP($A96,'BASE MATERIAL'!$A:$D,4))</f>
        <v/>
      </c>
      <c r="H96" s="56" t="str">
        <f t="shared" si="9"/>
        <v/>
      </c>
      <c r="I96" s="2"/>
    </row>
    <row r="97" spans="1:9" x14ac:dyDescent="0.25">
      <c r="B97" s="38" t="str">
        <f>IF($A97=0,"",VLOOKUP($A97,'BASE MATERIAL'!$A:$D,2))</f>
        <v/>
      </c>
      <c r="C97" s="2"/>
      <c r="D97" s="77"/>
      <c r="E97" s="78" t="str">
        <f>IF($A97=0,"",VLOOKUP($A97,'BASE MATERIAL'!$A:$D,3))</f>
        <v/>
      </c>
      <c r="F97" s="55"/>
      <c r="G97" s="55" t="str">
        <f>IF($A97=0,"",VLOOKUP($A97,'BASE MATERIAL'!$A:$D,4))</f>
        <v/>
      </c>
      <c r="H97" s="56" t="str">
        <f t="shared" si="9"/>
        <v/>
      </c>
      <c r="I97" s="2"/>
    </row>
    <row r="98" spans="1:9" x14ac:dyDescent="0.25">
      <c r="B98" s="38" t="str">
        <f>IF($A98=0,"",VLOOKUP($A98,'BASE MATERIAL'!$A:$D,2))</f>
        <v/>
      </c>
      <c r="C98" s="2"/>
      <c r="D98" s="77"/>
      <c r="E98" s="78" t="str">
        <f>IF($A98=0,"",VLOOKUP($A98,'BASE MATERIAL'!$A:$D,3))</f>
        <v/>
      </c>
      <c r="F98" s="55"/>
      <c r="G98" s="55" t="str">
        <f>IF($A98=0,"",VLOOKUP($A98,'BASE MATERIAL'!$A:$D,4))</f>
        <v/>
      </c>
      <c r="H98" s="56" t="str">
        <f t="shared" si="9"/>
        <v/>
      </c>
      <c r="I98" s="2"/>
    </row>
    <row r="99" spans="1:9" x14ac:dyDescent="0.25">
      <c r="B99" s="38" t="str">
        <f>IF($A99=0,"",VLOOKUP($A99,'BASE MATERIAL'!$A:$D,2))</f>
        <v/>
      </c>
      <c r="C99" s="2"/>
      <c r="D99" s="77"/>
      <c r="E99" s="78" t="str">
        <f>IF($A99=0,"",VLOOKUP($A99,'BASE MATERIAL'!$A:$D,3))</f>
        <v/>
      </c>
      <c r="F99" s="55"/>
      <c r="G99" s="55" t="str">
        <f>IF($A99=0,"",VLOOKUP($A99,'BASE MATERIAL'!$A:$D,4))</f>
        <v/>
      </c>
      <c r="H99" s="56" t="str">
        <f t="shared" si="9"/>
        <v/>
      </c>
      <c r="I99" s="2"/>
    </row>
    <row r="100" spans="1:9" x14ac:dyDescent="0.25">
      <c r="B100" s="38" t="str">
        <f>IF($A100=0,"",VLOOKUP($A100,'BASE MATERIAL'!$A:$D,2))</f>
        <v/>
      </c>
      <c r="C100" s="2"/>
      <c r="D100" s="81" t="s">
        <v>1682</v>
      </c>
      <c r="E100" s="55" t="str">
        <f>IF($A100=0,"",VLOOKUP($A100,'BASE MATERIAL'!$A:$D,3))</f>
        <v/>
      </c>
      <c r="F100" s="55" t="s">
        <v>1682</v>
      </c>
      <c r="G100" s="55" t="str">
        <f>IF($A100=0,"",VLOOKUP($A100,'BASE MATERIAL'!$A:$D,4))</f>
        <v/>
      </c>
      <c r="H100" s="56" t="str">
        <f>IF($A100=0,"",ROUND(E100*F100,2))</f>
        <v/>
      </c>
      <c r="I100" s="2"/>
    </row>
    <row r="101" spans="1:9" x14ac:dyDescent="0.25">
      <c r="B101" s="73" t="s">
        <v>1681</v>
      </c>
      <c r="C101" s="65"/>
      <c r="D101" s="74"/>
      <c r="E101" s="74"/>
      <c r="F101" s="74"/>
      <c r="G101" s="74"/>
      <c r="H101" s="75">
        <f>ROUND(SUM(H84:H100),2)</f>
        <v>117.56</v>
      </c>
      <c r="I101" s="2"/>
    </row>
    <row r="102" spans="1:9" x14ac:dyDescent="0.25">
      <c r="B102" s="38" t="s">
        <v>1680</v>
      </c>
      <c r="C102" s="2"/>
      <c r="D102" s="3"/>
      <c r="E102" s="3"/>
      <c r="F102" s="3"/>
      <c r="G102" s="3"/>
      <c r="H102" s="56"/>
      <c r="I102" s="2"/>
    </row>
    <row r="103" spans="1:9" ht="25.5" x14ac:dyDescent="0.25">
      <c r="B103" s="64" t="s">
        <v>1409</v>
      </c>
      <c r="C103" s="65"/>
      <c r="D103" s="76"/>
      <c r="E103" s="66" t="s">
        <v>1408</v>
      </c>
      <c r="F103" s="66" t="s">
        <v>1679</v>
      </c>
      <c r="G103" s="66" t="s">
        <v>1676</v>
      </c>
      <c r="H103" s="68" t="s">
        <v>1675</v>
      </c>
      <c r="I103" s="2"/>
    </row>
    <row r="104" spans="1:9" x14ac:dyDescent="0.25">
      <c r="A104" s="103">
        <v>19019</v>
      </c>
      <c r="B104" s="51" t="str">
        <f>IF($A104=0,"",VLOOKUP($A104,'BASE EQUIPO'!$A:$D,2))</f>
        <v>TRANSPORTE DE MATERIAL</v>
      </c>
      <c r="C104" s="52"/>
      <c r="D104" s="82"/>
      <c r="E104" s="78" t="str">
        <f>IF($A104=0,"",VLOOKUP($A104,'BASE EQUIPO'!$A:$D,3))</f>
        <v>GLOBAL</v>
      </c>
      <c r="F104" s="55">
        <v>1</v>
      </c>
      <c r="G104" s="83">
        <f>IF($A104=0,"",VLOOKUP($A104,'BASE EQUIPO'!$A:$D,4)*H101)</f>
        <v>3.5268000000000002</v>
      </c>
      <c r="H104" s="56">
        <f>IF($A104=0,"",ROUND(F104*G104,2))</f>
        <v>3.53</v>
      </c>
      <c r="I104" s="2"/>
    </row>
    <row r="105" spans="1:9" x14ac:dyDescent="0.25">
      <c r="B105" s="38" t="str">
        <f>IF($A105=0,"",VLOOKUP($A105,'BASE EQUIPO'!$A:$D,2))</f>
        <v/>
      </c>
      <c r="C105" s="2"/>
      <c r="D105" s="84"/>
      <c r="E105" s="78" t="str">
        <f>IF($A105=0,"",VLOOKUP($A105,'BASE EQUIPO'!$A:$D,3))</f>
        <v/>
      </c>
      <c r="F105" s="55"/>
      <c r="G105" s="55" t="str">
        <f>IF($A105=0,"",VLOOKUP($A105,'BASE EQUIPO'!$A:$D,4)*H102)</f>
        <v/>
      </c>
      <c r="H105" s="56" t="str">
        <f>IF($A105=0,"",ROUND(F105*G105,2))</f>
        <v/>
      </c>
      <c r="I105" s="2"/>
    </row>
    <row r="106" spans="1:9" x14ac:dyDescent="0.25">
      <c r="B106" s="57" t="str">
        <f>IF($A106=0,"",VLOOKUP($A106,'BASE EQUIPO'!$A:$D,2))</f>
        <v/>
      </c>
      <c r="C106" s="58"/>
      <c r="D106" s="85"/>
      <c r="E106" s="86" t="str">
        <f>IF($A106=0,"",VLOOKUP($A106,'BASE EQUIPO'!$A:$D,3))</f>
        <v/>
      </c>
      <c r="F106" s="59"/>
      <c r="G106" s="59" t="str">
        <f>IF($A106=0,"",VLOOKUP($A106,'BASE EQUIPO'!$A:$D,4)*H103)</f>
        <v/>
      </c>
      <c r="H106" s="60" t="str">
        <f>IF($A106=0,"",ROUND(F106*G106,2))</f>
        <v/>
      </c>
      <c r="I106" s="2"/>
    </row>
    <row r="107" spans="1:9" ht="15.75" thickBot="1" x14ac:dyDescent="0.3">
      <c r="B107" s="87" t="s">
        <v>1674</v>
      </c>
      <c r="C107" s="88"/>
      <c r="D107" s="89"/>
      <c r="E107" s="89"/>
      <c r="F107" s="89"/>
      <c r="G107" s="89"/>
      <c r="H107" s="90">
        <f>ROUND(SUM(H103:H106),2)</f>
        <v>3.53</v>
      </c>
      <c r="I107" s="2"/>
    </row>
    <row r="108" spans="1:9" ht="15.75" x14ac:dyDescent="0.25">
      <c r="B108" s="2"/>
      <c r="C108" s="2"/>
      <c r="D108" s="91" t="s">
        <v>1673</v>
      </c>
      <c r="E108" s="47"/>
      <c r="F108" s="47"/>
      <c r="G108" s="47"/>
      <c r="H108" s="92">
        <f>ROUND(SUM(H107,H101,H82,H72),2)</f>
        <v>137.29</v>
      </c>
      <c r="I108" s="2"/>
    </row>
    <row r="109" spans="1:9" ht="15.75" x14ac:dyDescent="0.25">
      <c r="A109" s="103">
        <v>40002</v>
      </c>
      <c r="B109" s="2"/>
      <c r="C109" s="2"/>
      <c r="D109" s="93" t="s">
        <v>1672</v>
      </c>
      <c r="E109" s="65"/>
      <c r="F109" s="65"/>
      <c r="G109" s="94">
        <f>IF($A109=0,"",VLOOKUP($A109,'BASE MATERIAL'!$M:$P,4))</f>
        <v>0</v>
      </c>
      <c r="H109" s="95">
        <f>IF($A109=0,"",ROUND(G109*H108,2))</f>
        <v>0</v>
      </c>
      <c r="I109" s="2"/>
    </row>
    <row r="110" spans="1:9" ht="15.75" x14ac:dyDescent="0.25">
      <c r="A110" s="103">
        <v>40003</v>
      </c>
      <c r="B110" s="2"/>
      <c r="C110" s="2"/>
      <c r="D110" s="93" t="s">
        <v>1671</v>
      </c>
      <c r="E110" s="65"/>
      <c r="F110" s="65"/>
      <c r="G110" s="94">
        <f>IF($A110=0,"",VLOOKUP($A110,'BASE MATERIAL'!$M:$P,4))</f>
        <v>0</v>
      </c>
      <c r="H110" s="95">
        <f>IF($A110=0,"",ROUND(G110*H108,2))</f>
        <v>0</v>
      </c>
      <c r="I110" s="2"/>
    </row>
    <row r="111" spans="1:9" ht="15.75" x14ac:dyDescent="0.25">
      <c r="B111" s="2"/>
      <c r="C111" s="2"/>
      <c r="D111" s="93" t="s">
        <v>1670</v>
      </c>
      <c r="E111" s="65"/>
      <c r="F111" s="65"/>
      <c r="G111" s="65"/>
      <c r="H111" s="96">
        <f>ROUND(SUM(H108:H110),2)</f>
        <v>137.29</v>
      </c>
      <c r="I111" s="2"/>
    </row>
    <row r="112" spans="1:9" ht="16.5" thickBot="1" x14ac:dyDescent="0.3">
      <c r="B112" s="25"/>
      <c r="C112" s="2"/>
      <c r="D112" s="97" t="s">
        <v>1650</v>
      </c>
      <c r="E112" s="88"/>
      <c r="F112" s="88"/>
      <c r="G112" s="88"/>
      <c r="H112" s="98">
        <f>ROUND(H111,2)</f>
        <v>137.29</v>
      </c>
      <c r="I112" s="2"/>
    </row>
    <row r="113" spans="1:15" ht="15.75" x14ac:dyDescent="0.25">
      <c r="B113" s="34" t="s">
        <v>1701</v>
      </c>
      <c r="C113" s="2"/>
      <c r="D113" s="3" t="str">
        <f>$D$1</f>
        <v>ESPOL</v>
      </c>
      <c r="E113" s="2"/>
      <c r="F113" s="2"/>
      <c r="H113" s="2" t="s">
        <v>108</v>
      </c>
      <c r="I113" s="2"/>
      <c r="L113" s="40">
        <f>A117</f>
        <v>16</v>
      </c>
      <c r="M113" s="1" t="str">
        <f>C118</f>
        <v>Lavamanos de empotrar</v>
      </c>
      <c r="N113" s="2" t="str">
        <f>H117</f>
        <v>U</v>
      </c>
      <c r="O113" s="2">
        <f>H168</f>
        <v>157.08000000000001</v>
      </c>
    </row>
    <row r="114" spans="1:15" ht="15.75" x14ac:dyDescent="0.25">
      <c r="B114" s="34" t="s">
        <v>1700</v>
      </c>
      <c r="C114" s="3">
        <f>'1.1'!$C$2</f>
        <v>0</v>
      </c>
      <c r="D114" s="2"/>
      <c r="E114" s="2"/>
      <c r="F114" s="2"/>
      <c r="G114" s="41" t="s">
        <v>1699</v>
      </c>
      <c r="H114" s="42"/>
      <c r="I114" s="2" t="s">
        <v>1698</v>
      </c>
    </row>
    <row r="115" spans="1:15" ht="15.75" x14ac:dyDescent="0.25">
      <c r="B115" s="34"/>
      <c r="C115" s="3">
        <f>'1.1'!$C$3</f>
        <v>0</v>
      </c>
      <c r="D115" s="2"/>
      <c r="E115" s="2"/>
      <c r="F115" s="2"/>
      <c r="G115" s="2"/>
      <c r="H115" s="2"/>
      <c r="I115" s="2"/>
    </row>
    <row r="116" spans="1:15" ht="15.75" x14ac:dyDescent="0.25">
      <c r="B116" s="34" t="s">
        <v>1697</v>
      </c>
      <c r="C116" s="3"/>
      <c r="D116" s="2"/>
      <c r="E116" s="2"/>
      <c r="F116" s="2"/>
      <c r="G116" s="2"/>
      <c r="H116" s="2"/>
      <c r="I116" s="2"/>
    </row>
    <row r="117" spans="1:15" x14ac:dyDescent="0.25">
      <c r="A117" s="104">
        <v>16</v>
      </c>
      <c r="B117" s="2" t="s">
        <v>1586</v>
      </c>
      <c r="C117" s="101" t="s">
        <v>1661</v>
      </c>
      <c r="D117" s="2"/>
      <c r="G117" s="2" t="s">
        <v>1696</v>
      </c>
      <c r="H117" s="3" t="s">
        <v>744</v>
      </c>
      <c r="I117" s="2"/>
    </row>
    <row r="118" spans="1:15" x14ac:dyDescent="0.25">
      <c r="B118" s="1" t="s">
        <v>1585</v>
      </c>
      <c r="C118" s="36" t="s">
        <v>580</v>
      </c>
      <c r="D118" s="2"/>
      <c r="E118" s="2"/>
      <c r="F118" s="2"/>
      <c r="G118" s="2"/>
      <c r="H118" s="2"/>
      <c r="I118" s="2"/>
    </row>
    <row r="119" spans="1:15" ht="15.75" thickBot="1" x14ac:dyDescent="0.3">
      <c r="D119" s="2"/>
      <c r="E119" s="2"/>
      <c r="F119" s="2"/>
      <c r="G119" s="2"/>
      <c r="H119" s="2"/>
      <c r="I119" s="2"/>
    </row>
    <row r="120" spans="1:15" ht="15.75" thickBot="1" x14ac:dyDescent="0.3">
      <c r="B120" s="43" t="s">
        <v>1695</v>
      </c>
      <c r="C120" s="44"/>
      <c r="D120" s="44"/>
      <c r="E120" s="44"/>
      <c r="F120" s="44"/>
      <c r="G120" s="44"/>
      <c r="H120" s="45"/>
      <c r="I120" s="2"/>
    </row>
    <row r="121" spans="1:15" ht="25.5" x14ac:dyDescent="0.25">
      <c r="B121" s="46" t="s">
        <v>1409</v>
      </c>
      <c r="C121" s="47"/>
      <c r="D121" s="48" t="s">
        <v>1690</v>
      </c>
      <c r="E121" s="48" t="s">
        <v>1694</v>
      </c>
      <c r="F121" s="48" t="s">
        <v>1693</v>
      </c>
      <c r="G121" s="49" t="s">
        <v>1687</v>
      </c>
      <c r="H121" s="50" t="s">
        <v>1686</v>
      </c>
      <c r="I121" s="2"/>
    </row>
    <row r="122" spans="1:15" x14ac:dyDescent="0.25">
      <c r="A122" s="103">
        <v>19015</v>
      </c>
      <c r="B122" s="51" t="str">
        <f>IF($A122=0,"",VLOOKUP($A122,'BASE EQUIPO'!$A:$D,2))</f>
        <v>HERRAMIENTA MENOR</v>
      </c>
      <c r="C122" s="52"/>
      <c r="D122" s="53">
        <v>1</v>
      </c>
      <c r="E122" s="53">
        <f>IF($A122=0,"",VLOOKUP($A122,'BASE EQUIPO'!$A:$D,4)*H138)</f>
        <v>0.46289999999999998</v>
      </c>
      <c r="F122" s="53">
        <f t="shared" ref="F122:F127" si="10">IF($A122=0,"",ROUND(D122*E122,2))</f>
        <v>0.46</v>
      </c>
      <c r="G122" s="105">
        <v>1</v>
      </c>
      <c r="H122" s="54">
        <f t="shared" ref="H122:H127" si="11">IF($A122=0,"",ROUND(G122*F122,2))</f>
        <v>0.46</v>
      </c>
      <c r="I122" s="2"/>
    </row>
    <row r="123" spans="1:15" x14ac:dyDescent="0.25">
      <c r="B123" s="38" t="str">
        <f>IF($A123=0,"",VLOOKUP($A123,'BASE EQUIPO'!$A:$D,2))</f>
        <v/>
      </c>
      <c r="C123" s="2"/>
      <c r="D123" s="55"/>
      <c r="E123" s="55" t="str">
        <f>IF($A123=0,"",VLOOKUP($A123,'BASE EQUIPO'!$A:$D,4))</f>
        <v/>
      </c>
      <c r="F123" s="55" t="str">
        <f t="shared" si="10"/>
        <v/>
      </c>
      <c r="G123" s="106"/>
      <c r="H123" s="56" t="str">
        <f t="shared" si="11"/>
        <v/>
      </c>
      <c r="I123" s="2"/>
    </row>
    <row r="124" spans="1:15" x14ac:dyDescent="0.25">
      <c r="B124" s="38" t="str">
        <f>IF($A124=0,"",VLOOKUP($A124,'BASE EQUIPO'!$A:$D,2))</f>
        <v/>
      </c>
      <c r="C124" s="2"/>
      <c r="D124" s="55"/>
      <c r="E124" s="55" t="str">
        <f>IF($A124=0,"",VLOOKUP($A124,'BASE EQUIPO'!$A:$D,4))</f>
        <v/>
      </c>
      <c r="F124" s="55" t="str">
        <f t="shared" si="10"/>
        <v/>
      </c>
      <c r="G124" s="106"/>
      <c r="H124" s="56" t="str">
        <f t="shared" si="11"/>
        <v/>
      </c>
      <c r="I124" s="2"/>
    </row>
    <row r="125" spans="1:15" x14ac:dyDescent="0.25">
      <c r="B125" s="38" t="str">
        <f>IF($A125=0,"",VLOOKUP($A125,'BASE EQUIPO'!$A:$D,2))</f>
        <v/>
      </c>
      <c r="C125" s="2"/>
      <c r="D125" s="55"/>
      <c r="E125" s="55" t="str">
        <f>IF($A125=0,"",VLOOKUP($A125,'BASE EQUIPO'!$A:$D,4))</f>
        <v/>
      </c>
      <c r="F125" s="55" t="str">
        <f t="shared" si="10"/>
        <v/>
      </c>
      <c r="G125" s="106"/>
      <c r="H125" s="56" t="str">
        <f t="shared" si="11"/>
        <v/>
      </c>
      <c r="I125" s="2"/>
    </row>
    <row r="126" spans="1:15" x14ac:dyDescent="0.25">
      <c r="B126" s="38" t="str">
        <f>IF($A126=0,"",VLOOKUP($A126,'BASE EQUIPO'!$A:$D,2))</f>
        <v/>
      </c>
      <c r="C126" s="2"/>
      <c r="D126" s="55"/>
      <c r="E126" s="55" t="str">
        <f>IF($A126=0,"",VLOOKUP($A126,'BASE EQUIPO'!$A:$D,4))</f>
        <v/>
      </c>
      <c r="F126" s="55" t="str">
        <f t="shared" si="10"/>
        <v/>
      </c>
      <c r="G126" s="106"/>
      <c r="H126" s="56" t="str">
        <f t="shared" si="11"/>
        <v/>
      </c>
      <c r="I126" s="2"/>
    </row>
    <row r="127" spans="1:15" x14ac:dyDescent="0.25">
      <c r="B127" s="57" t="str">
        <f>IF($A127=0,"",VLOOKUP($A127,'BASE EQUIPO'!$A:$D,2))</f>
        <v/>
      </c>
      <c r="C127" s="58"/>
      <c r="D127" s="59"/>
      <c r="E127" s="59" t="str">
        <f>IF($A127=0,"",VLOOKUP($A127,'BASE EQUIPO'!$A:$D,4))</f>
        <v/>
      </c>
      <c r="F127" s="59" t="str">
        <f t="shared" si="10"/>
        <v/>
      </c>
      <c r="G127" s="107"/>
      <c r="H127" s="60" t="str">
        <f t="shared" si="11"/>
        <v/>
      </c>
      <c r="I127" s="2"/>
    </row>
    <row r="128" spans="1:15" x14ac:dyDescent="0.25">
      <c r="B128" s="57" t="s">
        <v>1692</v>
      </c>
      <c r="C128" s="58"/>
      <c r="D128" s="61"/>
      <c r="E128" s="61"/>
      <c r="F128" s="61"/>
      <c r="G128" s="62"/>
      <c r="H128" s="60">
        <f>ROUND(SUM(H121:H127),2)</f>
        <v>0.46</v>
      </c>
      <c r="I128" s="2"/>
    </row>
    <row r="129" spans="1:16" x14ac:dyDescent="0.25">
      <c r="B129" s="38" t="s">
        <v>1503</v>
      </c>
      <c r="C129" s="2"/>
      <c r="D129" s="3"/>
      <c r="E129" s="3"/>
      <c r="F129" s="3"/>
      <c r="G129" s="63"/>
      <c r="H129" s="56"/>
      <c r="I129" s="2"/>
    </row>
    <row r="130" spans="1:16" ht="25.5" x14ac:dyDescent="0.25">
      <c r="B130" s="64" t="s">
        <v>1691</v>
      </c>
      <c r="C130" s="65"/>
      <c r="D130" s="66" t="s">
        <v>1690</v>
      </c>
      <c r="E130" s="66" t="s">
        <v>1689</v>
      </c>
      <c r="F130" s="66" t="s">
        <v>1688</v>
      </c>
      <c r="G130" s="67" t="s">
        <v>1687</v>
      </c>
      <c r="H130" s="68" t="s">
        <v>1686</v>
      </c>
      <c r="I130" s="2"/>
    </row>
    <row r="131" spans="1:16" x14ac:dyDescent="0.25">
      <c r="B131" s="69" t="str">
        <f>IF($A131=0,"",VLOOKUP($A131,'BASE M-OBRA'!$A:$D,2))</f>
        <v/>
      </c>
      <c r="C131" s="2"/>
      <c r="D131" s="108"/>
      <c r="E131" s="70" t="str">
        <f>IF($A131=0,"",VLOOKUP($A131,'BASE M-OBRA'!$A:$D,4))</f>
        <v/>
      </c>
      <c r="F131" s="55" t="str">
        <f t="shared" ref="F131:F137" si="12">IF($A131=0,"",ROUND(D131*E131,2))</f>
        <v/>
      </c>
      <c r="G131" s="106" t="str">
        <f>IF($A131=0,"",ROUND(H131/F131,2))</f>
        <v/>
      </c>
      <c r="H131" s="56" t="str">
        <f>IF($A131=0,"",ROUND(SUM(H132:H137)*'BASE M-OBRA'!$D$23,2))</f>
        <v/>
      </c>
      <c r="I131" s="2"/>
    </row>
    <row r="132" spans="1:16" x14ac:dyDescent="0.25">
      <c r="A132" s="103">
        <v>20011</v>
      </c>
      <c r="B132" s="69" t="str">
        <f>IF($A132=0,"",VLOOKUP($A132,'BASE M-OBRA'!$A:$D,2))</f>
        <v>AYUDANTE ESPECIALISTA</v>
      </c>
      <c r="C132" s="2"/>
      <c r="D132" s="108">
        <v>1</v>
      </c>
      <c r="E132" s="70">
        <f>IF($A132=0,"",VLOOKUP($A132,'BASE M-OBRA'!$A:$D,4))</f>
        <v>2.79</v>
      </c>
      <c r="F132" s="55">
        <f t="shared" si="12"/>
        <v>2.79</v>
      </c>
      <c r="G132" s="106">
        <v>2.75</v>
      </c>
      <c r="H132" s="56">
        <f t="shared" ref="H132:H137" si="13">IF($A132=0,"",ROUND(G132*F132,2))</f>
        <v>7.67</v>
      </c>
      <c r="I132" s="2"/>
    </row>
    <row r="133" spans="1:16" x14ac:dyDescent="0.25">
      <c r="A133" s="103">
        <v>20016</v>
      </c>
      <c r="B133" s="69" t="str">
        <f>IF($A133=0,"",VLOOKUP($A133,'BASE M-OBRA'!$A:$D,2))</f>
        <v>GAFITERO</v>
      </c>
      <c r="C133" s="2"/>
      <c r="D133" s="108">
        <v>1</v>
      </c>
      <c r="E133" s="70">
        <f>IF($A133=0,"",VLOOKUP($A133,'BASE M-OBRA'!$A:$D,4))</f>
        <v>2.82</v>
      </c>
      <c r="F133" s="55">
        <f t="shared" si="12"/>
        <v>2.82</v>
      </c>
      <c r="G133" s="106">
        <f>+G132</f>
        <v>2.75</v>
      </c>
      <c r="H133" s="56">
        <f t="shared" si="13"/>
        <v>7.76</v>
      </c>
      <c r="I133" s="2"/>
    </row>
    <row r="134" spans="1:16" x14ac:dyDescent="0.25">
      <c r="B134" s="71" t="str">
        <f>IF($A134=0,"",VLOOKUP($A134,'BASE M-OBRA'!$A:$D,2))</f>
        <v/>
      </c>
      <c r="C134" s="2"/>
      <c r="D134" s="108"/>
      <c r="E134" s="70" t="str">
        <f>IF($A134=0,"",VLOOKUP($A134,'BASE M-OBRA'!$A:$D,4))</f>
        <v/>
      </c>
      <c r="F134" s="55" t="str">
        <f t="shared" si="12"/>
        <v/>
      </c>
      <c r="G134" s="106"/>
      <c r="H134" s="56" t="str">
        <f t="shared" si="13"/>
        <v/>
      </c>
      <c r="I134" s="2"/>
    </row>
    <row r="135" spans="1:16" x14ac:dyDescent="0.25">
      <c r="B135" s="72" t="str">
        <f>IF($A135=0,"",VLOOKUP($A135,'BASE M-OBRA'!$A:$D,2))</f>
        <v/>
      </c>
      <c r="C135" s="2"/>
      <c r="D135" s="108"/>
      <c r="E135" s="70" t="str">
        <f>IF($A135=0,"",VLOOKUP($A135,'BASE M-OBRA'!$A:$D,4))</f>
        <v/>
      </c>
      <c r="F135" s="55" t="str">
        <f t="shared" si="12"/>
        <v/>
      </c>
      <c r="G135" s="106"/>
      <c r="H135" s="56" t="str">
        <f t="shared" si="13"/>
        <v/>
      </c>
      <c r="I135" s="2"/>
    </row>
    <row r="136" spans="1:16" x14ac:dyDescent="0.25">
      <c r="B136" s="38" t="str">
        <f>IF($A136=0,"",VLOOKUP($A136,'BASE M-OBRA'!$A:$D,2))</f>
        <v/>
      </c>
      <c r="C136" s="2"/>
      <c r="D136" s="55"/>
      <c r="E136" s="55" t="str">
        <f>IF($A136=0,"",VLOOKUP($A136,'BASE M-OBRA'!$A:$D,4))</f>
        <v/>
      </c>
      <c r="F136" s="55" t="str">
        <f t="shared" si="12"/>
        <v/>
      </c>
      <c r="G136" s="106"/>
      <c r="H136" s="56" t="str">
        <f t="shared" si="13"/>
        <v/>
      </c>
      <c r="I136" s="2"/>
    </row>
    <row r="137" spans="1:16" x14ac:dyDescent="0.25">
      <c r="B137" s="57" t="str">
        <f>IF($A137=0,"",VLOOKUP($A137,'BASE M-OBRA'!$A:$D,2))</f>
        <v/>
      </c>
      <c r="C137" s="58"/>
      <c r="D137" s="59"/>
      <c r="E137" s="59" t="str">
        <f>IF($A137=0,"",VLOOKUP($A137,'BASE M-OBRA'!$A:$D,4))</f>
        <v/>
      </c>
      <c r="F137" s="59" t="str">
        <f t="shared" si="12"/>
        <v/>
      </c>
      <c r="G137" s="107"/>
      <c r="H137" s="60" t="str">
        <f t="shared" si="13"/>
        <v/>
      </c>
      <c r="I137" s="2"/>
    </row>
    <row r="138" spans="1:16" x14ac:dyDescent="0.25">
      <c r="B138" s="73" t="s">
        <v>1685</v>
      </c>
      <c r="C138" s="65"/>
      <c r="D138" s="74"/>
      <c r="E138" s="74"/>
      <c r="F138" s="74"/>
      <c r="G138" s="74"/>
      <c r="H138" s="75">
        <f>ROUND(SUM(H130:H137),2)</f>
        <v>15.43</v>
      </c>
      <c r="I138" s="2"/>
    </row>
    <row r="139" spans="1:16" x14ac:dyDescent="0.25">
      <c r="B139" s="38" t="s">
        <v>1684</v>
      </c>
      <c r="C139" s="2"/>
      <c r="D139" s="3"/>
      <c r="E139" s="3"/>
      <c r="F139" s="3"/>
      <c r="G139" s="3"/>
      <c r="H139" s="56"/>
      <c r="I139" s="2"/>
    </row>
    <row r="140" spans="1:16" ht="25.5" x14ac:dyDescent="0.25">
      <c r="B140" s="64" t="s">
        <v>1409</v>
      </c>
      <c r="C140" s="65"/>
      <c r="D140" s="76"/>
      <c r="E140" s="66" t="s">
        <v>1408</v>
      </c>
      <c r="F140" s="66" t="s">
        <v>1679</v>
      </c>
      <c r="G140" s="66" t="s">
        <v>1683</v>
      </c>
      <c r="H140" s="68" t="s">
        <v>1675</v>
      </c>
      <c r="I140" s="2"/>
    </row>
    <row r="141" spans="1:16" x14ac:dyDescent="0.25">
      <c r="A141" s="103">
        <v>1</v>
      </c>
      <c r="B141" s="99" t="s">
        <v>98</v>
      </c>
      <c r="C141" s="2"/>
      <c r="D141" s="77"/>
      <c r="E141" s="78" t="s">
        <v>96</v>
      </c>
      <c r="F141" s="55">
        <v>1</v>
      </c>
      <c r="G141" s="55">
        <v>49.2</v>
      </c>
      <c r="H141" s="56">
        <f t="shared" ref="H141:H155" si="14">IF($A141=0,"",ROUND(F141*G141,2))</f>
        <v>49.2</v>
      </c>
      <c r="I141" s="2"/>
      <c r="J141" s="1">
        <f>11.13/1.12</f>
        <v>9.9375</v>
      </c>
      <c r="L141" s="2"/>
      <c r="M141" s="2"/>
      <c r="N141" s="39"/>
      <c r="O141" s="2"/>
      <c r="P141" s="2"/>
    </row>
    <row r="142" spans="1:16" x14ac:dyDescent="0.25">
      <c r="A142" s="103">
        <v>1</v>
      </c>
      <c r="B142" s="38" t="s">
        <v>94</v>
      </c>
      <c r="C142" s="2"/>
      <c r="D142" s="77"/>
      <c r="E142" s="78" t="s">
        <v>1506</v>
      </c>
      <c r="F142" s="55">
        <v>1</v>
      </c>
      <c r="G142" s="55">
        <v>5.5</v>
      </c>
      <c r="H142" s="56">
        <f t="shared" si="14"/>
        <v>5.5</v>
      </c>
      <c r="I142" s="2"/>
      <c r="J142" s="1">
        <f>3.36/1.12</f>
        <v>2.9999999999999996</v>
      </c>
      <c r="L142" s="2"/>
      <c r="M142" s="2"/>
      <c r="N142" s="39"/>
      <c r="O142" s="2"/>
      <c r="P142" s="2"/>
    </row>
    <row r="143" spans="1:16" x14ac:dyDescent="0.25">
      <c r="A143" s="103">
        <v>1</v>
      </c>
      <c r="B143" s="38" t="s">
        <v>93</v>
      </c>
      <c r="C143" s="2"/>
      <c r="D143" s="77"/>
      <c r="E143" s="78" t="s">
        <v>1506</v>
      </c>
      <c r="F143" s="55">
        <v>1</v>
      </c>
      <c r="G143" s="55">
        <v>5.5</v>
      </c>
      <c r="H143" s="56">
        <f t="shared" si="14"/>
        <v>5.5</v>
      </c>
      <c r="I143" s="2"/>
      <c r="L143" s="2"/>
      <c r="M143" s="2"/>
      <c r="N143" s="39"/>
      <c r="O143" s="2"/>
      <c r="P143" s="2"/>
    </row>
    <row r="144" spans="1:16" x14ac:dyDescent="0.25">
      <c r="A144" s="103">
        <v>1</v>
      </c>
      <c r="B144" s="38" t="s">
        <v>92</v>
      </c>
      <c r="C144" s="2"/>
      <c r="D144" s="77"/>
      <c r="E144" s="78" t="s">
        <v>1506</v>
      </c>
      <c r="F144" s="55">
        <v>1</v>
      </c>
      <c r="G144" s="55">
        <v>9.5</v>
      </c>
      <c r="H144" s="56">
        <f t="shared" si="14"/>
        <v>9.5</v>
      </c>
      <c r="I144" s="2"/>
      <c r="L144" s="2"/>
      <c r="M144" s="2"/>
      <c r="N144" s="39"/>
      <c r="O144" s="2"/>
      <c r="P144" s="2"/>
    </row>
    <row r="145" spans="1:16" x14ac:dyDescent="0.25">
      <c r="A145" s="103">
        <v>1</v>
      </c>
      <c r="B145" s="38" t="s">
        <v>95</v>
      </c>
      <c r="C145" s="2"/>
      <c r="D145" s="77"/>
      <c r="E145" s="78" t="s">
        <v>1506</v>
      </c>
      <c r="F145" s="55">
        <v>1</v>
      </c>
      <c r="G145" s="55">
        <f>58*1.12</f>
        <v>64.960000000000008</v>
      </c>
      <c r="H145" s="56">
        <f t="shared" si="14"/>
        <v>64.959999999999994</v>
      </c>
      <c r="I145" s="2"/>
      <c r="L145" s="2"/>
      <c r="M145" s="2"/>
      <c r="N145" s="39"/>
      <c r="O145" s="2"/>
      <c r="P145" s="2"/>
    </row>
    <row r="146" spans="1:16" x14ac:dyDescent="0.25">
      <c r="A146" s="103">
        <v>1</v>
      </c>
      <c r="B146" s="38" t="s">
        <v>85</v>
      </c>
      <c r="C146" s="2"/>
      <c r="D146" s="77"/>
      <c r="E146" s="78" t="s">
        <v>84</v>
      </c>
      <c r="F146" s="55">
        <v>0.155</v>
      </c>
      <c r="G146" s="55">
        <v>4.5999999999999996</v>
      </c>
      <c r="H146" s="56">
        <f t="shared" si="14"/>
        <v>0.71</v>
      </c>
      <c r="I146" s="2"/>
      <c r="L146" s="2"/>
      <c r="M146" s="2"/>
      <c r="N146" s="39"/>
      <c r="O146" s="2"/>
      <c r="P146" s="2"/>
    </row>
    <row r="147" spans="1:16" x14ac:dyDescent="0.25">
      <c r="A147" s="103">
        <v>1</v>
      </c>
      <c r="B147" s="38" t="s">
        <v>1</v>
      </c>
      <c r="C147" s="2"/>
      <c r="D147" s="77"/>
      <c r="E147" s="78" t="s">
        <v>0</v>
      </c>
      <c r="F147" s="55">
        <v>1.5</v>
      </c>
      <c r="G147" s="55">
        <v>0.35</v>
      </c>
      <c r="H147" s="56">
        <f t="shared" si="14"/>
        <v>0.53</v>
      </c>
      <c r="I147" s="2"/>
      <c r="L147" s="2"/>
      <c r="M147" s="2"/>
      <c r="N147" s="39"/>
      <c r="O147" s="2"/>
      <c r="P147" s="2"/>
    </row>
    <row r="148" spans="1:16" x14ac:dyDescent="0.25">
      <c r="A148" s="103">
        <v>1</v>
      </c>
      <c r="B148" s="38" t="s">
        <v>83</v>
      </c>
      <c r="C148" s="2"/>
      <c r="D148" s="77"/>
      <c r="E148" s="78" t="s">
        <v>5</v>
      </c>
      <c r="F148" s="55">
        <v>0.25</v>
      </c>
      <c r="G148" s="55">
        <v>4.72</v>
      </c>
      <c r="H148" s="56">
        <f t="shared" si="14"/>
        <v>1.18</v>
      </c>
      <c r="I148" s="2"/>
      <c r="L148" s="2"/>
      <c r="M148" s="2"/>
      <c r="N148" s="39"/>
      <c r="O148" s="2"/>
      <c r="P148" s="2"/>
    </row>
    <row r="149" spans="1:16" x14ac:dyDescent="0.25">
      <c r="B149" s="38"/>
      <c r="C149" s="2"/>
      <c r="D149" s="77"/>
      <c r="E149" s="78"/>
      <c r="F149" s="55"/>
      <c r="G149" s="55"/>
      <c r="H149" s="56" t="str">
        <f t="shared" si="14"/>
        <v/>
      </c>
      <c r="I149" s="2"/>
    </row>
    <row r="150" spans="1:16" x14ac:dyDescent="0.25">
      <c r="B150" s="38" t="str">
        <f>IF($A150=0,"",VLOOKUP($A150,'BASE MATERIAL'!$A:$D,2))</f>
        <v/>
      </c>
      <c r="C150" s="2"/>
      <c r="D150" s="77"/>
      <c r="E150" s="78" t="str">
        <f>IF($A150=0,"",VLOOKUP($A150,'BASE MATERIAL'!$A:$D,3))</f>
        <v/>
      </c>
      <c r="F150" s="55"/>
      <c r="G150" s="55" t="str">
        <f>IF($A150=0,"",VLOOKUP($A150,'BASE MATERIAL'!$A:$D,4))</f>
        <v/>
      </c>
      <c r="H150" s="56" t="str">
        <f t="shared" si="14"/>
        <v/>
      </c>
      <c r="I150" s="2"/>
      <c r="L150" s="2"/>
      <c r="M150" s="2"/>
      <c r="N150" s="39"/>
      <c r="O150" s="2"/>
      <c r="P150" s="2"/>
    </row>
    <row r="151" spans="1:16" x14ac:dyDescent="0.25">
      <c r="B151" s="38" t="str">
        <f>IF($A151=0,"",VLOOKUP($A151,'BASE MATERIAL'!$A:$D,2))</f>
        <v/>
      </c>
      <c r="C151" s="2"/>
      <c r="D151" s="77"/>
      <c r="E151" s="78" t="str">
        <f>IF($A151=0,"",VLOOKUP($A151,'BASE MATERIAL'!$A:$D,3))</f>
        <v/>
      </c>
      <c r="F151" s="55"/>
      <c r="G151" s="55" t="str">
        <f>IF($A151=0,"",VLOOKUP($A151,'BASE MATERIAL'!$A:$D,4))</f>
        <v/>
      </c>
      <c r="H151" s="56" t="str">
        <f t="shared" si="14"/>
        <v/>
      </c>
      <c r="I151" s="2"/>
      <c r="L151" s="2"/>
      <c r="M151" s="2"/>
      <c r="N151" s="39"/>
      <c r="O151" s="2"/>
      <c r="P151" s="2"/>
    </row>
    <row r="152" spans="1:16" x14ac:dyDescent="0.25">
      <c r="B152" s="38" t="str">
        <f>IF($A152=0,"",VLOOKUP($A152,'BASE MATERIAL'!$A:$D,2))</f>
        <v/>
      </c>
      <c r="C152" s="2"/>
      <c r="D152" s="77"/>
      <c r="E152" s="78" t="str">
        <f>IF($A152=0,"",VLOOKUP($A152,'BASE MATERIAL'!$A:$D,3))</f>
        <v/>
      </c>
      <c r="F152" s="55"/>
      <c r="G152" s="55" t="str">
        <f>IF($A152=0,"",VLOOKUP($A152,'BASE MATERIAL'!$A:$D,4))</f>
        <v/>
      </c>
      <c r="H152" s="56" t="str">
        <f t="shared" si="14"/>
        <v/>
      </c>
      <c r="I152" s="2"/>
    </row>
    <row r="153" spans="1:16" x14ac:dyDescent="0.25">
      <c r="B153" s="38" t="str">
        <f>IF($A153=0,"",VLOOKUP($A153,'BASE MATERIAL'!$A:$D,2))</f>
        <v/>
      </c>
      <c r="C153" s="2"/>
      <c r="D153" s="77"/>
      <c r="E153" s="78" t="str">
        <f>IF($A153=0,"",VLOOKUP($A153,'BASE MATERIAL'!$A:$D,3))</f>
        <v/>
      </c>
      <c r="F153" s="55"/>
      <c r="G153" s="55" t="str">
        <f>IF($A153=0,"",VLOOKUP($A153,'BASE MATERIAL'!$A:$D,4))</f>
        <v/>
      </c>
      <c r="H153" s="56" t="str">
        <f t="shared" si="14"/>
        <v/>
      </c>
      <c r="I153" s="2"/>
    </row>
    <row r="154" spans="1:16" x14ac:dyDescent="0.25">
      <c r="B154" s="38" t="str">
        <f>IF($A154=0,"",VLOOKUP($A154,'BASE MATERIAL'!$A:$D,2))</f>
        <v/>
      </c>
      <c r="C154" s="2"/>
      <c r="D154" s="77"/>
      <c r="E154" s="78" t="str">
        <f>IF($A154=0,"",VLOOKUP($A154,'BASE MATERIAL'!$A:$D,3))</f>
        <v/>
      </c>
      <c r="F154" s="55"/>
      <c r="G154" s="55" t="str">
        <f>IF($A154=0,"",VLOOKUP($A154,'BASE MATERIAL'!$A:$D,4))</f>
        <v/>
      </c>
      <c r="H154" s="56" t="str">
        <f t="shared" si="14"/>
        <v/>
      </c>
      <c r="I154" s="2"/>
    </row>
    <row r="155" spans="1:16" x14ac:dyDescent="0.25">
      <c r="B155" s="38" t="str">
        <f>IF($A155=0,"",VLOOKUP($A155,'BASE MATERIAL'!$A:$D,2))</f>
        <v/>
      </c>
      <c r="C155" s="2"/>
      <c r="D155" s="77"/>
      <c r="E155" s="78" t="str">
        <f>IF($A155=0,"",VLOOKUP($A155,'BASE MATERIAL'!$A:$D,3))</f>
        <v/>
      </c>
      <c r="F155" s="55"/>
      <c r="G155" s="55" t="str">
        <f>IF($A155=0,"",VLOOKUP($A155,'BASE MATERIAL'!$A:$D,4))</f>
        <v/>
      </c>
      <c r="H155" s="56" t="str">
        <f t="shared" si="14"/>
        <v/>
      </c>
      <c r="I155" s="2"/>
    </row>
    <row r="156" spans="1:16" x14ac:dyDescent="0.25">
      <c r="B156" s="38" t="str">
        <f>IF($A156=0,"",VLOOKUP($A156,'BASE MATERIAL'!$A:$D,2))</f>
        <v/>
      </c>
      <c r="C156" s="2"/>
      <c r="D156" s="81" t="s">
        <v>1682</v>
      </c>
      <c r="E156" s="55" t="str">
        <f>IF($A156=0,"",VLOOKUP($A156,'BASE MATERIAL'!$A:$D,3))</f>
        <v/>
      </c>
      <c r="F156" s="55" t="s">
        <v>1682</v>
      </c>
      <c r="G156" s="55" t="str">
        <f>IF($A156=0,"",VLOOKUP($A156,'BASE MATERIAL'!$A:$D,4))</f>
        <v/>
      </c>
      <c r="H156" s="56" t="str">
        <f>IF($A156=0,"",ROUND(E156*F156,2))</f>
        <v/>
      </c>
      <c r="I156" s="2"/>
    </row>
    <row r="157" spans="1:16" x14ac:dyDescent="0.25">
      <c r="B157" s="73" t="s">
        <v>1681</v>
      </c>
      <c r="C157" s="65"/>
      <c r="D157" s="74"/>
      <c r="E157" s="74"/>
      <c r="F157" s="74"/>
      <c r="G157" s="74"/>
      <c r="H157" s="75">
        <f>ROUND(SUM(H140:H156),2)</f>
        <v>137.08000000000001</v>
      </c>
      <c r="I157" s="2"/>
    </row>
    <row r="158" spans="1:16" x14ac:dyDescent="0.25">
      <c r="B158" s="38" t="s">
        <v>1680</v>
      </c>
      <c r="C158" s="2"/>
      <c r="D158" s="3"/>
      <c r="E158" s="3"/>
      <c r="F158" s="3"/>
      <c r="G158" s="3"/>
      <c r="H158" s="56"/>
      <c r="I158" s="2"/>
    </row>
    <row r="159" spans="1:16" ht="25.5" x14ac:dyDescent="0.25">
      <c r="B159" s="64" t="s">
        <v>1409</v>
      </c>
      <c r="C159" s="65"/>
      <c r="D159" s="76"/>
      <c r="E159" s="66" t="s">
        <v>1408</v>
      </c>
      <c r="F159" s="66" t="s">
        <v>1679</v>
      </c>
      <c r="G159" s="66" t="s">
        <v>1676</v>
      </c>
      <c r="H159" s="68" t="s">
        <v>1675</v>
      </c>
      <c r="I159" s="2"/>
    </row>
    <row r="160" spans="1:16" x14ac:dyDescent="0.25">
      <c r="A160" s="103">
        <v>19019</v>
      </c>
      <c r="B160" s="51" t="str">
        <f>IF($A160=0,"",VLOOKUP($A160,'BASE EQUIPO'!$A:$D,2))</f>
        <v>TRANSPORTE DE MATERIAL</v>
      </c>
      <c r="C160" s="52"/>
      <c r="D160" s="82"/>
      <c r="E160" s="78" t="str">
        <f>IF($A160=0,"",VLOOKUP($A160,'BASE EQUIPO'!$A:$D,3))</f>
        <v>GLOBAL</v>
      </c>
      <c r="F160" s="55">
        <v>1</v>
      </c>
      <c r="G160" s="83">
        <f>IF($A160=0,"",VLOOKUP($A160,'BASE EQUIPO'!$A:$D,4)*H157)</f>
        <v>4.1124000000000001</v>
      </c>
      <c r="H160" s="56">
        <f>IF($A160=0,"",ROUND(F160*G160,2))</f>
        <v>4.1100000000000003</v>
      </c>
      <c r="I160" s="2"/>
    </row>
    <row r="161" spans="1:15" x14ac:dyDescent="0.25">
      <c r="B161" s="38" t="str">
        <f>IF($A161=0,"",VLOOKUP($A161,'BASE EQUIPO'!$A:$D,2))</f>
        <v/>
      </c>
      <c r="C161" s="2"/>
      <c r="D161" s="84"/>
      <c r="E161" s="78" t="str">
        <f>IF($A161=0,"",VLOOKUP($A161,'BASE EQUIPO'!$A:$D,3))</f>
        <v/>
      </c>
      <c r="F161" s="55"/>
      <c r="G161" s="55" t="str">
        <f>IF($A161=0,"",VLOOKUP($A161,'BASE EQUIPO'!$A:$D,4)*H158)</f>
        <v/>
      </c>
      <c r="H161" s="56" t="str">
        <f>IF($A161=0,"",ROUND(F161*G161,2))</f>
        <v/>
      </c>
      <c r="I161" s="2"/>
    </row>
    <row r="162" spans="1:15" x14ac:dyDescent="0.25">
      <c r="B162" s="57" t="str">
        <f>IF($A162=0,"",VLOOKUP($A162,'BASE EQUIPO'!$A:$D,2))</f>
        <v/>
      </c>
      <c r="C162" s="58"/>
      <c r="D162" s="85"/>
      <c r="E162" s="86" t="str">
        <f>IF($A162=0,"",VLOOKUP($A162,'BASE EQUIPO'!$A:$D,3))</f>
        <v/>
      </c>
      <c r="F162" s="59"/>
      <c r="G162" s="59" t="str">
        <f>IF($A162=0,"",VLOOKUP($A162,'BASE EQUIPO'!$A:$D,4)*H159)</f>
        <v/>
      </c>
      <c r="H162" s="60" t="str">
        <f>IF($A162=0,"",ROUND(F162*G162,2))</f>
        <v/>
      </c>
      <c r="I162" s="2"/>
    </row>
    <row r="163" spans="1:15" ht="15.75" thickBot="1" x14ac:dyDescent="0.3">
      <c r="B163" s="87" t="s">
        <v>1674</v>
      </c>
      <c r="C163" s="88"/>
      <c r="D163" s="89"/>
      <c r="E163" s="89"/>
      <c r="F163" s="89"/>
      <c r="G163" s="89"/>
      <c r="H163" s="90">
        <f>ROUND(SUM(H159:H162),2)</f>
        <v>4.1100000000000003</v>
      </c>
      <c r="I163" s="2"/>
    </row>
    <row r="164" spans="1:15" ht="15.75" x14ac:dyDescent="0.25">
      <c r="B164" s="2"/>
      <c r="C164" s="2"/>
      <c r="D164" s="91" t="s">
        <v>1673</v>
      </c>
      <c r="E164" s="47"/>
      <c r="F164" s="47"/>
      <c r="G164" s="47"/>
      <c r="H164" s="92">
        <f>ROUND(SUM(H163,H157,H138,H128),2)</f>
        <v>157.08000000000001</v>
      </c>
      <c r="I164" s="2"/>
    </row>
    <row r="165" spans="1:15" ht="15.75" x14ac:dyDescent="0.25">
      <c r="A165" s="103">
        <v>40002</v>
      </c>
      <c r="B165" s="2"/>
      <c r="C165" s="2"/>
      <c r="D165" s="93" t="s">
        <v>1672</v>
      </c>
      <c r="E165" s="65"/>
      <c r="F165" s="65"/>
      <c r="G165" s="94">
        <f>IF($A165=0,"",VLOOKUP($A165,'BASE MATERIAL'!$M:$P,4))</f>
        <v>0</v>
      </c>
      <c r="H165" s="95">
        <f>IF($A165=0,"",ROUND(G165*H164,2))</f>
        <v>0</v>
      </c>
      <c r="I165" s="2"/>
    </row>
    <row r="166" spans="1:15" ht="15.75" x14ac:dyDescent="0.25">
      <c r="A166" s="103">
        <v>40003</v>
      </c>
      <c r="B166" s="2"/>
      <c r="C166" s="2"/>
      <c r="D166" s="93" t="s">
        <v>1671</v>
      </c>
      <c r="E166" s="65"/>
      <c r="F166" s="65"/>
      <c r="G166" s="94">
        <f>IF($A166=0,"",VLOOKUP($A166,'BASE MATERIAL'!$M:$P,4))</f>
        <v>0</v>
      </c>
      <c r="H166" s="95">
        <f>IF($A166=0,"",ROUND(G166*H164,2))</f>
        <v>0</v>
      </c>
      <c r="I166" s="2"/>
    </row>
    <row r="167" spans="1:15" ht="15.75" x14ac:dyDescent="0.25">
      <c r="B167" s="2"/>
      <c r="C167" s="2"/>
      <c r="D167" s="93" t="s">
        <v>1670</v>
      </c>
      <c r="E167" s="65"/>
      <c r="F167" s="65"/>
      <c r="G167" s="65"/>
      <c r="H167" s="96">
        <f>ROUND(SUM(H164:H166),2)</f>
        <v>157.08000000000001</v>
      </c>
      <c r="I167" s="2"/>
    </row>
    <row r="168" spans="1:15" ht="16.5" thickBot="1" x14ac:dyDescent="0.3">
      <c r="B168" s="25"/>
      <c r="C168" s="2"/>
      <c r="D168" s="97" t="s">
        <v>1650</v>
      </c>
      <c r="E168" s="88"/>
      <c r="F168" s="88"/>
      <c r="G168" s="88"/>
      <c r="H168" s="98">
        <f>ROUND(H167,2)</f>
        <v>157.08000000000001</v>
      </c>
      <c r="I168" s="2"/>
    </row>
    <row r="169" spans="1:15" ht="15.75" x14ac:dyDescent="0.25">
      <c r="B169" s="34" t="s">
        <v>1701</v>
      </c>
      <c r="C169" s="2"/>
      <c r="D169" s="3" t="str">
        <f>$D$1</f>
        <v>ESPOL</v>
      </c>
      <c r="E169" s="2"/>
      <c r="F169" s="2"/>
      <c r="H169" s="2" t="s">
        <v>108</v>
      </c>
      <c r="I169" s="2"/>
      <c r="L169" s="40">
        <f>A173</f>
        <v>16</v>
      </c>
      <c r="M169" s="1" t="str">
        <f>C174</f>
        <v>Lavamanos de pedestal</v>
      </c>
      <c r="N169" s="2" t="str">
        <f>H173</f>
        <v>U</v>
      </c>
      <c r="O169" s="2">
        <f>H224</f>
        <v>165.12</v>
      </c>
    </row>
    <row r="170" spans="1:15" ht="15.75" x14ac:dyDescent="0.25">
      <c r="B170" s="34" t="s">
        <v>1700</v>
      </c>
      <c r="C170" s="3">
        <f>'1.1'!$C$2</f>
        <v>0</v>
      </c>
      <c r="D170" s="2"/>
      <c r="E170" s="2"/>
      <c r="F170" s="2"/>
      <c r="G170" s="41" t="s">
        <v>1699</v>
      </c>
      <c r="H170" s="42"/>
      <c r="I170" s="2" t="s">
        <v>1698</v>
      </c>
    </row>
    <row r="171" spans="1:15" ht="15.75" x14ac:dyDescent="0.25">
      <c r="B171" s="34"/>
      <c r="C171" s="3">
        <f>'1.1'!$C$3</f>
        <v>0</v>
      </c>
      <c r="D171" s="2"/>
      <c r="E171" s="2"/>
      <c r="F171" s="2"/>
      <c r="G171" s="2"/>
      <c r="H171" s="2"/>
      <c r="I171" s="2"/>
    </row>
    <row r="172" spans="1:15" ht="15.75" x14ac:dyDescent="0.25">
      <c r="B172" s="34" t="s">
        <v>1697</v>
      </c>
      <c r="C172" s="3"/>
      <c r="D172" s="2"/>
      <c r="E172" s="2"/>
      <c r="F172" s="2"/>
      <c r="G172" s="2"/>
      <c r="H172" s="2"/>
      <c r="I172" s="2"/>
    </row>
    <row r="173" spans="1:15" x14ac:dyDescent="0.25">
      <c r="A173" s="104">
        <v>16</v>
      </c>
      <c r="B173" s="2" t="s">
        <v>1586</v>
      </c>
      <c r="C173" s="101" t="s">
        <v>1662</v>
      </c>
      <c r="D173" s="2"/>
      <c r="G173" s="2" t="s">
        <v>1696</v>
      </c>
      <c r="H173" s="3" t="s">
        <v>744</v>
      </c>
      <c r="I173" s="2"/>
    </row>
    <row r="174" spans="1:15" x14ac:dyDescent="0.25">
      <c r="B174" s="1" t="s">
        <v>1585</v>
      </c>
      <c r="C174" s="36" t="s">
        <v>581</v>
      </c>
      <c r="D174" s="2"/>
      <c r="E174" s="2"/>
      <c r="F174" s="2"/>
      <c r="G174" s="2"/>
      <c r="H174" s="2"/>
      <c r="I174" s="2"/>
    </row>
    <row r="175" spans="1:15" ht="15.75" thickBot="1" x14ac:dyDescent="0.3">
      <c r="D175" s="2"/>
      <c r="E175" s="2"/>
      <c r="F175" s="2"/>
      <c r="G175" s="2"/>
      <c r="H175" s="2"/>
      <c r="I175" s="2"/>
    </row>
    <row r="176" spans="1:15" ht="15.75" thickBot="1" x14ac:dyDescent="0.3">
      <c r="B176" s="43" t="s">
        <v>1695</v>
      </c>
      <c r="C176" s="44"/>
      <c r="D176" s="44"/>
      <c r="E176" s="44"/>
      <c r="F176" s="44"/>
      <c r="G176" s="44"/>
      <c r="H176" s="45"/>
      <c r="I176" s="2"/>
    </row>
    <row r="177" spans="1:9" ht="25.5" x14ac:dyDescent="0.25">
      <c r="B177" s="46" t="s">
        <v>1409</v>
      </c>
      <c r="C177" s="47"/>
      <c r="D177" s="48" t="s">
        <v>1690</v>
      </c>
      <c r="E177" s="48" t="s">
        <v>1694</v>
      </c>
      <c r="F177" s="48" t="s">
        <v>1693</v>
      </c>
      <c r="G177" s="49" t="s">
        <v>1687</v>
      </c>
      <c r="H177" s="50" t="s">
        <v>1686</v>
      </c>
      <c r="I177" s="2"/>
    </row>
    <row r="178" spans="1:9" x14ac:dyDescent="0.25">
      <c r="A178" s="103">
        <v>19015</v>
      </c>
      <c r="B178" s="51" t="str">
        <f>IF($A178=0,"",VLOOKUP($A178,'BASE EQUIPO'!$A:$D,2))</f>
        <v>HERRAMIENTA MENOR</v>
      </c>
      <c r="C178" s="52"/>
      <c r="D178" s="53">
        <v>1</v>
      </c>
      <c r="E178" s="53">
        <f>IF($A178=0,"",VLOOKUP($A178,'BASE EQUIPO'!$A:$D,4)*H194)</f>
        <v>0.46289999999999998</v>
      </c>
      <c r="F178" s="53">
        <f t="shared" ref="F178:F183" si="15">IF($A178=0,"",ROUND(D178*E178,2))</f>
        <v>0.46</v>
      </c>
      <c r="G178" s="105">
        <v>1</v>
      </c>
      <c r="H178" s="54">
        <f t="shared" ref="H178:H183" si="16">IF($A178=0,"",ROUND(G178*F178,2))</f>
        <v>0.46</v>
      </c>
      <c r="I178" s="2"/>
    </row>
    <row r="179" spans="1:9" x14ac:dyDescent="0.25">
      <c r="B179" s="38" t="str">
        <f>IF($A179=0,"",VLOOKUP($A179,'BASE EQUIPO'!$A:$D,2))</f>
        <v/>
      </c>
      <c r="C179" s="2"/>
      <c r="D179" s="55"/>
      <c r="E179" s="55" t="str">
        <f>IF($A179=0,"",VLOOKUP($A179,'BASE EQUIPO'!$A:$D,4))</f>
        <v/>
      </c>
      <c r="F179" s="55" t="str">
        <f t="shared" si="15"/>
        <v/>
      </c>
      <c r="G179" s="106"/>
      <c r="H179" s="56" t="str">
        <f t="shared" si="16"/>
        <v/>
      </c>
      <c r="I179" s="2"/>
    </row>
    <row r="180" spans="1:9" x14ac:dyDescent="0.25">
      <c r="B180" s="38" t="str">
        <f>IF($A180=0,"",VLOOKUP($A180,'BASE EQUIPO'!$A:$D,2))</f>
        <v/>
      </c>
      <c r="C180" s="2"/>
      <c r="D180" s="55"/>
      <c r="E180" s="55" t="str">
        <f>IF($A180=0,"",VLOOKUP($A180,'BASE EQUIPO'!$A:$D,4))</f>
        <v/>
      </c>
      <c r="F180" s="55" t="str">
        <f t="shared" si="15"/>
        <v/>
      </c>
      <c r="G180" s="106"/>
      <c r="H180" s="56" t="str">
        <f t="shared" si="16"/>
        <v/>
      </c>
      <c r="I180" s="2"/>
    </row>
    <row r="181" spans="1:9" x14ac:dyDescent="0.25">
      <c r="B181" s="38" t="str">
        <f>IF($A181=0,"",VLOOKUP($A181,'BASE EQUIPO'!$A:$D,2))</f>
        <v/>
      </c>
      <c r="C181" s="2"/>
      <c r="D181" s="55"/>
      <c r="E181" s="55" t="str">
        <f>IF($A181=0,"",VLOOKUP($A181,'BASE EQUIPO'!$A:$D,4))</f>
        <v/>
      </c>
      <c r="F181" s="55" t="str">
        <f t="shared" si="15"/>
        <v/>
      </c>
      <c r="G181" s="106"/>
      <c r="H181" s="56" t="str">
        <f t="shared" si="16"/>
        <v/>
      </c>
      <c r="I181" s="2"/>
    </row>
    <row r="182" spans="1:9" x14ac:dyDescent="0.25">
      <c r="B182" s="38" t="str">
        <f>IF($A182=0,"",VLOOKUP($A182,'BASE EQUIPO'!$A:$D,2))</f>
        <v/>
      </c>
      <c r="C182" s="2"/>
      <c r="D182" s="55"/>
      <c r="E182" s="55" t="str">
        <f>IF($A182=0,"",VLOOKUP($A182,'BASE EQUIPO'!$A:$D,4))</f>
        <v/>
      </c>
      <c r="F182" s="55" t="str">
        <f t="shared" si="15"/>
        <v/>
      </c>
      <c r="G182" s="106"/>
      <c r="H182" s="56" t="str">
        <f t="shared" si="16"/>
        <v/>
      </c>
      <c r="I182" s="2"/>
    </row>
    <row r="183" spans="1:9" x14ac:dyDescent="0.25">
      <c r="B183" s="57" t="str">
        <f>IF($A183=0,"",VLOOKUP($A183,'BASE EQUIPO'!$A:$D,2))</f>
        <v/>
      </c>
      <c r="C183" s="58"/>
      <c r="D183" s="59"/>
      <c r="E183" s="59" t="str">
        <f>IF($A183=0,"",VLOOKUP($A183,'BASE EQUIPO'!$A:$D,4))</f>
        <v/>
      </c>
      <c r="F183" s="59" t="str">
        <f t="shared" si="15"/>
        <v/>
      </c>
      <c r="G183" s="107"/>
      <c r="H183" s="60" t="str">
        <f t="shared" si="16"/>
        <v/>
      </c>
      <c r="I183" s="2"/>
    </row>
    <row r="184" spans="1:9" x14ac:dyDescent="0.25">
      <c r="B184" s="57" t="s">
        <v>1692</v>
      </c>
      <c r="C184" s="58"/>
      <c r="D184" s="61"/>
      <c r="E184" s="61"/>
      <c r="F184" s="61"/>
      <c r="G184" s="62"/>
      <c r="H184" s="60">
        <f>ROUND(SUM(H177:H183),2)</f>
        <v>0.46</v>
      </c>
      <c r="I184" s="2"/>
    </row>
    <row r="185" spans="1:9" x14ac:dyDescent="0.25">
      <c r="B185" s="38" t="s">
        <v>1503</v>
      </c>
      <c r="C185" s="2"/>
      <c r="D185" s="3"/>
      <c r="E185" s="3"/>
      <c r="F185" s="3"/>
      <c r="G185" s="63"/>
      <c r="H185" s="56"/>
      <c r="I185" s="2"/>
    </row>
    <row r="186" spans="1:9" ht="25.5" x14ac:dyDescent="0.25">
      <c r="B186" s="64" t="s">
        <v>1691</v>
      </c>
      <c r="C186" s="65"/>
      <c r="D186" s="66" t="s">
        <v>1690</v>
      </c>
      <c r="E186" s="66" t="s">
        <v>1689</v>
      </c>
      <c r="F186" s="66" t="s">
        <v>1688</v>
      </c>
      <c r="G186" s="67" t="s">
        <v>1687</v>
      </c>
      <c r="H186" s="68" t="s">
        <v>1686</v>
      </c>
      <c r="I186" s="2"/>
    </row>
    <row r="187" spans="1:9" x14ac:dyDescent="0.25">
      <c r="B187" s="69" t="str">
        <f>IF($A187=0,"",VLOOKUP($A187,'BASE M-OBRA'!$A:$D,2))</f>
        <v/>
      </c>
      <c r="C187" s="2"/>
      <c r="D187" s="108"/>
      <c r="E187" s="70" t="str">
        <f>IF($A187=0,"",VLOOKUP($A187,'BASE M-OBRA'!$A:$D,4))</f>
        <v/>
      </c>
      <c r="F187" s="55" t="str">
        <f t="shared" ref="F187:F193" si="17">IF($A187=0,"",ROUND(D187*E187,2))</f>
        <v/>
      </c>
      <c r="G187" s="106" t="str">
        <f>IF($A187=0,"",ROUND(H187/F187,2))</f>
        <v/>
      </c>
      <c r="H187" s="56" t="str">
        <f>IF($A187=0,"",ROUND(SUM(H188:H193)*'BASE M-OBRA'!$D$23,2))</f>
        <v/>
      </c>
      <c r="I187" s="2"/>
    </row>
    <row r="188" spans="1:9" x14ac:dyDescent="0.25">
      <c r="A188" s="103">
        <v>20011</v>
      </c>
      <c r="B188" s="69" t="str">
        <f>IF($A188=0,"",VLOOKUP($A188,'BASE M-OBRA'!$A:$D,2))</f>
        <v>AYUDANTE ESPECIALISTA</v>
      </c>
      <c r="C188" s="2"/>
      <c r="D188" s="108">
        <v>1</v>
      </c>
      <c r="E188" s="70">
        <f>IF($A188=0,"",VLOOKUP($A188,'BASE M-OBRA'!$A:$D,4))</f>
        <v>2.79</v>
      </c>
      <c r="F188" s="55">
        <f t="shared" si="17"/>
        <v>2.79</v>
      </c>
      <c r="G188" s="106">
        <v>2.75</v>
      </c>
      <c r="H188" s="56">
        <f t="shared" ref="H188:H193" si="18">IF($A188=0,"",ROUND(G188*F188,2))</f>
        <v>7.67</v>
      </c>
      <c r="I188" s="2"/>
    </row>
    <row r="189" spans="1:9" x14ac:dyDescent="0.25">
      <c r="A189" s="103">
        <v>20016</v>
      </c>
      <c r="B189" s="69" t="str">
        <f>IF($A189=0,"",VLOOKUP($A189,'BASE M-OBRA'!$A:$D,2))</f>
        <v>GAFITERO</v>
      </c>
      <c r="C189" s="2"/>
      <c r="D189" s="108">
        <v>1</v>
      </c>
      <c r="E189" s="70">
        <f>IF($A189=0,"",VLOOKUP($A189,'BASE M-OBRA'!$A:$D,4))</f>
        <v>2.82</v>
      </c>
      <c r="F189" s="55">
        <f t="shared" si="17"/>
        <v>2.82</v>
      </c>
      <c r="G189" s="106">
        <f>+G188</f>
        <v>2.75</v>
      </c>
      <c r="H189" s="56">
        <f t="shared" si="18"/>
        <v>7.76</v>
      </c>
      <c r="I189" s="2"/>
    </row>
    <row r="190" spans="1:9" x14ac:dyDescent="0.25">
      <c r="B190" s="71" t="str">
        <f>IF($A190=0,"",VLOOKUP($A190,'BASE M-OBRA'!$A:$D,2))</f>
        <v/>
      </c>
      <c r="C190" s="2"/>
      <c r="D190" s="108"/>
      <c r="E190" s="70" t="str">
        <f>IF($A190=0,"",VLOOKUP($A190,'BASE M-OBRA'!$A:$D,4))</f>
        <v/>
      </c>
      <c r="F190" s="55" t="str">
        <f t="shared" si="17"/>
        <v/>
      </c>
      <c r="G190" s="106"/>
      <c r="H190" s="56" t="str">
        <f t="shared" si="18"/>
        <v/>
      </c>
      <c r="I190" s="2"/>
    </row>
    <row r="191" spans="1:9" x14ac:dyDescent="0.25">
      <c r="B191" s="72" t="str">
        <f>IF($A191=0,"",VLOOKUP($A191,'BASE M-OBRA'!$A:$D,2))</f>
        <v/>
      </c>
      <c r="C191" s="2"/>
      <c r="D191" s="108"/>
      <c r="E191" s="70" t="str">
        <f>IF($A191=0,"",VLOOKUP($A191,'BASE M-OBRA'!$A:$D,4))</f>
        <v/>
      </c>
      <c r="F191" s="55" t="str">
        <f t="shared" si="17"/>
        <v/>
      </c>
      <c r="G191" s="106"/>
      <c r="H191" s="56" t="str">
        <f t="shared" si="18"/>
        <v/>
      </c>
      <c r="I191" s="2"/>
    </row>
    <row r="192" spans="1:9" x14ac:dyDescent="0.25">
      <c r="B192" s="38" t="str">
        <f>IF($A192=0,"",VLOOKUP($A192,'BASE M-OBRA'!$A:$D,2))</f>
        <v/>
      </c>
      <c r="C192" s="2"/>
      <c r="D192" s="55"/>
      <c r="E192" s="55" t="str">
        <f>IF($A192=0,"",VLOOKUP($A192,'BASE M-OBRA'!$A:$D,4))</f>
        <v/>
      </c>
      <c r="F192" s="55" t="str">
        <f t="shared" si="17"/>
        <v/>
      </c>
      <c r="G192" s="106"/>
      <c r="H192" s="56" t="str">
        <f t="shared" si="18"/>
        <v/>
      </c>
      <c r="I192" s="2"/>
    </row>
    <row r="193" spans="1:16" x14ac:dyDescent="0.25">
      <c r="B193" s="57" t="str">
        <f>IF($A193=0,"",VLOOKUP($A193,'BASE M-OBRA'!$A:$D,2))</f>
        <v/>
      </c>
      <c r="C193" s="58"/>
      <c r="D193" s="59"/>
      <c r="E193" s="59" t="str">
        <f>IF($A193=0,"",VLOOKUP($A193,'BASE M-OBRA'!$A:$D,4))</f>
        <v/>
      </c>
      <c r="F193" s="59" t="str">
        <f t="shared" si="17"/>
        <v/>
      </c>
      <c r="G193" s="107"/>
      <c r="H193" s="60" t="str">
        <f t="shared" si="18"/>
        <v/>
      </c>
      <c r="I193" s="2"/>
    </row>
    <row r="194" spans="1:16" x14ac:dyDescent="0.25">
      <c r="B194" s="73" t="s">
        <v>1685</v>
      </c>
      <c r="C194" s="65"/>
      <c r="D194" s="74"/>
      <c r="E194" s="74"/>
      <c r="F194" s="74"/>
      <c r="G194" s="74"/>
      <c r="H194" s="75">
        <f>ROUND(SUM(H186:H193),2)</f>
        <v>15.43</v>
      </c>
      <c r="I194" s="2"/>
    </row>
    <row r="195" spans="1:16" x14ac:dyDescent="0.25">
      <c r="B195" s="38" t="s">
        <v>1684</v>
      </c>
      <c r="C195" s="2"/>
      <c r="D195" s="3"/>
      <c r="E195" s="3"/>
      <c r="F195" s="3"/>
      <c r="G195" s="3"/>
      <c r="H195" s="56"/>
      <c r="I195" s="2"/>
    </row>
    <row r="196" spans="1:16" ht="25.5" x14ac:dyDescent="0.25">
      <c r="B196" s="64" t="s">
        <v>1409</v>
      </c>
      <c r="C196" s="65"/>
      <c r="D196" s="76"/>
      <c r="E196" s="66" t="s">
        <v>1408</v>
      </c>
      <c r="F196" s="66" t="s">
        <v>1679</v>
      </c>
      <c r="G196" s="66" t="s">
        <v>1683</v>
      </c>
      <c r="H196" s="68" t="s">
        <v>1675</v>
      </c>
      <c r="I196" s="2"/>
    </row>
    <row r="197" spans="1:16" x14ac:dyDescent="0.25">
      <c r="A197" s="103">
        <v>1</v>
      </c>
      <c r="B197" s="99" t="s">
        <v>97</v>
      </c>
      <c r="C197" s="2"/>
      <c r="D197" s="77"/>
      <c r="E197" s="78" t="s">
        <v>96</v>
      </c>
      <c r="F197" s="55">
        <v>1</v>
      </c>
      <c r="G197" s="55">
        <v>57</v>
      </c>
      <c r="H197" s="56">
        <f t="shared" ref="H197:H211" si="19">IF($A197=0,"",ROUND(F197*G197,2))</f>
        <v>57</v>
      </c>
      <c r="I197" s="2"/>
      <c r="J197" s="1">
        <f>11.13/1.12</f>
        <v>9.9375</v>
      </c>
      <c r="L197" s="2"/>
      <c r="M197" s="2"/>
      <c r="N197" s="39"/>
      <c r="O197" s="2"/>
      <c r="P197" s="2"/>
    </row>
    <row r="198" spans="1:16" x14ac:dyDescent="0.25">
      <c r="A198" s="103">
        <v>1</v>
      </c>
      <c r="B198" s="38" t="s">
        <v>94</v>
      </c>
      <c r="C198" s="2"/>
      <c r="D198" s="77"/>
      <c r="E198" s="78" t="s">
        <v>1506</v>
      </c>
      <c r="F198" s="55">
        <v>1</v>
      </c>
      <c r="G198" s="55">
        <v>5.5</v>
      </c>
      <c r="H198" s="56">
        <f t="shared" si="19"/>
        <v>5.5</v>
      </c>
      <c r="I198" s="2"/>
      <c r="J198" s="1">
        <f>3.36/1.12</f>
        <v>2.9999999999999996</v>
      </c>
      <c r="L198" s="2"/>
      <c r="M198" s="2"/>
      <c r="N198" s="39"/>
      <c r="O198" s="2"/>
      <c r="P198" s="2"/>
    </row>
    <row r="199" spans="1:16" x14ac:dyDescent="0.25">
      <c r="A199" s="103">
        <v>1</v>
      </c>
      <c r="B199" s="38" t="s">
        <v>93</v>
      </c>
      <c r="C199" s="2"/>
      <c r="D199" s="77"/>
      <c r="E199" s="78" t="s">
        <v>1506</v>
      </c>
      <c r="F199" s="55">
        <v>1</v>
      </c>
      <c r="G199" s="55">
        <v>5.5</v>
      </c>
      <c r="H199" s="56">
        <f t="shared" si="19"/>
        <v>5.5</v>
      </c>
      <c r="I199" s="2"/>
      <c r="L199" s="2"/>
      <c r="M199" s="2"/>
      <c r="N199" s="39"/>
      <c r="O199" s="2"/>
      <c r="P199" s="2"/>
    </row>
    <row r="200" spans="1:16" x14ac:dyDescent="0.25">
      <c r="A200" s="103">
        <v>1</v>
      </c>
      <c r="B200" s="38" t="s">
        <v>92</v>
      </c>
      <c r="C200" s="2"/>
      <c r="D200" s="77"/>
      <c r="E200" s="78" t="s">
        <v>1506</v>
      </c>
      <c r="F200" s="55">
        <v>1</v>
      </c>
      <c r="G200" s="55">
        <v>9.5</v>
      </c>
      <c r="H200" s="56">
        <f t="shared" si="19"/>
        <v>9.5</v>
      </c>
      <c r="I200" s="2"/>
      <c r="L200" s="2"/>
      <c r="M200" s="2"/>
      <c r="N200" s="39"/>
      <c r="O200" s="2"/>
      <c r="P200" s="2"/>
    </row>
    <row r="201" spans="1:16" x14ac:dyDescent="0.25">
      <c r="A201" s="103">
        <v>1</v>
      </c>
      <c r="B201" s="38" t="s">
        <v>95</v>
      </c>
      <c r="C201" s="2"/>
      <c r="D201" s="77"/>
      <c r="E201" s="78" t="s">
        <v>1506</v>
      </c>
      <c r="F201" s="55">
        <v>1</v>
      </c>
      <c r="G201" s="55">
        <f>58*1.12</f>
        <v>64.960000000000008</v>
      </c>
      <c r="H201" s="56">
        <f t="shared" si="19"/>
        <v>64.959999999999994</v>
      </c>
      <c r="I201" s="2"/>
      <c r="L201" s="2"/>
      <c r="M201" s="2"/>
      <c r="N201" s="39"/>
      <c r="O201" s="2"/>
      <c r="P201" s="2"/>
    </row>
    <row r="202" spans="1:16" x14ac:dyDescent="0.25">
      <c r="A202" s="103">
        <v>1</v>
      </c>
      <c r="B202" s="38" t="s">
        <v>85</v>
      </c>
      <c r="C202" s="2"/>
      <c r="D202" s="77"/>
      <c r="E202" s="78" t="s">
        <v>84</v>
      </c>
      <c r="F202" s="55">
        <v>0.155</v>
      </c>
      <c r="G202" s="55">
        <v>4.5999999999999996</v>
      </c>
      <c r="H202" s="56">
        <f t="shared" si="19"/>
        <v>0.71</v>
      </c>
      <c r="I202" s="2"/>
      <c r="L202" s="2"/>
      <c r="M202" s="2"/>
      <c r="N202" s="39"/>
      <c r="O202" s="2"/>
      <c r="P202" s="2"/>
    </row>
    <row r="203" spans="1:16" x14ac:dyDescent="0.25">
      <c r="A203" s="103">
        <v>1</v>
      </c>
      <c r="B203" s="38" t="s">
        <v>1</v>
      </c>
      <c r="C203" s="2"/>
      <c r="D203" s="77"/>
      <c r="E203" s="78" t="s">
        <v>0</v>
      </c>
      <c r="F203" s="55">
        <v>1.5</v>
      </c>
      <c r="G203" s="55">
        <v>0.35</v>
      </c>
      <c r="H203" s="56">
        <f t="shared" si="19"/>
        <v>0.53</v>
      </c>
      <c r="I203" s="2"/>
      <c r="L203" s="2"/>
      <c r="M203" s="2"/>
      <c r="N203" s="39"/>
      <c r="O203" s="2"/>
      <c r="P203" s="2"/>
    </row>
    <row r="204" spans="1:16" x14ac:dyDescent="0.25">
      <c r="A204" s="103">
        <v>1</v>
      </c>
      <c r="B204" s="38" t="s">
        <v>83</v>
      </c>
      <c r="C204" s="2"/>
      <c r="D204" s="77"/>
      <c r="E204" s="78" t="s">
        <v>5</v>
      </c>
      <c r="F204" s="55">
        <v>0.25</v>
      </c>
      <c r="G204" s="55">
        <v>4.72</v>
      </c>
      <c r="H204" s="56">
        <f t="shared" si="19"/>
        <v>1.18</v>
      </c>
      <c r="I204" s="2"/>
      <c r="L204" s="2"/>
      <c r="M204" s="2"/>
      <c r="N204" s="39"/>
      <c r="O204" s="2"/>
      <c r="P204" s="2"/>
    </row>
    <row r="205" spans="1:16" x14ac:dyDescent="0.25">
      <c r="B205" s="38"/>
      <c r="C205" s="2"/>
      <c r="D205" s="77"/>
      <c r="E205" s="78"/>
      <c r="F205" s="55"/>
      <c r="G205" s="55"/>
      <c r="H205" s="56" t="str">
        <f t="shared" si="19"/>
        <v/>
      </c>
      <c r="I205" s="2"/>
    </row>
    <row r="206" spans="1:16" x14ac:dyDescent="0.25">
      <c r="B206" s="38" t="str">
        <f>IF($A206=0,"",VLOOKUP($A206,'BASE MATERIAL'!$A:$D,2))</f>
        <v/>
      </c>
      <c r="C206" s="2"/>
      <c r="D206" s="77"/>
      <c r="E206" s="78" t="str">
        <f>IF($A206=0,"",VLOOKUP($A206,'BASE MATERIAL'!$A:$D,3))</f>
        <v/>
      </c>
      <c r="F206" s="55"/>
      <c r="G206" s="55" t="str">
        <f>IF($A206=0,"",VLOOKUP($A206,'BASE MATERIAL'!$A:$D,4))</f>
        <v/>
      </c>
      <c r="H206" s="56" t="str">
        <f t="shared" si="19"/>
        <v/>
      </c>
      <c r="I206" s="2"/>
      <c r="L206" s="2"/>
      <c r="M206" s="2"/>
      <c r="N206" s="39"/>
      <c r="O206" s="2"/>
      <c r="P206" s="2"/>
    </row>
    <row r="207" spans="1:16" x14ac:dyDescent="0.25">
      <c r="B207" s="38" t="str">
        <f>IF($A207=0,"",VLOOKUP($A207,'BASE MATERIAL'!$A:$D,2))</f>
        <v/>
      </c>
      <c r="C207" s="2"/>
      <c r="D207" s="77"/>
      <c r="E207" s="78" t="str">
        <f>IF($A207=0,"",VLOOKUP($A207,'BASE MATERIAL'!$A:$D,3))</f>
        <v/>
      </c>
      <c r="F207" s="55"/>
      <c r="G207" s="55" t="str">
        <f>IF($A207=0,"",VLOOKUP($A207,'BASE MATERIAL'!$A:$D,4))</f>
        <v/>
      </c>
      <c r="H207" s="56" t="str">
        <f t="shared" si="19"/>
        <v/>
      </c>
      <c r="I207" s="2"/>
      <c r="L207" s="2"/>
      <c r="M207" s="2"/>
      <c r="N207" s="39"/>
      <c r="O207" s="2"/>
      <c r="P207" s="2"/>
    </row>
    <row r="208" spans="1:16" x14ac:dyDescent="0.25">
      <c r="B208" s="38" t="str">
        <f>IF($A208=0,"",VLOOKUP($A208,'BASE MATERIAL'!$A:$D,2))</f>
        <v/>
      </c>
      <c r="C208" s="2"/>
      <c r="D208" s="77"/>
      <c r="E208" s="78" t="str">
        <f>IF($A208=0,"",VLOOKUP($A208,'BASE MATERIAL'!$A:$D,3))</f>
        <v/>
      </c>
      <c r="F208" s="55"/>
      <c r="G208" s="55" t="str">
        <f>IF($A208=0,"",VLOOKUP($A208,'BASE MATERIAL'!$A:$D,4))</f>
        <v/>
      </c>
      <c r="H208" s="56" t="str">
        <f t="shared" si="19"/>
        <v/>
      </c>
      <c r="I208" s="2"/>
    </row>
    <row r="209" spans="1:9" x14ac:dyDescent="0.25">
      <c r="B209" s="38" t="str">
        <f>IF($A209=0,"",VLOOKUP($A209,'BASE MATERIAL'!$A:$D,2))</f>
        <v/>
      </c>
      <c r="C209" s="2"/>
      <c r="D209" s="77"/>
      <c r="E209" s="78" t="str">
        <f>IF($A209=0,"",VLOOKUP($A209,'BASE MATERIAL'!$A:$D,3))</f>
        <v/>
      </c>
      <c r="F209" s="55"/>
      <c r="G209" s="55" t="str">
        <f>IF($A209=0,"",VLOOKUP($A209,'BASE MATERIAL'!$A:$D,4))</f>
        <v/>
      </c>
      <c r="H209" s="56" t="str">
        <f t="shared" si="19"/>
        <v/>
      </c>
      <c r="I209" s="2"/>
    </row>
    <row r="210" spans="1:9" x14ac:dyDescent="0.25">
      <c r="B210" s="38" t="str">
        <f>IF($A210=0,"",VLOOKUP($A210,'BASE MATERIAL'!$A:$D,2))</f>
        <v/>
      </c>
      <c r="C210" s="2"/>
      <c r="D210" s="77"/>
      <c r="E210" s="78" t="str">
        <f>IF($A210=0,"",VLOOKUP($A210,'BASE MATERIAL'!$A:$D,3))</f>
        <v/>
      </c>
      <c r="F210" s="55"/>
      <c r="G210" s="55" t="str">
        <f>IF($A210=0,"",VLOOKUP($A210,'BASE MATERIAL'!$A:$D,4))</f>
        <v/>
      </c>
      <c r="H210" s="56" t="str">
        <f t="shared" si="19"/>
        <v/>
      </c>
      <c r="I210" s="2"/>
    </row>
    <row r="211" spans="1:9" x14ac:dyDescent="0.25">
      <c r="B211" s="38" t="str">
        <f>IF($A211=0,"",VLOOKUP($A211,'BASE MATERIAL'!$A:$D,2))</f>
        <v/>
      </c>
      <c r="C211" s="2"/>
      <c r="D211" s="77"/>
      <c r="E211" s="78" t="str">
        <f>IF($A211=0,"",VLOOKUP($A211,'BASE MATERIAL'!$A:$D,3))</f>
        <v/>
      </c>
      <c r="F211" s="55"/>
      <c r="G211" s="55" t="str">
        <f>IF($A211=0,"",VLOOKUP($A211,'BASE MATERIAL'!$A:$D,4))</f>
        <v/>
      </c>
      <c r="H211" s="56" t="str">
        <f t="shared" si="19"/>
        <v/>
      </c>
      <c r="I211" s="2"/>
    </row>
    <row r="212" spans="1:9" x14ac:dyDescent="0.25">
      <c r="B212" s="38" t="str">
        <f>IF($A212=0,"",VLOOKUP($A212,'BASE MATERIAL'!$A:$D,2))</f>
        <v/>
      </c>
      <c r="C212" s="2"/>
      <c r="D212" s="81" t="s">
        <v>1682</v>
      </c>
      <c r="E212" s="55" t="str">
        <f>IF($A212=0,"",VLOOKUP($A212,'BASE MATERIAL'!$A:$D,3))</f>
        <v/>
      </c>
      <c r="F212" s="55" t="s">
        <v>1682</v>
      </c>
      <c r="G212" s="55" t="str">
        <f>IF($A212=0,"",VLOOKUP($A212,'BASE MATERIAL'!$A:$D,4))</f>
        <v/>
      </c>
      <c r="H212" s="56" t="str">
        <f>IF($A212=0,"",ROUND(E212*F212,2))</f>
        <v/>
      </c>
      <c r="I212" s="2"/>
    </row>
    <row r="213" spans="1:9" x14ac:dyDescent="0.25">
      <c r="B213" s="73" t="s">
        <v>1681</v>
      </c>
      <c r="C213" s="65"/>
      <c r="D213" s="74"/>
      <c r="E213" s="74"/>
      <c r="F213" s="74"/>
      <c r="G213" s="74"/>
      <c r="H213" s="75">
        <f>ROUND(SUM(H196:H212),2)</f>
        <v>144.88</v>
      </c>
      <c r="I213" s="2"/>
    </row>
    <row r="214" spans="1:9" x14ac:dyDescent="0.25">
      <c r="B214" s="38" t="s">
        <v>1680</v>
      </c>
      <c r="C214" s="2"/>
      <c r="D214" s="3"/>
      <c r="E214" s="3"/>
      <c r="F214" s="3"/>
      <c r="G214" s="3"/>
      <c r="H214" s="56"/>
      <c r="I214" s="2"/>
    </row>
    <row r="215" spans="1:9" ht="25.5" x14ac:dyDescent="0.25">
      <c r="B215" s="64" t="s">
        <v>1409</v>
      </c>
      <c r="C215" s="65"/>
      <c r="D215" s="76"/>
      <c r="E215" s="66" t="s">
        <v>1408</v>
      </c>
      <c r="F215" s="66" t="s">
        <v>1679</v>
      </c>
      <c r="G215" s="66" t="s">
        <v>1676</v>
      </c>
      <c r="H215" s="68" t="s">
        <v>1675</v>
      </c>
      <c r="I215" s="2"/>
    </row>
    <row r="216" spans="1:9" x14ac:dyDescent="0.25">
      <c r="A216" s="103">
        <v>19019</v>
      </c>
      <c r="B216" s="51" t="str">
        <f>IF($A216=0,"",VLOOKUP($A216,'BASE EQUIPO'!$A:$D,2))</f>
        <v>TRANSPORTE DE MATERIAL</v>
      </c>
      <c r="C216" s="52"/>
      <c r="D216" s="82"/>
      <c r="E216" s="78" t="str">
        <f>IF($A216=0,"",VLOOKUP($A216,'BASE EQUIPO'!$A:$D,3))</f>
        <v>GLOBAL</v>
      </c>
      <c r="F216" s="55">
        <v>1</v>
      </c>
      <c r="G216" s="83">
        <f>IF($A216=0,"",VLOOKUP($A216,'BASE EQUIPO'!$A:$D,4)*H213)</f>
        <v>4.3464</v>
      </c>
      <c r="H216" s="56">
        <f>IF($A216=0,"",ROUND(F216*G216,2))</f>
        <v>4.3499999999999996</v>
      </c>
      <c r="I216" s="2"/>
    </row>
    <row r="217" spans="1:9" x14ac:dyDescent="0.25">
      <c r="B217" s="38" t="str">
        <f>IF($A217=0,"",VLOOKUP($A217,'BASE EQUIPO'!$A:$D,2))</f>
        <v/>
      </c>
      <c r="C217" s="2"/>
      <c r="D217" s="84"/>
      <c r="E217" s="78" t="str">
        <f>IF($A217=0,"",VLOOKUP($A217,'BASE EQUIPO'!$A:$D,3))</f>
        <v/>
      </c>
      <c r="F217" s="55"/>
      <c r="G217" s="55" t="str">
        <f>IF($A217=0,"",VLOOKUP($A217,'BASE EQUIPO'!$A:$D,4)*H214)</f>
        <v/>
      </c>
      <c r="H217" s="56" t="str">
        <f>IF($A217=0,"",ROUND(F217*G217,2))</f>
        <v/>
      </c>
      <c r="I217" s="2"/>
    </row>
    <row r="218" spans="1:9" x14ac:dyDescent="0.25">
      <c r="B218" s="57" t="str">
        <f>IF($A218=0,"",VLOOKUP($A218,'BASE EQUIPO'!$A:$D,2))</f>
        <v/>
      </c>
      <c r="C218" s="58"/>
      <c r="D218" s="85"/>
      <c r="E218" s="86" t="str">
        <f>IF($A218=0,"",VLOOKUP($A218,'BASE EQUIPO'!$A:$D,3))</f>
        <v/>
      </c>
      <c r="F218" s="59"/>
      <c r="G218" s="59" t="str">
        <f>IF($A218=0,"",VLOOKUP($A218,'BASE EQUIPO'!$A:$D,4)*H215)</f>
        <v/>
      </c>
      <c r="H218" s="60" t="str">
        <f>IF($A218=0,"",ROUND(F218*G218,2))</f>
        <v/>
      </c>
      <c r="I218" s="2"/>
    </row>
    <row r="219" spans="1:9" ht="15.75" thickBot="1" x14ac:dyDescent="0.3">
      <c r="B219" s="87" t="s">
        <v>1674</v>
      </c>
      <c r="C219" s="88"/>
      <c r="D219" s="89"/>
      <c r="E219" s="89"/>
      <c r="F219" s="89"/>
      <c r="G219" s="89"/>
      <c r="H219" s="90">
        <f>ROUND(SUM(H215:H218),2)</f>
        <v>4.3499999999999996</v>
      </c>
      <c r="I219" s="2"/>
    </row>
    <row r="220" spans="1:9" ht="15.75" x14ac:dyDescent="0.25">
      <c r="B220" s="2"/>
      <c r="C220" s="2"/>
      <c r="D220" s="91" t="s">
        <v>1673</v>
      </c>
      <c r="E220" s="47"/>
      <c r="F220" s="47"/>
      <c r="G220" s="47"/>
      <c r="H220" s="92">
        <f>ROUND(SUM(H219,H213,H194,H184),2)</f>
        <v>165.12</v>
      </c>
      <c r="I220" s="2"/>
    </row>
    <row r="221" spans="1:9" ht="15.75" x14ac:dyDescent="0.25">
      <c r="A221" s="103">
        <v>40002</v>
      </c>
      <c r="B221" s="2"/>
      <c r="C221" s="2"/>
      <c r="D221" s="93" t="s">
        <v>1672</v>
      </c>
      <c r="E221" s="65"/>
      <c r="F221" s="65"/>
      <c r="G221" s="94">
        <f>IF($A221=0,"",VLOOKUP($A221,'BASE MATERIAL'!$M:$P,4))</f>
        <v>0</v>
      </c>
      <c r="H221" s="95">
        <f>IF($A221=0,"",ROUND(G221*H220,2))</f>
        <v>0</v>
      </c>
      <c r="I221" s="2"/>
    </row>
    <row r="222" spans="1:9" ht="15.75" x14ac:dyDescent="0.25">
      <c r="A222" s="103">
        <v>40003</v>
      </c>
      <c r="B222" s="2"/>
      <c r="C222" s="2"/>
      <c r="D222" s="93" t="s">
        <v>1671</v>
      </c>
      <c r="E222" s="65"/>
      <c r="F222" s="65"/>
      <c r="G222" s="94">
        <f>IF($A222=0,"",VLOOKUP($A222,'BASE MATERIAL'!$M:$P,4))</f>
        <v>0</v>
      </c>
      <c r="H222" s="95">
        <f>IF($A222=0,"",ROUND(G222*H220,2))</f>
        <v>0</v>
      </c>
      <c r="I222" s="2"/>
    </row>
    <row r="223" spans="1:9" ht="15.75" x14ac:dyDescent="0.25">
      <c r="B223" s="2"/>
      <c r="C223" s="2"/>
      <c r="D223" s="93" t="s">
        <v>1670</v>
      </c>
      <c r="E223" s="65"/>
      <c r="F223" s="65"/>
      <c r="G223" s="65"/>
      <c r="H223" s="96">
        <f>ROUND(SUM(H220:H222),2)</f>
        <v>165.12</v>
      </c>
      <c r="I223" s="2"/>
    </row>
    <row r="224" spans="1:9" ht="16.5" thickBot="1" x14ac:dyDescent="0.3">
      <c r="B224" s="25"/>
      <c r="C224" s="2"/>
      <c r="D224" s="97" t="s">
        <v>1650</v>
      </c>
      <c r="E224" s="88"/>
      <c r="F224" s="88"/>
      <c r="G224" s="88"/>
      <c r="H224" s="98">
        <f>ROUND(H223,2)</f>
        <v>165.12</v>
      </c>
      <c r="I224" s="2"/>
    </row>
    <row r="225" spans="1:15" ht="15.75" x14ac:dyDescent="0.25">
      <c r="B225" s="34" t="s">
        <v>1701</v>
      </c>
      <c r="C225" s="2"/>
      <c r="D225" s="3" t="str">
        <f>$D$1</f>
        <v>ESPOL</v>
      </c>
      <c r="E225" s="2"/>
      <c r="F225" s="2"/>
      <c r="H225" s="2" t="s">
        <v>108</v>
      </c>
      <c r="I225" s="2"/>
      <c r="L225" s="40">
        <f>A229</f>
        <v>17</v>
      </c>
      <c r="M225" s="1" t="str">
        <f>C230</f>
        <v>Lavaplatos de  1 pozo</v>
      </c>
      <c r="N225" s="2" t="str">
        <f>H229</f>
        <v>U</v>
      </c>
      <c r="O225" s="2">
        <f>H280</f>
        <v>163.44</v>
      </c>
    </row>
    <row r="226" spans="1:15" ht="15.75" x14ac:dyDescent="0.25">
      <c r="B226" s="34" t="s">
        <v>1700</v>
      </c>
      <c r="C226" s="3">
        <f>'1.1'!$C$2</f>
        <v>0</v>
      </c>
      <c r="D226" s="2"/>
      <c r="E226" s="2"/>
      <c r="F226" s="2"/>
      <c r="G226" s="41" t="s">
        <v>1699</v>
      </c>
      <c r="H226" s="42"/>
      <c r="I226" s="2" t="s">
        <v>1698</v>
      </c>
    </row>
    <row r="227" spans="1:15" ht="15.75" x14ac:dyDescent="0.25">
      <c r="B227" s="34"/>
      <c r="C227" s="3">
        <f>'1.1'!$C$3</f>
        <v>0</v>
      </c>
      <c r="D227" s="2"/>
      <c r="E227" s="2"/>
      <c r="F227" s="2"/>
      <c r="G227" s="2"/>
      <c r="H227" s="2"/>
      <c r="I227" s="2"/>
    </row>
    <row r="228" spans="1:15" ht="15.75" x14ac:dyDescent="0.25">
      <c r="B228" s="34" t="s">
        <v>1697</v>
      </c>
      <c r="C228" s="3"/>
      <c r="D228" s="2"/>
      <c r="E228" s="2"/>
      <c r="F228" s="2"/>
      <c r="G228" s="2"/>
      <c r="H228" s="2"/>
      <c r="I228" s="2"/>
    </row>
    <row r="229" spans="1:15" x14ac:dyDescent="0.25">
      <c r="A229" s="104">
        <v>17</v>
      </c>
      <c r="B229" s="2" t="s">
        <v>1586</v>
      </c>
      <c r="C229" s="101" t="s">
        <v>1663</v>
      </c>
      <c r="D229" s="2"/>
      <c r="G229" s="2" t="s">
        <v>1696</v>
      </c>
      <c r="H229" s="3" t="s">
        <v>744</v>
      </c>
      <c r="I229" s="2"/>
    </row>
    <row r="230" spans="1:15" x14ac:dyDescent="0.25">
      <c r="B230" s="1" t="s">
        <v>1585</v>
      </c>
      <c r="C230" s="36" t="s">
        <v>582</v>
      </c>
      <c r="D230" s="2"/>
      <c r="E230" s="2"/>
      <c r="F230" s="2"/>
      <c r="G230" s="2"/>
      <c r="H230" s="2"/>
      <c r="I230" s="2"/>
    </row>
    <row r="231" spans="1:15" ht="15.75" thickBot="1" x14ac:dyDescent="0.3">
      <c r="D231" s="2"/>
      <c r="E231" s="2"/>
      <c r="F231" s="2"/>
      <c r="G231" s="2"/>
      <c r="H231" s="2"/>
      <c r="I231" s="2"/>
    </row>
    <row r="232" spans="1:15" ht="15.75" thickBot="1" x14ac:dyDescent="0.3">
      <c r="B232" s="43" t="s">
        <v>1695</v>
      </c>
      <c r="C232" s="44"/>
      <c r="D232" s="44"/>
      <c r="E232" s="44"/>
      <c r="F232" s="44"/>
      <c r="G232" s="44"/>
      <c r="H232" s="45"/>
      <c r="I232" s="2"/>
    </row>
    <row r="233" spans="1:15" ht="25.5" x14ac:dyDescent="0.25">
      <c r="B233" s="46" t="s">
        <v>1409</v>
      </c>
      <c r="C233" s="47"/>
      <c r="D233" s="48" t="s">
        <v>1690</v>
      </c>
      <c r="E233" s="48" t="s">
        <v>1694</v>
      </c>
      <c r="F233" s="48" t="s">
        <v>1693</v>
      </c>
      <c r="G233" s="49" t="s">
        <v>1687</v>
      </c>
      <c r="H233" s="50" t="s">
        <v>1686</v>
      </c>
      <c r="I233" s="2"/>
    </row>
    <row r="234" spans="1:15" x14ac:dyDescent="0.25">
      <c r="A234" s="103">
        <v>19015</v>
      </c>
      <c r="B234" s="51" t="str">
        <f>IF($A234=0,"",VLOOKUP($A234,'BASE EQUIPO'!$A:$D,2))</f>
        <v>HERRAMIENTA MENOR</v>
      </c>
      <c r="C234" s="52"/>
      <c r="D234" s="53">
        <v>1</v>
      </c>
      <c r="E234" s="53">
        <f>IF($A234=0,"",VLOOKUP($A234,'BASE EQUIPO'!$A:$D,4)*H250)</f>
        <v>0.58919999999999995</v>
      </c>
      <c r="F234" s="53">
        <f t="shared" ref="F234:F239" si="20">IF($A234=0,"",ROUND(D234*E234,2))</f>
        <v>0.59</v>
      </c>
      <c r="G234" s="105">
        <v>1</v>
      </c>
      <c r="H234" s="54">
        <f t="shared" ref="H234:H239" si="21">IF($A234=0,"",ROUND(G234*F234,2))</f>
        <v>0.59</v>
      </c>
      <c r="I234" s="2"/>
    </row>
    <row r="235" spans="1:15" x14ac:dyDescent="0.25">
      <c r="B235" s="38" t="str">
        <f>IF($A235=0,"",VLOOKUP($A235,'BASE EQUIPO'!$A:$D,2))</f>
        <v/>
      </c>
      <c r="C235" s="2"/>
      <c r="D235" s="55"/>
      <c r="E235" s="55" t="str">
        <f>IF($A235=0,"",VLOOKUP($A235,'BASE EQUIPO'!$A:$D,4))</f>
        <v/>
      </c>
      <c r="F235" s="55" t="str">
        <f t="shared" si="20"/>
        <v/>
      </c>
      <c r="G235" s="106"/>
      <c r="H235" s="56" t="str">
        <f t="shared" si="21"/>
        <v/>
      </c>
      <c r="I235" s="2"/>
    </row>
    <row r="236" spans="1:15" x14ac:dyDescent="0.25">
      <c r="B236" s="38" t="str">
        <f>IF($A236=0,"",VLOOKUP($A236,'BASE EQUIPO'!$A:$D,2))</f>
        <v/>
      </c>
      <c r="C236" s="2"/>
      <c r="D236" s="55"/>
      <c r="E236" s="55" t="str">
        <f>IF($A236=0,"",VLOOKUP($A236,'BASE EQUIPO'!$A:$D,4))</f>
        <v/>
      </c>
      <c r="F236" s="55" t="str">
        <f t="shared" si="20"/>
        <v/>
      </c>
      <c r="G236" s="106"/>
      <c r="H236" s="56" t="str">
        <f t="shared" si="21"/>
        <v/>
      </c>
      <c r="I236" s="2"/>
    </row>
    <row r="237" spans="1:15" x14ac:dyDescent="0.25">
      <c r="B237" s="38" t="str">
        <f>IF($A237=0,"",VLOOKUP($A237,'BASE EQUIPO'!$A:$D,2))</f>
        <v/>
      </c>
      <c r="C237" s="2"/>
      <c r="D237" s="55"/>
      <c r="E237" s="55" t="str">
        <f>IF($A237=0,"",VLOOKUP($A237,'BASE EQUIPO'!$A:$D,4))</f>
        <v/>
      </c>
      <c r="F237" s="55" t="str">
        <f t="shared" si="20"/>
        <v/>
      </c>
      <c r="G237" s="106"/>
      <c r="H237" s="56" t="str">
        <f t="shared" si="21"/>
        <v/>
      </c>
      <c r="I237" s="2"/>
    </row>
    <row r="238" spans="1:15" x14ac:dyDescent="0.25">
      <c r="B238" s="38" t="str">
        <f>IF($A238=0,"",VLOOKUP($A238,'BASE EQUIPO'!$A:$D,2))</f>
        <v/>
      </c>
      <c r="C238" s="2"/>
      <c r="D238" s="55"/>
      <c r="E238" s="55" t="str">
        <f>IF($A238=0,"",VLOOKUP($A238,'BASE EQUIPO'!$A:$D,4))</f>
        <v/>
      </c>
      <c r="F238" s="55" t="str">
        <f t="shared" si="20"/>
        <v/>
      </c>
      <c r="G238" s="106"/>
      <c r="H238" s="56" t="str">
        <f t="shared" si="21"/>
        <v/>
      </c>
      <c r="I238" s="2"/>
    </row>
    <row r="239" spans="1:15" x14ac:dyDescent="0.25">
      <c r="B239" s="57" t="str">
        <f>IF($A239=0,"",VLOOKUP($A239,'BASE EQUIPO'!$A:$D,2))</f>
        <v/>
      </c>
      <c r="C239" s="58"/>
      <c r="D239" s="59"/>
      <c r="E239" s="59" t="str">
        <f>IF($A239=0,"",VLOOKUP($A239,'BASE EQUIPO'!$A:$D,4))</f>
        <v/>
      </c>
      <c r="F239" s="59" t="str">
        <f t="shared" si="20"/>
        <v/>
      </c>
      <c r="G239" s="107"/>
      <c r="H239" s="60" t="str">
        <f t="shared" si="21"/>
        <v/>
      </c>
      <c r="I239" s="2"/>
    </row>
    <row r="240" spans="1:15" x14ac:dyDescent="0.25">
      <c r="B240" s="57" t="s">
        <v>1692</v>
      </c>
      <c r="C240" s="58"/>
      <c r="D240" s="61"/>
      <c r="E240" s="61"/>
      <c r="F240" s="61"/>
      <c r="G240" s="62"/>
      <c r="H240" s="60">
        <f>ROUND(SUM(H233:H239),2)</f>
        <v>0.59</v>
      </c>
      <c r="I240" s="2"/>
    </row>
    <row r="241" spans="1:16" x14ac:dyDescent="0.25">
      <c r="B241" s="38" t="s">
        <v>1503</v>
      </c>
      <c r="C241" s="2"/>
      <c r="D241" s="3"/>
      <c r="E241" s="3"/>
      <c r="F241" s="3"/>
      <c r="G241" s="63"/>
      <c r="H241" s="56"/>
      <c r="I241" s="2"/>
    </row>
    <row r="242" spans="1:16" ht="25.5" x14ac:dyDescent="0.25">
      <c r="B242" s="64" t="s">
        <v>1691</v>
      </c>
      <c r="C242" s="65"/>
      <c r="D242" s="66" t="s">
        <v>1690</v>
      </c>
      <c r="E242" s="66" t="s">
        <v>1689</v>
      </c>
      <c r="F242" s="66" t="s">
        <v>1688</v>
      </c>
      <c r="G242" s="67" t="s">
        <v>1687</v>
      </c>
      <c r="H242" s="68" t="s">
        <v>1686</v>
      </c>
      <c r="I242" s="2"/>
    </row>
    <row r="243" spans="1:16" x14ac:dyDescent="0.25">
      <c r="B243" s="69" t="str">
        <f>IF($A243=0,"",VLOOKUP($A243,'BASE M-OBRA'!$A:$D,2))</f>
        <v/>
      </c>
      <c r="C243" s="2"/>
      <c r="D243" s="108"/>
      <c r="E243" s="70" t="str">
        <f>IF($A243=0,"",VLOOKUP($A243,'BASE M-OBRA'!$A:$D,4))</f>
        <v/>
      </c>
      <c r="F243" s="55" t="str">
        <f t="shared" ref="F243:F249" si="22">IF($A243=0,"",ROUND(D243*E243,2))</f>
        <v/>
      </c>
      <c r="G243" s="106" t="str">
        <f>IF($A243=0,"",ROUND(H243/F243,2))</f>
        <v/>
      </c>
      <c r="H243" s="56" t="str">
        <f>IF($A243=0,"",ROUND(SUM(H244:H249)*'BASE M-OBRA'!$D$23,2))</f>
        <v/>
      </c>
      <c r="I243" s="2"/>
    </row>
    <row r="244" spans="1:16" x14ac:dyDescent="0.25">
      <c r="A244" s="103">
        <v>20011</v>
      </c>
      <c r="B244" s="69" t="str">
        <f>IF($A244=0,"",VLOOKUP($A244,'BASE M-OBRA'!$A:$D,2))</f>
        <v>AYUDANTE ESPECIALISTA</v>
      </c>
      <c r="C244" s="2"/>
      <c r="D244" s="108">
        <v>1</v>
      </c>
      <c r="E244" s="70">
        <f>IF($A244=0,"",VLOOKUP($A244,'BASE M-OBRA'!$A:$D,4))</f>
        <v>2.79</v>
      </c>
      <c r="F244" s="55">
        <f t="shared" si="22"/>
        <v>2.79</v>
      </c>
      <c r="G244" s="106">
        <v>3.5</v>
      </c>
      <c r="H244" s="56">
        <f t="shared" ref="H244:H249" si="23">IF($A244=0,"",ROUND(G244*F244,2))</f>
        <v>9.77</v>
      </c>
      <c r="I244" s="2"/>
    </row>
    <row r="245" spans="1:16" x14ac:dyDescent="0.25">
      <c r="A245" s="103">
        <v>20016</v>
      </c>
      <c r="B245" s="69" t="str">
        <f>IF($A245=0,"",VLOOKUP($A245,'BASE M-OBRA'!$A:$D,2))</f>
        <v>GAFITERO</v>
      </c>
      <c r="C245" s="2"/>
      <c r="D245" s="108">
        <v>1</v>
      </c>
      <c r="E245" s="70">
        <f>IF($A245=0,"",VLOOKUP($A245,'BASE M-OBRA'!$A:$D,4))</f>
        <v>2.82</v>
      </c>
      <c r="F245" s="55">
        <f t="shared" si="22"/>
        <v>2.82</v>
      </c>
      <c r="G245" s="106">
        <f>+G244</f>
        <v>3.5</v>
      </c>
      <c r="H245" s="56">
        <f t="shared" si="23"/>
        <v>9.8699999999999992</v>
      </c>
      <c r="I245" s="2"/>
    </row>
    <row r="246" spans="1:16" x14ac:dyDescent="0.25">
      <c r="B246" s="71" t="str">
        <f>IF($A246=0,"",VLOOKUP($A246,'BASE M-OBRA'!$A:$D,2))</f>
        <v/>
      </c>
      <c r="C246" s="2"/>
      <c r="D246" s="108"/>
      <c r="E246" s="70" t="str">
        <f>IF($A246=0,"",VLOOKUP($A246,'BASE M-OBRA'!$A:$D,4))</f>
        <v/>
      </c>
      <c r="F246" s="55" t="str">
        <f t="shared" si="22"/>
        <v/>
      </c>
      <c r="G246" s="106"/>
      <c r="H246" s="56" t="str">
        <f t="shared" si="23"/>
        <v/>
      </c>
      <c r="I246" s="2"/>
    </row>
    <row r="247" spans="1:16" x14ac:dyDescent="0.25">
      <c r="B247" s="72" t="str">
        <f>IF($A247=0,"",VLOOKUP($A247,'BASE M-OBRA'!$A:$D,2))</f>
        <v/>
      </c>
      <c r="C247" s="2"/>
      <c r="D247" s="108"/>
      <c r="E247" s="70" t="str">
        <f>IF($A247=0,"",VLOOKUP($A247,'BASE M-OBRA'!$A:$D,4))</f>
        <v/>
      </c>
      <c r="F247" s="55" t="str">
        <f t="shared" si="22"/>
        <v/>
      </c>
      <c r="G247" s="106"/>
      <c r="H247" s="56" t="str">
        <f t="shared" si="23"/>
        <v/>
      </c>
      <c r="I247" s="2"/>
    </row>
    <row r="248" spans="1:16" x14ac:dyDescent="0.25">
      <c r="B248" s="38" t="str">
        <f>IF($A248=0,"",VLOOKUP($A248,'BASE M-OBRA'!$A:$D,2))</f>
        <v/>
      </c>
      <c r="C248" s="2"/>
      <c r="D248" s="55"/>
      <c r="E248" s="55" t="str">
        <f>IF($A248=0,"",VLOOKUP($A248,'BASE M-OBRA'!$A:$D,4))</f>
        <v/>
      </c>
      <c r="F248" s="55" t="str">
        <f t="shared" si="22"/>
        <v/>
      </c>
      <c r="G248" s="106"/>
      <c r="H248" s="56" t="str">
        <f t="shared" si="23"/>
        <v/>
      </c>
      <c r="I248" s="2"/>
    </row>
    <row r="249" spans="1:16" x14ac:dyDescent="0.25">
      <c r="B249" s="57" t="str">
        <f>IF($A249=0,"",VLOOKUP($A249,'BASE M-OBRA'!$A:$D,2))</f>
        <v/>
      </c>
      <c r="C249" s="58"/>
      <c r="D249" s="59"/>
      <c r="E249" s="59" t="str">
        <f>IF($A249=0,"",VLOOKUP($A249,'BASE M-OBRA'!$A:$D,4))</f>
        <v/>
      </c>
      <c r="F249" s="59" t="str">
        <f t="shared" si="22"/>
        <v/>
      </c>
      <c r="G249" s="107"/>
      <c r="H249" s="60" t="str">
        <f t="shared" si="23"/>
        <v/>
      </c>
      <c r="I249" s="2"/>
    </row>
    <row r="250" spans="1:16" x14ac:dyDescent="0.25">
      <c r="B250" s="73" t="s">
        <v>1685</v>
      </c>
      <c r="C250" s="65"/>
      <c r="D250" s="74"/>
      <c r="E250" s="74"/>
      <c r="F250" s="74"/>
      <c r="G250" s="74"/>
      <c r="H250" s="75">
        <f>ROUND(SUM(H242:H249),2)</f>
        <v>19.64</v>
      </c>
      <c r="I250" s="2"/>
    </row>
    <row r="251" spans="1:16" x14ac:dyDescent="0.25">
      <c r="B251" s="38" t="s">
        <v>1684</v>
      </c>
      <c r="C251" s="2"/>
      <c r="D251" s="3"/>
      <c r="E251" s="3"/>
      <c r="F251" s="3"/>
      <c r="G251" s="3"/>
      <c r="H251" s="56"/>
      <c r="I251" s="2"/>
    </row>
    <row r="252" spans="1:16" ht="25.5" x14ac:dyDescent="0.25">
      <c r="B252" s="64" t="s">
        <v>1409</v>
      </c>
      <c r="C252" s="65"/>
      <c r="D252" s="76"/>
      <c r="E252" s="66" t="s">
        <v>1408</v>
      </c>
      <c r="F252" s="66" t="s">
        <v>1679</v>
      </c>
      <c r="G252" s="66" t="s">
        <v>1683</v>
      </c>
      <c r="H252" s="68" t="s">
        <v>1675</v>
      </c>
      <c r="I252" s="2"/>
    </row>
    <row r="253" spans="1:16" x14ac:dyDescent="0.25">
      <c r="A253" s="103">
        <v>17016</v>
      </c>
      <c r="B253" s="99" t="str">
        <f>IF($A253=0,"",VLOOKUP($A253,'BASE MATERIAL'!$A:$D,2))</f>
        <v xml:space="preserve">LAVAPLATO  1 P/ 1E </v>
      </c>
      <c r="C253" s="2"/>
      <c r="D253" s="77"/>
      <c r="E253" s="78" t="str">
        <f>IF($A253=0,"",VLOOKUP($A253,'BASE MATERIAL'!$A:$D,3))</f>
        <v>U</v>
      </c>
      <c r="F253" s="55">
        <v>1</v>
      </c>
      <c r="G253" s="55">
        <f>IF($A253=0,"",VLOOKUP($A253,'BASE MATERIAL'!$A:$D,4))</f>
        <v>59</v>
      </c>
      <c r="H253" s="56">
        <f t="shared" ref="H253:H267" si="24">IF($A253=0,"",ROUND(F253*G253,2))</f>
        <v>59</v>
      </c>
      <c r="I253" s="2"/>
      <c r="J253" s="2"/>
      <c r="L253" s="2"/>
      <c r="M253" s="2"/>
      <c r="N253" s="39"/>
      <c r="O253" s="2"/>
      <c r="P253" s="2"/>
    </row>
    <row r="254" spans="1:16" x14ac:dyDescent="0.25">
      <c r="A254" s="103">
        <v>1</v>
      </c>
      <c r="B254" s="38" t="s">
        <v>94</v>
      </c>
      <c r="C254" s="2"/>
      <c r="D254" s="77"/>
      <c r="E254" s="78" t="s">
        <v>1506</v>
      </c>
      <c r="F254" s="55">
        <v>1</v>
      </c>
      <c r="G254" s="55">
        <v>5.5</v>
      </c>
      <c r="H254" s="56">
        <f t="shared" si="24"/>
        <v>5.5</v>
      </c>
      <c r="I254" s="2"/>
      <c r="J254" s="2">
        <f>3.36/1.12</f>
        <v>2.9999999999999996</v>
      </c>
      <c r="L254" s="2"/>
      <c r="M254" s="2"/>
      <c r="N254" s="39"/>
      <c r="O254" s="2"/>
      <c r="P254" s="2"/>
    </row>
    <row r="255" spans="1:16" x14ac:dyDescent="0.25">
      <c r="A255" s="103">
        <v>1</v>
      </c>
      <c r="B255" s="38" t="s">
        <v>93</v>
      </c>
      <c r="C255" s="2"/>
      <c r="D255" s="77"/>
      <c r="E255" s="78" t="s">
        <v>1506</v>
      </c>
      <c r="F255" s="55">
        <v>1</v>
      </c>
      <c r="G255" s="55">
        <v>5.5</v>
      </c>
      <c r="H255" s="56">
        <f t="shared" si="24"/>
        <v>5.5</v>
      </c>
      <c r="I255" s="2"/>
      <c r="J255" s="2"/>
      <c r="L255" s="2"/>
      <c r="M255" s="2"/>
      <c r="N255" s="39"/>
      <c r="O255" s="2"/>
      <c r="P255" s="2"/>
    </row>
    <row r="256" spans="1:16" x14ac:dyDescent="0.25">
      <c r="A256" s="103">
        <v>1</v>
      </c>
      <c r="B256" s="38" t="s">
        <v>92</v>
      </c>
      <c r="C256" s="2"/>
      <c r="D256" s="77"/>
      <c r="E256" s="78" t="s">
        <v>1506</v>
      </c>
      <c r="F256" s="55">
        <v>1</v>
      </c>
      <c r="G256" s="55">
        <v>9.5</v>
      </c>
      <c r="H256" s="56">
        <f t="shared" si="24"/>
        <v>9.5</v>
      </c>
      <c r="I256" s="2"/>
      <c r="J256" s="2">
        <f>+J253/1.5</f>
        <v>0</v>
      </c>
      <c r="L256" s="2"/>
      <c r="M256" s="2"/>
      <c r="N256" s="39"/>
      <c r="O256" s="2"/>
      <c r="P256" s="2"/>
    </row>
    <row r="257" spans="1:16" x14ac:dyDescent="0.25">
      <c r="A257" s="103">
        <v>1</v>
      </c>
      <c r="B257" s="38" t="s">
        <v>91</v>
      </c>
      <c r="C257" s="2"/>
      <c r="D257" s="77"/>
      <c r="E257" s="78" t="s">
        <v>1506</v>
      </c>
      <c r="F257" s="55">
        <v>1</v>
      </c>
      <c r="G257" s="55">
        <f>51*1.12</f>
        <v>57.120000000000005</v>
      </c>
      <c r="H257" s="56">
        <f t="shared" si="24"/>
        <v>57.12</v>
      </c>
      <c r="I257" s="2"/>
      <c r="J257" s="2"/>
      <c r="L257" s="2"/>
      <c r="M257" s="2"/>
      <c r="N257" s="39"/>
      <c r="O257" s="2"/>
      <c r="P257" s="2"/>
    </row>
    <row r="258" spans="1:16" x14ac:dyDescent="0.25">
      <c r="A258" s="103">
        <v>1</v>
      </c>
      <c r="B258" s="38" t="s">
        <v>85</v>
      </c>
      <c r="C258" s="2"/>
      <c r="D258" s="77"/>
      <c r="E258" s="78" t="s">
        <v>84</v>
      </c>
      <c r="F258" s="55">
        <v>0.155</v>
      </c>
      <c r="G258" s="55">
        <v>4.5999999999999996</v>
      </c>
      <c r="H258" s="56">
        <f t="shared" si="24"/>
        <v>0.71</v>
      </c>
      <c r="I258" s="2"/>
      <c r="L258" s="2"/>
      <c r="M258" s="2"/>
      <c r="N258" s="39"/>
      <c r="O258" s="2"/>
      <c r="P258" s="2"/>
    </row>
    <row r="259" spans="1:16" x14ac:dyDescent="0.25">
      <c r="A259" s="103">
        <v>1</v>
      </c>
      <c r="B259" s="38" t="s">
        <v>1</v>
      </c>
      <c r="C259" s="2"/>
      <c r="D259" s="77"/>
      <c r="E259" s="78" t="s">
        <v>0</v>
      </c>
      <c r="F259" s="55">
        <v>1.5</v>
      </c>
      <c r="G259" s="55">
        <v>0.35</v>
      </c>
      <c r="H259" s="56">
        <f t="shared" si="24"/>
        <v>0.53</v>
      </c>
      <c r="I259" s="2"/>
      <c r="L259" s="2"/>
      <c r="M259" s="2"/>
      <c r="N259" s="39"/>
      <c r="O259" s="2"/>
      <c r="P259" s="2"/>
    </row>
    <row r="260" spans="1:16" x14ac:dyDescent="0.25">
      <c r="A260" s="103">
        <v>1</v>
      </c>
      <c r="B260" s="38" t="s">
        <v>83</v>
      </c>
      <c r="C260" s="2"/>
      <c r="D260" s="77"/>
      <c r="E260" s="78" t="s">
        <v>5</v>
      </c>
      <c r="F260" s="55">
        <v>0.25</v>
      </c>
      <c r="G260" s="55">
        <v>4.72</v>
      </c>
      <c r="H260" s="56">
        <f t="shared" si="24"/>
        <v>1.18</v>
      </c>
      <c r="I260" s="2"/>
      <c r="L260" s="2"/>
      <c r="M260" s="2"/>
      <c r="N260" s="39"/>
      <c r="O260" s="2"/>
      <c r="P260" s="2"/>
    </row>
    <row r="261" spans="1:16" x14ac:dyDescent="0.25">
      <c r="B261" s="38"/>
      <c r="C261" s="2"/>
      <c r="D261" s="77"/>
      <c r="E261" s="78"/>
      <c r="F261" s="55"/>
      <c r="G261" s="55"/>
      <c r="H261" s="56" t="str">
        <f t="shared" si="24"/>
        <v/>
      </c>
      <c r="I261" s="2"/>
    </row>
    <row r="262" spans="1:16" x14ac:dyDescent="0.25">
      <c r="B262" s="38" t="str">
        <f>IF($A262=0,"",VLOOKUP($A262,'BASE MATERIAL'!$A:$D,2))</f>
        <v/>
      </c>
      <c r="C262" s="2"/>
      <c r="D262" s="77"/>
      <c r="E262" s="78" t="str">
        <f>IF($A262=0,"",VLOOKUP($A262,'BASE MATERIAL'!$A:$D,3))</f>
        <v/>
      </c>
      <c r="F262" s="55"/>
      <c r="G262" s="55" t="str">
        <f>IF($A262=0,"",VLOOKUP($A262,'BASE MATERIAL'!$A:$D,4))</f>
        <v/>
      </c>
      <c r="H262" s="56" t="str">
        <f t="shared" si="24"/>
        <v/>
      </c>
      <c r="I262" s="2"/>
      <c r="L262" s="2"/>
      <c r="M262" s="2"/>
      <c r="N262" s="39"/>
      <c r="O262" s="2"/>
      <c r="P262" s="2"/>
    </row>
    <row r="263" spans="1:16" x14ac:dyDescent="0.25">
      <c r="B263" s="38" t="str">
        <f>IF($A263=0,"",VLOOKUP($A263,'BASE MATERIAL'!$A:$D,2))</f>
        <v/>
      </c>
      <c r="C263" s="2"/>
      <c r="D263" s="77"/>
      <c r="E263" s="78" t="str">
        <f>IF($A263=0,"",VLOOKUP($A263,'BASE MATERIAL'!$A:$D,3))</f>
        <v/>
      </c>
      <c r="F263" s="55"/>
      <c r="G263" s="55" t="str">
        <f>IF($A263=0,"",VLOOKUP($A263,'BASE MATERIAL'!$A:$D,4))</f>
        <v/>
      </c>
      <c r="H263" s="56" t="str">
        <f t="shared" si="24"/>
        <v/>
      </c>
      <c r="I263" s="2"/>
      <c r="L263" s="2"/>
      <c r="M263" s="2"/>
      <c r="N263" s="39"/>
      <c r="O263" s="2"/>
      <c r="P263" s="2"/>
    </row>
    <row r="264" spans="1:16" x14ac:dyDescent="0.25">
      <c r="B264" s="38" t="str">
        <f>IF($A264=0,"",VLOOKUP($A264,'BASE MATERIAL'!$A:$D,2))</f>
        <v/>
      </c>
      <c r="C264" s="2"/>
      <c r="D264" s="77"/>
      <c r="E264" s="78" t="str">
        <f>IF($A264=0,"",VLOOKUP($A264,'BASE MATERIAL'!$A:$D,3))</f>
        <v/>
      </c>
      <c r="F264" s="55"/>
      <c r="G264" s="55" t="str">
        <f>IF($A264=0,"",VLOOKUP($A264,'BASE MATERIAL'!$A:$D,4))</f>
        <v/>
      </c>
      <c r="H264" s="56" t="str">
        <f t="shared" si="24"/>
        <v/>
      </c>
      <c r="I264" s="2"/>
    </row>
    <row r="265" spans="1:16" x14ac:dyDescent="0.25">
      <c r="B265" s="38" t="str">
        <f>IF($A265=0,"",VLOOKUP($A265,'BASE MATERIAL'!$A:$D,2))</f>
        <v/>
      </c>
      <c r="C265" s="2"/>
      <c r="D265" s="77"/>
      <c r="E265" s="78" t="str">
        <f>IF($A265=0,"",VLOOKUP($A265,'BASE MATERIAL'!$A:$D,3))</f>
        <v/>
      </c>
      <c r="F265" s="55"/>
      <c r="G265" s="55" t="str">
        <f>IF($A265=0,"",VLOOKUP($A265,'BASE MATERIAL'!$A:$D,4))</f>
        <v/>
      </c>
      <c r="H265" s="56" t="str">
        <f t="shared" si="24"/>
        <v/>
      </c>
      <c r="I265" s="2"/>
    </row>
    <row r="266" spans="1:16" x14ac:dyDescent="0.25">
      <c r="B266" s="38" t="str">
        <f>IF($A266=0,"",VLOOKUP($A266,'BASE MATERIAL'!$A:$D,2))</f>
        <v/>
      </c>
      <c r="C266" s="2"/>
      <c r="D266" s="77"/>
      <c r="E266" s="78" t="str">
        <f>IF($A266=0,"",VLOOKUP($A266,'BASE MATERIAL'!$A:$D,3))</f>
        <v/>
      </c>
      <c r="F266" s="55"/>
      <c r="G266" s="55" t="str">
        <f>IF($A266=0,"",VLOOKUP($A266,'BASE MATERIAL'!$A:$D,4))</f>
        <v/>
      </c>
      <c r="H266" s="56" t="str">
        <f t="shared" si="24"/>
        <v/>
      </c>
      <c r="I266" s="2"/>
    </row>
    <row r="267" spans="1:16" x14ac:dyDescent="0.25">
      <c r="B267" s="38" t="str">
        <f>IF($A267=0,"",VLOOKUP($A267,'BASE MATERIAL'!$A:$D,2))</f>
        <v/>
      </c>
      <c r="C267" s="2"/>
      <c r="D267" s="77"/>
      <c r="E267" s="78" t="str">
        <f>IF($A267=0,"",VLOOKUP($A267,'BASE MATERIAL'!$A:$D,3))</f>
        <v/>
      </c>
      <c r="F267" s="55"/>
      <c r="G267" s="55" t="str">
        <f>IF($A267=0,"",VLOOKUP($A267,'BASE MATERIAL'!$A:$D,4))</f>
        <v/>
      </c>
      <c r="H267" s="56" t="str">
        <f t="shared" si="24"/>
        <v/>
      </c>
      <c r="I267" s="2"/>
    </row>
    <row r="268" spans="1:16" x14ac:dyDescent="0.25">
      <c r="B268" s="38" t="str">
        <f>IF($A268=0,"",VLOOKUP($A268,'BASE MATERIAL'!$A:$D,2))</f>
        <v/>
      </c>
      <c r="C268" s="2"/>
      <c r="D268" s="81" t="s">
        <v>1682</v>
      </c>
      <c r="E268" s="55" t="str">
        <f>IF($A268=0,"",VLOOKUP($A268,'BASE MATERIAL'!$A:$D,3))</f>
        <v/>
      </c>
      <c r="F268" s="55" t="s">
        <v>1682</v>
      </c>
      <c r="G268" s="55" t="str">
        <f>IF($A268=0,"",VLOOKUP($A268,'BASE MATERIAL'!$A:$D,4))</f>
        <v/>
      </c>
      <c r="H268" s="56" t="str">
        <f>IF($A268=0,"",ROUND(E268*F268,2))</f>
        <v/>
      </c>
      <c r="I268" s="2"/>
    </row>
    <row r="269" spans="1:16" x14ac:dyDescent="0.25">
      <c r="B269" s="73" t="s">
        <v>1681</v>
      </c>
      <c r="C269" s="65"/>
      <c r="D269" s="74"/>
      <c r="E269" s="74"/>
      <c r="F269" s="74"/>
      <c r="G269" s="74"/>
      <c r="H269" s="75">
        <f>ROUND(SUM(H252:H268),2)</f>
        <v>139.04</v>
      </c>
      <c r="I269" s="2"/>
    </row>
    <row r="270" spans="1:16" x14ac:dyDescent="0.25">
      <c r="B270" s="38" t="s">
        <v>1680</v>
      </c>
      <c r="C270" s="2"/>
      <c r="D270" s="3"/>
      <c r="E270" s="3"/>
      <c r="F270" s="3"/>
      <c r="G270" s="3"/>
      <c r="H270" s="56"/>
      <c r="I270" s="2"/>
    </row>
    <row r="271" spans="1:16" ht="25.5" x14ac:dyDescent="0.25">
      <c r="B271" s="64" t="s">
        <v>1409</v>
      </c>
      <c r="C271" s="65"/>
      <c r="D271" s="76"/>
      <c r="E271" s="66" t="s">
        <v>1408</v>
      </c>
      <c r="F271" s="66" t="s">
        <v>1679</v>
      </c>
      <c r="G271" s="66" t="s">
        <v>1676</v>
      </c>
      <c r="H271" s="68" t="s">
        <v>1675</v>
      </c>
      <c r="I271" s="2"/>
    </row>
    <row r="272" spans="1:16" x14ac:dyDescent="0.25">
      <c r="A272" s="103">
        <v>19019</v>
      </c>
      <c r="B272" s="51" t="str">
        <f>IF($A272=0,"",VLOOKUP($A272,'BASE EQUIPO'!$A:$D,2))</f>
        <v>TRANSPORTE DE MATERIAL</v>
      </c>
      <c r="C272" s="52"/>
      <c r="D272" s="82"/>
      <c r="E272" s="78" t="str">
        <f>IF($A272=0,"",VLOOKUP($A272,'BASE EQUIPO'!$A:$D,3))</f>
        <v>GLOBAL</v>
      </c>
      <c r="F272" s="55">
        <v>1</v>
      </c>
      <c r="G272" s="83">
        <f>IF($A272=0,"",VLOOKUP($A272,'BASE EQUIPO'!$A:$D,4)*H269)</f>
        <v>4.1711999999999998</v>
      </c>
      <c r="H272" s="56">
        <f>IF($A272=0,"",ROUND(F272*G272,2))</f>
        <v>4.17</v>
      </c>
      <c r="I272" s="2"/>
    </row>
    <row r="273" spans="1:15" x14ac:dyDescent="0.25">
      <c r="B273" s="38" t="str">
        <f>IF($A273=0,"",VLOOKUP($A273,'BASE EQUIPO'!$A:$D,2))</f>
        <v/>
      </c>
      <c r="C273" s="2"/>
      <c r="D273" s="84"/>
      <c r="E273" s="78" t="str">
        <f>IF($A273=0,"",VLOOKUP($A273,'BASE EQUIPO'!$A:$D,3))</f>
        <v/>
      </c>
      <c r="F273" s="55"/>
      <c r="G273" s="55" t="str">
        <f>IF($A273=0,"",VLOOKUP($A273,'BASE EQUIPO'!$A:$D,4)*H270)</f>
        <v/>
      </c>
      <c r="H273" s="56" t="str">
        <f>IF($A273=0,"",ROUND(F273*G273,2))</f>
        <v/>
      </c>
      <c r="I273" s="2"/>
    </row>
    <row r="274" spans="1:15" x14ac:dyDescent="0.25">
      <c r="B274" s="57" t="str">
        <f>IF($A274=0,"",VLOOKUP($A274,'BASE EQUIPO'!$A:$D,2))</f>
        <v/>
      </c>
      <c r="C274" s="58"/>
      <c r="D274" s="85"/>
      <c r="E274" s="86" t="str">
        <f>IF($A274=0,"",VLOOKUP($A274,'BASE EQUIPO'!$A:$D,3))</f>
        <v/>
      </c>
      <c r="F274" s="59"/>
      <c r="G274" s="59" t="str">
        <f>IF($A274=0,"",VLOOKUP($A274,'BASE EQUIPO'!$A:$D,4)*H271)</f>
        <v/>
      </c>
      <c r="H274" s="60" t="str">
        <f>IF($A274=0,"",ROUND(F274*G274,2))</f>
        <v/>
      </c>
      <c r="I274" s="2"/>
    </row>
    <row r="275" spans="1:15" ht="15.75" thickBot="1" x14ac:dyDescent="0.3">
      <c r="B275" s="87" t="s">
        <v>1674</v>
      </c>
      <c r="C275" s="88"/>
      <c r="D275" s="89"/>
      <c r="E275" s="89"/>
      <c r="F275" s="89"/>
      <c r="G275" s="89"/>
      <c r="H275" s="90">
        <f>ROUND(SUM(H271:H274),2)</f>
        <v>4.17</v>
      </c>
      <c r="I275" s="2"/>
    </row>
    <row r="276" spans="1:15" ht="15.75" x14ac:dyDescent="0.25">
      <c r="B276" s="2"/>
      <c r="C276" s="2"/>
      <c r="D276" s="91" t="s">
        <v>1673</v>
      </c>
      <c r="E276" s="47"/>
      <c r="F276" s="47"/>
      <c r="G276" s="47"/>
      <c r="H276" s="92">
        <f>ROUND(SUM(H275,H269,H250,H240),2)</f>
        <v>163.44</v>
      </c>
      <c r="I276" s="2"/>
    </row>
    <row r="277" spans="1:15" ht="15.75" x14ac:dyDescent="0.25">
      <c r="A277" s="103">
        <v>40002</v>
      </c>
      <c r="B277" s="2"/>
      <c r="C277" s="2"/>
      <c r="D277" s="93" t="s">
        <v>1672</v>
      </c>
      <c r="E277" s="65"/>
      <c r="F277" s="65"/>
      <c r="G277" s="94">
        <f>IF($A277=0,"",VLOOKUP($A277,'BASE MATERIAL'!$M:$P,4))</f>
        <v>0</v>
      </c>
      <c r="H277" s="95">
        <f>IF($A277=0,"",ROUND(G277*H276,2))</f>
        <v>0</v>
      </c>
      <c r="I277" s="2"/>
    </row>
    <row r="278" spans="1:15" ht="15.75" x14ac:dyDescent="0.25">
      <c r="A278" s="103">
        <v>40003</v>
      </c>
      <c r="B278" s="2"/>
      <c r="C278" s="2"/>
      <c r="D278" s="93" t="s">
        <v>1671</v>
      </c>
      <c r="E278" s="65"/>
      <c r="F278" s="65"/>
      <c r="G278" s="94">
        <f>IF($A278=0,"",VLOOKUP($A278,'BASE MATERIAL'!$M:$P,4))</f>
        <v>0</v>
      </c>
      <c r="H278" s="95">
        <f>IF($A278=0,"",ROUND(G278*H276,2))</f>
        <v>0</v>
      </c>
      <c r="I278" s="2"/>
    </row>
    <row r="279" spans="1:15" ht="15.75" x14ac:dyDescent="0.25">
      <c r="B279" s="2"/>
      <c r="C279" s="2"/>
      <c r="D279" s="93" t="s">
        <v>1670</v>
      </c>
      <c r="E279" s="65"/>
      <c r="F279" s="65"/>
      <c r="G279" s="65"/>
      <c r="H279" s="96">
        <f>ROUND(SUM(H276:H278),2)</f>
        <v>163.44</v>
      </c>
      <c r="I279" s="2"/>
    </row>
    <row r="280" spans="1:15" ht="16.5" thickBot="1" x14ac:dyDescent="0.3">
      <c r="B280" s="25"/>
      <c r="C280" s="2"/>
      <c r="D280" s="97" t="s">
        <v>1650</v>
      </c>
      <c r="E280" s="88"/>
      <c r="F280" s="88"/>
      <c r="G280" s="88"/>
      <c r="H280" s="98">
        <f>ROUND(H279,2)</f>
        <v>163.44</v>
      </c>
      <c r="I280" s="2"/>
    </row>
    <row r="281" spans="1:15" ht="15.75" x14ac:dyDescent="0.25">
      <c r="B281" s="34" t="s">
        <v>1701</v>
      </c>
      <c r="C281" s="2"/>
      <c r="D281" s="3" t="str">
        <f>$D$1</f>
        <v>ESPOL</v>
      </c>
      <c r="E281" s="2"/>
      <c r="F281" s="2"/>
      <c r="H281" s="2" t="s">
        <v>108</v>
      </c>
      <c r="I281" s="2"/>
      <c r="L281" s="40">
        <f>A285</f>
        <v>17</v>
      </c>
      <c r="M281" s="1" t="str">
        <f>C286</f>
        <v>Duchas</v>
      </c>
      <c r="N281" s="2" t="str">
        <f>H285</f>
        <v>U</v>
      </c>
      <c r="O281" s="2">
        <f>H336</f>
        <v>64.73</v>
      </c>
    </row>
    <row r="282" spans="1:15" ht="15.75" x14ac:dyDescent="0.25">
      <c r="B282" s="34" t="s">
        <v>1700</v>
      </c>
      <c r="C282" s="3">
        <f>'1.1'!$C$2</f>
        <v>0</v>
      </c>
      <c r="D282" s="2"/>
      <c r="E282" s="2"/>
      <c r="F282" s="2"/>
      <c r="G282" s="41" t="s">
        <v>1699</v>
      </c>
      <c r="H282" s="42"/>
      <c r="I282" s="2" t="s">
        <v>1698</v>
      </c>
    </row>
    <row r="283" spans="1:15" ht="15.75" x14ac:dyDescent="0.25">
      <c r="B283" s="34"/>
      <c r="C283" s="3">
        <f>'1.1'!$C$3</f>
        <v>0</v>
      </c>
      <c r="D283" s="2"/>
      <c r="E283" s="2"/>
      <c r="F283" s="2"/>
      <c r="G283" s="2"/>
      <c r="H283" s="2"/>
      <c r="I283" s="2"/>
    </row>
    <row r="284" spans="1:15" ht="15.75" x14ac:dyDescent="0.25">
      <c r="B284" s="34" t="s">
        <v>1697</v>
      </c>
      <c r="C284" s="3"/>
      <c r="D284" s="2"/>
      <c r="E284" s="2"/>
      <c r="F284" s="2"/>
      <c r="G284" s="2"/>
      <c r="H284" s="2"/>
      <c r="I284" s="2"/>
    </row>
    <row r="285" spans="1:15" x14ac:dyDescent="0.25">
      <c r="A285" s="104">
        <v>17</v>
      </c>
      <c r="B285" s="2" t="s">
        <v>1586</v>
      </c>
      <c r="C285" s="101" t="s">
        <v>1664</v>
      </c>
      <c r="D285" s="2"/>
      <c r="G285" s="2" t="s">
        <v>1696</v>
      </c>
      <c r="H285" s="3" t="s">
        <v>744</v>
      </c>
      <c r="I285" s="2"/>
    </row>
    <row r="286" spans="1:15" x14ac:dyDescent="0.25">
      <c r="B286" s="1" t="s">
        <v>1585</v>
      </c>
      <c r="C286" s="36" t="s">
        <v>1511</v>
      </c>
      <c r="D286" s="2"/>
      <c r="E286" s="2"/>
      <c r="F286" s="2"/>
      <c r="G286" s="2"/>
      <c r="H286" s="2"/>
      <c r="I286" s="2"/>
    </row>
    <row r="287" spans="1:15" ht="15.75" thickBot="1" x14ac:dyDescent="0.3">
      <c r="D287" s="2"/>
      <c r="E287" s="2"/>
      <c r="F287" s="2"/>
      <c r="G287" s="2"/>
      <c r="H287" s="2"/>
      <c r="I287" s="2"/>
    </row>
    <row r="288" spans="1:15" ht="15.75" thickBot="1" x14ac:dyDescent="0.3">
      <c r="B288" s="43" t="s">
        <v>1695</v>
      </c>
      <c r="C288" s="44"/>
      <c r="D288" s="44"/>
      <c r="E288" s="44"/>
      <c r="F288" s="44"/>
      <c r="G288" s="44"/>
      <c r="H288" s="45"/>
      <c r="I288" s="2"/>
    </row>
    <row r="289" spans="1:9" ht="25.5" x14ac:dyDescent="0.25">
      <c r="B289" s="46" t="s">
        <v>1409</v>
      </c>
      <c r="C289" s="47"/>
      <c r="D289" s="48" t="s">
        <v>1690</v>
      </c>
      <c r="E289" s="48" t="s">
        <v>1694</v>
      </c>
      <c r="F289" s="48" t="s">
        <v>1693</v>
      </c>
      <c r="G289" s="49" t="s">
        <v>1687</v>
      </c>
      <c r="H289" s="50" t="s">
        <v>1686</v>
      </c>
      <c r="I289" s="2"/>
    </row>
    <row r="290" spans="1:9" x14ac:dyDescent="0.25">
      <c r="A290" s="103">
        <v>19015</v>
      </c>
      <c r="B290" s="51" t="str">
        <f>IF($A290=0,"",VLOOKUP($A290,'BASE EQUIPO'!$A:$D,2))</f>
        <v>HERRAMIENTA MENOR</v>
      </c>
      <c r="C290" s="52"/>
      <c r="D290" s="53">
        <v>1</v>
      </c>
      <c r="E290" s="53">
        <f>IF($A290=0,"",VLOOKUP($A290,'BASE EQUIPO'!$A:$D,4)*H306)</f>
        <v>0.46289999999999998</v>
      </c>
      <c r="F290" s="53">
        <f t="shared" ref="F290:F295" si="25">IF($A290=0,"",ROUND(D290*E290,2))</f>
        <v>0.46</v>
      </c>
      <c r="G290" s="105">
        <v>1</v>
      </c>
      <c r="H290" s="54">
        <f t="shared" ref="H290:H295" si="26">IF($A290=0,"",ROUND(G290*F290,2))</f>
        <v>0.46</v>
      </c>
      <c r="I290" s="2"/>
    </row>
    <row r="291" spans="1:9" x14ac:dyDescent="0.25">
      <c r="B291" s="38" t="str">
        <f>IF($A291=0,"",VLOOKUP($A291,'BASE EQUIPO'!$A:$D,2))</f>
        <v/>
      </c>
      <c r="C291" s="2"/>
      <c r="D291" s="55"/>
      <c r="E291" s="55" t="str">
        <f>IF($A291=0,"",VLOOKUP($A291,'BASE EQUIPO'!$A:$D,4))</f>
        <v/>
      </c>
      <c r="F291" s="55" t="str">
        <f t="shared" si="25"/>
        <v/>
      </c>
      <c r="G291" s="106"/>
      <c r="H291" s="56" t="str">
        <f t="shared" si="26"/>
        <v/>
      </c>
      <c r="I291" s="2"/>
    </row>
    <row r="292" spans="1:9" x14ac:dyDescent="0.25">
      <c r="B292" s="38" t="str">
        <f>IF($A292=0,"",VLOOKUP($A292,'BASE EQUIPO'!$A:$D,2))</f>
        <v/>
      </c>
      <c r="C292" s="2"/>
      <c r="D292" s="55"/>
      <c r="E292" s="55" t="str">
        <f>IF($A292=0,"",VLOOKUP($A292,'BASE EQUIPO'!$A:$D,4))</f>
        <v/>
      </c>
      <c r="F292" s="55" t="str">
        <f t="shared" si="25"/>
        <v/>
      </c>
      <c r="G292" s="106"/>
      <c r="H292" s="56" t="str">
        <f t="shared" si="26"/>
        <v/>
      </c>
      <c r="I292" s="2"/>
    </row>
    <row r="293" spans="1:9" x14ac:dyDescent="0.25">
      <c r="B293" s="38" t="str">
        <f>IF($A293=0,"",VLOOKUP($A293,'BASE EQUIPO'!$A:$D,2))</f>
        <v/>
      </c>
      <c r="C293" s="2"/>
      <c r="D293" s="55"/>
      <c r="E293" s="55" t="str">
        <f>IF($A293=0,"",VLOOKUP($A293,'BASE EQUIPO'!$A:$D,4))</f>
        <v/>
      </c>
      <c r="F293" s="55" t="str">
        <f t="shared" si="25"/>
        <v/>
      </c>
      <c r="G293" s="106"/>
      <c r="H293" s="56" t="str">
        <f t="shared" si="26"/>
        <v/>
      </c>
      <c r="I293" s="2"/>
    </row>
    <row r="294" spans="1:9" x14ac:dyDescent="0.25">
      <c r="B294" s="38" t="str">
        <f>IF($A294=0,"",VLOOKUP($A294,'BASE EQUIPO'!$A:$D,2))</f>
        <v/>
      </c>
      <c r="C294" s="2"/>
      <c r="D294" s="55"/>
      <c r="E294" s="55" t="str">
        <f>IF($A294=0,"",VLOOKUP($A294,'BASE EQUIPO'!$A:$D,4))</f>
        <v/>
      </c>
      <c r="F294" s="55" t="str">
        <f t="shared" si="25"/>
        <v/>
      </c>
      <c r="G294" s="106"/>
      <c r="H294" s="56" t="str">
        <f t="shared" si="26"/>
        <v/>
      </c>
      <c r="I294" s="2"/>
    </row>
    <row r="295" spans="1:9" x14ac:dyDescent="0.25">
      <c r="B295" s="57" t="str">
        <f>IF($A295=0,"",VLOOKUP($A295,'BASE EQUIPO'!$A:$D,2))</f>
        <v/>
      </c>
      <c r="C295" s="58"/>
      <c r="D295" s="59"/>
      <c r="E295" s="59" t="str">
        <f>IF($A295=0,"",VLOOKUP($A295,'BASE EQUIPO'!$A:$D,4))</f>
        <v/>
      </c>
      <c r="F295" s="59" t="str">
        <f t="shared" si="25"/>
        <v/>
      </c>
      <c r="G295" s="107"/>
      <c r="H295" s="60" t="str">
        <f t="shared" si="26"/>
        <v/>
      </c>
      <c r="I295" s="2"/>
    </row>
    <row r="296" spans="1:9" x14ac:dyDescent="0.25">
      <c r="B296" s="57" t="s">
        <v>1692</v>
      </c>
      <c r="C296" s="58"/>
      <c r="D296" s="61"/>
      <c r="E296" s="61"/>
      <c r="F296" s="61"/>
      <c r="G296" s="62"/>
      <c r="H296" s="60">
        <f>ROUND(SUM(H289:H295),2)</f>
        <v>0.46</v>
      </c>
      <c r="I296" s="2"/>
    </row>
    <row r="297" spans="1:9" x14ac:dyDescent="0.25">
      <c r="B297" s="38" t="s">
        <v>1503</v>
      </c>
      <c r="C297" s="2"/>
      <c r="D297" s="3"/>
      <c r="E297" s="3"/>
      <c r="F297" s="3"/>
      <c r="G297" s="63"/>
      <c r="H297" s="56"/>
      <c r="I297" s="2"/>
    </row>
    <row r="298" spans="1:9" ht="25.5" x14ac:dyDescent="0.25">
      <c r="B298" s="64" t="s">
        <v>1691</v>
      </c>
      <c r="C298" s="65"/>
      <c r="D298" s="66" t="s">
        <v>1690</v>
      </c>
      <c r="E298" s="66" t="s">
        <v>1689</v>
      </c>
      <c r="F298" s="66" t="s">
        <v>1688</v>
      </c>
      <c r="G298" s="67" t="s">
        <v>1687</v>
      </c>
      <c r="H298" s="68" t="s">
        <v>1686</v>
      </c>
      <c r="I298" s="2"/>
    </row>
    <row r="299" spans="1:9" x14ac:dyDescent="0.25">
      <c r="B299" s="69" t="str">
        <f>IF($A299=0,"",VLOOKUP($A299,'BASE M-OBRA'!$A:$D,2))</f>
        <v/>
      </c>
      <c r="C299" s="2"/>
      <c r="D299" s="108"/>
      <c r="E299" s="70" t="str">
        <f>IF($A299=0,"",VLOOKUP($A299,'BASE M-OBRA'!$A:$D,4))</f>
        <v/>
      </c>
      <c r="F299" s="55" t="str">
        <f t="shared" ref="F299:F305" si="27">IF($A299=0,"",ROUND(D299*E299,2))</f>
        <v/>
      </c>
      <c r="G299" s="106" t="str">
        <f>IF($A299=0,"",ROUND(H299/F299,2))</f>
        <v/>
      </c>
      <c r="H299" s="56" t="str">
        <f>IF($A299=0,"",ROUND(SUM(H300:H305)*'BASE M-OBRA'!$D$23,2))</f>
        <v/>
      </c>
      <c r="I299" s="2"/>
    </row>
    <row r="300" spans="1:9" x14ac:dyDescent="0.25">
      <c r="A300" s="103">
        <v>20011</v>
      </c>
      <c r="B300" s="69" t="str">
        <f>IF($A300=0,"",VLOOKUP($A300,'BASE M-OBRA'!$A:$D,2))</f>
        <v>AYUDANTE ESPECIALISTA</v>
      </c>
      <c r="C300" s="2"/>
      <c r="D300" s="108">
        <v>1</v>
      </c>
      <c r="E300" s="70">
        <f>IF($A300=0,"",VLOOKUP($A300,'BASE M-OBRA'!$A:$D,4))</f>
        <v>2.79</v>
      </c>
      <c r="F300" s="55">
        <f t="shared" si="27"/>
        <v>2.79</v>
      </c>
      <c r="G300" s="106">
        <v>2.75</v>
      </c>
      <c r="H300" s="56">
        <f t="shared" ref="H300:H305" si="28">IF($A300=0,"",ROUND(G300*F300,2))</f>
        <v>7.67</v>
      </c>
      <c r="I300" s="2"/>
    </row>
    <row r="301" spans="1:9" x14ac:dyDescent="0.25">
      <c r="A301" s="103">
        <v>20016</v>
      </c>
      <c r="B301" s="69" t="str">
        <f>IF($A301=0,"",VLOOKUP($A301,'BASE M-OBRA'!$A:$D,2))</f>
        <v>GAFITERO</v>
      </c>
      <c r="C301" s="2"/>
      <c r="D301" s="108">
        <v>1</v>
      </c>
      <c r="E301" s="70">
        <f>IF($A301=0,"",VLOOKUP($A301,'BASE M-OBRA'!$A:$D,4))</f>
        <v>2.82</v>
      </c>
      <c r="F301" s="55">
        <f t="shared" si="27"/>
        <v>2.82</v>
      </c>
      <c r="G301" s="106">
        <f>+G300</f>
        <v>2.75</v>
      </c>
      <c r="H301" s="56">
        <f t="shared" si="28"/>
        <v>7.76</v>
      </c>
      <c r="I301" s="2"/>
    </row>
    <row r="302" spans="1:9" x14ac:dyDescent="0.25">
      <c r="B302" s="71" t="str">
        <f>IF($A302=0,"",VLOOKUP($A302,'BASE M-OBRA'!$A:$D,2))</f>
        <v/>
      </c>
      <c r="C302" s="2"/>
      <c r="D302" s="108"/>
      <c r="E302" s="70" t="str">
        <f>IF($A302=0,"",VLOOKUP($A302,'BASE M-OBRA'!$A:$D,4))</f>
        <v/>
      </c>
      <c r="F302" s="55" t="str">
        <f t="shared" si="27"/>
        <v/>
      </c>
      <c r="G302" s="106"/>
      <c r="H302" s="56" t="str">
        <f t="shared" si="28"/>
        <v/>
      </c>
      <c r="I302" s="2"/>
    </row>
    <row r="303" spans="1:9" x14ac:dyDescent="0.25">
      <c r="B303" s="72" t="str">
        <f>IF($A303=0,"",VLOOKUP($A303,'BASE M-OBRA'!$A:$D,2))</f>
        <v/>
      </c>
      <c r="C303" s="2"/>
      <c r="D303" s="108"/>
      <c r="E303" s="70" t="str">
        <f>IF($A303=0,"",VLOOKUP($A303,'BASE M-OBRA'!$A:$D,4))</f>
        <v/>
      </c>
      <c r="F303" s="55" t="str">
        <f t="shared" si="27"/>
        <v/>
      </c>
      <c r="G303" s="106"/>
      <c r="H303" s="56" t="str">
        <f t="shared" si="28"/>
        <v/>
      </c>
      <c r="I303" s="2"/>
    </row>
    <row r="304" spans="1:9" x14ac:dyDescent="0.25">
      <c r="B304" s="38" t="str">
        <f>IF($A304=0,"",VLOOKUP($A304,'BASE M-OBRA'!$A:$D,2))</f>
        <v/>
      </c>
      <c r="C304" s="2"/>
      <c r="D304" s="55"/>
      <c r="E304" s="55" t="str">
        <f>IF($A304=0,"",VLOOKUP($A304,'BASE M-OBRA'!$A:$D,4))</f>
        <v/>
      </c>
      <c r="F304" s="55" t="str">
        <f t="shared" si="27"/>
        <v/>
      </c>
      <c r="G304" s="106"/>
      <c r="H304" s="56" t="str">
        <f t="shared" si="28"/>
        <v/>
      </c>
      <c r="I304" s="2"/>
    </row>
    <row r="305" spans="1:16" x14ac:dyDescent="0.25">
      <c r="B305" s="57" t="str">
        <f>IF($A305=0,"",VLOOKUP($A305,'BASE M-OBRA'!$A:$D,2))</f>
        <v/>
      </c>
      <c r="C305" s="58"/>
      <c r="D305" s="59"/>
      <c r="E305" s="59" t="str">
        <f>IF($A305=0,"",VLOOKUP($A305,'BASE M-OBRA'!$A:$D,4))</f>
        <v/>
      </c>
      <c r="F305" s="59" t="str">
        <f t="shared" si="27"/>
        <v/>
      </c>
      <c r="G305" s="107"/>
      <c r="H305" s="60" t="str">
        <f t="shared" si="28"/>
        <v/>
      </c>
      <c r="I305" s="2"/>
    </row>
    <row r="306" spans="1:16" x14ac:dyDescent="0.25">
      <c r="B306" s="73" t="s">
        <v>1685</v>
      </c>
      <c r="C306" s="65"/>
      <c r="D306" s="74"/>
      <c r="E306" s="74"/>
      <c r="F306" s="74"/>
      <c r="G306" s="74"/>
      <c r="H306" s="75">
        <f>ROUND(SUM(H298:H305),2)</f>
        <v>15.43</v>
      </c>
      <c r="I306" s="2"/>
    </row>
    <row r="307" spans="1:16" x14ac:dyDescent="0.25">
      <c r="B307" s="38" t="s">
        <v>1684</v>
      </c>
      <c r="C307" s="2"/>
      <c r="D307" s="3"/>
      <c r="E307" s="3"/>
      <c r="F307" s="3"/>
      <c r="G307" s="3"/>
      <c r="H307" s="56"/>
      <c r="I307" s="2"/>
    </row>
    <row r="308" spans="1:16" ht="25.5" x14ac:dyDescent="0.25">
      <c r="B308" s="64" t="s">
        <v>1409</v>
      </c>
      <c r="C308" s="65"/>
      <c r="D308" s="76"/>
      <c r="E308" s="66" t="s">
        <v>1408</v>
      </c>
      <c r="F308" s="66" t="s">
        <v>1679</v>
      </c>
      <c r="G308" s="66" t="s">
        <v>1683</v>
      </c>
      <c r="H308" s="68" t="s">
        <v>1675</v>
      </c>
      <c r="I308" s="2"/>
    </row>
    <row r="309" spans="1:16" x14ac:dyDescent="0.25">
      <c r="A309" s="103">
        <v>1</v>
      </c>
      <c r="B309" s="99" t="s">
        <v>85</v>
      </c>
      <c r="C309" s="2"/>
      <c r="D309" s="77"/>
      <c r="E309" s="78" t="s">
        <v>84</v>
      </c>
      <c r="F309" s="55">
        <v>0.155</v>
      </c>
      <c r="G309" s="55">
        <v>4.5999999999999996</v>
      </c>
      <c r="H309" s="56">
        <f t="shared" ref="H309:H323" si="29">IF($A309=0,"",ROUND(F309*G309,2))</f>
        <v>0.71</v>
      </c>
      <c r="I309" s="2"/>
      <c r="J309" s="1">
        <f>5.88/3</f>
        <v>1.96</v>
      </c>
      <c r="L309" s="2"/>
      <c r="M309" s="2"/>
      <c r="N309" s="39"/>
      <c r="O309" s="2"/>
      <c r="P309" s="2"/>
    </row>
    <row r="310" spans="1:16" x14ac:dyDescent="0.25">
      <c r="A310" s="103">
        <v>1</v>
      </c>
      <c r="B310" s="38" t="s">
        <v>1</v>
      </c>
      <c r="C310" s="2"/>
      <c r="D310" s="77"/>
      <c r="E310" s="78" t="s">
        <v>0</v>
      </c>
      <c r="F310" s="55">
        <v>1.5</v>
      </c>
      <c r="G310" s="55">
        <v>0.35</v>
      </c>
      <c r="H310" s="56">
        <f t="shared" si="29"/>
        <v>0.53</v>
      </c>
      <c r="I310" s="2"/>
      <c r="L310" s="2"/>
      <c r="M310" s="2"/>
      <c r="N310" s="39"/>
      <c r="O310" s="2"/>
      <c r="P310" s="2"/>
    </row>
    <row r="311" spans="1:16" x14ac:dyDescent="0.25">
      <c r="A311" s="103">
        <v>1</v>
      </c>
      <c r="B311" s="38" t="s">
        <v>83</v>
      </c>
      <c r="C311" s="2"/>
      <c r="D311" s="77"/>
      <c r="E311" s="78" t="s">
        <v>5</v>
      </c>
      <c r="F311" s="55">
        <v>0.25</v>
      </c>
      <c r="G311" s="55">
        <v>4.72</v>
      </c>
      <c r="H311" s="56">
        <f t="shared" si="29"/>
        <v>1.18</v>
      </c>
      <c r="I311" s="2"/>
      <c r="L311" s="2"/>
      <c r="M311" s="2"/>
      <c r="N311" s="39"/>
      <c r="O311" s="2"/>
      <c r="P311" s="2"/>
    </row>
    <row r="312" spans="1:16" x14ac:dyDescent="0.25">
      <c r="A312" s="103">
        <v>1</v>
      </c>
      <c r="B312" s="38" t="s">
        <v>90</v>
      </c>
      <c r="C312" s="2"/>
      <c r="D312" s="77"/>
      <c r="E312" s="78" t="s">
        <v>5</v>
      </c>
      <c r="F312" s="55">
        <v>1</v>
      </c>
      <c r="G312" s="55">
        <v>45</v>
      </c>
      <c r="H312" s="56">
        <f t="shared" si="29"/>
        <v>45</v>
      </c>
      <c r="I312" s="2"/>
      <c r="L312" s="2"/>
      <c r="M312" s="2"/>
      <c r="N312" s="39"/>
      <c r="O312" s="2"/>
      <c r="P312" s="2"/>
    </row>
    <row r="313" spans="1:16" x14ac:dyDescent="0.25">
      <c r="B313" s="38"/>
      <c r="C313" s="2"/>
      <c r="D313" s="77"/>
      <c r="E313" s="78"/>
      <c r="F313" s="55"/>
      <c r="G313" s="55"/>
      <c r="H313" s="56" t="str">
        <f t="shared" si="29"/>
        <v/>
      </c>
      <c r="I313" s="2"/>
      <c r="L313" s="2"/>
      <c r="M313" s="2"/>
      <c r="N313" s="39"/>
      <c r="O313" s="2"/>
      <c r="P313" s="2"/>
    </row>
    <row r="314" spans="1:16" x14ac:dyDescent="0.25">
      <c r="B314" s="38"/>
      <c r="C314" s="2"/>
      <c r="D314" s="77"/>
      <c r="E314" s="78"/>
      <c r="F314" s="55"/>
      <c r="G314" s="55"/>
      <c r="H314" s="56" t="str">
        <f t="shared" si="29"/>
        <v/>
      </c>
      <c r="I314" s="2"/>
      <c r="L314" s="2"/>
      <c r="M314" s="2"/>
      <c r="N314" s="39"/>
      <c r="O314" s="2"/>
      <c r="P314" s="2"/>
    </row>
    <row r="315" spans="1:16" x14ac:dyDescent="0.25">
      <c r="B315" s="38"/>
      <c r="C315" s="2"/>
      <c r="D315" s="77"/>
      <c r="E315" s="78"/>
      <c r="F315" s="55"/>
      <c r="G315" s="55"/>
      <c r="H315" s="56" t="str">
        <f t="shared" si="29"/>
        <v/>
      </c>
      <c r="I315" s="2"/>
      <c r="L315" s="2"/>
      <c r="M315" s="2"/>
      <c r="N315" s="39"/>
      <c r="O315" s="2"/>
      <c r="P315" s="2"/>
    </row>
    <row r="316" spans="1:16" x14ac:dyDescent="0.25">
      <c r="B316" s="38"/>
      <c r="C316" s="2"/>
      <c r="D316" s="77"/>
      <c r="E316" s="78"/>
      <c r="F316" s="55"/>
      <c r="G316" s="55"/>
      <c r="H316" s="56" t="str">
        <f t="shared" si="29"/>
        <v/>
      </c>
      <c r="I316" s="2"/>
      <c r="L316" s="2"/>
      <c r="M316" s="2"/>
      <c r="N316" s="39"/>
      <c r="O316" s="2"/>
      <c r="P316" s="2"/>
    </row>
    <row r="317" spans="1:16" x14ac:dyDescent="0.25">
      <c r="B317" s="38"/>
      <c r="C317" s="2"/>
      <c r="D317" s="77"/>
      <c r="E317" s="78"/>
      <c r="F317" s="55"/>
      <c r="G317" s="55"/>
      <c r="H317" s="56" t="str">
        <f t="shared" si="29"/>
        <v/>
      </c>
      <c r="I317" s="2"/>
    </row>
    <row r="318" spans="1:16" x14ac:dyDescent="0.25">
      <c r="B318" s="38" t="str">
        <f>IF($A318=0,"",VLOOKUP($A318,'BASE MATERIAL'!$A:$D,2))</f>
        <v/>
      </c>
      <c r="C318" s="2"/>
      <c r="D318" s="77"/>
      <c r="E318" s="78" t="str">
        <f>IF($A318=0,"",VLOOKUP($A318,'BASE MATERIAL'!$A:$D,3))</f>
        <v/>
      </c>
      <c r="F318" s="55"/>
      <c r="G318" s="55" t="str">
        <f>IF($A318=0,"",VLOOKUP($A318,'BASE MATERIAL'!$A:$D,4))</f>
        <v/>
      </c>
      <c r="H318" s="56" t="str">
        <f t="shared" si="29"/>
        <v/>
      </c>
      <c r="I318" s="2"/>
      <c r="L318" s="2"/>
      <c r="M318" s="2"/>
      <c r="N318" s="39"/>
      <c r="O318" s="2"/>
      <c r="P318" s="2"/>
    </row>
    <row r="319" spans="1:16" x14ac:dyDescent="0.25">
      <c r="B319" s="38" t="str">
        <f>IF($A319=0,"",VLOOKUP($A319,'BASE MATERIAL'!$A:$D,2))</f>
        <v/>
      </c>
      <c r="C319" s="2"/>
      <c r="D319" s="77"/>
      <c r="E319" s="78" t="str">
        <f>IF($A319=0,"",VLOOKUP($A319,'BASE MATERIAL'!$A:$D,3))</f>
        <v/>
      </c>
      <c r="F319" s="55"/>
      <c r="G319" s="55" t="str">
        <f>IF($A319=0,"",VLOOKUP($A319,'BASE MATERIAL'!$A:$D,4))</f>
        <v/>
      </c>
      <c r="H319" s="56" t="str">
        <f t="shared" si="29"/>
        <v/>
      </c>
      <c r="I319" s="2"/>
      <c r="L319" s="2"/>
      <c r="M319" s="2"/>
      <c r="N319" s="39"/>
      <c r="O319" s="2"/>
      <c r="P319" s="2"/>
    </row>
    <row r="320" spans="1:16" x14ac:dyDescent="0.25">
      <c r="B320" s="38" t="str">
        <f>IF($A320=0,"",VLOOKUP($A320,'BASE MATERIAL'!$A:$D,2))</f>
        <v/>
      </c>
      <c r="C320" s="2"/>
      <c r="D320" s="77"/>
      <c r="E320" s="78" t="str">
        <f>IF($A320=0,"",VLOOKUP($A320,'BASE MATERIAL'!$A:$D,3))</f>
        <v/>
      </c>
      <c r="F320" s="55"/>
      <c r="G320" s="55" t="str">
        <f>IF($A320=0,"",VLOOKUP($A320,'BASE MATERIAL'!$A:$D,4))</f>
        <v/>
      </c>
      <c r="H320" s="56" t="str">
        <f t="shared" si="29"/>
        <v/>
      </c>
      <c r="I320" s="2"/>
    </row>
    <row r="321" spans="1:9" x14ac:dyDescent="0.25">
      <c r="B321" s="38" t="str">
        <f>IF($A321=0,"",VLOOKUP($A321,'BASE MATERIAL'!$A:$D,2))</f>
        <v/>
      </c>
      <c r="C321" s="2"/>
      <c r="D321" s="77"/>
      <c r="E321" s="78" t="str">
        <f>IF($A321=0,"",VLOOKUP($A321,'BASE MATERIAL'!$A:$D,3))</f>
        <v/>
      </c>
      <c r="F321" s="55"/>
      <c r="G321" s="55" t="str">
        <f>IF($A321=0,"",VLOOKUP($A321,'BASE MATERIAL'!$A:$D,4))</f>
        <v/>
      </c>
      <c r="H321" s="56" t="str">
        <f t="shared" si="29"/>
        <v/>
      </c>
      <c r="I321" s="2"/>
    </row>
    <row r="322" spans="1:9" x14ac:dyDescent="0.25">
      <c r="B322" s="38" t="str">
        <f>IF($A322=0,"",VLOOKUP($A322,'BASE MATERIAL'!$A:$D,2))</f>
        <v/>
      </c>
      <c r="C322" s="2"/>
      <c r="D322" s="77"/>
      <c r="E322" s="78" t="str">
        <f>IF($A322=0,"",VLOOKUP($A322,'BASE MATERIAL'!$A:$D,3))</f>
        <v/>
      </c>
      <c r="F322" s="55"/>
      <c r="G322" s="55" t="str">
        <f>IF($A322=0,"",VLOOKUP($A322,'BASE MATERIAL'!$A:$D,4))</f>
        <v/>
      </c>
      <c r="H322" s="56" t="str">
        <f t="shared" si="29"/>
        <v/>
      </c>
      <c r="I322" s="2"/>
    </row>
    <row r="323" spans="1:9" x14ac:dyDescent="0.25">
      <c r="B323" s="38" t="str">
        <f>IF($A323=0,"",VLOOKUP($A323,'BASE MATERIAL'!$A:$D,2))</f>
        <v/>
      </c>
      <c r="C323" s="2"/>
      <c r="D323" s="77"/>
      <c r="E323" s="78" t="str">
        <f>IF($A323=0,"",VLOOKUP($A323,'BASE MATERIAL'!$A:$D,3))</f>
        <v/>
      </c>
      <c r="F323" s="55"/>
      <c r="G323" s="55" t="str">
        <f>IF($A323=0,"",VLOOKUP($A323,'BASE MATERIAL'!$A:$D,4))</f>
        <v/>
      </c>
      <c r="H323" s="56" t="str">
        <f t="shared" si="29"/>
        <v/>
      </c>
      <c r="I323" s="2"/>
    </row>
    <row r="324" spans="1:9" x14ac:dyDescent="0.25">
      <c r="B324" s="38" t="str">
        <f>IF($A324=0,"",VLOOKUP($A324,'BASE MATERIAL'!$A:$D,2))</f>
        <v/>
      </c>
      <c r="C324" s="2"/>
      <c r="D324" s="81" t="s">
        <v>1682</v>
      </c>
      <c r="E324" s="55" t="str">
        <f>IF($A324=0,"",VLOOKUP($A324,'BASE MATERIAL'!$A:$D,3))</f>
        <v/>
      </c>
      <c r="F324" s="55" t="s">
        <v>1682</v>
      </c>
      <c r="G324" s="55" t="str">
        <f>IF($A324=0,"",VLOOKUP($A324,'BASE MATERIAL'!$A:$D,4))</f>
        <v/>
      </c>
      <c r="H324" s="56" t="str">
        <f>IF($A324=0,"",ROUND(E324*F324,2))</f>
        <v/>
      </c>
      <c r="I324" s="2"/>
    </row>
    <row r="325" spans="1:9" x14ac:dyDescent="0.25">
      <c r="B325" s="73" t="s">
        <v>1681</v>
      </c>
      <c r="C325" s="65"/>
      <c r="D325" s="74"/>
      <c r="E325" s="74"/>
      <c r="F325" s="74"/>
      <c r="G325" s="74"/>
      <c r="H325" s="75">
        <f>ROUND(SUM(H308:H324),2)</f>
        <v>47.42</v>
      </c>
      <c r="I325" s="2"/>
    </row>
    <row r="326" spans="1:9" x14ac:dyDescent="0.25">
      <c r="B326" s="38" t="s">
        <v>1680</v>
      </c>
      <c r="C326" s="2"/>
      <c r="D326" s="3"/>
      <c r="E326" s="3"/>
      <c r="F326" s="3"/>
      <c r="G326" s="3"/>
      <c r="H326" s="56"/>
      <c r="I326" s="2"/>
    </row>
    <row r="327" spans="1:9" ht="25.5" x14ac:dyDescent="0.25">
      <c r="B327" s="64" t="s">
        <v>1409</v>
      </c>
      <c r="C327" s="65"/>
      <c r="D327" s="76"/>
      <c r="E327" s="66" t="s">
        <v>1408</v>
      </c>
      <c r="F327" s="66" t="s">
        <v>1679</v>
      </c>
      <c r="G327" s="66" t="s">
        <v>1676</v>
      </c>
      <c r="H327" s="68" t="s">
        <v>1675</v>
      </c>
      <c r="I327" s="2"/>
    </row>
    <row r="328" spans="1:9" x14ac:dyDescent="0.25">
      <c r="A328" s="103">
        <v>19019</v>
      </c>
      <c r="B328" s="51" t="str">
        <f>IF($A328=0,"",VLOOKUP($A328,'BASE EQUIPO'!$A:$D,2))</f>
        <v>TRANSPORTE DE MATERIAL</v>
      </c>
      <c r="C328" s="52"/>
      <c r="D328" s="82"/>
      <c r="E328" s="78" t="str">
        <f>IF($A328=0,"",VLOOKUP($A328,'BASE EQUIPO'!$A:$D,3))</f>
        <v>GLOBAL</v>
      </c>
      <c r="F328" s="55">
        <v>1</v>
      </c>
      <c r="G328" s="83">
        <f>IF($A328=0,"",VLOOKUP($A328,'BASE EQUIPO'!$A:$D,4)*H325)</f>
        <v>1.4226000000000001</v>
      </c>
      <c r="H328" s="56">
        <f>IF($A328=0,"",ROUND(F328*G328,2))</f>
        <v>1.42</v>
      </c>
      <c r="I328" s="2"/>
    </row>
    <row r="329" spans="1:9" x14ac:dyDescent="0.25">
      <c r="B329" s="38" t="str">
        <f>IF($A329=0,"",VLOOKUP($A329,'BASE EQUIPO'!$A:$D,2))</f>
        <v/>
      </c>
      <c r="C329" s="2"/>
      <c r="D329" s="84"/>
      <c r="E329" s="78" t="str">
        <f>IF($A329=0,"",VLOOKUP($A329,'BASE EQUIPO'!$A:$D,3))</f>
        <v/>
      </c>
      <c r="F329" s="55"/>
      <c r="G329" s="55" t="str">
        <f>IF($A329=0,"",VLOOKUP($A329,'BASE EQUIPO'!$A:$D,4)*H326)</f>
        <v/>
      </c>
      <c r="H329" s="56" t="str">
        <f>IF($A329=0,"",ROUND(F329*G329,2))</f>
        <v/>
      </c>
      <c r="I329" s="2"/>
    </row>
    <row r="330" spans="1:9" x14ac:dyDescent="0.25">
      <c r="B330" s="57" t="str">
        <f>IF($A330=0,"",VLOOKUP($A330,'BASE EQUIPO'!$A:$D,2))</f>
        <v/>
      </c>
      <c r="C330" s="58"/>
      <c r="D330" s="85"/>
      <c r="E330" s="86" t="str">
        <f>IF($A330=0,"",VLOOKUP($A330,'BASE EQUIPO'!$A:$D,3))</f>
        <v/>
      </c>
      <c r="F330" s="59"/>
      <c r="G330" s="59" t="str">
        <f>IF($A330=0,"",VLOOKUP($A330,'BASE EQUIPO'!$A:$D,4)*H327)</f>
        <v/>
      </c>
      <c r="H330" s="60" t="str">
        <f>IF($A330=0,"",ROUND(F330*G330,2))</f>
        <v/>
      </c>
      <c r="I330" s="2"/>
    </row>
    <row r="331" spans="1:9" ht="15.75" thickBot="1" x14ac:dyDescent="0.3">
      <c r="B331" s="87" t="s">
        <v>1674</v>
      </c>
      <c r="C331" s="88"/>
      <c r="D331" s="89"/>
      <c r="E331" s="89"/>
      <c r="F331" s="89"/>
      <c r="G331" s="89"/>
      <c r="H331" s="90">
        <f>ROUND(SUM(H327:H330),2)</f>
        <v>1.42</v>
      </c>
      <c r="I331" s="2"/>
    </row>
    <row r="332" spans="1:9" ht="15.75" x14ac:dyDescent="0.25">
      <c r="B332" s="2"/>
      <c r="C332" s="2"/>
      <c r="D332" s="91" t="s">
        <v>1673</v>
      </c>
      <c r="E332" s="47"/>
      <c r="F332" s="47"/>
      <c r="G332" s="47"/>
      <c r="H332" s="92">
        <f>ROUND(SUM(H331,H325,H306,H296),2)</f>
        <v>64.73</v>
      </c>
      <c r="I332" s="2"/>
    </row>
    <row r="333" spans="1:9" ht="15.75" x14ac:dyDescent="0.25">
      <c r="A333" s="103">
        <v>40002</v>
      </c>
      <c r="B333" s="2"/>
      <c r="C333" s="2"/>
      <c r="D333" s="93" t="s">
        <v>1672</v>
      </c>
      <c r="E333" s="65"/>
      <c r="F333" s="65"/>
      <c r="G333" s="94">
        <f>IF($A333=0,"",VLOOKUP($A333,'BASE MATERIAL'!$M:$P,4))</f>
        <v>0</v>
      </c>
      <c r="H333" s="95">
        <f>IF($A333=0,"",ROUND(G333*H332,2))</f>
        <v>0</v>
      </c>
      <c r="I333" s="2"/>
    </row>
    <row r="334" spans="1:9" ht="15.75" x14ac:dyDescent="0.25">
      <c r="A334" s="103">
        <v>40003</v>
      </c>
      <c r="B334" s="2"/>
      <c r="C334" s="2"/>
      <c r="D334" s="93" t="s">
        <v>1671</v>
      </c>
      <c r="E334" s="65"/>
      <c r="F334" s="65"/>
      <c r="G334" s="94">
        <f>IF($A334=0,"",VLOOKUP($A334,'BASE MATERIAL'!$M:$P,4))</f>
        <v>0</v>
      </c>
      <c r="H334" s="95">
        <f>IF($A334=0,"",ROUND(G334*H332,2))</f>
        <v>0</v>
      </c>
      <c r="I334" s="2"/>
    </row>
    <row r="335" spans="1:9" ht="15.75" x14ac:dyDescent="0.25">
      <c r="B335" s="2"/>
      <c r="C335" s="2"/>
      <c r="D335" s="93" t="s">
        <v>1670</v>
      </c>
      <c r="E335" s="65"/>
      <c r="F335" s="65"/>
      <c r="G335" s="65"/>
      <c r="H335" s="96">
        <f>ROUND(SUM(H332:H334),2)</f>
        <v>64.73</v>
      </c>
      <c r="I335" s="2"/>
    </row>
    <row r="336" spans="1:9" ht="16.5" thickBot="1" x14ac:dyDescent="0.3">
      <c r="B336" s="25"/>
      <c r="C336" s="2"/>
      <c r="D336" s="97" t="s">
        <v>1650</v>
      </c>
      <c r="E336" s="88"/>
      <c r="F336" s="88"/>
      <c r="G336" s="88"/>
      <c r="H336" s="98">
        <f>ROUND(H335,2)</f>
        <v>64.73</v>
      </c>
      <c r="I336" s="2"/>
    </row>
    <row r="337" spans="1:15" ht="15.75" x14ac:dyDescent="0.25">
      <c r="B337" s="34" t="s">
        <v>1701</v>
      </c>
      <c r="C337" s="2"/>
      <c r="D337" s="3" t="str">
        <f>$D$1</f>
        <v>ESPOL</v>
      </c>
      <c r="E337" s="2"/>
      <c r="F337" s="2"/>
      <c r="H337" s="2" t="s">
        <v>108</v>
      </c>
      <c r="I337" s="2"/>
      <c r="L337" s="40">
        <f>A341</f>
        <v>17</v>
      </c>
      <c r="M337" s="1" t="str">
        <f>C342</f>
        <v>Llaves de manguera</v>
      </c>
      <c r="N337" s="2" t="str">
        <f>H341</f>
        <v>U</v>
      </c>
      <c r="O337" s="2">
        <f>H392</f>
        <v>17.34</v>
      </c>
    </row>
    <row r="338" spans="1:15" ht="15.75" x14ac:dyDescent="0.25">
      <c r="B338" s="34" t="s">
        <v>1700</v>
      </c>
      <c r="C338" s="3">
        <f>'1.1'!$C$2</f>
        <v>0</v>
      </c>
      <c r="D338" s="2"/>
      <c r="E338" s="2"/>
      <c r="F338" s="2"/>
      <c r="G338" s="41" t="s">
        <v>1699</v>
      </c>
      <c r="H338" s="42"/>
      <c r="I338" s="2" t="s">
        <v>1698</v>
      </c>
    </row>
    <row r="339" spans="1:15" ht="15.75" x14ac:dyDescent="0.25">
      <c r="B339" s="34"/>
      <c r="C339" s="3">
        <f>'1.1'!$C$3</f>
        <v>0</v>
      </c>
      <c r="D339" s="2"/>
      <c r="E339" s="2"/>
      <c r="F339" s="2"/>
      <c r="G339" s="2"/>
      <c r="H339" s="2"/>
      <c r="I339" s="2"/>
    </row>
    <row r="340" spans="1:15" ht="15.75" x14ac:dyDescent="0.25">
      <c r="B340" s="34" t="s">
        <v>1697</v>
      </c>
      <c r="C340" s="3"/>
      <c r="D340" s="2"/>
      <c r="E340" s="2"/>
      <c r="F340" s="2"/>
      <c r="G340" s="2"/>
      <c r="H340" s="2"/>
      <c r="I340" s="2"/>
    </row>
    <row r="341" spans="1:15" x14ac:dyDescent="0.25">
      <c r="A341" s="104">
        <v>17</v>
      </c>
      <c r="B341" s="2" t="s">
        <v>1586</v>
      </c>
      <c r="C341" s="101" t="s">
        <v>1665</v>
      </c>
      <c r="D341" s="2"/>
      <c r="G341" s="2" t="s">
        <v>1696</v>
      </c>
      <c r="H341" s="3" t="s">
        <v>744</v>
      </c>
      <c r="I341" s="2"/>
    </row>
    <row r="342" spans="1:15" x14ac:dyDescent="0.25">
      <c r="B342" s="1" t="s">
        <v>1585</v>
      </c>
      <c r="C342" s="36" t="s">
        <v>1510</v>
      </c>
      <c r="D342" s="2"/>
      <c r="E342" s="2"/>
      <c r="F342" s="2"/>
      <c r="G342" s="2"/>
      <c r="H342" s="2"/>
      <c r="I342" s="2"/>
    </row>
    <row r="343" spans="1:15" ht="15.75" thickBot="1" x14ac:dyDescent="0.3">
      <c r="D343" s="2"/>
      <c r="E343" s="2"/>
      <c r="F343" s="2"/>
      <c r="G343" s="2"/>
      <c r="H343" s="2"/>
      <c r="I343" s="2"/>
    </row>
    <row r="344" spans="1:15" ht="15.75" thickBot="1" x14ac:dyDescent="0.3">
      <c r="B344" s="43" t="s">
        <v>1695</v>
      </c>
      <c r="C344" s="44"/>
      <c r="D344" s="44"/>
      <c r="E344" s="44"/>
      <c r="F344" s="44"/>
      <c r="G344" s="44"/>
      <c r="H344" s="45"/>
      <c r="I344" s="2"/>
    </row>
    <row r="345" spans="1:15" ht="25.5" x14ac:dyDescent="0.25">
      <c r="B345" s="46" t="s">
        <v>1409</v>
      </c>
      <c r="C345" s="47"/>
      <c r="D345" s="48" t="s">
        <v>1690</v>
      </c>
      <c r="E345" s="48" t="s">
        <v>1694</v>
      </c>
      <c r="F345" s="48" t="s">
        <v>1693</v>
      </c>
      <c r="G345" s="49" t="s">
        <v>1687</v>
      </c>
      <c r="H345" s="50" t="s">
        <v>1686</v>
      </c>
      <c r="I345" s="2"/>
    </row>
    <row r="346" spans="1:15" x14ac:dyDescent="0.25">
      <c r="A346" s="103">
        <v>19015</v>
      </c>
      <c r="B346" s="51" t="str">
        <f>IF($A346=0,"",VLOOKUP($A346,'BASE EQUIPO'!$A:$D,2))</f>
        <v>HERRAMIENTA MENOR</v>
      </c>
      <c r="C346" s="52"/>
      <c r="D346" s="53">
        <v>1</v>
      </c>
      <c r="E346" s="53">
        <f>IF($A346=0,"",VLOOKUP($A346,'BASE EQUIPO'!$A:$D,4)*H362)</f>
        <v>0.25259999999999999</v>
      </c>
      <c r="F346" s="53">
        <f t="shared" ref="F346:F351" si="30">IF($A346=0,"",ROUND(D346*E346,2))</f>
        <v>0.25</v>
      </c>
      <c r="G346" s="105">
        <v>1</v>
      </c>
      <c r="H346" s="54">
        <f t="shared" ref="H346:H351" si="31">IF($A346=0,"",ROUND(G346*F346,2))</f>
        <v>0.25</v>
      </c>
      <c r="I346" s="2"/>
    </row>
    <row r="347" spans="1:15" x14ac:dyDescent="0.25">
      <c r="B347" s="38" t="str">
        <f>IF($A347=0,"",VLOOKUP($A347,'BASE EQUIPO'!$A:$D,2))</f>
        <v/>
      </c>
      <c r="C347" s="2"/>
      <c r="D347" s="55"/>
      <c r="E347" s="55" t="str">
        <f>IF($A347=0,"",VLOOKUP($A347,'BASE EQUIPO'!$A:$D,4))</f>
        <v/>
      </c>
      <c r="F347" s="55" t="str">
        <f t="shared" si="30"/>
        <v/>
      </c>
      <c r="G347" s="106"/>
      <c r="H347" s="56" t="str">
        <f t="shared" si="31"/>
        <v/>
      </c>
      <c r="I347" s="2"/>
    </row>
    <row r="348" spans="1:15" x14ac:dyDescent="0.25">
      <c r="B348" s="38" t="str">
        <f>IF($A348=0,"",VLOOKUP($A348,'BASE EQUIPO'!$A:$D,2))</f>
        <v/>
      </c>
      <c r="C348" s="2"/>
      <c r="D348" s="55"/>
      <c r="E348" s="55" t="str">
        <f>IF($A348=0,"",VLOOKUP($A348,'BASE EQUIPO'!$A:$D,4))</f>
        <v/>
      </c>
      <c r="F348" s="55" t="str">
        <f t="shared" si="30"/>
        <v/>
      </c>
      <c r="G348" s="106"/>
      <c r="H348" s="56" t="str">
        <f t="shared" si="31"/>
        <v/>
      </c>
      <c r="I348" s="2"/>
    </row>
    <row r="349" spans="1:15" x14ac:dyDescent="0.25">
      <c r="B349" s="38" t="str">
        <f>IF($A349=0,"",VLOOKUP($A349,'BASE EQUIPO'!$A:$D,2))</f>
        <v/>
      </c>
      <c r="C349" s="2"/>
      <c r="D349" s="55"/>
      <c r="E349" s="55" t="str">
        <f>IF($A349=0,"",VLOOKUP($A349,'BASE EQUIPO'!$A:$D,4))</f>
        <v/>
      </c>
      <c r="F349" s="55" t="str">
        <f t="shared" si="30"/>
        <v/>
      </c>
      <c r="G349" s="106"/>
      <c r="H349" s="56" t="str">
        <f t="shared" si="31"/>
        <v/>
      </c>
      <c r="I349" s="2"/>
    </row>
    <row r="350" spans="1:15" x14ac:dyDescent="0.25">
      <c r="B350" s="38" t="str">
        <f>IF($A350=0,"",VLOOKUP($A350,'BASE EQUIPO'!$A:$D,2))</f>
        <v/>
      </c>
      <c r="C350" s="2"/>
      <c r="D350" s="55"/>
      <c r="E350" s="55" t="str">
        <f>IF($A350=0,"",VLOOKUP($A350,'BASE EQUIPO'!$A:$D,4))</f>
        <v/>
      </c>
      <c r="F350" s="55" t="str">
        <f t="shared" si="30"/>
        <v/>
      </c>
      <c r="G350" s="106"/>
      <c r="H350" s="56" t="str">
        <f t="shared" si="31"/>
        <v/>
      </c>
      <c r="I350" s="2"/>
    </row>
    <row r="351" spans="1:15" x14ac:dyDescent="0.25">
      <c r="B351" s="57" t="str">
        <f>IF($A351=0,"",VLOOKUP($A351,'BASE EQUIPO'!$A:$D,2))</f>
        <v/>
      </c>
      <c r="C351" s="58"/>
      <c r="D351" s="59"/>
      <c r="E351" s="59" t="str">
        <f>IF($A351=0,"",VLOOKUP($A351,'BASE EQUIPO'!$A:$D,4))</f>
        <v/>
      </c>
      <c r="F351" s="59" t="str">
        <f t="shared" si="30"/>
        <v/>
      </c>
      <c r="G351" s="107"/>
      <c r="H351" s="60" t="str">
        <f t="shared" si="31"/>
        <v/>
      </c>
      <c r="I351" s="2"/>
    </row>
    <row r="352" spans="1:15" x14ac:dyDescent="0.25">
      <c r="B352" s="57" t="s">
        <v>1692</v>
      </c>
      <c r="C352" s="58"/>
      <c r="D352" s="61"/>
      <c r="E352" s="61"/>
      <c r="F352" s="61"/>
      <c r="G352" s="62"/>
      <c r="H352" s="60">
        <f>ROUND(SUM(H345:H351),2)</f>
        <v>0.25</v>
      </c>
      <c r="I352" s="2"/>
    </row>
    <row r="353" spans="1:16" x14ac:dyDescent="0.25">
      <c r="B353" s="38" t="s">
        <v>1503</v>
      </c>
      <c r="C353" s="2"/>
      <c r="D353" s="3"/>
      <c r="E353" s="3"/>
      <c r="F353" s="3"/>
      <c r="G353" s="63"/>
      <c r="H353" s="56"/>
      <c r="I353" s="2"/>
    </row>
    <row r="354" spans="1:16" ht="25.5" x14ac:dyDescent="0.25">
      <c r="B354" s="64" t="s">
        <v>1691</v>
      </c>
      <c r="C354" s="65"/>
      <c r="D354" s="66" t="s">
        <v>1690</v>
      </c>
      <c r="E354" s="66" t="s">
        <v>1689</v>
      </c>
      <c r="F354" s="66" t="s">
        <v>1688</v>
      </c>
      <c r="G354" s="67" t="s">
        <v>1687</v>
      </c>
      <c r="H354" s="68" t="s">
        <v>1686</v>
      </c>
      <c r="I354" s="2"/>
    </row>
    <row r="355" spans="1:16" x14ac:dyDescent="0.25">
      <c r="B355" s="69" t="str">
        <f>IF($A355=0,"",VLOOKUP($A355,'BASE M-OBRA'!$A:$D,2))</f>
        <v/>
      </c>
      <c r="C355" s="2"/>
      <c r="D355" s="108"/>
      <c r="E355" s="70" t="str">
        <f>IF($A355=0,"",VLOOKUP($A355,'BASE M-OBRA'!$A:$D,4))</f>
        <v/>
      </c>
      <c r="F355" s="55" t="str">
        <f t="shared" ref="F355:F361" si="32">IF($A355=0,"",ROUND(D355*E355,2))</f>
        <v/>
      </c>
      <c r="G355" s="106" t="str">
        <f>IF($A355=0,"",ROUND(H355/F355,2))</f>
        <v/>
      </c>
      <c r="H355" s="56" t="str">
        <f>IF($A355=0,"",ROUND(SUM(H356:H361)*'BASE M-OBRA'!$D$23,2))</f>
        <v/>
      </c>
      <c r="I355" s="2"/>
    </row>
    <row r="356" spans="1:16" x14ac:dyDescent="0.25">
      <c r="A356" s="103">
        <v>20011</v>
      </c>
      <c r="B356" s="69" t="str">
        <f>IF($A356=0,"",VLOOKUP($A356,'BASE M-OBRA'!$A:$D,2))</f>
        <v>AYUDANTE ESPECIALISTA</v>
      </c>
      <c r="C356" s="2"/>
      <c r="D356" s="108">
        <v>1</v>
      </c>
      <c r="E356" s="70">
        <f>IF($A356=0,"",VLOOKUP($A356,'BASE M-OBRA'!$A:$D,4))</f>
        <v>2.79</v>
      </c>
      <c r="F356" s="55">
        <f t="shared" si="32"/>
        <v>2.79</v>
      </c>
      <c r="G356" s="106">
        <v>1.5</v>
      </c>
      <c r="H356" s="56">
        <f t="shared" ref="H356:H361" si="33">IF($A356=0,"",ROUND(G356*F356,2))</f>
        <v>4.1900000000000004</v>
      </c>
      <c r="I356" s="2"/>
    </row>
    <row r="357" spans="1:16" x14ac:dyDescent="0.25">
      <c r="A357" s="103">
        <v>20016</v>
      </c>
      <c r="B357" s="69" t="str">
        <f>IF($A357=0,"",VLOOKUP($A357,'BASE M-OBRA'!$A:$D,2))</f>
        <v>GAFITERO</v>
      </c>
      <c r="C357" s="2"/>
      <c r="D357" s="108">
        <v>1</v>
      </c>
      <c r="E357" s="70">
        <f>IF($A357=0,"",VLOOKUP($A357,'BASE M-OBRA'!$A:$D,4))</f>
        <v>2.82</v>
      </c>
      <c r="F357" s="55">
        <f t="shared" si="32"/>
        <v>2.82</v>
      </c>
      <c r="G357" s="106">
        <f>+G356</f>
        <v>1.5</v>
      </c>
      <c r="H357" s="56">
        <f t="shared" si="33"/>
        <v>4.2300000000000004</v>
      </c>
      <c r="I357" s="2"/>
    </row>
    <row r="358" spans="1:16" x14ac:dyDescent="0.25">
      <c r="B358" s="71" t="str">
        <f>IF($A358=0,"",VLOOKUP($A358,'BASE M-OBRA'!$A:$D,2))</f>
        <v/>
      </c>
      <c r="C358" s="2"/>
      <c r="D358" s="108"/>
      <c r="E358" s="70" t="str">
        <f>IF($A358=0,"",VLOOKUP($A358,'BASE M-OBRA'!$A:$D,4))</f>
        <v/>
      </c>
      <c r="F358" s="55" t="str">
        <f t="shared" si="32"/>
        <v/>
      </c>
      <c r="G358" s="106"/>
      <c r="H358" s="56" t="str">
        <f t="shared" si="33"/>
        <v/>
      </c>
      <c r="I358" s="2"/>
    </row>
    <row r="359" spans="1:16" x14ac:dyDescent="0.25">
      <c r="B359" s="72" t="str">
        <f>IF($A359=0,"",VLOOKUP($A359,'BASE M-OBRA'!$A:$D,2))</f>
        <v/>
      </c>
      <c r="C359" s="2"/>
      <c r="D359" s="108"/>
      <c r="E359" s="70" t="str">
        <f>IF($A359=0,"",VLOOKUP($A359,'BASE M-OBRA'!$A:$D,4))</f>
        <v/>
      </c>
      <c r="F359" s="55" t="str">
        <f t="shared" si="32"/>
        <v/>
      </c>
      <c r="G359" s="106"/>
      <c r="H359" s="56" t="str">
        <f t="shared" si="33"/>
        <v/>
      </c>
      <c r="I359" s="2"/>
    </row>
    <row r="360" spans="1:16" x14ac:dyDescent="0.25">
      <c r="B360" s="38" t="str">
        <f>IF($A360=0,"",VLOOKUP($A360,'BASE M-OBRA'!$A:$D,2))</f>
        <v/>
      </c>
      <c r="C360" s="2"/>
      <c r="D360" s="55"/>
      <c r="E360" s="55" t="str">
        <f>IF($A360=0,"",VLOOKUP($A360,'BASE M-OBRA'!$A:$D,4))</f>
        <v/>
      </c>
      <c r="F360" s="55" t="str">
        <f t="shared" si="32"/>
        <v/>
      </c>
      <c r="G360" s="106"/>
      <c r="H360" s="56" t="str">
        <f t="shared" si="33"/>
        <v/>
      </c>
      <c r="I360" s="2"/>
    </row>
    <row r="361" spans="1:16" x14ac:dyDescent="0.25">
      <c r="B361" s="57" t="str">
        <f>IF($A361=0,"",VLOOKUP($A361,'BASE M-OBRA'!$A:$D,2))</f>
        <v/>
      </c>
      <c r="C361" s="58"/>
      <c r="D361" s="59"/>
      <c r="E361" s="59" t="str">
        <f>IF($A361=0,"",VLOOKUP($A361,'BASE M-OBRA'!$A:$D,4))</f>
        <v/>
      </c>
      <c r="F361" s="59" t="str">
        <f t="shared" si="32"/>
        <v/>
      </c>
      <c r="G361" s="107"/>
      <c r="H361" s="60" t="str">
        <f t="shared" si="33"/>
        <v/>
      </c>
      <c r="I361" s="2"/>
    </row>
    <row r="362" spans="1:16" x14ac:dyDescent="0.25">
      <c r="B362" s="73" t="s">
        <v>1685</v>
      </c>
      <c r="C362" s="65"/>
      <c r="D362" s="74"/>
      <c r="E362" s="74"/>
      <c r="F362" s="74"/>
      <c r="G362" s="74"/>
      <c r="H362" s="75">
        <f>ROUND(SUM(H354:H361),2)</f>
        <v>8.42</v>
      </c>
      <c r="I362" s="2"/>
    </row>
    <row r="363" spans="1:16" x14ac:dyDescent="0.25">
      <c r="B363" s="38" t="s">
        <v>1684</v>
      </c>
      <c r="C363" s="2"/>
      <c r="D363" s="3"/>
      <c r="E363" s="3"/>
      <c r="F363" s="3"/>
      <c r="G363" s="3"/>
      <c r="H363" s="56"/>
      <c r="I363" s="2"/>
    </row>
    <row r="364" spans="1:16" ht="25.5" x14ac:dyDescent="0.25">
      <c r="B364" s="64" t="s">
        <v>1409</v>
      </c>
      <c r="C364" s="65"/>
      <c r="D364" s="76"/>
      <c r="E364" s="66" t="s">
        <v>1408</v>
      </c>
      <c r="F364" s="66" t="s">
        <v>1679</v>
      </c>
      <c r="G364" s="66" t="s">
        <v>1683</v>
      </c>
      <c r="H364" s="68" t="s">
        <v>1675</v>
      </c>
      <c r="I364" s="2"/>
    </row>
    <row r="365" spans="1:16" x14ac:dyDescent="0.25">
      <c r="A365" s="103">
        <v>1</v>
      </c>
      <c r="B365" s="99" t="s">
        <v>85</v>
      </c>
      <c r="C365" s="2"/>
      <c r="D365" s="77"/>
      <c r="E365" s="78" t="s">
        <v>84</v>
      </c>
      <c r="F365" s="55">
        <v>0.155</v>
      </c>
      <c r="G365" s="55">
        <v>4.5999999999999996</v>
      </c>
      <c r="H365" s="56">
        <f t="shared" ref="H365:H379" si="34">IF($A365=0,"",ROUND(F365*G365,2))</f>
        <v>0.71</v>
      </c>
      <c r="I365" s="2"/>
      <c r="J365" s="1">
        <f>5.88/3</f>
        <v>1.96</v>
      </c>
      <c r="L365" s="2"/>
      <c r="M365" s="2"/>
      <c r="N365" s="39"/>
      <c r="O365" s="2"/>
      <c r="P365" s="2"/>
    </row>
    <row r="366" spans="1:16" x14ac:dyDescent="0.25">
      <c r="A366" s="103">
        <v>1</v>
      </c>
      <c r="B366" s="38" t="s">
        <v>1</v>
      </c>
      <c r="C366" s="2"/>
      <c r="D366" s="77"/>
      <c r="E366" s="78" t="s">
        <v>0</v>
      </c>
      <c r="F366" s="55">
        <v>1.5</v>
      </c>
      <c r="G366" s="55">
        <v>0.35</v>
      </c>
      <c r="H366" s="56">
        <f t="shared" si="34"/>
        <v>0.53</v>
      </c>
      <c r="I366" s="2"/>
      <c r="L366" s="2"/>
      <c r="M366" s="2"/>
      <c r="N366" s="39"/>
      <c r="O366" s="2"/>
      <c r="P366" s="2"/>
    </row>
    <row r="367" spans="1:16" x14ac:dyDescent="0.25">
      <c r="A367" s="103">
        <v>1</v>
      </c>
      <c r="B367" s="38" t="s">
        <v>83</v>
      </c>
      <c r="C367" s="2"/>
      <c r="D367" s="77"/>
      <c r="E367" s="78" t="s">
        <v>5</v>
      </c>
      <c r="F367" s="55">
        <v>0.25</v>
      </c>
      <c r="G367" s="55">
        <v>4.72</v>
      </c>
      <c r="H367" s="56">
        <f t="shared" si="34"/>
        <v>1.18</v>
      </c>
      <c r="I367" s="2"/>
      <c r="L367" s="2"/>
      <c r="M367" s="2"/>
      <c r="N367" s="39"/>
      <c r="O367" s="2"/>
      <c r="P367" s="2"/>
    </row>
    <row r="368" spans="1:16" x14ac:dyDescent="0.25">
      <c r="A368" s="103">
        <v>1</v>
      </c>
      <c r="B368" s="38" t="s">
        <v>86</v>
      </c>
      <c r="C368" s="2"/>
      <c r="D368" s="77"/>
      <c r="E368" s="78" t="s">
        <v>5</v>
      </c>
      <c r="F368" s="55">
        <v>1</v>
      </c>
      <c r="G368" s="55">
        <v>6</v>
      </c>
      <c r="H368" s="56">
        <f t="shared" si="34"/>
        <v>6</v>
      </c>
      <c r="I368" s="2"/>
      <c r="L368" s="2"/>
      <c r="M368" s="2"/>
      <c r="N368" s="39"/>
      <c r="O368" s="2"/>
      <c r="P368" s="2"/>
    </row>
    <row r="369" spans="1:16" x14ac:dyDescent="0.25">
      <c r="B369" s="38"/>
      <c r="C369" s="2"/>
      <c r="D369" s="77"/>
      <c r="E369" s="78"/>
      <c r="F369" s="55"/>
      <c r="G369" s="55"/>
      <c r="H369" s="56" t="str">
        <f t="shared" si="34"/>
        <v/>
      </c>
      <c r="I369" s="2"/>
      <c r="L369" s="2"/>
      <c r="M369" s="2"/>
      <c r="N369" s="39"/>
      <c r="O369" s="2"/>
      <c r="P369" s="2"/>
    </row>
    <row r="370" spans="1:16" x14ac:dyDescent="0.25">
      <c r="B370" s="38"/>
      <c r="C370" s="2"/>
      <c r="D370" s="77"/>
      <c r="E370" s="78"/>
      <c r="F370" s="55"/>
      <c r="G370" s="55"/>
      <c r="H370" s="56" t="str">
        <f t="shared" si="34"/>
        <v/>
      </c>
      <c r="I370" s="2"/>
      <c r="L370" s="2"/>
      <c r="M370" s="2"/>
      <c r="N370" s="39"/>
      <c r="O370" s="2"/>
      <c r="P370" s="2"/>
    </row>
    <row r="371" spans="1:16" x14ac:dyDescent="0.25">
      <c r="B371" s="38"/>
      <c r="C371" s="2"/>
      <c r="D371" s="77"/>
      <c r="E371" s="78"/>
      <c r="F371" s="55"/>
      <c r="G371" s="55"/>
      <c r="H371" s="56" t="str">
        <f t="shared" si="34"/>
        <v/>
      </c>
      <c r="I371" s="2"/>
      <c r="L371" s="2"/>
      <c r="M371" s="2"/>
      <c r="N371" s="39"/>
      <c r="O371" s="2"/>
      <c r="P371" s="2"/>
    </row>
    <row r="372" spans="1:16" x14ac:dyDescent="0.25">
      <c r="B372" s="38"/>
      <c r="C372" s="2"/>
      <c r="D372" s="77"/>
      <c r="E372" s="78"/>
      <c r="F372" s="55"/>
      <c r="G372" s="55"/>
      <c r="H372" s="56" t="str">
        <f t="shared" si="34"/>
        <v/>
      </c>
      <c r="I372" s="2"/>
      <c r="L372" s="2"/>
      <c r="M372" s="2"/>
      <c r="N372" s="39"/>
      <c r="O372" s="2"/>
      <c r="P372" s="2"/>
    </row>
    <row r="373" spans="1:16" x14ac:dyDescent="0.25">
      <c r="B373" s="38"/>
      <c r="C373" s="2"/>
      <c r="D373" s="77"/>
      <c r="E373" s="78"/>
      <c r="F373" s="55"/>
      <c r="G373" s="55"/>
      <c r="H373" s="56" t="str">
        <f t="shared" si="34"/>
        <v/>
      </c>
      <c r="I373" s="2"/>
    </row>
    <row r="374" spans="1:16" x14ac:dyDescent="0.25">
      <c r="B374" s="38" t="str">
        <f>IF($A374=0,"",VLOOKUP($A374,'BASE MATERIAL'!$A:$D,2))</f>
        <v/>
      </c>
      <c r="C374" s="2"/>
      <c r="D374" s="77"/>
      <c r="E374" s="78" t="str">
        <f>IF($A374=0,"",VLOOKUP($A374,'BASE MATERIAL'!$A:$D,3))</f>
        <v/>
      </c>
      <c r="F374" s="55"/>
      <c r="G374" s="55" t="str">
        <f>IF($A374=0,"",VLOOKUP($A374,'BASE MATERIAL'!$A:$D,4))</f>
        <v/>
      </c>
      <c r="H374" s="56" t="str">
        <f t="shared" si="34"/>
        <v/>
      </c>
      <c r="I374" s="2"/>
      <c r="L374" s="2"/>
      <c r="M374" s="2"/>
      <c r="N374" s="39"/>
      <c r="O374" s="2"/>
      <c r="P374" s="2"/>
    </row>
    <row r="375" spans="1:16" x14ac:dyDescent="0.25">
      <c r="B375" s="38" t="str">
        <f>IF($A375=0,"",VLOOKUP($A375,'BASE MATERIAL'!$A:$D,2))</f>
        <v/>
      </c>
      <c r="C375" s="2"/>
      <c r="D375" s="77"/>
      <c r="E375" s="78" t="str">
        <f>IF($A375=0,"",VLOOKUP($A375,'BASE MATERIAL'!$A:$D,3))</f>
        <v/>
      </c>
      <c r="F375" s="55"/>
      <c r="G375" s="55" t="str">
        <f>IF($A375=0,"",VLOOKUP($A375,'BASE MATERIAL'!$A:$D,4))</f>
        <v/>
      </c>
      <c r="H375" s="56" t="str">
        <f t="shared" si="34"/>
        <v/>
      </c>
      <c r="I375" s="2"/>
      <c r="L375" s="2"/>
      <c r="M375" s="2"/>
      <c r="N375" s="39"/>
      <c r="O375" s="2"/>
      <c r="P375" s="2"/>
    </row>
    <row r="376" spans="1:16" x14ac:dyDescent="0.25">
      <c r="B376" s="38" t="str">
        <f>IF($A376=0,"",VLOOKUP($A376,'BASE MATERIAL'!$A:$D,2))</f>
        <v/>
      </c>
      <c r="C376" s="2"/>
      <c r="D376" s="77"/>
      <c r="E376" s="78" t="str">
        <f>IF($A376=0,"",VLOOKUP($A376,'BASE MATERIAL'!$A:$D,3))</f>
        <v/>
      </c>
      <c r="F376" s="55"/>
      <c r="G376" s="55" t="str">
        <f>IF($A376=0,"",VLOOKUP($A376,'BASE MATERIAL'!$A:$D,4))</f>
        <v/>
      </c>
      <c r="H376" s="56" t="str">
        <f t="shared" si="34"/>
        <v/>
      </c>
      <c r="I376" s="2"/>
    </row>
    <row r="377" spans="1:16" x14ac:dyDescent="0.25">
      <c r="B377" s="38" t="str">
        <f>IF($A377=0,"",VLOOKUP($A377,'BASE MATERIAL'!$A:$D,2))</f>
        <v/>
      </c>
      <c r="C377" s="2"/>
      <c r="D377" s="77"/>
      <c r="E377" s="78" t="str">
        <f>IF($A377=0,"",VLOOKUP($A377,'BASE MATERIAL'!$A:$D,3))</f>
        <v/>
      </c>
      <c r="F377" s="55"/>
      <c r="G377" s="55" t="str">
        <f>IF($A377=0,"",VLOOKUP($A377,'BASE MATERIAL'!$A:$D,4))</f>
        <v/>
      </c>
      <c r="H377" s="56" t="str">
        <f t="shared" si="34"/>
        <v/>
      </c>
      <c r="I377" s="2"/>
    </row>
    <row r="378" spans="1:16" x14ac:dyDescent="0.25">
      <c r="B378" s="38" t="str">
        <f>IF($A378=0,"",VLOOKUP($A378,'BASE MATERIAL'!$A:$D,2))</f>
        <v/>
      </c>
      <c r="C378" s="2"/>
      <c r="D378" s="77"/>
      <c r="E378" s="78" t="str">
        <f>IF($A378=0,"",VLOOKUP($A378,'BASE MATERIAL'!$A:$D,3))</f>
        <v/>
      </c>
      <c r="F378" s="55"/>
      <c r="G378" s="55" t="str">
        <f>IF($A378=0,"",VLOOKUP($A378,'BASE MATERIAL'!$A:$D,4))</f>
        <v/>
      </c>
      <c r="H378" s="56" t="str">
        <f t="shared" si="34"/>
        <v/>
      </c>
      <c r="I378" s="2"/>
    </row>
    <row r="379" spans="1:16" x14ac:dyDescent="0.25">
      <c r="B379" s="38" t="str">
        <f>IF($A379=0,"",VLOOKUP($A379,'BASE MATERIAL'!$A:$D,2))</f>
        <v/>
      </c>
      <c r="C379" s="2"/>
      <c r="D379" s="77"/>
      <c r="E379" s="78" t="str">
        <f>IF($A379=0,"",VLOOKUP($A379,'BASE MATERIAL'!$A:$D,3))</f>
        <v/>
      </c>
      <c r="F379" s="55"/>
      <c r="G379" s="55" t="str">
        <f>IF($A379=0,"",VLOOKUP($A379,'BASE MATERIAL'!$A:$D,4))</f>
        <v/>
      </c>
      <c r="H379" s="56" t="str">
        <f t="shared" si="34"/>
        <v/>
      </c>
      <c r="I379" s="2"/>
    </row>
    <row r="380" spans="1:16" x14ac:dyDescent="0.25">
      <c r="B380" s="38" t="str">
        <f>IF($A380=0,"",VLOOKUP($A380,'BASE MATERIAL'!$A:$D,2))</f>
        <v/>
      </c>
      <c r="C380" s="2"/>
      <c r="D380" s="81" t="s">
        <v>1682</v>
      </c>
      <c r="E380" s="55" t="str">
        <f>IF($A380=0,"",VLOOKUP($A380,'BASE MATERIAL'!$A:$D,3))</f>
        <v/>
      </c>
      <c r="F380" s="55" t="s">
        <v>1682</v>
      </c>
      <c r="G380" s="55" t="str">
        <f>IF($A380=0,"",VLOOKUP($A380,'BASE MATERIAL'!$A:$D,4))</f>
        <v/>
      </c>
      <c r="H380" s="56" t="str">
        <f>IF($A380=0,"",ROUND(E380*F380,2))</f>
        <v/>
      </c>
      <c r="I380" s="2"/>
    </row>
    <row r="381" spans="1:16" x14ac:dyDescent="0.25">
      <c r="B381" s="73" t="s">
        <v>1681</v>
      </c>
      <c r="C381" s="65"/>
      <c r="D381" s="74"/>
      <c r="E381" s="74"/>
      <c r="F381" s="74"/>
      <c r="G381" s="74"/>
      <c r="H381" s="75">
        <f>ROUND(SUM(H364:H380),2)</f>
        <v>8.42</v>
      </c>
      <c r="I381" s="2"/>
    </row>
    <row r="382" spans="1:16" x14ac:dyDescent="0.25">
      <c r="B382" s="38" t="s">
        <v>1680</v>
      </c>
      <c r="C382" s="2"/>
      <c r="D382" s="3"/>
      <c r="E382" s="3"/>
      <c r="F382" s="3"/>
      <c r="G382" s="3"/>
      <c r="H382" s="56"/>
      <c r="I382" s="2"/>
    </row>
    <row r="383" spans="1:16" ht="25.5" x14ac:dyDescent="0.25">
      <c r="B383" s="64" t="s">
        <v>1409</v>
      </c>
      <c r="C383" s="65"/>
      <c r="D383" s="76"/>
      <c r="E383" s="66" t="s">
        <v>1408</v>
      </c>
      <c r="F383" s="66" t="s">
        <v>1679</v>
      </c>
      <c r="G383" s="66" t="s">
        <v>1676</v>
      </c>
      <c r="H383" s="68" t="s">
        <v>1675</v>
      </c>
      <c r="I383" s="2"/>
    </row>
    <row r="384" spans="1:16" x14ac:dyDescent="0.25">
      <c r="A384" s="103">
        <v>19019</v>
      </c>
      <c r="B384" s="51" t="str">
        <f>IF($A384=0,"",VLOOKUP($A384,'BASE EQUIPO'!$A:$D,2))</f>
        <v>TRANSPORTE DE MATERIAL</v>
      </c>
      <c r="C384" s="52"/>
      <c r="D384" s="82"/>
      <c r="E384" s="78" t="str">
        <f>IF($A384=0,"",VLOOKUP($A384,'BASE EQUIPO'!$A:$D,3))</f>
        <v>GLOBAL</v>
      </c>
      <c r="F384" s="55">
        <v>1</v>
      </c>
      <c r="G384" s="83">
        <f>IF($A384=0,"",VLOOKUP($A384,'BASE EQUIPO'!$A:$D,4)*H381)</f>
        <v>0.25259999999999999</v>
      </c>
      <c r="H384" s="56">
        <f>IF($A384=0,"",ROUND(F384*G384,2))</f>
        <v>0.25</v>
      </c>
      <c r="I384" s="2"/>
    </row>
    <row r="385" spans="1:15" x14ac:dyDescent="0.25">
      <c r="B385" s="38" t="str">
        <f>IF($A385=0,"",VLOOKUP($A385,'BASE EQUIPO'!$A:$D,2))</f>
        <v/>
      </c>
      <c r="C385" s="2"/>
      <c r="D385" s="84"/>
      <c r="E385" s="78" t="str">
        <f>IF($A385=0,"",VLOOKUP($A385,'BASE EQUIPO'!$A:$D,3))</f>
        <v/>
      </c>
      <c r="F385" s="55"/>
      <c r="G385" s="55" t="str">
        <f>IF($A385=0,"",VLOOKUP($A385,'BASE EQUIPO'!$A:$D,4)*H382)</f>
        <v/>
      </c>
      <c r="H385" s="56" t="str">
        <f>IF($A385=0,"",ROUND(F385*G385,2))</f>
        <v/>
      </c>
      <c r="I385" s="2"/>
    </row>
    <row r="386" spans="1:15" x14ac:dyDescent="0.25">
      <c r="B386" s="57" t="str">
        <f>IF($A386=0,"",VLOOKUP($A386,'BASE EQUIPO'!$A:$D,2))</f>
        <v/>
      </c>
      <c r="C386" s="58"/>
      <c r="D386" s="85"/>
      <c r="E386" s="86" t="str">
        <f>IF($A386=0,"",VLOOKUP($A386,'BASE EQUIPO'!$A:$D,3))</f>
        <v/>
      </c>
      <c r="F386" s="59"/>
      <c r="G386" s="59" t="str">
        <f>IF($A386=0,"",VLOOKUP($A386,'BASE EQUIPO'!$A:$D,4)*H383)</f>
        <v/>
      </c>
      <c r="H386" s="60" t="str">
        <f>IF($A386=0,"",ROUND(F386*G386,2))</f>
        <v/>
      </c>
      <c r="I386" s="2"/>
    </row>
    <row r="387" spans="1:15" ht="15.75" thickBot="1" x14ac:dyDescent="0.3">
      <c r="B387" s="87" t="s">
        <v>1674</v>
      </c>
      <c r="C387" s="88"/>
      <c r="D387" s="89"/>
      <c r="E387" s="89"/>
      <c r="F387" s="89"/>
      <c r="G387" s="89"/>
      <c r="H387" s="90">
        <f>ROUND(SUM(H383:H386),2)</f>
        <v>0.25</v>
      </c>
      <c r="I387" s="2"/>
    </row>
    <row r="388" spans="1:15" ht="15.75" x14ac:dyDescent="0.25">
      <c r="B388" s="2"/>
      <c r="C388" s="2"/>
      <c r="D388" s="91" t="s">
        <v>1673</v>
      </c>
      <c r="E388" s="47"/>
      <c r="F388" s="47"/>
      <c r="G388" s="47"/>
      <c r="H388" s="92">
        <f>ROUND(SUM(H387,H381,H362,H352),2)</f>
        <v>17.34</v>
      </c>
      <c r="I388" s="2"/>
    </row>
    <row r="389" spans="1:15" ht="15.75" x14ac:dyDescent="0.25">
      <c r="A389" s="103">
        <v>40002</v>
      </c>
      <c r="B389" s="2"/>
      <c r="C389" s="2"/>
      <c r="D389" s="93" t="s">
        <v>1672</v>
      </c>
      <c r="E389" s="65"/>
      <c r="F389" s="65"/>
      <c r="G389" s="94">
        <f>IF($A389=0,"",VLOOKUP($A389,'BASE MATERIAL'!$M:$P,4))</f>
        <v>0</v>
      </c>
      <c r="H389" s="95">
        <f>IF($A389=0,"",ROUND(G389*H388,2))</f>
        <v>0</v>
      </c>
      <c r="I389" s="2"/>
    </row>
    <row r="390" spans="1:15" ht="15.75" x14ac:dyDescent="0.25">
      <c r="A390" s="103">
        <v>40003</v>
      </c>
      <c r="B390" s="2"/>
      <c r="C390" s="2"/>
      <c r="D390" s="93" t="s">
        <v>1671</v>
      </c>
      <c r="E390" s="65"/>
      <c r="F390" s="65"/>
      <c r="G390" s="94">
        <f>IF($A390=0,"",VLOOKUP($A390,'BASE MATERIAL'!$M:$P,4))</f>
        <v>0</v>
      </c>
      <c r="H390" s="95">
        <f>IF($A390=0,"",ROUND(G390*H388,2))</f>
        <v>0</v>
      </c>
      <c r="I390" s="2"/>
    </row>
    <row r="391" spans="1:15" ht="15.75" x14ac:dyDescent="0.25">
      <c r="B391" s="2"/>
      <c r="C391" s="2"/>
      <c r="D391" s="93" t="s">
        <v>1670</v>
      </c>
      <c r="E391" s="65"/>
      <c r="F391" s="65"/>
      <c r="G391" s="65"/>
      <c r="H391" s="96">
        <f>ROUND(SUM(H388:H390),2)</f>
        <v>17.34</v>
      </c>
      <c r="I391" s="2"/>
    </row>
    <row r="392" spans="1:15" ht="16.5" thickBot="1" x14ac:dyDescent="0.3">
      <c r="B392" s="25"/>
      <c r="C392" s="2"/>
      <c r="D392" s="97" t="s">
        <v>1650</v>
      </c>
      <c r="E392" s="88"/>
      <c r="F392" s="88"/>
      <c r="G392" s="88"/>
      <c r="H392" s="98">
        <f>ROUND(H391,2)</f>
        <v>17.34</v>
      </c>
      <c r="I392" s="2"/>
    </row>
    <row r="393" spans="1:15" ht="15.75" x14ac:dyDescent="0.25">
      <c r="B393" s="34" t="s">
        <v>1701</v>
      </c>
      <c r="C393" s="2"/>
      <c r="D393" s="3" t="str">
        <f>$D$1</f>
        <v>ESPOL</v>
      </c>
      <c r="E393" s="2"/>
      <c r="F393" s="2"/>
      <c r="H393" s="2" t="s">
        <v>108</v>
      </c>
      <c r="I393" s="2"/>
      <c r="L393" s="40">
        <f>A397</f>
        <v>16</v>
      </c>
      <c r="M393" s="1" t="str">
        <f>C398</f>
        <v>Secador de manos automatico</v>
      </c>
      <c r="N393" s="2" t="str">
        <f>H397</f>
        <v>U</v>
      </c>
      <c r="O393" s="2">
        <f>H448</f>
        <v>199.03</v>
      </c>
    </row>
    <row r="394" spans="1:15" ht="15.75" x14ac:dyDescent="0.25">
      <c r="B394" s="34" t="s">
        <v>1700</v>
      </c>
      <c r="C394" s="3">
        <f>'1.1'!$C$2</f>
        <v>0</v>
      </c>
      <c r="D394" s="2"/>
      <c r="E394" s="2"/>
      <c r="F394" s="2"/>
      <c r="G394" s="41" t="s">
        <v>1699</v>
      </c>
      <c r="H394" s="42"/>
      <c r="I394" s="2" t="s">
        <v>1698</v>
      </c>
    </row>
    <row r="395" spans="1:15" ht="15.75" x14ac:dyDescent="0.25">
      <c r="B395" s="34"/>
      <c r="C395" s="3">
        <f>'1.1'!$C$3</f>
        <v>0</v>
      </c>
      <c r="D395" s="2"/>
      <c r="E395" s="2"/>
      <c r="F395" s="2"/>
      <c r="G395" s="2"/>
      <c r="H395" s="2"/>
      <c r="I395" s="2"/>
    </row>
    <row r="396" spans="1:15" ht="15.75" x14ac:dyDescent="0.25">
      <c r="B396" s="34" t="s">
        <v>1697</v>
      </c>
      <c r="C396" s="3"/>
      <c r="D396" s="2"/>
      <c r="E396" s="2"/>
      <c r="F396" s="2"/>
      <c r="G396" s="2"/>
      <c r="H396" s="2"/>
      <c r="I396" s="2"/>
    </row>
    <row r="397" spans="1:15" x14ac:dyDescent="0.25">
      <c r="A397" s="104">
        <v>16</v>
      </c>
      <c r="B397" s="2" t="s">
        <v>1586</v>
      </c>
      <c r="C397" s="101" t="s">
        <v>1666</v>
      </c>
      <c r="D397" s="2"/>
      <c r="G397" s="2" t="s">
        <v>1696</v>
      </c>
      <c r="H397" s="3" t="s">
        <v>744</v>
      </c>
      <c r="I397" s="2"/>
    </row>
    <row r="398" spans="1:15" x14ac:dyDescent="0.25">
      <c r="B398" s="1" t="s">
        <v>1585</v>
      </c>
      <c r="C398" s="36" t="s">
        <v>88</v>
      </c>
      <c r="D398" s="2"/>
      <c r="E398" s="2"/>
      <c r="F398" s="2"/>
      <c r="G398" s="2"/>
      <c r="H398" s="2"/>
      <c r="I398" s="2"/>
    </row>
    <row r="399" spans="1:15" ht="15.75" thickBot="1" x14ac:dyDescent="0.3">
      <c r="D399" s="2"/>
      <c r="E399" s="2"/>
      <c r="F399" s="2"/>
      <c r="G399" s="2"/>
      <c r="H399" s="2"/>
      <c r="I399" s="2"/>
    </row>
    <row r="400" spans="1:15" ht="15.75" thickBot="1" x14ac:dyDescent="0.3">
      <c r="B400" s="43" t="s">
        <v>1695</v>
      </c>
      <c r="C400" s="44"/>
      <c r="D400" s="44"/>
      <c r="E400" s="44"/>
      <c r="F400" s="44"/>
      <c r="G400" s="44"/>
      <c r="H400" s="45"/>
      <c r="I400" s="2"/>
    </row>
    <row r="401" spans="1:9" ht="25.5" x14ac:dyDescent="0.25">
      <c r="B401" s="46" t="s">
        <v>1409</v>
      </c>
      <c r="C401" s="47"/>
      <c r="D401" s="48" t="s">
        <v>1690</v>
      </c>
      <c r="E401" s="48" t="s">
        <v>1694</v>
      </c>
      <c r="F401" s="48" t="s">
        <v>1693</v>
      </c>
      <c r="G401" s="49" t="s">
        <v>1687</v>
      </c>
      <c r="H401" s="50" t="s">
        <v>1686</v>
      </c>
      <c r="I401" s="2"/>
    </row>
    <row r="402" spans="1:9" x14ac:dyDescent="0.25">
      <c r="A402" s="103">
        <v>19015</v>
      </c>
      <c r="B402" s="51" t="str">
        <f>IF($A402=0,"",VLOOKUP($A402,'BASE EQUIPO'!$A:$D,2))</f>
        <v>HERRAMIENTA MENOR</v>
      </c>
      <c r="C402" s="52"/>
      <c r="D402" s="53">
        <v>1</v>
      </c>
      <c r="E402" s="53">
        <f>IF($A402=0,"",VLOOKUP($A402,'BASE EQUIPO'!$A:$D,4)*H418)</f>
        <v>0.42089999999999994</v>
      </c>
      <c r="F402" s="53">
        <f t="shared" ref="F402:F407" si="35">IF($A402=0,"",ROUND(D402*E402,2))</f>
        <v>0.42</v>
      </c>
      <c r="G402" s="105">
        <v>1</v>
      </c>
      <c r="H402" s="54">
        <f t="shared" ref="H402:H407" si="36">IF($A402=0,"",ROUND(G402*F402,2))</f>
        <v>0.42</v>
      </c>
      <c r="I402" s="2"/>
    </row>
    <row r="403" spans="1:9" x14ac:dyDescent="0.25">
      <c r="B403" s="38" t="str">
        <f>IF($A403=0,"",VLOOKUP($A403,'BASE EQUIPO'!$A:$D,2))</f>
        <v/>
      </c>
      <c r="C403" s="2"/>
      <c r="D403" s="55"/>
      <c r="E403" s="55" t="str">
        <f>IF($A403=0,"",VLOOKUP($A403,'BASE EQUIPO'!$A:$D,4))</f>
        <v/>
      </c>
      <c r="F403" s="55" t="str">
        <f t="shared" si="35"/>
        <v/>
      </c>
      <c r="G403" s="106"/>
      <c r="H403" s="56" t="str">
        <f t="shared" si="36"/>
        <v/>
      </c>
      <c r="I403" s="2"/>
    </row>
    <row r="404" spans="1:9" x14ac:dyDescent="0.25">
      <c r="B404" s="38" t="str">
        <f>IF($A404=0,"",VLOOKUP($A404,'BASE EQUIPO'!$A:$D,2))</f>
        <v/>
      </c>
      <c r="C404" s="2"/>
      <c r="D404" s="55"/>
      <c r="E404" s="55" t="str">
        <f>IF($A404=0,"",VLOOKUP($A404,'BASE EQUIPO'!$A:$D,4))</f>
        <v/>
      </c>
      <c r="F404" s="55" t="str">
        <f t="shared" si="35"/>
        <v/>
      </c>
      <c r="G404" s="106"/>
      <c r="H404" s="56" t="str">
        <f t="shared" si="36"/>
        <v/>
      </c>
      <c r="I404" s="2"/>
    </row>
    <row r="405" spans="1:9" x14ac:dyDescent="0.25">
      <c r="B405" s="38" t="str">
        <f>IF($A405=0,"",VLOOKUP($A405,'BASE EQUIPO'!$A:$D,2))</f>
        <v/>
      </c>
      <c r="C405" s="2"/>
      <c r="D405" s="55"/>
      <c r="E405" s="55" t="str">
        <f>IF($A405=0,"",VLOOKUP($A405,'BASE EQUIPO'!$A:$D,4))</f>
        <v/>
      </c>
      <c r="F405" s="55" t="str">
        <f t="shared" si="35"/>
        <v/>
      </c>
      <c r="G405" s="106"/>
      <c r="H405" s="56" t="str">
        <f t="shared" si="36"/>
        <v/>
      </c>
      <c r="I405" s="2"/>
    </row>
    <row r="406" spans="1:9" x14ac:dyDescent="0.25">
      <c r="B406" s="38" t="str">
        <f>IF($A406=0,"",VLOOKUP($A406,'BASE EQUIPO'!$A:$D,2))</f>
        <v/>
      </c>
      <c r="C406" s="2"/>
      <c r="D406" s="55"/>
      <c r="E406" s="55" t="str">
        <f>IF($A406=0,"",VLOOKUP($A406,'BASE EQUIPO'!$A:$D,4))</f>
        <v/>
      </c>
      <c r="F406" s="55" t="str">
        <f t="shared" si="35"/>
        <v/>
      </c>
      <c r="G406" s="106"/>
      <c r="H406" s="56" t="str">
        <f t="shared" si="36"/>
        <v/>
      </c>
      <c r="I406" s="2"/>
    </row>
    <row r="407" spans="1:9" x14ac:dyDescent="0.25">
      <c r="B407" s="57" t="str">
        <f>IF($A407=0,"",VLOOKUP($A407,'BASE EQUIPO'!$A:$D,2))</f>
        <v/>
      </c>
      <c r="C407" s="58"/>
      <c r="D407" s="59"/>
      <c r="E407" s="59" t="str">
        <f>IF($A407=0,"",VLOOKUP($A407,'BASE EQUIPO'!$A:$D,4))</f>
        <v/>
      </c>
      <c r="F407" s="59" t="str">
        <f t="shared" si="35"/>
        <v/>
      </c>
      <c r="G407" s="107"/>
      <c r="H407" s="60" t="str">
        <f t="shared" si="36"/>
        <v/>
      </c>
      <c r="I407" s="2"/>
    </row>
    <row r="408" spans="1:9" x14ac:dyDescent="0.25">
      <c r="B408" s="57" t="s">
        <v>1692</v>
      </c>
      <c r="C408" s="58"/>
      <c r="D408" s="61"/>
      <c r="E408" s="61"/>
      <c r="F408" s="61"/>
      <c r="G408" s="62"/>
      <c r="H408" s="60">
        <f>ROUND(SUM(H401:H407),2)</f>
        <v>0.42</v>
      </c>
      <c r="I408" s="2"/>
    </row>
    <row r="409" spans="1:9" x14ac:dyDescent="0.25">
      <c r="B409" s="38" t="s">
        <v>1503</v>
      </c>
      <c r="C409" s="2"/>
      <c r="D409" s="3"/>
      <c r="E409" s="3"/>
      <c r="F409" s="3"/>
      <c r="G409" s="63"/>
      <c r="H409" s="56"/>
      <c r="I409" s="2"/>
    </row>
    <row r="410" spans="1:9" ht="25.5" x14ac:dyDescent="0.25">
      <c r="B410" s="64" t="s">
        <v>1691</v>
      </c>
      <c r="C410" s="65"/>
      <c r="D410" s="66" t="s">
        <v>1690</v>
      </c>
      <c r="E410" s="66" t="s">
        <v>1689</v>
      </c>
      <c r="F410" s="66" t="s">
        <v>1688</v>
      </c>
      <c r="G410" s="67" t="s">
        <v>1687</v>
      </c>
      <c r="H410" s="68" t="s">
        <v>1686</v>
      </c>
      <c r="I410" s="2"/>
    </row>
    <row r="411" spans="1:9" x14ac:dyDescent="0.25">
      <c r="B411" s="69" t="str">
        <f>IF($A411=0,"",VLOOKUP($A411,'BASE M-OBRA'!$A:$D,2))</f>
        <v/>
      </c>
      <c r="C411" s="2"/>
      <c r="D411" s="108"/>
      <c r="E411" s="70" t="str">
        <f>IF($A411=0,"",VLOOKUP($A411,'BASE M-OBRA'!$A:$D,4))</f>
        <v/>
      </c>
      <c r="F411" s="55" t="str">
        <f t="shared" ref="F411:F417" si="37">IF($A411=0,"",ROUND(D411*E411,2))</f>
        <v/>
      </c>
      <c r="G411" s="106" t="str">
        <f>IF($A411=0,"",ROUND(H411/F411,2))</f>
        <v/>
      </c>
      <c r="H411" s="56" t="str">
        <f>IF($A411=0,"",ROUND(SUM(H412:H417)*'BASE M-OBRA'!$D$23,2))</f>
        <v/>
      </c>
      <c r="I411" s="2"/>
    </row>
    <row r="412" spans="1:9" x14ac:dyDescent="0.25">
      <c r="A412" s="103">
        <v>20011</v>
      </c>
      <c r="B412" s="69" t="str">
        <f>IF($A412=0,"",VLOOKUP($A412,'BASE M-OBRA'!$A:$D,2))</f>
        <v>AYUDANTE ESPECIALISTA</v>
      </c>
      <c r="C412" s="2"/>
      <c r="D412" s="108">
        <v>1</v>
      </c>
      <c r="E412" s="70">
        <f>IF($A412=0,"",VLOOKUP($A412,'BASE M-OBRA'!$A:$D,4))</f>
        <v>2.79</v>
      </c>
      <c r="F412" s="55">
        <f t="shared" si="37"/>
        <v>2.79</v>
      </c>
      <c r="G412" s="106">
        <v>2.5</v>
      </c>
      <c r="H412" s="56">
        <f t="shared" ref="H412:H417" si="38">IF($A412=0,"",ROUND(G412*F412,2))</f>
        <v>6.98</v>
      </c>
      <c r="I412" s="2"/>
    </row>
    <row r="413" spans="1:9" x14ac:dyDescent="0.25">
      <c r="A413" s="103">
        <v>20016</v>
      </c>
      <c r="B413" s="69" t="str">
        <f>IF($A413=0,"",VLOOKUP($A413,'BASE M-OBRA'!$A:$D,2))</f>
        <v>GAFITERO</v>
      </c>
      <c r="C413" s="2"/>
      <c r="D413" s="108">
        <v>1</v>
      </c>
      <c r="E413" s="70">
        <f>IF($A413=0,"",VLOOKUP($A413,'BASE M-OBRA'!$A:$D,4))</f>
        <v>2.82</v>
      </c>
      <c r="F413" s="55">
        <f t="shared" si="37"/>
        <v>2.82</v>
      </c>
      <c r="G413" s="106">
        <f>+G412</f>
        <v>2.5</v>
      </c>
      <c r="H413" s="56">
        <f t="shared" si="38"/>
        <v>7.05</v>
      </c>
      <c r="I413" s="2"/>
    </row>
    <row r="414" spans="1:9" x14ac:dyDescent="0.25">
      <c r="B414" s="71" t="str">
        <f>IF($A414=0,"",VLOOKUP($A414,'BASE M-OBRA'!$A:$D,2))</f>
        <v/>
      </c>
      <c r="C414" s="2"/>
      <c r="D414" s="108"/>
      <c r="E414" s="70" t="str">
        <f>IF($A414=0,"",VLOOKUP($A414,'BASE M-OBRA'!$A:$D,4))</f>
        <v/>
      </c>
      <c r="F414" s="55" t="str">
        <f t="shared" si="37"/>
        <v/>
      </c>
      <c r="G414" s="106"/>
      <c r="H414" s="56" t="str">
        <f t="shared" si="38"/>
        <v/>
      </c>
      <c r="I414" s="2"/>
    </row>
    <row r="415" spans="1:9" x14ac:dyDescent="0.25">
      <c r="B415" s="72" t="str">
        <f>IF($A415=0,"",VLOOKUP($A415,'BASE M-OBRA'!$A:$D,2))</f>
        <v/>
      </c>
      <c r="C415" s="2"/>
      <c r="D415" s="108"/>
      <c r="E415" s="70" t="str">
        <f>IF($A415=0,"",VLOOKUP($A415,'BASE M-OBRA'!$A:$D,4))</f>
        <v/>
      </c>
      <c r="F415" s="55" t="str">
        <f t="shared" si="37"/>
        <v/>
      </c>
      <c r="G415" s="106"/>
      <c r="H415" s="56" t="str">
        <f t="shared" si="38"/>
        <v/>
      </c>
      <c r="I415" s="2"/>
    </row>
    <row r="416" spans="1:9" x14ac:dyDescent="0.25">
      <c r="B416" s="38" t="str">
        <f>IF($A416=0,"",VLOOKUP($A416,'BASE M-OBRA'!$A:$D,2))</f>
        <v/>
      </c>
      <c r="C416" s="2"/>
      <c r="D416" s="55"/>
      <c r="E416" s="55" t="str">
        <f>IF($A416=0,"",VLOOKUP($A416,'BASE M-OBRA'!$A:$D,4))</f>
        <v/>
      </c>
      <c r="F416" s="55" t="str">
        <f t="shared" si="37"/>
        <v/>
      </c>
      <c r="G416" s="106"/>
      <c r="H416" s="56" t="str">
        <f t="shared" si="38"/>
        <v/>
      </c>
      <c r="I416" s="2"/>
    </row>
    <row r="417" spans="1:16" x14ac:dyDescent="0.25">
      <c r="B417" s="57" t="str">
        <f>IF($A417=0,"",VLOOKUP($A417,'BASE M-OBRA'!$A:$D,2))</f>
        <v/>
      </c>
      <c r="C417" s="58"/>
      <c r="D417" s="59"/>
      <c r="E417" s="59" t="str">
        <f>IF($A417=0,"",VLOOKUP($A417,'BASE M-OBRA'!$A:$D,4))</f>
        <v/>
      </c>
      <c r="F417" s="59" t="str">
        <f t="shared" si="37"/>
        <v/>
      </c>
      <c r="G417" s="107"/>
      <c r="H417" s="60" t="str">
        <f t="shared" si="38"/>
        <v/>
      </c>
      <c r="I417" s="2"/>
    </row>
    <row r="418" spans="1:16" x14ac:dyDescent="0.25">
      <c r="B418" s="73" t="s">
        <v>1685</v>
      </c>
      <c r="C418" s="65"/>
      <c r="D418" s="74"/>
      <c r="E418" s="74"/>
      <c r="F418" s="74"/>
      <c r="G418" s="74"/>
      <c r="H418" s="75">
        <f>ROUND(SUM(H410:H417),2)</f>
        <v>14.03</v>
      </c>
      <c r="I418" s="2"/>
      <c r="J418" s="1">
        <f>5*22+4*12</f>
        <v>158</v>
      </c>
    </row>
    <row r="419" spans="1:16" x14ac:dyDescent="0.25">
      <c r="B419" s="38" t="s">
        <v>1684</v>
      </c>
      <c r="C419" s="2"/>
      <c r="D419" s="3"/>
      <c r="E419" s="3"/>
      <c r="F419" s="3"/>
      <c r="G419" s="3"/>
      <c r="H419" s="56"/>
      <c r="I419" s="2"/>
    </row>
    <row r="420" spans="1:16" ht="25.5" x14ac:dyDescent="0.25">
      <c r="B420" s="64" t="s">
        <v>1409</v>
      </c>
      <c r="C420" s="65"/>
      <c r="D420" s="76"/>
      <c r="E420" s="66" t="s">
        <v>1408</v>
      </c>
      <c r="F420" s="66" t="s">
        <v>1679</v>
      </c>
      <c r="G420" s="66" t="s">
        <v>1683</v>
      </c>
      <c r="H420" s="68" t="s">
        <v>1675</v>
      </c>
      <c r="I420" s="2"/>
    </row>
    <row r="421" spans="1:16" x14ac:dyDescent="0.25">
      <c r="A421" s="103">
        <v>1</v>
      </c>
      <c r="B421" s="38" t="s">
        <v>88</v>
      </c>
      <c r="C421" s="2"/>
      <c r="D421" s="77"/>
      <c r="E421" s="78" t="s">
        <v>1506</v>
      </c>
      <c r="F421" s="55">
        <v>1</v>
      </c>
      <c r="G421" s="55">
        <f>160*1.12</f>
        <v>179.20000000000002</v>
      </c>
      <c r="H421" s="56">
        <f t="shared" ref="H421:H435" si="39">IF($A421=0,"",ROUND(F421*G421,2))</f>
        <v>179.2</v>
      </c>
      <c r="I421" s="2"/>
      <c r="J421" s="1">
        <f>11.13/1.12</f>
        <v>9.9375</v>
      </c>
      <c r="L421" s="2"/>
      <c r="M421" s="2"/>
      <c r="N421" s="39"/>
      <c r="O421" s="2"/>
      <c r="P421" s="2"/>
    </row>
    <row r="422" spans="1:16" x14ac:dyDescent="0.25">
      <c r="B422" s="38"/>
      <c r="C422" s="2"/>
      <c r="D422" s="77"/>
      <c r="E422" s="78"/>
      <c r="F422" s="55"/>
      <c r="G422" s="55"/>
      <c r="H422" s="56" t="str">
        <f t="shared" si="39"/>
        <v/>
      </c>
      <c r="I422" s="2"/>
      <c r="J422" s="1">
        <f>3.36/1.12</f>
        <v>2.9999999999999996</v>
      </c>
      <c r="L422" s="2"/>
      <c r="M422" s="2"/>
      <c r="N422" s="39"/>
      <c r="O422" s="2"/>
      <c r="P422" s="2"/>
    </row>
    <row r="423" spans="1:16" x14ac:dyDescent="0.25">
      <c r="B423" s="38"/>
      <c r="C423" s="2"/>
      <c r="D423" s="77"/>
      <c r="E423" s="78"/>
      <c r="F423" s="55"/>
      <c r="G423" s="55"/>
      <c r="H423" s="56" t="str">
        <f t="shared" si="39"/>
        <v/>
      </c>
      <c r="I423" s="2"/>
      <c r="L423" s="2"/>
      <c r="M423" s="2"/>
      <c r="N423" s="39"/>
      <c r="O423" s="2"/>
      <c r="P423" s="2"/>
    </row>
    <row r="424" spans="1:16" x14ac:dyDescent="0.25">
      <c r="B424" s="38"/>
      <c r="C424" s="2"/>
      <c r="D424" s="77"/>
      <c r="E424" s="78"/>
      <c r="F424" s="55"/>
      <c r="G424" s="55"/>
      <c r="H424" s="56" t="str">
        <f t="shared" si="39"/>
        <v/>
      </c>
      <c r="I424" s="2"/>
      <c r="L424" s="2"/>
      <c r="M424" s="2"/>
      <c r="N424" s="39"/>
      <c r="O424" s="2"/>
      <c r="P424" s="2"/>
    </row>
    <row r="425" spans="1:16" x14ac:dyDescent="0.25">
      <c r="B425" s="38"/>
      <c r="C425" s="2"/>
      <c r="D425" s="77"/>
      <c r="E425" s="78"/>
      <c r="F425" s="55"/>
      <c r="G425" s="55"/>
      <c r="H425" s="56" t="str">
        <f t="shared" si="39"/>
        <v/>
      </c>
      <c r="I425" s="2"/>
      <c r="L425" s="2"/>
      <c r="M425" s="2"/>
      <c r="N425" s="39"/>
      <c r="O425" s="2"/>
      <c r="P425" s="2"/>
    </row>
    <row r="426" spans="1:16" x14ac:dyDescent="0.25">
      <c r="B426" s="38"/>
      <c r="C426" s="2"/>
      <c r="D426" s="77"/>
      <c r="E426" s="78"/>
      <c r="F426" s="55"/>
      <c r="G426" s="55"/>
      <c r="H426" s="56" t="str">
        <f t="shared" si="39"/>
        <v/>
      </c>
      <c r="I426" s="2"/>
      <c r="L426" s="2"/>
      <c r="M426" s="2"/>
      <c r="N426" s="39"/>
      <c r="O426" s="2"/>
      <c r="P426" s="2"/>
    </row>
    <row r="427" spans="1:16" x14ac:dyDescent="0.25">
      <c r="B427" s="38"/>
      <c r="C427" s="2"/>
      <c r="D427" s="77"/>
      <c r="E427" s="78"/>
      <c r="F427" s="55"/>
      <c r="G427" s="55"/>
      <c r="H427" s="56" t="str">
        <f t="shared" si="39"/>
        <v/>
      </c>
      <c r="I427" s="2"/>
      <c r="L427" s="2"/>
      <c r="M427" s="2"/>
      <c r="N427" s="39"/>
      <c r="O427" s="2"/>
      <c r="P427" s="2"/>
    </row>
    <row r="428" spans="1:16" x14ac:dyDescent="0.25">
      <c r="B428" s="38"/>
      <c r="C428" s="2"/>
      <c r="D428" s="77"/>
      <c r="E428" s="78"/>
      <c r="F428" s="55"/>
      <c r="G428" s="55"/>
      <c r="H428" s="56" t="str">
        <f t="shared" si="39"/>
        <v/>
      </c>
      <c r="I428" s="2"/>
      <c r="L428" s="2"/>
      <c r="M428" s="2"/>
      <c r="N428" s="39"/>
      <c r="O428" s="2"/>
      <c r="P428" s="2"/>
    </row>
    <row r="429" spans="1:16" x14ac:dyDescent="0.25">
      <c r="B429" s="38"/>
      <c r="C429" s="2"/>
      <c r="D429" s="77"/>
      <c r="E429" s="78"/>
      <c r="F429" s="55"/>
      <c r="G429" s="55"/>
      <c r="H429" s="56" t="str">
        <f t="shared" si="39"/>
        <v/>
      </c>
      <c r="I429" s="2"/>
    </row>
    <row r="430" spans="1:16" x14ac:dyDescent="0.25">
      <c r="B430" s="38" t="str">
        <f>IF($A430=0,"",VLOOKUP($A430,'BASE MATERIAL'!$A:$D,2))</f>
        <v/>
      </c>
      <c r="C430" s="2"/>
      <c r="D430" s="77"/>
      <c r="E430" s="78" t="str">
        <f>IF($A430=0,"",VLOOKUP($A430,'BASE MATERIAL'!$A:$D,3))</f>
        <v/>
      </c>
      <c r="F430" s="55"/>
      <c r="G430" s="55" t="str">
        <f>IF($A430=0,"",VLOOKUP($A430,'BASE MATERIAL'!$A:$D,4))</f>
        <v/>
      </c>
      <c r="H430" s="56" t="str">
        <f t="shared" si="39"/>
        <v/>
      </c>
      <c r="I430" s="2"/>
      <c r="L430" s="2"/>
      <c r="M430" s="2"/>
      <c r="N430" s="39"/>
      <c r="O430" s="2"/>
      <c r="P430" s="2"/>
    </row>
    <row r="431" spans="1:16" x14ac:dyDescent="0.25">
      <c r="B431" s="38" t="str">
        <f>IF($A431=0,"",VLOOKUP($A431,'BASE MATERIAL'!$A:$D,2))</f>
        <v/>
      </c>
      <c r="C431" s="2"/>
      <c r="D431" s="77"/>
      <c r="E431" s="78" t="str">
        <f>IF($A431=0,"",VLOOKUP($A431,'BASE MATERIAL'!$A:$D,3))</f>
        <v/>
      </c>
      <c r="F431" s="55"/>
      <c r="G431" s="55" t="str">
        <f>IF($A431=0,"",VLOOKUP($A431,'BASE MATERIAL'!$A:$D,4))</f>
        <v/>
      </c>
      <c r="H431" s="56" t="str">
        <f t="shared" si="39"/>
        <v/>
      </c>
      <c r="I431" s="2"/>
      <c r="L431" s="2"/>
      <c r="M431" s="2"/>
      <c r="N431" s="39"/>
      <c r="O431" s="2"/>
      <c r="P431" s="2"/>
    </row>
    <row r="432" spans="1:16" x14ac:dyDescent="0.25">
      <c r="B432" s="38" t="str">
        <f>IF($A432=0,"",VLOOKUP($A432,'BASE MATERIAL'!$A:$D,2))</f>
        <v/>
      </c>
      <c r="C432" s="2"/>
      <c r="D432" s="77"/>
      <c r="E432" s="78" t="str">
        <f>IF($A432=0,"",VLOOKUP($A432,'BASE MATERIAL'!$A:$D,3))</f>
        <v/>
      </c>
      <c r="F432" s="55"/>
      <c r="G432" s="55" t="str">
        <f>IF($A432=0,"",VLOOKUP($A432,'BASE MATERIAL'!$A:$D,4))</f>
        <v/>
      </c>
      <c r="H432" s="56" t="str">
        <f t="shared" si="39"/>
        <v/>
      </c>
      <c r="I432" s="2"/>
    </row>
    <row r="433" spans="1:9" x14ac:dyDescent="0.25">
      <c r="B433" s="38" t="str">
        <f>IF($A433=0,"",VLOOKUP($A433,'BASE MATERIAL'!$A:$D,2))</f>
        <v/>
      </c>
      <c r="C433" s="2"/>
      <c r="D433" s="77"/>
      <c r="E433" s="78" t="str">
        <f>IF($A433=0,"",VLOOKUP($A433,'BASE MATERIAL'!$A:$D,3))</f>
        <v/>
      </c>
      <c r="F433" s="55"/>
      <c r="G433" s="55" t="str">
        <f>IF($A433=0,"",VLOOKUP($A433,'BASE MATERIAL'!$A:$D,4))</f>
        <v/>
      </c>
      <c r="H433" s="56" t="str">
        <f t="shared" si="39"/>
        <v/>
      </c>
      <c r="I433" s="2"/>
    </row>
    <row r="434" spans="1:9" x14ac:dyDescent="0.25">
      <c r="B434" s="38" t="str">
        <f>IF($A434=0,"",VLOOKUP($A434,'BASE MATERIAL'!$A:$D,2))</f>
        <v/>
      </c>
      <c r="C434" s="2"/>
      <c r="D434" s="77"/>
      <c r="E434" s="78" t="str">
        <f>IF($A434=0,"",VLOOKUP($A434,'BASE MATERIAL'!$A:$D,3))</f>
        <v/>
      </c>
      <c r="F434" s="55"/>
      <c r="G434" s="55" t="str">
        <f>IF($A434=0,"",VLOOKUP($A434,'BASE MATERIAL'!$A:$D,4))</f>
        <v/>
      </c>
      <c r="H434" s="56" t="str">
        <f t="shared" si="39"/>
        <v/>
      </c>
      <c r="I434" s="2"/>
    </row>
    <row r="435" spans="1:9" x14ac:dyDescent="0.25">
      <c r="B435" s="38" t="str">
        <f>IF($A435=0,"",VLOOKUP($A435,'BASE MATERIAL'!$A:$D,2))</f>
        <v/>
      </c>
      <c r="C435" s="2"/>
      <c r="D435" s="77"/>
      <c r="E435" s="78" t="str">
        <f>IF($A435=0,"",VLOOKUP($A435,'BASE MATERIAL'!$A:$D,3))</f>
        <v/>
      </c>
      <c r="F435" s="55"/>
      <c r="G435" s="55" t="str">
        <f>IF($A435=0,"",VLOOKUP($A435,'BASE MATERIAL'!$A:$D,4))</f>
        <v/>
      </c>
      <c r="H435" s="56" t="str">
        <f t="shared" si="39"/>
        <v/>
      </c>
      <c r="I435" s="2"/>
    </row>
    <row r="436" spans="1:9" x14ac:dyDescent="0.25">
      <c r="B436" s="38" t="str">
        <f>IF($A436=0,"",VLOOKUP($A436,'BASE MATERIAL'!$A:$D,2))</f>
        <v/>
      </c>
      <c r="C436" s="2"/>
      <c r="D436" s="81" t="s">
        <v>1682</v>
      </c>
      <c r="E436" s="55" t="str">
        <f>IF($A436=0,"",VLOOKUP($A436,'BASE MATERIAL'!$A:$D,3))</f>
        <v/>
      </c>
      <c r="F436" s="55" t="s">
        <v>1682</v>
      </c>
      <c r="G436" s="55" t="str">
        <f>IF($A436=0,"",VLOOKUP($A436,'BASE MATERIAL'!$A:$D,4))</f>
        <v/>
      </c>
      <c r="H436" s="56" t="str">
        <f>IF($A436=0,"",ROUND(E436*F436,2))</f>
        <v/>
      </c>
      <c r="I436" s="2"/>
    </row>
    <row r="437" spans="1:9" x14ac:dyDescent="0.25">
      <c r="B437" s="73" t="s">
        <v>1681</v>
      </c>
      <c r="C437" s="65"/>
      <c r="D437" s="74"/>
      <c r="E437" s="74"/>
      <c r="F437" s="74"/>
      <c r="G437" s="74"/>
      <c r="H437" s="75">
        <f>ROUND(SUM(H420:H436),2)</f>
        <v>179.2</v>
      </c>
      <c r="I437" s="2"/>
    </row>
    <row r="438" spans="1:9" x14ac:dyDescent="0.25">
      <c r="B438" s="38" t="s">
        <v>1680</v>
      </c>
      <c r="C438" s="2"/>
      <c r="D438" s="3"/>
      <c r="E438" s="3"/>
      <c r="F438" s="3"/>
      <c r="G438" s="3"/>
      <c r="H438" s="56"/>
      <c r="I438" s="2"/>
    </row>
    <row r="439" spans="1:9" ht="25.5" x14ac:dyDescent="0.25">
      <c r="B439" s="64" t="s">
        <v>1409</v>
      </c>
      <c r="C439" s="65"/>
      <c r="D439" s="76"/>
      <c r="E439" s="66" t="s">
        <v>1408</v>
      </c>
      <c r="F439" s="66" t="s">
        <v>1679</v>
      </c>
      <c r="G439" s="66" t="s">
        <v>1676</v>
      </c>
      <c r="H439" s="68" t="s">
        <v>1675</v>
      </c>
      <c r="I439" s="2"/>
    </row>
    <row r="440" spans="1:9" x14ac:dyDescent="0.25">
      <c r="A440" s="103">
        <v>19019</v>
      </c>
      <c r="B440" s="51" t="str">
        <f>IF($A440=0,"",VLOOKUP($A440,'BASE EQUIPO'!$A:$D,2))</f>
        <v>TRANSPORTE DE MATERIAL</v>
      </c>
      <c r="C440" s="52"/>
      <c r="D440" s="82"/>
      <c r="E440" s="78" t="str">
        <f>IF($A440=0,"",VLOOKUP($A440,'BASE EQUIPO'!$A:$D,3))</f>
        <v>GLOBAL</v>
      </c>
      <c r="F440" s="55">
        <v>1</v>
      </c>
      <c r="G440" s="83">
        <f>IF($A440=0,"",VLOOKUP($A440,'BASE EQUIPO'!$A:$D,4)*H437)</f>
        <v>5.3759999999999994</v>
      </c>
      <c r="H440" s="56">
        <f>IF($A440=0,"",ROUND(F440*G440,2))</f>
        <v>5.38</v>
      </c>
      <c r="I440" s="2"/>
    </row>
    <row r="441" spans="1:9" x14ac:dyDescent="0.25">
      <c r="B441" s="38" t="str">
        <f>IF($A441=0,"",VLOOKUP($A441,'BASE EQUIPO'!$A:$D,2))</f>
        <v/>
      </c>
      <c r="C441" s="2"/>
      <c r="D441" s="84"/>
      <c r="E441" s="78" t="str">
        <f>IF($A441=0,"",VLOOKUP($A441,'BASE EQUIPO'!$A:$D,3))</f>
        <v/>
      </c>
      <c r="F441" s="55"/>
      <c r="G441" s="55" t="str">
        <f>IF($A441=0,"",VLOOKUP($A441,'BASE EQUIPO'!$A:$D,4)*H438)</f>
        <v/>
      </c>
      <c r="H441" s="56" t="str">
        <f>IF($A441=0,"",ROUND(F441*G441,2))</f>
        <v/>
      </c>
      <c r="I441" s="2"/>
    </row>
    <row r="442" spans="1:9" x14ac:dyDescent="0.25">
      <c r="B442" s="57" t="str">
        <f>IF($A442=0,"",VLOOKUP($A442,'BASE EQUIPO'!$A:$D,2))</f>
        <v/>
      </c>
      <c r="C442" s="58"/>
      <c r="D442" s="85"/>
      <c r="E442" s="86" t="str">
        <f>IF($A442=0,"",VLOOKUP($A442,'BASE EQUIPO'!$A:$D,3))</f>
        <v/>
      </c>
      <c r="F442" s="59"/>
      <c r="G442" s="59" t="str">
        <f>IF($A442=0,"",VLOOKUP($A442,'BASE EQUIPO'!$A:$D,4)*H439)</f>
        <v/>
      </c>
      <c r="H442" s="60" t="str">
        <f>IF($A442=0,"",ROUND(F442*G442,2))</f>
        <v/>
      </c>
      <c r="I442" s="2"/>
    </row>
    <row r="443" spans="1:9" ht="15.75" thickBot="1" x14ac:dyDescent="0.3">
      <c r="B443" s="87" t="s">
        <v>1674</v>
      </c>
      <c r="C443" s="88"/>
      <c r="D443" s="89"/>
      <c r="E443" s="89"/>
      <c r="F443" s="89"/>
      <c r="G443" s="89"/>
      <c r="H443" s="90">
        <f>ROUND(SUM(H439:H442),2)</f>
        <v>5.38</v>
      </c>
      <c r="I443" s="2"/>
    </row>
    <row r="444" spans="1:9" ht="15.75" x14ac:dyDescent="0.25">
      <c r="B444" s="2"/>
      <c r="C444" s="2"/>
      <c r="D444" s="91" t="s">
        <v>1673</v>
      </c>
      <c r="E444" s="47"/>
      <c r="F444" s="47"/>
      <c r="G444" s="47"/>
      <c r="H444" s="92">
        <f>ROUND(SUM(H443,H437,H418,H408),2)</f>
        <v>199.03</v>
      </c>
      <c r="I444" s="2"/>
    </row>
    <row r="445" spans="1:9" ht="15.75" x14ac:dyDescent="0.25">
      <c r="A445" s="103">
        <v>40002</v>
      </c>
      <c r="B445" s="2"/>
      <c r="C445" s="2"/>
      <c r="D445" s="93" t="s">
        <v>1672</v>
      </c>
      <c r="E445" s="65"/>
      <c r="F445" s="65"/>
      <c r="G445" s="94">
        <f>IF($A445=0,"",VLOOKUP($A445,'BASE MATERIAL'!$M:$P,4))</f>
        <v>0</v>
      </c>
      <c r="H445" s="95">
        <f>IF($A445=0,"",ROUND(G445*H444,2))</f>
        <v>0</v>
      </c>
      <c r="I445" s="2"/>
    </row>
    <row r="446" spans="1:9" ht="15.75" x14ac:dyDescent="0.25">
      <c r="A446" s="103">
        <v>40003</v>
      </c>
      <c r="B446" s="2"/>
      <c r="C446" s="2"/>
      <c r="D446" s="93" t="s">
        <v>1671</v>
      </c>
      <c r="E446" s="65"/>
      <c r="F446" s="65"/>
      <c r="G446" s="94">
        <f>IF($A446=0,"",VLOOKUP($A446,'BASE MATERIAL'!$M:$P,4))</f>
        <v>0</v>
      </c>
      <c r="H446" s="95">
        <f>IF($A446=0,"",ROUND(G446*H444,2))</f>
        <v>0</v>
      </c>
      <c r="I446" s="2"/>
    </row>
    <row r="447" spans="1:9" ht="15.75" x14ac:dyDescent="0.25">
      <c r="B447" s="2"/>
      <c r="C447" s="2"/>
      <c r="D447" s="93" t="s">
        <v>1670</v>
      </c>
      <c r="E447" s="65"/>
      <c r="F447" s="65"/>
      <c r="G447" s="65"/>
      <c r="H447" s="96">
        <f>ROUND(SUM(H444:H446),2)</f>
        <v>199.03</v>
      </c>
      <c r="I447" s="2"/>
    </row>
    <row r="448" spans="1:9" ht="16.5" thickBot="1" x14ac:dyDescent="0.3">
      <c r="B448" s="25"/>
      <c r="C448" s="2"/>
      <c r="D448" s="97" t="s">
        <v>1650</v>
      </c>
      <c r="E448" s="88"/>
      <c r="F448" s="88"/>
      <c r="G448" s="88"/>
      <c r="H448" s="98">
        <f>ROUND(H447,2)</f>
        <v>199.03</v>
      </c>
      <c r="I448" s="2"/>
    </row>
    <row r="449" spans="1:15" ht="15.75" x14ac:dyDescent="0.25">
      <c r="B449" s="34" t="s">
        <v>1701</v>
      </c>
      <c r="C449" s="2"/>
      <c r="D449" s="3" t="str">
        <f>$D$1</f>
        <v>ESPOL</v>
      </c>
      <c r="E449" s="2"/>
      <c r="F449" s="2"/>
      <c r="H449" s="2" t="s">
        <v>108</v>
      </c>
      <c r="I449" s="2"/>
      <c r="L449" s="40">
        <f>A453</f>
        <v>16</v>
      </c>
      <c r="M449" s="1" t="str">
        <f>C454</f>
        <v>Dispensador de jabon de acero inoxidable</v>
      </c>
      <c r="N449" s="2" t="str">
        <f>H453</f>
        <v>U</v>
      </c>
      <c r="O449" s="2">
        <f>H504</f>
        <v>90</v>
      </c>
    </row>
    <row r="450" spans="1:15" ht="15.75" x14ac:dyDescent="0.25">
      <c r="B450" s="34" t="s">
        <v>1700</v>
      </c>
      <c r="C450" s="3">
        <f>'1.1'!$C$2</f>
        <v>0</v>
      </c>
      <c r="D450" s="2"/>
      <c r="E450" s="2"/>
      <c r="F450" s="2"/>
      <c r="G450" s="41" t="s">
        <v>1699</v>
      </c>
      <c r="H450" s="42"/>
      <c r="I450" s="2" t="s">
        <v>1698</v>
      </c>
    </row>
    <row r="451" spans="1:15" ht="15.75" x14ac:dyDescent="0.25">
      <c r="B451" s="34"/>
      <c r="C451" s="3">
        <f>'1.1'!$C$3</f>
        <v>0</v>
      </c>
      <c r="D451" s="2"/>
      <c r="E451" s="2"/>
      <c r="F451" s="2"/>
      <c r="G451" s="2"/>
      <c r="H451" s="2"/>
      <c r="I451" s="2"/>
    </row>
    <row r="452" spans="1:15" ht="15.75" x14ac:dyDescent="0.25">
      <c r="B452" s="34" t="s">
        <v>1697</v>
      </c>
      <c r="C452" s="3"/>
      <c r="D452" s="2"/>
      <c r="E452" s="2"/>
      <c r="F452" s="2"/>
      <c r="G452" s="2"/>
      <c r="H452" s="2"/>
      <c r="I452" s="2"/>
    </row>
    <row r="453" spans="1:15" x14ac:dyDescent="0.25">
      <c r="A453" s="104">
        <v>16</v>
      </c>
      <c r="B453" s="2" t="s">
        <v>1586</v>
      </c>
      <c r="C453" s="101" t="s">
        <v>1667</v>
      </c>
      <c r="D453" s="2"/>
      <c r="G453" s="2" t="s">
        <v>1696</v>
      </c>
      <c r="H453" s="3" t="s">
        <v>744</v>
      </c>
      <c r="I453" s="2"/>
    </row>
    <row r="454" spans="1:15" x14ac:dyDescent="0.25">
      <c r="B454" s="1" t="s">
        <v>1585</v>
      </c>
      <c r="C454" s="36" t="s">
        <v>89</v>
      </c>
      <c r="D454" s="2"/>
      <c r="E454" s="2"/>
      <c r="F454" s="2"/>
      <c r="G454" s="2"/>
      <c r="H454" s="2"/>
      <c r="I454" s="2"/>
    </row>
    <row r="455" spans="1:15" ht="15.75" thickBot="1" x14ac:dyDescent="0.3">
      <c r="D455" s="2"/>
      <c r="E455" s="2"/>
      <c r="F455" s="2"/>
      <c r="G455" s="2"/>
      <c r="H455" s="2"/>
      <c r="I455" s="2"/>
    </row>
    <row r="456" spans="1:15" ht="15.75" thickBot="1" x14ac:dyDescent="0.3">
      <c r="B456" s="43" t="s">
        <v>1695</v>
      </c>
      <c r="C456" s="44"/>
      <c r="D456" s="44"/>
      <c r="E456" s="44"/>
      <c r="F456" s="44"/>
      <c r="G456" s="44"/>
      <c r="H456" s="45"/>
      <c r="I456" s="2"/>
    </row>
    <row r="457" spans="1:15" ht="25.5" x14ac:dyDescent="0.25">
      <c r="B457" s="46" t="s">
        <v>1409</v>
      </c>
      <c r="C457" s="47"/>
      <c r="D457" s="48" t="s">
        <v>1690</v>
      </c>
      <c r="E457" s="48" t="s">
        <v>1694</v>
      </c>
      <c r="F457" s="48" t="s">
        <v>1693</v>
      </c>
      <c r="G457" s="49" t="s">
        <v>1687</v>
      </c>
      <c r="H457" s="50" t="s">
        <v>1686</v>
      </c>
      <c r="I457" s="2"/>
    </row>
    <row r="458" spans="1:15" x14ac:dyDescent="0.25">
      <c r="A458" s="103">
        <v>19015</v>
      </c>
      <c r="B458" s="51" t="str">
        <f>IF($A458=0,"",VLOOKUP($A458,'BASE EQUIPO'!$A:$D,2))</f>
        <v>HERRAMIENTA MENOR</v>
      </c>
      <c r="C458" s="52"/>
      <c r="D458" s="53">
        <v>1</v>
      </c>
      <c r="E458" s="53">
        <f>IF($A458=0,"",VLOOKUP($A458,'BASE EQUIPO'!$A:$D,4)*H474)</f>
        <v>0.33660000000000001</v>
      </c>
      <c r="F458" s="53">
        <f t="shared" ref="F458:F463" si="40">IF($A458=0,"",ROUND(D458*E458,2))</f>
        <v>0.34</v>
      </c>
      <c r="G458" s="105">
        <v>1</v>
      </c>
      <c r="H458" s="54">
        <f t="shared" ref="H458:H463" si="41">IF($A458=0,"",ROUND(G458*F458,2))</f>
        <v>0.34</v>
      </c>
      <c r="I458" s="2"/>
    </row>
    <row r="459" spans="1:15" x14ac:dyDescent="0.25">
      <c r="B459" s="38" t="str">
        <f>IF($A459=0,"",VLOOKUP($A459,'BASE EQUIPO'!$A:$D,2))</f>
        <v/>
      </c>
      <c r="C459" s="2"/>
      <c r="D459" s="55"/>
      <c r="E459" s="55" t="str">
        <f>IF($A459=0,"",VLOOKUP($A459,'BASE EQUIPO'!$A:$D,4))</f>
        <v/>
      </c>
      <c r="F459" s="55" t="str">
        <f t="shared" si="40"/>
        <v/>
      </c>
      <c r="G459" s="106"/>
      <c r="H459" s="56" t="str">
        <f t="shared" si="41"/>
        <v/>
      </c>
      <c r="I459" s="2"/>
    </row>
    <row r="460" spans="1:15" x14ac:dyDescent="0.25">
      <c r="B460" s="38" t="str">
        <f>IF($A460=0,"",VLOOKUP($A460,'BASE EQUIPO'!$A:$D,2))</f>
        <v/>
      </c>
      <c r="C460" s="2"/>
      <c r="D460" s="55"/>
      <c r="E460" s="55" t="str">
        <f>IF($A460=0,"",VLOOKUP($A460,'BASE EQUIPO'!$A:$D,4))</f>
        <v/>
      </c>
      <c r="F460" s="55" t="str">
        <f t="shared" si="40"/>
        <v/>
      </c>
      <c r="G460" s="106"/>
      <c r="H460" s="56" t="str">
        <f t="shared" si="41"/>
        <v/>
      </c>
      <c r="I460" s="2"/>
    </row>
    <row r="461" spans="1:15" x14ac:dyDescent="0.25">
      <c r="B461" s="38" t="str">
        <f>IF($A461=0,"",VLOOKUP($A461,'BASE EQUIPO'!$A:$D,2))</f>
        <v/>
      </c>
      <c r="C461" s="2"/>
      <c r="D461" s="55"/>
      <c r="E461" s="55" t="str">
        <f>IF($A461=0,"",VLOOKUP($A461,'BASE EQUIPO'!$A:$D,4))</f>
        <v/>
      </c>
      <c r="F461" s="55" t="str">
        <f t="shared" si="40"/>
        <v/>
      </c>
      <c r="G461" s="106"/>
      <c r="H461" s="56" t="str">
        <f t="shared" si="41"/>
        <v/>
      </c>
      <c r="I461" s="2"/>
    </row>
    <row r="462" spans="1:15" x14ac:dyDescent="0.25">
      <c r="B462" s="38" t="str">
        <f>IF($A462=0,"",VLOOKUP($A462,'BASE EQUIPO'!$A:$D,2))</f>
        <v/>
      </c>
      <c r="C462" s="2"/>
      <c r="D462" s="55"/>
      <c r="E462" s="55" t="str">
        <f>IF($A462=0,"",VLOOKUP($A462,'BASE EQUIPO'!$A:$D,4))</f>
        <v/>
      </c>
      <c r="F462" s="55" t="str">
        <f t="shared" si="40"/>
        <v/>
      </c>
      <c r="G462" s="106"/>
      <c r="H462" s="56" t="str">
        <f t="shared" si="41"/>
        <v/>
      </c>
      <c r="I462" s="2"/>
    </row>
    <row r="463" spans="1:15" x14ac:dyDescent="0.25">
      <c r="B463" s="57" t="str">
        <f>IF($A463=0,"",VLOOKUP($A463,'BASE EQUIPO'!$A:$D,2))</f>
        <v/>
      </c>
      <c r="C463" s="58"/>
      <c r="D463" s="59"/>
      <c r="E463" s="59" t="str">
        <f>IF($A463=0,"",VLOOKUP($A463,'BASE EQUIPO'!$A:$D,4))</f>
        <v/>
      </c>
      <c r="F463" s="59" t="str">
        <f t="shared" si="40"/>
        <v/>
      </c>
      <c r="G463" s="107"/>
      <c r="H463" s="60" t="str">
        <f t="shared" si="41"/>
        <v/>
      </c>
      <c r="I463" s="2"/>
    </row>
    <row r="464" spans="1:15" x14ac:dyDescent="0.25">
      <c r="B464" s="57" t="s">
        <v>1692</v>
      </c>
      <c r="C464" s="58"/>
      <c r="D464" s="61"/>
      <c r="E464" s="61"/>
      <c r="F464" s="61"/>
      <c r="G464" s="62"/>
      <c r="H464" s="60">
        <f>ROUND(SUM(H457:H463),2)</f>
        <v>0.34</v>
      </c>
      <c r="I464" s="2"/>
    </row>
    <row r="465" spans="1:16" x14ac:dyDescent="0.25">
      <c r="B465" s="38" t="s">
        <v>1503</v>
      </c>
      <c r="C465" s="2"/>
      <c r="D465" s="3"/>
      <c r="E465" s="3"/>
      <c r="F465" s="3"/>
      <c r="G465" s="63"/>
      <c r="H465" s="56"/>
      <c r="I465" s="2"/>
    </row>
    <row r="466" spans="1:16" ht="25.5" x14ac:dyDescent="0.25">
      <c r="B466" s="64" t="s">
        <v>1691</v>
      </c>
      <c r="C466" s="65"/>
      <c r="D466" s="66" t="s">
        <v>1690</v>
      </c>
      <c r="E466" s="66" t="s">
        <v>1689</v>
      </c>
      <c r="F466" s="66" t="s">
        <v>1688</v>
      </c>
      <c r="G466" s="67" t="s">
        <v>1687</v>
      </c>
      <c r="H466" s="68" t="s">
        <v>1686</v>
      </c>
      <c r="I466" s="2"/>
    </row>
    <row r="467" spans="1:16" x14ac:dyDescent="0.25">
      <c r="B467" s="69" t="str">
        <f>IF($A467=0,"",VLOOKUP($A467,'BASE M-OBRA'!$A:$D,2))</f>
        <v/>
      </c>
      <c r="C467" s="2"/>
      <c r="D467" s="108"/>
      <c r="E467" s="70" t="str">
        <f>IF($A467=0,"",VLOOKUP($A467,'BASE M-OBRA'!$A:$D,4))</f>
        <v/>
      </c>
      <c r="F467" s="55" t="str">
        <f t="shared" ref="F467:F473" si="42">IF($A467=0,"",ROUND(D467*E467,2))</f>
        <v/>
      </c>
      <c r="G467" s="106" t="str">
        <f>IF($A467=0,"",ROUND(H467/F467,2))</f>
        <v/>
      </c>
      <c r="H467" s="56" t="str">
        <f>IF($A467=0,"",ROUND(SUM(H468:H473)*'BASE M-OBRA'!$D$23,2))</f>
        <v/>
      </c>
      <c r="I467" s="2"/>
    </row>
    <row r="468" spans="1:16" x14ac:dyDescent="0.25">
      <c r="A468" s="103">
        <v>20011</v>
      </c>
      <c r="B468" s="69" t="str">
        <f>IF($A468=0,"",VLOOKUP($A468,'BASE M-OBRA'!$A:$D,2))</f>
        <v>AYUDANTE ESPECIALISTA</v>
      </c>
      <c r="C468" s="2"/>
      <c r="D468" s="108">
        <v>1</v>
      </c>
      <c r="E468" s="70">
        <f>IF($A468=0,"",VLOOKUP($A468,'BASE M-OBRA'!$A:$D,4))</f>
        <v>2.79</v>
      </c>
      <c r="F468" s="55">
        <f t="shared" si="42"/>
        <v>2.79</v>
      </c>
      <c r="G468" s="106">
        <v>2</v>
      </c>
      <c r="H468" s="56">
        <f t="shared" ref="H468:H473" si="43">IF($A468=0,"",ROUND(G468*F468,2))</f>
        <v>5.58</v>
      </c>
      <c r="I468" s="2"/>
    </row>
    <row r="469" spans="1:16" x14ac:dyDescent="0.25">
      <c r="A469" s="103">
        <v>20016</v>
      </c>
      <c r="B469" s="69" t="str">
        <f>IF($A469=0,"",VLOOKUP($A469,'BASE M-OBRA'!$A:$D,2))</f>
        <v>GAFITERO</v>
      </c>
      <c r="C469" s="2"/>
      <c r="D469" s="108">
        <v>1</v>
      </c>
      <c r="E469" s="70">
        <f>IF($A469=0,"",VLOOKUP($A469,'BASE M-OBRA'!$A:$D,4))</f>
        <v>2.82</v>
      </c>
      <c r="F469" s="55">
        <f t="shared" si="42"/>
        <v>2.82</v>
      </c>
      <c r="G469" s="106">
        <f>+G468</f>
        <v>2</v>
      </c>
      <c r="H469" s="56">
        <f t="shared" si="43"/>
        <v>5.64</v>
      </c>
      <c r="I469" s="2"/>
    </row>
    <row r="470" spans="1:16" x14ac:dyDescent="0.25">
      <c r="B470" s="71" t="str">
        <f>IF($A470=0,"",VLOOKUP($A470,'BASE M-OBRA'!$A:$D,2))</f>
        <v/>
      </c>
      <c r="C470" s="2"/>
      <c r="D470" s="108"/>
      <c r="E470" s="70" t="str">
        <f>IF($A470=0,"",VLOOKUP($A470,'BASE M-OBRA'!$A:$D,4))</f>
        <v/>
      </c>
      <c r="F470" s="55" t="str">
        <f t="shared" si="42"/>
        <v/>
      </c>
      <c r="G470" s="106"/>
      <c r="H470" s="56" t="str">
        <f t="shared" si="43"/>
        <v/>
      </c>
      <c r="I470" s="2"/>
    </row>
    <row r="471" spans="1:16" x14ac:dyDescent="0.25">
      <c r="B471" s="72" t="str">
        <f>IF($A471=0,"",VLOOKUP($A471,'BASE M-OBRA'!$A:$D,2))</f>
        <v/>
      </c>
      <c r="C471" s="2"/>
      <c r="D471" s="108"/>
      <c r="E471" s="70" t="str">
        <f>IF($A471=0,"",VLOOKUP($A471,'BASE M-OBRA'!$A:$D,4))</f>
        <v/>
      </c>
      <c r="F471" s="55" t="str">
        <f t="shared" si="42"/>
        <v/>
      </c>
      <c r="G471" s="106"/>
      <c r="H471" s="56" t="str">
        <f t="shared" si="43"/>
        <v/>
      </c>
      <c r="I471" s="2"/>
    </row>
    <row r="472" spans="1:16" x14ac:dyDescent="0.25">
      <c r="B472" s="38" t="str">
        <f>IF($A472=0,"",VLOOKUP($A472,'BASE M-OBRA'!$A:$D,2))</f>
        <v/>
      </c>
      <c r="C472" s="2"/>
      <c r="D472" s="55"/>
      <c r="E472" s="55" t="str">
        <f>IF($A472=0,"",VLOOKUP($A472,'BASE M-OBRA'!$A:$D,4))</f>
        <v/>
      </c>
      <c r="F472" s="55" t="str">
        <f t="shared" si="42"/>
        <v/>
      </c>
      <c r="G472" s="106"/>
      <c r="H472" s="56" t="str">
        <f t="shared" si="43"/>
        <v/>
      </c>
      <c r="I472" s="2"/>
    </row>
    <row r="473" spans="1:16" x14ac:dyDescent="0.25">
      <c r="B473" s="57" t="str">
        <f>IF($A473=0,"",VLOOKUP($A473,'BASE M-OBRA'!$A:$D,2))</f>
        <v/>
      </c>
      <c r="C473" s="58"/>
      <c r="D473" s="59"/>
      <c r="E473" s="59" t="str">
        <f>IF($A473=0,"",VLOOKUP($A473,'BASE M-OBRA'!$A:$D,4))</f>
        <v/>
      </c>
      <c r="F473" s="59" t="str">
        <f t="shared" si="42"/>
        <v/>
      </c>
      <c r="G473" s="107"/>
      <c r="H473" s="60" t="str">
        <f t="shared" si="43"/>
        <v/>
      </c>
      <c r="I473" s="2"/>
    </row>
    <row r="474" spans="1:16" x14ac:dyDescent="0.25">
      <c r="B474" s="73" t="s">
        <v>1685</v>
      </c>
      <c r="C474" s="65"/>
      <c r="D474" s="74"/>
      <c r="E474" s="74"/>
      <c r="F474" s="74"/>
      <c r="G474" s="74"/>
      <c r="H474" s="75">
        <f>ROUND(SUM(H466:H473),2)</f>
        <v>11.22</v>
      </c>
      <c r="I474" s="2"/>
      <c r="J474" s="1">
        <f>5*22+4*12</f>
        <v>158</v>
      </c>
    </row>
    <row r="475" spans="1:16" x14ac:dyDescent="0.25">
      <c r="B475" s="38" t="s">
        <v>1684</v>
      </c>
      <c r="C475" s="2"/>
      <c r="D475" s="3"/>
      <c r="E475" s="3"/>
      <c r="F475" s="3"/>
      <c r="G475" s="3"/>
      <c r="H475" s="56"/>
      <c r="I475" s="2"/>
    </row>
    <row r="476" spans="1:16" ht="25.5" x14ac:dyDescent="0.25">
      <c r="B476" s="64" t="s">
        <v>1409</v>
      </c>
      <c r="C476" s="65"/>
      <c r="D476" s="76"/>
      <c r="E476" s="66" t="s">
        <v>1408</v>
      </c>
      <c r="F476" s="66" t="s">
        <v>1679</v>
      </c>
      <c r="G476" s="66" t="s">
        <v>1683</v>
      </c>
      <c r="H476" s="68" t="s">
        <v>1675</v>
      </c>
      <c r="I476" s="2"/>
    </row>
    <row r="477" spans="1:16" x14ac:dyDescent="0.25">
      <c r="B477" s="99"/>
      <c r="C477" s="2"/>
      <c r="D477" s="77"/>
      <c r="E477" s="78"/>
      <c r="F477" s="55"/>
      <c r="G477" s="55"/>
      <c r="H477" s="56" t="str">
        <f t="shared" ref="H477:H491" si="44">IF($A477=0,"",ROUND(F477*G477,2))</f>
        <v/>
      </c>
      <c r="I477" s="2"/>
      <c r="J477" s="1">
        <f>11.13/1.12</f>
        <v>9.9375</v>
      </c>
      <c r="L477" s="2"/>
      <c r="M477" s="2"/>
      <c r="N477" s="39"/>
      <c r="O477" s="2"/>
      <c r="P477" s="2"/>
    </row>
    <row r="478" spans="1:16" x14ac:dyDescent="0.25">
      <c r="A478" s="103">
        <v>1</v>
      </c>
      <c r="B478" s="38" t="s">
        <v>89</v>
      </c>
      <c r="C478" s="2"/>
      <c r="D478" s="77"/>
      <c r="E478" s="78" t="s">
        <v>1506</v>
      </c>
      <c r="F478" s="55">
        <v>1</v>
      </c>
      <c r="G478" s="55">
        <f>68*1.12</f>
        <v>76.160000000000011</v>
      </c>
      <c r="H478" s="56">
        <f t="shared" si="44"/>
        <v>76.16</v>
      </c>
      <c r="I478" s="2"/>
      <c r="J478" s="1">
        <f>3.36/1.12</f>
        <v>2.9999999999999996</v>
      </c>
      <c r="L478" s="2"/>
      <c r="M478" s="2"/>
      <c r="N478" s="39"/>
      <c r="O478" s="2"/>
      <c r="P478" s="2"/>
    </row>
    <row r="479" spans="1:16" x14ac:dyDescent="0.25">
      <c r="B479" s="38"/>
      <c r="C479" s="2"/>
      <c r="D479" s="77"/>
      <c r="E479" s="78"/>
      <c r="F479" s="55"/>
      <c r="G479" s="55"/>
      <c r="H479" s="56" t="str">
        <f t="shared" si="44"/>
        <v/>
      </c>
      <c r="I479" s="2"/>
      <c r="L479" s="2"/>
      <c r="M479" s="2"/>
      <c r="N479" s="39"/>
      <c r="O479" s="2"/>
      <c r="P479" s="2"/>
    </row>
    <row r="480" spans="1:16" x14ac:dyDescent="0.25">
      <c r="B480" s="38"/>
      <c r="C480" s="2"/>
      <c r="D480" s="77"/>
      <c r="E480" s="78"/>
      <c r="F480" s="55"/>
      <c r="G480" s="55"/>
      <c r="H480" s="56" t="str">
        <f t="shared" si="44"/>
        <v/>
      </c>
      <c r="I480" s="2"/>
      <c r="L480" s="2"/>
      <c r="M480" s="2"/>
      <c r="N480" s="39"/>
      <c r="O480" s="2"/>
      <c r="P480" s="2"/>
    </row>
    <row r="481" spans="1:16" x14ac:dyDescent="0.25">
      <c r="B481" s="38"/>
      <c r="C481" s="2"/>
      <c r="D481" s="77"/>
      <c r="E481" s="78"/>
      <c r="F481" s="55"/>
      <c r="G481" s="55"/>
      <c r="H481" s="56" t="str">
        <f t="shared" si="44"/>
        <v/>
      </c>
      <c r="I481" s="2"/>
      <c r="L481" s="2"/>
      <c r="M481" s="2"/>
      <c r="N481" s="39"/>
      <c r="O481" s="2"/>
      <c r="P481" s="2"/>
    </row>
    <row r="482" spans="1:16" x14ac:dyDescent="0.25">
      <c r="B482" s="38"/>
      <c r="C482" s="2"/>
      <c r="D482" s="77"/>
      <c r="E482" s="78"/>
      <c r="F482" s="55"/>
      <c r="G482" s="55"/>
      <c r="H482" s="56" t="str">
        <f t="shared" si="44"/>
        <v/>
      </c>
      <c r="I482" s="2"/>
      <c r="L482" s="2"/>
      <c r="M482" s="2"/>
      <c r="N482" s="39"/>
      <c r="O482" s="2"/>
      <c r="P482" s="2"/>
    </row>
    <row r="483" spans="1:16" x14ac:dyDescent="0.25">
      <c r="B483" s="38"/>
      <c r="C483" s="2"/>
      <c r="D483" s="77"/>
      <c r="E483" s="78"/>
      <c r="F483" s="55"/>
      <c r="G483" s="55"/>
      <c r="H483" s="56" t="str">
        <f t="shared" si="44"/>
        <v/>
      </c>
      <c r="I483" s="2"/>
      <c r="L483" s="2"/>
      <c r="M483" s="2"/>
      <c r="N483" s="39"/>
      <c r="O483" s="2"/>
      <c r="P483" s="2"/>
    </row>
    <row r="484" spans="1:16" x14ac:dyDescent="0.25">
      <c r="B484" s="38"/>
      <c r="C484" s="2"/>
      <c r="D484" s="77"/>
      <c r="E484" s="78"/>
      <c r="F484" s="55"/>
      <c r="G484" s="55"/>
      <c r="H484" s="56" t="str">
        <f t="shared" si="44"/>
        <v/>
      </c>
      <c r="I484" s="2"/>
      <c r="L484" s="2"/>
      <c r="M484" s="2"/>
      <c r="N484" s="39"/>
      <c r="O484" s="2"/>
      <c r="P484" s="2"/>
    </row>
    <row r="485" spans="1:16" x14ac:dyDescent="0.25">
      <c r="B485" s="38"/>
      <c r="C485" s="2"/>
      <c r="D485" s="77"/>
      <c r="E485" s="78"/>
      <c r="F485" s="55"/>
      <c r="G485" s="55"/>
      <c r="H485" s="56" t="str">
        <f t="shared" si="44"/>
        <v/>
      </c>
      <c r="I485" s="2"/>
    </row>
    <row r="486" spans="1:16" x14ac:dyDescent="0.25">
      <c r="B486" s="38" t="str">
        <f>IF($A486=0,"",VLOOKUP($A486,'BASE MATERIAL'!$A:$D,2))</f>
        <v/>
      </c>
      <c r="C486" s="2"/>
      <c r="D486" s="77"/>
      <c r="E486" s="78" t="str">
        <f>IF($A486=0,"",VLOOKUP($A486,'BASE MATERIAL'!$A:$D,3))</f>
        <v/>
      </c>
      <c r="F486" s="55"/>
      <c r="G486" s="55" t="str">
        <f>IF($A486=0,"",VLOOKUP($A486,'BASE MATERIAL'!$A:$D,4))</f>
        <v/>
      </c>
      <c r="H486" s="56" t="str">
        <f t="shared" si="44"/>
        <v/>
      </c>
      <c r="I486" s="2"/>
      <c r="L486" s="2"/>
      <c r="M486" s="2"/>
      <c r="N486" s="39"/>
      <c r="O486" s="2"/>
      <c r="P486" s="2"/>
    </row>
    <row r="487" spans="1:16" x14ac:dyDescent="0.25">
      <c r="B487" s="38" t="str">
        <f>IF($A487=0,"",VLOOKUP($A487,'BASE MATERIAL'!$A:$D,2))</f>
        <v/>
      </c>
      <c r="C487" s="2"/>
      <c r="D487" s="77"/>
      <c r="E487" s="78" t="str">
        <f>IF($A487=0,"",VLOOKUP($A487,'BASE MATERIAL'!$A:$D,3))</f>
        <v/>
      </c>
      <c r="F487" s="55"/>
      <c r="G487" s="55" t="str">
        <f>IF($A487=0,"",VLOOKUP($A487,'BASE MATERIAL'!$A:$D,4))</f>
        <v/>
      </c>
      <c r="H487" s="56" t="str">
        <f t="shared" si="44"/>
        <v/>
      </c>
      <c r="I487" s="2"/>
      <c r="L487" s="2"/>
      <c r="M487" s="2"/>
      <c r="N487" s="39"/>
      <c r="O487" s="2"/>
      <c r="P487" s="2"/>
    </row>
    <row r="488" spans="1:16" x14ac:dyDescent="0.25">
      <c r="B488" s="38" t="str">
        <f>IF($A488=0,"",VLOOKUP($A488,'BASE MATERIAL'!$A:$D,2))</f>
        <v/>
      </c>
      <c r="C488" s="2"/>
      <c r="D488" s="77"/>
      <c r="E488" s="78" t="str">
        <f>IF($A488=0,"",VLOOKUP($A488,'BASE MATERIAL'!$A:$D,3))</f>
        <v/>
      </c>
      <c r="F488" s="55"/>
      <c r="G488" s="55" t="str">
        <f>IF($A488=0,"",VLOOKUP($A488,'BASE MATERIAL'!$A:$D,4))</f>
        <v/>
      </c>
      <c r="H488" s="56" t="str">
        <f t="shared" si="44"/>
        <v/>
      </c>
      <c r="I488" s="2"/>
    </row>
    <row r="489" spans="1:16" x14ac:dyDescent="0.25">
      <c r="B489" s="38" t="str">
        <f>IF($A489=0,"",VLOOKUP($A489,'BASE MATERIAL'!$A:$D,2))</f>
        <v/>
      </c>
      <c r="C489" s="2"/>
      <c r="D489" s="77"/>
      <c r="E489" s="78" t="str">
        <f>IF($A489=0,"",VLOOKUP($A489,'BASE MATERIAL'!$A:$D,3))</f>
        <v/>
      </c>
      <c r="F489" s="55"/>
      <c r="G489" s="55" t="str">
        <f>IF($A489=0,"",VLOOKUP($A489,'BASE MATERIAL'!$A:$D,4))</f>
        <v/>
      </c>
      <c r="H489" s="56" t="str">
        <f t="shared" si="44"/>
        <v/>
      </c>
      <c r="I489" s="2"/>
    </row>
    <row r="490" spans="1:16" x14ac:dyDescent="0.25">
      <c r="B490" s="38" t="str">
        <f>IF($A490=0,"",VLOOKUP($A490,'BASE MATERIAL'!$A:$D,2))</f>
        <v/>
      </c>
      <c r="C490" s="2"/>
      <c r="D490" s="77"/>
      <c r="E490" s="78" t="str">
        <f>IF($A490=0,"",VLOOKUP($A490,'BASE MATERIAL'!$A:$D,3))</f>
        <v/>
      </c>
      <c r="F490" s="55"/>
      <c r="G490" s="55" t="str">
        <f>IF($A490=0,"",VLOOKUP($A490,'BASE MATERIAL'!$A:$D,4))</f>
        <v/>
      </c>
      <c r="H490" s="56" t="str">
        <f t="shared" si="44"/>
        <v/>
      </c>
      <c r="I490" s="2"/>
    </row>
    <row r="491" spans="1:16" x14ac:dyDescent="0.25">
      <c r="B491" s="38" t="str">
        <f>IF($A491=0,"",VLOOKUP($A491,'BASE MATERIAL'!$A:$D,2))</f>
        <v/>
      </c>
      <c r="C491" s="2"/>
      <c r="D491" s="77"/>
      <c r="E491" s="78" t="str">
        <f>IF($A491=0,"",VLOOKUP($A491,'BASE MATERIAL'!$A:$D,3))</f>
        <v/>
      </c>
      <c r="F491" s="55"/>
      <c r="G491" s="55" t="str">
        <f>IF($A491=0,"",VLOOKUP($A491,'BASE MATERIAL'!$A:$D,4))</f>
        <v/>
      </c>
      <c r="H491" s="56" t="str">
        <f t="shared" si="44"/>
        <v/>
      </c>
      <c r="I491" s="2"/>
    </row>
    <row r="492" spans="1:16" x14ac:dyDescent="0.25">
      <c r="B492" s="38" t="str">
        <f>IF($A492=0,"",VLOOKUP($A492,'BASE MATERIAL'!$A:$D,2))</f>
        <v/>
      </c>
      <c r="C492" s="2"/>
      <c r="D492" s="81" t="s">
        <v>1682</v>
      </c>
      <c r="E492" s="55" t="str">
        <f>IF($A492=0,"",VLOOKUP($A492,'BASE MATERIAL'!$A:$D,3))</f>
        <v/>
      </c>
      <c r="F492" s="55" t="s">
        <v>1682</v>
      </c>
      <c r="G492" s="55" t="str">
        <f>IF($A492=0,"",VLOOKUP($A492,'BASE MATERIAL'!$A:$D,4))</f>
        <v/>
      </c>
      <c r="H492" s="56" t="str">
        <f>IF($A492=0,"",ROUND(E492*F492,2))</f>
        <v/>
      </c>
      <c r="I492" s="2"/>
    </row>
    <row r="493" spans="1:16" x14ac:dyDescent="0.25">
      <c r="B493" s="73" t="s">
        <v>1681</v>
      </c>
      <c r="C493" s="65"/>
      <c r="D493" s="74"/>
      <c r="E493" s="74"/>
      <c r="F493" s="74"/>
      <c r="G493" s="74"/>
      <c r="H493" s="75">
        <f>ROUND(SUM(H476:H492),2)</f>
        <v>76.16</v>
      </c>
      <c r="I493" s="2"/>
    </row>
    <row r="494" spans="1:16" x14ac:dyDescent="0.25">
      <c r="B494" s="38" t="s">
        <v>1680</v>
      </c>
      <c r="C494" s="2"/>
      <c r="D494" s="3"/>
      <c r="E494" s="3"/>
      <c r="F494" s="3"/>
      <c r="G494" s="3"/>
      <c r="H494" s="56"/>
      <c r="I494" s="2"/>
    </row>
    <row r="495" spans="1:16" ht="25.5" x14ac:dyDescent="0.25">
      <c r="B495" s="64" t="s">
        <v>1409</v>
      </c>
      <c r="C495" s="65"/>
      <c r="D495" s="76"/>
      <c r="E495" s="66" t="s">
        <v>1408</v>
      </c>
      <c r="F495" s="66" t="s">
        <v>1679</v>
      </c>
      <c r="G495" s="66" t="s">
        <v>1676</v>
      </c>
      <c r="H495" s="68" t="s">
        <v>1675</v>
      </c>
      <c r="I495" s="2"/>
    </row>
    <row r="496" spans="1:16" x14ac:dyDescent="0.25">
      <c r="A496" s="103">
        <v>19019</v>
      </c>
      <c r="B496" s="51" t="str">
        <f>IF($A496=0,"",VLOOKUP($A496,'BASE EQUIPO'!$A:$D,2))</f>
        <v>TRANSPORTE DE MATERIAL</v>
      </c>
      <c r="C496" s="52"/>
      <c r="D496" s="82"/>
      <c r="E496" s="78" t="str">
        <f>IF($A496=0,"",VLOOKUP($A496,'BASE EQUIPO'!$A:$D,3))</f>
        <v>GLOBAL</v>
      </c>
      <c r="F496" s="55">
        <v>1</v>
      </c>
      <c r="G496" s="83">
        <f>IF($A496=0,"",VLOOKUP($A496,'BASE EQUIPO'!$A:$D,4)*H493)</f>
        <v>2.2847999999999997</v>
      </c>
      <c r="H496" s="56">
        <f>IF($A496=0,"",ROUND(F496*G496,2))</f>
        <v>2.2799999999999998</v>
      </c>
      <c r="I496" s="2"/>
    </row>
    <row r="497" spans="1:15" x14ac:dyDescent="0.25">
      <c r="B497" s="38" t="str">
        <f>IF($A497=0,"",VLOOKUP($A497,'BASE EQUIPO'!$A:$D,2))</f>
        <v/>
      </c>
      <c r="C497" s="2"/>
      <c r="D497" s="84"/>
      <c r="E497" s="78" t="str">
        <f>IF($A497=0,"",VLOOKUP($A497,'BASE EQUIPO'!$A:$D,3))</f>
        <v/>
      </c>
      <c r="F497" s="55"/>
      <c r="G497" s="55" t="str">
        <f>IF($A497=0,"",VLOOKUP($A497,'BASE EQUIPO'!$A:$D,4)*H494)</f>
        <v/>
      </c>
      <c r="H497" s="56" t="str">
        <f>IF($A497=0,"",ROUND(F497*G497,2))</f>
        <v/>
      </c>
      <c r="I497" s="2"/>
    </row>
    <row r="498" spans="1:15" x14ac:dyDescent="0.25">
      <c r="B498" s="57" t="str">
        <f>IF($A498=0,"",VLOOKUP($A498,'BASE EQUIPO'!$A:$D,2))</f>
        <v/>
      </c>
      <c r="C498" s="58"/>
      <c r="D498" s="85"/>
      <c r="E498" s="86" t="str">
        <f>IF($A498=0,"",VLOOKUP($A498,'BASE EQUIPO'!$A:$D,3))</f>
        <v/>
      </c>
      <c r="F498" s="59"/>
      <c r="G498" s="59" t="str">
        <f>IF($A498=0,"",VLOOKUP($A498,'BASE EQUIPO'!$A:$D,4)*H495)</f>
        <v/>
      </c>
      <c r="H498" s="60" t="str">
        <f>IF($A498=0,"",ROUND(F498*G498,2))</f>
        <v/>
      </c>
      <c r="I498" s="2"/>
    </row>
    <row r="499" spans="1:15" ht="15.75" thickBot="1" x14ac:dyDescent="0.3">
      <c r="B499" s="87" t="s">
        <v>1674</v>
      </c>
      <c r="C499" s="88"/>
      <c r="D499" s="89"/>
      <c r="E499" s="89"/>
      <c r="F499" s="89"/>
      <c r="G499" s="89"/>
      <c r="H499" s="90">
        <f>ROUND(SUM(H495:H498),2)</f>
        <v>2.2799999999999998</v>
      </c>
      <c r="I499" s="2"/>
    </row>
    <row r="500" spans="1:15" ht="15.75" x14ac:dyDescent="0.25">
      <c r="B500" s="2"/>
      <c r="C500" s="2"/>
      <c r="D500" s="91" t="s">
        <v>1673</v>
      </c>
      <c r="E500" s="47"/>
      <c r="F500" s="47"/>
      <c r="G500" s="47"/>
      <c r="H500" s="92">
        <f>ROUND(SUM(H499,H493,H474,H464),2)</f>
        <v>90</v>
      </c>
      <c r="I500" s="2"/>
    </row>
    <row r="501" spans="1:15" ht="15.75" x14ac:dyDescent="0.25">
      <c r="A501" s="103">
        <v>40002</v>
      </c>
      <c r="B501" s="2"/>
      <c r="C501" s="2"/>
      <c r="D501" s="93" t="s">
        <v>1672</v>
      </c>
      <c r="E501" s="65"/>
      <c r="F501" s="65"/>
      <c r="G501" s="94">
        <f>IF($A501=0,"",VLOOKUP($A501,'BASE MATERIAL'!$M:$P,4))</f>
        <v>0</v>
      </c>
      <c r="H501" s="95">
        <f>IF($A501=0,"",ROUND(G501*H500,2))</f>
        <v>0</v>
      </c>
      <c r="I501" s="2"/>
    </row>
    <row r="502" spans="1:15" ht="15.75" x14ac:dyDescent="0.25">
      <c r="A502" s="103">
        <v>40003</v>
      </c>
      <c r="B502" s="2"/>
      <c r="C502" s="2"/>
      <c r="D502" s="93" t="s">
        <v>1671</v>
      </c>
      <c r="E502" s="65"/>
      <c r="F502" s="65"/>
      <c r="G502" s="94">
        <f>IF($A502=0,"",VLOOKUP($A502,'BASE MATERIAL'!$M:$P,4))</f>
        <v>0</v>
      </c>
      <c r="H502" s="95">
        <f>IF($A502=0,"",ROUND(G502*H500,2))</f>
        <v>0</v>
      </c>
      <c r="I502" s="2"/>
    </row>
    <row r="503" spans="1:15" ht="15.75" x14ac:dyDescent="0.25">
      <c r="B503" s="2"/>
      <c r="C503" s="2"/>
      <c r="D503" s="93" t="s">
        <v>1670</v>
      </c>
      <c r="E503" s="65"/>
      <c r="F503" s="65"/>
      <c r="G503" s="65"/>
      <c r="H503" s="96">
        <f>ROUND(SUM(H500:H502),2)</f>
        <v>90</v>
      </c>
      <c r="I503" s="2"/>
    </row>
    <row r="504" spans="1:15" ht="16.5" thickBot="1" x14ac:dyDescent="0.3">
      <c r="B504" s="25"/>
      <c r="C504" s="2"/>
      <c r="D504" s="97" t="s">
        <v>1650</v>
      </c>
      <c r="E504" s="88"/>
      <c r="F504" s="88"/>
      <c r="G504" s="88"/>
      <c r="H504" s="98">
        <f>ROUND(H503,2)</f>
        <v>90</v>
      </c>
      <c r="I504" s="2"/>
    </row>
    <row r="505" spans="1:15" ht="15.75" x14ac:dyDescent="0.25">
      <c r="B505" s="34" t="s">
        <v>1701</v>
      </c>
      <c r="C505" s="2"/>
      <c r="D505" s="3" t="str">
        <f>$D$1</f>
        <v>ESPOL</v>
      </c>
      <c r="E505" s="2"/>
      <c r="F505" s="2"/>
      <c r="H505" s="2" t="s">
        <v>108</v>
      </c>
      <c r="I505" s="2"/>
      <c r="L505" s="40">
        <f>A509</f>
        <v>16</v>
      </c>
      <c r="M505" s="1" t="str">
        <f>C510</f>
        <v>Dispensador de papel acero inoxidable</v>
      </c>
      <c r="N505" s="2" t="str">
        <f>H509</f>
        <v>U</v>
      </c>
      <c r="O505" s="2">
        <f>H560</f>
        <v>72.7</v>
      </c>
    </row>
    <row r="506" spans="1:15" ht="15.75" x14ac:dyDescent="0.25">
      <c r="B506" s="34" t="s">
        <v>1700</v>
      </c>
      <c r="C506" s="3">
        <f>'1.1'!$C$2</f>
        <v>0</v>
      </c>
      <c r="D506" s="2"/>
      <c r="E506" s="2"/>
      <c r="F506" s="2"/>
      <c r="G506" s="41" t="s">
        <v>1699</v>
      </c>
      <c r="H506" s="42"/>
      <c r="I506" s="2" t="s">
        <v>1698</v>
      </c>
    </row>
    <row r="507" spans="1:15" ht="15.75" x14ac:dyDescent="0.25">
      <c r="B507" s="34"/>
      <c r="C507" s="3">
        <f>'1.1'!$C$3</f>
        <v>0</v>
      </c>
      <c r="D507" s="2"/>
      <c r="E507" s="2"/>
      <c r="F507" s="2"/>
      <c r="G507" s="2"/>
      <c r="H507" s="2"/>
      <c r="I507" s="2"/>
    </row>
    <row r="508" spans="1:15" ht="15.75" x14ac:dyDescent="0.25">
      <c r="B508" s="34" t="s">
        <v>1697</v>
      </c>
      <c r="C508" s="3"/>
      <c r="D508" s="2"/>
      <c r="E508" s="2"/>
      <c r="F508" s="2"/>
      <c r="G508" s="2"/>
      <c r="H508" s="2"/>
      <c r="I508" s="2"/>
    </row>
    <row r="509" spans="1:15" x14ac:dyDescent="0.25">
      <c r="A509" s="104">
        <v>16</v>
      </c>
      <c r="B509" s="2" t="s">
        <v>1586</v>
      </c>
      <c r="C509" s="101" t="s">
        <v>1668</v>
      </c>
      <c r="D509" s="2"/>
      <c r="G509" s="2" t="s">
        <v>1696</v>
      </c>
      <c r="H509" s="3" t="s">
        <v>744</v>
      </c>
      <c r="I509" s="2"/>
    </row>
    <row r="510" spans="1:15" x14ac:dyDescent="0.25">
      <c r="B510" s="1" t="s">
        <v>1585</v>
      </c>
      <c r="C510" s="36" t="s">
        <v>87</v>
      </c>
      <c r="D510" s="2"/>
      <c r="E510" s="2"/>
      <c r="F510" s="2"/>
      <c r="G510" s="2"/>
      <c r="H510" s="2"/>
      <c r="I510" s="2"/>
    </row>
    <row r="511" spans="1:15" ht="15.75" thickBot="1" x14ac:dyDescent="0.3">
      <c r="D511" s="2"/>
      <c r="E511" s="2"/>
      <c r="F511" s="2"/>
      <c r="G511" s="2"/>
      <c r="H511" s="2"/>
      <c r="I511" s="2"/>
    </row>
    <row r="512" spans="1:15" ht="15.75" thickBot="1" x14ac:dyDescent="0.3">
      <c r="B512" s="43" t="s">
        <v>1695</v>
      </c>
      <c r="C512" s="44"/>
      <c r="D512" s="44"/>
      <c r="E512" s="44"/>
      <c r="F512" s="44"/>
      <c r="G512" s="44"/>
      <c r="H512" s="45"/>
      <c r="I512" s="2"/>
    </row>
    <row r="513" spans="1:9" ht="25.5" x14ac:dyDescent="0.25">
      <c r="B513" s="46" t="s">
        <v>1409</v>
      </c>
      <c r="C513" s="47"/>
      <c r="D513" s="48" t="s">
        <v>1690</v>
      </c>
      <c r="E513" s="48" t="s">
        <v>1694</v>
      </c>
      <c r="F513" s="48" t="s">
        <v>1693</v>
      </c>
      <c r="G513" s="49" t="s">
        <v>1687</v>
      </c>
      <c r="H513" s="50" t="s">
        <v>1686</v>
      </c>
      <c r="I513" s="2"/>
    </row>
    <row r="514" spans="1:9" x14ac:dyDescent="0.25">
      <c r="A514" s="103">
        <v>19015</v>
      </c>
      <c r="B514" s="51" t="str">
        <f>IF($A514=0,"",VLOOKUP($A514,'BASE EQUIPO'!$A:$D,2))</f>
        <v>HERRAMIENTA MENOR</v>
      </c>
      <c r="C514" s="52"/>
      <c r="D514" s="53">
        <v>1</v>
      </c>
      <c r="E514" s="53">
        <f>IF($A514=0,"",VLOOKUP($A514,'BASE EQUIPO'!$A:$D,4)*H530)</f>
        <v>0.33660000000000001</v>
      </c>
      <c r="F514" s="53">
        <f t="shared" ref="F514:F519" si="45">IF($A514=0,"",ROUND(D514*E514,2))</f>
        <v>0.34</v>
      </c>
      <c r="G514" s="105">
        <v>1</v>
      </c>
      <c r="H514" s="54">
        <f t="shared" ref="H514:H519" si="46">IF($A514=0,"",ROUND(G514*F514,2))</f>
        <v>0.34</v>
      </c>
      <c r="I514" s="2"/>
    </row>
    <row r="515" spans="1:9" x14ac:dyDescent="0.25">
      <c r="B515" s="38" t="str">
        <f>IF($A515=0,"",VLOOKUP($A515,'BASE EQUIPO'!$A:$D,2))</f>
        <v/>
      </c>
      <c r="C515" s="2"/>
      <c r="D515" s="55"/>
      <c r="E515" s="55" t="str">
        <f>IF($A515=0,"",VLOOKUP($A515,'BASE EQUIPO'!$A:$D,4))</f>
        <v/>
      </c>
      <c r="F515" s="55" t="str">
        <f t="shared" si="45"/>
        <v/>
      </c>
      <c r="G515" s="106"/>
      <c r="H515" s="56" t="str">
        <f t="shared" si="46"/>
        <v/>
      </c>
      <c r="I515" s="2"/>
    </row>
    <row r="516" spans="1:9" x14ac:dyDescent="0.25">
      <c r="B516" s="38" t="str">
        <f>IF($A516=0,"",VLOOKUP($A516,'BASE EQUIPO'!$A:$D,2))</f>
        <v/>
      </c>
      <c r="C516" s="2"/>
      <c r="D516" s="55"/>
      <c r="E516" s="55" t="str">
        <f>IF($A516=0,"",VLOOKUP($A516,'BASE EQUIPO'!$A:$D,4))</f>
        <v/>
      </c>
      <c r="F516" s="55" t="str">
        <f t="shared" si="45"/>
        <v/>
      </c>
      <c r="G516" s="106"/>
      <c r="H516" s="56" t="str">
        <f t="shared" si="46"/>
        <v/>
      </c>
      <c r="I516" s="2"/>
    </row>
    <row r="517" spans="1:9" x14ac:dyDescent="0.25">
      <c r="B517" s="38" t="str">
        <f>IF($A517=0,"",VLOOKUP($A517,'BASE EQUIPO'!$A:$D,2))</f>
        <v/>
      </c>
      <c r="C517" s="2"/>
      <c r="D517" s="55"/>
      <c r="E517" s="55" t="str">
        <f>IF($A517=0,"",VLOOKUP($A517,'BASE EQUIPO'!$A:$D,4))</f>
        <v/>
      </c>
      <c r="F517" s="55" t="str">
        <f t="shared" si="45"/>
        <v/>
      </c>
      <c r="G517" s="106"/>
      <c r="H517" s="56" t="str">
        <f t="shared" si="46"/>
        <v/>
      </c>
      <c r="I517" s="2"/>
    </row>
    <row r="518" spans="1:9" x14ac:dyDescent="0.25">
      <c r="B518" s="38" t="str">
        <f>IF($A518=0,"",VLOOKUP($A518,'BASE EQUIPO'!$A:$D,2))</f>
        <v/>
      </c>
      <c r="C518" s="2"/>
      <c r="D518" s="55"/>
      <c r="E518" s="55" t="str">
        <f>IF($A518=0,"",VLOOKUP($A518,'BASE EQUIPO'!$A:$D,4))</f>
        <v/>
      </c>
      <c r="F518" s="55" t="str">
        <f t="shared" si="45"/>
        <v/>
      </c>
      <c r="G518" s="106"/>
      <c r="H518" s="56" t="str">
        <f t="shared" si="46"/>
        <v/>
      </c>
      <c r="I518" s="2"/>
    </row>
    <row r="519" spans="1:9" x14ac:dyDescent="0.25">
      <c r="B519" s="57" t="str">
        <f>IF($A519=0,"",VLOOKUP($A519,'BASE EQUIPO'!$A:$D,2))</f>
        <v/>
      </c>
      <c r="C519" s="58"/>
      <c r="D519" s="59"/>
      <c r="E519" s="59" t="str">
        <f>IF($A519=0,"",VLOOKUP($A519,'BASE EQUIPO'!$A:$D,4))</f>
        <v/>
      </c>
      <c r="F519" s="59" t="str">
        <f t="shared" si="45"/>
        <v/>
      </c>
      <c r="G519" s="107"/>
      <c r="H519" s="60" t="str">
        <f t="shared" si="46"/>
        <v/>
      </c>
      <c r="I519" s="2"/>
    </row>
    <row r="520" spans="1:9" x14ac:dyDescent="0.25">
      <c r="B520" s="57" t="s">
        <v>1692</v>
      </c>
      <c r="C520" s="58"/>
      <c r="D520" s="61"/>
      <c r="E520" s="61"/>
      <c r="F520" s="61"/>
      <c r="G520" s="62"/>
      <c r="H520" s="60">
        <f>ROUND(SUM(H513:H519),2)</f>
        <v>0.34</v>
      </c>
      <c r="I520" s="2"/>
    </row>
    <row r="521" spans="1:9" x14ac:dyDescent="0.25">
      <c r="B521" s="38" t="s">
        <v>1503</v>
      </c>
      <c r="C521" s="2"/>
      <c r="D521" s="3"/>
      <c r="E521" s="3"/>
      <c r="F521" s="3"/>
      <c r="G521" s="63"/>
      <c r="H521" s="56"/>
      <c r="I521" s="2"/>
    </row>
    <row r="522" spans="1:9" ht="25.5" x14ac:dyDescent="0.25">
      <c r="B522" s="64" t="s">
        <v>1691</v>
      </c>
      <c r="C522" s="65"/>
      <c r="D522" s="66" t="s">
        <v>1690</v>
      </c>
      <c r="E522" s="66" t="s">
        <v>1689</v>
      </c>
      <c r="F522" s="66" t="s">
        <v>1688</v>
      </c>
      <c r="G522" s="67" t="s">
        <v>1687</v>
      </c>
      <c r="H522" s="68" t="s">
        <v>1686</v>
      </c>
      <c r="I522" s="2"/>
    </row>
    <row r="523" spans="1:9" x14ac:dyDescent="0.25">
      <c r="B523" s="69" t="str">
        <f>IF($A523=0,"",VLOOKUP($A523,'BASE M-OBRA'!$A:$D,2))</f>
        <v/>
      </c>
      <c r="C523" s="2"/>
      <c r="D523" s="108"/>
      <c r="E523" s="70" t="str">
        <f>IF($A523=0,"",VLOOKUP($A523,'BASE M-OBRA'!$A:$D,4))</f>
        <v/>
      </c>
      <c r="F523" s="55" t="str">
        <f t="shared" ref="F523:F529" si="47">IF($A523=0,"",ROUND(D523*E523,2))</f>
        <v/>
      </c>
      <c r="G523" s="106" t="str">
        <f>IF($A523=0,"",ROUND(H523/F523,2))</f>
        <v/>
      </c>
      <c r="H523" s="56" t="str">
        <f>IF($A523=0,"",ROUND(SUM(H524:H529)*'BASE M-OBRA'!$D$23,2))</f>
        <v/>
      </c>
      <c r="I523" s="2"/>
    </row>
    <row r="524" spans="1:9" x14ac:dyDescent="0.25">
      <c r="A524" s="103">
        <v>20011</v>
      </c>
      <c r="B524" s="69" t="str">
        <f>IF($A524=0,"",VLOOKUP($A524,'BASE M-OBRA'!$A:$D,2))</f>
        <v>AYUDANTE ESPECIALISTA</v>
      </c>
      <c r="C524" s="2"/>
      <c r="D524" s="108">
        <v>1</v>
      </c>
      <c r="E524" s="70">
        <f>IF($A524=0,"",VLOOKUP($A524,'BASE M-OBRA'!$A:$D,4))</f>
        <v>2.79</v>
      </c>
      <c r="F524" s="55">
        <f t="shared" si="47"/>
        <v>2.79</v>
      </c>
      <c r="G524" s="106">
        <v>2</v>
      </c>
      <c r="H524" s="56">
        <f t="shared" ref="H524:H529" si="48">IF($A524=0,"",ROUND(G524*F524,2))</f>
        <v>5.58</v>
      </c>
      <c r="I524" s="2"/>
    </row>
    <row r="525" spans="1:9" x14ac:dyDescent="0.25">
      <c r="A525" s="103">
        <v>20016</v>
      </c>
      <c r="B525" s="69" t="str">
        <f>IF($A525=0,"",VLOOKUP($A525,'BASE M-OBRA'!$A:$D,2))</f>
        <v>GAFITERO</v>
      </c>
      <c r="C525" s="2"/>
      <c r="D525" s="108">
        <v>1</v>
      </c>
      <c r="E525" s="70">
        <f>IF($A525=0,"",VLOOKUP($A525,'BASE M-OBRA'!$A:$D,4))</f>
        <v>2.82</v>
      </c>
      <c r="F525" s="55">
        <f t="shared" si="47"/>
        <v>2.82</v>
      </c>
      <c r="G525" s="106">
        <f>+G524</f>
        <v>2</v>
      </c>
      <c r="H525" s="56">
        <f t="shared" si="48"/>
        <v>5.64</v>
      </c>
      <c r="I525" s="2"/>
    </row>
    <row r="526" spans="1:9" x14ac:dyDescent="0.25">
      <c r="B526" s="71" t="str">
        <f>IF($A526=0,"",VLOOKUP($A526,'BASE M-OBRA'!$A:$D,2))</f>
        <v/>
      </c>
      <c r="C526" s="2"/>
      <c r="D526" s="108"/>
      <c r="E526" s="70" t="str">
        <f>IF($A526=0,"",VLOOKUP($A526,'BASE M-OBRA'!$A:$D,4))</f>
        <v/>
      </c>
      <c r="F526" s="55" t="str">
        <f t="shared" si="47"/>
        <v/>
      </c>
      <c r="G526" s="106"/>
      <c r="H526" s="56" t="str">
        <f t="shared" si="48"/>
        <v/>
      </c>
      <c r="I526" s="2"/>
    </row>
    <row r="527" spans="1:9" x14ac:dyDescent="0.25">
      <c r="B527" s="72" t="str">
        <f>IF($A527=0,"",VLOOKUP($A527,'BASE M-OBRA'!$A:$D,2))</f>
        <v/>
      </c>
      <c r="C527" s="2"/>
      <c r="D527" s="108"/>
      <c r="E527" s="70" t="str">
        <f>IF($A527=0,"",VLOOKUP($A527,'BASE M-OBRA'!$A:$D,4))</f>
        <v/>
      </c>
      <c r="F527" s="55" t="str">
        <f t="shared" si="47"/>
        <v/>
      </c>
      <c r="G527" s="106"/>
      <c r="H527" s="56" t="str">
        <f t="shared" si="48"/>
        <v/>
      </c>
      <c r="I527" s="2"/>
    </row>
    <row r="528" spans="1:9" x14ac:dyDescent="0.25">
      <c r="B528" s="38" t="str">
        <f>IF($A528=0,"",VLOOKUP($A528,'BASE M-OBRA'!$A:$D,2))</f>
        <v/>
      </c>
      <c r="C528" s="2"/>
      <c r="D528" s="55"/>
      <c r="E528" s="55" t="str">
        <f>IF($A528=0,"",VLOOKUP($A528,'BASE M-OBRA'!$A:$D,4))</f>
        <v/>
      </c>
      <c r="F528" s="55" t="str">
        <f t="shared" si="47"/>
        <v/>
      </c>
      <c r="G528" s="106"/>
      <c r="H528" s="56" t="str">
        <f t="shared" si="48"/>
        <v/>
      </c>
      <c r="I528" s="2"/>
    </row>
    <row r="529" spans="1:16" x14ac:dyDescent="0.25">
      <c r="B529" s="57" t="str">
        <f>IF($A529=0,"",VLOOKUP($A529,'BASE M-OBRA'!$A:$D,2))</f>
        <v/>
      </c>
      <c r="C529" s="58"/>
      <c r="D529" s="59"/>
      <c r="E529" s="59" t="str">
        <f>IF($A529=0,"",VLOOKUP($A529,'BASE M-OBRA'!$A:$D,4))</f>
        <v/>
      </c>
      <c r="F529" s="59" t="str">
        <f t="shared" si="47"/>
        <v/>
      </c>
      <c r="G529" s="107"/>
      <c r="H529" s="60" t="str">
        <f t="shared" si="48"/>
        <v/>
      </c>
      <c r="I529" s="2"/>
    </row>
    <row r="530" spans="1:16" x14ac:dyDescent="0.25">
      <c r="B530" s="73" t="s">
        <v>1685</v>
      </c>
      <c r="C530" s="65"/>
      <c r="D530" s="74"/>
      <c r="E530" s="74"/>
      <c r="F530" s="74"/>
      <c r="G530" s="74"/>
      <c r="H530" s="75">
        <f>ROUND(SUM(H522:H529),2)</f>
        <v>11.22</v>
      </c>
      <c r="I530" s="2"/>
      <c r="J530" s="1">
        <f>5*22+4*12</f>
        <v>158</v>
      </c>
    </row>
    <row r="531" spans="1:16" x14ac:dyDescent="0.25">
      <c r="B531" s="38" t="s">
        <v>1684</v>
      </c>
      <c r="C531" s="2"/>
      <c r="D531" s="3"/>
      <c r="E531" s="3"/>
      <c r="F531" s="3"/>
      <c r="G531" s="3"/>
      <c r="H531" s="56"/>
      <c r="I531" s="2"/>
    </row>
    <row r="532" spans="1:16" ht="25.5" x14ac:dyDescent="0.25">
      <c r="B532" s="64" t="s">
        <v>1409</v>
      </c>
      <c r="C532" s="65"/>
      <c r="D532" s="76"/>
      <c r="E532" s="66" t="s">
        <v>1408</v>
      </c>
      <c r="F532" s="66" t="s">
        <v>1679</v>
      </c>
      <c r="G532" s="66" t="s">
        <v>1683</v>
      </c>
      <c r="H532" s="68" t="s">
        <v>1675</v>
      </c>
      <c r="I532" s="2"/>
    </row>
    <row r="533" spans="1:16" x14ac:dyDescent="0.25">
      <c r="A533" s="103">
        <v>1</v>
      </c>
      <c r="B533" s="38" t="s">
        <v>87</v>
      </c>
      <c r="C533" s="2"/>
      <c r="D533" s="77"/>
      <c r="E533" s="78" t="s">
        <v>1506</v>
      </c>
      <c r="F533" s="55">
        <v>1</v>
      </c>
      <c r="G533" s="55">
        <f>53*1.12</f>
        <v>59.360000000000007</v>
      </c>
      <c r="H533" s="56">
        <f t="shared" ref="H533:H547" si="49">IF($A533=0,"",ROUND(F533*G533,2))</f>
        <v>59.36</v>
      </c>
      <c r="I533" s="2"/>
      <c r="J533" s="1">
        <f>11.13/1.12</f>
        <v>9.9375</v>
      </c>
      <c r="L533" s="2"/>
      <c r="M533" s="2"/>
      <c r="N533" s="39"/>
      <c r="O533" s="2"/>
      <c r="P533" s="2"/>
    </row>
    <row r="534" spans="1:16" x14ac:dyDescent="0.25">
      <c r="B534" s="38"/>
      <c r="C534" s="2"/>
      <c r="D534" s="77"/>
      <c r="E534" s="78"/>
      <c r="F534" s="55"/>
      <c r="G534" s="55"/>
      <c r="H534" s="56" t="str">
        <f t="shared" si="49"/>
        <v/>
      </c>
      <c r="I534" s="2"/>
      <c r="J534" s="1">
        <f>3.36/1.12</f>
        <v>2.9999999999999996</v>
      </c>
      <c r="L534" s="2"/>
      <c r="M534" s="2"/>
      <c r="N534" s="39"/>
      <c r="O534" s="2"/>
      <c r="P534" s="2"/>
    </row>
    <row r="535" spans="1:16" x14ac:dyDescent="0.25">
      <c r="B535" s="38"/>
      <c r="C535" s="2"/>
      <c r="D535" s="77"/>
      <c r="E535" s="78"/>
      <c r="F535" s="55"/>
      <c r="G535" s="55"/>
      <c r="H535" s="56" t="str">
        <f t="shared" si="49"/>
        <v/>
      </c>
      <c r="I535" s="2"/>
      <c r="L535" s="2"/>
      <c r="M535" s="2"/>
      <c r="N535" s="39"/>
      <c r="O535" s="2"/>
      <c r="P535" s="2"/>
    </row>
    <row r="536" spans="1:16" x14ac:dyDescent="0.25">
      <c r="B536" s="38"/>
      <c r="C536" s="2"/>
      <c r="D536" s="77"/>
      <c r="E536" s="78"/>
      <c r="F536" s="55"/>
      <c r="G536" s="55"/>
      <c r="H536" s="56" t="str">
        <f t="shared" si="49"/>
        <v/>
      </c>
      <c r="I536" s="2"/>
      <c r="L536" s="2"/>
      <c r="M536" s="2"/>
      <c r="N536" s="39"/>
      <c r="O536" s="2"/>
      <c r="P536" s="2"/>
    </row>
    <row r="537" spans="1:16" x14ac:dyDescent="0.25">
      <c r="B537" s="38"/>
      <c r="C537" s="2"/>
      <c r="D537" s="77"/>
      <c r="E537" s="78"/>
      <c r="F537" s="55"/>
      <c r="G537" s="55"/>
      <c r="H537" s="56" t="str">
        <f t="shared" si="49"/>
        <v/>
      </c>
      <c r="I537" s="2"/>
      <c r="L537" s="2"/>
      <c r="M537" s="2"/>
      <c r="N537" s="39"/>
      <c r="O537" s="2"/>
      <c r="P537" s="2"/>
    </row>
    <row r="538" spans="1:16" x14ac:dyDescent="0.25">
      <c r="B538" s="38"/>
      <c r="C538" s="2"/>
      <c r="D538" s="77"/>
      <c r="E538" s="78"/>
      <c r="F538" s="55"/>
      <c r="G538" s="55"/>
      <c r="H538" s="56" t="str">
        <f t="shared" si="49"/>
        <v/>
      </c>
      <c r="I538" s="2"/>
      <c r="L538" s="2"/>
      <c r="M538" s="2"/>
      <c r="N538" s="39"/>
      <c r="O538" s="2"/>
      <c r="P538" s="2"/>
    </row>
    <row r="539" spans="1:16" x14ac:dyDescent="0.25">
      <c r="B539" s="38"/>
      <c r="C539" s="2"/>
      <c r="D539" s="77"/>
      <c r="E539" s="78"/>
      <c r="F539" s="55"/>
      <c r="G539" s="55"/>
      <c r="H539" s="56" t="str">
        <f t="shared" si="49"/>
        <v/>
      </c>
      <c r="I539" s="2"/>
      <c r="L539" s="2"/>
      <c r="M539" s="2"/>
      <c r="N539" s="39"/>
      <c r="O539" s="2"/>
      <c r="P539" s="2"/>
    </row>
    <row r="540" spans="1:16" x14ac:dyDescent="0.25">
      <c r="B540" s="38"/>
      <c r="C540" s="2"/>
      <c r="D540" s="77"/>
      <c r="E540" s="78"/>
      <c r="F540" s="55"/>
      <c r="G540" s="55"/>
      <c r="H540" s="56" t="str">
        <f t="shared" si="49"/>
        <v/>
      </c>
      <c r="I540" s="2"/>
      <c r="L540" s="2"/>
      <c r="M540" s="2"/>
      <c r="N540" s="39"/>
      <c r="O540" s="2"/>
      <c r="P540" s="2"/>
    </row>
    <row r="541" spans="1:16" x14ac:dyDescent="0.25">
      <c r="B541" s="38"/>
      <c r="C541" s="2"/>
      <c r="D541" s="77"/>
      <c r="E541" s="78"/>
      <c r="F541" s="55"/>
      <c r="G541" s="55"/>
      <c r="H541" s="56" t="str">
        <f t="shared" si="49"/>
        <v/>
      </c>
      <c r="I541" s="2"/>
    </row>
    <row r="542" spans="1:16" x14ac:dyDescent="0.25">
      <c r="B542" s="38" t="str">
        <f>IF($A542=0,"",VLOOKUP($A542,'BASE MATERIAL'!$A:$D,2))</f>
        <v/>
      </c>
      <c r="C542" s="2"/>
      <c r="D542" s="77"/>
      <c r="E542" s="78" t="str">
        <f>IF($A542=0,"",VLOOKUP($A542,'BASE MATERIAL'!$A:$D,3))</f>
        <v/>
      </c>
      <c r="F542" s="55"/>
      <c r="G542" s="55" t="str">
        <f>IF($A542=0,"",VLOOKUP($A542,'BASE MATERIAL'!$A:$D,4))</f>
        <v/>
      </c>
      <c r="H542" s="56" t="str">
        <f t="shared" si="49"/>
        <v/>
      </c>
      <c r="I542" s="2"/>
      <c r="L542" s="2"/>
      <c r="M542" s="2"/>
      <c r="N542" s="39"/>
      <c r="O542" s="2"/>
      <c r="P542" s="2"/>
    </row>
    <row r="543" spans="1:16" x14ac:dyDescent="0.25">
      <c r="B543" s="38" t="str">
        <f>IF($A543=0,"",VLOOKUP($A543,'BASE MATERIAL'!$A:$D,2))</f>
        <v/>
      </c>
      <c r="C543" s="2"/>
      <c r="D543" s="77"/>
      <c r="E543" s="78" t="str">
        <f>IF($A543=0,"",VLOOKUP($A543,'BASE MATERIAL'!$A:$D,3))</f>
        <v/>
      </c>
      <c r="F543" s="55"/>
      <c r="G543" s="55" t="str">
        <f>IF($A543=0,"",VLOOKUP($A543,'BASE MATERIAL'!$A:$D,4))</f>
        <v/>
      </c>
      <c r="H543" s="56" t="str">
        <f t="shared" si="49"/>
        <v/>
      </c>
      <c r="I543" s="2"/>
      <c r="L543" s="2"/>
      <c r="M543" s="2"/>
      <c r="N543" s="39"/>
      <c r="O543" s="2"/>
      <c r="P543" s="2"/>
    </row>
    <row r="544" spans="1:16" x14ac:dyDescent="0.25">
      <c r="B544" s="38" t="str">
        <f>IF($A544=0,"",VLOOKUP($A544,'BASE MATERIAL'!$A:$D,2))</f>
        <v/>
      </c>
      <c r="C544" s="2"/>
      <c r="D544" s="77"/>
      <c r="E544" s="78" t="str">
        <f>IF($A544=0,"",VLOOKUP($A544,'BASE MATERIAL'!$A:$D,3))</f>
        <v/>
      </c>
      <c r="F544" s="55"/>
      <c r="G544" s="55" t="str">
        <f>IF($A544=0,"",VLOOKUP($A544,'BASE MATERIAL'!$A:$D,4))</f>
        <v/>
      </c>
      <c r="H544" s="56" t="str">
        <f t="shared" si="49"/>
        <v/>
      </c>
      <c r="I544" s="2"/>
    </row>
    <row r="545" spans="1:9" x14ac:dyDescent="0.25">
      <c r="B545" s="38" t="str">
        <f>IF($A545=0,"",VLOOKUP($A545,'BASE MATERIAL'!$A:$D,2))</f>
        <v/>
      </c>
      <c r="C545" s="2"/>
      <c r="D545" s="77"/>
      <c r="E545" s="78" t="str">
        <f>IF($A545=0,"",VLOOKUP($A545,'BASE MATERIAL'!$A:$D,3))</f>
        <v/>
      </c>
      <c r="F545" s="55"/>
      <c r="G545" s="55" t="str">
        <f>IF($A545=0,"",VLOOKUP($A545,'BASE MATERIAL'!$A:$D,4))</f>
        <v/>
      </c>
      <c r="H545" s="56" t="str">
        <f t="shared" si="49"/>
        <v/>
      </c>
      <c r="I545" s="2"/>
    </row>
    <row r="546" spans="1:9" x14ac:dyDescent="0.25">
      <c r="B546" s="38" t="str">
        <f>IF($A546=0,"",VLOOKUP($A546,'BASE MATERIAL'!$A:$D,2))</f>
        <v/>
      </c>
      <c r="C546" s="2"/>
      <c r="D546" s="77"/>
      <c r="E546" s="78" t="str">
        <f>IF($A546=0,"",VLOOKUP($A546,'BASE MATERIAL'!$A:$D,3))</f>
        <v/>
      </c>
      <c r="F546" s="55"/>
      <c r="G546" s="55" t="str">
        <f>IF($A546=0,"",VLOOKUP($A546,'BASE MATERIAL'!$A:$D,4))</f>
        <v/>
      </c>
      <c r="H546" s="56" t="str">
        <f t="shared" si="49"/>
        <v/>
      </c>
      <c r="I546" s="2"/>
    </row>
    <row r="547" spans="1:9" x14ac:dyDescent="0.25">
      <c r="B547" s="38" t="str">
        <f>IF($A547=0,"",VLOOKUP($A547,'BASE MATERIAL'!$A:$D,2))</f>
        <v/>
      </c>
      <c r="C547" s="2"/>
      <c r="D547" s="77"/>
      <c r="E547" s="78" t="str">
        <f>IF($A547=0,"",VLOOKUP($A547,'BASE MATERIAL'!$A:$D,3))</f>
        <v/>
      </c>
      <c r="F547" s="55"/>
      <c r="G547" s="55" t="str">
        <f>IF($A547=0,"",VLOOKUP($A547,'BASE MATERIAL'!$A:$D,4))</f>
        <v/>
      </c>
      <c r="H547" s="56" t="str">
        <f t="shared" si="49"/>
        <v/>
      </c>
      <c r="I547" s="2"/>
    </row>
    <row r="548" spans="1:9" x14ac:dyDescent="0.25">
      <c r="B548" s="38" t="str">
        <f>IF($A548=0,"",VLOOKUP($A548,'BASE MATERIAL'!$A:$D,2))</f>
        <v/>
      </c>
      <c r="C548" s="2"/>
      <c r="D548" s="81" t="s">
        <v>1682</v>
      </c>
      <c r="E548" s="55" t="str">
        <f>IF($A548=0,"",VLOOKUP($A548,'BASE MATERIAL'!$A:$D,3))</f>
        <v/>
      </c>
      <c r="F548" s="55" t="s">
        <v>1682</v>
      </c>
      <c r="G548" s="55" t="str">
        <f>IF($A548=0,"",VLOOKUP($A548,'BASE MATERIAL'!$A:$D,4))</f>
        <v/>
      </c>
      <c r="H548" s="56" t="str">
        <f>IF($A548=0,"",ROUND(E548*F548,2))</f>
        <v/>
      </c>
      <c r="I548" s="2"/>
    </row>
    <row r="549" spans="1:9" x14ac:dyDescent="0.25">
      <c r="B549" s="73" t="s">
        <v>1681</v>
      </c>
      <c r="C549" s="65"/>
      <c r="D549" s="74"/>
      <c r="E549" s="74"/>
      <c r="F549" s="74"/>
      <c r="G549" s="74"/>
      <c r="H549" s="75">
        <f>ROUND(SUM(H532:H548),2)</f>
        <v>59.36</v>
      </c>
      <c r="I549" s="2"/>
    </row>
    <row r="550" spans="1:9" x14ac:dyDescent="0.25">
      <c r="B550" s="38" t="s">
        <v>1680</v>
      </c>
      <c r="C550" s="2"/>
      <c r="D550" s="3"/>
      <c r="E550" s="3"/>
      <c r="F550" s="3"/>
      <c r="G550" s="3"/>
      <c r="H550" s="56"/>
      <c r="I550" s="2"/>
    </row>
    <row r="551" spans="1:9" ht="25.5" x14ac:dyDescent="0.25">
      <c r="B551" s="64" t="s">
        <v>1409</v>
      </c>
      <c r="C551" s="65"/>
      <c r="D551" s="76"/>
      <c r="E551" s="66" t="s">
        <v>1408</v>
      </c>
      <c r="F551" s="66" t="s">
        <v>1679</v>
      </c>
      <c r="G551" s="66" t="s">
        <v>1676</v>
      </c>
      <c r="H551" s="68" t="s">
        <v>1675</v>
      </c>
      <c r="I551" s="2"/>
    </row>
    <row r="552" spans="1:9" x14ac:dyDescent="0.25">
      <c r="A552" s="103">
        <v>19019</v>
      </c>
      <c r="B552" s="51" t="str">
        <f>IF($A552=0,"",VLOOKUP($A552,'BASE EQUIPO'!$A:$D,2))</f>
        <v>TRANSPORTE DE MATERIAL</v>
      </c>
      <c r="C552" s="52"/>
      <c r="D552" s="82"/>
      <c r="E552" s="78" t="str">
        <f>IF($A552=0,"",VLOOKUP($A552,'BASE EQUIPO'!$A:$D,3))</f>
        <v>GLOBAL</v>
      </c>
      <c r="F552" s="55">
        <v>1</v>
      </c>
      <c r="G552" s="83">
        <f>IF($A552=0,"",VLOOKUP($A552,'BASE EQUIPO'!$A:$D,4)*H549)</f>
        <v>1.7807999999999999</v>
      </c>
      <c r="H552" s="56">
        <f>IF($A552=0,"",ROUND(F552*G552,2))</f>
        <v>1.78</v>
      </c>
      <c r="I552" s="2"/>
    </row>
    <row r="553" spans="1:9" x14ac:dyDescent="0.25">
      <c r="B553" s="38" t="str">
        <f>IF($A553=0,"",VLOOKUP($A553,'BASE EQUIPO'!$A:$D,2))</f>
        <v/>
      </c>
      <c r="C553" s="2"/>
      <c r="D553" s="84"/>
      <c r="E553" s="78" t="str">
        <f>IF($A553=0,"",VLOOKUP($A553,'BASE EQUIPO'!$A:$D,3))</f>
        <v/>
      </c>
      <c r="F553" s="55"/>
      <c r="G553" s="55" t="str">
        <f>IF($A553=0,"",VLOOKUP($A553,'BASE EQUIPO'!$A:$D,4)*H550)</f>
        <v/>
      </c>
      <c r="H553" s="56" t="str">
        <f>IF($A553=0,"",ROUND(F553*G553,2))</f>
        <v/>
      </c>
      <c r="I553" s="2"/>
    </row>
    <row r="554" spans="1:9" x14ac:dyDescent="0.25">
      <c r="B554" s="57" t="str">
        <f>IF($A554=0,"",VLOOKUP($A554,'BASE EQUIPO'!$A:$D,2))</f>
        <v/>
      </c>
      <c r="C554" s="58"/>
      <c r="D554" s="85"/>
      <c r="E554" s="86" t="str">
        <f>IF($A554=0,"",VLOOKUP($A554,'BASE EQUIPO'!$A:$D,3))</f>
        <v/>
      </c>
      <c r="F554" s="59"/>
      <c r="G554" s="59" t="str">
        <f>IF($A554=0,"",VLOOKUP($A554,'BASE EQUIPO'!$A:$D,4)*H551)</f>
        <v/>
      </c>
      <c r="H554" s="60" t="str">
        <f>IF($A554=0,"",ROUND(F554*G554,2))</f>
        <v/>
      </c>
      <c r="I554" s="2"/>
    </row>
    <row r="555" spans="1:9" ht="15.75" thickBot="1" x14ac:dyDescent="0.3">
      <c r="B555" s="87" t="s">
        <v>1674</v>
      </c>
      <c r="C555" s="88"/>
      <c r="D555" s="89"/>
      <c r="E555" s="89"/>
      <c r="F555" s="89"/>
      <c r="G555" s="89"/>
      <c r="H555" s="90">
        <f>ROUND(SUM(H551:H554),2)</f>
        <v>1.78</v>
      </c>
      <c r="I555" s="2"/>
    </row>
    <row r="556" spans="1:9" ht="15.75" x14ac:dyDescent="0.25">
      <c r="B556" s="2"/>
      <c r="C556" s="2"/>
      <c r="D556" s="91" t="s">
        <v>1673</v>
      </c>
      <c r="E556" s="47"/>
      <c r="F556" s="47"/>
      <c r="G556" s="47"/>
      <c r="H556" s="92">
        <f>ROUND(SUM(H555,H549,H530,H520),2)</f>
        <v>72.7</v>
      </c>
      <c r="I556" s="2"/>
    </row>
    <row r="557" spans="1:9" ht="15.75" x14ac:dyDescent="0.25">
      <c r="A557" s="103">
        <v>40002</v>
      </c>
      <c r="B557" s="2"/>
      <c r="C557" s="2"/>
      <c r="D557" s="93" t="s">
        <v>1672</v>
      </c>
      <c r="E557" s="65"/>
      <c r="F557" s="65"/>
      <c r="G557" s="94">
        <f>IF($A557=0,"",VLOOKUP($A557,'BASE MATERIAL'!$M:$P,4))</f>
        <v>0</v>
      </c>
      <c r="H557" s="95">
        <f>IF($A557=0,"",ROUND(G557*H556,2))</f>
        <v>0</v>
      </c>
      <c r="I557" s="2"/>
    </row>
    <row r="558" spans="1:9" ht="15.75" x14ac:dyDescent="0.25">
      <c r="A558" s="103">
        <v>40003</v>
      </c>
      <c r="B558" s="2"/>
      <c r="C558" s="2"/>
      <c r="D558" s="93" t="s">
        <v>1671</v>
      </c>
      <c r="E558" s="65"/>
      <c r="F558" s="65"/>
      <c r="G558" s="94">
        <f>IF($A558=0,"",VLOOKUP($A558,'BASE MATERIAL'!$M:$P,4))</f>
        <v>0</v>
      </c>
      <c r="H558" s="95">
        <f>IF($A558=0,"",ROUND(G558*H556,2))</f>
        <v>0</v>
      </c>
      <c r="I558" s="2"/>
    </row>
    <row r="559" spans="1:9" ht="15.75" x14ac:dyDescent="0.25">
      <c r="B559" s="2"/>
      <c r="C559" s="2"/>
      <c r="D559" s="93" t="s">
        <v>1670</v>
      </c>
      <c r="E559" s="65"/>
      <c r="F559" s="65"/>
      <c r="G559" s="65"/>
      <c r="H559" s="96">
        <f>ROUND(SUM(H556:H558),2)</f>
        <v>72.7</v>
      </c>
      <c r="I559" s="2"/>
    </row>
    <row r="560" spans="1:9" ht="16.5" thickBot="1" x14ac:dyDescent="0.3">
      <c r="B560" s="25"/>
      <c r="C560" s="2"/>
      <c r="D560" s="97" t="s">
        <v>1650</v>
      </c>
      <c r="E560" s="88"/>
      <c r="F560" s="88"/>
      <c r="G560" s="88"/>
      <c r="H560" s="98">
        <f>ROUND(H559,2)</f>
        <v>72.7</v>
      </c>
      <c r="I560" s="2"/>
    </row>
  </sheetData>
  <phoneticPr fontId="2" type="noConversion"/>
  <pageMargins left="0.75" right="0.75" top="1" bottom="1" header="0" footer="0"/>
  <pageSetup paperSize="9" scale="80" orientation="portrait" r:id="rId1"/>
  <headerFooter alignWithMargins="0"/>
  <rowBreaks count="9" manualBreakCount="9">
    <brk id="56" min="1" max="7" man="1"/>
    <brk id="112" min="1" max="7" man="1"/>
    <brk id="168" min="1" max="7" man="1"/>
    <brk id="224" min="1" max="7" man="1"/>
    <brk id="280" min="1" max="7" man="1"/>
    <brk id="336" max="16383" man="1"/>
    <brk id="392" min="1" max="7" man="1"/>
    <brk id="448" min="1" max="7" man="1"/>
    <brk id="504" min="1" max="7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F74BD-4D5C-438D-A1E8-DFC5DC7F0887}">
  <sheetPr codeName="Hoja24"/>
  <dimension ref="A1:P392"/>
  <sheetViews>
    <sheetView workbookViewId="0"/>
  </sheetViews>
  <sheetFormatPr baseColWidth="10" defaultColWidth="11.42578125" defaultRowHeight="15" x14ac:dyDescent="0.25"/>
  <cols>
    <col min="1" max="1" width="7.28515625" style="103" bestFit="1" customWidth="1"/>
    <col min="2" max="2" width="12.140625" style="1" customWidth="1"/>
    <col min="3" max="3" width="26.28515625" style="1" customWidth="1"/>
    <col min="4" max="4" width="10.7109375" style="1" customWidth="1"/>
    <col min="5" max="5" width="12.140625" style="1" customWidth="1"/>
    <col min="6" max="6" width="13.28515625" style="1" customWidth="1"/>
    <col min="7" max="7" width="13.85546875" style="1" customWidth="1"/>
    <col min="8" max="8" width="12.42578125" style="1" customWidth="1"/>
    <col min="9" max="9" width="7.140625" style="1" customWidth="1"/>
    <col min="10" max="10" width="9.140625" style="1" customWidth="1"/>
    <col min="11" max="11" width="8.42578125" style="1" customWidth="1"/>
    <col min="12" max="12" width="5.85546875" style="1" bestFit="1" customWidth="1"/>
    <col min="13" max="13" width="33.85546875" style="1" bestFit="1" customWidth="1"/>
    <col min="14" max="14" width="6" style="1" bestFit="1" customWidth="1"/>
    <col min="15" max="28" width="8.42578125" style="1" customWidth="1"/>
    <col min="29" max="16384" width="11.42578125" style="1"/>
  </cols>
  <sheetData>
    <row r="1" spans="1:15" ht="15.75" x14ac:dyDescent="0.25">
      <c r="B1" s="34" t="s">
        <v>1701</v>
      </c>
      <c r="C1" s="2"/>
      <c r="D1" s="3" t="str">
        <f>'1.1'!$D$1</f>
        <v>ESPOL</v>
      </c>
      <c r="E1" s="2"/>
      <c r="F1" s="2"/>
      <c r="H1" s="2" t="s">
        <v>108</v>
      </c>
      <c r="I1" s="2"/>
      <c r="J1" s="1">
        <v>1.03</v>
      </c>
      <c r="L1" s="40">
        <f>A5</f>
        <v>1</v>
      </c>
      <c r="M1" s="1" t="str">
        <f>C6</f>
        <v xml:space="preserve">Split Consola Decorativa de 12,000 btuh </v>
      </c>
      <c r="N1" s="2" t="str">
        <f>H5</f>
        <v>U</v>
      </c>
      <c r="O1" s="2">
        <f>H56</f>
        <v>597.4</v>
      </c>
    </row>
    <row r="2" spans="1:15" ht="15.75" x14ac:dyDescent="0.25">
      <c r="B2" s="34" t="s">
        <v>1700</v>
      </c>
      <c r="C2" s="3">
        <f>'1.1'!$C$2</f>
        <v>0</v>
      </c>
      <c r="D2" s="2"/>
      <c r="E2" s="2"/>
      <c r="F2" s="2"/>
      <c r="G2" s="41" t="s">
        <v>1699</v>
      </c>
      <c r="H2" s="42"/>
      <c r="I2" s="2" t="s">
        <v>1698</v>
      </c>
    </row>
    <row r="3" spans="1:15" ht="15.75" x14ac:dyDescent="0.25">
      <c r="B3" s="34"/>
      <c r="C3" s="3">
        <f>'1.1'!$C$3</f>
        <v>0</v>
      </c>
      <c r="D3" s="2"/>
      <c r="E3" s="2"/>
      <c r="F3" s="2"/>
      <c r="G3" s="2"/>
      <c r="H3" s="2"/>
      <c r="I3" s="2"/>
    </row>
    <row r="4" spans="1:15" ht="15.75" x14ac:dyDescent="0.25">
      <c r="B4" s="34" t="s">
        <v>1697</v>
      </c>
      <c r="C4" s="3"/>
      <c r="D4" s="2"/>
      <c r="E4" s="2"/>
      <c r="F4" s="2"/>
      <c r="G4" s="2"/>
      <c r="H4" s="2"/>
      <c r="I4" s="2"/>
    </row>
    <row r="5" spans="1:15" x14ac:dyDescent="0.25">
      <c r="A5" s="104">
        <v>1</v>
      </c>
      <c r="B5" s="2" t="s">
        <v>1586</v>
      </c>
      <c r="C5" s="36" t="s">
        <v>1316</v>
      </c>
      <c r="D5" s="2"/>
      <c r="G5" s="2" t="s">
        <v>1696</v>
      </c>
      <c r="H5" s="3" t="s">
        <v>744</v>
      </c>
      <c r="I5" s="2"/>
    </row>
    <row r="6" spans="1:15" x14ac:dyDescent="0.25">
      <c r="B6" s="1" t="s">
        <v>1585</v>
      </c>
      <c r="C6" s="36" t="s">
        <v>193</v>
      </c>
      <c r="D6" s="2"/>
      <c r="E6" s="2"/>
      <c r="F6" s="2"/>
      <c r="G6" s="2"/>
      <c r="H6" s="2"/>
      <c r="I6" s="2"/>
    </row>
    <row r="7" spans="1:15" ht="15.75" thickBot="1" x14ac:dyDescent="0.3">
      <c r="D7" s="2"/>
      <c r="E7" s="2"/>
      <c r="F7" s="2"/>
      <c r="G7" s="2"/>
      <c r="H7" s="2"/>
      <c r="I7" s="2"/>
    </row>
    <row r="8" spans="1:15" ht="15.75" thickBot="1" x14ac:dyDescent="0.3">
      <c r="B8" s="43" t="s">
        <v>1695</v>
      </c>
      <c r="C8" s="44"/>
      <c r="D8" s="44"/>
      <c r="E8" s="44"/>
      <c r="F8" s="44"/>
      <c r="G8" s="44"/>
      <c r="H8" s="45"/>
      <c r="I8" s="2"/>
    </row>
    <row r="9" spans="1:15" ht="25.5" x14ac:dyDescent="0.25">
      <c r="B9" s="46" t="s">
        <v>1409</v>
      </c>
      <c r="C9" s="47"/>
      <c r="D9" s="48" t="s">
        <v>1690</v>
      </c>
      <c r="E9" s="48" t="s">
        <v>1694</v>
      </c>
      <c r="F9" s="48" t="s">
        <v>1693</v>
      </c>
      <c r="G9" s="49" t="s">
        <v>1687</v>
      </c>
      <c r="H9" s="50" t="s">
        <v>1686</v>
      </c>
      <c r="I9" s="2"/>
    </row>
    <row r="10" spans="1:15" x14ac:dyDescent="0.25">
      <c r="B10" s="51" t="str">
        <f>IF($A10=0,"",VLOOKUP($A10,'BASE EQUIPO'!$A:$D,2))</f>
        <v/>
      </c>
      <c r="C10" s="52"/>
      <c r="D10" s="53"/>
      <c r="E10" s="53" t="str">
        <f>IF($A10=0,"",VLOOKUP($A10,'BASE EQUIPO'!$A:$D,4)*H26)</f>
        <v/>
      </c>
      <c r="F10" s="53" t="str">
        <f t="shared" ref="F10:F15" si="0">IF($A10=0,"",ROUND(D10*E10,2))</f>
        <v/>
      </c>
      <c r="G10" s="105"/>
      <c r="H10" s="54" t="str">
        <f t="shared" ref="H10:H15" si="1">IF($A10=0,"",ROUND(G10*F10,2))</f>
        <v/>
      </c>
      <c r="I10" s="2"/>
    </row>
    <row r="11" spans="1:15" x14ac:dyDescent="0.25">
      <c r="B11" s="38" t="str">
        <f>IF($A11=0,"",VLOOKUP($A11,'BASE EQUIPO'!$A:$D,2))</f>
        <v/>
      </c>
      <c r="C11" s="2"/>
      <c r="D11" s="55"/>
      <c r="E11" s="55" t="str">
        <f>IF($A11=0,"",VLOOKUP($A11,'BASE EQUIPO'!$A:$D,4))</f>
        <v/>
      </c>
      <c r="F11" s="55" t="str">
        <f t="shared" si="0"/>
        <v/>
      </c>
      <c r="G11" s="113"/>
      <c r="H11" s="56" t="str">
        <f t="shared" si="1"/>
        <v/>
      </c>
      <c r="I11" s="2"/>
    </row>
    <row r="12" spans="1:15" x14ac:dyDescent="0.25">
      <c r="B12" s="38" t="str">
        <f>IF($A12=0,"",VLOOKUP($A12,'BASE EQUIPO'!$A:$D,2))</f>
        <v/>
      </c>
      <c r="C12" s="2"/>
      <c r="D12" s="55"/>
      <c r="E12" s="55" t="str">
        <f>IF($A12=0,"",VLOOKUP($A12,'BASE EQUIPO'!$A:$D,4))</f>
        <v/>
      </c>
      <c r="F12" s="55" t="str">
        <f t="shared" si="0"/>
        <v/>
      </c>
      <c r="G12" s="113"/>
      <c r="H12" s="56" t="str">
        <f t="shared" si="1"/>
        <v/>
      </c>
      <c r="I12" s="2"/>
    </row>
    <row r="13" spans="1:15" x14ac:dyDescent="0.25">
      <c r="B13" s="38" t="str">
        <f>IF($A13=0,"",VLOOKUP($A13,'BASE EQUIPO'!$A:$D,2))</f>
        <v/>
      </c>
      <c r="C13" s="2"/>
      <c r="D13" s="55"/>
      <c r="E13" s="55" t="str">
        <f>IF($A13=0,"",VLOOKUP($A13,'BASE EQUIPO'!$A:$D,4))</f>
        <v/>
      </c>
      <c r="F13" s="55" t="str">
        <f t="shared" si="0"/>
        <v/>
      </c>
      <c r="G13" s="113"/>
      <c r="H13" s="56" t="str">
        <f t="shared" si="1"/>
        <v/>
      </c>
      <c r="I13" s="2"/>
    </row>
    <row r="14" spans="1:15" x14ac:dyDescent="0.25">
      <c r="B14" s="38" t="str">
        <f>IF($A14=0,"",VLOOKUP($A14,'BASE EQUIPO'!$A:$D,2))</f>
        <v/>
      </c>
      <c r="C14" s="2"/>
      <c r="D14" s="55"/>
      <c r="E14" s="55" t="str">
        <f>IF($A14=0,"",VLOOKUP($A14,'BASE EQUIPO'!$A:$D,4))</f>
        <v/>
      </c>
      <c r="F14" s="55" t="str">
        <f t="shared" si="0"/>
        <v/>
      </c>
      <c r="G14" s="106"/>
      <c r="H14" s="56" t="str">
        <f t="shared" si="1"/>
        <v/>
      </c>
      <c r="I14" s="2"/>
    </row>
    <row r="15" spans="1:15" x14ac:dyDescent="0.25">
      <c r="B15" s="57" t="str">
        <f>IF($A15=0,"",VLOOKUP($A15,'BASE EQUIPO'!$A:$D,2))</f>
        <v/>
      </c>
      <c r="C15" s="58"/>
      <c r="D15" s="59"/>
      <c r="E15" s="59" t="str">
        <f>IF($A15=0,"",VLOOKUP($A15,'BASE EQUIPO'!$A:$D,4))</f>
        <v/>
      </c>
      <c r="F15" s="59" t="str">
        <f t="shared" si="0"/>
        <v/>
      </c>
      <c r="G15" s="107"/>
      <c r="H15" s="60" t="str">
        <f t="shared" si="1"/>
        <v/>
      </c>
      <c r="I15" s="2"/>
    </row>
    <row r="16" spans="1:15" x14ac:dyDescent="0.25">
      <c r="B16" s="57" t="s">
        <v>1692</v>
      </c>
      <c r="C16" s="58"/>
      <c r="D16" s="61"/>
      <c r="E16" s="61"/>
      <c r="F16" s="61"/>
      <c r="G16" s="62"/>
      <c r="H16" s="60">
        <f>ROUND(SUM(H9:H15),2)</f>
        <v>0</v>
      </c>
      <c r="I16" s="2"/>
    </row>
    <row r="17" spans="1:16" x14ac:dyDescent="0.25">
      <c r="B17" s="38" t="s">
        <v>1503</v>
      </c>
      <c r="C17" s="2"/>
      <c r="D17" s="3"/>
      <c r="E17" s="3"/>
      <c r="F17" s="3"/>
      <c r="G17" s="63"/>
      <c r="H17" s="56"/>
      <c r="I17" s="2"/>
    </row>
    <row r="18" spans="1:16" ht="25.5" x14ac:dyDescent="0.25">
      <c r="B18" s="64" t="s">
        <v>1691</v>
      </c>
      <c r="C18" s="65"/>
      <c r="D18" s="66" t="s">
        <v>1690</v>
      </c>
      <c r="E18" s="66" t="s">
        <v>1689</v>
      </c>
      <c r="F18" s="66" t="s">
        <v>1688</v>
      </c>
      <c r="G18" s="67" t="s">
        <v>1687</v>
      </c>
      <c r="H18" s="68" t="s">
        <v>1686</v>
      </c>
      <c r="I18" s="2"/>
    </row>
    <row r="19" spans="1:16" x14ac:dyDescent="0.25">
      <c r="B19" s="69" t="str">
        <f>IF($A19=0,"",VLOOKUP($A19,'BASE M-OBRA'!$A:$D,2))</f>
        <v/>
      </c>
      <c r="C19" s="2"/>
      <c r="D19" s="108"/>
      <c r="E19" s="70" t="str">
        <f>IF($A19=0,"",VLOOKUP($A19,'BASE M-OBRA'!$A:$D,4))</f>
        <v/>
      </c>
      <c r="F19" s="55" t="str">
        <f t="shared" ref="F19:F25" si="2">IF($A19=0,"",ROUND(D19*E19,2))</f>
        <v/>
      </c>
      <c r="G19" s="113"/>
      <c r="H19" s="56" t="str">
        <f>IF($A19=0,"",ROUND(SUM(H20:H25)*'BASE M-OBRA'!$D$23,2))</f>
        <v/>
      </c>
      <c r="I19" s="2"/>
    </row>
    <row r="20" spans="1:16" x14ac:dyDescent="0.25">
      <c r="B20" s="69" t="str">
        <f>IF($A20=0,"",VLOOKUP($A20,'BASE M-OBRA'!$A:$D,2))</f>
        <v/>
      </c>
      <c r="C20" s="2"/>
      <c r="D20" s="108"/>
      <c r="E20" s="70" t="str">
        <f>IF($A20=0,"",VLOOKUP($A20,'BASE M-OBRA'!$A:$D,4))</f>
        <v/>
      </c>
      <c r="F20" s="55" t="str">
        <f t="shared" si="2"/>
        <v/>
      </c>
      <c r="G20" s="113"/>
      <c r="H20" s="56" t="str">
        <f t="shared" ref="H20:H25" si="3">IF($A20=0,"",ROUND(G20*F20,2))</f>
        <v/>
      </c>
      <c r="I20" s="2"/>
    </row>
    <row r="21" spans="1:16" x14ac:dyDescent="0.25">
      <c r="B21" s="69" t="str">
        <f>IF($A21=0,"",VLOOKUP($A21,'BASE M-OBRA'!$A:$D,2))</f>
        <v/>
      </c>
      <c r="C21" s="2"/>
      <c r="D21" s="108"/>
      <c r="E21" s="70" t="str">
        <f>IF($A21=0,"",VLOOKUP($A21,'BASE M-OBRA'!$A:$D,4))</f>
        <v/>
      </c>
      <c r="F21" s="55" t="str">
        <f t="shared" si="2"/>
        <v/>
      </c>
      <c r="G21" s="106"/>
      <c r="H21" s="56" t="str">
        <f t="shared" si="3"/>
        <v/>
      </c>
      <c r="I21" s="2"/>
    </row>
    <row r="22" spans="1:16" x14ac:dyDescent="0.25">
      <c r="B22" s="71" t="str">
        <f>IF($A22=0,"",VLOOKUP($A22,'BASE M-OBRA'!$A:$D,2))</f>
        <v/>
      </c>
      <c r="C22" s="2"/>
      <c r="D22" s="108"/>
      <c r="E22" s="70" t="str">
        <f>IF($A22=0,"",VLOOKUP($A22,'BASE M-OBRA'!$A:$D,4))</f>
        <v/>
      </c>
      <c r="F22" s="55" t="str">
        <f t="shared" si="2"/>
        <v/>
      </c>
      <c r="G22" s="106"/>
      <c r="H22" s="56" t="str">
        <f t="shared" si="3"/>
        <v/>
      </c>
      <c r="I22" s="2"/>
    </row>
    <row r="23" spans="1:16" x14ac:dyDescent="0.25">
      <c r="B23" s="72" t="str">
        <f>IF($A23=0,"",VLOOKUP($A23,'BASE M-OBRA'!$A:$D,2))</f>
        <v/>
      </c>
      <c r="C23" s="2"/>
      <c r="D23" s="108"/>
      <c r="E23" s="70" t="str">
        <f>IF($A23=0,"",VLOOKUP($A23,'BASE M-OBRA'!$A:$D,4))</f>
        <v/>
      </c>
      <c r="F23" s="55" t="str">
        <f t="shared" si="2"/>
        <v/>
      </c>
      <c r="G23" s="106"/>
      <c r="H23" s="56" t="str">
        <f t="shared" si="3"/>
        <v/>
      </c>
      <c r="I23" s="2"/>
    </row>
    <row r="24" spans="1:16" x14ac:dyDescent="0.25">
      <c r="B24" s="38" t="str">
        <f>IF($A24=0,"",VLOOKUP($A24,'BASE M-OBRA'!$A:$D,2))</f>
        <v/>
      </c>
      <c r="C24" s="2"/>
      <c r="D24" s="55"/>
      <c r="E24" s="55" t="str">
        <f>IF($A24=0,"",VLOOKUP($A24,'BASE M-OBRA'!$A:$D,4))</f>
        <v/>
      </c>
      <c r="F24" s="55" t="str">
        <f t="shared" si="2"/>
        <v/>
      </c>
      <c r="G24" s="106"/>
      <c r="H24" s="56" t="str">
        <f t="shared" si="3"/>
        <v/>
      </c>
      <c r="I24" s="2"/>
    </row>
    <row r="25" spans="1:16" x14ac:dyDescent="0.25">
      <c r="B25" s="57" t="str">
        <f>IF($A25=0,"",VLOOKUP($A25,'BASE M-OBRA'!$A:$D,2))</f>
        <v/>
      </c>
      <c r="C25" s="58"/>
      <c r="D25" s="59"/>
      <c r="E25" s="59" t="str">
        <f>IF($A25=0,"",VLOOKUP($A25,'BASE M-OBRA'!$A:$D,4))</f>
        <v/>
      </c>
      <c r="F25" s="59" t="str">
        <f t="shared" si="2"/>
        <v/>
      </c>
      <c r="G25" s="107"/>
      <c r="H25" s="60" t="str">
        <f t="shared" si="3"/>
        <v/>
      </c>
      <c r="I25" s="2"/>
    </row>
    <row r="26" spans="1:16" x14ac:dyDescent="0.25">
      <c r="B26" s="73" t="s">
        <v>1685</v>
      </c>
      <c r="C26" s="65"/>
      <c r="D26" s="74"/>
      <c r="E26" s="74"/>
      <c r="F26" s="74"/>
      <c r="G26" s="74"/>
      <c r="H26" s="75">
        <f>ROUND(SUM(H18:H25),2)</f>
        <v>0</v>
      </c>
      <c r="I26" s="2"/>
    </row>
    <row r="27" spans="1:16" x14ac:dyDescent="0.25">
      <c r="B27" s="38" t="s">
        <v>1684</v>
      </c>
      <c r="C27" s="2"/>
      <c r="D27" s="3"/>
      <c r="E27" s="3"/>
      <c r="F27" s="3"/>
      <c r="G27" s="3"/>
      <c r="H27" s="56"/>
      <c r="I27" s="2"/>
    </row>
    <row r="28" spans="1:16" ht="25.5" x14ac:dyDescent="0.25">
      <c r="B28" s="64" t="s">
        <v>1409</v>
      </c>
      <c r="C28" s="65"/>
      <c r="D28" s="76"/>
      <c r="E28" s="66" t="s">
        <v>1408</v>
      </c>
      <c r="F28" s="66" t="s">
        <v>1679</v>
      </c>
      <c r="G28" s="66" t="s">
        <v>1683</v>
      </c>
      <c r="H28" s="68" t="s">
        <v>1675</v>
      </c>
      <c r="I28" s="2"/>
    </row>
    <row r="29" spans="1:16" x14ac:dyDescent="0.25">
      <c r="A29" s="103">
        <v>1</v>
      </c>
      <c r="B29" s="100" t="s">
        <v>193</v>
      </c>
      <c r="C29" s="2"/>
      <c r="D29" s="77"/>
      <c r="E29" s="78" t="s">
        <v>744</v>
      </c>
      <c r="F29" s="55">
        <v>1</v>
      </c>
      <c r="G29" s="55">
        <v>580</v>
      </c>
      <c r="H29" s="56">
        <f t="shared" ref="H29:H43" si="4">IF($A29=0,"",ROUND(F29*G29,2))</f>
        <v>580</v>
      </c>
      <c r="I29" s="2"/>
      <c r="J29" s="1">
        <v>2209</v>
      </c>
      <c r="L29" s="2"/>
      <c r="M29" s="2"/>
      <c r="N29" s="39"/>
      <c r="O29" s="2"/>
      <c r="P29" s="2"/>
    </row>
    <row r="30" spans="1:16" x14ac:dyDescent="0.25">
      <c r="B30" s="38" t="str">
        <f>IF($A30=0,"",VLOOKUP($A30,'BASE MATERIAL'!$A:$D,2))</f>
        <v/>
      </c>
      <c r="C30" s="2"/>
      <c r="D30" s="77"/>
      <c r="E30" s="78" t="str">
        <f>IF($A30=0,"",VLOOKUP($A30,'BASE MATERIAL'!$A:$D,3))</f>
        <v/>
      </c>
      <c r="F30" s="55"/>
      <c r="G30" s="55" t="str">
        <f>IF($A30=0,"",VLOOKUP($A30,'BASE MATERIAL'!$A:$D,4))</f>
        <v/>
      </c>
      <c r="H30" s="56" t="str">
        <f t="shared" si="4"/>
        <v/>
      </c>
      <c r="I30" s="2"/>
      <c r="L30" s="2"/>
      <c r="M30" s="2"/>
      <c r="N30" s="39"/>
      <c r="O30" s="2"/>
      <c r="P30" s="2"/>
    </row>
    <row r="31" spans="1:16" x14ac:dyDescent="0.25">
      <c r="B31" s="38" t="str">
        <f>IF($A31=0,"",VLOOKUP($A31,'BASE MATERIAL'!$A:$D,2))</f>
        <v/>
      </c>
      <c r="C31" s="2"/>
      <c r="D31" s="77"/>
      <c r="E31" s="78" t="str">
        <f>IF($A31=0,"",VLOOKUP($A31,'BASE MATERIAL'!$A:$D,3))</f>
        <v/>
      </c>
      <c r="F31" s="112"/>
      <c r="G31" s="55" t="str">
        <f>IF($A31=0,"",VLOOKUP($A31,'BASE MATERIAL'!$A:$D,4))</f>
        <v/>
      </c>
      <c r="H31" s="56" t="str">
        <f t="shared" si="4"/>
        <v/>
      </c>
      <c r="I31" s="2"/>
      <c r="L31" s="2"/>
      <c r="M31" s="2"/>
      <c r="N31" s="39"/>
      <c r="O31" s="2"/>
      <c r="P31" s="2"/>
    </row>
    <row r="32" spans="1:16" x14ac:dyDescent="0.25">
      <c r="B32" s="38" t="str">
        <f>IF($A32=0,"",VLOOKUP($A32,'BASE MATERIAL'!$A:$D,2))</f>
        <v/>
      </c>
      <c r="C32" s="2"/>
      <c r="D32" s="77"/>
      <c r="E32" s="78" t="str">
        <f>IF($A32=0,"",VLOOKUP($A32,'BASE MATERIAL'!$A:$D,3))</f>
        <v/>
      </c>
      <c r="F32" s="55"/>
      <c r="G32" s="55" t="str">
        <f>IF($A32=0,"",VLOOKUP($A32,'BASE MATERIAL'!$A:$D,4))</f>
        <v/>
      </c>
      <c r="H32" s="56" t="str">
        <f t="shared" si="4"/>
        <v/>
      </c>
      <c r="I32" s="2"/>
      <c r="L32" s="2"/>
      <c r="M32" s="2"/>
      <c r="N32" s="39"/>
      <c r="O32" s="2"/>
      <c r="P32" s="2"/>
    </row>
    <row r="33" spans="1:16" x14ac:dyDescent="0.25">
      <c r="B33" s="38" t="str">
        <f>IF($A33=0,"",VLOOKUP($A33,'BASE MATERIAL'!$A:$D,2))</f>
        <v/>
      </c>
      <c r="C33" s="2"/>
      <c r="D33" s="77"/>
      <c r="E33" s="78" t="str">
        <f>IF($A33=0,"",VLOOKUP($A33,'BASE MATERIAL'!$A:$D,3))</f>
        <v/>
      </c>
      <c r="F33" s="55"/>
      <c r="G33" s="55" t="str">
        <f>IF($A33=0,"",VLOOKUP($A33,'BASE MATERIAL'!$A:$D,4))</f>
        <v/>
      </c>
      <c r="H33" s="56" t="str">
        <f t="shared" si="4"/>
        <v/>
      </c>
      <c r="I33" s="2"/>
      <c r="L33" s="2"/>
      <c r="M33" s="2"/>
      <c r="N33" s="39"/>
      <c r="O33" s="2"/>
      <c r="P33" s="2"/>
    </row>
    <row r="34" spans="1:16" x14ac:dyDescent="0.25">
      <c r="B34" s="38" t="str">
        <f>IF($A34=0,"",VLOOKUP($A34,'BASE MATERIAL'!$A:$D,2))</f>
        <v/>
      </c>
      <c r="C34" s="2"/>
      <c r="D34" s="77"/>
      <c r="E34" s="78" t="str">
        <f>IF($A34=0,"",VLOOKUP($A34,'BASE MATERIAL'!$A:$D,3))</f>
        <v/>
      </c>
      <c r="F34" s="55"/>
      <c r="G34" s="55" t="str">
        <f>IF($A34=0,"",VLOOKUP($A34,'BASE MATERIAL'!$A:$D,4))</f>
        <v/>
      </c>
      <c r="H34" s="56" t="str">
        <f t="shared" si="4"/>
        <v/>
      </c>
      <c r="I34" s="2"/>
      <c r="L34" s="2"/>
      <c r="M34" s="2"/>
      <c r="N34" s="39"/>
      <c r="O34" s="2"/>
      <c r="P34" s="2"/>
    </row>
    <row r="35" spans="1:16" x14ac:dyDescent="0.25">
      <c r="B35" s="38" t="str">
        <f>IF($A35=0,"",VLOOKUP($A35,'BASE MATERIAL'!$A:$D,2))</f>
        <v/>
      </c>
      <c r="C35" s="2"/>
      <c r="D35" s="77"/>
      <c r="E35" s="78" t="str">
        <f>IF($A35=0,"",VLOOKUP($A35,'BASE MATERIAL'!$A:$D,3))</f>
        <v/>
      </c>
      <c r="F35" s="55"/>
      <c r="G35" s="55" t="str">
        <f>IF($A35=0,"",VLOOKUP($A35,'BASE MATERIAL'!$A:$D,4))</f>
        <v/>
      </c>
      <c r="H35" s="56" t="str">
        <f t="shared" si="4"/>
        <v/>
      </c>
      <c r="I35" s="2"/>
      <c r="L35" s="2"/>
      <c r="M35" s="2"/>
      <c r="N35" s="39"/>
      <c r="O35" s="2"/>
      <c r="P35" s="2"/>
    </row>
    <row r="36" spans="1:16" x14ac:dyDescent="0.25">
      <c r="B36" s="38" t="str">
        <f>IF($A36=0,"",VLOOKUP($A36,'BASE MATERIAL'!$A:$D,2))</f>
        <v/>
      </c>
      <c r="C36" s="2"/>
      <c r="D36" s="77"/>
      <c r="E36" s="78" t="str">
        <f>IF($A36=0,"",VLOOKUP($A36,'BASE MATERIAL'!$A:$D,3))</f>
        <v/>
      </c>
      <c r="F36" s="55"/>
      <c r="G36" s="55" t="str">
        <f>IF($A36=0,"",VLOOKUP($A36,'BASE MATERIAL'!$A:$D,4))</f>
        <v/>
      </c>
      <c r="H36" s="56" t="str">
        <f t="shared" si="4"/>
        <v/>
      </c>
      <c r="I36" s="2"/>
      <c r="L36" s="2"/>
      <c r="M36" s="2"/>
      <c r="N36" s="39"/>
      <c r="O36" s="2"/>
      <c r="P36" s="2"/>
    </row>
    <row r="37" spans="1:16" x14ac:dyDescent="0.25">
      <c r="B37" s="38" t="str">
        <f>IF($A37=0,"",VLOOKUP($A37,'BASE MATERIAL'!$A:$D,2))</f>
        <v/>
      </c>
      <c r="C37" s="2"/>
      <c r="D37" s="77"/>
      <c r="E37" s="78" t="str">
        <f>IF($A37=0,"",VLOOKUP($A37,'BASE MATERIAL'!$A:$D,3))</f>
        <v/>
      </c>
      <c r="F37" s="55"/>
      <c r="G37" s="55" t="str">
        <f>IF($A37=0,"",VLOOKUP($A37,'BASE MATERIAL'!$A:$D,4))</f>
        <v/>
      </c>
      <c r="H37" s="56" t="str">
        <f t="shared" si="4"/>
        <v/>
      </c>
      <c r="I37" s="2"/>
    </row>
    <row r="38" spans="1:16" x14ac:dyDescent="0.25">
      <c r="B38" s="38" t="str">
        <f>IF($A38=0,"",VLOOKUP($A38,'BASE MATERIAL'!$A:$D,2))</f>
        <v/>
      </c>
      <c r="C38" s="2"/>
      <c r="D38" s="77"/>
      <c r="E38" s="78" t="str">
        <f>IF($A38=0,"",VLOOKUP($A38,'BASE MATERIAL'!$A:$D,3))</f>
        <v/>
      </c>
      <c r="F38" s="55"/>
      <c r="G38" s="55" t="str">
        <f>IF($A38=0,"",VLOOKUP($A38,'BASE MATERIAL'!$A:$D,4))</f>
        <v/>
      </c>
      <c r="H38" s="56" t="str">
        <f t="shared" si="4"/>
        <v/>
      </c>
      <c r="I38" s="2"/>
      <c r="L38" s="2"/>
      <c r="M38" s="2"/>
      <c r="N38" s="39"/>
      <c r="O38" s="2"/>
      <c r="P38" s="2"/>
    </row>
    <row r="39" spans="1:16" x14ac:dyDescent="0.25">
      <c r="B39" s="38" t="str">
        <f>IF($A39=0,"",VLOOKUP($A39,'BASE MATERIAL'!$A:$D,2))</f>
        <v/>
      </c>
      <c r="C39" s="2"/>
      <c r="D39" s="77"/>
      <c r="E39" s="78" t="str">
        <f>IF($A39=0,"",VLOOKUP($A39,'BASE MATERIAL'!$A:$D,3))</f>
        <v/>
      </c>
      <c r="F39" s="55"/>
      <c r="G39" s="55" t="str">
        <f>IF($A39=0,"",VLOOKUP($A39,'BASE MATERIAL'!$A:$D,4))</f>
        <v/>
      </c>
      <c r="H39" s="56" t="str">
        <f t="shared" si="4"/>
        <v/>
      </c>
      <c r="I39" s="2"/>
      <c r="L39" s="2"/>
      <c r="M39" s="2"/>
      <c r="N39" s="39"/>
      <c r="O39" s="2"/>
      <c r="P39" s="2"/>
    </row>
    <row r="40" spans="1:16" x14ac:dyDescent="0.25">
      <c r="B40" s="38" t="str">
        <f>IF($A40=0,"",VLOOKUP($A40,'BASE MATERIAL'!$A:$D,2))</f>
        <v/>
      </c>
      <c r="C40" s="2"/>
      <c r="D40" s="77"/>
      <c r="E40" s="78" t="str">
        <f>IF($A40=0,"",VLOOKUP($A40,'BASE MATERIAL'!$A:$D,3))</f>
        <v/>
      </c>
      <c r="F40" s="55"/>
      <c r="G40" s="55" t="str">
        <f>IF($A40=0,"",VLOOKUP($A40,'BASE MATERIAL'!$A:$D,4))</f>
        <v/>
      </c>
      <c r="H40" s="56" t="str">
        <f t="shared" si="4"/>
        <v/>
      </c>
      <c r="I40" s="2"/>
    </row>
    <row r="41" spans="1:16" x14ac:dyDescent="0.25">
      <c r="B41" s="38" t="str">
        <f>IF($A41=0,"",VLOOKUP($A41,'BASE MATERIAL'!$A:$D,2))</f>
        <v/>
      </c>
      <c r="C41" s="2"/>
      <c r="D41" s="77"/>
      <c r="E41" s="78" t="str">
        <f>IF($A41=0,"",VLOOKUP($A41,'BASE MATERIAL'!$A:$D,3))</f>
        <v/>
      </c>
      <c r="F41" s="55"/>
      <c r="G41" s="55" t="str">
        <f>IF($A41=0,"",VLOOKUP($A41,'BASE MATERIAL'!$A:$D,4))</f>
        <v/>
      </c>
      <c r="H41" s="56" t="str">
        <f t="shared" si="4"/>
        <v/>
      </c>
      <c r="I41" s="2"/>
    </row>
    <row r="42" spans="1:16" x14ac:dyDescent="0.25">
      <c r="B42" s="38" t="str">
        <f>IF($A42=0,"",VLOOKUP($A42,'BASE MATERIAL'!$A:$D,2))</f>
        <v/>
      </c>
      <c r="C42" s="2"/>
      <c r="D42" s="77"/>
      <c r="E42" s="78" t="str">
        <f>IF($A42=0,"",VLOOKUP($A42,'BASE MATERIAL'!$A:$D,3))</f>
        <v/>
      </c>
      <c r="F42" s="55"/>
      <c r="G42" s="55" t="str">
        <f>IF($A42=0,"",VLOOKUP($A42,'BASE MATERIAL'!$A:$D,4))</f>
        <v/>
      </c>
      <c r="H42" s="56" t="str">
        <f t="shared" si="4"/>
        <v/>
      </c>
      <c r="I42" s="2"/>
    </row>
    <row r="43" spans="1:16" x14ac:dyDescent="0.25">
      <c r="B43" s="38" t="str">
        <f>IF($A43=0,"",VLOOKUP($A43,'BASE MATERIAL'!$A:$D,2))</f>
        <v/>
      </c>
      <c r="C43" s="2"/>
      <c r="D43" s="77"/>
      <c r="E43" s="78" t="str">
        <f>IF($A43=0,"",VLOOKUP($A43,'BASE MATERIAL'!$A:$D,3))</f>
        <v/>
      </c>
      <c r="F43" s="55"/>
      <c r="G43" s="55" t="str">
        <f>IF($A43=0,"",VLOOKUP($A43,'BASE MATERIAL'!$A:$D,4))</f>
        <v/>
      </c>
      <c r="H43" s="56" t="str">
        <f t="shared" si="4"/>
        <v/>
      </c>
      <c r="I43" s="2"/>
    </row>
    <row r="44" spans="1:16" x14ac:dyDescent="0.25">
      <c r="B44" s="38" t="str">
        <f>IF($A44=0,"",VLOOKUP($A44,'BASE MATERIAL'!$A:$D,2))</f>
        <v/>
      </c>
      <c r="C44" s="2"/>
      <c r="D44" s="81" t="s">
        <v>1682</v>
      </c>
      <c r="E44" s="55" t="str">
        <f>IF($A44=0,"",VLOOKUP($A44,'BASE MATERIAL'!$A:$D,3))</f>
        <v/>
      </c>
      <c r="F44" s="55" t="s">
        <v>1682</v>
      </c>
      <c r="G44" s="55" t="str">
        <f>IF($A44=0,"",VLOOKUP($A44,'BASE MATERIAL'!$A:$D,4))</f>
        <v/>
      </c>
      <c r="H44" s="56" t="str">
        <f>IF($A44=0,"",ROUND(E44*F44,2))</f>
        <v/>
      </c>
      <c r="I44" s="2"/>
    </row>
    <row r="45" spans="1:16" x14ac:dyDescent="0.25">
      <c r="B45" s="73" t="s">
        <v>1681</v>
      </c>
      <c r="C45" s="65"/>
      <c r="D45" s="74"/>
      <c r="E45" s="74"/>
      <c r="F45" s="74"/>
      <c r="G45" s="74"/>
      <c r="H45" s="75">
        <f>ROUND(SUM(H28:H44),2)</f>
        <v>580</v>
      </c>
      <c r="I45" s="2"/>
    </row>
    <row r="46" spans="1:16" x14ac:dyDescent="0.25">
      <c r="B46" s="38" t="s">
        <v>1680</v>
      </c>
      <c r="C46" s="2"/>
      <c r="D46" s="3"/>
      <c r="E46" s="3"/>
      <c r="F46" s="3"/>
      <c r="G46" s="3"/>
      <c r="H46" s="56"/>
      <c r="I46" s="2"/>
    </row>
    <row r="47" spans="1:16" ht="25.5" x14ac:dyDescent="0.25">
      <c r="B47" s="64" t="s">
        <v>1409</v>
      </c>
      <c r="C47" s="65"/>
      <c r="D47" s="76"/>
      <c r="E47" s="66" t="s">
        <v>1408</v>
      </c>
      <c r="F47" s="66" t="s">
        <v>1679</v>
      </c>
      <c r="G47" s="66" t="s">
        <v>1676</v>
      </c>
      <c r="H47" s="68" t="s">
        <v>1675</v>
      </c>
      <c r="I47" s="2"/>
    </row>
    <row r="48" spans="1:16" x14ac:dyDescent="0.25">
      <c r="A48" s="103">
        <v>19019</v>
      </c>
      <c r="B48" s="51" t="str">
        <f>IF($A48=0,"",VLOOKUP($A48,'BASE EQUIPO'!$A:$D,2))</f>
        <v>TRANSPORTE DE MATERIAL</v>
      </c>
      <c r="C48" s="52"/>
      <c r="D48" s="82"/>
      <c r="E48" s="78" t="str">
        <f>IF($A48=0,"",VLOOKUP($A48,'BASE EQUIPO'!$A:$D,3))</f>
        <v>GLOBAL</v>
      </c>
      <c r="F48" s="55">
        <v>1</v>
      </c>
      <c r="G48" s="83">
        <f>IF($A48=0,"",VLOOKUP($A48,'BASE EQUIPO'!$A:$D,4)*H45)</f>
        <v>17.399999999999999</v>
      </c>
      <c r="H48" s="56">
        <f>IF($A48=0,"",ROUND(F48*G48,2))</f>
        <v>17.399999999999999</v>
      </c>
      <c r="I48" s="2"/>
    </row>
    <row r="49" spans="1:15" x14ac:dyDescent="0.25">
      <c r="B49" s="38" t="str">
        <f>IF($A49=0,"",VLOOKUP($A49,'BASE EQUIPO'!$A:$D,2))</f>
        <v/>
      </c>
      <c r="C49" s="2"/>
      <c r="D49" s="84"/>
      <c r="E49" s="78" t="str">
        <f>IF($A49=0,"",VLOOKUP($A49,'BASE EQUIPO'!$A:$D,3))</f>
        <v/>
      </c>
      <c r="F49" s="55"/>
      <c r="G49" s="55" t="str">
        <f>IF($A49=0,"",VLOOKUP($A49,'BASE EQUIPO'!$A:$D,4)*H46)</f>
        <v/>
      </c>
      <c r="H49" s="56" t="str">
        <f>IF($A49=0,"",ROUND(F49*G49,2))</f>
        <v/>
      </c>
      <c r="I49" s="2"/>
    </row>
    <row r="50" spans="1:15" x14ac:dyDescent="0.25">
      <c r="B50" s="57" t="str">
        <f>IF($A50=0,"",VLOOKUP($A50,'BASE EQUIPO'!$A:$D,2))</f>
        <v/>
      </c>
      <c r="C50" s="58"/>
      <c r="D50" s="85"/>
      <c r="E50" s="86" t="str">
        <f>IF($A50=0,"",VLOOKUP($A50,'BASE EQUIPO'!$A:$D,3))</f>
        <v/>
      </c>
      <c r="F50" s="59"/>
      <c r="G50" s="59" t="str">
        <f>IF($A50=0,"",VLOOKUP($A50,'BASE EQUIPO'!$A:$D,4)*H47)</f>
        <v/>
      </c>
      <c r="H50" s="60" t="str">
        <f>IF($A50=0,"",ROUND(F50*G50,2))</f>
        <v/>
      </c>
      <c r="I50" s="2"/>
    </row>
    <row r="51" spans="1:15" ht="15.75" thickBot="1" x14ac:dyDescent="0.3">
      <c r="B51" s="87" t="s">
        <v>1674</v>
      </c>
      <c r="C51" s="88"/>
      <c r="D51" s="89"/>
      <c r="E51" s="89"/>
      <c r="F51" s="89"/>
      <c r="G51" s="89"/>
      <c r="H51" s="90">
        <f>ROUND(SUM(H47:H50),2)</f>
        <v>17.399999999999999</v>
      </c>
      <c r="I51" s="2"/>
    </row>
    <row r="52" spans="1:15" ht="15.75" x14ac:dyDescent="0.25">
      <c r="B52" s="2"/>
      <c r="C52" s="2"/>
      <c r="D52" s="91" t="s">
        <v>1673</v>
      </c>
      <c r="E52" s="47"/>
      <c r="F52" s="47"/>
      <c r="G52" s="47"/>
      <c r="H52" s="92">
        <f>ROUND(SUM(H51,H45,H26,H16),2)</f>
        <v>597.4</v>
      </c>
      <c r="I52" s="2"/>
    </row>
    <row r="53" spans="1:15" ht="15.75" x14ac:dyDescent="0.25">
      <c r="A53" s="103">
        <v>40002</v>
      </c>
      <c r="B53" s="2"/>
      <c r="C53" s="2"/>
      <c r="D53" s="93" t="s">
        <v>1672</v>
      </c>
      <c r="E53" s="65"/>
      <c r="F53" s="65"/>
      <c r="G53" s="94">
        <f>IF($A53=0,"",VLOOKUP($A53,'BASE MATERIAL'!$M:$P,4))</f>
        <v>0</v>
      </c>
      <c r="H53" s="95">
        <f>IF($A53=0,"",ROUND(G53*H52,2))</f>
        <v>0</v>
      </c>
      <c r="I53" s="2"/>
    </row>
    <row r="54" spans="1:15" ht="15.75" x14ac:dyDescent="0.25">
      <c r="A54" s="103">
        <v>40003</v>
      </c>
      <c r="B54" s="2"/>
      <c r="C54" s="2"/>
      <c r="D54" s="93" t="s">
        <v>1671</v>
      </c>
      <c r="E54" s="65"/>
      <c r="F54" s="65"/>
      <c r="G54" s="94">
        <f>IF($A54=0,"",VLOOKUP($A54,'BASE MATERIAL'!$M:$P,4))</f>
        <v>0</v>
      </c>
      <c r="H54" s="95">
        <f>IF($A54=0,"",ROUND(G54*H52,2))</f>
        <v>0</v>
      </c>
      <c r="I54" s="2"/>
    </row>
    <row r="55" spans="1:15" ht="15.75" x14ac:dyDescent="0.25">
      <c r="B55" s="2"/>
      <c r="C55" s="2"/>
      <c r="D55" s="93" t="s">
        <v>1670</v>
      </c>
      <c r="E55" s="65"/>
      <c r="F55" s="65"/>
      <c r="G55" s="65"/>
      <c r="H55" s="96">
        <f>ROUND(SUM(H52:H54),2)</f>
        <v>597.4</v>
      </c>
      <c r="I55" s="2"/>
    </row>
    <row r="56" spans="1:15" ht="16.5" thickBot="1" x14ac:dyDescent="0.3">
      <c r="B56" s="25"/>
      <c r="C56" s="2"/>
      <c r="D56" s="97" t="s">
        <v>1650</v>
      </c>
      <c r="E56" s="88"/>
      <c r="F56" s="88"/>
      <c r="G56" s="88"/>
      <c r="H56" s="98">
        <f>ROUND(H55,2)</f>
        <v>597.4</v>
      </c>
      <c r="I56" s="2">
        <v>450</v>
      </c>
      <c r="J56" s="2">
        <f>+I56-H56</f>
        <v>-147.39999999999998</v>
      </c>
    </row>
    <row r="57" spans="1:15" ht="15.75" x14ac:dyDescent="0.25">
      <c r="B57" s="34" t="s">
        <v>1701</v>
      </c>
      <c r="C57" s="2"/>
      <c r="D57" s="3" t="str">
        <f>$D$1</f>
        <v>ESPOL</v>
      </c>
      <c r="E57" s="2"/>
      <c r="F57" s="2"/>
      <c r="H57" s="2" t="s">
        <v>108</v>
      </c>
      <c r="I57" s="2"/>
      <c r="L57" s="40">
        <f>A61</f>
        <v>2</v>
      </c>
      <c r="M57" s="1" t="str">
        <f>C62</f>
        <v xml:space="preserve">Split ducto de 180,000 btuh </v>
      </c>
      <c r="N57" s="2" t="str">
        <f>H61</f>
        <v>U</v>
      </c>
      <c r="O57" s="2">
        <f>H112</f>
        <v>11845</v>
      </c>
    </row>
    <row r="58" spans="1:15" ht="15.75" x14ac:dyDescent="0.25">
      <c r="B58" s="34" t="s">
        <v>1700</v>
      </c>
      <c r="C58" s="3">
        <f>'1.1'!$C$2</f>
        <v>0</v>
      </c>
      <c r="D58" s="2"/>
      <c r="E58" s="2"/>
      <c r="F58" s="2"/>
      <c r="G58" s="41" t="s">
        <v>1699</v>
      </c>
      <c r="H58" s="42"/>
      <c r="I58" s="2" t="s">
        <v>1698</v>
      </c>
    </row>
    <row r="59" spans="1:15" ht="15.75" x14ac:dyDescent="0.25">
      <c r="B59" s="34"/>
      <c r="C59" s="3">
        <f>'1.1'!$C$3</f>
        <v>0</v>
      </c>
      <c r="D59" s="2"/>
      <c r="E59" s="2"/>
      <c r="F59" s="2"/>
      <c r="G59" s="2"/>
      <c r="H59" s="2"/>
      <c r="I59" s="2"/>
    </row>
    <row r="60" spans="1:15" ht="15.75" x14ac:dyDescent="0.25">
      <c r="B60" s="34" t="s">
        <v>1697</v>
      </c>
      <c r="C60" s="3"/>
      <c r="D60" s="2"/>
      <c r="E60" s="2"/>
      <c r="F60" s="2"/>
      <c r="G60" s="2"/>
      <c r="H60" s="2"/>
      <c r="I60" s="2"/>
    </row>
    <row r="61" spans="1:15" x14ac:dyDescent="0.25">
      <c r="A61" s="104">
        <v>2</v>
      </c>
      <c r="B61" s="2" t="s">
        <v>1586</v>
      </c>
      <c r="C61" s="101" t="s">
        <v>1317</v>
      </c>
      <c r="D61" s="2"/>
      <c r="G61" s="2" t="s">
        <v>1696</v>
      </c>
      <c r="H61" s="3" t="s">
        <v>744</v>
      </c>
      <c r="I61" s="2"/>
    </row>
    <row r="62" spans="1:15" x14ac:dyDescent="0.25">
      <c r="B62" s="1" t="s">
        <v>1585</v>
      </c>
      <c r="C62" s="36" t="s">
        <v>194</v>
      </c>
      <c r="D62" s="2"/>
      <c r="E62" s="2"/>
      <c r="F62" s="2"/>
      <c r="G62" s="2"/>
      <c r="H62" s="2"/>
      <c r="I62" s="2"/>
    </row>
    <row r="63" spans="1:15" ht="15.75" thickBot="1" x14ac:dyDescent="0.3">
      <c r="D63" s="2"/>
      <c r="E63" s="2"/>
      <c r="F63" s="2"/>
      <c r="G63" s="2"/>
      <c r="H63" s="2"/>
      <c r="I63" s="2"/>
    </row>
    <row r="64" spans="1:15" ht="15.75" thickBot="1" x14ac:dyDescent="0.3">
      <c r="B64" s="43" t="s">
        <v>1695</v>
      </c>
      <c r="C64" s="44"/>
      <c r="D64" s="44"/>
      <c r="E64" s="44"/>
      <c r="F64" s="44"/>
      <c r="G64" s="44"/>
      <c r="H64" s="45"/>
      <c r="I64" s="2"/>
    </row>
    <row r="65" spans="1:9" ht="25.5" x14ac:dyDescent="0.25">
      <c r="B65" s="46" t="s">
        <v>1409</v>
      </c>
      <c r="C65" s="47"/>
      <c r="D65" s="48" t="s">
        <v>1690</v>
      </c>
      <c r="E65" s="48" t="s">
        <v>1694</v>
      </c>
      <c r="F65" s="48" t="s">
        <v>1693</v>
      </c>
      <c r="G65" s="49" t="s">
        <v>1687</v>
      </c>
      <c r="H65" s="50" t="s">
        <v>1686</v>
      </c>
      <c r="I65" s="2"/>
    </row>
    <row r="66" spans="1:9" x14ac:dyDescent="0.25">
      <c r="A66" s="103">
        <v>19015</v>
      </c>
      <c r="B66" s="51" t="str">
        <f>IF($A66=0,"",VLOOKUP($A66,'BASE EQUIPO'!$A:$D,2))</f>
        <v>HERRAMIENTA MENOR</v>
      </c>
      <c r="C66" s="52"/>
      <c r="D66" s="53">
        <v>1</v>
      </c>
      <c r="E66" s="53">
        <f>IF($A66=0,"",VLOOKUP($A66,'BASE EQUIPO'!$A:$D,4)*H82)</f>
        <v>0</v>
      </c>
      <c r="F66" s="53">
        <f t="shared" ref="F66:F71" si="5">IF($A66=0,"",ROUND(D66*E66,2))</f>
        <v>0</v>
      </c>
      <c r="G66" s="105">
        <v>1</v>
      </c>
      <c r="H66" s="54">
        <f t="shared" ref="H66:H71" si="6">IF($A66=0,"",ROUND(G66*F66,2))</f>
        <v>0</v>
      </c>
      <c r="I66" s="2"/>
    </row>
    <row r="67" spans="1:9" x14ac:dyDescent="0.25">
      <c r="B67" s="38" t="str">
        <f>IF($A67=0,"",VLOOKUP($A67,'BASE EQUIPO'!$A:$D,2))</f>
        <v/>
      </c>
      <c r="C67" s="2"/>
      <c r="D67" s="55"/>
      <c r="E67" s="55" t="str">
        <f>IF($A67=0,"",VLOOKUP($A67,'BASE EQUIPO'!$A:$D,4))</f>
        <v/>
      </c>
      <c r="F67" s="55" t="str">
        <f t="shared" si="5"/>
        <v/>
      </c>
      <c r="G67" s="106"/>
      <c r="H67" s="56" t="str">
        <f t="shared" si="6"/>
        <v/>
      </c>
      <c r="I67" s="2"/>
    </row>
    <row r="68" spans="1:9" x14ac:dyDescent="0.25">
      <c r="B68" s="38" t="str">
        <f>IF($A68=0,"",VLOOKUP($A68,'BASE EQUIPO'!$A:$D,2))</f>
        <v/>
      </c>
      <c r="C68" s="2"/>
      <c r="D68" s="55"/>
      <c r="E68" s="55" t="str">
        <f>IF($A68=0,"",VLOOKUP($A68,'BASE EQUIPO'!$A:$D,4))</f>
        <v/>
      </c>
      <c r="F68" s="55" t="str">
        <f t="shared" si="5"/>
        <v/>
      </c>
      <c r="G68" s="106"/>
      <c r="H68" s="56" t="str">
        <f t="shared" si="6"/>
        <v/>
      </c>
      <c r="I68" s="2"/>
    </row>
    <row r="69" spans="1:9" x14ac:dyDescent="0.25">
      <c r="B69" s="38" t="str">
        <f>IF($A69=0,"",VLOOKUP($A69,'BASE EQUIPO'!$A:$D,2))</f>
        <v/>
      </c>
      <c r="C69" s="2"/>
      <c r="D69" s="55"/>
      <c r="E69" s="55" t="str">
        <f>IF($A69=0,"",VLOOKUP($A69,'BASE EQUIPO'!$A:$D,4))</f>
        <v/>
      </c>
      <c r="F69" s="55" t="str">
        <f t="shared" si="5"/>
        <v/>
      </c>
      <c r="G69" s="106"/>
      <c r="H69" s="56" t="str">
        <f t="shared" si="6"/>
        <v/>
      </c>
      <c r="I69" s="2"/>
    </row>
    <row r="70" spans="1:9" x14ac:dyDescent="0.25">
      <c r="B70" s="38" t="str">
        <f>IF($A70=0,"",VLOOKUP($A70,'BASE EQUIPO'!$A:$D,2))</f>
        <v/>
      </c>
      <c r="C70" s="2"/>
      <c r="D70" s="55"/>
      <c r="E70" s="55" t="str">
        <f>IF($A70=0,"",VLOOKUP($A70,'BASE EQUIPO'!$A:$D,4))</f>
        <v/>
      </c>
      <c r="F70" s="55" t="str">
        <f t="shared" si="5"/>
        <v/>
      </c>
      <c r="G70" s="106"/>
      <c r="H70" s="56" t="str">
        <f t="shared" si="6"/>
        <v/>
      </c>
      <c r="I70" s="2"/>
    </row>
    <row r="71" spans="1:9" x14ac:dyDescent="0.25">
      <c r="B71" s="57" t="str">
        <f>IF($A71=0,"",VLOOKUP($A71,'BASE EQUIPO'!$A:$D,2))</f>
        <v/>
      </c>
      <c r="C71" s="58"/>
      <c r="D71" s="59"/>
      <c r="E71" s="59" t="str">
        <f>IF($A71=0,"",VLOOKUP($A71,'BASE EQUIPO'!$A:$D,4))</f>
        <v/>
      </c>
      <c r="F71" s="59" t="str">
        <f t="shared" si="5"/>
        <v/>
      </c>
      <c r="G71" s="107"/>
      <c r="H71" s="60" t="str">
        <f t="shared" si="6"/>
        <v/>
      </c>
      <c r="I71" s="2"/>
    </row>
    <row r="72" spans="1:9" x14ac:dyDescent="0.25">
      <c r="B72" s="57" t="s">
        <v>1692</v>
      </c>
      <c r="C72" s="58"/>
      <c r="D72" s="61"/>
      <c r="E72" s="61"/>
      <c r="F72" s="61"/>
      <c r="G72" s="62"/>
      <c r="H72" s="60">
        <f>ROUND(SUM(H65:H71),2)</f>
        <v>0</v>
      </c>
      <c r="I72" s="2"/>
    </row>
    <row r="73" spans="1:9" x14ac:dyDescent="0.25">
      <c r="B73" s="38" t="s">
        <v>1503</v>
      </c>
      <c r="C73" s="2"/>
      <c r="D73" s="3"/>
      <c r="E73" s="3"/>
      <c r="F73" s="3"/>
      <c r="G73" s="63"/>
      <c r="H73" s="56"/>
      <c r="I73" s="2"/>
    </row>
    <row r="74" spans="1:9" ht="25.5" x14ac:dyDescent="0.25">
      <c r="B74" s="64" t="s">
        <v>1691</v>
      </c>
      <c r="C74" s="65"/>
      <c r="D74" s="66" t="s">
        <v>1690</v>
      </c>
      <c r="E74" s="66" t="s">
        <v>1689</v>
      </c>
      <c r="F74" s="66" t="s">
        <v>1688</v>
      </c>
      <c r="G74" s="67" t="s">
        <v>1687</v>
      </c>
      <c r="H74" s="68" t="s">
        <v>1686</v>
      </c>
      <c r="I74" s="2"/>
    </row>
    <row r="75" spans="1:9" x14ac:dyDescent="0.25">
      <c r="B75" s="69" t="str">
        <f>IF($A75=0,"",VLOOKUP($A75,'BASE M-OBRA'!$A:$D,2))</f>
        <v/>
      </c>
      <c r="C75" s="2"/>
      <c r="D75" s="108"/>
      <c r="E75" s="70" t="str">
        <f>IF($A75=0,"",VLOOKUP($A75,'BASE M-OBRA'!$A:$D,4))</f>
        <v/>
      </c>
      <c r="F75" s="55" t="str">
        <f t="shared" ref="F75:F81" si="7">IF($A75=0,"",ROUND(D75*E75,2))</f>
        <v/>
      </c>
      <c r="G75" s="106" t="str">
        <f>IF($A75=0,"",ROUND(H75/F75,2))</f>
        <v/>
      </c>
      <c r="H75" s="56" t="str">
        <f>IF($A75=0,"",ROUND(SUM(H76:H81)*'BASE M-OBRA'!$D$23,2))</f>
        <v/>
      </c>
      <c r="I75" s="2"/>
    </row>
    <row r="76" spans="1:9" x14ac:dyDescent="0.25">
      <c r="B76" s="69" t="str">
        <f>IF($A76=0,"",VLOOKUP($A76,'BASE M-OBRA'!$A:$D,2))</f>
        <v/>
      </c>
      <c r="C76" s="2"/>
      <c r="D76" s="108"/>
      <c r="E76" s="70" t="str">
        <f>IF($A76=0,"",VLOOKUP($A76,'BASE M-OBRA'!$A:$D,4))</f>
        <v/>
      </c>
      <c r="F76" s="55" t="str">
        <f t="shared" si="7"/>
        <v/>
      </c>
      <c r="G76" s="106"/>
      <c r="H76" s="56" t="str">
        <f t="shared" ref="H76:H81" si="8">IF($A76=0,"",ROUND(G76*F76,2))</f>
        <v/>
      </c>
      <c r="I76" s="2"/>
    </row>
    <row r="77" spans="1:9" x14ac:dyDescent="0.25">
      <c r="B77" s="69" t="str">
        <f>IF($A77=0,"",VLOOKUP($A77,'BASE M-OBRA'!$A:$D,2))</f>
        <v/>
      </c>
      <c r="C77" s="2"/>
      <c r="D77" s="108"/>
      <c r="E77" s="70" t="str">
        <f>IF($A77=0,"",VLOOKUP($A77,'BASE M-OBRA'!$A:$D,4))</f>
        <v/>
      </c>
      <c r="F77" s="55" t="str">
        <f t="shared" si="7"/>
        <v/>
      </c>
      <c r="G77" s="106"/>
      <c r="H77" s="56" t="str">
        <f t="shared" si="8"/>
        <v/>
      </c>
      <c r="I77" s="2"/>
    </row>
    <row r="78" spans="1:9" x14ac:dyDescent="0.25">
      <c r="B78" s="71" t="str">
        <f>IF($A78=0,"",VLOOKUP($A78,'BASE M-OBRA'!$A:$D,2))</f>
        <v/>
      </c>
      <c r="C78" s="2"/>
      <c r="D78" s="108"/>
      <c r="E78" s="70" t="str">
        <f>IF($A78=0,"",VLOOKUP($A78,'BASE M-OBRA'!$A:$D,4))</f>
        <v/>
      </c>
      <c r="F78" s="55" t="str">
        <f t="shared" si="7"/>
        <v/>
      </c>
      <c r="G78" s="106"/>
      <c r="H78" s="56" t="str">
        <f t="shared" si="8"/>
        <v/>
      </c>
      <c r="I78" s="2"/>
    </row>
    <row r="79" spans="1:9" x14ac:dyDescent="0.25">
      <c r="B79" s="72" t="str">
        <f>IF($A79=0,"",VLOOKUP($A79,'BASE M-OBRA'!$A:$D,2))</f>
        <v/>
      </c>
      <c r="C79" s="2"/>
      <c r="D79" s="108"/>
      <c r="E79" s="70" t="str">
        <f>IF($A79=0,"",VLOOKUP($A79,'BASE M-OBRA'!$A:$D,4))</f>
        <v/>
      </c>
      <c r="F79" s="55" t="str">
        <f t="shared" si="7"/>
        <v/>
      </c>
      <c r="G79" s="106"/>
      <c r="H79" s="56" t="str">
        <f t="shared" si="8"/>
        <v/>
      </c>
      <c r="I79" s="2"/>
    </row>
    <row r="80" spans="1:9" x14ac:dyDescent="0.25">
      <c r="B80" s="38" t="str">
        <f>IF($A80=0,"",VLOOKUP($A80,'BASE M-OBRA'!$A:$D,2))</f>
        <v/>
      </c>
      <c r="C80" s="2"/>
      <c r="D80" s="55"/>
      <c r="E80" s="55" t="str">
        <f>IF($A80=0,"",VLOOKUP($A80,'BASE M-OBRA'!$A:$D,4))</f>
        <v/>
      </c>
      <c r="F80" s="55" t="str">
        <f t="shared" si="7"/>
        <v/>
      </c>
      <c r="G80" s="106"/>
      <c r="H80" s="56" t="str">
        <f t="shared" si="8"/>
        <v/>
      </c>
      <c r="I80" s="2"/>
    </row>
    <row r="81" spans="1:16" x14ac:dyDescent="0.25">
      <c r="B81" s="57" t="str">
        <f>IF($A81=0,"",VLOOKUP($A81,'BASE M-OBRA'!$A:$D,2))</f>
        <v/>
      </c>
      <c r="C81" s="58"/>
      <c r="D81" s="59"/>
      <c r="E81" s="59" t="str">
        <f>IF($A81=0,"",VLOOKUP($A81,'BASE M-OBRA'!$A:$D,4))</f>
        <v/>
      </c>
      <c r="F81" s="59" t="str">
        <f t="shared" si="7"/>
        <v/>
      </c>
      <c r="G81" s="107"/>
      <c r="H81" s="60" t="str">
        <f t="shared" si="8"/>
        <v/>
      </c>
      <c r="I81" s="2"/>
    </row>
    <row r="82" spans="1:16" x14ac:dyDescent="0.25">
      <c r="B82" s="73" t="s">
        <v>1685</v>
      </c>
      <c r="C82" s="65"/>
      <c r="D82" s="74"/>
      <c r="E82" s="74"/>
      <c r="F82" s="74"/>
      <c r="G82" s="74"/>
      <c r="H82" s="75">
        <f>ROUND(SUM(H74:H81),2)</f>
        <v>0</v>
      </c>
      <c r="I82" s="2"/>
    </row>
    <row r="83" spans="1:16" x14ac:dyDescent="0.25">
      <c r="B83" s="38" t="s">
        <v>1684</v>
      </c>
      <c r="C83" s="2"/>
      <c r="D83" s="3"/>
      <c r="E83" s="3"/>
      <c r="F83" s="3"/>
      <c r="G83" s="3"/>
      <c r="H83" s="56"/>
      <c r="I83" s="2"/>
    </row>
    <row r="84" spans="1:16" ht="25.5" x14ac:dyDescent="0.25">
      <c r="B84" s="64" t="s">
        <v>1409</v>
      </c>
      <c r="C84" s="65"/>
      <c r="D84" s="76"/>
      <c r="E84" s="66" t="s">
        <v>1408</v>
      </c>
      <c r="F84" s="66" t="s">
        <v>1679</v>
      </c>
      <c r="G84" s="66" t="s">
        <v>1683</v>
      </c>
      <c r="H84" s="68" t="s">
        <v>1675</v>
      </c>
      <c r="I84" s="2"/>
    </row>
    <row r="85" spans="1:16" x14ac:dyDescent="0.25">
      <c r="A85" s="103">
        <v>1</v>
      </c>
      <c r="B85" s="100" t="s">
        <v>194</v>
      </c>
      <c r="C85" s="2"/>
      <c r="D85" s="77"/>
      <c r="E85" s="78" t="s">
        <v>744</v>
      </c>
      <c r="F85" s="55">
        <v>1</v>
      </c>
      <c r="G85" s="55">
        <v>11500</v>
      </c>
      <c r="H85" s="56">
        <f t="shared" ref="H85:H99" si="9">IF($A85=0,"",ROUND(F85*G85,2))</f>
        <v>11500</v>
      </c>
      <c r="I85" s="2"/>
      <c r="J85" s="1">
        <v>918.01</v>
      </c>
      <c r="L85" s="2"/>
      <c r="M85" s="2"/>
      <c r="N85" s="39"/>
      <c r="O85" s="2"/>
      <c r="P85" s="2"/>
    </row>
    <row r="86" spans="1:16" x14ac:dyDescent="0.25">
      <c r="B86" s="38" t="str">
        <f>IF($A86=0,"",VLOOKUP($A86,'BASE MATERIAL'!$A:$D,2))</f>
        <v/>
      </c>
      <c r="C86" s="2"/>
      <c r="D86" s="77"/>
      <c r="E86" s="78" t="str">
        <f>IF($A86=0,"",VLOOKUP($A86,'BASE MATERIAL'!$A:$D,3))</f>
        <v/>
      </c>
      <c r="F86" s="55"/>
      <c r="G86" s="55" t="str">
        <f>IF($A86=0,"",VLOOKUP($A86,'BASE MATERIAL'!$A:$D,4))</f>
        <v/>
      </c>
      <c r="H86" s="56" t="str">
        <f t="shared" si="9"/>
        <v/>
      </c>
      <c r="I86" s="2"/>
      <c r="L86" s="2"/>
      <c r="M86" s="2"/>
      <c r="N86" s="39"/>
      <c r="O86" s="2"/>
      <c r="P86" s="2"/>
    </row>
    <row r="87" spans="1:16" x14ac:dyDescent="0.25">
      <c r="B87" s="38" t="str">
        <f>IF($A87=0,"",VLOOKUP($A87,'BASE MATERIAL'!$A:$D,2))</f>
        <v/>
      </c>
      <c r="C87" s="2"/>
      <c r="D87" s="77"/>
      <c r="E87" s="78" t="str">
        <f>IF($A87=0,"",VLOOKUP($A87,'BASE MATERIAL'!$A:$D,3))</f>
        <v/>
      </c>
      <c r="F87" s="55"/>
      <c r="G87" s="55" t="str">
        <f>IF($A87=0,"",VLOOKUP($A87,'BASE MATERIAL'!$A:$D,4))</f>
        <v/>
      </c>
      <c r="H87" s="56" t="str">
        <f t="shared" si="9"/>
        <v/>
      </c>
      <c r="I87" s="2"/>
      <c r="L87" s="2"/>
      <c r="M87" s="2"/>
      <c r="N87" s="39"/>
      <c r="O87" s="2"/>
      <c r="P87" s="2"/>
    </row>
    <row r="88" spans="1:16" x14ac:dyDescent="0.25">
      <c r="B88" s="38" t="str">
        <f>IF($A88=0,"",VLOOKUP($A88,'BASE MATERIAL'!$A:$D,2))</f>
        <v/>
      </c>
      <c r="C88" s="2"/>
      <c r="D88" s="77"/>
      <c r="E88" s="78" t="str">
        <f>IF($A88=0,"",VLOOKUP($A88,'BASE MATERIAL'!$A:$D,3))</f>
        <v/>
      </c>
      <c r="F88" s="55"/>
      <c r="G88" s="55" t="str">
        <f>IF($A88=0,"",VLOOKUP($A88,'BASE MATERIAL'!$A:$D,4))</f>
        <v/>
      </c>
      <c r="H88" s="56" t="str">
        <f t="shared" si="9"/>
        <v/>
      </c>
      <c r="I88" s="2"/>
      <c r="L88" s="2"/>
      <c r="M88" s="2"/>
      <c r="N88" s="39"/>
      <c r="O88" s="2"/>
      <c r="P88" s="2"/>
    </row>
    <row r="89" spans="1:16" x14ac:dyDescent="0.25">
      <c r="B89" s="38" t="str">
        <f>IF($A89=0,"",VLOOKUP($A89,'BASE MATERIAL'!$A:$D,2))</f>
        <v/>
      </c>
      <c r="C89" s="2"/>
      <c r="D89" s="77"/>
      <c r="E89" s="78" t="str">
        <f>IF($A89=0,"",VLOOKUP($A89,'BASE MATERIAL'!$A:$D,3))</f>
        <v/>
      </c>
      <c r="F89" s="55"/>
      <c r="G89" s="55" t="str">
        <f>IF($A89=0,"",VLOOKUP($A89,'BASE MATERIAL'!$A:$D,4))</f>
        <v/>
      </c>
      <c r="H89" s="56" t="str">
        <f t="shared" si="9"/>
        <v/>
      </c>
      <c r="I89" s="2"/>
      <c r="L89" s="2"/>
      <c r="M89" s="2"/>
      <c r="N89" s="39"/>
      <c r="O89" s="2"/>
      <c r="P89" s="2"/>
    </row>
    <row r="90" spans="1:16" x14ac:dyDescent="0.25">
      <c r="B90" s="38" t="str">
        <f>IF($A90=0,"",VLOOKUP($A90,'BASE MATERIAL'!$A:$D,2))</f>
        <v/>
      </c>
      <c r="C90" s="2"/>
      <c r="D90" s="77"/>
      <c r="E90" s="78" t="str">
        <f>IF($A90=0,"",VLOOKUP($A90,'BASE MATERIAL'!$A:$D,3))</f>
        <v/>
      </c>
      <c r="F90" s="55"/>
      <c r="G90" s="55" t="str">
        <f>IF($A90=0,"",VLOOKUP($A90,'BASE MATERIAL'!$A:$D,4))</f>
        <v/>
      </c>
      <c r="H90" s="56" t="str">
        <f t="shared" si="9"/>
        <v/>
      </c>
      <c r="I90" s="2"/>
      <c r="L90" s="2"/>
      <c r="M90" s="2"/>
      <c r="N90" s="39"/>
      <c r="O90" s="2"/>
      <c r="P90" s="2"/>
    </row>
    <row r="91" spans="1:16" x14ac:dyDescent="0.25">
      <c r="B91" s="38" t="str">
        <f>IF($A91=0,"",VLOOKUP($A91,'BASE MATERIAL'!$A:$D,2))</f>
        <v/>
      </c>
      <c r="C91" s="2"/>
      <c r="D91" s="77"/>
      <c r="E91" s="78" t="str">
        <f>IF($A91=0,"",VLOOKUP($A91,'BASE MATERIAL'!$A:$D,3))</f>
        <v/>
      </c>
      <c r="F91" s="55"/>
      <c r="G91" s="55" t="str">
        <f>IF($A91=0,"",VLOOKUP($A91,'BASE MATERIAL'!$A:$D,4))</f>
        <v/>
      </c>
      <c r="H91" s="56" t="str">
        <f t="shared" si="9"/>
        <v/>
      </c>
      <c r="I91" s="2"/>
      <c r="L91" s="2"/>
      <c r="M91" s="2"/>
      <c r="N91" s="39"/>
      <c r="O91" s="2"/>
      <c r="P91" s="2"/>
    </row>
    <row r="92" spans="1:16" x14ac:dyDescent="0.25">
      <c r="B92" s="38" t="str">
        <f>IF($A92=0,"",VLOOKUP($A92,'BASE MATERIAL'!$A:$D,2))</f>
        <v/>
      </c>
      <c r="C92" s="2"/>
      <c r="D92" s="77"/>
      <c r="E92" s="78" t="str">
        <f>IF($A92=0,"",VLOOKUP($A92,'BASE MATERIAL'!$A:$D,3))</f>
        <v/>
      </c>
      <c r="F92" s="55"/>
      <c r="G92" s="55" t="str">
        <f>IF($A92=0,"",VLOOKUP($A92,'BASE MATERIAL'!$A:$D,4))</f>
        <v/>
      </c>
      <c r="H92" s="56" t="str">
        <f t="shared" si="9"/>
        <v/>
      </c>
      <c r="I92" s="2"/>
      <c r="L92" s="2"/>
      <c r="M92" s="2"/>
      <c r="N92" s="39"/>
      <c r="O92" s="2"/>
      <c r="P92" s="2"/>
    </row>
    <row r="93" spans="1:16" x14ac:dyDescent="0.25">
      <c r="B93" s="38" t="str">
        <f>IF($A93=0,"",VLOOKUP($A93,'BASE MATERIAL'!$A:$D,2))</f>
        <v/>
      </c>
      <c r="C93" s="2"/>
      <c r="D93" s="77"/>
      <c r="E93" s="78" t="str">
        <f>IF($A93=0,"",VLOOKUP($A93,'BASE MATERIAL'!$A:$D,3))</f>
        <v/>
      </c>
      <c r="F93" s="55"/>
      <c r="G93" s="55" t="str">
        <f>IF($A93=0,"",VLOOKUP($A93,'BASE MATERIAL'!$A:$D,4))</f>
        <v/>
      </c>
      <c r="H93" s="56" t="str">
        <f t="shared" si="9"/>
        <v/>
      </c>
      <c r="I93" s="2"/>
    </row>
    <row r="94" spans="1:16" x14ac:dyDescent="0.25">
      <c r="B94" s="38" t="str">
        <f>IF($A94=0,"",VLOOKUP($A94,'BASE MATERIAL'!$A:$D,2))</f>
        <v/>
      </c>
      <c r="C94" s="2"/>
      <c r="D94" s="77"/>
      <c r="E94" s="78" t="str">
        <f>IF($A94=0,"",VLOOKUP($A94,'BASE MATERIAL'!$A:$D,3))</f>
        <v/>
      </c>
      <c r="F94" s="55"/>
      <c r="G94" s="55" t="str">
        <f>IF($A94=0,"",VLOOKUP($A94,'BASE MATERIAL'!$A:$D,4))</f>
        <v/>
      </c>
      <c r="H94" s="56" t="str">
        <f t="shared" si="9"/>
        <v/>
      </c>
      <c r="I94" s="2"/>
      <c r="L94" s="2"/>
      <c r="M94" s="2"/>
      <c r="N94" s="39"/>
      <c r="O94" s="2"/>
      <c r="P94" s="2"/>
    </row>
    <row r="95" spans="1:16" x14ac:dyDescent="0.25">
      <c r="B95" s="38" t="str">
        <f>IF($A95=0,"",VLOOKUP($A95,'BASE MATERIAL'!$A:$D,2))</f>
        <v/>
      </c>
      <c r="C95" s="2"/>
      <c r="D95" s="77"/>
      <c r="E95" s="78" t="str">
        <f>IF($A95=0,"",VLOOKUP($A95,'BASE MATERIAL'!$A:$D,3))</f>
        <v/>
      </c>
      <c r="F95" s="55"/>
      <c r="G95" s="55" t="str">
        <f>IF($A95=0,"",VLOOKUP($A95,'BASE MATERIAL'!$A:$D,4))</f>
        <v/>
      </c>
      <c r="H95" s="56" t="str">
        <f t="shared" si="9"/>
        <v/>
      </c>
      <c r="I95" s="2"/>
      <c r="L95" s="2"/>
      <c r="M95" s="2"/>
      <c r="N95" s="39"/>
      <c r="O95" s="2"/>
      <c r="P95" s="2"/>
    </row>
    <row r="96" spans="1:16" x14ac:dyDescent="0.25">
      <c r="B96" s="38" t="str">
        <f>IF($A96=0,"",VLOOKUP($A96,'BASE MATERIAL'!$A:$D,2))</f>
        <v/>
      </c>
      <c r="C96" s="2"/>
      <c r="D96" s="77"/>
      <c r="E96" s="78" t="str">
        <f>IF($A96=0,"",VLOOKUP($A96,'BASE MATERIAL'!$A:$D,3))</f>
        <v/>
      </c>
      <c r="F96" s="55"/>
      <c r="G96" s="55" t="str">
        <f>IF($A96=0,"",VLOOKUP($A96,'BASE MATERIAL'!$A:$D,4))</f>
        <v/>
      </c>
      <c r="H96" s="56" t="str">
        <f t="shared" si="9"/>
        <v/>
      </c>
      <c r="I96" s="2"/>
    </row>
    <row r="97" spans="1:9" x14ac:dyDescent="0.25">
      <c r="B97" s="38" t="str">
        <f>IF($A97=0,"",VLOOKUP($A97,'BASE MATERIAL'!$A:$D,2))</f>
        <v/>
      </c>
      <c r="C97" s="2"/>
      <c r="D97" s="77"/>
      <c r="E97" s="78" t="str">
        <f>IF($A97=0,"",VLOOKUP($A97,'BASE MATERIAL'!$A:$D,3))</f>
        <v/>
      </c>
      <c r="F97" s="55"/>
      <c r="G97" s="55" t="str">
        <f>IF($A97=0,"",VLOOKUP($A97,'BASE MATERIAL'!$A:$D,4))</f>
        <v/>
      </c>
      <c r="H97" s="56" t="str">
        <f t="shared" si="9"/>
        <v/>
      </c>
      <c r="I97" s="2"/>
    </row>
    <row r="98" spans="1:9" x14ac:dyDescent="0.25">
      <c r="B98" s="38" t="str">
        <f>IF($A98=0,"",VLOOKUP($A98,'BASE MATERIAL'!$A:$D,2))</f>
        <v/>
      </c>
      <c r="C98" s="2"/>
      <c r="D98" s="77"/>
      <c r="E98" s="78" t="str">
        <f>IF($A98=0,"",VLOOKUP($A98,'BASE MATERIAL'!$A:$D,3))</f>
        <v/>
      </c>
      <c r="F98" s="55"/>
      <c r="G98" s="55" t="str">
        <f>IF($A98=0,"",VLOOKUP($A98,'BASE MATERIAL'!$A:$D,4))</f>
        <v/>
      </c>
      <c r="H98" s="56" t="str">
        <f t="shared" si="9"/>
        <v/>
      </c>
      <c r="I98" s="2"/>
    </row>
    <row r="99" spans="1:9" x14ac:dyDescent="0.25">
      <c r="B99" s="38" t="str">
        <f>IF($A99=0,"",VLOOKUP($A99,'BASE MATERIAL'!$A:$D,2))</f>
        <v/>
      </c>
      <c r="C99" s="2"/>
      <c r="D99" s="77"/>
      <c r="E99" s="78" t="str">
        <f>IF($A99=0,"",VLOOKUP($A99,'BASE MATERIAL'!$A:$D,3))</f>
        <v/>
      </c>
      <c r="F99" s="55"/>
      <c r="G99" s="55" t="str">
        <f>IF($A99=0,"",VLOOKUP($A99,'BASE MATERIAL'!$A:$D,4))</f>
        <v/>
      </c>
      <c r="H99" s="56" t="str">
        <f t="shared" si="9"/>
        <v/>
      </c>
      <c r="I99" s="2"/>
    </row>
    <row r="100" spans="1:9" x14ac:dyDescent="0.25">
      <c r="B100" s="38" t="str">
        <f>IF($A100=0,"",VLOOKUP($A100,'BASE MATERIAL'!$A:$D,2))</f>
        <v/>
      </c>
      <c r="C100" s="2"/>
      <c r="D100" s="81" t="s">
        <v>1682</v>
      </c>
      <c r="E100" s="55" t="str">
        <f>IF($A100=0,"",VLOOKUP($A100,'BASE MATERIAL'!$A:$D,3))</f>
        <v/>
      </c>
      <c r="F100" s="55" t="s">
        <v>1682</v>
      </c>
      <c r="G100" s="55" t="str">
        <f>IF($A100=0,"",VLOOKUP($A100,'BASE MATERIAL'!$A:$D,4))</f>
        <v/>
      </c>
      <c r="H100" s="56" t="str">
        <f>IF($A100=0,"",ROUND(E100*F100,2))</f>
        <v/>
      </c>
      <c r="I100" s="2"/>
    </row>
    <row r="101" spans="1:9" x14ac:dyDescent="0.25">
      <c r="B101" s="73" t="s">
        <v>1681</v>
      </c>
      <c r="C101" s="65"/>
      <c r="D101" s="74"/>
      <c r="E101" s="74"/>
      <c r="F101" s="74"/>
      <c r="G101" s="74"/>
      <c r="H101" s="75">
        <f>ROUND(SUM(H84:H100),2)</f>
        <v>11500</v>
      </c>
      <c r="I101" s="2"/>
    </row>
    <row r="102" spans="1:9" x14ac:dyDescent="0.25">
      <c r="B102" s="38" t="s">
        <v>1680</v>
      </c>
      <c r="C102" s="2"/>
      <c r="D102" s="3"/>
      <c r="E102" s="3"/>
      <c r="F102" s="3"/>
      <c r="G102" s="3"/>
      <c r="H102" s="56"/>
      <c r="I102" s="2"/>
    </row>
    <row r="103" spans="1:9" ht="25.5" x14ac:dyDescent="0.25">
      <c r="B103" s="64" t="s">
        <v>1409</v>
      </c>
      <c r="C103" s="65"/>
      <c r="D103" s="76"/>
      <c r="E103" s="66" t="s">
        <v>1408</v>
      </c>
      <c r="F103" s="66" t="s">
        <v>1679</v>
      </c>
      <c r="G103" s="66" t="s">
        <v>1676</v>
      </c>
      <c r="H103" s="68" t="s">
        <v>1675</v>
      </c>
      <c r="I103" s="2"/>
    </row>
    <row r="104" spans="1:9" x14ac:dyDescent="0.25">
      <c r="A104" s="103">
        <v>19019</v>
      </c>
      <c r="B104" s="51" t="str">
        <f>IF($A104=0,"",VLOOKUP($A104,'BASE EQUIPO'!$A:$D,2))</f>
        <v>TRANSPORTE DE MATERIAL</v>
      </c>
      <c r="C104" s="52"/>
      <c r="D104" s="82"/>
      <c r="E104" s="78" t="str">
        <f>IF($A104=0,"",VLOOKUP($A104,'BASE EQUIPO'!$A:$D,3))</f>
        <v>GLOBAL</v>
      </c>
      <c r="F104" s="55">
        <v>1</v>
      </c>
      <c r="G104" s="83">
        <f>IF($A104=0,"",VLOOKUP($A104,'BASE EQUIPO'!$A:$D,4)*H101)</f>
        <v>345</v>
      </c>
      <c r="H104" s="56">
        <f>IF($A104=0,"",ROUND(F104*G104,2))</f>
        <v>345</v>
      </c>
      <c r="I104" s="2"/>
    </row>
    <row r="105" spans="1:9" x14ac:dyDescent="0.25">
      <c r="B105" s="38" t="str">
        <f>IF($A105=0,"",VLOOKUP($A105,'BASE EQUIPO'!$A:$D,2))</f>
        <v/>
      </c>
      <c r="C105" s="2"/>
      <c r="D105" s="84"/>
      <c r="E105" s="78" t="str">
        <f>IF($A105=0,"",VLOOKUP($A105,'BASE EQUIPO'!$A:$D,3))</f>
        <v/>
      </c>
      <c r="F105" s="55"/>
      <c r="G105" s="55" t="str">
        <f>IF($A105=0,"",VLOOKUP($A105,'BASE EQUIPO'!$A:$D,4)*H102)</f>
        <v/>
      </c>
      <c r="H105" s="56" t="str">
        <f>IF($A105=0,"",ROUND(F105*G105,2))</f>
        <v/>
      </c>
      <c r="I105" s="2"/>
    </row>
    <row r="106" spans="1:9" x14ac:dyDescent="0.25">
      <c r="B106" s="57" t="str">
        <f>IF($A106=0,"",VLOOKUP($A106,'BASE EQUIPO'!$A:$D,2))</f>
        <v/>
      </c>
      <c r="C106" s="58"/>
      <c r="D106" s="85"/>
      <c r="E106" s="86" t="str">
        <f>IF($A106=0,"",VLOOKUP($A106,'BASE EQUIPO'!$A:$D,3))</f>
        <v/>
      </c>
      <c r="F106" s="59"/>
      <c r="G106" s="59" t="str">
        <f>IF($A106=0,"",VLOOKUP($A106,'BASE EQUIPO'!$A:$D,4)*H103)</f>
        <v/>
      </c>
      <c r="H106" s="60" t="str">
        <f>IF($A106=0,"",ROUND(F106*G106,2))</f>
        <v/>
      </c>
      <c r="I106" s="2"/>
    </row>
    <row r="107" spans="1:9" ht="15.75" thickBot="1" x14ac:dyDescent="0.3">
      <c r="B107" s="87" t="s">
        <v>1674</v>
      </c>
      <c r="C107" s="88"/>
      <c r="D107" s="89"/>
      <c r="E107" s="89"/>
      <c r="F107" s="89"/>
      <c r="G107" s="89"/>
      <c r="H107" s="90">
        <f>ROUND(SUM(H103:H106),2)</f>
        <v>345</v>
      </c>
      <c r="I107" s="2"/>
    </row>
    <row r="108" spans="1:9" ht="15.75" x14ac:dyDescent="0.25">
      <c r="B108" s="2"/>
      <c r="C108" s="2"/>
      <c r="D108" s="91" t="s">
        <v>1673</v>
      </c>
      <c r="E108" s="47"/>
      <c r="F108" s="47"/>
      <c r="G108" s="47"/>
      <c r="H108" s="92">
        <f>ROUND(SUM(H107,H101,H82,H72),2)</f>
        <v>11845</v>
      </c>
      <c r="I108" s="2"/>
    </row>
    <row r="109" spans="1:9" ht="15.75" x14ac:dyDescent="0.25">
      <c r="A109" s="103">
        <v>40002</v>
      </c>
      <c r="B109" s="2"/>
      <c r="C109" s="2"/>
      <c r="D109" s="93" t="s">
        <v>1672</v>
      </c>
      <c r="E109" s="65"/>
      <c r="F109" s="65"/>
      <c r="G109" s="94">
        <f>IF($A109=0,"",VLOOKUP($A109,'BASE MATERIAL'!$M:$P,4))</f>
        <v>0</v>
      </c>
      <c r="H109" s="95">
        <f>IF($A109=0,"",ROUND(G109*H108,2))</f>
        <v>0</v>
      </c>
      <c r="I109" s="2"/>
    </row>
    <row r="110" spans="1:9" ht="15.75" x14ac:dyDescent="0.25">
      <c r="A110" s="103">
        <v>40003</v>
      </c>
      <c r="B110" s="2"/>
      <c r="C110" s="2"/>
      <c r="D110" s="93" t="s">
        <v>1671</v>
      </c>
      <c r="E110" s="65"/>
      <c r="F110" s="65"/>
      <c r="G110" s="94">
        <f>IF($A110=0,"",VLOOKUP($A110,'BASE MATERIAL'!$M:$P,4))</f>
        <v>0</v>
      </c>
      <c r="H110" s="95">
        <f>IF($A110=0,"",ROUND(G110*H108,2))</f>
        <v>0</v>
      </c>
      <c r="I110" s="2"/>
    </row>
    <row r="111" spans="1:9" ht="15.75" x14ac:dyDescent="0.25">
      <c r="B111" s="2"/>
      <c r="C111" s="2"/>
      <c r="D111" s="93" t="s">
        <v>1670</v>
      </c>
      <c r="E111" s="65"/>
      <c r="F111" s="65"/>
      <c r="G111" s="65"/>
      <c r="H111" s="96">
        <f>ROUND(SUM(H108:H110),2)</f>
        <v>11845</v>
      </c>
      <c r="I111" s="2"/>
    </row>
    <row r="112" spans="1:9" ht="16.5" thickBot="1" x14ac:dyDescent="0.3">
      <c r="B112" s="25"/>
      <c r="C112" s="2"/>
      <c r="D112" s="97" t="s">
        <v>1650</v>
      </c>
      <c r="E112" s="88"/>
      <c r="F112" s="88"/>
      <c r="G112" s="88"/>
      <c r="H112" s="98">
        <f>ROUND(H111,2)</f>
        <v>11845</v>
      </c>
      <c r="I112" s="2"/>
    </row>
    <row r="113" spans="1:15" ht="15.75" x14ac:dyDescent="0.25">
      <c r="B113" s="34" t="s">
        <v>1701</v>
      </c>
      <c r="C113" s="2"/>
      <c r="D113" s="3" t="str">
        <f>$D$1</f>
        <v>ESPOL</v>
      </c>
      <c r="E113" s="2"/>
      <c r="F113" s="2"/>
      <c r="H113" s="2" t="s">
        <v>108</v>
      </c>
      <c r="I113" s="2"/>
      <c r="L113" s="40">
        <f>A117</f>
        <v>2</v>
      </c>
      <c r="M113" s="1" t="str">
        <f>C118</f>
        <v xml:space="preserve">Central paquete de 120,000 btuh </v>
      </c>
      <c r="N113" s="2" t="str">
        <f>H117</f>
        <v>U</v>
      </c>
      <c r="O113" s="2">
        <f>H168</f>
        <v>7274.89</v>
      </c>
    </row>
    <row r="114" spans="1:15" ht="15.75" x14ac:dyDescent="0.25">
      <c r="B114" s="34" t="s">
        <v>1700</v>
      </c>
      <c r="C114" s="3">
        <f>'1.1'!$C$2</f>
        <v>0</v>
      </c>
      <c r="D114" s="2"/>
      <c r="E114" s="2"/>
      <c r="F114" s="2"/>
      <c r="G114" s="41" t="s">
        <v>1699</v>
      </c>
      <c r="H114" s="42"/>
      <c r="I114" s="2" t="s">
        <v>1698</v>
      </c>
    </row>
    <row r="115" spans="1:15" ht="15.75" x14ac:dyDescent="0.25">
      <c r="B115" s="34"/>
      <c r="C115" s="3">
        <f>'1.1'!$C$3</f>
        <v>0</v>
      </c>
      <c r="D115" s="2"/>
      <c r="E115" s="2"/>
      <c r="F115" s="2"/>
      <c r="G115" s="2"/>
      <c r="H115" s="2"/>
      <c r="I115" s="2"/>
    </row>
    <row r="116" spans="1:15" ht="15.75" x14ac:dyDescent="0.25">
      <c r="B116" s="34" t="s">
        <v>1697</v>
      </c>
      <c r="C116" s="3"/>
      <c r="D116" s="2"/>
      <c r="E116" s="2"/>
      <c r="F116" s="2"/>
      <c r="G116" s="2"/>
      <c r="H116" s="2"/>
      <c r="I116" s="2"/>
    </row>
    <row r="117" spans="1:15" x14ac:dyDescent="0.25">
      <c r="A117" s="104">
        <v>2</v>
      </c>
      <c r="B117" s="2" t="s">
        <v>1586</v>
      </c>
      <c r="C117" s="101" t="s">
        <v>1318</v>
      </c>
      <c r="D117" s="2"/>
      <c r="G117" s="2" t="s">
        <v>1696</v>
      </c>
      <c r="H117" s="3" t="s">
        <v>744</v>
      </c>
      <c r="I117" s="2"/>
    </row>
    <row r="118" spans="1:15" ht="15.75" x14ac:dyDescent="0.25">
      <c r="B118" s="1" t="s">
        <v>1585</v>
      </c>
      <c r="C118" s="35" t="s">
        <v>195</v>
      </c>
      <c r="D118" s="2"/>
      <c r="E118" s="2"/>
      <c r="F118" s="2"/>
      <c r="G118" s="2"/>
      <c r="H118" s="2"/>
      <c r="I118" s="2"/>
    </row>
    <row r="119" spans="1:15" ht="15.75" thickBot="1" x14ac:dyDescent="0.3">
      <c r="D119" s="2"/>
      <c r="E119" s="2"/>
      <c r="F119" s="2"/>
      <c r="G119" s="2"/>
      <c r="H119" s="2"/>
      <c r="I119" s="2"/>
    </row>
    <row r="120" spans="1:15" ht="15.75" thickBot="1" x14ac:dyDescent="0.3">
      <c r="B120" s="43" t="s">
        <v>1695</v>
      </c>
      <c r="C120" s="44"/>
      <c r="D120" s="44"/>
      <c r="E120" s="44"/>
      <c r="F120" s="44"/>
      <c r="G120" s="44"/>
      <c r="H120" s="45"/>
      <c r="I120" s="2"/>
    </row>
    <row r="121" spans="1:15" ht="25.5" x14ac:dyDescent="0.25">
      <c r="B121" s="46" t="s">
        <v>1409</v>
      </c>
      <c r="C121" s="47"/>
      <c r="D121" s="48" t="s">
        <v>1690</v>
      </c>
      <c r="E121" s="48" t="s">
        <v>1694</v>
      </c>
      <c r="F121" s="48" t="s">
        <v>1693</v>
      </c>
      <c r="G121" s="49" t="s">
        <v>1687</v>
      </c>
      <c r="H121" s="50" t="s">
        <v>1686</v>
      </c>
      <c r="I121" s="2"/>
    </row>
    <row r="122" spans="1:15" x14ac:dyDescent="0.25">
      <c r="A122" s="103">
        <v>19015</v>
      </c>
      <c r="B122" s="51" t="str">
        <f>IF($A122=0,"",VLOOKUP($A122,'BASE EQUIPO'!$A:$D,2))</f>
        <v>HERRAMIENTA MENOR</v>
      </c>
      <c r="C122" s="52"/>
      <c r="D122" s="53">
        <v>1</v>
      </c>
      <c r="E122" s="53">
        <f>IF($A122=0,"",VLOOKUP($A122,'BASE EQUIPO'!$A:$D,4)*H138)</f>
        <v>0</v>
      </c>
      <c r="F122" s="53">
        <f t="shared" ref="F122:F127" si="10">IF($A122=0,"",ROUND(D122*E122,2))</f>
        <v>0</v>
      </c>
      <c r="G122" s="105">
        <v>1</v>
      </c>
      <c r="H122" s="54">
        <f t="shared" ref="H122:H127" si="11">IF($A122=0,"",ROUND(G122*F122,2))</f>
        <v>0</v>
      </c>
      <c r="I122" s="2"/>
    </row>
    <row r="123" spans="1:15" x14ac:dyDescent="0.25">
      <c r="B123" s="38" t="str">
        <f>IF($A123=0,"",VLOOKUP($A123,'BASE EQUIPO'!$A:$D,2))</f>
        <v/>
      </c>
      <c r="C123" s="2"/>
      <c r="D123" s="55"/>
      <c r="E123" s="55" t="str">
        <f>IF($A123=0,"",VLOOKUP($A123,'BASE EQUIPO'!$A:$D,4))</f>
        <v/>
      </c>
      <c r="F123" s="55" t="str">
        <f t="shared" si="10"/>
        <v/>
      </c>
      <c r="G123" s="106"/>
      <c r="H123" s="56" t="str">
        <f t="shared" si="11"/>
        <v/>
      </c>
      <c r="I123" s="2"/>
    </row>
    <row r="124" spans="1:15" x14ac:dyDescent="0.25">
      <c r="B124" s="38" t="str">
        <f>IF($A124=0,"",VLOOKUP($A124,'BASE EQUIPO'!$A:$D,2))</f>
        <v/>
      </c>
      <c r="C124" s="2"/>
      <c r="D124" s="55"/>
      <c r="E124" s="55" t="str">
        <f>IF($A124=0,"",VLOOKUP($A124,'BASE EQUIPO'!$A:$D,4))</f>
        <v/>
      </c>
      <c r="F124" s="55" t="str">
        <f t="shared" si="10"/>
        <v/>
      </c>
      <c r="G124" s="106"/>
      <c r="H124" s="56" t="str">
        <f t="shared" si="11"/>
        <v/>
      </c>
      <c r="I124" s="2"/>
    </row>
    <row r="125" spans="1:15" x14ac:dyDescent="0.25">
      <c r="B125" s="38" t="str">
        <f>IF($A125=0,"",VLOOKUP($A125,'BASE EQUIPO'!$A:$D,2))</f>
        <v/>
      </c>
      <c r="C125" s="2"/>
      <c r="D125" s="55"/>
      <c r="E125" s="55" t="str">
        <f>IF($A125=0,"",VLOOKUP($A125,'BASE EQUIPO'!$A:$D,4))</f>
        <v/>
      </c>
      <c r="F125" s="55" t="str">
        <f t="shared" si="10"/>
        <v/>
      </c>
      <c r="G125" s="106"/>
      <c r="H125" s="56" t="str">
        <f t="shared" si="11"/>
        <v/>
      </c>
      <c r="I125" s="2"/>
    </row>
    <row r="126" spans="1:15" x14ac:dyDescent="0.25">
      <c r="B126" s="38" t="str">
        <f>IF($A126=0,"",VLOOKUP($A126,'BASE EQUIPO'!$A:$D,2))</f>
        <v/>
      </c>
      <c r="C126" s="2"/>
      <c r="D126" s="55"/>
      <c r="E126" s="55" t="str">
        <f>IF($A126=0,"",VLOOKUP($A126,'BASE EQUIPO'!$A:$D,4))</f>
        <v/>
      </c>
      <c r="F126" s="55" t="str">
        <f t="shared" si="10"/>
        <v/>
      </c>
      <c r="G126" s="106"/>
      <c r="H126" s="56" t="str">
        <f t="shared" si="11"/>
        <v/>
      </c>
      <c r="I126" s="2"/>
    </row>
    <row r="127" spans="1:15" x14ac:dyDescent="0.25">
      <c r="B127" s="57" t="str">
        <f>IF($A127=0,"",VLOOKUP($A127,'BASE EQUIPO'!$A:$D,2))</f>
        <v/>
      </c>
      <c r="C127" s="58"/>
      <c r="D127" s="59"/>
      <c r="E127" s="59" t="str">
        <f>IF($A127=0,"",VLOOKUP($A127,'BASE EQUIPO'!$A:$D,4))</f>
        <v/>
      </c>
      <c r="F127" s="59" t="str">
        <f t="shared" si="10"/>
        <v/>
      </c>
      <c r="G127" s="107"/>
      <c r="H127" s="60" t="str">
        <f t="shared" si="11"/>
        <v/>
      </c>
      <c r="I127" s="2"/>
    </row>
    <row r="128" spans="1:15" x14ac:dyDescent="0.25">
      <c r="B128" s="57" t="s">
        <v>1692</v>
      </c>
      <c r="C128" s="58"/>
      <c r="D128" s="61"/>
      <c r="E128" s="61"/>
      <c r="F128" s="61"/>
      <c r="G128" s="62"/>
      <c r="H128" s="60">
        <f>ROUND(SUM(H121:H127),2)</f>
        <v>0</v>
      </c>
      <c r="I128" s="2"/>
    </row>
    <row r="129" spans="1:16" x14ac:dyDescent="0.25">
      <c r="B129" s="38" t="s">
        <v>1503</v>
      </c>
      <c r="C129" s="2"/>
      <c r="D129" s="3"/>
      <c r="E129" s="3"/>
      <c r="F129" s="3"/>
      <c r="G129" s="63"/>
      <c r="H129" s="56"/>
      <c r="I129" s="2"/>
    </row>
    <row r="130" spans="1:16" ht="25.5" x14ac:dyDescent="0.25">
      <c r="B130" s="64" t="s">
        <v>1691</v>
      </c>
      <c r="C130" s="65"/>
      <c r="D130" s="66" t="s">
        <v>1690</v>
      </c>
      <c r="E130" s="66" t="s">
        <v>1689</v>
      </c>
      <c r="F130" s="66" t="s">
        <v>1688</v>
      </c>
      <c r="G130" s="67" t="s">
        <v>1687</v>
      </c>
      <c r="H130" s="68" t="s">
        <v>1686</v>
      </c>
      <c r="I130" s="2"/>
    </row>
    <row r="131" spans="1:16" x14ac:dyDescent="0.25">
      <c r="B131" s="69" t="str">
        <f>IF($A131=0,"",VLOOKUP($A131,'BASE M-OBRA'!$A:$D,2))</f>
        <v/>
      </c>
      <c r="C131" s="2"/>
      <c r="D131" s="108"/>
      <c r="E131" s="70" t="str">
        <f>IF($A131=0,"",VLOOKUP($A131,'BASE M-OBRA'!$A:$D,4))</f>
        <v/>
      </c>
      <c r="F131" s="55" t="str">
        <f t="shared" ref="F131:F137" si="12">IF($A131=0,"",ROUND(D131*E131,2))</f>
        <v/>
      </c>
      <c r="G131" s="106" t="str">
        <f>IF($A131=0,"",ROUND(H131/F131,2))</f>
        <v/>
      </c>
      <c r="H131" s="56" t="str">
        <f>IF($A131=0,"",ROUND(SUM(H132:H137)*'BASE M-OBRA'!$D$23,2))</f>
        <v/>
      </c>
      <c r="I131" s="2"/>
    </row>
    <row r="132" spans="1:16" x14ac:dyDescent="0.25">
      <c r="B132" s="69" t="str">
        <f>IF($A132=0,"",VLOOKUP($A132,'BASE M-OBRA'!$A:$D,2))</f>
        <v/>
      </c>
      <c r="C132" s="2"/>
      <c r="D132" s="108"/>
      <c r="E132" s="70" t="str">
        <f>IF($A132=0,"",VLOOKUP($A132,'BASE M-OBRA'!$A:$D,4))</f>
        <v/>
      </c>
      <c r="F132" s="55" t="str">
        <f t="shared" si="12"/>
        <v/>
      </c>
      <c r="G132" s="106"/>
      <c r="H132" s="56" t="str">
        <f t="shared" ref="H132:H137" si="13">IF($A132=0,"",ROUND(G132*F132,2))</f>
        <v/>
      </c>
      <c r="I132" s="2"/>
    </row>
    <row r="133" spans="1:16" x14ac:dyDescent="0.25">
      <c r="B133" s="69" t="str">
        <f>IF($A133=0,"",VLOOKUP($A133,'BASE M-OBRA'!$A:$D,2))</f>
        <v/>
      </c>
      <c r="C133" s="2"/>
      <c r="D133" s="108"/>
      <c r="E133" s="70" t="str">
        <f>IF($A133=0,"",VLOOKUP($A133,'BASE M-OBRA'!$A:$D,4))</f>
        <v/>
      </c>
      <c r="F133" s="55" t="str">
        <f t="shared" si="12"/>
        <v/>
      </c>
      <c r="G133" s="106"/>
      <c r="H133" s="56" t="str">
        <f t="shared" si="13"/>
        <v/>
      </c>
      <c r="I133" s="2"/>
    </row>
    <row r="134" spans="1:16" x14ac:dyDescent="0.25">
      <c r="B134" s="71" t="str">
        <f>IF($A134=0,"",VLOOKUP($A134,'BASE M-OBRA'!$A:$D,2))</f>
        <v/>
      </c>
      <c r="C134" s="2"/>
      <c r="D134" s="108"/>
      <c r="E134" s="70" t="str">
        <f>IF($A134=0,"",VLOOKUP($A134,'BASE M-OBRA'!$A:$D,4))</f>
        <v/>
      </c>
      <c r="F134" s="55" t="str">
        <f t="shared" si="12"/>
        <v/>
      </c>
      <c r="G134" s="106"/>
      <c r="H134" s="56" t="str">
        <f t="shared" si="13"/>
        <v/>
      </c>
      <c r="I134" s="2"/>
    </row>
    <row r="135" spans="1:16" x14ac:dyDescent="0.25">
      <c r="B135" s="72" t="str">
        <f>IF($A135=0,"",VLOOKUP($A135,'BASE M-OBRA'!$A:$D,2))</f>
        <v/>
      </c>
      <c r="C135" s="2"/>
      <c r="D135" s="108"/>
      <c r="E135" s="70" t="str">
        <f>IF($A135=0,"",VLOOKUP($A135,'BASE M-OBRA'!$A:$D,4))</f>
        <v/>
      </c>
      <c r="F135" s="55" t="str">
        <f t="shared" si="12"/>
        <v/>
      </c>
      <c r="G135" s="106"/>
      <c r="H135" s="56" t="str">
        <f t="shared" si="13"/>
        <v/>
      </c>
      <c r="I135" s="2"/>
    </row>
    <row r="136" spans="1:16" x14ac:dyDescent="0.25">
      <c r="B136" s="38" t="str">
        <f>IF($A136=0,"",VLOOKUP($A136,'BASE M-OBRA'!$A:$D,2))</f>
        <v/>
      </c>
      <c r="C136" s="2"/>
      <c r="D136" s="55"/>
      <c r="E136" s="55" t="str">
        <f>IF($A136=0,"",VLOOKUP($A136,'BASE M-OBRA'!$A:$D,4))</f>
        <v/>
      </c>
      <c r="F136" s="55" t="str">
        <f t="shared" si="12"/>
        <v/>
      </c>
      <c r="G136" s="106"/>
      <c r="H136" s="56" t="str">
        <f t="shared" si="13"/>
        <v/>
      </c>
      <c r="I136" s="2"/>
    </row>
    <row r="137" spans="1:16" x14ac:dyDescent="0.25">
      <c r="B137" s="57" t="str">
        <f>IF($A137=0,"",VLOOKUP($A137,'BASE M-OBRA'!$A:$D,2))</f>
        <v/>
      </c>
      <c r="C137" s="58"/>
      <c r="D137" s="59"/>
      <c r="E137" s="59" t="str">
        <f>IF($A137=0,"",VLOOKUP($A137,'BASE M-OBRA'!$A:$D,4))</f>
        <v/>
      </c>
      <c r="F137" s="59" t="str">
        <f t="shared" si="12"/>
        <v/>
      </c>
      <c r="G137" s="107"/>
      <c r="H137" s="60" t="str">
        <f t="shared" si="13"/>
        <v/>
      </c>
      <c r="I137" s="2"/>
    </row>
    <row r="138" spans="1:16" x14ac:dyDescent="0.25">
      <c r="B138" s="73" t="s">
        <v>1685</v>
      </c>
      <c r="C138" s="65"/>
      <c r="D138" s="74"/>
      <c r="E138" s="74"/>
      <c r="F138" s="74"/>
      <c r="G138" s="74"/>
      <c r="H138" s="75">
        <f>ROUND(SUM(H130:H137),2)</f>
        <v>0</v>
      </c>
      <c r="I138" s="2"/>
    </row>
    <row r="139" spans="1:16" x14ac:dyDescent="0.25">
      <c r="B139" s="38" t="s">
        <v>1684</v>
      </c>
      <c r="C139" s="2"/>
      <c r="D139" s="3"/>
      <c r="E139" s="3"/>
      <c r="F139" s="3"/>
      <c r="G139" s="3"/>
      <c r="H139" s="56"/>
      <c r="I139" s="2"/>
    </row>
    <row r="140" spans="1:16" ht="25.5" x14ac:dyDescent="0.25">
      <c r="B140" s="64" t="s">
        <v>1409</v>
      </c>
      <c r="C140" s="65"/>
      <c r="D140" s="76"/>
      <c r="E140" s="66" t="s">
        <v>1408</v>
      </c>
      <c r="F140" s="66" t="s">
        <v>1679</v>
      </c>
      <c r="G140" s="66" t="s">
        <v>1683</v>
      </c>
      <c r="H140" s="68" t="s">
        <v>1675</v>
      </c>
      <c r="I140" s="2"/>
    </row>
    <row r="141" spans="1:16" x14ac:dyDescent="0.25">
      <c r="A141" s="103">
        <v>1</v>
      </c>
      <c r="B141" s="100" t="s">
        <v>195</v>
      </c>
      <c r="C141" s="2"/>
      <c r="D141" s="77"/>
      <c r="E141" s="78" t="s">
        <v>744</v>
      </c>
      <c r="F141" s="55">
        <v>1</v>
      </c>
      <c r="G141" s="55">
        <v>7063</v>
      </c>
      <c r="H141" s="56">
        <f t="shared" ref="H141:H155" si="14">IF($A141=0,"",ROUND(F141*G141,2))</f>
        <v>7063</v>
      </c>
      <c r="I141" s="2"/>
      <c r="J141" s="1">
        <v>519.79</v>
      </c>
      <c r="L141" s="2"/>
      <c r="M141" s="2"/>
      <c r="N141" s="39"/>
      <c r="O141" s="2"/>
      <c r="P141" s="2"/>
    </row>
    <row r="142" spans="1:16" x14ac:dyDescent="0.25">
      <c r="B142" s="38" t="str">
        <f>IF($A142=0,"",VLOOKUP($A142,'BASE MATERIAL'!$A:$D,2))</f>
        <v/>
      </c>
      <c r="C142" s="2"/>
      <c r="D142" s="77"/>
      <c r="E142" s="78" t="str">
        <f>IF($A142=0,"",VLOOKUP($A142,'BASE MATERIAL'!$A:$D,3))</f>
        <v/>
      </c>
      <c r="F142" s="55"/>
      <c r="G142" s="55" t="str">
        <f>IF($A142=0,"",VLOOKUP($A142,'BASE MATERIAL'!$A:$D,4))</f>
        <v/>
      </c>
      <c r="H142" s="56" t="str">
        <f t="shared" si="14"/>
        <v/>
      </c>
      <c r="I142" s="2"/>
      <c r="L142" s="2"/>
      <c r="M142" s="2"/>
      <c r="N142" s="39"/>
      <c r="O142" s="2"/>
      <c r="P142" s="2"/>
    </row>
    <row r="143" spans="1:16" x14ac:dyDescent="0.25">
      <c r="B143" s="38" t="str">
        <f>IF($A143=0,"",VLOOKUP($A143,'BASE MATERIAL'!$A:$D,2))</f>
        <v/>
      </c>
      <c r="C143" s="2"/>
      <c r="D143" s="77"/>
      <c r="E143" s="78" t="str">
        <f>IF($A143=0,"",VLOOKUP($A143,'BASE MATERIAL'!$A:$D,3))</f>
        <v/>
      </c>
      <c r="F143" s="55"/>
      <c r="G143" s="55" t="str">
        <f>IF($A143=0,"",VLOOKUP($A143,'BASE MATERIAL'!$A:$D,4))</f>
        <v/>
      </c>
      <c r="H143" s="56" t="str">
        <f t="shared" si="14"/>
        <v/>
      </c>
      <c r="I143" s="2"/>
      <c r="L143" s="2"/>
      <c r="M143" s="2"/>
      <c r="N143" s="39"/>
      <c r="O143" s="2"/>
      <c r="P143" s="2"/>
    </row>
    <row r="144" spans="1:16" x14ac:dyDescent="0.25">
      <c r="B144" s="38" t="str">
        <f>IF($A144=0,"",VLOOKUP($A144,'BASE MATERIAL'!$A:$D,2))</f>
        <v/>
      </c>
      <c r="C144" s="2"/>
      <c r="D144" s="77"/>
      <c r="E144" s="78" t="str">
        <f>IF($A144=0,"",VLOOKUP($A144,'BASE MATERIAL'!$A:$D,3))</f>
        <v/>
      </c>
      <c r="F144" s="55"/>
      <c r="G144" s="55" t="str">
        <f>IF($A144=0,"",VLOOKUP($A144,'BASE MATERIAL'!$A:$D,4))</f>
        <v/>
      </c>
      <c r="H144" s="56" t="str">
        <f t="shared" si="14"/>
        <v/>
      </c>
      <c r="I144" s="2"/>
      <c r="L144" s="2"/>
      <c r="M144" s="2"/>
      <c r="N144" s="39"/>
      <c r="O144" s="2"/>
      <c r="P144" s="2"/>
    </row>
    <row r="145" spans="1:16" x14ac:dyDescent="0.25">
      <c r="B145" s="38" t="str">
        <f>IF($A145=0,"",VLOOKUP($A145,'BASE MATERIAL'!$A:$D,2))</f>
        <v/>
      </c>
      <c r="C145" s="2"/>
      <c r="D145" s="77"/>
      <c r="E145" s="78" t="str">
        <f>IF($A145=0,"",VLOOKUP($A145,'BASE MATERIAL'!$A:$D,3))</f>
        <v/>
      </c>
      <c r="F145" s="55"/>
      <c r="G145" s="55" t="str">
        <f>IF($A145=0,"",VLOOKUP($A145,'BASE MATERIAL'!$A:$D,4))</f>
        <v/>
      </c>
      <c r="H145" s="56" t="str">
        <f t="shared" si="14"/>
        <v/>
      </c>
      <c r="I145" s="2"/>
      <c r="L145" s="2"/>
      <c r="M145" s="2"/>
      <c r="N145" s="39"/>
      <c r="O145" s="2"/>
      <c r="P145" s="2"/>
    </row>
    <row r="146" spans="1:16" x14ac:dyDescent="0.25">
      <c r="B146" s="38" t="str">
        <f>IF($A146=0,"",VLOOKUP($A146,'BASE MATERIAL'!$A:$D,2))</f>
        <v/>
      </c>
      <c r="C146" s="2"/>
      <c r="D146" s="77"/>
      <c r="E146" s="78" t="str">
        <f>IF($A146=0,"",VLOOKUP($A146,'BASE MATERIAL'!$A:$D,3))</f>
        <v/>
      </c>
      <c r="F146" s="55"/>
      <c r="G146" s="55" t="str">
        <f>IF($A146=0,"",VLOOKUP($A146,'BASE MATERIAL'!$A:$D,4))</f>
        <v/>
      </c>
      <c r="H146" s="56" t="str">
        <f t="shared" si="14"/>
        <v/>
      </c>
      <c r="I146" s="2"/>
      <c r="L146" s="2"/>
      <c r="M146" s="2"/>
      <c r="N146" s="39"/>
      <c r="O146" s="2"/>
      <c r="P146" s="2"/>
    </row>
    <row r="147" spans="1:16" x14ac:dyDescent="0.25">
      <c r="B147" s="38" t="str">
        <f>IF($A147=0,"",VLOOKUP($A147,'BASE MATERIAL'!$A:$D,2))</f>
        <v/>
      </c>
      <c r="C147" s="2"/>
      <c r="D147" s="77"/>
      <c r="E147" s="78" t="str">
        <f>IF($A147=0,"",VLOOKUP($A147,'BASE MATERIAL'!$A:$D,3))</f>
        <v/>
      </c>
      <c r="F147" s="55"/>
      <c r="G147" s="55" t="str">
        <f>IF($A147=0,"",VLOOKUP($A147,'BASE MATERIAL'!$A:$D,4))</f>
        <v/>
      </c>
      <c r="H147" s="56" t="str">
        <f t="shared" si="14"/>
        <v/>
      </c>
      <c r="I147" s="2"/>
      <c r="L147" s="2"/>
      <c r="M147" s="2"/>
      <c r="N147" s="39"/>
      <c r="O147" s="2"/>
      <c r="P147" s="2"/>
    </row>
    <row r="148" spans="1:16" x14ac:dyDescent="0.25">
      <c r="B148" s="38" t="str">
        <f>IF($A148=0,"",VLOOKUP($A148,'BASE MATERIAL'!$A:$D,2))</f>
        <v/>
      </c>
      <c r="C148" s="2"/>
      <c r="D148" s="77"/>
      <c r="E148" s="78" t="str">
        <f>IF($A148=0,"",VLOOKUP($A148,'BASE MATERIAL'!$A:$D,3))</f>
        <v/>
      </c>
      <c r="F148" s="55"/>
      <c r="G148" s="55" t="str">
        <f>IF($A148=0,"",VLOOKUP($A148,'BASE MATERIAL'!$A:$D,4))</f>
        <v/>
      </c>
      <c r="H148" s="56" t="str">
        <f t="shared" si="14"/>
        <v/>
      </c>
      <c r="I148" s="2"/>
      <c r="L148" s="2"/>
      <c r="M148" s="2"/>
      <c r="N148" s="39"/>
      <c r="O148" s="2"/>
      <c r="P148" s="2"/>
    </row>
    <row r="149" spans="1:16" x14ac:dyDescent="0.25">
      <c r="B149" s="38" t="str">
        <f>IF($A149=0,"",VLOOKUP($A149,'BASE MATERIAL'!$A:$D,2))</f>
        <v/>
      </c>
      <c r="C149" s="2"/>
      <c r="D149" s="77"/>
      <c r="E149" s="78" t="str">
        <f>IF($A149=0,"",VLOOKUP($A149,'BASE MATERIAL'!$A:$D,3))</f>
        <v/>
      </c>
      <c r="F149" s="55"/>
      <c r="G149" s="55" t="str">
        <f>IF($A149=0,"",VLOOKUP($A149,'BASE MATERIAL'!$A:$D,4))</f>
        <v/>
      </c>
      <c r="H149" s="56" t="str">
        <f t="shared" si="14"/>
        <v/>
      </c>
      <c r="I149" s="2"/>
    </row>
    <row r="150" spans="1:16" x14ac:dyDescent="0.25">
      <c r="B150" s="38" t="str">
        <f>IF($A150=0,"",VLOOKUP($A150,'BASE MATERIAL'!$A:$D,2))</f>
        <v/>
      </c>
      <c r="C150" s="2"/>
      <c r="D150" s="77"/>
      <c r="E150" s="78" t="str">
        <f>IF($A150=0,"",VLOOKUP($A150,'BASE MATERIAL'!$A:$D,3))</f>
        <v/>
      </c>
      <c r="F150" s="55"/>
      <c r="G150" s="55" t="str">
        <f>IF($A150=0,"",VLOOKUP($A150,'BASE MATERIAL'!$A:$D,4))</f>
        <v/>
      </c>
      <c r="H150" s="56" t="str">
        <f t="shared" si="14"/>
        <v/>
      </c>
      <c r="I150" s="2"/>
      <c r="L150" s="2"/>
      <c r="M150" s="2"/>
      <c r="N150" s="39"/>
      <c r="O150" s="2"/>
      <c r="P150" s="2"/>
    </row>
    <row r="151" spans="1:16" x14ac:dyDescent="0.25">
      <c r="B151" s="38" t="str">
        <f>IF($A151=0,"",VLOOKUP($A151,'BASE MATERIAL'!$A:$D,2))</f>
        <v/>
      </c>
      <c r="C151" s="2"/>
      <c r="D151" s="77"/>
      <c r="E151" s="78" t="str">
        <f>IF($A151=0,"",VLOOKUP($A151,'BASE MATERIAL'!$A:$D,3))</f>
        <v/>
      </c>
      <c r="F151" s="55"/>
      <c r="G151" s="55" t="str">
        <f>IF($A151=0,"",VLOOKUP($A151,'BASE MATERIAL'!$A:$D,4))</f>
        <v/>
      </c>
      <c r="H151" s="56" t="str">
        <f t="shared" si="14"/>
        <v/>
      </c>
      <c r="I151" s="2"/>
      <c r="L151" s="2"/>
      <c r="M151" s="2"/>
      <c r="N151" s="39"/>
      <c r="O151" s="2"/>
      <c r="P151" s="2"/>
    </row>
    <row r="152" spans="1:16" x14ac:dyDescent="0.25">
      <c r="B152" s="38" t="str">
        <f>IF($A152=0,"",VLOOKUP($A152,'BASE MATERIAL'!$A:$D,2))</f>
        <v/>
      </c>
      <c r="C152" s="2"/>
      <c r="D152" s="77"/>
      <c r="E152" s="78" t="str">
        <f>IF($A152=0,"",VLOOKUP($A152,'BASE MATERIAL'!$A:$D,3))</f>
        <v/>
      </c>
      <c r="F152" s="55"/>
      <c r="G152" s="55" t="str">
        <f>IF($A152=0,"",VLOOKUP($A152,'BASE MATERIAL'!$A:$D,4))</f>
        <v/>
      </c>
      <c r="H152" s="56" t="str">
        <f t="shared" si="14"/>
        <v/>
      </c>
      <c r="I152" s="2"/>
    </row>
    <row r="153" spans="1:16" x14ac:dyDescent="0.25">
      <c r="B153" s="38" t="str">
        <f>IF($A153=0,"",VLOOKUP($A153,'BASE MATERIAL'!$A:$D,2))</f>
        <v/>
      </c>
      <c r="C153" s="2"/>
      <c r="D153" s="77"/>
      <c r="E153" s="78" t="str">
        <f>IF($A153=0,"",VLOOKUP($A153,'BASE MATERIAL'!$A:$D,3))</f>
        <v/>
      </c>
      <c r="F153" s="55"/>
      <c r="G153" s="55" t="str">
        <f>IF($A153=0,"",VLOOKUP($A153,'BASE MATERIAL'!$A:$D,4))</f>
        <v/>
      </c>
      <c r="H153" s="56" t="str">
        <f t="shared" si="14"/>
        <v/>
      </c>
      <c r="I153" s="2"/>
    </row>
    <row r="154" spans="1:16" x14ac:dyDescent="0.25">
      <c r="B154" s="38" t="str">
        <f>IF($A154=0,"",VLOOKUP($A154,'BASE MATERIAL'!$A:$D,2))</f>
        <v/>
      </c>
      <c r="C154" s="2"/>
      <c r="D154" s="77"/>
      <c r="E154" s="78" t="str">
        <f>IF($A154=0,"",VLOOKUP($A154,'BASE MATERIAL'!$A:$D,3))</f>
        <v/>
      </c>
      <c r="F154" s="55"/>
      <c r="G154" s="55" t="str">
        <f>IF($A154=0,"",VLOOKUP($A154,'BASE MATERIAL'!$A:$D,4))</f>
        <v/>
      </c>
      <c r="H154" s="56" t="str">
        <f t="shared" si="14"/>
        <v/>
      </c>
      <c r="I154" s="2"/>
    </row>
    <row r="155" spans="1:16" x14ac:dyDescent="0.25">
      <c r="B155" s="38" t="str">
        <f>IF($A155=0,"",VLOOKUP($A155,'BASE MATERIAL'!$A:$D,2))</f>
        <v/>
      </c>
      <c r="C155" s="2"/>
      <c r="D155" s="77"/>
      <c r="E155" s="78" t="str">
        <f>IF($A155=0,"",VLOOKUP($A155,'BASE MATERIAL'!$A:$D,3))</f>
        <v/>
      </c>
      <c r="F155" s="55"/>
      <c r="G155" s="55" t="str">
        <f>IF($A155=0,"",VLOOKUP($A155,'BASE MATERIAL'!$A:$D,4))</f>
        <v/>
      </c>
      <c r="H155" s="56" t="str">
        <f t="shared" si="14"/>
        <v/>
      </c>
      <c r="I155" s="2"/>
    </row>
    <row r="156" spans="1:16" x14ac:dyDescent="0.25">
      <c r="B156" s="38" t="str">
        <f>IF($A156=0,"",VLOOKUP($A156,'BASE MATERIAL'!$A:$D,2))</f>
        <v/>
      </c>
      <c r="C156" s="2"/>
      <c r="D156" s="81" t="s">
        <v>1682</v>
      </c>
      <c r="E156" s="55" t="str">
        <f>IF($A156=0,"",VLOOKUP($A156,'BASE MATERIAL'!$A:$D,3))</f>
        <v/>
      </c>
      <c r="F156" s="55" t="s">
        <v>1682</v>
      </c>
      <c r="G156" s="55" t="str">
        <f>IF($A156=0,"",VLOOKUP($A156,'BASE MATERIAL'!$A:$D,4))</f>
        <v/>
      </c>
      <c r="H156" s="56" t="str">
        <f>IF($A156=0,"",ROUND(E156*F156,2))</f>
        <v/>
      </c>
      <c r="I156" s="2"/>
    </row>
    <row r="157" spans="1:16" x14ac:dyDescent="0.25">
      <c r="B157" s="73" t="s">
        <v>1681</v>
      </c>
      <c r="C157" s="65"/>
      <c r="D157" s="74"/>
      <c r="E157" s="74"/>
      <c r="F157" s="74"/>
      <c r="G157" s="74"/>
      <c r="H157" s="75">
        <f>ROUND(SUM(H140:H156),2)</f>
        <v>7063</v>
      </c>
      <c r="I157" s="2"/>
    </row>
    <row r="158" spans="1:16" x14ac:dyDescent="0.25">
      <c r="B158" s="38" t="s">
        <v>1680</v>
      </c>
      <c r="C158" s="2"/>
      <c r="D158" s="3"/>
      <c r="E158" s="3"/>
      <c r="F158" s="3"/>
      <c r="G158" s="3"/>
      <c r="H158" s="56"/>
      <c r="I158" s="2"/>
    </row>
    <row r="159" spans="1:16" ht="25.5" x14ac:dyDescent="0.25">
      <c r="B159" s="64" t="s">
        <v>1409</v>
      </c>
      <c r="C159" s="65"/>
      <c r="D159" s="76"/>
      <c r="E159" s="66" t="s">
        <v>1408</v>
      </c>
      <c r="F159" s="66" t="s">
        <v>1679</v>
      </c>
      <c r="G159" s="66" t="s">
        <v>1676</v>
      </c>
      <c r="H159" s="68" t="s">
        <v>1675</v>
      </c>
      <c r="I159" s="2"/>
    </row>
    <row r="160" spans="1:16" x14ac:dyDescent="0.25">
      <c r="A160" s="103">
        <v>19019</v>
      </c>
      <c r="B160" s="51" t="str">
        <f>IF($A160=0,"",VLOOKUP($A160,'BASE EQUIPO'!$A:$D,2))</f>
        <v>TRANSPORTE DE MATERIAL</v>
      </c>
      <c r="C160" s="52"/>
      <c r="D160" s="82"/>
      <c r="E160" s="78" t="str">
        <f>IF($A160=0,"",VLOOKUP($A160,'BASE EQUIPO'!$A:$D,3))</f>
        <v>GLOBAL</v>
      </c>
      <c r="F160" s="55">
        <v>1</v>
      </c>
      <c r="G160" s="83">
        <f>IF($A160=0,"",VLOOKUP($A160,'BASE EQUIPO'!$A:$D,4)*H157)</f>
        <v>211.89</v>
      </c>
      <c r="H160" s="56">
        <f>IF($A160=0,"",ROUND(F160*G160,2))</f>
        <v>211.89</v>
      </c>
      <c r="I160" s="2"/>
    </row>
    <row r="161" spans="1:15" x14ac:dyDescent="0.25">
      <c r="B161" s="38" t="str">
        <f>IF($A161=0,"",VLOOKUP($A161,'BASE EQUIPO'!$A:$D,2))</f>
        <v/>
      </c>
      <c r="C161" s="2"/>
      <c r="D161" s="84"/>
      <c r="E161" s="78" t="str">
        <f>IF($A161=0,"",VLOOKUP($A161,'BASE EQUIPO'!$A:$D,3))</f>
        <v/>
      </c>
      <c r="F161" s="55"/>
      <c r="G161" s="55" t="str">
        <f>IF($A161=0,"",VLOOKUP($A161,'BASE EQUIPO'!$A:$D,4)*H158)</f>
        <v/>
      </c>
      <c r="H161" s="56" t="str">
        <f>IF($A161=0,"",ROUND(F161*G161,2))</f>
        <v/>
      </c>
      <c r="I161" s="2"/>
    </row>
    <row r="162" spans="1:15" x14ac:dyDescent="0.25">
      <c r="B162" s="57" t="str">
        <f>IF($A162=0,"",VLOOKUP($A162,'BASE EQUIPO'!$A:$D,2))</f>
        <v/>
      </c>
      <c r="C162" s="58"/>
      <c r="D162" s="85"/>
      <c r="E162" s="86" t="str">
        <f>IF($A162=0,"",VLOOKUP($A162,'BASE EQUIPO'!$A:$D,3))</f>
        <v/>
      </c>
      <c r="F162" s="59"/>
      <c r="G162" s="59" t="str">
        <f>IF($A162=0,"",VLOOKUP($A162,'BASE EQUIPO'!$A:$D,4)*H159)</f>
        <v/>
      </c>
      <c r="H162" s="60" t="str">
        <f>IF($A162=0,"",ROUND(F162*G162,2))</f>
        <v/>
      </c>
      <c r="I162" s="2"/>
    </row>
    <row r="163" spans="1:15" ht="15.75" thickBot="1" x14ac:dyDescent="0.3">
      <c r="B163" s="87" t="s">
        <v>1674</v>
      </c>
      <c r="C163" s="88"/>
      <c r="D163" s="89"/>
      <c r="E163" s="89"/>
      <c r="F163" s="89"/>
      <c r="G163" s="89"/>
      <c r="H163" s="90">
        <f>ROUND(SUM(H159:H162),2)</f>
        <v>211.89</v>
      </c>
      <c r="I163" s="2"/>
    </row>
    <row r="164" spans="1:15" ht="15.75" x14ac:dyDescent="0.25">
      <c r="B164" s="2"/>
      <c r="C164" s="2"/>
      <c r="D164" s="91" t="s">
        <v>1673</v>
      </c>
      <c r="E164" s="47"/>
      <c r="F164" s="47"/>
      <c r="G164" s="47"/>
      <c r="H164" s="92">
        <f>ROUND(SUM(H163,H157,H138,H128),2)</f>
        <v>7274.89</v>
      </c>
      <c r="I164" s="2"/>
    </row>
    <row r="165" spans="1:15" ht="15.75" x14ac:dyDescent="0.25">
      <c r="A165" s="103">
        <v>40002</v>
      </c>
      <c r="B165" s="2"/>
      <c r="C165" s="2"/>
      <c r="D165" s="93" t="s">
        <v>1672</v>
      </c>
      <c r="E165" s="65"/>
      <c r="F165" s="65"/>
      <c r="G165" s="94">
        <f>IF($A165=0,"",VLOOKUP($A165,'BASE MATERIAL'!$M:$P,4))</f>
        <v>0</v>
      </c>
      <c r="H165" s="95">
        <f>IF($A165=0,"",ROUND(G165*H164,2))</f>
        <v>0</v>
      </c>
      <c r="I165" s="2"/>
    </row>
    <row r="166" spans="1:15" ht="15.75" x14ac:dyDescent="0.25">
      <c r="A166" s="103">
        <v>40003</v>
      </c>
      <c r="B166" s="2"/>
      <c r="C166" s="2"/>
      <c r="D166" s="93" t="s">
        <v>1671</v>
      </c>
      <c r="E166" s="65"/>
      <c r="F166" s="65"/>
      <c r="G166" s="94">
        <f>IF($A166=0,"",VLOOKUP($A166,'BASE MATERIAL'!$M:$P,4))</f>
        <v>0</v>
      </c>
      <c r="H166" s="95">
        <f>IF($A166=0,"",ROUND(G166*H164,2))</f>
        <v>0</v>
      </c>
      <c r="I166" s="2"/>
    </row>
    <row r="167" spans="1:15" ht="15.75" x14ac:dyDescent="0.25">
      <c r="B167" s="2"/>
      <c r="C167" s="2"/>
      <c r="D167" s="93" t="s">
        <v>1670</v>
      </c>
      <c r="E167" s="65"/>
      <c r="F167" s="65"/>
      <c r="G167" s="65"/>
      <c r="H167" s="96">
        <f>ROUND(SUM(H164:H166),2)</f>
        <v>7274.89</v>
      </c>
      <c r="I167" s="2"/>
    </row>
    <row r="168" spans="1:15" ht="16.5" thickBot="1" x14ac:dyDescent="0.3">
      <c r="B168" s="25"/>
      <c r="C168" s="2"/>
      <c r="D168" s="97" t="s">
        <v>1650</v>
      </c>
      <c r="E168" s="88"/>
      <c r="F168" s="88"/>
      <c r="G168" s="88"/>
      <c r="H168" s="98">
        <f>ROUND(H167,2)</f>
        <v>7274.89</v>
      </c>
      <c r="I168" s="2"/>
    </row>
    <row r="169" spans="1:15" ht="15.75" x14ac:dyDescent="0.25">
      <c r="B169" s="34" t="s">
        <v>1701</v>
      </c>
      <c r="C169" s="2"/>
      <c r="D169" s="3" t="str">
        <f>$D$1</f>
        <v>ESPOL</v>
      </c>
      <c r="E169" s="2"/>
      <c r="F169" s="2"/>
      <c r="H169" s="2" t="s">
        <v>108</v>
      </c>
      <c r="I169" s="2"/>
      <c r="L169" s="40">
        <f>A173</f>
        <v>2</v>
      </c>
      <c r="M169" s="1" t="str">
        <f>C174</f>
        <v xml:space="preserve">Split Piso techo de 60,000 btuh  </v>
      </c>
      <c r="N169" s="2" t="str">
        <f>H173</f>
        <v>U</v>
      </c>
      <c r="O169" s="2">
        <f>H224</f>
        <v>2493.63</v>
      </c>
    </row>
    <row r="170" spans="1:15" ht="15.75" x14ac:dyDescent="0.25">
      <c r="B170" s="34" t="s">
        <v>1700</v>
      </c>
      <c r="C170" s="3">
        <f>'1.1'!$C$2</f>
        <v>0</v>
      </c>
      <c r="D170" s="2"/>
      <c r="E170" s="2"/>
      <c r="F170" s="2"/>
      <c r="G170" s="41" t="s">
        <v>1699</v>
      </c>
      <c r="H170" s="42"/>
      <c r="I170" s="2" t="s">
        <v>1698</v>
      </c>
    </row>
    <row r="171" spans="1:15" ht="15.75" x14ac:dyDescent="0.25">
      <c r="B171" s="34"/>
      <c r="C171" s="3">
        <f>'1.1'!$C$3</f>
        <v>0</v>
      </c>
      <c r="D171" s="2"/>
      <c r="E171" s="2"/>
      <c r="F171" s="2"/>
      <c r="G171" s="2"/>
      <c r="H171" s="2"/>
      <c r="I171" s="2"/>
    </row>
    <row r="172" spans="1:15" ht="15.75" x14ac:dyDescent="0.25">
      <c r="B172" s="34" t="s">
        <v>1697</v>
      </c>
      <c r="C172" s="3"/>
      <c r="D172" s="2"/>
      <c r="E172" s="2"/>
      <c r="F172" s="2"/>
      <c r="G172" s="2"/>
      <c r="H172" s="2"/>
      <c r="I172" s="2"/>
    </row>
    <row r="173" spans="1:15" x14ac:dyDescent="0.25">
      <c r="A173" s="104">
        <v>2</v>
      </c>
      <c r="B173" s="2" t="s">
        <v>1586</v>
      </c>
      <c r="C173" s="101" t="s">
        <v>1319</v>
      </c>
      <c r="D173" s="2"/>
      <c r="G173" s="2" t="s">
        <v>1696</v>
      </c>
      <c r="H173" s="3" t="s">
        <v>744</v>
      </c>
      <c r="I173" s="2"/>
    </row>
    <row r="174" spans="1:15" ht="15.75" x14ac:dyDescent="0.25">
      <c r="B174" s="1" t="s">
        <v>1585</v>
      </c>
      <c r="C174" s="35" t="s">
        <v>196</v>
      </c>
      <c r="D174" s="2"/>
      <c r="E174" s="2"/>
      <c r="F174" s="2"/>
      <c r="G174" s="2"/>
      <c r="H174" s="2"/>
      <c r="I174" s="2"/>
    </row>
    <row r="175" spans="1:15" ht="15.75" thickBot="1" x14ac:dyDescent="0.3">
      <c r="D175" s="2"/>
      <c r="E175" s="2"/>
      <c r="F175" s="2"/>
      <c r="G175" s="2"/>
      <c r="H175" s="2"/>
      <c r="I175" s="2"/>
    </row>
    <row r="176" spans="1:15" ht="15.75" thickBot="1" x14ac:dyDescent="0.3">
      <c r="B176" s="43" t="s">
        <v>1695</v>
      </c>
      <c r="C176" s="44"/>
      <c r="D176" s="44"/>
      <c r="E176" s="44"/>
      <c r="F176" s="44"/>
      <c r="G176" s="44"/>
      <c r="H176" s="45"/>
      <c r="I176" s="2"/>
    </row>
    <row r="177" spans="1:9" ht="25.5" x14ac:dyDescent="0.25">
      <c r="B177" s="46" t="s">
        <v>1409</v>
      </c>
      <c r="C177" s="47"/>
      <c r="D177" s="48" t="s">
        <v>1690</v>
      </c>
      <c r="E177" s="48" t="s">
        <v>1694</v>
      </c>
      <c r="F177" s="48" t="s">
        <v>1693</v>
      </c>
      <c r="G177" s="49" t="s">
        <v>1687</v>
      </c>
      <c r="H177" s="50" t="s">
        <v>1686</v>
      </c>
      <c r="I177" s="2"/>
    </row>
    <row r="178" spans="1:9" x14ac:dyDescent="0.25">
      <c r="A178" s="103">
        <v>19015</v>
      </c>
      <c r="B178" s="51" t="str">
        <f>IF($A178=0,"",VLOOKUP($A178,'BASE EQUIPO'!$A:$D,2))</f>
        <v>HERRAMIENTA MENOR</v>
      </c>
      <c r="C178" s="52"/>
      <c r="D178" s="53">
        <v>1</v>
      </c>
      <c r="E178" s="53">
        <f>IF($A178=0,"",VLOOKUP($A178,'BASE EQUIPO'!$A:$D,4)*H194)</f>
        <v>0</v>
      </c>
      <c r="F178" s="53">
        <f t="shared" ref="F178:F183" si="15">IF($A178=0,"",ROUND(D178*E178,2))</f>
        <v>0</v>
      </c>
      <c r="G178" s="105">
        <v>1</v>
      </c>
      <c r="H178" s="54">
        <f t="shared" ref="H178:H183" si="16">IF($A178=0,"",ROUND(G178*F178,2))</f>
        <v>0</v>
      </c>
      <c r="I178" s="2"/>
    </row>
    <row r="179" spans="1:9" x14ac:dyDescent="0.25">
      <c r="B179" s="38" t="str">
        <f>IF($A179=0,"",VLOOKUP($A179,'BASE EQUIPO'!$A:$D,2))</f>
        <v/>
      </c>
      <c r="C179" s="2"/>
      <c r="D179" s="55"/>
      <c r="E179" s="55" t="str">
        <f>IF($A179=0,"",VLOOKUP($A179,'BASE EQUIPO'!$A:$D,4))</f>
        <v/>
      </c>
      <c r="F179" s="55" t="str">
        <f t="shared" si="15"/>
        <v/>
      </c>
      <c r="G179" s="106"/>
      <c r="H179" s="56" t="str">
        <f t="shared" si="16"/>
        <v/>
      </c>
      <c r="I179" s="2"/>
    </row>
    <row r="180" spans="1:9" x14ac:dyDescent="0.25">
      <c r="B180" s="38" t="str">
        <f>IF($A180=0,"",VLOOKUP($A180,'BASE EQUIPO'!$A:$D,2))</f>
        <v/>
      </c>
      <c r="C180" s="2"/>
      <c r="D180" s="55"/>
      <c r="E180" s="55" t="str">
        <f>IF($A180=0,"",VLOOKUP($A180,'BASE EQUIPO'!$A:$D,4))</f>
        <v/>
      </c>
      <c r="F180" s="55" t="str">
        <f t="shared" si="15"/>
        <v/>
      </c>
      <c r="G180" s="106"/>
      <c r="H180" s="56" t="str">
        <f t="shared" si="16"/>
        <v/>
      </c>
      <c r="I180" s="2"/>
    </row>
    <row r="181" spans="1:9" x14ac:dyDescent="0.25">
      <c r="B181" s="38" t="str">
        <f>IF($A181=0,"",VLOOKUP($A181,'BASE EQUIPO'!$A:$D,2))</f>
        <v/>
      </c>
      <c r="C181" s="2"/>
      <c r="D181" s="55"/>
      <c r="E181" s="55" t="str">
        <f>IF($A181=0,"",VLOOKUP($A181,'BASE EQUIPO'!$A:$D,4))</f>
        <v/>
      </c>
      <c r="F181" s="55" t="str">
        <f t="shared" si="15"/>
        <v/>
      </c>
      <c r="G181" s="106"/>
      <c r="H181" s="56" t="str">
        <f t="shared" si="16"/>
        <v/>
      </c>
      <c r="I181" s="2"/>
    </row>
    <row r="182" spans="1:9" x14ac:dyDescent="0.25">
      <c r="B182" s="38" t="str">
        <f>IF($A182=0,"",VLOOKUP($A182,'BASE EQUIPO'!$A:$D,2))</f>
        <v/>
      </c>
      <c r="C182" s="2"/>
      <c r="D182" s="55"/>
      <c r="E182" s="55" t="str">
        <f>IF($A182=0,"",VLOOKUP($A182,'BASE EQUIPO'!$A:$D,4))</f>
        <v/>
      </c>
      <c r="F182" s="55" t="str">
        <f t="shared" si="15"/>
        <v/>
      </c>
      <c r="G182" s="106"/>
      <c r="H182" s="56" t="str">
        <f t="shared" si="16"/>
        <v/>
      </c>
      <c r="I182" s="2"/>
    </row>
    <row r="183" spans="1:9" x14ac:dyDescent="0.25">
      <c r="B183" s="57" t="str">
        <f>IF($A183=0,"",VLOOKUP($A183,'BASE EQUIPO'!$A:$D,2))</f>
        <v/>
      </c>
      <c r="C183" s="58"/>
      <c r="D183" s="59"/>
      <c r="E183" s="59" t="str">
        <f>IF($A183=0,"",VLOOKUP($A183,'BASE EQUIPO'!$A:$D,4))</f>
        <v/>
      </c>
      <c r="F183" s="59" t="str">
        <f t="shared" si="15"/>
        <v/>
      </c>
      <c r="G183" s="107"/>
      <c r="H183" s="60" t="str">
        <f t="shared" si="16"/>
        <v/>
      </c>
      <c r="I183" s="2"/>
    </row>
    <row r="184" spans="1:9" x14ac:dyDescent="0.25">
      <c r="B184" s="57" t="s">
        <v>1692</v>
      </c>
      <c r="C184" s="58"/>
      <c r="D184" s="61"/>
      <c r="E184" s="61"/>
      <c r="F184" s="61"/>
      <c r="G184" s="62"/>
      <c r="H184" s="60">
        <f>ROUND(SUM(H177:H183),2)</f>
        <v>0</v>
      </c>
      <c r="I184" s="2"/>
    </row>
    <row r="185" spans="1:9" x14ac:dyDescent="0.25">
      <c r="B185" s="38" t="s">
        <v>1503</v>
      </c>
      <c r="C185" s="2"/>
      <c r="D185" s="3"/>
      <c r="E185" s="3"/>
      <c r="F185" s="3"/>
      <c r="G185" s="63"/>
      <c r="H185" s="56"/>
      <c r="I185" s="2"/>
    </row>
    <row r="186" spans="1:9" ht="25.5" x14ac:dyDescent="0.25">
      <c r="B186" s="64" t="s">
        <v>1691</v>
      </c>
      <c r="C186" s="65"/>
      <c r="D186" s="66" t="s">
        <v>1690</v>
      </c>
      <c r="E186" s="66" t="s">
        <v>1689</v>
      </c>
      <c r="F186" s="66" t="s">
        <v>1688</v>
      </c>
      <c r="G186" s="67" t="s">
        <v>1687</v>
      </c>
      <c r="H186" s="68" t="s">
        <v>1686</v>
      </c>
      <c r="I186" s="2"/>
    </row>
    <row r="187" spans="1:9" x14ac:dyDescent="0.25">
      <c r="B187" s="69" t="str">
        <f>IF($A187=0,"",VLOOKUP($A187,'BASE M-OBRA'!$A:$D,2))</f>
        <v/>
      </c>
      <c r="C187" s="2"/>
      <c r="D187" s="108"/>
      <c r="E187" s="70" t="str">
        <f>IF($A187=0,"",VLOOKUP($A187,'BASE M-OBRA'!$A:$D,4))</f>
        <v/>
      </c>
      <c r="F187" s="55" t="str">
        <f t="shared" ref="F187:F193" si="17">IF($A187=0,"",ROUND(D187*E187,2))</f>
        <v/>
      </c>
      <c r="G187" s="106" t="str">
        <f>IF($A187=0,"",ROUND(H187/F187,2))</f>
        <v/>
      </c>
      <c r="H187" s="56" t="str">
        <f>IF($A187=0,"",ROUND(SUM(H188:H193)*'BASE M-OBRA'!$D$23,2))</f>
        <v/>
      </c>
      <c r="I187" s="2"/>
    </row>
    <row r="188" spans="1:9" x14ac:dyDescent="0.25">
      <c r="B188" s="69" t="str">
        <f>IF($A188=0,"",VLOOKUP($A188,'BASE M-OBRA'!$A:$D,2))</f>
        <v/>
      </c>
      <c r="C188" s="2"/>
      <c r="D188" s="108"/>
      <c r="E188" s="70" t="str">
        <f>IF($A188=0,"",VLOOKUP($A188,'BASE M-OBRA'!$A:$D,4))</f>
        <v/>
      </c>
      <c r="F188" s="55" t="str">
        <f t="shared" si="17"/>
        <v/>
      </c>
      <c r="G188" s="106"/>
      <c r="H188" s="56" t="str">
        <f t="shared" ref="H188:H193" si="18">IF($A188=0,"",ROUND(G188*F188,2))</f>
        <v/>
      </c>
      <c r="I188" s="2"/>
    </row>
    <row r="189" spans="1:9" x14ac:dyDescent="0.25">
      <c r="B189" s="69" t="str">
        <f>IF($A189=0,"",VLOOKUP($A189,'BASE M-OBRA'!$A:$D,2))</f>
        <v/>
      </c>
      <c r="C189" s="2"/>
      <c r="D189" s="108"/>
      <c r="E189" s="70" t="str">
        <f>IF($A189=0,"",VLOOKUP($A189,'BASE M-OBRA'!$A:$D,4))</f>
        <v/>
      </c>
      <c r="F189" s="55" t="str">
        <f t="shared" si="17"/>
        <v/>
      </c>
      <c r="G189" s="106"/>
      <c r="H189" s="56" t="str">
        <f t="shared" si="18"/>
        <v/>
      </c>
      <c r="I189" s="2"/>
    </row>
    <row r="190" spans="1:9" x14ac:dyDescent="0.25">
      <c r="B190" s="71" t="str">
        <f>IF($A190=0,"",VLOOKUP($A190,'BASE M-OBRA'!$A:$D,2))</f>
        <v/>
      </c>
      <c r="C190" s="2"/>
      <c r="D190" s="108"/>
      <c r="E190" s="70" t="str">
        <f>IF($A190=0,"",VLOOKUP($A190,'BASE M-OBRA'!$A:$D,4))</f>
        <v/>
      </c>
      <c r="F190" s="55" t="str">
        <f t="shared" si="17"/>
        <v/>
      </c>
      <c r="G190" s="106"/>
      <c r="H190" s="56" t="str">
        <f t="shared" si="18"/>
        <v/>
      </c>
      <c r="I190" s="2"/>
    </row>
    <row r="191" spans="1:9" x14ac:dyDescent="0.25">
      <c r="B191" s="72" t="str">
        <f>IF($A191=0,"",VLOOKUP($A191,'BASE M-OBRA'!$A:$D,2))</f>
        <v/>
      </c>
      <c r="C191" s="2"/>
      <c r="D191" s="108"/>
      <c r="E191" s="70" t="str">
        <f>IF($A191=0,"",VLOOKUP($A191,'BASE M-OBRA'!$A:$D,4))</f>
        <v/>
      </c>
      <c r="F191" s="55" t="str">
        <f t="shared" si="17"/>
        <v/>
      </c>
      <c r="G191" s="106"/>
      <c r="H191" s="56" t="str">
        <f t="shared" si="18"/>
        <v/>
      </c>
      <c r="I191" s="2"/>
    </row>
    <row r="192" spans="1:9" x14ac:dyDescent="0.25">
      <c r="B192" s="38" t="str">
        <f>IF($A192=0,"",VLOOKUP($A192,'BASE M-OBRA'!$A:$D,2))</f>
        <v/>
      </c>
      <c r="C192" s="2"/>
      <c r="D192" s="55"/>
      <c r="E192" s="55" t="str">
        <f>IF($A192=0,"",VLOOKUP($A192,'BASE M-OBRA'!$A:$D,4))</f>
        <v/>
      </c>
      <c r="F192" s="55" t="str">
        <f t="shared" si="17"/>
        <v/>
      </c>
      <c r="G192" s="106"/>
      <c r="H192" s="56" t="str">
        <f t="shared" si="18"/>
        <v/>
      </c>
      <c r="I192" s="2"/>
    </row>
    <row r="193" spans="1:16" x14ac:dyDescent="0.25">
      <c r="B193" s="57" t="str">
        <f>IF($A193=0,"",VLOOKUP($A193,'BASE M-OBRA'!$A:$D,2))</f>
        <v/>
      </c>
      <c r="C193" s="58"/>
      <c r="D193" s="59"/>
      <c r="E193" s="59" t="str">
        <f>IF($A193=0,"",VLOOKUP($A193,'BASE M-OBRA'!$A:$D,4))</f>
        <v/>
      </c>
      <c r="F193" s="59" t="str">
        <f t="shared" si="17"/>
        <v/>
      </c>
      <c r="G193" s="107"/>
      <c r="H193" s="60" t="str">
        <f t="shared" si="18"/>
        <v/>
      </c>
      <c r="I193" s="2"/>
    </row>
    <row r="194" spans="1:16" x14ac:dyDescent="0.25">
      <c r="B194" s="73" t="s">
        <v>1685</v>
      </c>
      <c r="C194" s="65"/>
      <c r="D194" s="74"/>
      <c r="E194" s="74"/>
      <c r="F194" s="74"/>
      <c r="G194" s="74"/>
      <c r="H194" s="75">
        <f>ROUND(SUM(H186:H193),2)</f>
        <v>0</v>
      </c>
      <c r="I194" s="2"/>
    </row>
    <row r="195" spans="1:16" x14ac:dyDescent="0.25">
      <c r="B195" s="38" t="s">
        <v>1684</v>
      </c>
      <c r="C195" s="2"/>
      <c r="D195" s="3"/>
      <c r="E195" s="3"/>
      <c r="F195" s="3"/>
      <c r="G195" s="3"/>
      <c r="H195" s="56"/>
      <c r="I195" s="2"/>
    </row>
    <row r="196" spans="1:16" ht="25.5" x14ac:dyDescent="0.25">
      <c r="B196" s="64" t="s">
        <v>1409</v>
      </c>
      <c r="C196" s="65"/>
      <c r="D196" s="76"/>
      <c r="E196" s="66" t="s">
        <v>1408</v>
      </c>
      <c r="F196" s="66" t="s">
        <v>1679</v>
      </c>
      <c r="G196" s="66" t="s">
        <v>1683</v>
      </c>
      <c r="H196" s="68" t="s">
        <v>1675</v>
      </c>
      <c r="I196" s="2"/>
    </row>
    <row r="197" spans="1:16" x14ac:dyDescent="0.25">
      <c r="A197" s="103">
        <v>1</v>
      </c>
      <c r="B197" s="100" t="s">
        <v>196</v>
      </c>
      <c r="C197" s="2"/>
      <c r="D197" s="77"/>
      <c r="E197" s="78" t="s">
        <v>744</v>
      </c>
      <c r="F197" s="55">
        <v>1</v>
      </c>
      <c r="G197" s="55">
        <v>2421</v>
      </c>
      <c r="H197" s="56">
        <f t="shared" ref="H197:H211" si="19">IF($A197=0,"",ROUND(F197*G197,2))</f>
        <v>2421</v>
      </c>
      <c r="I197" s="2"/>
      <c r="J197" s="1">
        <v>1392.3</v>
      </c>
      <c r="L197" s="2"/>
      <c r="M197" s="2"/>
      <c r="N197" s="39"/>
      <c r="O197" s="2"/>
      <c r="P197" s="2"/>
    </row>
    <row r="198" spans="1:16" x14ac:dyDescent="0.25">
      <c r="B198" s="38" t="str">
        <f>IF($A198=0,"",VLOOKUP($A198,'BASE MATERIAL'!$A:$D,2))</f>
        <v/>
      </c>
      <c r="C198" s="2"/>
      <c r="D198" s="77"/>
      <c r="E198" s="78" t="str">
        <f>IF($A198=0,"",VLOOKUP($A198,'BASE MATERIAL'!$A:$D,3))</f>
        <v/>
      </c>
      <c r="F198" s="55"/>
      <c r="G198" s="55" t="str">
        <f>IF($A198=0,"",VLOOKUP($A198,'BASE MATERIAL'!$A:$D,4))</f>
        <v/>
      </c>
      <c r="H198" s="56" t="str">
        <f t="shared" si="19"/>
        <v/>
      </c>
      <c r="I198" s="2"/>
      <c r="L198" s="2"/>
      <c r="M198" s="2"/>
      <c r="N198" s="39"/>
      <c r="O198" s="2"/>
      <c r="P198" s="2"/>
    </row>
    <row r="199" spans="1:16" x14ac:dyDescent="0.25">
      <c r="B199" s="38" t="str">
        <f>IF($A199=0,"",VLOOKUP($A199,'BASE MATERIAL'!$A:$D,2))</f>
        <v/>
      </c>
      <c r="C199" s="2"/>
      <c r="D199" s="77"/>
      <c r="E199" s="78" t="str">
        <f>IF($A199=0,"",VLOOKUP($A199,'BASE MATERIAL'!$A:$D,3))</f>
        <v/>
      </c>
      <c r="F199" s="55"/>
      <c r="G199" s="55" t="str">
        <f>IF($A199=0,"",VLOOKUP($A199,'BASE MATERIAL'!$A:$D,4))</f>
        <v/>
      </c>
      <c r="H199" s="56" t="str">
        <f t="shared" si="19"/>
        <v/>
      </c>
      <c r="I199" s="2"/>
      <c r="L199" s="2"/>
      <c r="M199" s="2"/>
      <c r="N199" s="39"/>
      <c r="O199" s="2"/>
      <c r="P199" s="2"/>
    </row>
    <row r="200" spans="1:16" x14ac:dyDescent="0.25">
      <c r="B200" s="38" t="str">
        <f>IF($A200=0,"",VLOOKUP($A200,'BASE MATERIAL'!$A:$D,2))</f>
        <v/>
      </c>
      <c r="C200" s="2"/>
      <c r="D200" s="77"/>
      <c r="E200" s="78" t="str">
        <f>IF($A200=0,"",VLOOKUP($A200,'BASE MATERIAL'!$A:$D,3))</f>
        <v/>
      </c>
      <c r="F200" s="55"/>
      <c r="G200" s="55" t="str">
        <f>IF($A200=0,"",VLOOKUP($A200,'BASE MATERIAL'!$A:$D,4))</f>
        <v/>
      </c>
      <c r="H200" s="56" t="str">
        <f t="shared" si="19"/>
        <v/>
      </c>
      <c r="I200" s="2"/>
      <c r="L200" s="2"/>
      <c r="M200" s="2"/>
      <c r="N200" s="39"/>
      <c r="O200" s="2"/>
      <c r="P200" s="2"/>
    </row>
    <row r="201" spans="1:16" x14ac:dyDescent="0.25">
      <c r="B201" s="38" t="str">
        <f>IF($A201=0,"",VLOOKUP($A201,'BASE MATERIAL'!$A:$D,2))</f>
        <v/>
      </c>
      <c r="C201" s="2"/>
      <c r="D201" s="77"/>
      <c r="E201" s="78" t="str">
        <f>IF($A201=0,"",VLOOKUP($A201,'BASE MATERIAL'!$A:$D,3))</f>
        <v/>
      </c>
      <c r="F201" s="55"/>
      <c r="G201" s="55" t="str">
        <f>IF($A201=0,"",VLOOKUP($A201,'BASE MATERIAL'!$A:$D,4))</f>
        <v/>
      </c>
      <c r="H201" s="56" t="str">
        <f t="shared" si="19"/>
        <v/>
      </c>
      <c r="I201" s="2"/>
      <c r="L201" s="2"/>
      <c r="M201" s="2"/>
      <c r="N201" s="39"/>
      <c r="O201" s="2"/>
      <c r="P201" s="2"/>
    </row>
    <row r="202" spans="1:16" x14ac:dyDescent="0.25">
      <c r="B202" s="38" t="str">
        <f>IF($A202=0,"",VLOOKUP($A202,'BASE MATERIAL'!$A:$D,2))</f>
        <v/>
      </c>
      <c r="C202" s="2"/>
      <c r="D202" s="77"/>
      <c r="E202" s="78" t="str">
        <f>IF($A202=0,"",VLOOKUP($A202,'BASE MATERIAL'!$A:$D,3))</f>
        <v/>
      </c>
      <c r="F202" s="55"/>
      <c r="G202" s="55" t="str">
        <f>IF($A202=0,"",VLOOKUP($A202,'BASE MATERIAL'!$A:$D,4))</f>
        <v/>
      </c>
      <c r="H202" s="56" t="str">
        <f t="shared" si="19"/>
        <v/>
      </c>
      <c r="I202" s="2"/>
      <c r="L202" s="2"/>
      <c r="M202" s="2"/>
      <c r="N202" s="39"/>
      <c r="O202" s="2"/>
      <c r="P202" s="2"/>
    </row>
    <row r="203" spans="1:16" x14ac:dyDescent="0.25">
      <c r="B203" s="38" t="str">
        <f>IF($A203=0,"",VLOOKUP($A203,'BASE MATERIAL'!$A:$D,2))</f>
        <v/>
      </c>
      <c r="C203" s="2"/>
      <c r="D203" s="77"/>
      <c r="E203" s="78" t="str">
        <f>IF($A203=0,"",VLOOKUP($A203,'BASE MATERIAL'!$A:$D,3))</f>
        <v/>
      </c>
      <c r="F203" s="55"/>
      <c r="G203" s="55" t="str">
        <f>IF($A203=0,"",VLOOKUP($A203,'BASE MATERIAL'!$A:$D,4))</f>
        <v/>
      </c>
      <c r="H203" s="56" t="str">
        <f t="shared" si="19"/>
        <v/>
      </c>
      <c r="I203" s="2"/>
      <c r="L203" s="2"/>
      <c r="M203" s="2"/>
      <c r="N203" s="39"/>
      <c r="O203" s="2"/>
      <c r="P203" s="2"/>
    </row>
    <row r="204" spans="1:16" x14ac:dyDescent="0.25">
      <c r="B204" s="38" t="str">
        <f>IF($A204=0,"",VLOOKUP($A204,'BASE MATERIAL'!$A:$D,2))</f>
        <v/>
      </c>
      <c r="C204" s="2"/>
      <c r="D204" s="77"/>
      <c r="E204" s="78" t="str">
        <f>IF($A204=0,"",VLOOKUP($A204,'BASE MATERIAL'!$A:$D,3))</f>
        <v/>
      </c>
      <c r="F204" s="55"/>
      <c r="G204" s="55" t="str">
        <f>IF($A204=0,"",VLOOKUP($A204,'BASE MATERIAL'!$A:$D,4))</f>
        <v/>
      </c>
      <c r="H204" s="56" t="str">
        <f t="shared" si="19"/>
        <v/>
      </c>
      <c r="I204" s="2"/>
      <c r="L204" s="2"/>
      <c r="M204" s="2"/>
      <c r="N204" s="39"/>
      <c r="O204" s="2"/>
      <c r="P204" s="2"/>
    </row>
    <row r="205" spans="1:16" x14ac:dyDescent="0.25">
      <c r="B205" s="38" t="str">
        <f>IF($A205=0,"",VLOOKUP($A205,'BASE MATERIAL'!$A:$D,2))</f>
        <v/>
      </c>
      <c r="C205" s="2"/>
      <c r="D205" s="77"/>
      <c r="E205" s="78" t="str">
        <f>IF($A205=0,"",VLOOKUP($A205,'BASE MATERIAL'!$A:$D,3))</f>
        <v/>
      </c>
      <c r="F205" s="55"/>
      <c r="G205" s="55" t="str">
        <f>IF($A205=0,"",VLOOKUP($A205,'BASE MATERIAL'!$A:$D,4))</f>
        <v/>
      </c>
      <c r="H205" s="56" t="str">
        <f t="shared" si="19"/>
        <v/>
      </c>
      <c r="I205" s="2"/>
    </row>
    <row r="206" spans="1:16" x14ac:dyDescent="0.25">
      <c r="B206" s="38" t="str">
        <f>IF($A206=0,"",VLOOKUP($A206,'BASE MATERIAL'!$A:$D,2))</f>
        <v/>
      </c>
      <c r="C206" s="2"/>
      <c r="D206" s="77"/>
      <c r="E206" s="78" t="str">
        <f>IF($A206=0,"",VLOOKUP($A206,'BASE MATERIAL'!$A:$D,3))</f>
        <v/>
      </c>
      <c r="F206" s="55"/>
      <c r="G206" s="55" t="str">
        <f>IF($A206=0,"",VLOOKUP($A206,'BASE MATERIAL'!$A:$D,4))</f>
        <v/>
      </c>
      <c r="H206" s="56" t="str">
        <f t="shared" si="19"/>
        <v/>
      </c>
      <c r="I206" s="2"/>
      <c r="L206" s="2"/>
      <c r="M206" s="2"/>
      <c r="N206" s="39"/>
      <c r="O206" s="2"/>
      <c r="P206" s="2"/>
    </row>
    <row r="207" spans="1:16" x14ac:dyDescent="0.25">
      <c r="B207" s="38" t="str">
        <f>IF($A207=0,"",VLOOKUP($A207,'BASE MATERIAL'!$A:$D,2))</f>
        <v/>
      </c>
      <c r="C207" s="2"/>
      <c r="D207" s="77"/>
      <c r="E207" s="78" t="str">
        <f>IF($A207=0,"",VLOOKUP($A207,'BASE MATERIAL'!$A:$D,3))</f>
        <v/>
      </c>
      <c r="F207" s="55"/>
      <c r="G207" s="55" t="str">
        <f>IF($A207=0,"",VLOOKUP($A207,'BASE MATERIAL'!$A:$D,4))</f>
        <v/>
      </c>
      <c r="H207" s="56" t="str">
        <f t="shared" si="19"/>
        <v/>
      </c>
      <c r="I207" s="2"/>
      <c r="L207" s="2"/>
      <c r="M207" s="2"/>
      <c r="N207" s="39"/>
      <c r="O207" s="2"/>
      <c r="P207" s="2"/>
    </row>
    <row r="208" spans="1:16" x14ac:dyDescent="0.25">
      <c r="B208" s="38" t="str">
        <f>IF($A208=0,"",VLOOKUP($A208,'BASE MATERIAL'!$A:$D,2))</f>
        <v/>
      </c>
      <c r="C208" s="2"/>
      <c r="D208" s="77"/>
      <c r="E208" s="78" t="str">
        <f>IF($A208=0,"",VLOOKUP($A208,'BASE MATERIAL'!$A:$D,3))</f>
        <v/>
      </c>
      <c r="F208" s="55"/>
      <c r="G208" s="55" t="str">
        <f>IF($A208=0,"",VLOOKUP($A208,'BASE MATERIAL'!$A:$D,4))</f>
        <v/>
      </c>
      <c r="H208" s="56" t="str">
        <f t="shared" si="19"/>
        <v/>
      </c>
      <c r="I208" s="2"/>
    </row>
    <row r="209" spans="1:9" x14ac:dyDescent="0.25">
      <c r="B209" s="38" t="str">
        <f>IF($A209=0,"",VLOOKUP($A209,'BASE MATERIAL'!$A:$D,2))</f>
        <v/>
      </c>
      <c r="C209" s="2"/>
      <c r="D209" s="77"/>
      <c r="E209" s="78" t="str">
        <f>IF($A209=0,"",VLOOKUP($A209,'BASE MATERIAL'!$A:$D,3))</f>
        <v/>
      </c>
      <c r="F209" s="55"/>
      <c r="G209" s="55" t="str">
        <f>IF($A209=0,"",VLOOKUP($A209,'BASE MATERIAL'!$A:$D,4))</f>
        <v/>
      </c>
      <c r="H209" s="56" t="str">
        <f t="shared" si="19"/>
        <v/>
      </c>
      <c r="I209" s="2"/>
    </row>
    <row r="210" spans="1:9" x14ac:dyDescent="0.25">
      <c r="B210" s="38" t="str">
        <f>IF($A210=0,"",VLOOKUP($A210,'BASE MATERIAL'!$A:$D,2))</f>
        <v/>
      </c>
      <c r="C210" s="2"/>
      <c r="D210" s="77"/>
      <c r="E210" s="78" t="str">
        <f>IF($A210=0,"",VLOOKUP($A210,'BASE MATERIAL'!$A:$D,3))</f>
        <v/>
      </c>
      <c r="F210" s="55"/>
      <c r="G210" s="55" t="str">
        <f>IF($A210=0,"",VLOOKUP($A210,'BASE MATERIAL'!$A:$D,4))</f>
        <v/>
      </c>
      <c r="H210" s="56" t="str">
        <f t="shared" si="19"/>
        <v/>
      </c>
      <c r="I210" s="2"/>
    </row>
    <row r="211" spans="1:9" x14ac:dyDescent="0.25">
      <c r="B211" s="38" t="str">
        <f>IF($A211=0,"",VLOOKUP($A211,'BASE MATERIAL'!$A:$D,2))</f>
        <v/>
      </c>
      <c r="C211" s="2"/>
      <c r="D211" s="77"/>
      <c r="E211" s="78" t="str">
        <f>IF($A211=0,"",VLOOKUP($A211,'BASE MATERIAL'!$A:$D,3))</f>
        <v/>
      </c>
      <c r="F211" s="55"/>
      <c r="G211" s="55" t="str">
        <f>IF($A211=0,"",VLOOKUP($A211,'BASE MATERIAL'!$A:$D,4))</f>
        <v/>
      </c>
      <c r="H211" s="56" t="str">
        <f t="shared" si="19"/>
        <v/>
      </c>
      <c r="I211" s="2"/>
    </row>
    <row r="212" spans="1:9" x14ac:dyDescent="0.25">
      <c r="B212" s="38" t="str">
        <f>IF($A212=0,"",VLOOKUP($A212,'BASE MATERIAL'!$A:$D,2))</f>
        <v/>
      </c>
      <c r="C212" s="2"/>
      <c r="D212" s="81" t="s">
        <v>1682</v>
      </c>
      <c r="E212" s="55" t="str">
        <f>IF($A212=0,"",VLOOKUP($A212,'BASE MATERIAL'!$A:$D,3))</f>
        <v/>
      </c>
      <c r="F212" s="55" t="s">
        <v>1682</v>
      </c>
      <c r="G212" s="55" t="str">
        <f>IF($A212=0,"",VLOOKUP($A212,'BASE MATERIAL'!$A:$D,4))</f>
        <v/>
      </c>
      <c r="H212" s="56" t="str">
        <f>IF($A212=0,"",ROUND(E212*F212,2))</f>
        <v/>
      </c>
      <c r="I212" s="2"/>
    </row>
    <row r="213" spans="1:9" x14ac:dyDescent="0.25">
      <c r="B213" s="73" t="s">
        <v>1681</v>
      </c>
      <c r="C213" s="65"/>
      <c r="D213" s="74"/>
      <c r="E213" s="74"/>
      <c r="F213" s="74"/>
      <c r="G213" s="74"/>
      <c r="H213" s="75">
        <f>ROUND(SUM(H196:H212),2)</f>
        <v>2421</v>
      </c>
      <c r="I213" s="2"/>
    </row>
    <row r="214" spans="1:9" x14ac:dyDescent="0.25">
      <c r="B214" s="38" t="s">
        <v>1680</v>
      </c>
      <c r="C214" s="2"/>
      <c r="D214" s="3"/>
      <c r="E214" s="3"/>
      <c r="F214" s="3"/>
      <c r="G214" s="3"/>
      <c r="H214" s="56"/>
      <c r="I214" s="2"/>
    </row>
    <row r="215" spans="1:9" ht="25.5" x14ac:dyDescent="0.25">
      <c r="B215" s="64" t="s">
        <v>1409</v>
      </c>
      <c r="C215" s="65"/>
      <c r="D215" s="76"/>
      <c r="E215" s="66" t="s">
        <v>1408</v>
      </c>
      <c r="F215" s="66" t="s">
        <v>1679</v>
      </c>
      <c r="G215" s="66" t="s">
        <v>1676</v>
      </c>
      <c r="H215" s="68" t="s">
        <v>1675</v>
      </c>
      <c r="I215" s="2"/>
    </row>
    <row r="216" spans="1:9" x14ac:dyDescent="0.25">
      <c r="A216" s="103">
        <v>19019</v>
      </c>
      <c r="B216" s="51" t="str">
        <f>IF($A216=0,"",VLOOKUP($A216,'BASE EQUIPO'!$A:$D,2))</f>
        <v>TRANSPORTE DE MATERIAL</v>
      </c>
      <c r="C216" s="52"/>
      <c r="D216" s="82"/>
      <c r="E216" s="78" t="str">
        <f>IF($A216=0,"",VLOOKUP($A216,'BASE EQUIPO'!$A:$D,3))</f>
        <v>GLOBAL</v>
      </c>
      <c r="F216" s="55">
        <v>1</v>
      </c>
      <c r="G216" s="83">
        <f>IF($A216=0,"",VLOOKUP($A216,'BASE EQUIPO'!$A:$D,4)*H213)</f>
        <v>72.63</v>
      </c>
      <c r="H216" s="56">
        <f>IF($A216=0,"",ROUND(F216*G216,2))</f>
        <v>72.63</v>
      </c>
      <c r="I216" s="2"/>
    </row>
    <row r="217" spans="1:9" x14ac:dyDescent="0.25">
      <c r="B217" s="38" t="str">
        <f>IF($A217=0,"",VLOOKUP($A217,'BASE EQUIPO'!$A:$D,2))</f>
        <v/>
      </c>
      <c r="C217" s="2"/>
      <c r="D217" s="84"/>
      <c r="E217" s="78" t="str">
        <f>IF($A217=0,"",VLOOKUP($A217,'BASE EQUIPO'!$A:$D,3))</f>
        <v/>
      </c>
      <c r="F217" s="55"/>
      <c r="G217" s="55" t="str">
        <f>IF($A217=0,"",VLOOKUP($A217,'BASE EQUIPO'!$A:$D,4)*H214)</f>
        <v/>
      </c>
      <c r="H217" s="56" t="str">
        <f>IF($A217=0,"",ROUND(F217*G217,2))</f>
        <v/>
      </c>
      <c r="I217" s="2"/>
    </row>
    <row r="218" spans="1:9" x14ac:dyDescent="0.25">
      <c r="B218" s="57" t="str">
        <f>IF($A218=0,"",VLOOKUP($A218,'BASE EQUIPO'!$A:$D,2))</f>
        <v/>
      </c>
      <c r="C218" s="58"/>
      <c r="D218" s="85"/>
      <c r="E218" s="86" t="str">
        <f>IF($A218=0,"",VLOOKUP($A218,'BASE EQUIPO'!$A:$D,3))</f>
        <v/>
      </c>
      <c r="F218" s="59"/>
      <c r="G218" s="59" t="str">
        <f>IF($A218=0,"",VLOOKUP($A218,'BASE EQUIPO'!$A:$D,4)*H215)</f>
        <v/>
      </c>
      <c r="H218" s="60" t="str">
        <f>IF($A218=0,"",ROUND(F218*G218,2))</f>
        <v/>
      </c>
      <c r="I218" s="2"/>
    </row>
    <row r="219" spans="1:9" ht="15.75" thickBot="1" x14ac:dyDescent="0.3">
      <c r="B219" s="87" t="s">
        <v>1674</v>
      </c>
      <c r="C219" s="88"/>
      <c r="D219" s="89"/>
      <c r="E219" s="89"/>
      <c r="F219" s="89"/>
      <c r="G219" s="89"/>
      <c r="H219" s="90">
        <f>ROUND(SUM(H215:H218),2)</f>
        <v>72.63</v>
      </c>
      <c r="I219" s="2"/>
    </row>
    <row r="220" spans="1:9" ht="15.75" x14ac:dyDescent="0.25">
      <c r="B220" s="2"/>
      <c r="C220" s="2"/>
      <c r="D220" s="91" t="s">
        <v>1673</v>
      </c>
      <c r="E220" s="47"/>
      <c r="F220" s="47"/>
      <c r="G220" s="47"/>
      <c r="H220" s="92">
        <f>ROUND(SUM(H219,H213,H194,H184),2)</f>
        <v>2493.63</v>
      </c>
      <c r="I220" s="2"/>
    </row>
    <row r="221" spans="1:9" ht="15.75" x14ac:dyDescent="0.25">
      <c r="A221" s="103">
        <v>40002</v>
      </c>
      <c r="B221" s="2"/>
      <c r="C221" s="2"/>
      <c r="D221" s="93" t="s">
        <v>1672</v>
      </c>
      <c r="E221" s="65"/>
      <c r="F221" s="65"/>
      <c r="G221" s="94">
        <f>IF($A221=0,"",VLOOKUP($A221,'BASE MATERIAL'!$M:$P,4))</f>
        <v>0</v>
      </c>
      <c r="H221" s="95">
        <f>IF($A221=0,"",ROUND(G221*H220,2))</f>
        <v>0</v>
      </c>
      <c r="I221" s="2"/>
    </row>
    <row r="222" spans="1:9" ht="15.75" x14ac:dyDescent="0.25">
      <c r="A222" s="103">
        <v>40003</v>
      </c>
      <c r="B222" s="2"/>
      <c r="C222" s="2"/>
      <c r="D222" s="93" t="s">
        <v>1671</v>
      </c>
      <c r="E222" s="65"/>
      <c r="F222" s="65"/>
      <c r="G222" s="94">
        <f>IF($A222=0,"",VLOOKUP($A222,'BASE MATERIAL'!$M:$P,4))</f>
        <v>0</v>
      </c>
      <c r="H222" s="95">
        <f>IF($A222=0,"",ROUND(G222*H220,2))</f>
        <v>0</v>
      </c>
      <c r="I222" s="2"/>
    </row>
    <row r="223" spans="1:9" ht="15.75" x14ac:dyDescent="0.25">
      <c r="B223" s="2"/>
      <c r="C223" s="2"/>
      <c r="D223" s="93" t="s">
        <v>1670</v>
      </c>
      <c r="E223" s="65"/>
      <c r="F223" s="65"/>
      <c r="G223" s="65"/>
      <c r="H223" s="96">
        <f>ROUND(SUM(H220:H222),2)</f>
        <v>2493.63</v>
      </c>
      <c r="I223" s="2"/>
    </row>
    <row r="224" spans="1:9" ht="16.5" thickBot="1" x14ac:dyDescent="0.3">
      <c r="B224" s="25"/>
      <c r="C224" s="2"/>
      <c r="D224" s="97" t="s">
        <v>1650</v>
      </c>
      <c r="E224" s="88"/>
      <c r="F224" s="88"/>
      <c r="G224" s="88"/>
      <c r="H224" s="98">
        <f>ROUND(H223,2)</f>
        <v>2493.63</v>
      </c>
      <c r="I224" s="2"/>
    </row>
    <row r="225" spans="1:15" ht="15.75" x14ac:dyDescent="0.25">
      <c r="B225" s="34" t="s">
        <v>1701</v>
      </c>
      <c r="C225" s="2"/>
      <c r="D225" s="3" t="str">
        <f>$D$1</f>
        <v>ESPOL</v>
      </c>
      <c r="E225" s="2"/>
      <c r="F225" s="2"/>
      <c r="H225" s="2" t="s">
        <v>108</v>
      </c>
      <c r="I225" s="2"/>
      <c r="L225" s="40">
        <f>A229</f>
        <v>2</v>
      </c>
      <c r="M225" s="1" t="str">
        <f>C230</f>
        <v xml:space="preserve">Split piso techo de 48,000 btuh  </v>
      </c>
      <c r="N225" s="2" t="str">
        <f>H229</f>
        <v>U</v>
      </c>
      <c r="O225" s="2">
        <f>H280</f>
        <v>1895.2</v>
      </c>
    </row>
    <row r="226" spans="1:15" ht="15.75" x14ac:dyDescent="0.25">
      <c r="B226" s="34" t="s">
        <v>1700</v>
      </c>
      <c r="C226" s="3">
        <f>'1.1'!$C$2</f>
        <v>0</v>
      </c>
      <c r="D226" s="2"/>
      <c r="E226" s="2"/>
      <c r="F226" s="2"/>
      <c r="G226" s="41" t="s">
        <v>1699</v>
      </c>
      <c r="H226" s="42"/>
      <c r="I226" s="2" t="s">
        <v>1698</v>
      </c>
    </row>
    <row r="227" spans="1:15" ht="15.75" x14ac:dyDescent="0.25">
      <c r="B227" s="34"/>
      <c r="C227" s="3">
        <f>'1.1'!$C$3</f>
        <v>0</v>
      </c>
      <c r="D227" s="2"/>
      <c r="E227" s="2"/>
      <c r="F227" s="2"/>
      <c r="G227" s="2"/>
      <c r="H227" s="2"/>
      <c r="I227" s="2"/>
    </row>
    <row r="228" spans="1:15" ht="15.75" x14ac:dyDescent="0.25">
      <c r="B228" s="34" t="s">
        <v>1697</v>
      </c>
      <c r="C228" s="3"/>
      <c r="D228" s="2"/>
      <c r="E228" s="2"/>
      <c r="F228" s="2"/>
      <c r="G228" s="2"/>
      <c r="H228" s="2"/>
      <c r="I228" s="2"/>
    </row>
    <row r="229" spans="1:15" x14ac:dyDescent="0.25">
      <c r="A229" s="104">
        <v>2</v>
      </c>
      <c r="B229" s="2" t="s">
        <v>1586</v>
      </c>
      <c r="C229" s="101" t="s">
        <v>128</v>
      </c>
      <c r="D229" s="2"/>
      <c r="G229" s="2" t="s">
        <v>1696</v>
      </c>
      <c r="H229" s="3" t="s">
        <v>744</v>
      </c>
      <c r="I229" s="2"/>
    </row>
    <row r="230" spans="1:15" ht="15.75" x14ac:dyDescent="0.25">
      <c r="B230" s="1" t="s">
        <v>1585</v>
      </c>
      <c r="C230" s="35" t="s">
        <v>197</v>
      </c>
      <c r="D230" s="2"/>
      <c r="E230" s="2"/>
      <c r="F230" s="2"/>
      <c r="G230" s="2"/>
      <c r="H230" s="2"/>
      <c r="I230" s="2"/>
    </row>
    <row r="231" spans="1:15" ht="15.75" thickBot="1" x14ac:dyDescent="0.3">
      <c r="D231" s="2"/>
      <c r="E231" s="2"/>
      <c r="F231" s="2"/>
      <c r="G231" s="2"/>
      <c r="H231" s="2"/>
      <c r="I231" s="2"/>
    </row>
    <row r="232" spans="1:15" ht="15.75" thickBot="1" x14ac:dyDescent="0.3">
      <c r="B232" s="43" t="s">
        <v>1695</v>
      </c>
      <c r="C232" s="44"/>
      <c r="D232" s="44"/>
      <c r="E232" s="44"/>
      <c r="F232" s="44"/>
      <c r="G232" s="44"/>
      <c r="H232" s="45"/>
      <c r="I232" s="2"/>
    </row>
    <row r="233" spans="1:15" ht="25.5" x14ac:dyDescent="0.25">
      <c r="B233" s="46" t="s">
        <v>1409</v>
      </c>
      <c r="C233" s="47"/>
      <c r="D233" s="48" t="s">
        <v>1690</v>
      </c>
      <c r="E233" s="48" t="s">
        <v>1694</v>
      </c>
      <c r="F233" s="48" t="s">
        <v>1693</v>
      </c>
      <c r="G233" s="49" t="s">
        <v>1687</v>
      </c>
      <c r="H233" s="50" t="s">
        <v>1686</v>
      </c>
      <c r="I233" s="2"/>
    </row>
    <row r="234" spans="1:15" x14ac:dyDescent="0.25">
      <c r="A234" s="103">
        <v>19015</v>
      </c>
      <c r="B234" s="51" t="str">
        <f>IF($A234=0,"",VLOOKUP($A234,'BASE EQUIPO'!$A:$D,2))</f>
        <v>HERRAMIENTA MENOR</v>
      </c>
      <c r="C234" s="52"/>
      <c r="D234" s="53">
        <v>1</v>
      </c>
      <c r="E234" s="53">
        <f>IF($A234=0,"",VLOOKUP($A234,'BASE EQUIPO'!$A:$D,4)*H250)</f>
        <v>0</v>
      </c>
      <c r="F234" s="53">
        <f t="shared" ref="F234:F239" si="20">IF($A234=0,"",ROUND(D234*E234,2))</f>
        <v>0</v>
      </c>
      <c r="G234" s="105">
        <v>1</v>
      </c>
      <c r="H234" s="54">
        <f t="shared" ref="H234:H239" si="21">IF($A234=0,"",ROUND(G234*F234,2))</f>
        <v>0</v>
      </c>
      <c r="I234" s="2"/>
    </row>
    <row r="235" spans="1:15" x14ac:dyDescent="0.25">
      <c r="B235" s="38" t="str">
        <f>IF($A235=0,"",VLOOKUP($A235,'BASE EQUIPO'!$A:$D,2))</f>
        <v/>
      </c>
      <c r="C235" s="2"/>
      <c r="D235" s="55"/>
      <c r="E235" s="55" t="str">
        <f>IF($A235=0,"",VLOOKUP($A235,'BASE EQUIPO'!$A:$D,4))</f>
        <v/>
      </c>
      <c r="F235" s="55" t="str">
        <f t="shared" si="20"/>
        <v/>
      </c>
      <c r="G235" s="106"/>
      <c r="H235" s="56" t="str">
        <f t="shared" si="21"/>
        <v/>
      </c>
      <c r="I235" s="2"/>
    </row>
    <row r="236" spans="1:15" x14ac:dyDescent="0.25">
      <c r="B236" s="38" t="str">
        <f>IF($A236=0,"",VLOOKUP($A236,'BASE EQUIPO'!$A:$D,2))</f>
        <v/>
      </c>
      <c r="C236" s="2"/>
      <c r="D236" s="55"/>
      <c r="E236" s="55" t="str">
        <f>IF($A236=0,"",VLOOKUP($A236,'BASE EQUIPO'!$A:$D,4))</f>
        <v/>
      </c>
      <c r="F236" s="55" t="str">
        <f t="shared" si="20"/>
        <v/>
      </c>
      <c r="G236" s="106"/>
      <c r="H236" s="56" t="str">
        <f t="shared" si="21"/>
        <v/>
      </c>
      <c r="I236" s="2"/>
    </row>
    <row r="237" spans="1:15" x14ac:dyDescent="0.25">
      <c r="B237" s="38" t="str">
        <f>IF($A237=0,"",VLOOKUP($A237,'BASE EQUIPO'!$A:$D,2))</f>
        <v/>
      </c>
      <c r="C237" s="2"/>
      <c r="D237" s="55"/>
      <c r="E237" s="55" t="str">
        <f>IF($A237=0,"",VLOOKUP($A237,'BASE EQUIPO'!$A:$D,4))</f>
        <v/>
      </c>
      <c r="F237" s="55" t="str">
        <f t="shared" si="20"/>
        <v/>
      </c>
      <c r="G237" s="106"/>
      <c r="H237" s="56" t="str">
        <f t="shared" si="21"/>
        <v/>
      </c>
      <c r="I237" s="2"/>
    </row>
    <row r="238" spans="1:15" x14ac:dyDescent="0.25">
      <c r="B238" s="38" t="str">
        <f>IF($A238=0,"",VLOOKUP($A238,'BASE EQUIPO'!$A:$D,2))</f>
        <v/>
      </c>
      <c r="C238" s="2"/>
      <c r="D238" s="55"/>
      <c r="E238" s="55" t="str">
        <f>IF($A238=0,"",VLOOKUP($A238,'BASE EQUIPO'!$A:$D,4))</f>
        <v/>
      </c>
      <c r="F238" s="55" t="str">
        <f t="shared" si="20"/>
        <v/>
      </c>
      <c r="G238" s="106"/>
      <c r="H238" s="56" t="str">
        <f t="shared" si="21"/>
        <v/>
      </c>
      <c r="I238" s="2"/>
    </row>
    <row r="239" spans="1:15" x14ac:dyDescent="0.25">
      <c r="B239" s="57" t="str">
        <f>IF($A239=0,"",VLOOKUP($A239,'BASE EQUIPO'!$A:$D,2))</f>
        <v/>
      </c>
      <c r="C239" s="58"/>
      <c r="D239" s="59"/>
      <c r="E239" s="59" t="str">
        <f>IF($A239=0,"",VLOOKUP($A239,'BASE EQUIPO'!$A:$D,4))</f>
        <v/>
      </c>
      <c r="F239" s="59" t="str">
        <f t="shared" si="20"/>
        <v/>
      </c>
      <c r="G239" s="107"/>
      <c r="H239" s="60" t="str">
        <f t="shared" si="21"/>
        <v/>
      </c>
      <c r="I239" s="2"/>
    </row>
    <row r="240" spans="1:15" x14ac:dyDescent="0.25">
      <c r="B240" s="57" t="s">
        <v>1692</v>
      </c>
      <c r="C240" s="58"/>
      <c r="D240" s="61"/>
      <c r="E240" s="61"/>
      <c r="F240" s="61"/>
      <c r="G240" s="62"/>
      <c r="H240" s="60">
        <f>ROUND(SUM(H233:H239),2)</f>
        <v>0</v>
      </c>
      <c r="I240" s="2"/>
    </row>
    <row r="241" spans="1:16" x14ac:dyDescent="0.25">
      <c r="B241" s="38" t="s">
        <v>1503</v>
      </c>
      <c r="C241" s="2"/>
      <c r="D241" s="3"/>
      <c r="E241" s="3"/>
      <c r="F241" s="3"/>
      <c r="G241" s="63"/>
      <c r="H241" s="56"/>
      <c r="I241" s="2"/>
    </row>
    <row r="242" spans="1:16" ht="25.5" x14ac:dyDescent="0.25">
      <c r="B242" s="64" t="s">
        <v>1691</v>
      </c>
      <c r="C242" s="65"/>
      <c r="D242" s="66" t="s">
        <v>1690</v>
      </c>
      <c r="E242" s="66" t="s">
        <v>1689</v>
      </c>
      <c r="F242" s="66" t="s">
        <v>1688</v>
      </c>
      <c r="G242" s="67" t="s">
        <v>1687</v>
      </c>
      <c r="H242" s="68" t="s">
        <v>1686</v>
      </c>
      <c r="I242" s="2"/>
    </row>
    <row r="243" spans="1:16" x14ac:dyDescent="0.25">
      <c r="B243" s="69" t="str">
        <f>IF($A243=0,"",VLOOKUP($A243,'BASE M-OBRA'!$A:$D,2))</f>
        <v/>
      </c>
      <c r="C243" s="2"/>
      <c r="D243" s="108"/>
      <c r="E243" s="70" t="str">
        <f>IF($A243=0,"",VLOOKUP($A243,'BASE M-OBRA'!$A:$D,4))</f>
        <v/>
      </c>
      <c r="F243" s="55" t="str">
        <f t="shared" ref="F243:F249" si="22">IF($A243=0,"",ROUND(D243*E243,2))</f>
        <v/>
      </c>
      <c r="G243" s="106" t="str">
        <f>IF($A243=0,"",ROUND(H243/F243,2))</f>
        <v/>
      </c>
      <c r="H243" s="56" t="str">
        <f>IF($A243=0,"",ROUND(SUM(H244:H249)*'BASE M-OBRA'!$D$23,2))</f>
        <v/>
      </c>
      <c r="I243" s="2"/>
    </row>
    <row r="244" spans="1:16" x14ac:dyDescent="0.25">
      <c r="B244" s="69" t="str">
        <f>IF($A244=0,"",VLOOKUP($A244,'BASE M-OBRA'!$A:$D,2))</f>
        <v/>
      </c>
      <c r="C244" s="2"/>
      <c r="D244" s="108"/>
      <c r="E244" s="70" t="str">
        <f>IF($A244=0,"",VLOOKUP($A244,'BASE M-OBRA'!$A:$D,4))</f>
        <v/>
      </c>
      <c r="F244" s="55" t="str">
        <f t="shared" si="22"/>
        <v/>
      </c>
      <c r="G244" s="106"/>
      <c r="H244" s="56" t="str">
        <f t="shared" ref="H244:H249" si="23">IF($A244=0,"",ROUND(G244*F244,2))</f>
        <v/>
      </c>
      <c r="I244" s="2"/>
    </row>
    <row r="245" spans="1:16" x14ac:dyDescent="0.25">
      <c r="B245" s="69" t="str">
        <f>IF($A245=0,"",VLOOKUP($A245,'BASE M-OBRA'!$A:$D,2))</f>
        <v/>
      </c>
      <c r="C245" s="2"/>
      <c r="D245" s="108"/>
      <c r="E245" s="70" t="str">
        <f>IF($A245=0,"",VLOOKUP($A245,'BASE M-OBRA'!$A:$D,4))</f>
        <v/>
      </c>
      <c r="F245" s="55" t="str">
        <f t="shared" si="22"/>
        <v/>
      </c>
      <c r="G245" s="106"/>
      <c r="H245" s="56" t="str">
        <f t="shared" si="23"/>
        <v/>
      </c>
      <c r="I245" s="2"/>
    </row>
    <row r="246" spans="1:16" x14ac:dyDescent="0.25">
      <c r="B246" s="71" t="str">
        <f>IF($A246=0,"",VLOOKUP($A246,'BASE M-OBRA'!$A:$D,2))</f>
        <v/>
      </c>
      <c r="C246" s="2"/>
      <c r="D246" s="108"/>
      <c r="E246" s="70" t="str">
        <f>IF($A246=0,"",VLOOKUP($A246,'BASE M-OBRA'!$A:$D,4))</f>
        <v/>
      </c>
      <c r="F246" s="55" t="str">
        <f t="shared" si="22"/>
        <v/>
      </c>
      <c r="G246" s="106"/>
      <c r="H246" s="56" t="str">
        <f t="shared" si="23"/>
        <v/>
      </c>
      <c r="I246" s="2"/>
    </row>
    <row r="247" spans="1:16" x14ac:dyDescent="0.25">
      <c r="B247" s="72" t="str">
        <f>IF($A247=0,"",VLOOKUP($A247,'BASE M-OBRA'!$A:$D,2))</f>
        <v/>
      </c>
      <c r="C247" s="2"/>
      <c r="D247" s="108"/>
      <c r="E247" s="70" t="str">
        <f>IF($A247=0,"",VLOOKUP($A247,'BASE M-OBRA'!$A:$D,4))</f>
        <v/>
      </c>
      <c r="F247" s="55" t="str">
        <f t="shared" si="22"/>
        <v/>
      </c>
      <c r="G247" s="106"/>
      <c r="H247" s="56" t="str">
        <f t="shared" si="23"/>
        <v/>
      </c>
      <c r="I247" s="2"/>
    </row>
    <row r="248" spans="1:16" x14ac:dyDescent="0.25">
      <c r="B248" s="38" t="str">
        <f>IF($A248=0,"",VLOOKUP($A248,'BASE M-OBRA'!$A:$D,2))</f>
        <v/>
      </c>
      <c r="C248" s="2"/>
      <c r="D248" s="55"/>
      <c r="E248" s="55" t="str">
        <f>IF($A248=0,"",VLOOKUP($A248,'BASE M-OBRA'!$A:$D,4))</f>
        <v/>
      </c>
      <c r="F248" s="55" t="str">
        <f t="shared" si="22"/>
        <v/>
      </c>
      <c r="G248" s="106"/>
      <c r="H248" s="56" t="str">
        <f t="shared" si="23"/>
        <v/>
      </c>
      <c r="I248" s="2"/>
    </row>
    <row r="249" spans="1:16" x14ac:dyDescent="0.25">
      <c r="B249" s="57" t="str">
        <f>IF($A249=0,"",VLOOKUP($A249,'BASE M-OBRA'!$A:$D,2))</f>
        <v/>
      </c>
      <c r="C249" s="58"/>
      <c r="D249" s="59"/>
      <c r="E249" s="59" t="str">
        <f>IF($A249=0,"",VLOOKUP($A249,'BASE M-OBRA'!$A:$D,4))</f>
        <v/>
      </c>
      <c r="F249" s="59" t="str">
        <f t="shared" si="22"/>
        <v/>
      </c>
      <c r="G249" s="107"/>
      <c r="H249" s="60" t="str">
        <f t="shared" si="23"/>
        <v/>
      </c>
      <c r="I249" s="2"/>
    </row>
    <row r="250" spans="1:16" x14ac:dyDescent="0.25">
      <c r="B250" s="73" t="s">
        <v>1685</v>
      </c>
      <c r="C250" s="65"/>
      <c r="D250" s="74"/>
      <c r="E250" s="74"/>
      <c r="F250" s="74"/>
      <c r="G250" s="74"/>
      <c r="H250" s="75">
        <f>ROUND(SUM(H242:H249),2)</f>
        <v>0</v>
      </c>
      <c r="I250" s="2"/>
    </row>
    <row r="251" spans="1:16" x14ac:dyDescent="0.25">
      <c r="B251" s="38" t="s">
        <v>1684</v>
      </c>
      <c r="C251" s="2"/>
      <c r="D251" s="3"/>
      <c r="E251" s="3"/>
      <c r="F251" s="3"/>
      <c r="G251" s="3"/>
      <c r="H251" s="56"/>
      <c r="I251" s="2"/>
    </row>
    <row r="252" spans="1:16" ht="25.5" x14ac:dyDescent="0.25">
      <c r="B252" s="64" t="s">
        <v>1409</v>
      </c>
      <c r="C252" s="65"/>
      <c r="D252" s="76"/>
      <c r="E252" s="66" t="s">
        <v>1408</v>
      </c>
      <c r="F252" s="66" t="s">
        <v>1679</v>
      </c>
      <c r="G252" s="66" t="s">
        <v>1683</v>
      </c>
      <c r="H252" s="68" t="s">
        <v>1675</v>
      </c>
      <c r="I252" s="2"/>
    </row>
    <row r="253" spans="1:16" x14ac:dyDescent="0.25">
      <c r="A253" s="103">
        <v>1</v>
      </c>
      <c r="B253" s="100" t="s">
        <v>197</v>
      </c>
      <c r="C253" s="2"/>
      <c r="D253" s="77"/>
      <c r="E253" s="78" t="s">
        <v>744</v>
      </c>
      <c r="F253" s="55">
        <v>1</v>
      </c>
      <c r="G253" s="55">
        <v>1840</v>
      </c>
      <c r="H253" s="56">
        <f t="shared" ref="H253:H267" si="24">IF($A253=0,"",ROUND(F253*G253,2))</f>
        <v>1840</v>
      </c>
      <c r="I253" s="2"/>
      <c r="J253" s="1">
        <v>1392.3</v>
      </c>
      <c r="L253" s="2"/>
      <c r="M253" s="2"/>
      <c r="N253" s="39"/>
      <c r="O253" s="2"/>
      <c r="P253" s="2"/>
    </row>
    <row r="254" spans="1:16" x14ac:dyDescent="0.25">
      <c r="B254" s="38" t="str">
        <f>IF($A254=0,"",VLOOKUP($A254,'BASE MATERIAL'!$A:$D,2))</f>
        <v/>
      </c>
      <c r="C254" s="2"/>
      <c r="D254" s="77"/>
      <c r="E254" s="78" t="str">
        <f>IF($A254=0,"",VLOOKUP($A254,'BASE MATERIAL'!$A:$D,3))</f>
        <v/>
      </c>
      <c r="F254" s="55"/>
      <c r="G254" s="55" t="str">
        <f>IF($A254=0,"",VLOOKUP($A254,'BASE MATERIAL'!$A:$D,4))</f>
        <v/>
      </c>
      <c r="H254" s="56" t="str">
        <f t="shared" si="24"/>
        <v/>
      </c>
      <c r="I254" s="2"/>
      <c r="L254" s="2"/>
      <c r="M254" s="2"/>
      <c r="N254" s="39"/>
      <c r="O254" s="2"/>
      <c r="P254" s="2"/>
    </row>
    <row r="255" spans="1:16" x14ac:dyDescent="0.25">
      <c r="B255" s="38" t="str">
        <f>IF($A255=0,"",VLOOKUP($A255,'BASE MATERIAL'!$A:$D,2))</f>
        <v/>
      </c>
      <c r="C255" s="2"/>
      <c r="D255" s="77"/>
      <c r="E255" s="78" t="str">
        <f>IF($A255=0,"",VLOOKUP($A255,'BASE MATERIAL'!$A:$D,3))</f>
        <v/>
      </c>
      <c r="F255" s="55"/>
      <c r="G255" s="55" t="str">
        <f>IF($A255=0,"",VLOOKUP($A255,'BASE MATERIAL'!$A:$D,4))</f>
        <v/>
      </c>
      <c r="H255" s="56" t="str">
        <f t="shared" si="24"/>
        <v/>
      </c>
      <c r="I255" s="2"/>
      <c r="L255" s="2"/>
      <c r="M255" s="2"/>
      <c r="N255" s="39"/>
      <c r="O255" s="2"/>
      <c r="P255" s="2"/>
    </row>
    <row r="256" spans="1:16" x14ac:dyDescent="0.25">
      <c r="B256" s="38" t="str">
        <f>IF($A256=0,"",VLOOKUP($A256,'BASE MATERIAL'!$A:$D,2))</f>
        <v/>
      </c>
      <c r="C256" s="2"/>
      <c r="D256" s="77"/>
      <c r="E256" s="78" t="str">
        <f>IF($A256=0,"",VLOOKUP($A256,'BASE MATERIAL'!$A:$D,3))</f>
        <v/>
      </c>
      <c r="F256" s="55"/>
      <c r="G256" s="55" t="str">
        <f>IF($A256=0,"",VLOOKUP($A256,'BASE MATERIAL'!$A:$D,4))</f>
        <v/>
      </c>
      <c r="H256" s="56" t="str">
        <f t="shared" si="24"/>
        <v/>
      </c>
      <c r="I256" s="2"/>
      <c r="L256" s="2"/>
      <c r="M256" s="2"/>
      <c r="N256" s="39"/>
      <c r="O256" s="2"/>
      <c r="P256" s="2"/>
    </row>
    <row r="257" spans="1:16" x14ac:dyDescent="0.25">
      <c r="B257" s="38" t="str">
        <f>IF($A257=0,"",VLOOKUP($A257,'BASE MATERIAL'!$A:$D,2))</f>
        <v/>
      </c>
      <c r="C257" s="2"/>
      <c r="D257" s="77"/>
      <c r="E257" s="78" t="str">
        <f>IF($A257=0,"",VLOOKUP($A257,'BASE MATERIAL'!$A:$D,3))</f>
        <v/>
      </c>
      <c r="F257" s="55"/>
      <c r="G257" s="55" t="str">
        <f>IF($A257=0,"",VLOOKUP($A257,'BASE MATERIAL'!$A:$D,4))</f>
        <v/>
      </c>
      <c r="H257" s="56" t="str">
        <f t="shared" si="24"/>
        <v/>
      </c>
      <c r="I257" s="2"/>
      <c r="L257" s="2"/>
      <c r="M257" s="2"/>
      <c r="N257" s="39"/>
      <c r="O257" s="2"/>
      <c r="P257" s="2"/>
    </row>
    <row r="258" spans="1:16" x14ac:dyDescent="0.25">
      <c r="B258" s="38" t="str">
        <f>IF($A258=0,"",VLOOKUP($A258,'BASE MATERIAL'!$A:$D,2))</f>
        <v/>
      </c>
      <c r="C258" s="2"/>
      <c r="D258" s="77"/>
      <c r="E258" s="78" t="str">
        <f>IF($A258=0,"",VLOOKUP($A258,'BASE MATERIAL'!$A:$D,3))</f>
        <v/>
      </c>
      <c r="F258" s="55"/>
      <c r="G258" s="55" t="str">
        <f>IF($A258=0,"",VLOOKUP($A258,'BASE MATERIAL'!$A:$D,4))</f>
        <v/>
      </c>
      <c r="H258" s="56" t="str">
        <f t="shared" si="24"/>
        <v/>
      </c>
      <c r="I258" s="2"/>
      <c r="L258" s="2"/>
      <c r="M258" s="2"/>
      <c r="N258" s="39"/>
      <c r="O258" s="2"/>
      <c r="P258" s="2"/>
    </row>
    <row r="259" spans="1:16" x14ac:dyDescent="0.25">
      <c r="B259" s="38" t="str">
        <f>IF($A259=0,"",VLOOKUP($A259,'BASE MATERIAL'!$A:$D,2))</f>
        <v/>
      </c>
      <c r="C259" s="2"/>
      <c r="D259" s="77"/>
      <c r="E259" s="78" t="str">
        <f>IF($A259=0,"",VLOOKUP($A259,'BASE MATERIAL'!$A:$D,3))</f>
        <v/>
      </c>
      <c r="F259" s="55"/>
      <c r="G259" s="55" t="str">
        <f>IF($A259=0,"",VLOOKUP($A259,'BASE MATERIAL'!$A:$D,4))</f>
        <v/>
      </c>
      <c r="H259" s="56" t="str">
        <f t="shared" si="24"/>
        <v/>
      </c>
      <c r="I259" s="2"/>
      <c r="L259" s="2"/>
      <c r="M259" s="2"/>
      <c r="N259" s="39"/>
      <c r="O259" s="2"/>
      <c r="P259" s="2"/>
    </row>
    <row r="260" spans="1:16" x14ac:dyDescent="0.25">
      <c r="B260" s="38" t="str">
        <f>IF($A260=0,"",VLOOKUP($A260,'BASE MATERIAL'!$A:$D,2))</f>
        <v/>
      </c>
      <c r="C260" s="2"/>
      <c r="D260" s="77"/>
      <c r="E260" s="78" t="str">
        <f>IF($A260=0,"",VLOOKUP($A260,'BASE MATERIAL'!$A:$D,3))</f>
        <v/>
      </c>
      <c r="F260" s="55"/>
      <c r="G260" s="55" t="str">
        <f>IF($A260=0,"",VLOOKUP($A260,'BASE MATERIAL'!$A:$D,4))</f>
        <v/>
      </c>
      <c r="H260" s="56" t="str">
        <f t="shared" si="24"/>
        <v/>
      </c>
      <c r="I260" s="2"/>
      <c r="L260" s="2"/>
      <c r="M260" s="2"/>
      <c r="N260" s="39"/>
      <c r="O260" s="2"/>
      <c r="P260" s="2"/>
    </row>
    <row r="261" spans="1:16" x14ac:dyDescent="0.25">
      <c r="B261" s="38" t="str">
        <f>IF($A261=0,"",VLOOKUP($A261,'BASE MATERIAL'!$A:$D,2))</f>
        <v/>
      </c>
      <c r="C261" s="2"/>
      <c r="D261" s="77"/>
      <c r="E261" s="78" t="str">
        <f>IF($A261=0,"",VLOOKUP($A261,'BASE MATERIAL'!$A:$D,3))</f>
        <v/>
      </c>
      <c r="F261" s="55"/>
      <c r="G261" s="55" t="str">
        <f>IF($A261=0,"",VLOOKUP($A261,'BASE MATERIAL'!$A:$D,4))</f>
        <v/>
      </c>
      <c r="H261" s="56" t="str">
        <f t="shared" si="24"/>
        <v/>
      </c>
      <c r="I261" s="2"/>
    </row>
    <row r="262" spans="1:16" x14ac:dyDescent="0.25">
      <c r="B262" s="38" t="str">
        <f>IF($A262=0,"",VLOOKUP($A262,'BASE MATERIAL'!$A:$D,2))</f>
        <v/>
      </c>
      <c r="C262" s="2"/>
      <c r="D262" s="77"/>
      <c r="E262" s="78" t="str">
        <f>IF($A262=0,"",VLOOKUP($A262,'BASE MATERIAL'!$A:$D,3))</f>
        <v/>
      </c>
      <c r="F262" s="55"/>
      <c r="G262" s="55" t="str">
        <f>IF($A262=0,"",VLOOKUP($A262,'BASE MATERIAL'!$A:$D,4))</f>
        <v/>
      </c>
      <c r="H262" s="56" t="str">
        <f t="shared" si="24"/>
        <v/>
      </c>
      <c r="I262" s="2"/>
      <c r="L262" s="2"/>
      <c r="M262" s="2"/>
      <c r="N262" s="39"/>
      <c r="O262" s="2"/>
      <c r="P262" s="2"/>
    </row>
    <row r="263" spans="1:16" x14ac:dyDescent="0.25">
      <c r="B263" s="38" t="str">
        <f>IF($A263=0,"",VLOOKUP($A263,'BASE MATERIAL'!$A:$D,2))</f>
        <v/>
      </c>
      <c r="C263" s="2"/>
      <c r="D263" s="77"/>
      <c r="E263" s="78" t="str">
        <f>IF($A263=0,"",VLOOKUP($A263,'BASE MATERIAL'!$A:$D,3))</f>
        <v/>
      </c>
      <c r="F263" s="55"/>
      <c r="G263" s="55" t="str">
        <f>IF($A263=0,"",VLOOKUP($A263,'BASE MATERIAL'!$A:$D,4))</f>
        <v/>
      </c>
      <c r="H263" s="56" t="str">
        <f t="shared" si="24"/>
        <v/>
      </c>
      <c r="I263" s="2"/>
      <c r="L263" s="2"/>
      <c r="M263" s="2"/>
      <c r="N263" s="39"/>
      <c r="O263" s="2"/>
      <c r="P263" s="2"/>
    </row>
    <row r="264" spans="1:16" x14ac:dyDescent="0.25">
      <c r="B264" s="38" t="str">
        <f>IF($A264=0,"",VLOOKUP($A264,'BASE MATERIAL'!$A:$D,2))</f>
        <v/>
      </c>
      <c r="C264" s="2"/>
      <c r="D264" s="77"/>
      <c r="E264" s="78" t="str">
        <f>IF($A264=0,"",VLOOKUP($A264,'BASE MATERIAL'!$A:$D,3))</f>
        <v/>
      </c>
      <c r="F264" s="55"/>
      <c r="G264" s="55" t="str">
        <f>IF($A264=0,"",VLOOKUP($A264,'BASE MATERIAL'!$A:$D,4))</f>
        <v/>
      </c>
      <c r="H264" s="56" t="str">
        <f t="shared" si="24"/>
        <v/>
      </c>
      <c r="I264" s="2"/>
    </row>
    <row r="265" spans="1:16" x14ac:dyDescent="0.25">
      <c r="B265" s="38" t="str">
        <f>IF($A265=0,"",VLOOKUP($A265,'BASE MATERIAL'!$A:$D,2))</f>
        <v/>
      </c>
      <c r="C265" s="2"/>
      <c r="D265" s="77"/>
      <c r="E265" s="78" t="str">
        <f>IF($A265=0,"",VLOOKUP($A265,'BASE MATERIAL'!$A:$D,3))</f>
        <v/>
      </c>
      <c r="F265" s="55"/>
      <c r="G265" s="55" t="str">
        <f>IF($A265=0,"",VLOOKUP($A265,'BASE MATERIAL'!$A:$D,4))</f>
        <v/>
      </c>
      <c r="H265" s="56" t="str">
        <f t="shared" si="24"/>
        <v/>
      </c>
      <c r="I265" s="2"/>
    </row>
    <row r="266" spans="1:16" x14ac:dyDescent="0.25">
      <c r="B266" s="38" t="str">
        <f>IF($A266=0,"",VLOOKUP($A266,'BASE MATERIAL'!$A:$D,2))</f>
        <v/>
      </c>
      <c r="C266" s="2"/>
      <c r="D266" s="77"/>
      <c r="E266" s="78" t="str">
        <f>IF($A266=0,"",VLOOKUP($A266,'BASE MATERIAL'!$A:$D,3))</f>
        <v/>
      </c>
      <c r="F266" s="55"/>
      <c r="G266" s="55" t="str">
        <f>IF($A266=0,"",VLOOKUP($A266,'BASE MATERIAL'!$A:$D,4))</f>
        <v/>
      </c>
      <c r="H266" s="56" t="str">
        <f t="shared" si="24"/>
        <v/>
      </c>
      <c r="I266" s="2"/>
    </row>
    <row r="267" spans="1:16" x14ac:dyDescent="0.25">
      <c r="B267" s="38" t="str">
        <f>IF($A267=0,"",VLOOKUP($A267,'BASE MATERIAL'!$A:$D,2))</f>
        <v/>
      </c>
      <c r="C267" s="2"/>
      <c r="D267" s="77"/>
      <c r="E267" s="78" t="str">
        <f>IF($A267=0,"",VLOOKUP($A267,'BASE MATERIAL'!$A:$D,3))</f>
        <v/>
      </c>
      <c r="F267" s="55"/>
      <c r="G267" s="55" t="str">
        <f>IF($A267=0,"",VLOOKUP($A267,'BASE MATERIAL'!$A:$D,4))</f>
        <v/>
      </c>
      <c r="H267" s="56" t="str">
        <f t="shared" si="24"/>
        <v/>
      </c>
      <c r="I267" s="2"/>
    </row>
    <row r="268" spans="1:16" x14ac:dyDescent="0.25">
      <c r="B268" s="38" t="str">
        <f>IF($A268=0,"",VLOOKUP($A268,'BASE MATERIAL'!$A:$D,2))</f>
        <v/>
      </c>
      <c r="C268" s="2"/>
      <c r="D268" s="81" t="s">
        <v>1682</v>
      </c>
      <c r="E268" s="55" t="str">
        <f>IF($A268=0,"",VLOOKUP($A268,'BASE MATERIAL'!$A:$D,3))</f>
        <v/>
      </c>
      <c r="F268" s="55" t="s">
        <v>1682</v>
      </c>
      <c r="G268" s="55" t="str">
        <f>IF($A268=0,"",VLOOKUP($A268,'BASE MATERIAL'!$A:$D,4))</f>
        <v/>
      </c>
      <c r="H268" s="56" t="str">
        <f>IF($A268=0,"",ROUND(E268*F268,2))</f>
        <v/>
      </c>
      <c r="I268" s="2"/>
    </row>
    <row r="269" spans="1:16" x14ac:dyDescent="0.25">
      <c r="B269" s="73" t="s">
        <v>1681</v>
      </c>
      <c r="C269" s="65"/>
      <c r="D269" s="74"/>
      <c r="E269" s="74"/>
      <c r="F269" s="74"/>
      <c r="G269" s="74"/>
      <c r="H269" s="75">
        <f>ROUND(SUM(H252:H268),2)</f>
        <v>1840</v>
      </c>
      <c r="I269" s="2"/>
    </row>
    <row r="270" spans="1:16" x14ac:dyDescent="0.25">
      <c r="B270" s="38" t="s">
        <v>1680</v>
      </c>
      <c r="C270" s="2"/>
      <c r="D270" s="3"/>
      <c r="E270" s="3"/>
      <c r="F270" s="3"/>
      <c r="G270" s="3"/>
      <c r="H270" s="56"/>
      <c r="I270" s="2"/>
    </row>
    <row r="271" spans="1:16" ht="25.5" x14ac:dyDescent="0.25">
      <c r="B271" s="64" t="s">
        <v>1409</v>
      </c>
      <c r="C271" s="65"/>
      <c r="D271" s="76"/>
      <c r="E271" s="66" t="s">
        <v>1408</v>
      </c>
      <c r="F271" s="66" t="s">
        <v>1679</v>
      </c>
      <c r="G271" s="66" t="s">
        <v>1676</v>
      </c>
      <c r="H271" s="68" t="s">
        <v>1675</v>
      </c>
      <c r="I271" s="2"/>
    </row>
    <row r="272" spans="1:16" x14ac:dyDescent="0.25">
      <c r="A272" s="103">
        <v>19019</v>
      </c>
      <c r="B272" s="51" t="str">
        <f>IF($A272=0,"",VLOOKUP($A272,'BASE EQUIPO'!$A:$D,2))</f>
        <v>TRANSPORTE DE MATERIAL</v>
      </c>
      <c r="C272" s="52"/>
      <c r="D272" s="82"/>
      <c r="E272" s="78" t="str">
        <f>IF($A272=0,"",VLOOKUP($A272,'BASE EQUIPO'!$A:$D,3))</f>
        <v>GLOBAL</v>
      </c>
      <c r="F272" s="55">
        <v>1</v>
      </c>
      <c r="G272" s="83">
        <f>IF($A272=0,"",VLOOKUP($A272,'BASE EQUIPO'!$A:$D,4)*H269)</f>
        <v>55.199999999999996</v>
      </c>
      <c r="H272" s="56">
        <f>IF($A272=0,"",ROUND(F272*G272,2))</f>
        <v>55.2</v>
      </c>
      <c r="I272" s="2"/>
    </row>
    <row r="273" spans="1:15" x14ac:dyDescent="0.25">
      <c r="B273" s="38" t="str">
        <f>IF($A273=0,"",VLOOKUP($A273,'BASE EQUIPO'!$A:$D,2))</f>
        <v/>
      </c>
      <c r="C273" s="2"/>
      <c r="D273" s="84"/>
      <c r="E273" s="78" t="str">
        <f>IF($A273=0,"",VLOOKUP($A273,'BASE EQUIPO'!$A:$D,3))</f>
        <v/>
      </c>
      <c r="F273" s="55"/>
      <c r="G273" s="55" t="str">
        <f>IF($A273=0,"",VLOOKUP($A273,'BASE EQUIPO'!$A:$D,4)*H270)</f>
        <v/>
      </c>
      <c r="H273" s="56" t="str">
        <f>IF($A273=0,"",ROUND(F273*G273,2))</f>
        <v/>
      </c>
      <c r="I273" s="2"/>
    </row>
    <row r="274" spans="1:15" x14ac:dyDescent="0.25">
      <c r="B274" s="57" t="str">
        <f>IF($A274=0,"",VLOOKUP($A274,'BASE EQUIPO'!$A:$D,2))</f>
        <v/>
      </c>
      <c r="C274" s="58"/>
      <c r="D274" s="85"/>
      <c r="E274" s="86" t="str">
        <f>IF($A274=0,"",VLOOKUP($A274,'BASE EQUIPO'!$A:$D,3))</f>
        <v/>
      </c>
      <c r="F274" s="59"/>
      <c r="G274" s="59" t="str">
        <f>IF($A274=0,"",VLOOKUP($A274,'BASE EQUIPO'!$A:$D,4)*H271)</f>
        <v/>
      </c>
      <c r="H274" s="60" t="str">
        <f>IF($A274=0,"",ROUND(F274*G274,2))</f>
        <v/>
      </c>
      <c r="I274" s="2"/>
    </row>
    <row r="275" spans="1:15" ht="15.75" thickBot="1" x14ac:dyDescent="0.3">
      <c r="B275" s="87" t="s">
        <v>1674</v>
      </c>
      <c r="C275" s="88"/>
      <c r="D275" s="89"/>
      <c r="E275" s="89"/>
      <c r="F275" s="89"/>
      <c r="G275" s="89"/>
      <c r="H275" s="90">
        <f>ROUND(SUM(H271:H274),2)</f>
        <v>55.2</v>
      </c>
      <c r="I275" s="2"/>
    </row>
    <row r="276" spans="1:15" ht="15.75" x14ac:dyDescent="0.25">
      <c r="B276" s="2"/>
      <c r="C276" s="2"/>
      <c r="D276" s="91" t="s">
        <v>1673</v>
      </c>
      <c r="E276" s="47"/>
      <c r="F276" s="47"/>
      <c r="G276" s="47"/>
      <c r="H276" s="92">
        <f>ROUND(SUM(H275,H269,H250,H240),2)</f>
        <v>1895.2</v>
      </c>
      <c r="I276" s="2"/>
    </row>
    <row r="277" spans="1:15" ht="15.75" x14ac:dyDescent="0.25">
      <c r="A277" s="103">
        <v>40002</v>
      </c>
      <c r="B277" s="2"/>
      <c r="C277" s="2"/>
      <c r="D277" s="93" t="s">
        <v>1672</v>
      </c>
      <c r="E277" s="65"/>
      <c r="F277" s="65"/>
      <c r="G277" s="94">
        <f>IF($A277=0,"",VLOOKUP($A277,'BASE MATERIAL'!$M:$P,4))</f>
        <v>0</v>
      </c>
      <c r="H277" s="95">
        <f>IF($A277=0,"",ROUND(G277*H276,2))</f>
        <v>0</v>
      </c>
      <c r="I277" s="2"/>
    </row>
    <row r="278" spans="1:15" ht="15.75" x14ac:dyDescent="0.25">
      <c r="A278" s="103">
        <v>40003</v>
      </c>
      <c r="B278" s="2"/>
      <c r="C278" s="2"/>
      <c r="D278" s="93" t="s">
        <v>1671</v>
      </c>
      <c r="E278" s="65"/>
      <c r="F278" s="65"/>
      <c r="G278" s="94">
        <f>IF($A278=0,"",VLOOKUP($A278,'BASE MATERIAL'!$M:$P,4))</f>
        <v>0</v>
      </c>
      <c r="H278" s="95">
        <f>IF($A278=0,"",ROUND(G278*H276,2))</f>
        <v>0</v>
      </c>
      <c r="I278" s="2"/>
    </row>
    <row r="279" spans="1:15" ht="15.75" x14ac:dyDescent="0.25">
      <c r="B279" s="2"/>
      <c r="C279" s="2"/>
      <c r="D279" s="93" t="s">
        <v>1670</v>
      </c>
      <c r="E279" s="65"/>
      <c r="F279" s="65"/>
      <c r="G279" s="65"/>
      <c r="H279" s="96">
        <f>ROUND(SUM(H276:H278),2)</f>
        <v>1895.2</v>
      </c>
      <c r="I279" s="2"/>
    </row>
    <row r="280" spans="1:15" ht="16.5" thickBot="1" x14ac:dyDescent="0.3">
      <c r="B280" s="25"/>
      <c r="C280" s="2"/>
      <c r="D280" s="97" t="s">
        <v>1650</v>
      </c>
      <c r="E280" s="88"/>
      <c r="F280" s="88"/>
      <c r="G280" s="88"/>
      <c r="H280" s="98">
        <f>ROUND(H279,2)</f>
        <v>1895.2</v>
      </c>
      <c r="I280" s="2"/>
    </row>
    <row r="281" spans="1:15" ht="15.75" x14ac:dyDescent="0.25">
      <c r="B281" s="34" t="s">
        <v>1701</v>
      </c>
      <c r="C281" s="2"/>
      <c r="D281" s="3" t="str">
        <f>$D$1</f>
        <v>ESPOL</v>
      </c>
      <c r="E281" s="2"/>
      <c r="F281" s="2"/>
      <c r="H281" s="2" t="s">
        <v>108</v>
      </c>
      <c r="I281" s="2"/>
      <c r="L281" s="40">
        <f>A285</f>
        <v>2</v>
      </c>
      <c r="M281" s="1" t="str">
        <f>C286</f>
        <v>Split piso techo de 36,000 btuh</v>
      </c>
      <c r="N281" s="2" t="str">
        <f>H285</f>
        <v>U</v>
      </c>
      <c r="O281" s="2">
        <f>H336</f>
        <v>1771.6</v>
      </c>
    </row>
    <row r="282" spans="1:15" ht="15.75" x14ac:dyDescent="0.25">
      <c r="B282" s="34" t="s">
        <v>1700</v>
      </c>
      <c r="C282" s="3">
        <f>'1.1'!$C$2</f>
        <v>0</v>
      </c>
      <c r="D282" s="2"/>
      <c r="E282" s="2"/>
      <c r="F282" s="2"/>
      <c r="G282" s="41" t="s">
        <v>1699</v>
      </c>
      <c r="H282" s="42"/>
      <c r="I282" s="2" t="s">
        <v>1698</v>
      </c>
    </row>
    <row r="283" spans="1:15" ht="15.75" x14ac:dyDescent="0.25">
      <c r="B283" s="34"/>
      <c r="C283" s="3">
        <f>'1.1'!$C$3</f>
        <v>0</v>
      </c>
      <c r="D283" s="2"/>
      <c r="E283" s="2"/>
      <c r="F283" s="2"/>
      <c r="G283" s="2"/>
      <c r="H283" s="2"/>
      <c r="I283" s="2"/>
    </row>
    <row r="284" spans="1:15" ht="15.75" x14ac:dyDescent="0.25">
      <c r="B284" s="34" t="s">
        <v>1697</v>
      </c>
      <c r="C284" s="3"/>
      <c r="D284" s="2"/>
      <c r="E284" s="2"/>
      <c r="F284" s="2"/>
      <c r="G284" s="2"/>
      <c r="H284" s="2"/>
      <c r="I284" s="2"/>
    </row>
    <row r="285" spans="1:15" x14ac:dyDescent="0.25">
      <c r="A285" s="104">
        <v>2</v>
      </c>
      <c r="B285" s="2" t="s">
        <v>1586</v>
      </c>
      <c r="C285" s="101" t="s">
        <v>129</v>
      </c>
      <c r="D285" s="2"/>
      <c r="G285" s="2" t="s">
        <v>1696</v>
      </c>
      <c r="H285" s="3" t="s">
        <v>744</v>
      </c>
      <c r="I285" s="2"/>
    </row>
    <row r="286" spans="1:15" ht="15.75" x14ac:dyDescent="0.25">
      <c r="B286" s="1" t="s">
        <v>1585</v>
      </c>
      <c r="C286" s="35" t="s">
        <v>198</v>
      </c>
      <c r="D286" s="2"/>
      <c r="E286" s="2"/>
      <c r="F286" s="2"/>
      <c r="G286" s="2"/>
      <c r="H286" s="2"/>
      <c r="I286" s="2"/>
    </row>
    <row r="287" spans="1:15" ht="15.75" thickBot="1" x14ac:dyDescent="0.3">
      <c r="D287" s="2"/>
      <c r="E287" s="2"/>
      <c r="F287" s="2"/>
      <c r="G287" s="2"/>
      <c r="H287" s="2"/>
      <c r="I287" s="2"/>
    </row>
    <row r="288" spans="1:15" ht="15.75" thickBot="1" x14ac:dyDescent="0.3">
      <c r="B288" s="43" t="s">
        <v>1695</v>
      </c>
      <c r="C288" s="44"/>
      <c r="D288" s="44"/>
      <c r="E288" s="44"/>
      <c r="F288" s="44"/>
      <c r="G288" s="44"/>
      <c r="H288" s="45"/>
      <c r="I288" s="2"/>
    </row>
    <row r="289" spans="1:9" ht="25.5" x14ac:dyDescent="0.25">
      <c r="B289" s="46" t="s">
        <v>1409</v>
      </c>
      <c r="C289" s="47"/>
      <c r="D289" s="48" t="s">
        <v>1690</v>
      </c>
      <c r="E289" s="48" t="s">
        <v>1694</v>
      </c>
      <c r="F289" s="48" t="s">
        <v>1693</v>
      </c>
      <c r="G289" s="49" t="s">
        <v>1687</v>
      </c>
      <c r="H289" s="50" t="s">
        <v>1686</v>
      </c>
      <c r="I289" s="2"/>
    </row>
    <row r="290" spans="1:9" x14ac:dyDescent="0.25">
      <c r="A290" s="103">
        <v>19015</v>
      </c>
      <c r="B290" s="51" t="str">
        <f>IF($A290=0,"",VLOOKUP($A290,'BASE EQUIPO'!$A:$D,2))</f>
        <v>HERRAMIENTA MENOR</v>
      </c>
      <c r="C290" s="52"/>
      <c r="D290" s="53">
        <v>1</v>
      </c>
      <c r="E290" s="53">
        <f>IF($A290=0,"",VLOOKUP($A290,'BASE EQUIPO'!$A:$D,4)*H306)</f>
        <v>0</v>
      </c>
      <c r="F290" s="53">
        <f t="shared" ref="F290:F295" si="25">IF($A290=0,"",ROUND(D290*E290,2))</f>
        <v>0</v>
      </c>
      <c r="G290" s="105">
        <v>1</v>
      </c>
      <c r="H290" s="54">
        <f t="shared" ref="H290:H295" si="26">IF($A290=0,"",ROUND(G290*F290,2))</f>
        <v>0</v>
      </c>
      <c r="I290" s="2"/>
    </row>
    <row r="291" spans="1:9" x14ac:dyDescent="0.25">
      <c r="B291" s="38" t="str">
        <f>IF($A291=0,"",VLOOKUP($A291,'BASE EQUIPO'!$A:$D,2))</f>
        <v/>
      </c>
      <c r="C291" s="2"/>
      <c r="D291" s="55"/>
      <c r="E291" s="55" t="str">
        <f>IF($A291=0,"",VLOOKUP($A291,'BASE EQUIPO'!$A:$D,4))</f>
        <v/>
      </c>
      <c r="F291" s="55" t="str">
        <f t="shared" si="25"/>
        <v/>
      </c>
      <c r="G291" s="106"/>
      <c r="H291" s="56" t="str">
        <f t="shared" si="26"/>
        <v/>
      </c>
      <c r="I291" s="2"/>
    </row>
    <row r="292" spans="1:9" x14ac:dyDescent="0.25">
      <c r="B292" s="38" t="str">
        <f>IF($A292=0,"",VLOOKUP($A292,'BASE EQUIPO'!$A:$D,2))</f>
        <v/>
      </c>
      <c r="C292" s="2"/>
      <c r="D292" s="55"/>
      <c r="E292" s="55" t="str">
        <f>IF($A292=0,"",VLOOKUP($A292,'BASE EQUIPO'!$A:$D,4))</f>
        <v/>
      </c>
      <c r="F292" s="55" t="str">
        <f t="shared" si="25"/>
        <v/>
      </c>
      <c r="G292" s="106"/>
      <c r="H292" s="56" t="str">
        <f t="shared" si="26"/>
        <v/>
      </c>
      <c r="I292" s="2"/>
    </row>
    <row r="293" spans="1:9" x14ac:dyDescent="0.25">
      <c r="B293" s="38" t="str">
        <f>IF($A293=0,"",VLOOKUP($A293,'BASE EQUIPO'!$A:$D,2))</f>
        <v/>
      </c>
      <c r="C293" s="2"/>
      <c r="D293" s="55"/>
      <c r="E293" s="55" t="str">
        <f>IF($A293=0,"",VLOOKUP($A293,'BASE EQUIPO'!$A:$D,4))</f>
        <v/>
      </c>
      <c r="F293" s="55" t="str">
        <f t="shared" si="25"/>
        <v/>
      </c>
      <c r="G293" s="106"/>
      <c r="H293" s="56" t="str">
        <f t="shared" si="26"/>
        <v/>
      </c>
      <c r="I293" s="2"/>
    </row>
    <row r="294" spans="1:9" x14ac:dyDescent="0.25">
      <c r="B294" s="38" t="str">
        <f>IF($A294=0,"",VLOOKUP($A294,'BASE EQUIPO'!$A:$D,2))</f>
        <v/>
      </c>
      <c r="C294" s="2"/>
      <c r="D294" s="55"/>
      <c r="E294" s="55" t="str">
        <f>IF($A294=0,"",VLOOKUP($A294,'BASE EQUIPO'!$A:$D,4))</f>
        <v/>
      </c>
      <c r="F294" s="55" t="str">
        <f t="shared" si="25"/>
        <v/>
      </c>
      <c r="G294" s="106"/>
      <c r="H294" s="56" t="str">
        <f t="shared" si="26"/>
        <v/>
      </c>
      <c r="I294" s="2"/>
    </row>
    <row r="295" spans="1:9" x14ac:dyDescent="0.25">
      <c r="B295" s="57" t="str">
        <f>IF($A295=0,"",VLOOKUP($A295,'BASE EQUIPO'!$A:$D,2))</f>
        <v/>
      </c>
      <c r="C295" s="58"/>
      <c r="D295" s="59"/>
      <c r="E295" s="59" t="str">
        <f>IF($A295=0,"",VLOOKUP($A295,'BASE EQUIPO'!$A:$D,4))</f>
        <v/>
      </c>
      <c r="F295" s="59" t="str">
        <f t="shared" si="25"/>
        <v/>
      </c>
      <c r="G295" s="107"/>
      <c r="H295" s="60" t="str">
        <f t="shared" si="26"/>
        <v/>
      </c>
      <c r="I295" s="2"/>
    </row>
    <row r="296" spans="1:9" x14ac:dyDescent="0.25">
      <c r="B296" s="57" t="s">
        <v>1692</v>
      </c>
      <c r="C296" s="58"/>
      <c r="D296" s="61"/>
      <c r="E296" s="61"/>
      <c r="F296" s="61"/>
      <c r="G296" s="62"/>
      <c r="H296" s="60">
        <f>ROUND(SUM(H289:H295),2)</f>
        <v>0</v>
      </c>
      <c r="I296" s="2"/>
    </row>
    <row r="297" spans="1:9" x14ac:dyDescent="0.25">
      <c r="B297" s="38" t="s">
        <v>1503</v>
      </c>
      <c r="C297" s="2"/>
      <c r="D297" s="3"/>
      <c r="E297" s="3"/>
      <c r="F297" s="3"/>
      <c r="G297" s="63"/>
      <c r="H297" s="56"/>
      <c r="I297" s="2"/>
    </row>
    <row r="298" spans="1:9" ht="25.5" x14ac:dyDescent="0.25">
      <c r="B298" s="64" t="s">
        <v>1691</v>
      </c>
      <c r="C298" s="65"/>
      <c r="D298" s="66" t="s">
        <v>1690</v>
      </c>
      <c r="E298" s="66" t="s">
        <v>1689</v>
      </c>
      <c r="F298" s="66" t="s">
        <v>1688</v>
      </c>
      <c r="G298" s="67" t="s">
        <v>1687</v>
      </c>
      <c r="H298" s="68" t="s">
        <v>1686</v>
      </c>
      <c r="I298" s="2"/>
    </row>
    <row r="299" spans="1:9" x14ac:dyDescent="0.25">
      <c r="B299" s="69" t="str">
        <f>IF($A299=0,"",VLOOKUP($A299,'BASE M-OBRA'!$A:$D,2))</f>
        <v/>
      </c>
      <c r="C299" s="2"/>
      <c r="D299" s="108"/>
      <c r="E299" s="70" t="str">
        <f>IF($A299=0,"",VLOOKUP($A299,'BASE M-OBRA'!$A:$D,4))</f>
        <v/>
      </c>
      <c r="F299" s="55" t="str">
        <f t="shared" ref="F299:F305" si="27">IF($A299=0,"",ROUND(D299*E299,2))</f>
        <v/>
      </c>
      <c r="G299" s="106" t="str">
        <f>IF($A299=0,"",ROUND(H299/F299,2))</f>
        <v/>
      </c>
      <c r="H299" s="56" t="str">
        <f>IF($A299=0,"",ROUND(SUM(H300:H305)*'BASE M-OBRA'!$D$23,2))</f>
        <v/>
      </c>
      <c r="I299" s="2"/>
    </row>
    <row r="300" spans="1:9" x14ac:dyDescent="0.25">
      <c r="B300" s="69" t="str">
        <f>IF($A300=0,"",VLOOKUP($A300,'BASE M-OBRA'!$A:$D,2))</f>
        <v/>
      </c>
      <c r="C300" s="2"/>
      <c r="D300" s="108"/>
      <c r="E300" s="70" t="str">
        <f>IF($A300=0,"",VLOOKUP($A300,'BASE M-OBRA'!$A:$D,4))</f>
        <v/>
      </c>
      <c r="F300" s="55" t="str">
        <f t="shared" si="27"/>
        <v/>
      </c>
      <c r="G300" s="106"/>
      <c r="H300" s="56" t="str">
        <f t="shared" ref="H300:H305" si="28">IF($A300=0,"",ROUND(G300*F300,2))</f>
        <v/>
      </c>
      <c r="I300" s="2"/>
    </row>
    <row r="301" spans="1:9" x14ac:dyDescent="0.25">
      <c r="B301" s="69" t="str">
        <f>IF($A301=0,"",VLOOKUP($A301,'BASE M-OBRA'!$A:$D,2))</f>
        <v/>
      </c>
      <c r="C301" s="2"/>
      <c r="D301" s="108"/>
      <c r="E301" s="70" t="str">
        <f>IF($A301=0,"",VLOOKUP($A301,'BASE M-OBRA'!$A:$D,4))</f>
        <v/>
      </c>
      <c r="F301" s="55" t="str">
        <f t="shared" si="27"/>
        <v/>
      </c>
      <c r="G301" s="106"/>
      <c r="H301" s="56" t="str">
        <f t="shared" si="28"/>
        <v/>
      </c>
      <c r="I301" s="2"/>
    </row>
    <row r="302" spans="1:9" x14ac:dyDescent="0.25">
      <c r="B302" s="71" t="str">
        <f>IF($A302=0,"",VLOOKUP($A302,'BASE M-OBRA'!$A:$D,2))</f>
        <v/>
      </c>
      <c r="C302" s="2"/>
      <c r="D302" s="108"/>
      <c r="E302" s="70" t="str">
        <f>IF($A302=0,"",VLOOKUP($A302,'BASE M-OBRA'!$A:$D,4))</f>
        <v/>
      </c>
      <c r="F302" s="55" t="str">
        <f t="shared" si="27"/>
        <v/>
      </c>
      <c r="G302" s="106"/>
      <c r="H302" s="56" t="str">
        <f t="shared" si="28"/>
        <v/>
      </c>
      <c r="I302" s="2"/>
    </row>
    <row r="303" spans="1:9" x14ac:dyDescent="0.25">
      <c r="B303" s="72" t="str">
        <f>IF($A303=0,"",VLOOKUP($A303,'BASE M-OBRA'!$A:$D,2))</f>
        <v/>
      </c>
      <c r="C303" s="2"/>
      <c r="D303" s="108"/>
      <c r="E303" s="70" t="str">
        <f>IF($A303=0,"",VLOOKUP($A303,'BASE M-OBRA'!$A:$D,4))</f>
        <v/>
      </c>
      <c r="F303" s="55" t="str">
        <f t="shared" si="27"/>
        <v/>
      </c>
      <c r="G303" s="106"/>
      <c r="H303" s="56" t="str">
        <f t="shared" si="28"/>
        <v/>
      </c>
      <c r="I303" s="2"/>
    </row>
    <row r="304" spans="1:9" x14ac:dyDescent="0.25">
      <c r="B304" s="38" t="str">
        <f>IF($A304=0,"",VLOOKUP($A304,'BASE M-OBRA'!$A:$D,2))</f>
        <v/>
      </c>
      <c r="C304" s="2"/>
      <c r="D304" s="55"/>
      <c r="E304" s="55" t="str">
        <f>IF($A304=0,"",VLOOKUP($A304,'BASE M-OBRA'!$A:$D,4))</f>
        <v/>
      </c>
      <c r="F304" s="55" t="str">
        <f t="shared" si="27"/>
        <v/>
      </c>
      <c r="G304" s="106"/>
      <c r="H304" s="56" t="str">
        <f t="shared" si="28"/>
        <v/>
      </c>
      <c r="I304" s="2"/>
    </row>
    <row r="305" spans="1:16" x14ac:dyDescent="0.25">
      <c r="B305" s="57" t="str">
        <f>IF($A305=0,"",VLOOKUP($A305,'BASE M-OBRA'!$A:$D,2))</f>
        <v/>
      </c>
      <c r="C305" s="58"/>
      <c r="D305" s="59"/>
      <c r="E305" s="59" t="str">
        <f>IF($A305=0,"",VLOOKUP($A305,'BASE M-OBRA'!$A:$D,4))</f>
        <v/>
      </c>
      <c r="F305" s="59" t="str">
        <f t="shared" si="27"/>
        <v/>
      </c>
      <c r="G305" s="107"/>
      <c r="H305" s="60" t="str">
        <f t="shared" si="28"/>
        <v/>
      </c>
      <c r="I305" s="2"/>
    </row>
    <row r="306" spans="1:16" x14ac:dyDescent="0.25">
      <c r="B306" s="73" t="s">
        <v>1685</v>
      </c>
      <c r="C306" s="65"/>
      <c r="D306" s="74"/>
      <c r="E306" s="74"/>
      <c r="F306" s="74"/>
      <c r="G306" s="74"/>
      <c r="H306" s="75">
        <f>ROUND(SUM(H298:H305),2)</f>
        <v>0</v>
      </c>
      <c r="I306" s="2"/>
    </row>
    <row r="307" spans="1:16" x14ac:dyDescent="0.25">
      <c r="B307" s="38" t="s">
        <v>1684</v>
      </c>
      <c r="C307" s="2"/>
      <c r="D307" s="3"/>
      <c r="E307" s="3"/>
      <c r="F307" s="3"/>
      <c r="G307" s="3"/>
      <c r="H307" s="56"/>
      <c r="I307" s="2"/>
    </row>
    <row r="308" spans="1:16" ht="25.5" x14ac:dyDescent="0.25">
      <c r="B308" s="64" t="s">
        <v>1409</v>
      </c>
      <c r="C308" s="65"/>
      <c r="D308" s="76"/>
      <c r="E308" s="66" t="s">
        <v>1408</v>
      </c>
      <c r="F308" s="66" t="s">
        <v>1679</v>
      </c>
      <c r="G308" s="66" t="s">
        <v>1683</v>
      </c>
      <c r="H308" s="68" t="s">
        <v>1675</v>
      </c>
      <c r="I308" s="2"/>
    </row>
    <row r="309" spans="1:16" x14ac:dyDescent="0.25">
      <c r="A309" s="103">
        <v>1</v>
      </c>
      <c r="B309" s="100" t="s">
        <v>198</v>
      </c>
      <c r="C309" s="2"/>
      <c r="D309" s="77"/>
      <c r="E309" s="78" t="s">
        <v>744</v>
      </c>
      <c r="F309" s="55">
        <v>1</v>
      </c>
      <c r="G309" s="55">
        <v>1720</v>
      </c>
      <c r="H309" s="56">
        <f t="shared" ref="H309:H323" si="29">IF($A309=0,"",ROUND(F309*G309,2))</f>
        <v>1720</v>
      </c>
      <c r="I309" s="2"/>
      <c r="J309" s="1">
        <v>1392.3</v>
      </c>
      <c r="L309" s="2"/>
      <c r="M309" s="2"/>
      <c r="N309" s="39"/>
      <c r="O309" s="2"/>
      <c r="P309" s="2"/>
    </row>
    <row r="310" spans="1:16" x14ac:dyDescent="0.25">
      <c r="B310" s="38" t="str">
        <f>IF($A310=0,"",VLOOKUP($A310,'BASE MATERIAL'!$A:$D,2))</f>
        <v/>
      </c>
      <c r="C310" s="2"/>
      <c r="D310" s="77"/>
      <c r="E310" s="78" t="str">
        <f>IF($A310=0,"",VLOOKUP($A310,'BASE MATERIAL'!$A:$D,3))</f>
        <v/>
      </c>
      <c r="F310" s="55"/>
      <c r="G310" s="55" t="str">
        <f>IF($A310=0,"",VLOOKUP($A310,'BASE MATERIAL'!$A:$D,4))</f>
        <v/>
      </c>
      <c r="H310" s="56" t="str">
        <f t="shared" si="29"/>
        <v/>
      </c>
      <c r="I310" s="2"/>
      <c r="L310" s="2"/>
      <c r="M310" s="2"/>
      <c r="N310" s="39"/>
      <c r="O310" s="2"/>
      <c r="P310" s="2"/>
    </row>
    <row r="311" spans="1:16" x14ac:dyDescent="0.25">
      <c r="B311" s="38" t="str">
        <f>IF($A311=0,"",VLOOKUP($A311,'BASE MATERIAL'!$A:$D,2))</f>
        <v/>
      </c>
      <c r="C311" s="2"/>
      <c r="D311" s="77"/>
      <c r="E311" s="78" t="str">
        <f>IF($A311=0,"",VLOOKUP($A311,'BASE MATERIAL'!$A:$D,3))</f>
        <v/>
      </c>
      <c r="F311" s="55"/>
      <c r="G311" s="55" t="str">
        <f>IF($A311=0,"",VLOOKUP($A311,'BASE MATERIAL'!$A:$D,4))</f>
        <v/>
      </c>
      <c r="H311" s="56" t="str">
        <f t="shared" si="29"/>
        <v/>
      </c>
      <c r="I311" s="2"/>
      <c r="L311" s="2"/>
      <c r="M311" s="2"/>
      <c r="N311" s="39"/>
      <c r="O311" s="2"/>
      <c r="P311" s="2"/>
    </row>
    <row r="312" spans="1:16" x14ac:dyDescent="0.25">
      <c r="B312" s="38" t="str">
        <f>IF($A312=0,"",VLOOKUP($A312,'BASE MATERIAL'!$A:$D,2))</f>
        <v/>
      </c>
      <c r="C312" s="2"/>
      <c r="D312" s="77"/>
      <c r="E312" s="78" t="str">
        <f>IF($A312=0,"",VLOOKUP($A312,'BASE MATERIAL'!$A:$D,3))</f>
        <v/>
      </c>
      <c r="F312" s="55"/>
      <c r="G312" s="55" t="str">
        <f>IF($A312=0,"",VLOOKUP($A312,'BASE MATERIAL'!$A:$D,4))</f>
        <v/>
      </c>
      <c r="H312" s="56" t="str">
        <f t="shared" si="29"/>
        <v/>
      </c>
      <c r="I312" s="2"/>
      <c r="L312" s="2"/>
      <c r="M312" s="2"/>
      <c r="N312" s="39"/>
      <c r="O312" s="2"/>
      <c r="P312" s="2"/>
    </row>
    <row r="313" spans="1:16" x14ac:dyDescent="0.25">
      <c r="B313" s="38" t="str">
        <f>IF($A313=0,"",VLOOKUP($A313,'BASE MATERIAL'!$A:$D,2))</f>
        <v/>
      </c>
      <c r="C313" s="2"/>
      <c r="D313" s="77"/>
      <c r="E313" s="78" t="str">
        <f>IF($A313=0,"",VLOOKUP($A313,'BASE MATERIAL'!$A:$D,3))</f>
        <v/>
      </c>
      <c r="F313" s="55"/>
      <c r="G313" s="55" t="str">
        <f>IF($A313=0,"",VLOOKUP($A313,'BASE MATERIAL'!$A:$D,4))</f>
        <v/>
      </c>
      <c r="H313" s="56" t="str">
        <f t="shared" si="29"/>
        <v/>
      </c>
      <c r="I313" s="2"/>
      <c r="L313" s="2"/>
      <c r="M313" s="2"/>
      <c r="N313" s="39"/>
      <c r="O313" s="2"/>
      <c r="P313" s="2"/>
    </row>
    <row r="314" spans="1:16" x14ac:dyDescent="0.25">
      <c r="B314" s="38" t="str">
        <f>IF($A314=0,"",VLOOKUP($A314,'BASE MATERIAL'!$A:$D,2))</f>
        <v/>
      </c>
      <c r="C314" s="2"/>
      <c r="D314" s="77"/>
      <c r="E314" s="78" t="str">
        <f>IF($A314=0,"",VLOOKUP($A314,'BASE MATERIAL'!$A:$D,3))</f>
        <v/>
      </c>
      <c r="F314" s="55"/>
      <c r="G314" s="55" t="str">
        <f>IF($A314=0,"",VLOOKUP($A314,'BASE MATERIAL'!$A:$D,4))</f>
        <v/>
      </c>
      <c r="H314" s="56" t="str">
        <f t="shared" si="29"/>
        <v/>
      </c>
      <c r="I314" s="2"/>
      <c r="L314" s="2"/>
      <c r="M314" s="2"/>
      <c r="N314" s="39"/>
      <c r="O314" s="2"/>
      <c r="P314" s="2"/>
    </row>
    <row r="315" spans="1:16" x14ac:dyDescent="0.25">
      <c r="B315" s="38" t="str">
        <f>IF($A315=0,"",VLOOKUP($A315,'BASE MATERIAL'!$A:$D,2))</f>
        <v/>
      </c>
      <c r="C315" s="2"/>
      <c r="D315" s="77"/>
      <c r="E315" s="78" t="str">
        <f>IF($A315=0,"",VLOOKUP($A315,'BASE MATERIAL'!$A:$D,3))</f>
        <v/>
      </c>
      <c r="F315" s="55"/>
      <c r="G315" s="55" t="str">
        <f>IF($A315=0,"",VLOOKUP($A315,'BASE MATERIAL'!$A:$D,4))</f>
        <v/>
      </c>
      <c r="H315" s="56" t="str">
        <f t="shared" si="29"/>
        <v/>
      </c>
      <c r="I315" s="2"/>
      <c r="L315" s="2"/>
      <c r="M315" s="2"/>
      <c r="N315" s="39"/>
      <c r="O315" s="2"/>
      <c r="P315" s="2"/>
    </row>
    <row r="316" spans="1:16" x14ac:dyDescent="0.25">
      <c r="B316" s="38" t="str">
        <f>IF($A316=0,"",VLOOKUP($A316,'BASE MATERIAL'!$A:$D,2))</f>
        <v/>
      </c>
      <c r="C316" s="2"/>
      <c r="D316" s="77"/>
      <c r="E316" s="78" t="str">
        <f>IF($A316=0,"",VLOOKUP($A316,'BASE MATERIAL'!$A:$D,3))</f>
        <v/>
      </c>
      <c r="F316" s="55"/>
      <c r="G316" s="55" t="str">
        <f>IF($A316=0,"",VLOOKUP($A316,'BASE MATERIAL'!$A:$D,4))</f>
        <v/>
      </c>
      <c r="H316" s="56" t="str">
        <f t="shared" si="29"/>
        <v/>
      </c>
      <c r="I316" s="2"/>
      <c r="L316" s="2"/>
      <c r="M316" s="2"/>
      <c r="N316" s="39"/>
      <c r="O316" s="2"/>
      <c r="P316" s="2"/>
    </row>
    <row r="317" spans="1:16" x14ac:dyDescent="0.25">
      <c r="B317" s="38" t="str">
        <f>IF($A317=0,"",VLOOKUP($A317,'BASE MATERIAL'!$A:$D,2))</f>
        <v/>
      </c>
      <c r="C317" s="2"/>
      <c r="D317" s="77"/>
      <c r="E317" s="78" t="str">
        <f>IF($A317=0,"",VLOOKUP($A317,'BASE MATERIAL'!$A:$D,3))</f>
        <v/>
      </c>
      <c r="F317" s="55"/>
      <c r="G317" s="55" t="str">
        <f>IF($A317=0,"",VLOOKUP($A317,'BASE MATERIAL'!$A:$D,4))</f>
        <v/>
      </c>
      <c r="H317" s="56" t="str">
        <f t="shared" si="29"/>
        <v/>
      </c>
      <c r="I317" s="2"/>
    </row>
    <row r="318" spans="1:16" x14ac:dyDescent="0.25">
      <c r="B318" s="38" t="str">
        <f>IF($A318=0,"",VLOOKUP($A318,'BASE MATERIAL'!$A:$D,2))</f>
        <v/>
      </c>
      <c r="C318" s="2"/>
      <c r="D318" s="77"/>
      <c r="E318" s="78" t="str">
        <f>IF($A318=0,"",VLOOKUP($A318,'BASE MATERIAL'!$A:$D,3))</f>
        <v/>
      </c>
      <c r="F318" s="55"/>
      <c r="G318" s="55" t="str">
        <f>IF($A318=0,"",VLOOKUP($A318,'BASE MATERIAL'!$A:$D,4))</f>
        <v/>
      </c>
      <c r="H318" s="56" t="str">
        <f t="shared" si="29"/>
        <v/>
      </c>
      <c r="I318" s="2"/>
      <c r="L318" s="2"/>
      <c r="M318" s="2"/>
      <c r="N318" s="39"/>
      <c r="O318" s="2"/>
      <c r="P318" s="2"/>
    </row>
    <row r="319" spans="1:16" x14ac:dyDescent="0.25">
      <c r="B319" s="38" t="str">
        <f>IF($A319=0,"",VLOOKUP($A319,'BASE MATERIAL'!$A:$D,2))</f>
        <v/>
      </c>
      <c r="C319" s="2"/>
      <c r="D319" s="77"/>
      <c r="E319" s="78" t="str">
        <f>IF($A319=0,"",VLOOKUP($A319,'BASE MATERIAL'!$A:$D,3))</f>
        <v/>
      </c>
      <c r="F319" s="55"/>
      <c r="G319" s="55" t="str">
        <f>IF($A319=0,"",VLOOKUP($A319,'BASE MATERIAL'!$A:$D,4))</f>
        <v/>
      </c>
      <c r="H319" s="56" t="str">
        <f t="shared" si="29"/>
        <v/>
      </c>
      <c r="I319" s="2"/>
      <c r="L319" s="2"/>
      <c r="M319" s="2"/>
      <c r="N319" s="39"/>
      <c r="O319" s="2"/>
      <c r="P319" s="2"/>
    </row>
    <row r="320" spans="1:16" x14ac:dyDescent="0.25">
      <c r="B320" s="38" t="str">
        <f>IF($A320=0,"",VLOOKUP($A320,'BASE MATERIAL'!$A:$D,2))</f>
        <v/>
      </c>
      <c r="C320" s="2"/>
      <c r="D320" s="77"/>
      <c r="E320" s="78" t="str">
        <f>IF($A320=0,"",VLOOKUP($A320,'BASE MATERIAL'!$A:$D,3))</f>
        <v/>
      </c>
      <c r="F320" s="55"/>
      <c r="G320" s="55" t="str">
        <f>IF($A320=0,"",VLOOKUP($A320,'BASE MATERIAL'!$A:$D,4))</f>
        <v/>
      </c>
      <c r="H320" s="56" t="str">
        <f t="shared" si="29"/>
        <v/>
      </c>
      <c r="I320" s="2"/>
    </row>
    <row r="321" spans="1:9" x14ac:dyDescent="0.25">
      <c r="B321" s="38" t="str">
        <f>IF($A321=0,"",VLOOKUP($A321,'BASE MATERIAL'!$A:$D,2))</f>
        <v/>
      </c>
      <c r="C321" s="2"/>
      <c r="D321" s="77"/>
      <c r="E321" s="78" t="str">
        <f>IF($A321=0,"",VLOOKUP($A321,'BASE MATERIAL'!$A:$D,3))</f>
        <v/>
      </c>
      <c r="F321" s="55"/>
      <c r="G321" s="55" t="str">
        <f>IF($A321=0,"",VLOOKUP($A321,'BASE MATERIAL'!$A:$D,4))</f>
        <v/>
      </c>
      <c r="H321" s="56" t="str">
        <f t="shared" si="29"/>
        <v/>
      </c>
      <c r="I321" s="2"/>
    </row>
    <row r="322" spans="1:9" x14ac:dyDescent="0.25">
      <c r="B322" s="38" t="str">
        <f>IF($A322=0,"",VLOOKUP($A322,'BASE MATERIAL'!$A:$D,2))</f>
        <v/>
      </c>
      <c r="C322" s="2"/>
      <c r="D322" s="77"/>
      <c r="E322" s="78" t="str">
        <f>IF($A322=0,"",VLOOKUP($A322,'BASE MATERIAL'!$A:$D,3))</f>
        <v/>
      </c>
      <c r="F322" s="55"/>
      <c r="G322" s="55" t="str">
        <f>IF($A322=0,"",VLOOKUP($A322,'BASE MATERIAL'!$A:$D,4))</f>
        <v/>
      </c>
      <c r="H322" s="56" t="str">
        <f t="shared" si="29"/>
        <v/>
      </c>
      <c r="I322" s="2"/>
    </row>
    <row r="323" spans="1:9" x14ac:dyDescent="0.25">
      <c r="B323" s="38" t="str">
        <f>IF($A323=0,"",VLOOKUP($A323,'BASE MATERIAL'!$A:$D,2))</f>
        <v/>
      </c>
      <c r="C323" s="2"/>
      <c r="D323" s="77"/>
      <c r="E323" s="78" t="str">
        <f>IF($A323=0,"",VLOOKUP($A323,'BASE MATERIAL'!$A:$D,3))</f>
        <v/>
      </c>
      <c r="F323" s="55"/>
      <c r="G323" s="55" t="str">
        <f>IF($A323=0,"",VLOOKUP($A323,'BASE MATERIAL'!$A:$D,4))</f>
        <v/>
      </c>
      <c r="H323" s="56" t="str">
        <f t="shared" si="29"/>
        <v/>
      </c>
      <c r="I323" s="2"/>
    </row>
    <row r="324" spans="1:9" x14ac:dyDescent="0.25">
      <c r="B324" s="38" t="str">
        <f>IF($A324=0,"",VLOOKUP($A324,'BASE MATERIAL'!$A:$D,2))</f>
        <v/>
      </c>
      <c r="C324" s="2"/>
      <c r="D324" s="81" t="s">
        <v>1682</v>
      </c>
      <c r="E324" s="55" t="str">
        <f>IF($A324=0,"",VLOOKUP($A324,'BASE MATERIAL'!$A:$D,3))</f>
        <v/>
      </c>
      <c r="F324" s="55" t="s">
        <v>1682</v>
      </c>
      <c r="G324" s="55" t="str">
        <f>IF($A324=0,"",VLOOKUP($A324,'BASE MATERIAL'!$A:$D,4))</f>
        <v/>
      </c>
      <c r="H324" s="56" t="str">
        <f>IF($A324=0,"",ROUND(E324*F324,2))</f>
        <v/>
      </c>
      <c r="I324" s="2"/>
    </row>
    <row r="325" spans="1:9" x14ac:dyDescent="0.25">
      <c r="B325" s="73" t="s">
        <v>1681</v>
      </c>
      <c r="C325" s="65"/>
      <c r="D325" s="74"/>
      <c r="E325" s="74"/>
      <c r="F325" s="74"/>
      <c r="G325" s="74"/>
      <c r="H325" s="75">
        <f>ROUND(SUM(H308:H324),2)</f>
        <v>1720</v>
      </c>
      <c r="I325" s="2"/>
    </row>
    <row r="326" spans="1:9" x14ac:dyDescent="0.25">
      <c r="B326" s="38" t="s">
        <v>1680</v>
      </c>
      <c r="C326" s="2"/>
      <c r="D326" s="3"/>
      <c r="E326" s="3"/>
      <c r="F326" s="3"/>
      <c r="G326" s="3"/>
      <c r="H326" s="56"/>
      <c r="I326" s="2"/>
    </row>
    <row r="327" spans="1:9" ht="25.5" x14ac:dyDescent="0.25">
      <c r="B327" s="64" t="s">
        <v>1409</v>
      </c>
      <c r="C327" s="65"/>
      <c r="D327" s="76"/>
      <c r="E327" s="66" t="s">
        <v>1408</v>
      </c>
      <c r="F327" s="66" t="s">
        <v>1679</v>
      </c>
      <c r="G327" s="66" t="s">
        <v>1676</v>
      </c>
      <c r="H327" s="68" t="s">
        <v>1675</v>
      </c>
      <c r="I327" s="2"/>
    </row>
    <row r="328" spans="1:9" x14ac:dyDescent="0.25">
      <c r="A328" s="103">
        <v>19019</v>
      </c>
      <c r="B328" s="51" t="str">
        <f>IF($A328=0,"",VLOOKUP($A328,'BASE EQUIPO'!$A:$D,2))</f>
        <v>TRANSPORTE DE MATERIAL</v>
      </c>
      <c r="C328" s="52"/>
      <c r="D328" s="82"/>
      <c r="E328" s="78" t="str">
        <f>IF($A328=0,"",VLOOKUP($A328,'BASE EQUIPO'!$A:$D,3))</f>
        <v>GLOBAL</v>
      </c>
      <c r="F328" s="55">
        <v>1</v>
      </c>
      <c r="G328" s="83">
        <f>IF($A328=0,"",VLOOKUP($A328,'BASE EQUIPO'!$A:$D,4)*H325)</f>
        <v>51.6</v>
      </c>
      <c r="H328" s="56">
        <f>IF($A328=0,"",ROUND(F328*G328,2))</f>
        <v>51.6</v>
      </c>
      <c r="I328" s="2"/>
    </row>
    <row r="329" spans="1:9" x14ac:dyDescent="0.25">
      <c r="B329" s="38" t="str">
        <f>IF($A329=0,"",VLOOKUP($A329,'BASE EQUIPO'!$A:$D,2))</f>
        <v/>
      </c>
      <c r="C329" s="2"/>
      <c r="D329" s="84"/>
      <c r="E329" s="78" t="str">
        <f>IF($A329=0,"",VLOOKUP($A329,'BASE EQUIPO'!$A:$D,3))</f>
        <v/>
      </c>
      <c r="F329" s="55"/>
      <c r="G329" s="55" t="str">
        <f>IF($A329=0,"",VLOOKUP($A329,'BASE EQUIPO'!$A:$D,4)*H326)</f>
        <v/>
      </c>
      <c r="H329" s="56" t="str">
        <f>IF($A329=0,"",ROUND(F329*G329,2))</f>
        <v/>
      </c>
      <c r="I329" s="2"/>
    </row>
    <row r="330" spans="1:9" x14ac:dyDescent="0.25">
      <c r="B330" s="57" t="str">
        <f>IF($A330=0,"",VLOOKUP($A330,'BASE EQUIPO'!$A:$D,2))</f>
        <v/>
      </c>
      <c r="C330" s="58"/>
      <c r="D330" s="85"/>
      <c r="E330" s="86" t="str">
        <f>IF($A330=0,"",VLOOKUP($A330,'BASE EQUIPO'!$A:$D,3))</f>
        <v/>
      </c>
      <c r="F330" s="59"/>
      <c r="G330" s="59" t="str">
        <f>IF($A330=0,"",VLOOKUP($A330,'BASE EQUIPO'!$A:$D,4)*H327)</f>
        <v/>
      </c>
      <c r="H330" s="60" t="str">
        <f>IF($A330=0,"",ROUND(F330*G330,2))</f>
        <v/>
      </c>
      <c r="I330" s="2"/>
    </row>
    <row r="331" spans="1:9" ht="15.75" thickBot="1" x14ac:dyDescent="0.3">
      <c r="B331" s="87" t="s">
        <v>1674</v>
      </c>
      <c r="C331" s="88"/>
      <c r="D331" s="89"/>
      <c r="E331" s="89"/>
      <c r="F331" s="89"/>
      <c r="G331" s="89"/>
      <c r="H331" s="90">
        <f>ROUND(SUM(H327:H330),2)</f>
        <v>51.6</v>
      </c>
      <c r="I331" s="2"/>
    </row>
    <row r="332" spans="1:9" ht="15.75" x14ac:dyDescent="0.25">
      <c r="B332" s="2"/>
      <c r="C332" s="2"/>
      <c r="D332" s="91" t="s">
        <v>1673</v>
      </c>
      <c r="E332" s="47"/>
      <c r="F332" s="47"/>
      <c r="G332" s="47"/>
      <c r="H332" s="92">
        <f>ROUND(SUM(H331,H325,H306,H296),2)</f>
        <v>1771.6</v>
      </c>
      <c r="I332" s="2"/>
    </row>
    <row r="333" spans="1:9" ht="15.75" x14ac:dyDescent="0.25">
      <c r="A333" s="103">
        <v>40002</v>
      </c>
      <c r="B333" s="2"/>
      <c r="C333" s="2"/>
      <c r="D333" s="93" t="s">
        <v>1672</v>
      </c>
      <c r="E333" s="65"/>
      <c r="F333" s="65"/>
      <c r="G333" s="94">
        <f>IF($A333=0,"",VLOOKUP($A333,'BASE MATERIAL'!$M:$P,4))</f>
        <v>0</v>
      </c>
      <c r="H333" s="95">
        <f>IF($A333=0,"",ROUND(G333*H332,2))</f>
        <v>0</v>
      </c>
      <c r="I333" s="2"/>
    </row>
    <row r="334" spans="1:9" ht="15.75" x14ac:dyDescent="0.25">
      <c r="A334" s="103">
        <v>40003</v>
      </c>
      <c r="B334" s="2"/>
      <c r="C334" s="2"/>
      <c r="D334" s="93" t="s">
        <v>1671</v>
      </c>
      <c r="E334" s="65"/>
      <c r="F334" s="65"/>
      <c r="G334" s="94">
        <f>IF($A334=0,"",VLOOKUP($A334,'BASE MATERIAL'!$M:$P,4))</f>
        <v>0</v>
      </c>
      <c r="H334" s="95">
        <f>IF($A334=0,"",ROUND(G334*H332,2))</f>
        <v>0</v>
      </c>
      <c r="I334" s="2"/>
    </row>
    <row r="335" spans="1:9" ht="15.75" x14ac:dyDescent="0.25">
      <c r="B335" s="2"/>
      <c r="C335" s="2"/>
      <c r="D335" s="93" t="s">
        <v>1670</v>
      </c>
      <c r="E335" s="65"/>
      <c r="F335" s="65"/>
      <c r="G335" s="65"/>
      <c r="H335" s="96">
        <f>ROUND(SUM(H332:H334),2)</f>
        <v>1771.6</v>
      </c>
      <c r="I335" s="2"/>
    </row>
    <row r="336" spans="1:9" ht="16.5" thickBot="1" x14ac:dyDescent="0.3">
      <c r="B336" s="25"/>
      <c r="C336" s="2"/>
      <c r="D336" s="97" t="s">
        <v>1650</v>
      </c>
      <c r="E336" s="88"/>
      <c r="F336" s="88"/>
      <c r="G336" s="88"/>
      <c r="H336" s="98">
        <f>ROUND(H335,2)</f>
        <v>1771.6</v>
      </c>
      <c r="I336" s="2"/>
    </row>
    <row r="337" spans="1:15" ht="15.75" x14ac:dyDescent="0.25">
      <c r="B337" s="34" t="s">
        <v>1701</v>
      </c>
      <c r="C337" s="2"/>
      <c r="D337" s="3" t="str">
        <f>$D$1</f>
        <v>ESPOL</v>
      </c>
      <c r="E337" s="2"/>
      <c r="F337" s="2"/>
      <c r="H337" s="2" t="s">
        <v>108</v>
      </c>
      <c r="I337" s="2"/>
      <c r="L337" s="40">
        <f>A341</f>
        <v>2</v>
      </c>
      <c r="M337" s="1" t="str">
        <f>C342</f>
        <v>Extractor tipo hongo 3000 CFM 1"SP</v>
      </c>
      <c r="N337" s="2" t="str">
        <f>H341</f>
        <v>U</v>
      </c>
      <c r="O337" s="2">
        <f>H392</f>
        <v>1689.2</v>
      </c>
    </row>
    <row r="338" spans="1:15" ht="15.75" x14ac:dyDescent="0.25">
      <c r="B338" s="34" t="s">
        <v>1700</v>
      </c>
      <c r="C338" s="3">
        <f>'1.1'!$C$2</f>
        <v>0</v>
      </c>
      <c r="D338" s="2"/>
      <c r="E338" s="2"/>
      <c r="F338" s="2"/>
      <c r="G338" s="41" t="s">
        <v>1699</v>
      </c>
      <c r="H338" s="42"/>
      <c r="I338" s="2" t="s">
        <v>1698</v>
      </c>
    </row>
    <row r="339" spans="1:15" ht="15.75" x14ac:dyDescent="0.25">
      <c r="B339" s="34"/>
      <c r="C339" s="3">
        <f>'1.1'!$C$3</f>
        <v>0</v>
      </c>
      <c r="D339" s="2"/>
      <c r="E339" s="2"/>
      <c r="F339" s="2"/>
      <c r="G339" s="2"/>
      <c r="H339" s="2"/>
      <c r="I339" s="2"/>
    </row>
    <row r="340" spans="1:15" ht="15.75" x14ac:dyDescent="0.25">
      <c r="B340" s="34" t="s">
        <v>1697</v>
      </c>
      <c r="C340" s="3"/>
      <c r="D340" s="2"/>
      <c r="E340" s="2"/>
      <c r="F340" s="2"/>
      <c r="G340" s="2"/>
      <c r="H340" s="2"/>
      <c r="I340" s="2"/>
    </row>
    <row r="341" spans="1:15" x14ac:dyDescent="0.25">
      <c r="A341" s="104">
        <v>2</v>
      </c>
      <c r="B341" s="2" t="s">
        <v>1586</v>
      </c>
      <c r="C341" s="101" t="s">
        <v>130</v>
      </c>
      <c r="D341" s="2"/>
      <c r="G341" s="2" t="s">
        <v>1696</v>
      </c>
      <c r="H341" s="3" t="s">
        <v>744</v>
      </c>
      <c r="I341" s="2"/>
    </row>
    <row r="342" spans="1:15" ht="15.75" x14ac:dyDescent="0.25">
      <c r="B342" s="1" t="s">
        <v>1585</v>
      </c>
      <c r="C342" s="35" t="s">
        <v>127</v>
      </c>
      <c r="D342" s="2"/>
      <c r="E342" s="2"/>
      <c r="F342" s="2"/>
      <c r="G342" s="2"/>
      <c r="H342" s="2"/>
      <c r="I342" s="2"/>
    </row>
    <row r="343" spans="1:15" ht="15.75" thickBot="1" x14ac:dyDescent="0.3">
      <c r="D343" s="2"/>
      <c r="E343" s="2"/>
      <c r="F343" s="2"/>
      <c r="G343" s="2"/>
      <c r="H343" s="2"/>
      <c r="I343" s="2"/>
    </row>
    <row r="344" spans="1:15" ht="15.75" thickBot="1" x14ac:dyDescent="0.3">
      <c r="B344" s="43" t="s">
        <v>1695</v>
      </c>
      <c r="C344" s="44"/>
      <c r="D344" s="44"/>
      <c r="E344" s="44"/>
      <c r="F344" s="44"/>
      <c r="G344" s="44"/>
      <c r="H344" s="45"/>
      <c r="I344" s="2"/>
    </row>
    <row r="345" spans="1:15" ht="25.5" x14ac:dyDescent="0.25">
      <c r="B345" s="46" t="s">
        <v>1409</v>
      </c>
      <c r="C345" s="47"/>
      <c r="D345" s="48" t="s">
        <v>1690</v>
      </c>
      <c r="E345" s="48" t="s">
        <v>1694</v>
      </c>
      <c r="F345" s="48" t="s">
        <v>1693</v>
      </c>
      <c r="G345" s="49" t="s">
        <v>1687</v>
      </c>
      <c r="H345" s="50" t="s">
        <v>1686</v>
      </c>
      <c r="I345" s="2"/>
    </row>
    <row r="346" spans="1:15" x14ac:dyDescent="0.25">
      <c r="A346" s="103">
        <v>19015</v>
      </c>
      <c r="B346" s="51" t="str">
        <f>IF($A346=0,"",VLOOKUP($A346,'BASE EQUIPO'!$A:$D,2))</f>
        <v>HERRAMIENTA MENOR</v>
      </c>
      <c r="C346" s="52"/>
      <c r="D346" s="53">
        <v>1</v>
      </c>
      <c r="E346" s="53">
        <f>IF($A346=0,"",VLOOKUP($A346,'BASE EQUIPO'!$A:$D,4)*H362)</f>
        <v>0</v>
      </c>
      <c r="F346" s="53">
        <f t="shared" ref="F346:F351" si="30">IF($A346=0,"",ROUND(D346*E346,2))</f>
        <v>0</v>
      </c>
      <c r="G346" s="105">
        <v>1</v>
      </c>
      <c r="H346" s="54">
        <f t="shared" ref="H346:H351" si="31">IF($A346=0,"",ROUND(G346*F346,2))</f>
        <v>0</v>
      </c>
      <c r="I346" s="2"/>
    </row>
    <row r="347" spans="1:15" x14ac:dyDescent="0.25">
      <c r="B347" s="38" t="str">
        <f>IF($A347=0,"",VLOOKUP($A347,'BASE EQUIPO'!$A:$D,2))</f>
        <v/>
      </c>
      <c r="C347" s="2"/>
      <c r="D347" s="55"/>
      <c r="E347" s="55" t="str">
        <f>IF($A347=0,"",VLOOKUP($A347,'BASE EQUIPO'!$A:$D,4))</f>
        <v/>
      </c>
      <c r="F347" s="55" t="str">
        <f t="shared" si="30"/>
        <v/>
      </c>
      <c r="G347" s="106"/>
      <c r="H347" s="56" t="str">
        <f t="shared" si="31"/>
        <v/>
      </c>
      <c r="I347" s="2"/>
    </row>
    <row r="348" spans="1:15" x14ac:dyDescent="0.25">
      <c r="B348" s="38" t="str">
        <f>IF($A348=0,"",VLOOKUP($A348,'BASE EQUIPO'!$A:$D,2))</f>
        <v/>
      </c>
      <c r="C348" s="2"/>
      <c r="D348" s="55"/>
      <c r="E348" s="55" t="str">
        <f>IF($A348=0,"",VLOOKUP($A348,'BASE EQUIPO'!$A:$D,4))</f>
        <v/>
      </c>
      <c r="F348" s="55" t="str">
        <f t="shared" si="30"/>
        <v/>
      </c>
      <c r="G348" s="106"/>
      <c r="H348" s="56" t="str">
        <f t="shared" si="31"/>
        <v/>
      </c>
      <c r="I348" s="2"/>
    </row>
    <row r="349" spans="1:15" x14ac:dyDescent="0.25">
      <c r="B349" s="38" t="str">
        <f>IF($A349=0,"",VLOOKUP($A349,'BASE EQUIPO'!$A:$D,2))</f>
        <v/>
      </c>
      <c r="C349" s="2"/>
      <c r="D349" s="55"/>
      <c r="E349" s="55" t="str">
        <f>IF($A349=0,"",VLOOKUP($A349,'BASE EQUIPO'!$A:$D,4))</f>
        <v/>
      </c>
      <c r="F349" s="55" t="str">
        <f t="shared" si="30"/>
        <v/>
      </c>
      <c r="G349" s="106"/>
      <c r="H349" s="56" t="str">
        <f t="shared" si="31"/>
        <v/>
      </c>
      <c r="I349" s="2"/>
    </row>
    <row r="350" spans="1:15" x14ac:dyDescent="0.25">
      <c r="B350" s="38" t="str">
        <f>IF($A350=0,"",VLOOKUP($A350,'BASE EQUIPO'!$A:$D,2))</f>
        <v/>
      </c>
      <c r="C350" s="2"/>
      <c r="D350" s="55"/>
      <c r="E350" s="55" t="str">
        <f>IF($A350=0,"",VLOOKUP($A350,'BASE EQUIPO'!$A:$D,4))</f>
        <v/>
      </c>
      <c r="F350" s="55" t="str">
        <f t="shared" si="30"/>
        <v/>
      </c>
      <c r="G350" s="106"/>
      <c r="H350" s="56" t="str">
        <f t="shared" si="31"/>
        <v/>
      </c>
      <c r="I350" s="2"/>
    </row>
    <row r="351" spans="1:15" x14ac:dyDescent="0.25">
      <c r="B351" s="57" t="str">
        <f>IF($A351=0,"",VLOOKUP($A351,'BASE EQUIPO'!$A:$D,2))</f>
        <v/>
      </c>
      <c r="C351" s="58"/>
      <c r="D351" s="59"/>
      <c r="E351" s="59" t="str">
        <f>IF($A351=0,"",VLOOKUP($A351,'BASE EQUIPO'!$A:$D,4))</f>
        <v/>
      </c>
      <c r="F351" s="59" t="str">
        <f t="shared" si="30"/>
        <v/>
      </c>
      <c r="G351" s="107"/>
      <c r="H351" s="60" t="str">
        <f t="shared" si="31"/>
        <v/>
      </c>
      <c r="I351" s="2"/>
    </row>
    <row r="352" spans="1:15" x14ac:dyDescent="0.25">
      <c r="B352" s="57" t="s">
        <v>1692</v>
      </c>
      <c r="C352" s="58"/>
      <c r="D352" s="61"/>
      <c r="E352" s="61"/>
      <c r="F352" s="61"/>
      <c r="G352" s="62"/>
      <c r="H352" s="60">
        <f>ROUND(SUM(H345:H351),2)</f>
        <v>0</v>
      </c>
      <c r="I352" s="2"/>
    </row>
    <row r="353" spans="1:16" x14ac:dyDescent="0.25">
      <c r="B353" s="38" t="s">
        <v>1503</v>
      </c>
      <c r="C353" s="2"/>
      <c r="D353" s="3"/>
      <c r="E353" s="3"/>
      <c r="F353" s="3"/>
      <c r="G353" s="63"/>
      <c r="H353" s="56"/>
      <c r="I353" s="2"/>
    </row>
    <row r="354" spans="1:16" ht="25.5" x14ac:dyDescent="0.25">
      <c r="B354" s="64" t="s">
        <v>1691</v>
      </c>
      <c r="C354" s="65"/>
      <c r="D354" s="66" t="s">
        <v>1690</v>
      </c>
      <c r="E354" s="66" t="s">
        <v>1689</v>
      </c>
      <c r="F354" s="66" t="s">
        <v>1688</v>
      </c>
      <c r="G354" s="67" t="s">
        <v>1687</v>
      </c>
      <c r="H354" s="68" t="s">
        <v>1686</v>
      </c>
      <c r="I354" s="2"/>
    </row>
    <row r="355" spans="1:16" x14ac:dyDescent="0.25">
      <c r="B355" s="69" t="str">
        <f>IF($A355=0,"",VLOOKUP($A355,'BASE M-OBRA'!$A:$D,2))</f>
        <v/>
      </c>
      <c r="C355" s="2"/>
      <c r="D355" s="108"/>
      <c r="E355" s="70" t="str">
        <f>IF($A355=0,"",VLOOKUP($A355,'BASE M-OBRA'!$A:$D,4))</f>
        <v/>
      </c>
      <c r="F355" s="55" t="str">
        <f t="shared" ref="F355:F361" si="32">IF($A355=0,"",ROUND(D355*E355,2))</f>
        <v/>
      </c>
      <c r="G355" s="106" t="str">
        <f>IF($A355=0,"",ROUND(H355/F355,2))</f>
        <v/>
      </c>
      <c r="H355" s="56" t="str">
        <f>IF($A355=0,"",ROUND(SUM(H356:H361)*'BASE M-OBRA'!$D$23,2))</f>
        <v/>
      </c>
      <c r="I355" s="2"/>
    </row>
    <row r="356" spans="1:16" x14ac:dyDescent="0.25">
      <c r="B356" s="69" t="str">
        <f>IF($A356=0,"",VLOOKUP($A356,'BASE M-OBRA'!$A:$D,2))</f>
        <v/>
      </c>
      <c r="C356" s="2"/>
      <c r="D356" s="108"/>
      <c r="E356" s="70" t="str">
        <f>IF($A356=0,"",VLOOKUP($A356,'BASE M-OBRA'!$A:$D,4))</f>
        <v/>
      </c>
      <c r="F356" s="55" t="str">
        <f t="shared" si="32"/>
        <v/>
      </c>
      <c r="G356" s="106"/>
      <c r="H356" s="56" t="str">
        <f t="shared" ref="H356:H361" si="33">IF($A356=0,"",ROUND(G356*F356,2))</f>
        <v/>
      </c>
      <c r="I356" s="2"/>
    </row>
    <row r="357" spans="1:16" x14ac:dyDescent="0.25">
      <c r="B357" s="69" t="str">
        <f>IF($A357=0,"",VLOOKUP($A357,'BASE M-OBRA'!$A:$D,2))</f>
        <v/>
      </c>
      <c r="C357" s="2"/>
      <c r="D357" s="108"/>
      <c r="E357" s="70" t="str">
        <f>IF($A357=0,"",VLOOKUP($A357,'BASE M-OBRA'!$A:$D,4))</f>
        <v/>
      </c>
      <c r="F357" s="55" t="str">
        <f t="shared" si="32"/>
        <v/>
      </c>
      <c r="G357" s="106"/>
      <c r="H357" s="56" t="str">
        <f t="shared" si="33"/>
        <v/>
      </c>
      <c r="I357" s="2"/>
    </row>
    <row r="358" spans="1:16" x14ac:dyDescent="0.25">
      <c r="B358" s="71" t="str">
        <f>IF($A358=0,"",VLOOKUP($A358,'BASE M-OBRA'!$A:$D,2))</f>
        <v/>
      </c>
      <c r="C358" s="2"/>
      <c r="D358" s="108"/>
      <c r="E358" s="70" t="str">
        <f>IF($A358=0,"",VLOOKUP($A358,'BASE M-OBRA'!$A:$D,4))</f>
        <v/>
      </c>
      <c r="F358" s="55" t="str">
        <f t="shared" si="32"/>
        <v/>
      </c>
      <c r="G358" s="106"/>
      <c r="H358" s="56" t="str">
        <f t="shared" si="33"/>
        <v/>
      </c>
      <c r="I358" s="2"/>
    </row>
    <row r="359" spans="1:16" x14ac:dyDescent="0.25">
      <c r="B359" s="72" t="str">
        <f>IF($A359=0,"",VLOOKUP($A359,'BASE M-OBRA'!$A:$D,2))</f>
        <v/>
      </c>
      <c r="C359" s="2"/>
      <c r="D359" s="108"/>
      <c r="E359" s="70" t="str">
        <f>IF($A359=0,"",VLOOKUP($A359,'BASE M-OBRA'!$A:$D,4))</f>
        <v/>
      </c>
      <c r="F359" s="55" t="str">
        <f t="shared" si="32"/>
        <v/>
      </c>
      <c r="G359" s="106"/>
      <c r="H359" s="56" t="str">
        <f t="shared" si="33"/>
        <v/>
      </c>
      <c r="I359" s="2"/>
    </row>
    <row r="360" spans="1:16" x14ac:dyDescent="0.25">
      <c r="B360" s="38" t="str">
        <f>IF($A360=0,"",VLOOKUP($A360,'BASE M-OBRA'!$A:$D,2))</f>
        <v/>
      </c>
      <c r="C360" s="2"/>
      <c r="D360" s="55"/>
      <c r="E360" s="55" t="str">
        <f>IF($A360=0,"",VLOOKUP($A360,'BASE M-OBRA'!$A:$D,4))</f>
        <v/>
      </c>
      <c r="F360" s="55" t="str">
        <f t="shared" si="32"/>
        <v/>
      </c>
      <c r="G360" s="106"/>
      <c r="H360" s="56" t="str">
        <f t="shared" si="33"/>
        <v/>
      </c>
      <c r="I360" s="2"/>
    </row>
    <row r="361" spans="1:16" x14ac:dyDescent="0.25">
      <c r="B361" s="57" t="str">
        <f>IF($A361=0,"",VLOOKUP($A361,'BASE M-OBRA'!$A:$D,2))</f>
        <v/>
      </c>
      <c r="C361" s="58"/>
      <c r="D361" s="59"/>
      <c r="E361" s="59" t="str">
        <f>IF($A361=0,"",VLOOKUP($A361,'BASE M-OBRA'!$A:$D,4))</f>
        <v/>
      </c>
      <c r="F361" s="59" t="str">
        <f t="shared" si="32"/>
        <v/>
      </c>
      <c r="G361" s="107"/>
      <c r="H361" s="60" t="str">
        <f t="shared" si="33"/>
        <v/>
      </c>
      <c r="I361" s="2"/>
    </row>
    <row r="362" spans="1:16" x14ac:dyDescent="0.25">
      <c r="B362" s="73" t="s">
        <v>1685</v>
      </c>
      <c r="C362" s="65"/>
      <c r="D362" s="74"/>
      <c r="E362" s="74"/>
      <c r="F362" s="74"/>
      <c r="G362" s="74"/>
      <c r="H362" s="75">
        <f>ROUND(SUM(H354:H361),2)</f>
        <v>0</v>
      </c>
      <c r="I362" s="2"/>
    </row>
    <row r="363" spans="1:16" x14ac:dyDescent="0.25">
      <c r="B363" s="38" t="s">
        <v>1684</v>
      </c>
      <c r="C363" s="2"/>
      <c r="D363" s="3"/>
      <c r="E363" s="3"/>
      <c r="F363" s="3"/>
      <c r="G363" s="3"/>
      <c r="H363" s="56"/>
      <c r="I363" s="2"/>
    </row>
    <row r="364" spans="1:16" ht="25.5" x14ac:dyDescent="0.25">
      <c r="B364" s="64" t="s">
        <v>1409</v>
      </c>
      <c r="C364" s="65"/>
      <c r="D364" s="76"/>
      <c r="E364" s="66" t="s">
        <v>1408</v>
      </c>
      <c r="F364" s="66" t="s">
        <v>1679</v>
      </c>
      <c r="G364" s="66" t="s">
        <v>1683</v>
      </c>
      <c r="H364" s="68" t="s">
        <v>1675</v>
      </c>
      <c r="I364" s="2"/>
    </row>
    <row r="365" spans="1:16" x14ac:dyDescent="0.25">
      <c r="A365" s="103">
        <v>1</v>
      </c>
      <c r="B365" s="100" t="s">
        <v>198</v>
      </c>
      <c r="C365" s="2"/>
      <c r="D365" s="77"/>
      <c r="E365" s="78" t="s">
        <v>744</v>
      </c>
      <c r="F365" s="55">
        <v>1</v>
      </c>
      <c r="G365" s="55">
        <v>1640</v>
      </c>
      <c r="H365" s="56">
        <f t="shared" ref="H365:H379" si="34">IF($A365=0,"",ROUND(F365*G365,2))</f>
        <v>1640</v>
      </c>
      <c r="I365" s="2"/>
      <c r="J365" s="1">
        <v>1392.3</v>
      </c>
      <c r="L365" s="2"/>
      <c r="M365" s="2"/>
      <c r="N365" s="39"/>
      <c r="O365" s="2"/>
      <c r="P365" s="2"/>
    </row>
    <row r="366" spans="1:16" x14ac:dyDescent="0.25">
      <c r="B366" s="38" t="str">
        <f>IF($A366=0,"",VLOOKUP($A366,'BASE MATERIAL'!$A:$D,2))</f>
        <v/>
      </c>
      <c r="C366" s="2"/>
      <c r="D366" s="77"/>
      <c r="E366" s="78" t="str">
        <f>IF($A366=0,"",VLOOKUP($A366,'BASE MATERIAL'!$A:$D,3))</f>
        <v/>
      </c>
      <c r="F366" s="55"/>
      <c r="G366" s="55" t="str">
        <f>IF($A366=0,"",VLOOKUP($A366,'BASE MATERIAL'!$A:$D,4))</f>
        <v/>
      </c>
      <c r="H366" s="56" t="str">
        <f t="shared" si="34"/>
        <v/>
      </c>
      <c r="I366" s="2"/>
      <c r="L366" s="2"/>
      <c r="M366" s="2"/>
      <c r="N366" s="39"/>
      <c r="O366" s="2"/>
      <c r="P366" s="2"/>
    </row>
    <row r="367" spans="1:16" x14ac:dyDescent="0.25">
      <c r="B367" s="38" t="str">
        <f>IF($A367=0,"",VLOOKUP($A367,'BASE MATERIAL'!$A:$D,2))</f>
        <v/>
      </c>
      <c r="C367" s="2"/>
      <c r="D367" s="77"/>
      <c r="E367" s="78" t="str">
        <f>IF($A367=0,"",VLOOKUP($A367,'BASE MATERIAL'!$A:$D,3))</f>
        <v/>
      </c>
      <c r="F367" s="55"/>
      <c r="G367" s="55" t="str">
        <f>IF($A367=0,"",VLOOKUP($A367,'BASE MATERIAL'!$A:$D,4))</f>
        <v/>
      </c>
      <c r="H367" s="56" t="str">
        <f t="shared" si="34"/>
        <v/>
      </c>
      <c r="I367" s="2"/>
      <c r="L367" s="2"/>
      <c r="M367" s="2"/>
      <c r="N367" s="39"/>
      <c r="O367" s="2"/>
      <c r="P367" s="2"/>
    </row>
    <row r="368" spans="1:16" x14ac:dyDescent="0.25">
      <c r="B368" s="38" t="str">
        <f>IF($A368=0,"",VLOOKUP($A368,'BASE MATERIAL'!$A:$D,2))</f>
        <v/>
      </c>
      <c r="C368" s="2"/>
      <c r="D368" s="77"/>
      <c r="E368" s="78" t="str">
        <f>IF($A368=0,"",VLOOKUP($A368,'BASE MATERIAL'!$A:$D,3))</f>
        <v/>
      </c>
      <c r="F368" s="55"/>
      <c r="G368" s="55" t="str">
        <f>IF($A368=0,"",VLOOKUP($A368,'BASE MATERIAL'!$A:$D,4))</f>
        <v/>
      </c>
      <c r="H368" s="56" t="str">
        <f t="shared" si="34"/>
        <v/>
      </c>
      <c r="I368" s="2"/>
      <c r="L368" s="2"/>
      <c r="M368" s="2"/>
      <c r="N368" s="39"/>
      <c r="O368" s="2"/>
      <c r="P368" s="2"/>
    </row>
    <row r="369" spans="1:16" x14ac:dyDescent="0.25">
      <c r="B369" s="38" t="str">
        <f>IF($A369=0,"",VLOOKUP($A369,'BASE MATERIAL'!$A:$D,2))</f>
        <v/>
      </c>
      <c r="C369" s="2"/>
      <c r="D369" s="77"/>
      <c r="E369" s="78" t="str">
        <f>IF($A369=0,"",VLOOKUP($A369,'BASE MATERIAL'!$A:$D,3))</f>
        <v/>
      </c>
      <c r="F369" s="55"/>
      <c r="G369" s="55" t="str">
        <f>IF($A369=0,"",VLOOKUP($A369,'BASE MATERIAL'!$A:$D,4))</f>
        <v/>
      </c>
      <c r="H369" s="56" t="str">
        <f t="shared" si="34"/>
        <v/>
      </c>
      <c r="I369" s="2"/>
      <c r="L369" s="2"/>
      <c r="M369" s="2"/>
      <c r="N369" s="39"/>
      <c r="O369" s="2"/>
      <c r="P369" s="2"/>
    </row>
    <row r="370" spans="1:16" x14ac:dyDescent="0.25">
      <c r="B370" s="38" t="str">
        <f>IF($A370=0,"",VLOOKUP($A370,'BASE MATERIAL'!$A:$D,2))</f>
        <v/>
      </c>
      <c r="C370" s="2"/>
      <c r="D370" s="77"/>
      <c r="E370" s="78" t="str">
        <f>IF($A370=0,"",VLOOKUP($A370,'BASE MATERIAL'!$A:$D,3))</f>
        <v/>
      </c>
      <c r="F370" s="55"/>
      <c r="G370" s="55" t="str">
        <f>IF($A370=0,"",VLOOKUP($A370,'BASE MATERIAL'!$A:$D,4))</f>
        <v/>
      </c>
      <c r="H370" s="56" t="str">
        <f t="shared" si="34"/>
        <v/>
      </c>
      <c r="I370" s="2"/>
      <c r="L370" s="2"/>
      <c r="M370" s="2"/>
      <c r="N370" s="39"/>
      <c r="O370" s="2"/>
      <c r="P370" s="2"/>
    </row>
    <row r="371" spans="1:16" x14ac:dyDescent="0.25">
      <c r="B371" s="38" t="str">
        <f>IF($A371=0,"",VLOOKUP($A371,'BASE MATERIAL'!$A:$D,2))</f>
        <v/>
      </c>
      <c r="C371" s="2"/>
      <c r="D371" s="77"/>
      <c r="E371" s="78" t="str">
        <f>IF($A371=0,"",VLOOKUP($A371,'BASE MATERIAL'!$A:$D,3))</f>
        <v/>
      </c>
      <c r="F371" s="55"/>
      <c r="G371" s="55" t="str">
        <f>IF($A371=0,"",VLOOKUP($A371,'BASE MATERIAL'!$A:$D,4))</f>
        <v/>
      </c>
      <c r="H371" s="56" t="str">
        <f t="shared" si="34"/>
        <v/>
      </c>
      <c r="I371" s="2"/>
      <c r="L371" s="2"/>
      <c r="M371" s="2"/>
      <c r="N371" s="39"/>
      <c r="O371" s="2"/>
      <c r="P371" s="2"/>
    </row>
    <row r="372" spans="1:16" x14ac:dyDescent="0.25">
      <c r="B372" s="38" t="str">
        <f>IF($A372=0,"",VLOOKUP($A372,'BASE MATERIAL'!$A:$D,2))</f>
        <v/>
      </c>
      <c r="C372" s="2"/>
      <c r="D372" s="77"/>
      <c r="E372" s="78" t="str">
        <f>IF($A372=0,"",VLOOKUP($A372,'BASE MATERIAL'!$A:$D,3))</f>
        <v/>
      </c>
      <c r="F372" s="55"/>
      <c r="G372" s="55" t="str">
        <f>IF($A372=0,"",VLOOKUP($A372,'BASE MATERIAL'!$A:$D,4))</f>
        <v/>
      </c>
      <c r="H372" s="56" t="str">
        <f t="shared" si="34"/>
        <v/>
      </c>
      <c r="I372" s="2"/>
      <c r="L372" s="2"/>
      <c r="M372" s="2"/>
      <c r="N372" s="39"/>
      <c r="O372" s="2"/>
      <c r="P372" s="2"/>
    </row>
    <row r="373" spans="1:16" x14ac:dyDescent="0.25">
      <c r="B373" s="38" t="str">
        <f>IF($A373=0,"",VLOOKUP($A373,'BASE MATERIAL'!$A:$D,2))</f>
        <v/>
      </c>
      <c r="C373" s="2"/>
      <c r="D373" s="77"/>
      <c r="E373" s="78" t="str">
        <f>IF($A373=0,"",VLOOKUP($A373,'BASE MATERIAL'!$A:$D,3))</f>
        <v/>
      </c>
      <c r="F373" s="55"/>
      <c r="G373" s="55" t="str">
        <f>IF($A373=0,"",VLOOKUP($A373,'BASE MATERIAL'!$A:$D,4))</f>
        <v/>
      </c>
      <c r="H373" s="56" t="str">
        <f t="shared" si="34"/>
        <v/>
      </c>
      <c r="I373" s="2"/>
    </row>
    <row r="374" spans="1:16" x14ac:dyDescent="0.25">
      <c r="B374" s="38" t="str">
        <f>IF($A374=0,"",VLOOKUP($A374,'BASE MATERIAL'!$A:$D,2))</f>
        <v/>
      </c>
      <c r="C374" s="2"/>
      <c r="D374" s="77"/>
      <c r="E374" s="78" t="str">
        <f>IF($A374=0,"",VLOOKUP($A374,'BASE MATERIAL'!$A:$D,3))</f>
        <v/>
      </c>
      <c r="F374" s="55"/>
      <c r="G374" s="55" t="str">
        <f>IF($A374=0,"",VLOOKUP($A374,'BASE MATERIAL'!$A:$D,4))</f>
        <v/>
      </c>
      <c r="H374" s="56" t="str">
        <f t="shared" si="34"/>
        <v/>
      </c>
      <c r="I374" s="2"/>
      <c r="L374" s="2"/>
      <c r="M374" s="2"/>
      <c r="N374" s="39"/>
      <c r="O374" s="2"/>
      <c r="P374" s="2"/>
    </row>
    <row r="375" spans="1:16" x14ac:dyDescent="0.25">
      <c r="B375" s="38" t="str">
        <f>IF($A375=0,"",VLOOKUP($A375,'BASE MATERIAL'!$A:$D,2))</f>
        <v/>
      </c>
      <c r="C375" s="2"/>
      <c r="D375" s="77"/>
      <c r="E375" s="78" t="str">
        <f>IF($A375=0,"",VLOOKUP($A375,'BASE MATERIAL'!$A:$D,3))</f>
        <v/>
      </c>
      <c r="F375" s="55"/>
      <c r="G375" s="55" t="str">
        <f>IF($A375=0,"",VLOOKUP($A375,'BASE MATERIAL'!$A:$D,4))</f>
        <v/>
      </c>
      <c r="H375" s="56" t="str">
        <f t="shared" si="34"/>
        <v/>
      </c>
      <c r="I375" s="2"/>
      <c r="L375" s="2"/>
      <c r="M375" s="2"/>
      <c r="N375" s="39"/>
      <c r="O375" s="2"/>
      <c r="P375" s="2"/>
    </row>
    <row r="376" spans="1:16" x14ac:dyDescent="0.25">
      <c r="B376" s="38" t="str">
        <f>IF($A376=0,"",VLOOKUP($A376,'BASE MATERIAL'!$A:$D,2))</f>
        <v/>
      </c>
      <c r="C376" s="2"/>
      <c r="D376" s="77"/>
      <c r="E376" s="78" t="str">
        <f>IF($A376=0,"",VLOOKUP($A376,'BASE MATERIAL'!$A:$D,3))</f>
        <v/>
      </c>
      <c r="F376" s="55"/>
      <c r="G376" s="55" t="str">
        <f>IF($A376=0,"",VLOOKUP($A376,'BASE MATERIAL'!$A:$D,4))</f>
        <v/>
      </c>
      <c r="H376" s="56" t="str">
        <f t="shared" si="34"/>
        <v/>
      </c>
      <c r="I376" s="2"/>
    </row>
    <row r="377" spans="1:16" x14ac:dyDescent="0.25">
      <c r="B377" s="38" t="str">
        <f>IF($A377=0,"",VLOOKUP($A377,'BASE MATERIAL'!$A:$D,2))</f>
        <v/>
      </c>
      <c r="C377" s="2"/>
      <c r="D377" s="77"/>
      <c r="E377" s="78" t="str">
        <f>IF($A377=0,"",VLOOKUP($A377,'BASE MATERIAL'!$A:$D,3))</f>
        <v/>
      </c>
      <c r="F377" s="55"/>
      <c r="G377" s="55" t="str">
        <f>IF($A377=0,"",VLOOKUP($A377,'BASE MATERIAL'!$A:$D,4))</f>
        <v/>
      </c>
      <c r="H377" s="56" t="str">
        <f t="shared" si="34"/>
        <v/>
      </c>
      <c r="I377" s="2"/>
    </row>
    <row r="378" spans="1:16" x14ac:dyDescent="0.25">
      <c r="B378" s="38" t="str">
        <f>IF($A378=0,"",VLOOKUP($A378,'BASE MATERIAL'!$A:$D,2))</f>
        <v/>
      </c>
      <c r="C378" s="2"/>
      <c r="D378" s="77"/>
      <c r="E378" s="78" t="str">
        <f>IF($A378=0,"",VLOOKUP($A378,'BASE MATERIAL'!$A:$D,3))</f>
        <v/>
      </c>
      <c r="F378" s="55"/>
      <c r="G378" s="55" t="str">
        <f>IF($A378=0,"",VLOOKUP($A378,'BASE MATERIAL'!$A:$D,4))</f>
        <v/>
      </c>
      <c r="H378" s="56" t="str">
        <f t="shared" si="34"/>
        <v/>
      </c>
      <c r="I378" s="2"/>
    </row>
    <row r="379" spans="1:16" x14ac:dyDescent="0.25">
      <c r="B379" s="38" t="str">
        <f>IF($A379=0,"",VLOOKUP($A379,'BASE MATERIAL'!$A:$D,2))</f>
        <v/>
      </c>
      <c r="C379" s="2"/>
      <c r="D379" s="77"/>
      <c r="E379" s="78" t="str">
        <f>IF($A379=0,"",VLOOKUP($A379,'BASE MATERIAL'!$A:$D,3))</f>
        <v/>
      </c>
      <c r="F379" s="55"/>
      <c r="G379" s="55" t="str">
        <f>IF($A379=0,"",VLOOKUP($A379,'BASE MATERIAL'!$A:$D,4))</f>
        <v/>
      </c>
      <c r="H379" s="56" t="str">
        <f t="shared" si="34"/>
        <v/>
      </c>
      <c r="I379" s="2"/>
    </row>
    <row r="380" spans="1:16" x14ac:dyDescent="0.25">
      <c r="B380" s="38" t="str">
        <f>IF($A380=0,"",VLOOKUP($A380,'BASE MATERIAL'!$A:$D,2))</f>
        <v/>
      </c>
      <c r="C380" s="2"/>
      <c r="D380" s="81" t="s">
        <v>1682</v>
      </c>
      <c r="E380" s="55" t="str">
        <f>IF($A380=0,"",VLOOKUP($A380,'BASE MATERIAL'!$A:$D,3))</f>
        <v/>
      </c>
      <c r="F380" s="55" t="s">
        <v>1682</v>
      </c>
      <c r="G380" s="55" t="str">
        <f>IF($A380=0,"",VLOOKUP($A380,'BASE MATERIAL'!$A:$D,4))</f>
        <v/>
      </c>
      <c r="H380" s="56" t="str">
        <f>IF($A380=0,"",ROUND(E380*F380,2))</f>
        <v/>
      </c>
      <c r="I380" s="2"/>
    </row>
    <row r="381" spans="1:16" x14ac:dyDescent="0.25">
      <c r="B381" s="73" t="s">
        <v>1681</v>
      </c>
      <c r="C381" s="65"/>
      <c r="D381" s="74"/>
      <c r="E381" s="74"/>
      <c r="F381" s="74"/>
      <c r="G381" s="74"/>
      <c r="H381" s="75">
        <f>ROUND(SUM(H364:H380),2)</f>
        <v>1640</v>
      </c>
      <c r="I381" s="2"/>
    </row>
    <row r="382" spans="1:16" x14ac:dyDescent="0.25">
      <c r="B382" s="38" t="s">
        <v>1680</v>
      </c>
      <c r="C382" s="2"/>
      <c r="D382" s="3"/>
      <c r="E382" s="3"/>
      <c r="F382" s="3"/>
      <c r="G382" s="3"/>
      <c r="H382" s="56"/>
      <c r="I382" s="2"/>
    </row>
    <row r="383" spans="1:16" ht="25.5" x14ac:dyDescent="0.25">
      <c r="B383" s="64" t="s">
        <v>1409</v>
      </c>
      <c r="C383" s="65"/>
      <c r="D383" s="76"/>
      <c r="E383" s="66" t="s">
        <v>1408</v>
      </c>
      <c r="F383" s="66" t="s">
        <v>1679</v>
      </c>
      <c r="G383" s="66" t="s">
        <v>1676</v>
      </c>
      <c r="H383" s="68" t="s">
        <v>1675</v>
      </c>
      <c r="I383" s="2"/>
    </row>
    <row r="384" spans="1:16" x14ac:dyDescent="0.25">
      <c r="A384" s="103">
        <v>19019</v>
      </c>
      <c r="B384" s="51" t="str">
        <f>IF($A384=0,"",VLOOKUP($A384,'BASE EQUIPO'!$A:$D,2))</f>
        <v>TRANSPORTE DE MATERIAL</v>
      </c>
      <c r="C384" s="52"/>
      <c r="D384" s="82"/>
      <c r="E384" s="78" t="str">
        <f>IF($A384=0,"",VLOOKUP($A384,'BASE EQUIPO'!$A:$D,3))</f>
        <v>GLOBAL</v>
      </c>
      <c r="F384" s="55">
        <v>1</v>
      </c>
      <c r="G384" s="83">
        <f>IF($A384=0,"",VLOOKUP($A384,'BASE EQUIPO'!$A:$D,4)*H381)</f>
        <v>49.199999999999996</v>
      </c>
      <c r="H384" s="56">
        <f>IF($A384=0,"",ROUND(F384*G384,2))</f>
        <v>49.2</v>
      </c>
      <c r="I384" s="2"/>
    </row>
    <row r="385" spans="1:9" x14ac:dyDescent="0.25">
      <c r="B385" s="38" t="str">
        <f>IF($A385=0,"",VLOOKUP($A385,'BASE EQUIPO'!$A:$D,2))</f>
        <v/>
      </c>
      <c r="C385" s="2"/>
      <c r="D385" s="84"/>
      <c r="E385" s="78" t="str">
        <f>IF($A385=0,"",VLOOKUP($A385,'BASE EQUIPO'!$A:$D,3))</f>
        <v/>
      </c>
      <c r="F385" s="55"/>
      <c r="G385" s="55" t="str">
        <f>IF($A385=0,"",VLOOKUP($A385,'BASE EQUIPO'!$A:$D,4)*H382)</f>
        <v/>
      </c>
      <c r="H385" s="56" t="str">
        <f>IF($A385=0,"",ROUND(F385*G385,2))</f>
        <v/>
      </c>
      <c r="I385" s="2"/>
    </row>
    <row r="386" spans="1:9" x14ac:dyDescent="0.25">
      <c r="B386" s="57" t="str">
        <f>IF($A386=0,"",VLOOKUP($A386,'BASE EQUIPO'!$A:$D,2))</f>
        <v/>
      </c>
      <c r="C386" s="58"/>
      <c r="D386" s="85"/>
      <c r="E386" s="86" t="str">
        <f>IF($A386=0,"",VLOOKUP($A386,'BASE EQUIPO'!$A:$D,3))</f>
        <v/>
      </c>
      <c r="F386" s="59"/>
      <c r="G386" s="59" t="str">
        <f>IF($A386=0,"",VLOOKUP($A386,'BASE EQUIPO'!$A:$D,4)*H383)</f>
        <v/>
      </c>
      <c r="H386" s="60" t="str">
        <f>IF($A386=0,"",ROUND(F386*G386,2))</f>
        <v/>
      </c>
      <c r="I386" s="2"/>
    </row>
    <row r="387" spans="1:9" ht="15.75" thickBot="1" x14ac:dyDescent="0.3">
      <c r="B387" s="87" t="s">
        <v>1674</v>
      </c>
      <c r="C387" s="88"/>
      <c r="D387" s="89"/>
      <c r="E387" s="89"/>
      <c r="F387" s="89"/>
      <c r="G387" s="89"/>
      <c r="H387" s="90">
        <f>ROUND(SUM(H383:H386),2)</f>
        <v>49.2</v>
      </c>
      <c r="I387" s="2"/>
    </row>
    <row r="388" spans="1:9" ht="15.75" x14ac:dyDescent="0.25">
      <c r="B388" s="2"/>
      <c r="C388" s="2"/>
      <c r="D388" s="91" t="s">
        <v>1673</v>
      </c>
      <c r="E388" s="47"/>
      <c r="F388" s="47"/>
      <c r="G388" s="47"/>
      <c r="H388" s="92">
        <f>ROUND(SUM(H387,H381,H362,H352),2)</f>
        <v>1689.2</v>
      </c>
      <c r="I388" s="2"/>
    </row>
    <row r="389" spans="1:9" ht="15.75" x14ac:dyDescent="0.25">
      <c r="A389" s="103">
        <v>40002</v>
      </c>
      <c r="B389" s="2"/>
      <c r="C389" s="2"/>
      <c r="D389" s="93" t="s">
        <v>1672</v>
      </c>
      <c r="E389" s="65"/>
      <c r="F389" s="65"/>
      <c r="G389" s="94">
        <f>IF($A389=0,"",VLOOKUP($A389,'BASE MATERIAL'!$M:$P,4))</f>
        <v>0</v>
      </c>
      <c r="H389" s="95">
        <f>IF($A389=0,"",ROUND(G389*H388,2))</f>
        <v>0</v>
      </c>
      <c r="I389" s="2"/>
    </row>
    <row r="390" spans="1:9" ht="15.75" x14ac:dyDescent="0.25">
      <c r="A390" s="103">
        <v>40003</v>
      </c>
      <c r="B390" s="2"/>
      <c r="C390" s="2"/>
      <c r="D390" s="93" t="s">
        <v>1671</v>
      </c>
      <c r="E390" s="65"/>
      <c r="F390" s="65"/>
      <c r="G390" s="94">
        <f>IF($A390=0,"",VLOOKUP($A390,'BASE MATERIAL'!$M:$P,4))</f>
        <v>0</v>
      </c>
      <c r="H390" s="95">
        <f>IF($A390=0,"",ROUND(G390*H388,2))</f>
        <v>0</v>
      </c>
      <c r="I390" s="2"/>
    </row>
    <row r="391" spans="1:9" ht="15.75" x14ac:dyDescent="0.25">
      <c r="B391" s="2"/>
      <c r="C391" s="2"/>
      <c r="D391" s="93" t="s">
        <v>1670</v>
      </c>
      <c r="E391" s="65"/>
      <c r="F391" s="65"/>
      <c r="G391" s="65"/>
      <c r="H391" s="96">
        <f>ROUND(SUM(H388:H390),2)</f>
        <v>1689.2</v>
      </c>
      <c r="I391" s="2"/>
    </row>
    <row r="392" spans="1:9" ht="16.5" thickBot="1" x14ac:dyDescent="0.3">
      <c r="B392" s="25"/>
      <c r="C392" s="2"/>
      <c r="D392" s="97" t="s">
        <v>1650</v>
      </c>
      <c r="E392" s="88"/>
      <c r="F392" s="88"/>
      <c r="G392" s="88"/>
      <c r="H392" s="98">
        <f>ROUND(H391,2)</f>
        <v>1689.2</v>
      </c>
      <c r="I392" s="2"/>
    </row>
  </sheetData>
  <phoneticPr fontId="2" type="noConversion"/>
  <pageMargins left="0.75" right="0.75" top="1" bottom="1" header="0" footer="0"/>
  <pageSetup paperSize="9" scale="80" orientation="portrait" r:id="rId1"/>
  <headerFooter alignWithMargins="0"/>
  <rowBreaks count="7" manualBreakCount="7">
    <brk id="56" min="1" max="7" man="1"/>
    <brk id="112" max="16383" man="1"/>
    <brk id="168" min="1" max="7" man="1"/>
    <brk id="224" max="16383" man="1"/>
    <brk id="280" min="1" max="7" man="1"/>
    <brk id="336" min="1" max="7" man="1"/>
    <brk id="392" max="16383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37C4A-6B00-4BB4-98C8-02D9EA37769C}">
  <sheetPr codeName="Hoja25"/>
  <dimension ref="A1:P2128"/>
  <sheetViews>
    <sheetView workbookViewId="0"/>
  </sheetViews>
  <sheetFormatPr baseColWidth="10" defaultColWidth="11.42578125" defaultRowHeight="15" x14ac:dyDescent="0.25"/>
  <cols>
    <col min="1" max="1" width="9.140625" style="103" bestFit="1" customWidth="1"/>
    <col min="2" max="2" width="12.140625" style="1" customWidth="1"/>
    <col min="3" max="3" width="26.28515625" style="1" customWidth="1"/>
    <col min="4" max="4" width="10.7109375" style="1" customWidth="1"/>
    <col min="5" max="5" width="12.140625" style="1" customWidth="1"/>
    <col min="6" max="6" width="13.28515625" style="1" customWidth="1"/>
    <col min="7" max="7" width="13.85546875" style="1" customWidth="1"/>
    <col min="8" max="8" width="12.42578125" style="1" customWidth="1"/>
    <col min="9" max="9" width="7.140625" style="1" customWidth="1"/>
    <col min="10" max="10" width="9.140625" style="1" customWidth="1"/>
    <col min="11" max="11" width="8.42578125" style="1" customWidth="1"/>
    <col min="12" max="12" width="6.28515625" style="1" bestFit="1" customWidth="1"/>
    <col min="13" max="13" width="33.85546875" style="1" bestFit="1" customWidth="1"/>
    <col min="14" max="14" width="6" style="1" bestFit="1" customWidth="1"/>
    <col min="15" max="28" width="8.42578125" style="1" customWidth="1"/>
    <col min="29" max="16384" width="11.42578125" style="1"/>
  </cols>
  <sheetData>
    <row r="1" spans="1:15" ht="15.75" x14ac:dyDescent="0.25">
      <c r="B1" s="34" t="s">
        <v>1701</v>
      </c>
      <c r="C1" s="2"/>
      <c r="D1" s="3" t="str">
        <f>'1.1'!$D$1</f>
        <v>ESPOL</v>
      </c>
      <c r="E1" s="2"/>
      <c r="F1" s="2"/>
      <c r="H1" s="2" t="s">
        <v>108</v>
      </c>
      <c r="I1" s="2"/>
      <c r="J1" s="1">
        <v>1.08</v>
      </c>
      <c r="L1" s="40">
        <f>A5</f>
        <v>1</v>
      </c>
      <c r="M1" s="1" t="str">
        <f>C6</f>
        <v>Ducto plancha galvanizada aislada con Ductwrap</v>
      </c>
      <c r="N1" s="2" t="str">
        <f>H5</f>
        <v>kg</v>
      </c>
      <c r="O1" s="2">
        <f>H56</f>
        <v>6.57</v>
      </c>
    </row>
    <row r="2" spans="1:15" ht="15.75" x14ac:dyDescent="0.25">
      <c r="B2" s="34" t="s">
        <v>1700</v>
      </c>
      <c r="C2" s="3">
        <f>'1.1'!$C$2</f>
        <v>0</v>
      </c>
      <c r="D2" s="2"/>
      <c r="E2" s="2"/>
      <c r="F2" s="2"/>
      <c r="G2" s="41" t="s">
        <v>1699</v>
      </c>
      <c r="H2" s="42"/>
      <c r="I2" s="2" t="s">
        <v>1698</v>
      </c>
    </row>
    <row r="3" spans="1:15" ht="15.75" x14ac:dyDescent="0.25">
      <c r="B3" s="34"/>
      <c r="C3" s="3">
        <f>'1.1'!$C$3</f>
        <v>0</v>
      </c>
      <c r="D3" s="2"/>
      <c r="E3" s="2"/>
      <c r="F3" s="2"/>
      <c r="G3" s="2"/>
      <c r="H3" s="2"/>
      <c r="I3" s="2"/>
    </row>
    <row r="4" spans="1:15" ht="15.75" x14ac:dyDescent="0.25">
      <c r="B4" s="34" t="s">
        <v>1697</v>
      </c>
      <c r="C4" s="3"/>
      <c r="D4" s="2"/>
      <c r="E4" s="2"/>
      <c r="F4" s="2"/>
      <c r="G4" s="2"/>
      <c r="H4" s="2"/>
      <c r="I4" s="2"/>
    </row>
    <row r="5" spans="1:15" x14ac:dyDescent="0.25">
      <c r="A5" s="104">
        <v>1</v>
      </c>
      <c r="B5" s="2" t="s">
        <v>1586</v>
      </c>
      <c r="C5" s="36" t="s">
        <v>1320</v>
      </c>
      <c r="D5" s="2"/>
      <c r="G5" s="2" t="s">
        <v>1696</v>
      </c>
      <c r="H5" s="3" t="s">
        <v>1509</v>
      </c>
      <c r="I5" s="2"/>
    </row>
    <row r="6" spans="1:15" x14ac:dyDescent="0.25">
      <c r="B6" s="1" t="s">
        <v>1585</v>
      </c>
      <c r="C6" s="36" t="s">
        <v>131</v>
      </c>
      <c r="D6" s="2"/>
      <c r="E6" s="2"/>
      <c r="F6" s="2"/>
      <c r="G6" s="2"/>
      <c r="H6" s="2"/>
      <c r="I6" s="2"/>
    </row>
    <row r="7" spans="1:15" ht="15.75" thickBot="1" x14ac:dyDescent="0.3">
      <c r="D7" s="2"/>
      <c r="E7" s="2"/>
      <c r="F7" s="2"/>
      <c r="G7" s="2"/>
      <c r="H7" s="2"/>
      <c r="I7" s="2"/>
    </row>
    <row r="8" spans="1:15" ht="15.75" thickBot="1" x14ac:dyDescent="0.3">
      <c r="B8" s="43" t="s">
        <v>1695</v>
      </c>
      <c r="C8" s="44"/>
      <c r="D8" s="44"/>
      <c r="E8" s="44"/>
      <c r="F8" s="44"/>
      <c r="G8" s="44"/>
      <c r="H8" s="45"/>
      <c r="I8" s="2"/>
    </row>
    <row r="9" spans="1:15" ht="25.5" x14ac:dyDescent="0.25">
      <c r="B9" s="46" t="s">
        <v>1409</v>
      </c>
      <c r="C9" s="47"/>
      <c r="D9" s="48" t="s">
        <v>1690</v>
      </c>
      <c r="E9" s="48" t="s">
        <v>1694</v>
      </c>
      <c r="F9" s="48" t="s">
        <v>1693</v>
      </c>
      <c r="G9" s="49" t="s">
        <v>1687</v>
      </c>
      <c r="H9" s="50" t="s">
        <v>1686</v>
      </c>
      <c r="I9" s="2"/>
    </row>
    <row r="10" spans="1:15" x14ac:dyDescent="0.25">
      <c r="A10" s="103">
        <v>19015</v>
      </c>
      <c r="B10" s="51" t="str">
        <f>IF($A10=0,"",VLOOKUP($A10,'BASE EQUIPO'!$A:$D,2))</f>
        <v>HERRAMIENTA MENOR</v>
      </c>
      <c r="C10" s="52"/>
      <c r="D10" s="53"/>
      <c r="E10" s="53">
        <f>IF($A10=0,"",VLOOKUP($A10,'BASE EQUIPO'!$A:$D,4)*H26)</f>
        <v>5.0699999999999995E-2</v>
      </c>
      <c r="F10" s="53">
        <f t="shared" ref="F10:F15" si="0">IF($A10=0,"",ROUND(D10*E10,2))</f>
        <v>0</v>
      </c>
      <c r="G10" s="105"/>
      <c r="H10" s="54">
        <f t="shared" ref="H10:H15" si="1">IF($A10=0,"",ROUND(G10*F10,2))</f>
        <v>0</v>
      </c>
      <c r="I10" s="2"/>
    </row>
    <row r="11" spans="1:15" x14ac:dyDescent="0.25">
      <c r="B11" s="38" t="str">
        <f>IF($A11=0,"",VLOOKUP($A11,'BASE EQUIPO'!$A:$D,2))</f>
        <v/>
      </c>
      <c r="C11" s="2"/>
      <c r="D11" s="55"/>
      <c r="E11" s="55" t="str">
        <f>IF($A11=0,"",VLOOKUP($A11,'BASE EQUIPO'!$A:$D,4))</f>
        <v/>
      </c>
      <c r="F11" s="55" t="str">
        <f t="shared" si="0"/>
        <v/>
      </c>
      <c r="G11" s="113"/>
      <c r="H11" s="56" t="str">
        <f t="shared" si="1"/>
        <v/>
      </c>
      <c r="I11" s="2"/>
    </row>
    <row r="12" spans="1:15" x14ac:dyDescent="0.25">
      <c r="B12" s="38" t="str">
        <f>IF($A12=0,"",VLOOKUP($A12,'BASE EQUIPO'!$A:$D,2))</f>
        <v/>
      </c>
      <c r="C12" s="2"/>
      <c r="D12" s="55"/>
      <c r="E12" s="55" t="str">
        <f>IF($A12=0,"",VLOOKUP($A12,'BASE EQUIPO'!$A:$D,4))</f>
        <v/>
      </c>
      <c r="F12" s="55" t="str">
        <f t="shared" si="0"/>
        <v/>
      </c>
      <c r="G12" s="113"/>
      <c r="H12" s="56" t="str">
        <f t="shared" si="1"/>
        <v/>
      </c>
      <c r="I12" s="2"/>
    </row>
    <row r="13" spans="1:15" x14ac:dyDescent="0.25">
      <c r="B13" s="38" t="str">
        <f>IF($A13=0,"",VLOOKUP($A13,'BASE EQUIPO'!$A:$D,2))</f>
        <v/>
      </c>
      <c r="C13" s="2"/>
      <c r="D13" s="55"/>
      <c r="E13" s="55" t="str">
        <f>IF($A13=0,"",VLOOKUP($A13,'BASE EQUIPO'!$A:$D,4))</f>
        <v/>
      </c>
      <c r="F13" s="55" t="str">
        <f t="shared" si="0"/>
        <v/>
      </c>
      <c r="G13" s="113"/>
      <c r="H13" s="56" t="str">
        <f t="shared" si="1"/>
        <v/>
      </c>
      <c r="I13" s="2"/>
    </row>
    <row r="14" spans="1:15" x14ac:dyDescent="0.25">
      <c r="B14" s="38" t="str">
        <f>IF($A14=0,"",VLOOKUP($A14,'BASE EQUIPO'!$A:$D,2))</f>
        <v/>
      </c>
      <c r="C14" s="2"/>
      <c r="D14" s="55"/>
      <c r="E14" s="55" t="str">
        <f>IF($A14=0,"",VLOOKUP($A14,'BASE EQUIPO'!$A:$D,4))</f>
        <v/>
      </c>
      <c r="F14" s="55" t="str">
        <f t="shared" si="0"/>
        <v/>
      </c>
      <c r="G14" s="106"/>
      <c r="H14" s="56" t="str">
        <f t="shared" si="1"/>
        <v/>
      </c>
      <c r="I14" s="2"/>
    </row>
    <row r="15" spans="1:15" x14ac:dyDescent="0.25">
      <c r="B15" s="57" t="str">
        <f>IF($A15=0,"",VLOOKUP($A15,'BASE EQUIPO'!$A:$D,2))</f>
        <v/>
      </c>
      <c r="C15" s="58"/>
      <c r="D15" s="59"/>
      <c r="E15" s="59" t="str">
        <f>IF($A15=0,"",VLOOKUP($A15,'BASE EQUIPO'!$A:$D,4))</f>
        <v/>
      </c>
      <c r="F15" s="59" t="str">
        <f t="shared" si="0"/>
        <v/>
      </c>
      <c r="G15" s="107"/>
      <c r="H15" s="60" t="str">
        <f t="shared" si="1"/>
        <v/>
      </c>
      <c r="I15" s="2"/>
    </row>
    <row r="16" spans="1:15" x14ac:dyDescent="0.25">
      <c r="B16" s="57" t="s">
        <v>1692</v>
      </c>
      <c r="C16" s="58"/>
      <c r="D16" s="61"/>
      <c r="E16" s="61"/>
      <c r="F16" s="61"/>
      <c r="G16" s="62"/>
      <c r="H16" s="60">
        <f>ROUND(SUM(H9:H15),2)</f>
        <v>0</v>
      </c>
      <c r="I16" s="2"/>
    </row>
    <row r="17" spans="1:16" x14ac:dyDescent="0.25">
      <c r="B17" s="38" t="s">
        <v>1503</v>
      </c>
      <c r="C17" s="2"/>
      <c r="D17" s="3"/>
      <c r="E17" s="3"/>
      <c r="F17" s="3"/>
      <c r="G17" s="63"/>
      <c r="H17" s="56"/>
      <c r="I17" s="2"/>
    </row>
    <row r="18" spans="1:16" ht="25.5" x14ac:dyDescent="0.25">
      <c r="B18" s="64" t="s">
        <v>1691</v>
      </c>
      <c r="C18" s="65"/>
      <c r="D18" s="66" t="s">
        <v>1690</v>
      </c>
      <c r="E18" s="66" t="s">
        <v>1689</v>
      </c>
      <c r="F18" s="66" t="s">
        <v>1688</v>
      </c>
      <c r="G18" s="67" t="s">
        <v>1687</v>
      </c>
      <c r="H18" s="68" t="s">
        <v>1686</v>
      </c>
      <c r="I18" s="2"/>
    </row>
    <row r="19" spans="1:16" x14ac:dyDescent="0.25">
      <c r="B19" s="69" t="str">
        <f>IF($A19=0,"",VLOOKUP($A19,'BASE M-OBRA'!$A:$D,2))</f>
        <v/>
      </c>
      <c r="C19" s="2"/>
      <c r="D19" s="108"/>
      <c r="E19" s="70" t="str">
        <f>IF($A19=0,"",VLOOKUP($A19,'BASE M-OBRA'!$A:$D,4))</f>
        <v/>
      </c>
      <c r="F19" s="55" t="str">
        <f t="shared" ref="F19:F25" si="2">IF($A19=0,"",ROUND(D19*E19,2))</f>
        <v/>
      </c>
      <c r="G19" s="113"/>
      <c r="H19" s="56" t="str">
        <f>IF($A19=0,"",ROUND(SUM(H20:H25)*'BASE M-OBRA'!$D$23,2))</f>
        <v/>
      </c>
      <c r="I19" s="2"/>
    </row>
    <row r="20" spans="1:16" x14ac:dyDescent="0.25">
      <c r="A20" s="103">
        <v>20019</v>
      </c>
      <c r="B20" s="69" t="str">
        <f>IF($A20=0,"",VLOOKUP($A20,'BASE M-OBRA'!$A:$D,2))</f>
        <v>INSTALADOR</v>
      </c>
      <c r="C20" s="2"/>
      <c r="D20" s="108">
        <v>2</v>
      </c>
      <c r="E20" s="70">
        <f>IF($A20=0,"",VLOOKUP($A20,'BASE M-OBRA'!$A:$D,4))</f>
        <v>2.82</v>
      </c>
      <c r="F20" s="55">
        <f t="shared" si="2"/>
        <v>5.64</v>
      </c>
      <c r="G20" s="106">
        <v>0.2</v>
      </c>
      <c r="H20" s="56">
        <f t="shared" ref="H20:H25" si="3">IF($A20=0,"",ROUND(G20*F20,2))</f>
        <v>1.1299999999999999</v>
      </c>
      <c r="I20" s="2"/>
    </row>
    <row r="21" spans="1:16" x14ac:dyDescent="0.25">
      <c r="A21" s="103">
        <v>20011</v>
      </c>
      <c r="B21" s="69" t="str">
        <f>IF($A21=0,"",VLOOKUP($A21,'BASE M-OBRA'!$A:$D,2))</f>
        <v>AYUDANTE ESPECIALISTA</v>
      </c>
      <c r="C21" s="2"/>
      <c r="D21" s="108">
        <v>1</v>
      </c>
      <c r="E21" s="70">
        <f>IF($A21=0,"",VLOOKUP($A21,'BASE M-OBRA'!$A:$D,4))</f>
        <v>2.79</v>
      </c>
      <c r="F21" s="55">
        <f t="shared" si="2"/>
        <v>2.79</v>
      </c>
      <c r="G21" s="106">
        <f>+G20</f>
        <v>0.2</v>
      </c>
      <c r="H21" s="56">
        <f t="shared" si="3"/>
        <v>0.56000000000000005</v>
      </c>
      <c r="I21" s="2"/>
    </row>
    <row r="22" spans="1:16" x14ac:dyDescent="0.25">
      <c r="B22" s="71" t="str">
        <f>IF($A22=0,"",VLOOKUP($A22,'BASE M-OBRA'!$A:$D,2))</f>
        <v/>
      </c>
      <c r="C22" s="2"/>
      <c r="D22" s="108"/>
      <c r="E22" s="70" t="str">
        <f>IF($A22=0,"",VLOOKUP($A22,'BASE M-OBRA'!$A:$D,4))</f>
        <v/>
      </c>
      <c r="F22" s="55" t="str">
        <f t="shared" si="2"/>
        <v/>
      </c>
      <c r="G22" s="106"/>
      <c r="H22" s="56" t="str">
        <f t="shared" si="3"/>
        <v/>
      </c>
      <c r="I22" s="2"/>
    </row>
    <row r="23" spans="1:16" x14ac:dyDescent="0.25">
      <c r="B23" s="72" t="str">
        <f>IF($A23=0,"",VLOOKUP($A23,'BASE M-OBRA'!$A:$D,2))</f>
        <v/>
      </c>
      <c r="C23" s="2"/>
      <c r="D23" s="108"/>
      <c r="E23" s="70" t="str">
        <f>IF($A23=0,"",VLOOKUP($A23,'BASE M-OBRA'!$A:$D,4))</f>
        <v/>
      </c>
      <c r="F23" s="55" t="str">
        <f t="shared" si="2"/>
        <v/>
      </c>
      <c r="G23" s="106"/>
      <c r="H23" s="56" t="str">
        <f t="shared" si="3"/>
        <v/>
      </c>
      <c r="I23" s="2"/>
    </row>
    <row r="24" spans="1:16" x14ac:dyDescent="0.25">
      <c r="B24" s="38" t="str">
        <f>IF($A24=0,"",VLOOKUP($A24,'BASE M-OBRA'!$A:$D,2))</f>
        <v/>
      </c>
      <c r="C24" s="2"/>
      <c r="D24" s="55"/>
      <c r="E24" s="55" t="str">
        <f>IF($A24=0,"",VLOOKUP($A24,'BASE M-OBRA'!$A:$D,4))</f>
        <v/>
      </c>
      <c r="F24" s="55" t="str">
        <f t="shared" si="2"/>
        <v/>
      </c>
      <c r="G24" s="106"/>
      <c r="H24" s="56" t="str">
        <f t="shared" si="3"/>
        <v/>
      </c>
      <c r="I24" s="2"/>
    </row>
    <row r="25" spans="1:16" x14ac:dyDescent="0.25">
      <c r="B25" s="57" t="str">
        <f>IF($A25=0,"",VLOOKUP($A25,'BASE M-OBRA'!$A:$D,2))</f>
        <v/>
      </c>
      <c r="C25" s="58"/>
      <c r="D25" s="59"/>
      <c r="E25" s="59" t="str">
        <f>IF($A25=0,"",VLOOKUP($A25,'BASE M-OBRA'!$A:$D,4))</f>
        <v/>
      </c>
      <c r="F25" s="59" t="str">
        <f t="shared" si="2"/>
        <v/>
      </c>
      <c r="G25" s="107"/>
      <c r="H25" s="60" t="str">
        <f t="shared" si="3"/>
        <v/>
      </c>
      <c r="I25" s="2"/>
    </row>
    <row r="26" spans="1:16" x14ac:dyDescent="0.25">
      <c r="B26" s="73" t="s">
        <v>1685</v>
      </c>
      <c r="C26" s="65"/>
      <c r="D26" s="74"/>
      <c r="E26" s="74"/>
      <c r="F26" s="74"/>
      <c r="G26" s="74"/>
      <c r="H26" s="75">
        <f>ROUND(SUM(H18:H25),2)</f>
        <v>1.69</v>
      </c>
      <c r="I26" s="2"/>
    </row>
    <row r="27" spans="1:16" x14ac:dyDescent="0.25">
      <c r="B27" s="38" t="s">
        <v>1684</v>
      </c>
      <c r="C27" s="2"/>
      <c r="D27" s="3"/>
      <c r="E27" s="3"/>
      <c r="F27" s="3"/>
      <c r="G27" s="3"/>
      <c r="H27" s="56"/>
      <c r="I27" s="2"/>
    </row>
    <row r="28" spans="1:16" ht="25.5" x14ac:dyDescent="0.25">
      <c r="B28" s="64" t="s">
        <v>1409</v>
      </c>
      <c r="C28" s="65"/>
      <c r="D28" s="76"/>
      <c r="E28" s="66" t="s">
        <v>1408</v>
      </c>
      <c r="F28" s="66" t="s">
        <v>1679</v>
      </c>
      <c r="G28" s="66" t="s">
        <v>1683</v>
      </c>
      <c r="H28" s="68" t="s">
        <v>1675</v>
      </c>
      <c r="I28" s="2"/>
    </row>
    <row r="29" spans="1:16" x14ac:dyDescent="0.25">
      <c r="A29" s="103">
        <v>1</v>
      </c>
      <c r="B29" s="100" t="s">
        <v>131</v>
      </c>
      <c r="C29" s="2"/>
      <c r="D29" s="77"/>
      <c r="E29" s="78" t="s">
        <v>1509</v>
      </c>
      <c r="F29" s="55">
        <v>1</v>
      </c>
      <c r="G29" s="55">
        <f>ROUND(J29*$J$1,2)</f>
        <v>4.75</v>
      </c>
      <c r="H29" s="56">
        <f t="shared" ref="H29:H43" si="4">IF($A29=0,"",ROUND(F29*G29,2))</f>
        <v>4.75</v>
      </c>
      <c r="I29" s="2"/>
      <c r="J29" s="1">
        <v>4.4000000000000004</v>
      </c>
      <c r="L29" s="2"/>
      <c r="M29" s="2"/>
      <c r="N29" s="39"/>
      <c r="O29" s="2"/>
      <c r="P29" s="2"/>
    </row>
    <row r="30" spans="1:16" x14ac:dyDescent="0.25">
      <c r="B30" s="102"/>
      <c r="C30" s="2"/>
      <c r="D30" s="77"/>
      <c r="E30" s="78" t="str">
        <f>IF($A30=0,"",VLOOKUP($A30,'BASE MATERIAL'!$A:$D,3))</f>
        <v/>
      </c>
      <c r="F30" s="55"/>
      <c r="G30" s="55" t="str">
        <f>IF($A30=0,"",VLOOKUP($A30,'BASE MATERIAL'!$A:$D,4))</f>
        <v/>
      </c>
      <c r="H30" s="56" t="str">
        <f t="shared" si="4"/>
        <v/>
      </c>
      <c r="I30" s="2"/>
      <c r="L30" s="2"/>
      <c r="M30" s="2"/>
      <c r="N30" s="39"/>
      <c r="O30" s="2"/>
      <c r="P30" s="2"/>
    </row>
    <row r="31" spans="1:16" x14ac:dyDescent="0.25">
      <c r="B31" s="38" t="str">
        <f>IF($A31=0,"",VLOOKUP($A31,'BASE MATERIAL'!$A:$D,2))</f>
        <v/>
      </c>
      <c r="C31" s="2"/>
      <c r="D31" s="77"/>
      <c r="E31" s="78" t="str">
        <f>IF($A31=0,"",VLOOKUP($A31,'BASE MATERIAL'!$A:$D,3))</f>
        <v/>
      </c>
      <c r="F31" s="112"/>
      <c r="G31" s="55" t="str">
        <f>IF($A31=0,"",VLOOKUP($A31,'BASE MATERIAL'!$A:$D,4))</f>
        <v/>
      </c>
      <c r="H31" s="56" t="str">
        <f t="shared" si="4"/>
        <v/>
      </c>
      <c r="I31" s="2"/>
      <c r="L31" s="2"/>
      <c r="M31" s="2"/>
      <c r="N31" s="39"/>
      <c r="O31" s="2"/>
      <c r="P31" s="2"/>
    </row>
    <row r="32" spans="1:16" x14ac:dyDescent="0.25">
      <c r="B32" s="38" t="str">
        <f>IF($A32=0,"",VLOOKUP($A32,'BASE MATERIAL'!$A:$D,2))</f>
        <v/>
      </c>
      <c r="C32" s="2"/>
      <c r="D32" s="77"/>
      <c r="E32" s="78" t="str">
        <f>IF($A32=0,"",VLOOKUP($A32,'BASE MATERIAL'!$A:$D,3))</f>
        <v/>
      </c>
      <c r="F32" s="55"/>
      <c r="G32" s="55" t="str">
        <f>IF($A32=0,"",VLOOKUP($A32,'BASE MATERIAL'!$A:$D,4))</f>
        <v/>
      </c>
      <c r="H32" s="56" t="str">
        <f t="shared" si="4"/>
        <v/>
      </c>
      <c r="I32" s="2"/>
      <c r="L32" s="2"/>
      <c r="M32" s="2"/>
      <c r="N32" s="39"/>
      <c r="O32" s="2"/>
      <c r="P32" s="2"/>
    </row>
    <row r="33" spans="1:16" x14ac:dyDescent="0.25">
      <c r="B33" s="38" t="str">
        <f>IF($A33=0,"",VLOOKUP($A33,'BASE MATERIAL'!$A:$D,2))</f>
        <v/>
      </c>
      <c r="C33" s="2"/>
      <c r="D33" s="77"/>
      <c r="E33" s="78" t="str">
        <f>IF($A33=0,"",VLOOKUP($A33,'BASE MATERIAL'!$A:$D,3))</f>
        <v/>
      </c>
      <c r="F33" s="55"/>
      <c r="G33" s="55" t="str">
        <f>IF($A33=0,"",VLOOKUP($A33,'BASE MATERIAL'!$A:$D,4))</f>
        <v/>
      </c>
      <c r="H33" s="56" t="str">
        <f t="shared" si="4"/>
        <v/>
      </c>
      <c r="I33" s="2"/>
      <c r="L33" s="2"/>
      <c r="M33" s="2"/>
      <c r="N33" s="39"/>
      <c r="O33" s="2"/>
      <c r="P33" s="2"/>
    </row>
    <row r="34" spans="1:16" x14ac:dyDescent="0.25">
      <c r="B34" s="38" t="str">
        <f>IF($A34=0,"",VLOOKUP($A34,'BASE MATERIAL'!$A:$D,2))</f>
        <v/>
      </c>
      <c r="C34" s="2"/>
      <c r="D34" s="77"/>
      <c r="E34" s="78" t="str">
        <f>IF($A34=0,"",VLOOKUP($A34,'BASE MATERIAL'!$A:$D,3))</f>
        <v/>
      </c>
      <c r="F34" s="55"/>
      <c r="G34" s="55" t="str">
        <f>IF($A34=0,"",VLOOKUP($A34,'BASE MATERIAL'!$A:$D,4))</f>
        <v/>
      </c>
      <c r="H34" s="56" t="str">
        <f t="shared" si="4"/>
        <v/>
      </c>
      <c r="I34" s="2"/>
      <c r="L34" s="2"/>
      <c r="M34" s="2"/>
      <c r="N34" s="39"/>
      <c r="O34" s="2"/>
      <c r="P34" s="2"/>
    </row>
    <row r="35" spans="1:16" x14ac:dyDescent="0.25">
      <c r="B35" s="38" t="str">
        <f>IF($A35=0,"",VLOOKUP($A35,'BASE MATERIAL'!$A:$D,2))</f>
        <v/>
      </c>
      <c r="C35" s="2"/>
      <c r="D35" s="77"/>
      <c r="E35" s="78" t="str">
        <f>IF($A35=0,"",VLOOKUP($A35,'BASE MATERIAL'!$A:$D,3))</f>
        <v/>
      </c>
      <c r="F35" s="55"/>
      <c r="G35" s="55" t="str">
        <f>IF($A35=0,"",VLOOKUP($A35,'BASE MATERIAL'!$A:$D,4))</f>
        <v/>
      </c>
      <c r="H35" s="56" t="str">
        <f t="shared" si="4"/>
        <v/>
      </c>
      <c r="I35" s="2"/>
      <c r="L35" s="2"/>
      <c r="M35" s="2"/>
      <c r="N35" s="39"/>
      <c r="O35" s="2"/>
      <c r="P35" s="2"/>
    </row>
    <row r="36" spans="1:16" x14ac:dyDescent="0.25">
      <c r="B36" s="38" t="str">
        <f>IF($A36=0,"",VLOOKUP($A36,'BASE MATERIAL'!$A:$D,2))</f>
        <v/>
      </c>
      <c r="C36" s="2"/>
      <c r="D36" s="77"/>
      <c r="E36" s="78" t="str">
        <f>IF($A36=0,"",VLOOKUP($A36,'BASE MATERIAL'!$A:$D,3))</f>
        <v/>
      </c>
      <c r="F36" s="55"/>
      <c r="G36" s="55" t="str">
        <f>IF($A36=0,"",VLOOKUP($A36,'BASE MATERIAL'!$A:$D,4))</f>
        <v/>
      </c>
      <c r="H36" s="56" t="str">
        <f t="shared" si="4"/>
        <v/>
      </c>
      <c r="I36" s="2"/>
      <c r="L36" s="2"/>
      <c r="M36" s="2"/>
      <c r="N36" s="39"/>
      <c r="O36" s="2"/>
      <c r="P36" s="2"/>
    </row>
    <row r="37" spans="1:16" x14ac:dyDescent="0.25">
      <c r="B37" s="38" t="str">
        <f>IF($A37=0,"",VLOOKUP($A37,'BASE MATERIAL'!$A:$D,2))</f>
        <v/>
      </c>
      <c r="C37" s="2"/>
      <c r="D37" s="77"/>
      <c r="E37" s="78" t="str">
        <f>IF($A37=0,"",VLOOKUP($A37,'BASE MATERIAL'!$A:$D,3))</f>
        <v/>
      </c>
      <c r="F37" s="55"/>
      <c r="G37" s="55" t="str">
        <f>IF($A37=0,"",VLOOKUP($A37,'BASE MATERIAL'!$A:$D,4))</f>
        <v/>
      </c>
      <c r="H37" s="56" t="str">
        <f t="shared" si="4"/>
        <v/>
      </c>
      <c r="I37" s="2"/>
    </row>
    <row r="38" spans="1:16" x14ac:dyDescent="0.25">
      <c r="B38" s="38" t="str">
        <f>IF($A38=0,"",VLOOKUP($A38,'BASE MATERIAL'!$A:$D,2))</f>
        <v/>
      </c>
      <c r="C38" s="2"/>
      <c r="D38" s="77"/>
      <c r="E38" s="78" t="str">
        <f>IF($A38=0,"",VLOOKUP($A38,'BASE MATERIAL'!$A:$D,3))</f>
        <v/>
      </c>
      <c r="F38" s="55"/>
      <c r="G38" s="55" t="str">
        <f>IF($A38=0,"",VLOOKUP($A38,'BASE MATERIAL'!$A:$D,4))</f>
        <v/>
      </c>
      <c r="H38" s="56" t="str">
        <f t="shared" si="4"/>
        <v/>
      </c>
      <c r="I38" s="2"/>
      <c r="L38" s="2"/>
      <c r="M38" s="2"/>
      <c r="N38" s="39"/>
      <c r="O38" s="2"/>
      <c r="P38" s="2"/>
    </row>
    <row r="39" spans="1:16" x14ac:dyDescent="0.25">
      <c r="B39" s="38" t="str">
        <f>IF($A39=0,"",VLOOKUP($A39,'BASE MATERIAL'!$A:$D,2))</f>
        <v/>
      </c>
      <c r="C39" s="2"/>
      <c r="D39" s="77"/>
      <c r="E39" s="78" t="str">
        <f>IF($A39=0,"",VLOOKUP($A39,'BASE MATERIAL'!$A:$D,3))</f>
        <v/>
      </c>
      <c r="F39" s="55"/>
      <c r="G39" s="55" t="str">
        <f>IF($A39=0,"",VLOOKUP($A39,'BASE MATERIAL'!$A:$D,4))</f>
        <v/>
      </c>
      <c r="H39" s="56" t="str">
        <f t="shared" si="4"/>
        <v/>
      </c>
      <c r="I39" s="2"/>
      <c r="L39" s="2"/>
      <c r="M39" s="2"/>
      <c r="N39" s="39"/>
      <c r="O39" s="2"/>
      <c r="P39" s="2"/>
    </row>
    <row r="40" spans="1:16" x14ac:dyDescent="0.25">
      <c r="B40" s="38" t="str">
        <f>IF($A40=0,"",VLOOKUP($A40,'BASE MATERIAL'!$A:$D,2))</f>
        <v/>
      </c>
      <c r="C40" s="2"/>
      <c r="D40" s="77"/>
      <c r="E40" s="78" t="str">
        <f>IF($A40=0,"",VLOOKUP($A40,'BASE MATERIAL'!$A:$D,3))</f>
        <v/>
      </c>
      <c r="F40" s="55"/>
      <c r="G40" s="55" t="str">
        <f>IF($A40=0,"",VLOOKUP($A40,'BASE MATERIAL'!$A:$D,4))</f>
        <v/>
      </c>
      <c r="H40" s="56" t="str">
        <f t="shared" si="4"/>
        <v/>
      </c>
      <c r="I40" s="2"/>
    </row>
    <row r="41" spans="1:16" x14ac:dyDescent="0.25">
      <c r="B41" s="38" t="str">
        <f>IF($A41=0,"",VLOOKUP($A41,'BASE MATERIAL'!$A:$D,2))</f>
        <v/>
      </c>
      <c r="C41" s="2"/>
      <c r="D41" s="77"/>
      <c r="E41" s="78" t="str">
        <f>IF($A41=0,"",VLOOKUP($A41,'BASE MATERIAL'!$A:$D,3))</f>
        <v/>
      </c>
      <c r="F41" s="55"/>
      <c r="G41" s="55" t="str">
        <f>IF($A41=0,"",VLOOKUP($A41,'BASE MATERIAL'!$A:$D,4))</f>
        <v/>
      </c>
      <c r="H41" s="56" t="str">
        <f t="shared" si="4"/>
        <v/>
      </c>
      <c r="I41" s="2"/>
    </row>
    <row r="42" spans="1:16" x14ac:dyDescent="0.25">
      <c r="B42" s="38" t="str">
        <f>IF($A42=0,"",VLOOKUP($A42,'BASE MATERIAL'!$A:$D,2))</f>
        <v/>
      </c>
      <c r="C42" s="2"/>
      <c r="D42" s="77"/>
      <c r="E42" s="78" t="str">
        <f>IF($A42=0,"",VLOOKUP($A42,'BASE MATERIAL'!$A:$D,3))</f>
        <v/>
      </c>
      <c r="F42" s="55"/>
      <c r="G42" s="55" t="str">
        <f>IF($A42=0,"",VLOOKUP($A42,'BASE MATERIAL'!$A:$D,4))</f>
        <v/>
      </c>
      <c r="H42" s="56" t="str">
        <f t="shared" si="4"/>
        <v/>
      </c>
      <c r="I42" s="2"/>
    </row>
    <row r="43" spans="1:16" x14ac:dyDescent="0.25">
      <c r="B43" s="38" t="str">
        <f>IF($A43=0,"",VLOOKUP($A43,'BASE MATERIAL'!$A:$D,2))</f>
        <v/>
      </c>
      <c r="C43" s="2"/>
      <c r="D43" s="77"/>
      <c r="E43" s="78" t="str">
        <f>IF($A43=0,"",VLOOKUP($A43,'BASE MATERIAL'!$A:$D,3))</f>
        <v/>
      </c>
      <c r="F43" s="55"/>
      <c r="G43" s="55" t="str">
        <f>IF($A43=0,"",VLOOKUP($A43,'BASE MATERIAL'!$A:$D,4))</f>
        <v/>
      </c>
      <c r="H43" s="56" t="str">
        <f t="shared" si="4"/>
        <v/>
      </c>
      <c r="I43" s="2"/>
    </row>
    <row r="44" spans="1:16" x14ac:dyDescent="0.25">
      <c r="B44" s="38" t="str">
        <f>IF($A44=0,"",VLOOKUP($A44,'BASE MATERIAL'!$A:$D,2))</f>
        <v/>
      </c>
      <c r="C44" s="2"/>
      <c r="D44" s="81" t="s">
        <v>1682</v>
      </c>
      <c r="E44" s="55" t="str">
        <f>IF($A44=0,"",VLOOKUP($A44,'BASE MATERIAL'!$A:$D,3))</f>
        <v/>
      </c>
      <c r="F44" s="55" t="s">
        <v>1682</v>
      </c>
      <c r="G44" s="55" t="str">
        <f>IF($A44=0,"",VLOOKUP($A44,'BASE MATERIAL'!$A:$D,4))</f>
        <v/>
      </c>
      <c r="H44" s="56" t="str">
        <f>IF($A44=0,"",ROUND(E44*F44,2))</f>
        <v/>
      </c>
      <c r="I44" s="2"/>
    </row>
    <row r="45" spans="1:16" x14ac:dyDescent="0.25">
      <c r="B45" s="73" t="s">
        <v>1681</v>
      </c>
      <c r="C45" s="65"/>
      <c r="D45" s="74"/>
      <c r="E45" s="74"/>
      <c r="F45" s="74"/>
      <c r="G45" s="74"/>
      <c r="H45" s="75">
        <f>ROUND(SUM(H28:H44),2)</f>
        <v>4.75</v>
      </c>
      <c r="I45" s="2"/>
    </row>
    <row r="46" spans="1:16" x14ac:dyDescent="0.25">
      <c r="B46" s="38" t="s">
        <v>1680</v>
      </c>
      <c r="C46" s="2"/>
      <c r="D46" s="3"/>
      <c r="E46" s="3"/>
      <c r="F46" s="3"/>
      <c r="G46" s="3"/>
      <c r="H46" s="56"/>
      <c r="I46" s="2"/>
    </row>
    <row r="47" spans="1:16" ht="25.5" x14ac:dyDescent="0.25">
      <c r="B47" s="64" t="s">
        <v>1409</v>
      </c>
      <c r="C47" s="65"/>
      <c r="D47" s="76"/>
      <c r="E47" s="66" t="s">
        <v>1408</v>
      </c>
      <c r="F47" s="66" t="s">
        <v>1679</v>
      </c>
      <c r="G47" s="66" t="s">
        <v>1676</v>
      </c>
      <c r="H47" s="68" t="s">
        <v>1675</v>
      </c>
      <c r="I47" s="2"/>
    </row>
    <row r="48" spans="1:16" x14ac:dyDescent="0.25">
      <c r="A48" s="103">
        <v>19019</v>
      </c>
      <c r="B48" s="51" t="str">
        <f>IF($A48=0,"",VLOOKUP($A48,'BASE EQUIPO'!$A:$D,2))</f>
        <v>TRANSPORTE DE MATERIAL</v>
      </c>
      <c r="C48" s="52"/>
      <c r="D48" s="82"/>
      <c r="E48" s="78" t="str">
        <f>IF($A48=0,"",VLOOKUP($A48,'BASE EQUIPO'!$A:$D,3))</f>
        <v>GLOBAL</v>
      </c>
      <c r="F48" s="55">
        <v>1</v>
      </c>
      <c r="G48" s="83">
        <f>IF($A48=0,"",VLOOKUP($A48,'BASE EQUIPO'!$A:$D,4)*H45)-0.01</f>
        <v>0.13249999999999998</v>
      </c>
      <c r="H48" s="56">
        <f>IF($A48=0,"",ROUND(F48*G48,2))</f>
        <v>0.13</v>
      </c>
      <c r="I48" s="2"/>
    </row>
    <row r="49" spans="1:15" x14ac:dyDescent="0.25">
      <c r="B49" s="38" t="str">
        <f>IF($A49=0,"",VLOOKUP($A49,'BASE EQUIPO'!$A:$D,2))</f>
        <v/>
      </c>
      <c r="C49" s="2"/>
      <c r="D49" s="84"/>
      <c r="E49" s="78" t="str">
        <f>IF($A49=0,"",VLOOKUP($A49,'BASE EQUIPO'!$A:$D,3))</f>
        <v/>
      </c>
      <c r="F49" s="55"/>
      <c r="G49" s="55" t="str">
        <f>IF($A49=0,"",VLOOKUP($A49,'BASE EQUIPO'!$A:$D,4)*H46)</f>
        <v/>
      </c>
      <c r="H49" s="56" t="str">
        <f>IF($A49=0,"",ROUND(F49*G49,2))</f>
        <v/>
      </c>
      <c r="I49" s="2"/>
    </row>
    <row r="50" spans="1:15" x14ac:dyDescent="0.25">
      <c r="B50" s="57" t="str">
        <f>IF($A50=0,"",VLOOKUP($A50,'BASE EQUIPO'!$A:$D,2))</f>
        <v/>
      </c>
      <c r="C50" s="58"/>
      <c r="D50" s="85"/>
      <c r="E50" s="86" t="str">
        <f>IF($A50=0,"",VLOOKUP($A50,'BASE EQUIPO'!$A:$D,3))</f>
        <v/>
      </c>
      <c r="F50" s="59"/>
      <c r="G50" s="59" t="str">
        <f>IF($A50=0,"",VLOOKUP($A50,'BASE EQUIPO'!$A:$D,4)*H47)</f>
        <v/>
      </c>
      <c r="H50" s="60" t="str">
        <f>IF($A50=0,"",ROUND(F50*G50,2))</f>
        <v/>
      </c>
      <c r="I50" s="2"/>
    </row>
    <row r="51" spans="1:15" ht="15.75" thickBot="1" x14ac:dyDescent="0.3">
      <c r="B51" s="87" t="s">
        <v>1674</v>
      </c>
      <c r="C51" s="88"/>
      <c r="D51" s="89"/>
      <c r="E51" s="89"/>
      <c r="F51" s="89"/>
      <c r="G51" s="89"/>
      <c r="H51" s="90">
        <f>ROUND(SUM(H47:H50),2)</f>
        <v>0.13</v>
      </c>
      <c r="I51" s="2"/>
    </row>
    <row r="52" spans="1:15" ht="15.75" x14ac:dyDescent="0.25">
      <c r="B52" s="2"/>
      <c r="C52" s="2"/>
      <c r="D52" s="91" t="s">
        <v>1673</v>
      </c>
      <c r="E52" s="47"/>
      <c r="F52" s="47"/>
      <c r="G52" s="47"/>
      <c r="H52" s="92">
        <f>ROUND(SUM(H51,H45,H26,H16),2)</f>
        <v>6.57</v>
      </c>
      <c r="I52" s="2"/>
    </row>
    <row r="53" spans="1:15" ht="15.75" x14ac:dyDescent="0.25">
      <c r="A53" s="103">
        <v>40002</v>
      </c>
      <c r="B53" s="2"/>
      <c r="C53" s="2"/>
      <c r="D53" s="93" t="s">
        <v>1672</v>
      </c>
      <c r="E53" s="65"/>
      <c r="F53" s="65"/>
      <c r="G53" s="94">
        <f>IF($A53=0,"",VLOOKUP($A53,'BASE MATERIAL'!$M:$P,4))</f>
        <v>0</v>
      </c>
      <c r="H53" s="95">
        <f>IF($A53=0,"",ROUND(G53*H52,2))</f>
        <v>0</v>
      </c>
      <c r="I53" s="2"/>
    </row>
    <row r="54" spans="1:15" ht="15.75" x14ac:dyDescent="0.25">
      <c r="A54" s="103">
        <v>40003</v>
      </c>
      <c r="B54" s="2"/>
      <c r="C54" s="2"/>
      <c r="D54" s="93" t="s">
        <v>1671</v>
      </c>
      <c r="E54" s="65"/>
      <c r="F54" s="65"/>
      <c r="G54" s="94">
        <f>IF($A54=0,"",VLOOKUP($A54,'BASE MATERIAL'!$M:$P,4))</f>
        <v>0</v>
      </c>
      <c r="H54" s="95">
        <f>IF($A54=0,"",ROUND(G54*H52,2))</f>
        <v>0</v>
      </c>
      <c r="I54" s="2"/>
    </row>
    <row r="55" spans="1:15" ht="15.75" x14ac:dyDescent="0.25">
      <c r="B55" s="2"/>
      <c r="C55" s="2"/>
      <c r="D55" s="93" t="s">
        <v>1670</v>
      </c>
      <c r="E55" s="65"/>
      <c r="F55" s="65"/>
      <c r="G55" s="65"/>
      <c r="H55" s="96">
        <f>ROUND(SUM(H52:H54),2)</f>
        <v>6.57</v>
      </c>
      <c r="I55" s="2"/>
    </row>
    <row r="56" spans="1:15" ht="16.5" thickBot="1" x14ac:dyDescent="0.3">
      <c r="B56" s="25"/>
      <c r="C56" s="2"/>
      <c r="D56" s="97" t="s">
        <v>1650</v>
      </c>
      <c r="E56" s="88"/>
      <c r="F56" s="88"/>
      <c r="G56" s="88"/>
      <c r="H56" s="98">
        <f>ROUND(H55,2)</f>
        <v>6.57</v>
      </c>
      <c r="I56" s="2">
        <v>450</v>
      </c>
      <c r="J56" s="2">
        <f>+I56-H56</f>
        <v>443.43</v>
      </c>
    </row>
    <row r="57" spans="1:15" ht="15.75" x14ac:dyDescent="0.25">
      <c r="B57" s="34" t="s">
        <v>1701</v>
      </c>
      <c r="C57" s="2"/>
      <c r="D57" s="3" t="str">
        <f>$D$1</f>
        <v>ESPOL</v>
      </c>
      <c r="E57" s="2"/>
      <c r="F57" s="2"/>
      <c r="H57" s="2" t="s">
        <v>108</v>
      </c>
      <c r="I57" s="2"/>
      <c r="L57" s="40">
        <f>A61</f>
        <v>2</v>
      </c>
      <c r="M57" s="1" t="str">
        <f>C62</f>
        <v>Ducto plancha galvanizada sin aislar con Ductwrap</v>
      </c>
      <c r="N57" s="2" t="str">
        <f>H61</f>
        <v>kilos</v>
      </c>
      <c r="O57" s="2">
        <f>H112</f>
        <v>5.17</v>
      </c>
    </row>
    <row r="58" spans="1:15" ht="15.75" x14ac:dyDescent="0.25">
      <c r="B58" s="34" t="s">
        <v>1700</v>
      </c>
      <c r="C58" s="3">
        <f>'1.1'!$C$2</f>
        <v>0</v>
      </c>
      <c r="D58" s="2"/>
      <c r="E58" s="2"/>
      <c r="F58" s="2"/>
      <c r="G58" s="41" t="s">
        <v>1699</v>
      </c>
      <c r="H58" s="42"/>
      <c r="I58" s="2" t="s">
        <v>1698</v>
      </c>
    </row>
    <row r="59" spans="1:15" ht="15.75" x14ac:dyDescent="0.25">
      <c r="B59" s="34"/>
      <c r="C59" s="3">
        <f>'1.1'!$C$3</f>
        <v>0</v>
      </c>
      <c r="D59" s="2"/>
      <c r="E59" s="2"/>
      <c r="F59" s="2"/>
      <c r="G59" s="2"/>
      <c r="H59" s="2"/>
      <c r="I59" s="2"/>
    </row>
    <row r="60" spans="1:15" ht="15.75" x14ac:dyDescent="0.25">
      <c r="B60" s="34" t="s">
        <v>1697</v>
      </c>
      <c r="C60" s="3"/>
      <c r="D60" s="2"/>
      <c r="E60" s="2"/>
      <c r="F60" s="2"/>
      <c r="G60" s="2"/>
      <c r="H60" s="2"/>
      <c r="I60" s="2"/>
    </row>
    <row r="61" spans="1:15" x14ac:dyDescent="0.25">
      <c r="A61" s="104">
        <v>2</v>
      </c>
      <c r="B61" s="2" t="s">
        <v>1586</v>
      </c>
      <c r="C61" s="101" t="s">
        <v>1321</v>
      </c>
      <c r="D61" s="2"/>
      <c r="G61" s="2" t="s">
        <v>1696</v>
      </c>
      <c r="H61" s="3" t="s">
        <v>132</v>
      </c>
      <c r="I61" s="2"/>
    </row>
    <row r="62" spans="1:15" x14ac:dyDescent="0.25">
      <c r="B62" s="1" t="s">
        <v>1585</v>
      </c>
      <c r="C62" s="36" t="s">
        <v>133</v>
      </c>
      <c r="D62" s="2"/>
      <c r="E62" s="2"/>
      <c r="F62" s="2"/>
      <c r="G62" s="2"/>
      <c r="H62" s="2"/>
      <c r="I62" s="2"/>
    </row>
    <row r="63" spans="1:15" ht="15.75" thickBot="1" x14ac:dyDescent="0.3">
      <c r="D63" s="2"/>
      <c r="E63" s="2"/>
      <c r="F63" s="2"/>
      <c r="G63" s="2"/>
      <c r="H63" s="2"/>
      <c r="I63" s="2"/>
    </row>
    <row r="64" spans="1:15" ht="15.75" thickBot="1" x14ac:dyDescent="0.3">
      <c r="B64" s="43" t="s">
        <v>1695</v>
      </c>
      <c r="C64" s="44"/>
      <c r="D64" s="44"/>
      <c r="E64" s="44"/>
      <c r="F64" s="44"/>
      <c r="G64" s="44"/>
      <c r="H64" s="45"/>
      <c r="I64" s="2"/>
    </row>
    <row r="65" spans="1:9" ht="25.5" x14ac:dyDescent="0.25">
      <c r="B65" s="46" t="s">
        <v>1409</v>
      </c>
      <c r="C65" s="47"/>
      <c r="D65" s="48" t="s">
        <v>1690</v>
      </c>
      <c r="E65" s="48" t="s">
        <v>1694</v>
      </c>
      <c r="F65" s="48" t="s">
        <v>1693</v>
      </c>
      <c r="G65" s="49" t="s">
        <v>1687</v>
      </c>
      <c r="H65" s="50" t="s">
        <v>1686</v>
      </c>
      <c r="I65" s="2"/>
    </row>
    <row r="66" spans="1:9" x14ac:dyDescent="0.25">
      <c r="A66" s="103">
        <v>19015</v>
      </c>
      <c r="B66" s="51" t="str">
        <f>IF($A66=0,"",VLOOKUP($A66,'BASE EQUIPO'!$A:$D,2))</f>
        <v>HERRAMIENTA MENOR</v>
      </c>
      <c r="C66" s="52"/>
      <c r="D66" s="53"/>
      <c r="E66" s="53">
        <f>IF($A66=0,"",VLOOKUP($A66,'BASE EQUIPO'!$A:$D,4)*H82)</f>
        <v>5.0699999999999995E-2</v>
      </c>
      <c r="F66" s="53">
        <f t="shared" ref="F66:F71" si="5">IF($A66=0,"",ROUND(D66*E66,2))</f>
        <v>0</v>
      </c>
      <c r="G66" s="105"/>
      <c r="H66" s="54">
        <f t="shared" ref="H66:H71" si="6">IF($A66=0,"",ROUND(G66*F66,2))</f>
        <v>0</v>
      </c>
      <c r="I66" s="2"/>
    </row>
    <row r="67" spans="1:9" x14ac:dyDescent="0.25">
      <c r="B67" s="38" t="str">
        <f>IF($A67=0,"",VLOOKUP($A67,'BASE EQUIPO'!$A:$D,2))</f>
        <v/>
      </c>
      <c r="C67" s="2"/>
      <c r="D67" s="55"/>
      <c r="E67" s="55" t="str">
        <f>IF($A67=0,"",VLOOKUP($A67,'BASE EQUIPO'!$A:$D,4))</f>
        <v/>
      </c>
      <c r="F67" s="55" t="str">
        <f t="shared" si="5"/>
        <v/>
      </c>
      <c r="G67" s="106"/>
      <c r="H67" s="56" t="str">
        <f t="shared" si="6"/>
        <v/>
      </c>
      <c r="I67" s="2"/>
    </row>
    <row r="68" spans="1:9" x14ac:dyDescent="0.25">
      <c r="B68" s="38" t="str">
        <f>IF($A68=0,"",VLOOKUP($A68,'BASE EQUIPO'!$A:$D,2))</f>
        <v/>
      </c>
      <c r="C68" s="2"/>
      <c r="D68" s="55"/>
      <c r="E68" s="55" t="str">
        <f>IF($A68=0,"",VLOOKUP($A68,'BASE EQUIPO'!$A:$D,4))</f>
        <v/>
      </c>
      <c r="F68" s="55" t="str">
        <f t="shared" si="5"/>
        <v/>
      </c>
      <c r="G68" s="106"/>
      <c r="H68" s="56" t="str">
        <f t="shared" si="6"/>
        <v/>
      </c>
      <c r="I68" s="2"/>
    </row>
    <row r="69" spans="1:9" x14ac:dyDescent="0.25">
      <c r="B69" s="38" t="str">
        <f>IF($A69=0,"",VLOOKUP($A69,'BASE EQUIPO'!$A:$D,2))</f>
        <v/>
      </c>
      <c r="C69" s="2"/>
      <c r="D69" s="55"/>
      <c r="E69" s="55" t="str">
        <f>IF($A69=0,"",VLOOKUP($A69,'BASE EQUIPO'!$A:$D,4))</f>
        <v/>
      </c>
      <c r="F69" s="55" t="str">
        <f t="shared" si="5"/>
        <v/>
      </c>
      <c r="G69" s="106"/>
      <c r="H69" s="56" t="str">
        <f t="shared" si="6"/>
        <v/>
      </c>
      <c r="I69" s="2"/>
    </row>
    <row r="70" spans="1:9" x14ac:dyDescent="0.25">
      <c r="B70" s="38" t="str">
        <f>IF($A70=0,"",VLOOKUP($A70,'BASE EQUIPO'!$A:$D,2))</f>
        <v/>
      </c>
      <c r="C70" s="2"/>
      <c r="D70" s="55"/>
      <c r="E70" s="55" t="str">
        <f>IF($A70=0,"",VLOOKUP($A70,'BASE EQUIPO'!$A:$D,4))</f>
        <v/>
      </c>
      <c r="F70" s="55" t="str">
        <f t="shared" si="5"/>
        <v/>
      </c>
      <c r="G70" s="106"/>
      <c r="H70" s="56" t="str">
        <f t="shared" si="6"/>
        <v/>
      </c>
      <c r="I70" s="2"/>
    </row>
    <row r="71" spans="1:9" x14ac:dyDescent="0.25">
      <c r="B71" s="57" t="str">
        <f>IF($A71=0,"",VLOOKUP($A71,'BASE EQUIPO'!$A:$D,2))</f>
        <v/>
      </c>
      <c r="C71" s="58"/>
      <c r="D71" s="59"/>
      <c r="E71" s="59" t="str">
        <f>IF($A71=0,"",VLOOKUP($A71,'BASE EQUIPO'!$A:$D,4))</f>
        <v/>
      </c>
      <c r="F71" s="59" t="str">
        <f t="shared" si="5"/>
        <v/>
      </c>
      <c r="G71" s="107"/>
      <c r="H71" s="60" t="str">
        <f t="shared" si="6"/>
        <v/>
      </c>
      <c r="I71" s="2"/>
    </row>
    <row r="72" spans="1:9" x14ac:dyDescent="0.25">
      <c r="B72" s="57" t="s">
        <v>1692</v>
      </c>
      <c r="C72" s="58"/>
      <c r="D72" s="61"/>
      <c r="E72" s="61"/>
      <c r="F72" s="61"/>
      <c r="G72" s="62"/>
      <c r="H72" s="60">
        <f>ROUND(SUM(H65:H71),2)</f>
        <v>0</v>
      </c>
      <c r="I72" s="2"/>
    </row>
    <row r="73" spans="1:9" x14ac:dyDescent="0.25">
      <c r="B73" s="38" t="s">
        <v>1503</v>
      </c>
      <c r="C73" s="2"/>
      <c r="D73" s="3"/>
      <c r="E73" s="3"/>
      <c r="F73" s="3"/>
      <c r="G73" s="63"/>
      <c r="H73" s="56"/>
      <c r="I73" s="2"/>
    </row>
    <row r="74" spans="1:9" ht="25.5" x14ac:dyDescent="0.25">
      <c r="B74" s="64" t="s">
        <v>1691</v>
      </c>
      <c r="C74" s="65"/>
      <c r="D74" s="66" t="s">
        <v>1690</v>
      </c>
      <c r="E74" s="66" t="s">
        <v>1689</v>
      </c>
      <c r="F74" s="66" t="s">
        <v>1688</v>
      </c>
      <c r="G74" s="67" t="s">
        <v>1687</v>
      </c>
      <c r="H74" s="68" t="s">
        <v>1686</v>
      </c>
      <c r="I74" s="2"/>
    </row>
    <row r="75" spans="1:9" x14ac:dyDescent="0.25">
      <c r="B75" s="69" t="str">
        <f>IF($A75=0,"",VLOOKUP($A75,'BASE M-OBRA'!$A:$D,2))</f>
        <v/>
      </c>
      <c r="C75" s="2"/>
      <c r="D75" s="108"/>
      <c r="E75" s="70" t="str">
        <f>IF($A75=0,"",VLOOKUP($A75,'BASE M-OBRA'!$A:$D,4))</f>
        <v/>
      </c>
      <c r="F75" s="55" t="str">
        <f t="shared" ref="F75:F81" si="7">IF($A75=0,"",ROUND(D75*E75,2))</f>
        <v/>
      </c>
      <c r="G75" s="113"/>
      <c r="H75" s="56" t="str">
        <f>IF($A75=0,"",ROUND(SUM(H76:H81)*'BASE M-OBRA'!$D$23,2))</f>
        <v/>
      </c>
      <c r="I75" s="2"/>
    </row>
    <row r="76" spans="1:9" x14ac:dyDescent="0.25">
      <c r="A76" s="103">
        <v>20019</v>
      </c>
      <c r="B76" s="69" t="str">
        <f>IF($A76=0,"",VLOOKUP($A76,'BASE M-OBRA'!$A:$D,2))</f>
        <v>INSTALADOR</v>
      </c>
      <c r="C76" s="2"/>
      <c r="D76" s="108">
        <v>2</v>
      </c>
      <c r="E76" s="70">
        <f>IF($A76=0,"",VLOOKUP($A76,'BASE M-OBRA'!$A:$D,4))</f>
        <v>2.82</v>
      </c>
      <c r="F76" s="55">
        <f t="shared" si="7"/>
        <v>5.64</v>
      </c>
      <c r="G76" s="106">
        <v>0.2</v>
      </c>
      <c r="H76" s="56">
        <f t="shared" ref="H76:H81" si="8">IF($A76=0,"",ROUND(G76*F76,2))</f>
        <v>1.1299999999999999</v>
      </c>
      <c r="I76" s="2"/>
    </row>
    <row r="77" spans="1:9" x14ac:dyDescent="0.25">
      <c r="A77" s="103">
        <v>20011</v>
      </c>
      <c r="B77" s="69" t="str">
        <f>IF($A77=0,"",VLOOKUP($A77,'BASE M-OBRA'!$A:$D,2))</f>
        <v>AYUDANTE ESPECIALISTA</v>
      </c>
      <c r="C77" s="2"/>
      <c r="D77" s="108">
        <v>1</v>
      </c>
      <c r="E77" s="70">
        <f>IF($A77=0,"",VLOOKUP($A77,'BASE M-OBRA'!$A:$D,4))</f>
        <v>2.79</v>
      </c>
      <c r="F77" s="55">
        <f t="shared" si="7"/>
        <v>2.79</v>
      </c>
      <c r="G77" s="106">
        <f>+G76</f>
        <v>0.2</v>
      </c>
      <c r="H77" s="56">
        <f t="shared" si="8"/>
        <v>0.56000000000000005</v>
      </c>
      <c r="I77" s="2"/>
    </row>
    <row r="78" spans="1:9" x14ac:dyDescent="0.25">
      <c r="B78" s="71" t="str">
        <f>IF($A78=0,"",VLOOKUP($A78,'BASE M-OBRA'!$A:$D,2))</f>
        <v/>
      </c>
      <c r="C78" s="2"/>
      <c r="D78" s="108"/>
      <c r="E78" s="70" t="str">
        <f>IF($A78=0,"",VLOOKUP($A78,'BASE M-OBRA'!$A:$D,4))</f>
        <v/>
      </c>
      <c r="F78" s="55" t="str">
        <f t="shared" si="7"/>
        <v/>
      </c>
      <c r="G78" s="106"/>
      <c r="H78" s="56" t="str">
        <f t="shared" si="8"/>
        <v/>
      </c>
      <c r="I78" s="2"/>
    </row>
    <row r="79" spans="1:9" x14ac:dyDescent="0.25">
      <c r="B79" s="72" t="str">
        <f>IF($A79=0,"",VLOOKUP($A79,'BASE M-OBRA'!$A:$D,2))</f>
        <v/>
      </c>
      <c r="C79" s="2"/>
      <c r="D79" s="108"/>
      <c r="E79" s="70" t="str">
        <f>IF($A79=0,"",VLOOKUP($A79,'BASE M-OBRA'!$A:$D,4))</f>
        <v/>
      </c>
      <c r="F79" s="55" t="str">
        <f t="shared" si="7"/>
        <v/>
      </c>
      <c r="G79" s="106"/>
      <c r="H79" s="56" t="str">
        <f t="shared" si="8"/>
        <v/>
      </c>
      <c r="I79" s="2"/>
    </row>
    <row r="80" spans="1:9" x14ac:dyDescent="0.25">
      <c r="B80" s="38" t="str">
        <f>IF($A80=0,"",VLOOKUP($A80,'BASE M-OBRA'!$A:$D,2))</f>
        <v/>
      </c>
      <c r="C80" s="2"/>
      <c r="D80" s="55"/>
      <c r="E80" s="55" t="str">
        <f>IF($A80=0,"",VLOOKUP($A80,'BASE M-OBRA'!$A:$D,4))</f>
        <v/>
      </c>
      <c r="F80" s="55" t="str">
        <f t="shared" si="7"/>
        <v/>
      </c>
      <c r="G80" s="106"/>
      <c r="H80" s="56" t="str">
        <f t="shared" si="8"/>
        <v/>
      </c>
      <c r="I80" s="2"/>
    </row>
    <row r="81" spans="1:16" x14ac:dyDescent="0.25">
      <c r="B81" s="57" t="str">
        <f>IF($A81=0,"",VLOOKUP($A81,'BASE M-OBRA'!$A:$D,2))</f>
        <v/>
      </c>
      <c r="C81" s="58"/>
      <c r="D81" s="59"/>
      <c r="E81" s="59" t="str">
        <f>IF($A81=0,"",VLOOKUP($A81,'BASE M-OBRA'!$A:$D,4))</f>
        <v/>
      </c>
      <c r="F81" s="59" t="str">
        <f t="shared" si="7"/>
        <v/>
      </c>
      <c r="G81" s="107"/>
      <c r="H81" s="60" t="str">
        <f t="shared" si="8"/>
        <v/>
      </c>
      <c r="I81" s="2"/>
    </row>
    <row r="82" spans="1:16" x14ac:dyDescent="0.25">
      <c r="B82" s="73" t="s">
        <v>1685</v>
      </c>
      <c r="C82" s="65"/>
      <c r="D82" s="74"/>
      <c r="E82" s="74"/>
      <c r="F82" s="74"/>
      <c r="G82" s="74"/>
      <c r="H82" s="75">
        <f>ROUND(SUM(H74:H81),2)</f>
        <v>1.69</v>
      </c>
      <c r="I82" s="2"/>
    </row>
    <row r="83" spans="1:16" x14ac:dyDescent="0.25">
      <c r="B83" s="38" t="s">
        <v>1684</v>
      </c>
      <c r="C83" s="2"/>
      <c r="D83" s="3"/>
      <c r="E83" s="3"/>
      <c r="F83" s="3"/>
      <c r="G83" s="3"/>
      <c r="H83" s="56"/>
      <c r="I83" s="2"/>
    </row>
    <row r="84" spans="1:16" ht="25.5" x14ac:dyDescent="0.25">
      <c r="B84" s="64" t="s">
        <v>1409</v>
      </c>
      <c r="C84" s="65"/>
      <c r="D84" s="76"/>
      <c r="E84" s="66" t="s">
        <v>1408</v>
      </c>
      <c r="F84" s="66" t="s">
        <v>1679</v>
      </c>
      <c r="G84" s="66" t="s">
        <v>1683</v>
      </c>
      <c r="H84" s="68" t="s">
        <v>1675</v>
      </c>
      <c r="I84" s="2"/>
    </row>
    <row r="85" spans="1:16" x14ac:dyDescent="0.25">
      <c r="A85" s="103">
        <v>1</v>
      </c>
      <c r="B85" s="102" t="s">
        <v>133</v>
      </c>
      <c r="C85" s="2"/>
      <c r="D85" s="77"/>
      <c r="E85" s="78" t="s">
        <v>132</v>
      </c>
      <c r="F85" s="55">
        <v>1</v>
      </c>
      <c r="G85" s="55">
        <f>ROUND(J85*$J$1,2)</f>
        <v>3.38</v>
      </c>
      <c r="H85" s="56">
        <f t="shared" ref="H85:H99" si="9">IF($A85=0,"",ROUND(F85*G85,2))</f>
        <v>3.38</v>
      </c>
      <c r="I85" s="2"/>
      <c r="J85" s="1">
        <v>3.13</v>
      </c>
      <c r="L85" s="2"/>
      <c r="M85" s="2"/>
      <c r="N85" s="39"/>
      <c r="O85" s="2"/>
      <c r="P85" s="2"/>
    </row>
    <row r="86" spans="1:16" x14ac:dyDescent="0.25">
      <c r="B86" s="102"/>
      <c r="C86" s="2"/>
      <c r="D86" s="77"/>
      <c r="E86" s="78" t="str">
        <f>IF($A86=0,"",VLOOKUP($A86,'BASE MATERIAL'!$A:$D,3))</f>
        <v/>
      </c>
      <c r="F86" s="55"/>
      <c r="G86" s="55" t="str">
        <f>IF($A86=0,"",VLOOKUP($A86,'BASE MATERIAL'!$A:$D,4))</f>
        <v/>
      </c>
      <c r="H86" s="56" t="str">
        <f t="shared" si="9"/>
        <v/>
      </c>
      <c r="I86" s="2"/>
      <c r="L86" s="2"/>
      <c r="M86" s="2"/>
      <c r="N86" s="39"/>
      <c r="O86" s="2"/>
      <c r="P86" s="2"/>
    </row>
    <row r="87" spans="1:16" x14ac:dyDescent="0.25">
      <c r="B87" s="38" t="str">
        <f>IF($A87=0,"",VLOOKUP($A87,'BASE MATERIAL'!$A:$D,2))</f>
        <v/>
      </c>
      <c r="C87" s="2"/>
      <c r="D87" s="77"/>
      <c r="E87" s="78" t="str">
        <f>IF($A87=0,"",VLOOKUP($A87,'BASE MATERIAL'!$A:$D,3))</f>
        <v/>
      </c>
      <c r="F87" s="55"/>
      <c r="G87" s="55" t="str">
        <f>IF($A87=0,"",VLOOKUP($A87,'BASE MATERIAL'!$A:$D,4))</f>
        <v/>
      </c>
      <c r="H87" s="56" t="str">
        <f t="shared" si="9"/>
        <v/>
      </c>
      <c r="I87" s="2"/>
      <c r="L87" s="2"/>
      <c r="M87" s="2"/>
      <c r="N87" s="39"/>
      <c r="O87" s="2"/>
      <c r="P87" s="2"/>
    </row>
    <row r="88" spans="1:16" x14ac:dyDescent="0.25">
      <c r="B88" s="38" t="str">
        <f>IF($A88=0,"",VLOOKUP($A88,'BASE MATERIAL'!$A:$D,2))</f>
        <v/>
      </c>
      <c r="C88" s="2"/>
      <c r="D88" s="77"/>
      <c r="E88" s="78" t="str">
        <f>IF($A88=0,"",VLOOKUP($A88,'BASE MATERIAL'!$A:$D,3))</f>
        <v/>
      </c>
      <c r="F88" s="55"/>
      <c r="G88" s="55" t="str">
        <f>IF($A88=0,"",VLOOKUP($A88,'BASE MATERIAL'!$A:$D,4))</f>
        <v/>
      </c>
      <c r="H88" s="56" t="str">
        <f t="shared" si="9"/>
        <v/>
      </c>
      <c r="I88" s="2"/>
      <c r="L88" s="2"/>
      <c r="M88" s="2"/>
      <c r="N88" s="39"/>
      <c r="O88" s="2"/>
      <c r="P88" s="2"/>
    </row>
    <row r="89" spans="1:16" x14ac:dyDescent="0.25">
      <c r="B89" s="38" t="str">
        <f>IF($A89=0,"",VLOOKUP($A89,'BASE MATERIAL'!$A:$D,2))</f>
        <v/>
      </c>
      <c r="C89" s="2"/>
      <c r="D89" s="77"/>
      <c r="E89" s="78" t="str">
        <f>IF($A89=0,"",VLOOKUP($A89,'BASE MATERIAL'!$A:$D,3))</f>
        <v/>
      </c>
      <c r="F89" s="55"/>
      <c r="G89" s="55" t="str">
        <f>IF($A89=0,"",VLOOKUP($A89,'BASE MATERIAL'!$A:$D,4))</f>
        <v/>
      </c>
      <c r="H89" s="56" t="str">
        <f t="shared" si="9"/>
        <v/>
      </c>
      <c r="I89" s="2"/>
      <c r="L89" s="2"/>
      <c r="M89" s="2"/>
      <c r="N89" s="39"/>
      <c r="O89" s="2"/>
      <c r="P89" s="2"/>
    </row>
    <row r="90" spans="1:16" x14ac:dyDescent="0.25">
      <c r="B90" s="38" t="str">
        <f>IF($A90=0,"",VLOOKUP($A90,'BASE MATERIAL'!$A:$D,2))</f>
        <v/>
      </c>
      <c r="C90" s="2"/>
      <c r="D90" s="77"/>
      <c r="E90" s="78" t="str">
        <f>IF($A90=0,"",VLOOKUP($A90,'BASE MATERIAL'!$A:$D,3))</f>
        <v/>
      </c>
      <c r="F90" s="55"/>
      <c r="G90" s="55" t="str">
        <f>IF($A90=0,"",VLOOKUP($A90,'BASE MATERIAL'!$A:$D,4))</f>
        <v/>
      </c>
      <c r="H90" s="56" t="str">
        <f t="shared" si="9"/>
        <v/>
      </c>
      <c r="I90" s="2"/>
      <c r="L90" s="2"/>
      <c r="M90" s="2"/>
      <c r="N90" s="39"/>
      <c r="O90" s="2"/>
      <c r="P90" s="2"/>
    </row>
    <row r="91" spans="1:16" x14ac:dyDescent="0.25">
      <c r="B91" s="38" t="str">
        <f>IF($A91=0,"",VLOOKUP($A91,'BASE MATERIAL'!$A:$D,2))</f>
        <v/>
      </c>
      <c r="C91" s="2"/>
      <c r="D91" s="77"/>
      <c r="E91" s="78" t="str">
        <f>IF($A91=0,"",VLOOKUP($A91,'BASE MATERIAL'!$A:$D,3))</f>
        <v/>
      </c>
      <c r="F91" s="55"/>
      <c r="G91" s="55" t="str">
        <f>IF($A91=0,"",VLOOKUP($A91,'BASE MATERIAL'!$A:$D,4))</f>
        <v/>
      </c>
      <c r="H91" s="56" t="str">
        <f t="shared" si="9"/>
        <v/>
      </c>
      <c r="I91" s="2"/>
      <c r="L91" s="2"/>
      <c r="M91" s="2"/>
      <c r="N91" s="39"/>
      <c r="O91" s="2"/>
      <c r="P91" s="2"/>
    </row>
    <row r="92" spans="1:16" x14ac:dyDescent="0.25">
      <c r="B92" s="38" t="str">
        <f>IF($A92=0,"",VLOOKUP($A92,'BASE MATERIAL'!$A:$D,2))</f>
        <v/>
      </c>
      <c r="C92" s="2"/>
      <c r="D92" s="77"/>
      <c r="E92" s="78" t="str">
        <f>IF($A92=0,"",VLOOKUP($A92,'BASE MATERIAL'!$A:$D,3))</f>
        <v/>
      </c>
      <c r="F92" s="55"/>
      <c r="G92" s="55" t="str">
        <f>IF($A92=0,"",VLOOKUP($A92,'BASE MATERIAL'!$A:$D,4))</f>
        <v/>
      </c>
      <c r="H92" s="56" t="str">
        <f t="shared" si="9"/>
        <v/>
      </c>
      <c r="I92" s="2"/>
      <c r="L92" s="2"/>
      <c r="M92" s="2"/>
      <c r="N92" s="39"/>
      <c r="O92" s="2"/>
      <c r="P92" s="2"/>
    </row>
    <row r="93" spans="1:16" x14ac:dyDescent="0.25">
      <c r="B93" s="38" t="str">
        <f>IF($A93=0,"",VLOOKUP($A93,'BASE MATERIAL'!$A:$D,2))</f>
        <v/>
      </c>
      <c r="C93" s="2"/>
      <c r="D93" s="77"/>
      <c r="E93" s="78" t="str">
        <f>IF($A93=0,"",VLOOKUP($A93,'BASE MATERIAL'!$A:$D,3))</f>
        <v/>
      </c>
      <c r="F93" s="55"/>
      <c r="G93" s="55" t="str">
        <f>IF($A93=0,"",VLOOKUP($A93,'BASE MATERIAL'!$A:$D,4))</f>
        <v/>
      </c>
      <c r="H93" s="56" t="str">
        <f t="shared" si="9"/>
        <v/>
      </c>
      <c r="I93" s="2"/>
    </row>
    <row r="94" spans="1:16" x14ac:dyDescent="0.25">
      <c r="B94" s="38" t="str">
        <f>IF($A94=0,"",VLOOKUP($A94,'BASE MATERIAL'!$A:$D,2))</f>
        <v/>
      </c>
      <c r="C94" s="2"/>
      <c r="D94" s="77"/>
      <c r="E94" s="78" t="str">
        <f>IF($A94=0,"",VLOOKUP($A94,'BASE MATERIAL'!$A:$D,3))</f>
        <v/>
      </c>
      <c r="F94" s="55"/>
      <c r="G94" s="55" t="str">
        <f>IF($A94=0,"",VLOOKUP($A94,'BASE MATERIAL'!$A:$D,4))</f>
        <v/>
      </c>
      <c r="H94" s="56" t="str">
        <f t="shared" si="9"/>
        <v/>
      </c>
      <c r="I94" s="2"/>
      <c r="L94" s="2"/>
      <c r="M94" s="2"/>
      <c r="N94" s="39"/>
      <c r="O94" s="2"/>
      <c r="P94" s="2"/>
    </row>
    <row r="95" spans="1:16" x14ac:dyDescent="0.25">
      <c r="B95" s="38" t="str">
        <f>IF($A95=0,"",VLOOKUP($A95,'BASE MATERIAL'!$A:$D,2))</f>
        <v/>
      </c>
      <c r="C95" s="2"/>
      <c r="D95" s="77"/>
      <c r="E95" s="78" t="str">
        <f>IF($A95=0,"",VLOOKUP($A95,'BASE MATERIAL'!$A:$D,3))</f>
        <v/>
      </c>
      <c r="F95" s="55"/>
      <c r="G95" s="55" t="str">
        <f>IF($A95=0,"",VLOOKUP($A95,'BASE MATERIAL'!$A:$D,4))</f>
        <v/>
      </c>
      <c r="H95" s="56" t="str">
        <f t="shared" si="9"/>
        <v/>
      </c>
      <c r="I95" s="2"/>
      <c r="L95" s="2"/>
      <c r="M95" s="2"/>
      <c r="N95" s="39"/>
      <c r="O95" s="2"/>
      <c r="P95" s="2"/>
    </row>
    <row r="96" spans="1:16" x14ac:dyDescent="0.25">
      <c r="B96" s="38" t="str">
        <f>IF($A96=0,"",VLOOKUP($A96,'BASE MATERIAL'!$A:$D,2))</f>
        <v/>
      </c>
      <c r="C96" s="2"/>
      <c r="D96" s="77"/>
      <c r="E96" s="78" t="str">
        <f>IF($A96=0,"",VLOOKUP($A96,'BASE MATERIAL'!$A:$D,3))</f>
        <v/>
      </c>
      <c r="F96" s="55"/>
      <c r="G96" s="55" t="str">
        <f>IF($A96=0,"",VLOOKUP($A96,'BASE MATERIAL'!$A:$D,4))</f>
        <v/>
      </c>
      <c r="H96" s="56" t="str">
        <f t="shared" si="9"/>
        <v/>
      </c>
      <c r="I96" s="2"/>
    </row>
    <row r="97" spans="1:9" x14ac:dyDescent="0.25">
      <c r="B97" s="38" t="str">
        <f>IF($A97=0,"",VLOOKUP($A97,'BASE MATERIAL'!$A:$D,2))</f>
        <v/>
      </c>
      <c r="C97" s="2"/>
      <c r="D97" s="77"/>
      <c r="E97" s="78" t="str">
        <f>IF($A97=0,"",VLOOKUP($A97,'BASE MATERIAL'!$A:$D,3))</f>
        <v/>
      </c>
      <c r="F97" s="55"/>
      <c r="G97" s="55" t="str">
        <f>IF($A97=0,"",VLOOKUP($A97,'BASE MATERIAL'!$A:$D,4))</f>
        <v/>
      </c>
      <c r="H97" s="56" t="str">
        <f t="shared" si="9"/>
        <v/>
      </c>
      <c r="I97" s="2"/>
    </row>
    <row r="98" spans="1:9" x14ac:dyDescent="0.25">
      <c r="B98" s="38" t="str">
        <f>IF($A98=0,"",VLOOKUP($A98,'BASE MATERIAL'!$A:$D,2))</f>
        <v/>
      </c>
      <c r="C98" s="2"/>
      <c r="D98" s="77"/>
      <c r="E98" s="78" t="str">
        <f>IF($A98=0,"",VLOOKUP($A98,'BASE MATERIAL'!$A:$D,3))</f>
        <v/>
      </c>
      <c r="F98" s="55"/>
      <c r="G98" s="55" t="str">
        <f>IF($A98=0,"",VLOOKUP($A98,'BASE MATERIAL'!$A:$D,4))</f>
        <v/>
      </c>
      <c r="H98" s="56" t="str">
        <f t="shared" si="9"/>
        <v/>
      </c>
      <c r="I98" s="2"/>
    </row>
    <row r="99" spans="1:9" x14ac:dyDescent="0.25">
      <c r="B99" s="38" t="str">
        <f>IF($A99=0,"",VLOOKUP($A99,'BASE MATERIAL'!$A:$D,2))</f>
        <v/>
      </c>
      <c r="C99" s="2"/>
      <c r="D99" s="77"/>
      <c r="E99" s="78" t="str">
        <f>IF($A99=0,"",VLOOKUP($A99,'BASE MATERIAL'!$A:$D,3))</f>
        <v/>
      </c>
      <c r="F99" s="55"/>
      <c r="G99" s="55" t="str">
        <f>IF($A99=0,"",VLOOKUP($A99,'BASE MATERIAL'!$A:$D,4))</f>
        <v/>
      </c>
      <c r="H99" s="56" t="str">
        <f t="shared" si="9"/>
        <v/>
      </c>
      <c r="I99" s="2"/>
    </row>
    <row r="100" spans="1:9" x14ac:dyDescent="0.25">
      <c r="B100" s="38" t="str">
        <f>IF($A100=0,"",VLOOKUP($A100,'BASE MATERIAL'!$A:$D,2))</f>
        <v/>
      </c>
      <c r="C100" s="2"/>
      <c r="D100" s="81" t="s">
        <v>1682</v>
      </c>
      <c r="E100" s="55" t="str">
        <f>IF($A100=0,"",VLOOKUP($A100,'BASE MATERIAL'!$A:$D,3))</f>
        <v/>
      </c>
      <c r="F100" s="55" t="s">
        <v>1682</v>
      </c>
      <c r="G100" s="55" t="str">
        <f>IF($A100=0,"",VLOOKUP($A100,'BASE MATERIAL'!$A:$D,4))</f>
        <v/>
      </c>
      <c r="H100" s="56" t="str">
        <f>IF($A100=0,"",ROUND(E100*F100,2))</f>
        <v/>
      </c>
      <c r="I100" s="2"/>
    </row>
    <row r="101" spans="1:9" x14ac:dyDescent="0.25">
      <c r="B101" s="73" t="s">
        <v>1681</v>
      </c>
      <c r="C101" s="65"/>
      <c r="D101" s="74"/>
      <c r="E101" s="74"/>
      <c r="F101" s="74"/>
      <c r="G101" s="74"/>
      <c r="H101" s="75">
        <f>ROUND(SUM(H84:H100),2)</f>
        <v>3.38</v>
      </c>
      <c r="I101" s="2"/>
    </row>
    <row r="102" spans="1:9" x14ac:dyDescent="0.25">
      <c r="B102" s="38" t="s">
        <v>1680</v>
      </c>
      <c r="C102" s="2"/>
      <c r="D102" s="3"/>
      <c r="E102" s="3"/>
      <c r="F102" s="3"/>
      <c r="G102" s="3"/>
      <c r="H102" s="56"/>
      <c r="I102" s="2"/>
    </row>
    <row r="103" spans="1:9" ht="25.5" x14ac:dyDescent="0.25">
      <c r="B103" s="64" t="s">
        <v>1409</v>
      </c>
      <c r="C103" s="65"/>
      <c r="D103" s="76"/>
      <c r="E103" s="66" t="s">
        <v>1408</v>
      </c>
      <c r="F103" s="66" t="s">
        <v>1679</v>
      </c>
      <c r="G103" s="66" t="s">
        <v>1676</v>
      </c>
      <c r="H103" s="68" t="s">
        <v>1675</v>
      </c>
      <c r="I103" s="2"/>
    </row>
    <row r="104" spans="1:9" x14ac:dyDescent="0.25">
      <c r="A104" s="103">
        <v>19019</v>
      </c>
      <c r="B104" s="51" t="str">
        <f>IF($A104=0,"",VLOOKUP($A104,'BASE EQUIPO'!$A:$D,2))</f>
        <v>TRANSPORTE DE MATERIAL</v>
      </c>
      <c r="C104" s="52"/>
      <c r="D104" s="82"/>
      <c r="E104" s="78" t="str">
        <f>IF($A104=0,"",VLOOKUP($A104,'BASE EQUIPO'!$A:$D,3))</f>
        <v>GLOBAL</v>
      </c>
      <c r="F104" s="55">
        <v>1</v>
      </c>
      <c r="G104" s="83">
        <f>IF($A104=0,"",VLOOKUP($A104,'BASE EQUIPO'!$A:$D,4)*H101)</f>
        <v>0.10139999999999999</v>
      </c>
      <c r="H104" s="56">
        <f>IF($A104=0,"",ROUND(F104*G104,2))</f>
        <v>0.1</v>
      </c>
      <c r="I104" s="2"/>
    </row>
    <row r="105" spans="1:9" x14ac:dyDescent="0.25">
      <c r="B105" s="38" t="str">
        <f>IF($A105=0,"",VLOOKUP($A105,'BASE EQUIPO'!$A:$D,2))</f>
        <v/>
      </c>
      <c r="C105" s="2"/>
      <c r="D105" s="84"/>
      <c r="E105" s="78" t="str">
        <f>IF($A105=0,"",VLOOKUP($A105,'BASE EQUIPO'!$A:$D,3))</f>
        <v/>
      </c>
      <c r="F105" s="55"/>
      <c r="G105" s="55" t="str">
        <f>IF($A105=0,"",VLOOKUP($A105,'BASE EQUIPO'!$A:$D,4)*H102)</f>
        <v/>
      </c>
      <c r="H105" s="56" t="str">
        <f>IF($A105=0,"",ROUND(F105*G105,2))</f>
        <v/>
      </c>
      <c r="I105" s="2"/>
    </row>
    <row r="106" spans="1:9" x14ac:dyDescent="0.25">
      <c r="B106" s="57" t="str">
        <f>IF($A106=0,"",VLOOKUP($A106,'BASE EQUIPO'!$A:$D,2))</f>
        <v/>
      </c>
      <c r="C106" s="58"/>
      <c r="D106" s="85"/>
      <c r="E106" s="86" t="str">
        <f>IF($A106=0,"",VLOOKUP($A106,'BASE EQUIPO'!$A:$D,3))</f>
        <v/>
      </c>
      <c r="F106" s="59"/>
      <c r="G106" s="59" t="str">
        <f>IF($A106=0,"",VLOOKUP($A106,'BASE EQUIPO'!$A:$D,4)*H103)</f>
        <v/>
      </c>
      <c r="H106" s="60" t="str">
        <f>IF($A106=0,"",ROUND(F106*G106,2))</f>
        <v/>
      </c>
      <c r="I106" s="2"/>
    </row>
    <row r="107" spans="1:9" ht="15.75" thickBot="1" x14ac:dyDescent="0.3">
      <c r="B107" s="87" t="s">
        <v>1674</v>
      </c>
      <c r="C107" s="88"/>
      <c r="D107" s="89"/>
      <c r="E107" s="89"/>
      <c r="F107" s="89"/>
      <c r="G107" s="89"/>
      <c r="H107" s="90">
        <f>ROUND(SUM(H103:H106),2)</f>
        <v>0.1</v>
      </c>
      <c r="I107" s="2"/>
    </row>
    <row r="108" spans="1:9" ht="15.75" x14ac:dyDescent="0.25">
      <c r="B108" s="2"/>
      <c r="C108" s="2"/>
      <c r="D108" s="91" t="s">
        <v>1673</v>
      </c>
      <c r="E108" s="47"/>
      <c r="F108" s="47"/>
      <c r="G108" s="47"/>
      <c r="H108" s="92">
        <f>ROUND(SUM(H107,H101,H82,H72),2)</f>
        <v>5.17</v>
      </c>
      <c r="I108" s="2"/>
    </row>
    <row r="109" spans="1:9" ht="15.75" x14ac:dyDescent="0.25">
      <c r="A109" s="103">
        <v>40002</v>
      </c>
      <c r="B109" s="2"/>
      <c r="C109" s="2"/>
      <c r="D109" s="93" t="s">
        <v>1672</v>
      </c>
      <c r="E109" s="65"/>
      <c r="F109" s="65"/>
      <c r="G109" s="94">
        <f>IF($A109=0,"",VLOOKUP($A109,'BASE MATERIAL'!$M:$P,4))</f>
        <v>0</v>
      </c>
      <c r="H109" s="95">
        <f>IF($A109=0,"",ROUND(G109*H108,2))</f>
        <v>0</v>
      </c>
      <c r="I109" s="2"/>
    </row>
    <row r="110" spans="1:9" ht="15.75" x14ac:dyDescent="0.25">
      <c r="A110" s="103">
        <v>40003</v>
      </c>
      <c r="B110" s="2"/>
      <c r="C110" s="2"/>
      <c r="D110" s="93" t="s">
        <v>1671</v>
      </c>
      <c r="E110" s="65"/>
      <c r="F110" s="65"/>
      <c r="G110" s="94">
        <f>IF($A110=0,"",VLOOKUP($A110,'BASE MATERIAL'!$M:$P,4))</f>
        <v>0</v>
      </c>
      <c r="H110" s="95">
        <f>IF($A110=0,"",ROUND(G110*H108,2))</f>
        <v>0</v>
      </c>
      <c r="I110" s="2"/>
    </row>
    <row r="111" spans="1:9" ht="15.75" x14ac:dyDescent="0.25">
      <c r="B111" s="2"/>
      <c r="C111" s="2"/>
      <c r="D111" s="93" t="s">
        <v>1670</v>
      </c>
      <c r="E111" s="65"/>
      <c r="F111" s="65"/>
      <c r="G111" s="65"/>
      <c r="H111" s="96">
        <f>ROUND(SUM(H108:H110),2)</f>
        <v>5.17</v>
      </c>
      <c r="I111" s="2"/>
    </row>
    <row r="112" spans="1:9" ht="16.5" thickBot="1" x14ac:dyDescent="0.3">
      <c r="B112" s="25"/>
      <c r="C112" s="2"/>
      <c r="D112" s="97" t="s">
        <v>1650</v>
      </c>
      <c r="E112" s="88"/>
      <c r="F112" s="88"/>
      <c r="G112" s="88"/>
      <c r="H112" s="98">
        <f>ROUND(H111,2)</f>
        <v>5.17</v>
      </c>
      <c r="I112" s="2"/>
    </row>
    <row r="113" spans="1:15" ht="15.75" x14ac:dyDescent="0.25">
      <c r="B113" s="34" t="s">
        <v>1701</v>
      </c>
      <c r="C113" s="2"/>
      <c r="D113" s="3" t="str">
        <f>$D$1</f>
        <v>ESPOL</v>
      </c>
      <c r="E113" s="2"/>
      <c r="F113" s="2"/>
      <c r="H113" s="2" t="s">
        <v>108</v>
      </c>
      <c r="I113" s="2"/>
      <c r="L113" s="40">
        <f>A117</f>
        <v>2</v>
      </c>
      <c r="M113" s="1" t="str">
        <f>C118</f>
        <v>Difusor de aire 10x10"</v>
      </c>
      <c r="N113" s="2" t="str">
        <f>H117</f>
        <v>u</v>
      </c>
      <c r="O113" s="2">
        <f>H168</f>
        <v>16.48</v>
      </c>
    </row>
    <row r="114" spans="1:15" ht="15.75" x14ac:dyDescent="0.25">
      <c r="B114" s="34" t="s">
        <v>1700</v>
      </c>
      <c r="C114" s="3">
        <f>'1.1'!$C$2</f>
        <v>0</v>
      </c>
      <c r="D114" s="2"/>
      <c r="E114" s="2"/>
      <c r="F114" s="2"/>
      <c r="G114" s="41" t="s">
        <v>1699</v>
      </c>
      <c r="H114" s="42"/>
      <c r="I114" s="2" t="s">
        <v>1698</v>
      </c>
    </row>
    <row r="115" spans="1:15" ht="15.75" x14ac:dyDescent="0.25">
      <c r="B115" s="34"/>
      <c r="C115" s="3">
        <f>'1.1'!$C$3</f>
        <v>0</v>
      </c>
      <c r="D115" s="2"/>
      <c r="E115" s="2"/>
      <c r="F115" s="2"/>
      <c r="G115" s="2"/>
      <c r="H115" s="2"/>
      <c r="I115" s="2"/>
    </row>
    <row r="116" spans="1:15" ht="15.75" x14ac:dyDescent="0.25">
      <c r="B116" s="34" t="s">
        <v>1697</v>
      </c>
      <c r="C116" s="3"/>
      <c r="D116" s="2"/>
      <c r="E116" s="2"/>
      <c r="F116" s="2"/>
      <c r="G116" s="2"/>
      <c r="H116" s="2"/>
      <c r="I116" s="2"/>
    </row>
    <row r="117" spans="1:15" x14ac:dyDescent="0.25">
      <c r="A117" s="104">
        <v>2</v>
      </c>
      <c r="B117" s="2" t="s">
        <v>1586</v>
      </c>
      <c r="C117" s="101" t="s">
        <v>1322</v>
      </c>
      <c r="D117" s="2"/>
      <c r="G117" s="2" t="s">
        <v>1696</v>
      </c>
      <c r="H117" s="3" t="s">
        <v>1506</v>
      </c>
      <c r="I117" s="2"/>
    </row>
    <row r="118" spans="1:15" x14ac:dyDescent="0.25">
      <c r="B118" s="1" t="s">
        <v>1585</v>
      </c>
      <c r="C118" s="36" t="s">
        <v>134</v>
      </c>
      <c r="D118" s="2"/>
      <c r="E118" s="2"/>
      <c r="F118" s="2"/>
      <c r="G118" s="2"/>
      <c r="H118" s="2"/>
      <c r="I118" s="2"/>
    </row>
    <row r="119" spans="1:15" ht="15.75" thickBot="1" x14ac:dyDescent="0.3">
      <c r="D119" s="2"/>
      <c r="E119" s="2"/>
      <c r="F119" s="2"/>
      <c r="G119" s="2"/>
      <c r="H119" s="2"/>
      <c r="I119" s="2"/>
    </row>
    <row r="120" spans="1:15" ht="15.75" thickBot="1" x14ac:dyDescent="0.3">
      <c r="B120" s="43" t="s">
        <v>1695</v>
      </c>
      <c r="C120" s="44"/>
      <c r="D120" s="44"/>
      <c r="E120" s="44"/>
      <c r="F120" s="44"/>
      <c r="G120" s="44"/>
      <c r="H120" s="45"/>
      <c r="I120" s="2"/>
    </row>
    <row r="121" spans="1:15" ht="25.5" x14ac:dyDescent="0.25">
      <c r="B121" s="46" t="s">
        <v>1409</v>
      </c>
      <c r="C121" s="47"/>
      <c r="D121" s="48" t="s">
        <v>1690</v>
      </c>
      <c r="E121" s="48" t="s">
        <v>1694</v>
      </c>
      <c r="F121" s="48" t="s">
        <v>1693</v>
      </c>
      <c r="G121" s="49" t="s">
        <v>1687</v>
      </c>
      <c r="H121" s="50" t="s">
        <v>1686</v>
      </c>
      <c r="I121" s="2"/>
    </row>
    <row r="122" spans="1:15" x14ac:dyDescent="0.25">
      <c r="B122" s="51" t="str">
        <f>IF($A122=0,"",VLOOKUP($A122,'BASE EQUIPO'!$A:$D,2))</f>
        <v/>
      </c>
      <c r="C122" s="52"/>
      <c r="D122" s="53"/>
      <c r="E122" s="53" t="str">
        <f>IF($A122=0,"",VLOOKUP($A122,'BASE EQUIPO'!$A:$D,4)*H138)</f>
        <v/>
      </c>
      <c r="F122" s="53" t="str">
        <f t="shared" ref="F122:F127" si="10">IF($A122=0,"",ROUND(D122*E122,2))</f>
        <v/>
      </c>
      <c r="G122" s="105"/>
      <c r="H122" s="54" t="str">
        <f t="shared" ref="H122:H127" si="11">IF($A122=0,"",ROUND(G122*F122,2))</f>
        <v/>
      </c>
      <c r="I122" s="2"/>
    </row>
    <row r="123" spans="1:15" x14ac:dyDescent="0.25">
      <c r="B123" s="38" t="str">
        <f>IF($A123=0,"",VLOOKUP($A123,'BASE EQUIPO'!$A:$D,2))</f>
        <v/>
      </c>
      <c r="C123" s="2"/>
      <c r="D123" s="55"/>
      <c r="E123" s="55" t="str">
        <f>IF($A123=0,"",VLOOKUP($A123,'BASE EQUIPO'!$A:$D,4))</f>
        <v/>
      </c>
      <c r="F123" s="55" t="str">
        <f t="shared" si="10"/>
        <v/>
      </c>
      <c r="G123" s="106"/>
      <c r="H123" s="56" t="str">
        <f t="shared" si="11"/>
        <v/>
      </c>
      <c r="I123" s="2"/>
    </row>
    <row r="124" spans="1:15" x14ac:dyDescent="0.25">
      <c r="B124" s="38" t="str">
        <f>IF($A124=0,"",VLOOKUP($A124,'BASE EQUIPO'!$A:$D,2))</f>
        <v/>
      </c>
      <c r="C124" s="2"/>
      <c r="D124" s="55"/>
      <c r="E124" s="55" t="str">
        <f>IF($A124=0,"",VLOOKUP($A124,'BASE EQUIPO'!$A:$D,4))</f>
        <v/>
      </c>
      <c r="F124" s="55" t="str">
        <f t="shared" si="10"/>
        <v/>
      </c>
      <c r="G124" s="106"/>
      <c r="H124" s="56" t="str">
        <f t="shared" si="11"/>
        <v/>
      </c>
      <c r="I124" s="2"/>
    </row>
    <row r="125" spans="1:15" x14ac:dyDescent="0.25">
      <c r="B125" s="38" t="str">
        <f>IF($A125=0,"",VLOOKUP($A125,'BASE EQUIPO'!$A:$D,2))</f>
        <v/>
      </c>
      <c r="C125" s="2"/>
      <c r="D125" s="55"/>
      <c r="E125" s="55" t="str">
        <f>IF($A125=0,"",VLOOKUP($A125,'BASE EQUIPO'!$A:$D,4))</f>
        <v/>
      </c>
      <c r="F125" s="55" t="str">
        <f t="shared" si="10"/>
        <v/>
      </c>
      <c r="G125" s="106"/>
      <c r="H125" s="56" t="str">
        <f t="shared" si="11"/>
        <v/>
      </c>
      <c r="I125" s="2"/>
    </row>
    <row r="126" spans="1:15" x14ac:dyDescent="0.25">
      <c r="B126" s="38" t="str">
        <f>IF($A126=0,"",VLOOKUP($A126,'BASE EQUIPO'!$A:$D,2))</f>
        <v/>
      </c>
      <c r="C126" s="2"/>
      <c r="D126" s="55"/>
      <c r="E126" s="55" t="str">
        <f>IF($A126=0,"",VLOOKUP($A126,'BASE EQUIPO'!$A:$D,4))</f>
        <v/>
      </c>
      <c r="F126" s="55" t="str">
        <f t="shared" si="10"/>
        <v/>
      </c>
      <c r="G126" s="106"/>
      <c r="H126" s="56" t="str">
        <f t="shared" si="11"/>
        <v/>
      </c>
      <c r="I126" s="2"/>
    </row>
    <row r="127" spans="1:15" x14ac:dyDescent="0.25">
      <c r="B127" s="57" t="str">
        <f>IF($A127=0,"",VLOOKUP($A127,'BASE EQUIPO'!$A:$D,2))</f>
        <v/>
      </c>
      <c r="C127" s="58"/>
      <c r="D127" s="59"/>
      <c r="E127" s="59" t="str">
        <f>IF($A127=0,"",VLOOKUP($A127,'BASE EQUIPO'!$A:$D,4))</f>
        <v/>
      </c>
      <c r="F127" s="59" t="str">
        <f t="shared" si="10"/>
        <v/>
      </c>
      <c r="G127" s="107"/>
      <c r="H127" s="60" t="str">
        <f t="shared" si="11"/>
        <v/>
      </c>
      <c r="I127" s="2"/>
    </row>
    <row r="128" spans="1:15" x14ac:dyDescent="0.25">
      <c r="B128" s="57" t="s">
        <v>1692</v>
      </c>
      <c r="C128" s="58"/>
      <c r="D128" s="61"/>
      <c r="E128" s="61"/>
      <c r="F128" s="61"/>
      <c r="G128" s="62"/>
      <c r="H128" s="60">
        <f>ROUND(SUM(H121:H127),2)</f>
        <v>0</v>
      </c>
      <c r="I128" s="2"/>
    </row>
    <row r="129" spans="1:16" x14ac:dyDescent="0.25">
      <c r="B129" s="38" t="s">
        <v>1503</v>
      </c>
      <c r="C129" s="2"/>
      <c r="D129" s="3"/>
      <c r="E129" s="3"/>
      <c r="F129" s="3"/>
      <c r="G129" s="63"/>
      <c r="H129" s="56"/>
      <c r="I129" s="2"/>
    </row>
    <row r="130" spans="1:16" ht="25.5" x14ac:dyDescent="0.25">
      <c r="B130" s="64" t="s">
        <v>1691</v>
      </c>
      <c r="C130" s="65"/>
      <c r="D130" s="66" t="s">
        <v>1690</v>
      </c>
      <c r="E130" s="66" t="s">
        <v>1689</v>
      </c>
      <c r="F130" s="66" t="s">
        <v>1688</v>
      </c>
      <c r="G130" s="67" t="s">
        <v>1687</v>
      </c>
      <c r="H130" s="68" t="s">
        <v>1686</v>
      </c>
      <c r="I130" s="2"/>
    </row>
    <row r="131" spans="1:16" x14ac:dyDescent="0.25">
      <c r="B131" s="69" t="str">
        <f>IF($A131=0,"",VLOOKUP($A131,'BASE M-OBRA'!$A:$D,2))</f>
        <v/>
      </c>
      <c r="C131" s="2"/>
      <c r="D131" s="108"/>
      <c r="E131" s="70" t="str">
        <f>IF($A131=0,"",VLOOKUP($A131,'BASE M-OBRA'!$A:$D,4))</f>
        <v/>
      </c>
      <c r="F131" s="55" t="str">
        <f t="shared" ref="F131:F137" si="12">IF($A131=0,"",ROUND(D131*E131,2))</f>
        <v/>
      </c>
      <c r="G131" s="106" t="str">
        <f>IF($A131=0,"",ROUND(H131/F131,2))</f>
        <v/>
      </c>
      <c r="H131" s="56" t="str">
        <f>IF($A131=0,"",ROUND(SUM(H132:H137)*'BASE M-OBRA'!$D$23,2))</f>
        <v/>
      </c>
      <c r="I131" s="2"/>
    </row>
    <row r="132" spans="1:16" x14ac:dyDescent="0.25">
      <c r="B132" s="69" t="str">
        <f>IF($A132=0,"",VLOOKUP($A132,'BASE M-OBRA'!$A:$D,2))</f>
        <v/>
      </c>
      <c r="C132" s="2"/>
      <c r="D132" s="108"/>
      <c r="E132" s="70" t="str">
        <f>IF($A132=0,"",VLOOKUP($A132,'BASE M-OBRA'!$A:$D,4))</f>
        <v/>
      </c>
      <c r="F132" s="55" t="str">
        <f t="shared" si="12"/>
        <v/>
      </c>
      <c r="G132" s="106"/>
      <c r="H132" s="56" t="str">
        <f t="shared" ref="H132:H137" si="13">IF($A132=0,"",ROUND(G132*F132,2))</f>
        <v/>
      </c>
      <c r="I132" s="2"/>
    </row>
    <row r="133" spans="1:16" x14ac:dyDescent="0.25">
      <c r="B133" s="69" t="str">
        <f>IF($A133=0,"",VLOOKUP($A133,'BASE M-OBRA'!$A:$D,2))</f>
        <v/>
      </c>
      <c r="C133" s="2"/>
      <c r="D133" s="108"/>
      <c r="E133" s="70" t="str">
        <f>IF($A133=0,"",VLOOKUP($A133,'BASE M-OBRA'!$A:$D,4))</f>
        <v/>
      </c>
      <c r="F133" s="55" t="str">
        <f t="shared" si="12"/>
        <v/>
      </c>
      <c r="G133" s="106"/>
      <c r="H133" s="56" t="str">
        <f t="shared" si="13"/>
        <v/>
      </c>
      <c r="I133" s="2"/>
    </row>
    <row r="134" spans="1:16" x14ac:dyDescent="0.25">
      <c r="B134" s="71" t="str">
        <f>IF($A134=0,"",VLOOKUP($A134,'BASE M-OBRA'!$A:$D,2))</f>
        <v/>
      </c>
      <c r="C134" s="2"/>
      <c r="D134" s="108"/>
      <c r="E134" s="70" t="str">
        <f>IF($A134=0,"",VLOOKUP($A134,'BASE M-OBRA'!$A:$D,4))</f>
        <v/>
      </c>
      <c r="F134" s="55" t="str">
        <f t="shared" si="12"/>
        <v/>
      </c>
      <c r="G134" s="106"/>
      <c r="H134" s="56" t="str">
        <f t="shared" si="13"/>
        <v/>
      </c>
      <c r="I134" s="2"/>
    </row>
    <row r="135" spans="1:16" x14ac:dyDescent="0.25">
      <c r="B135" s="72" t="str">
        <f>IF($A135=0,"",VLOOKUP($A135,'BASE M-OBRA'!$A:$D,2))</f>
        <v/>
      </c>
      <c r="C135" s="2"/>
      <c r="D135" s="108"/>
      <c r="E135" s="70" t="str">
        <f>IF($A135=0,"",VLOOKUP($A135,'BASE M-OBRA'!$A:$D,4))</f>
        <v/>
      </c>
      <c r="F135" s="55" t="str">
        <f t="shared" si="12"/>
        <v/>
      </c>
      <c r="G135" s="106"/>
      <c r="H135" s="56" t="str">
        <f t="shared" si="13"/>
        <v/>
      </c>
      <c r="I135" s="2"/>
    </row>
    <row r="136" spans="1:16" x14ac:dyDescent="0.25">
      <c r="B136" s="38" t="str">
        <f>IF($A136=0,"",VLOOKUP($A136,'BASE M-OBRA'!$A:$D,2))</f>
        <v/>
      </c>
      <c r="C136" s="2"/>
      <c r="D136" s="55"/>
      <c r="E136" s="55" t="str">
        <f>IF($A136=0,"",VLOOKUP($A136,'BASE M-OBRA'!$A:$D,4))</f>
        <v/>
      </c>
      <c r="F136" s="55" t="str">
        <f t="shared" si="12"/>
        <v/>
      </c>
      <c r="G136" s="106"/>
      <c r="H136" s="56" t="str">
        <f t="shared" si="13"/>
        <v/>
      </c>
      <c r="I136" s="2"/>
    </row>
    <row r="137" spans="1:16" x14ac:dyDescent="0.25">
      <c r="B137" s="57" t="str">
        <f>IF($A137=0,"",VLOOKUP($A137,'BASE M-OBRA'!$A:$D,2))</f>
        <v/>
      </c>
      <c r="C137" s="58"/>
      <c r="D137" s="59"/>
      <c r="E137" s="59" t="str">
        <f>IF($A137=0,"",VLOOKUP($A137,'BASE M-OBRA'!$A:$D,4))</f>
        <v/>
      </c>
      <c r="F137" s="59" t="str">
        <f t="shared" si="12"/>
        <v/>
      </c>
      <c r="G137" s="107"/>
      <c r="H137" s="60" t="str">
        <f t="shared" si="13"/>
        <v/>
      </c>
      <c r="I137" s="2"/>
    </row>
    <row r="138" spans="1:16" x14ac:dyDescent="0.25">
      <c r="B138" s="73" t="s">
        <v>1685</v>
      </c>
      <c r="C138" s="65"/>
      <c r="D138" s="74"/>
      <c r="E138" s="74"/>
      <c r="F138" s="74"/>
      <c r="G138" s="74"/>
      <c r="H138" s="75">
        <f>ROUND(SUM(H130:H137),2)</f>
        <v>0</v>
      </c>
      <c r="I138" s="2"/>
    </row>
    <row r="139" spans="1:16" x14ac:dyDescent="0.25">
      <c r="B139" s="38" t="s">
        <v>1684</v>
      </c>
      <c r="C139" s="2"/>
      <c r="D139" s="3"/>
      <c r="E139" s="3"/>
      <c r="F139" s="3"/>
      <c r="G139" s="3"/>
      <c r="H139" s="56"/>
      <c r="I139" s="2"/>
    </row>
    <row r="140" spans="1:16" ht="25.5" x14ac:dyDescent="0.25">
      <c r="B140" s="64" t="s">
        <v>1409</v>
      </c>
      <c r="C140" s="65"/>
      <c r="D140" s="76"/>
      <c r="E140" s="66" t="s">
        <v>1408</v>
      </c>
      <c r="F140" s="66" t="s">
        <v>1679</v>
      </c>
      <c r="G140" s="66" t="s">
        <v>1683</v>
      </c>
      <c r="H140" s="68" t="s">
        <v>1675</v>
      </c>
      <c r="I140" s="2"/>
    </row>
    <row r="141" spans="1:16" x14ac:dyDescent="0.25">
      <c r="A141" s="103">
        <v>1</v>
      </c>
      <c r="B141" s="102" t="s">
        <v>134</v>
      </c>
      <c r="C141" s="2"/>
      <c r="D141" s="77"/>
      <c r="E141" s="78" t="s">
        <v>1506</v>
      </c>
      <c r="F141" s="55">
        <v>1</v>
      </c>
      <c r="G141" s="55">
        <v>16</v>
      </c>
      <c r="H141" s="56">
        <f t="shared" ref="H141:H155" si="14">IF($A141=0,"",ROUND(F141*G141,2))</f>
        <v>16</v>
      </c>
      <c r="I141" s="2"/>
      <c r="J141" s="1">
        <v>10.9</v>
      </c>
      <c r="L141" s="2"/>
      <c r="M141" s="2"/>
      <c r="N141" s="39"/>
      <c r="O141" s="2"/>
      <c r="P141" s="2"/>
    </row>
    <row r="142" spans="1:16" x14ac:dyDescent="0.25">
      <c r="B142" s="102"/>
      <c r="C142" s="2"/>
      <c r="D142" s="77"/>
      <c r="E142" s="78" t="str">
        <f>IF($A142=0,"",VLOOKUP($A142,'BASE MATERIAL'!$A:$D,3))</f>
        <v/>
      </c>
      <c r="F142" s="55"/>
      <c r="G142" s="55" t="str">
        <f>IF($A142=0,"",VLOOKUP($A142,'BASE MATERIAL'!$A:$D,4))</f>
        <v/>
      </c>
      <c r="H142" s="56" t="str">
        <f t="shared" si="14"/>
        <v/>
      </c>
      <c r="I142" s="2"/>
      <c r="L142" s="2"/>
      <c r="M142" s="2"/>
      <c r="N142" s="39"/>
      <c r="O142" s="2"/>
      <c r="P142" s="2"/>
    </row>
    <row r="143" spans="1:16" x14ac:dyDescent="0.25">
      <c r="B143" s="38" t="str">
        <f>IF($A143=0,"",VLOOKUP($A143,'BASE MATERIAL'!$A:$D,2))</f>
        <v/>
      </c>
      <c r="C143" s="2"/>
      <c r="D143" s="77"/>
      <c r="E143" s="78" t="str">
        <f>IF($A143=0,"",VLOOKUP($A143,'BASE MATERIAL'!$A:$D,3))</f>
        <v/>
      </c>
      <c r="F143" s="55"/>
      <c r="G143" s="55" t="str">
        <f>IF($A143=0,"",VLOOKUP($A143,'BASE MATERIAL'!$A:$D,4))</f>
        <v/>
      </c>
      <c r="H143" s="56" t="str">
        <f t="shared" si="14"/>
        <v/>
      </c>
      <c r="I143" s="2"/>
      <c r="L143" s="2"/>
      <c r="M143" s="2"/>
      <c r="N143" s="39"/>
      <c r="O143" s="2"/>
      <c r="P143" s="2"/>
    </row>
    <row r="144" spans="1:16" x14ac:dyDescent="0.25">
      <c r="B144" s="38" t="str">
        <f>IF($A144=0,"",VLOOKUP($A144,'BASE MATERIAL'!$A:$D,2))</f>
        <v/>
      </c>
      <c r="C144" s="2"/>
      <c r="D144" s="77"/>
      <c r="E144" s="78" t="str">
        <f>IF($A144=0,"",VLOOKUP($A144,'BASE MATERIAL'!$A:$D,3))</f>
        <v/>
      </c>
      <c r="F144" s="55"/>
      <c r="G144" s="55" t="str">
        <f>IF($A144=0,"",VLOOKUP($A144,'BASE MATERIAL'!$A:$D,4))</f>
        <v/>
      </c>
      <c r="H144" s="56" t="str">
        <f t="shared" si="14"/>
        <v/>
      </c>
      <c r="I144" s="2"/>
      <c r="L144" s="2"/>
      <c r="M144" s="2"/>
      <c r="N144" s="39"/>
      <c r="O144" s="2"/>
      <c r="P144" s="2"/>
    </row>
    <row r="145" spans="1:16" x14ac:dyDescent="0.25">
      <c r="B145" s="38" t="str">
        <f>IF($A145=0,"",VLOOKUP($A145,'BASE MATERIAL'!$A:$D,2))</f>
        <v/>
      </c>
      <c r="C145" s="2"/>
      <c r="D145" s="77"/>
      <c r="E145" s="78" t="str">
        <f>IF($A145=0,"",VLOOKUP($A145,'BASE MATERIAL'!$A:$D,3))</f>
        <v/>
      </c>
      <c r="F145" s="55"/>
      <c r="G145" s="55" t="str">
        <f>IF($A145=0,"",VLOOKUP($A145,'BASE MATERIAL'!$A:$D,4))</f>
        <v/>
      </c>
      <c r="H145" s="56" t="str">
        <f t="shared" si="14"/>
        <v/>
      </c>
      <c r="I145" s="2"/>
      <c r="L145" s="2"/>
      <c r="M145" s="2"/>
      <c r="N145" s="39"/>
      <c r="O145" s="2"/>
      <c r="P145" s="2"/>
    </row>
    <row r="146" spans="1:16" x14ac:dyDescent="0.25">
      <c r="B146" s="38" t="str">
        <f>IF($A146=0,"",VLOOKUP($A146,'BASE MATERIAL'!$A:$D,2))</f>
        <v/>
      </c>
      <c r="C146" s="2"/>
      <c r="D146" s="77"/>
      <c r="E146" s="78" t="str">
        <f>IF($A146=0,"",VLOOKUP($A146,'BASE MATERIAL'!$A:$D,3))</f>
        <v/>
      </c>
      <c r="F146" s="55"/>
      <c r="G146" s="55" t="str">
        <f>IF($A146=0,"",VLOOKUP($A146,'BASE MATERIAL'!$A:$D,4))</f>
        <v/>
      </c>
      <c r="H146" s="56" t="str">
        <f t="shared" si="14"/>
        <v/>
      </c>
      <c r="I146" s="2"/>
      <c r="L146" s="2"/>
      <c r="M146" s="2"/>
      <c r="N146" s="39"/>
      <c r="O146" s="2"/>
      <c r="P146" s="2"/>
    </row>
    <row r="147" spans="1:16" x14ac:dyDescent="0.25">
      <c r="B147" s="38" t="str">
        <f>IF($A147=0,"",VLOOKUP($A147,'BASE MATERIAL'!$A:$D,2))</f>
        <v/>
      </c>
      <c r="C147" s="2"/>
      <c r="D147" s="77"/>
      <c r="E147" s="78" t="str">
        <f>IF($A147=0,"",VLOOKUP($A147,'BASE MATERIAL'!$A:$D,3))</f>
        <v/>
      </c>
      <c r="F147" s="55"/>
      <c r="G147" s="55" t="str">
        <f>IF($A147=0,"",VLOOKUP($A147,'BASE MATERIAL'!$A:$D,4))</f>
        <v/>
      </c>
      <c r="H147" s="56" t="str">
        <f t="shared" si="14"/>
        <v/>
      </c>
      <c r="I147" s="2"/>
      <c r="L147" s="2"/>
      <c r="M147" s="2"/>
      <c r="N147" s="39"/>
      <c r="O147" s="2"/>
      <c r="P147" s="2"/>
    </row>
    <row r="148" spans="1:16" x14ac:dyDescent="0.25">
      <c r="B148" s="38" t="str">
        <f>IF($A148=0,"",VLOOKUP($A148,'BASE MATERIAL'!$A:$D,2))</f>
        <v/>
      </c>
      <c r="C148" s="2"/>
      <c r="D148" s="77"/>
      <c r="E148" s="78" t="str">
        <f>IF($A148=0,"",VLOOKUP($A148,'BASE MATERIAL'!$A:$D,3))</f>
        <v/>
      </c>
      <c r="F148" s="55"/>
      <c r="G148" s="55" t="str">
        <f>IF($A148=0,"",VLOOKUP($A148,'BASE MATERIAL'!$A:$D,4))</f>
        <v/>
      </c>
      <c r="H148" s="56" t="str">
        <f t="shared" si="14"/>
        <v/>
      </c>
      <c r="I148" s="2"/>
      <c r="L148" s="2"/>
      <c r="M148" s="2"/>
      <c r="N148" s="39"/>
      <c r="O148" s="2"/>
      <c r="P148" s="2"/>
    </row>
    <row r="149" spans="1:16" x14ac:dyDescent="0.25">
      <c r="B149" s="38" t="str">
        <f>IF($A149=0,"",VLOOKUP($A149,'BASE MATERIAL'!$A:$D,2))</f>
        <v/>
      </c>
      <c r="C149" s="2"/>
      <c r="D149" s="77"/>
      <c r="E149" s="78" t="str">
        <f>IF($A149=0,"",VLOOKUP($A149,'BASE MATERIAL'!$A:$D,3))</f>
        <v/>
      </c>
      <c r="F149" s="55"/>
      <c r="G149" s="55" t="str">
        <f>IF($A149=0,"",VLOOKUP($A149,'BASE MATERIAL'!$A:$D,4))</f>
        <v/>
      </c>
      <c r="H149" s="56" t="str">
        <f t="shared" si="14"/>
        <v/>
      </c>
      <c r="I149" s="2"/>
    </row>
    <row r="150" spans="1:16" x14ac:dyDescent="0.25">
      <c r="B150" s="38" t="str">
        <f>IF($A150=0,"",VLOOKUP($A150,'BASE MATERIAL'!$A:$D,2))</f>
        <v/>
      </c>
      <c r="C150" s="2"/>
      <c r="D150" s="77"/>
      <c r="E150" s="78" t="str">
        <f>IF($A150=0,"",VLOOKUP($A150,'BASE MATERIAL'!$A:$D,3))</f>
        <v/>
      </c>
      <c r="F150" s="55"/>
      <c r="G150" s="55" t="str">
        <f>IF($A150=0,"",VLOOKUP($A150,'BASE MATERIAL'!$A:$D,4))</f>
        <v/>
      </c>
      <c r="H150" s="56" t="str">
        <f t="shared" si="14"/>
        <v/>
      </c>
      <c r="I150" s="2"/>
      <c r="L150" s="2"/>
      <c r="M150" s="2"/>
      <c r="N150" s="39"/>
      <c r="O150" s="2"/>
      <c r="P150" s="2"/>
    </row>
    <row r="151" spans="1:16" x14ac:dyDescent="0.25">
      <c r="B151" s="38" t="str">
        <f>IF($A151=0,"",VLOOKUP($A151,'BASE MATERIAL'!$A:$D,2))</f>
        <v/>
      </c>
      <c r="C151" s="2"/>
      <c r="D151" s="77"/>
      <c r="E151" s="78" t="str">
        <f>IF($A151=0,"",VLOOKUP($A151,'BASE MATERIAL'!$A:$D,3))</f>
        <v/>
      </c>
      <c r="F151" s="55"/>
      <c r="G151" s="55" t="str">
        <f>IF($A151=0,"",VLOOKUP($A151,'BASE MATERIAL'!$A:$D,4))</f>
        <v/>
      </c>
      <c r="H151" s="56" t="str">
        <f t="shared" si="14"/>
        <v/>
      </c>
      <c r="I151" s="2"/>
      <c r="L151" s="2"/>
      <c r="M151" s="2"/>
      <c r="N151" s="39"/>
      <c r="O151" s="2"/>
      <c r="P151" s="2"/>
    </row>
    <row r="152" spans="1:16" x14ac:dyDescent="0.25">
      <c r="B152" s="38" t="str">
        <f>IF($A152=0,"",VLOOKUP($A152,'BASE MATERIAL'!$A:$D,2))</f>
        <v/>
      </c>
      <c r="C152" s="2"/>
      <c r="D152" s="77"/>
      <c r="E152" s="78" t="str">
        <f>IF($A152=0,"",VLOOKUP($A152,'BASE MATERIAL'!$A:$D,3))</f>
        <v/>
      </c>
      <c r="F152" s="55"/>
      <c r="G152" s="55" t="str">
        <f>IF($A152=0,"",VLOOKUP($A152,'BASE MATERIAL'!$A:$D,4))</f>
        <v/>
      </c>
      <c r="H152" s="56" t="str">
        <f t="shared" si="14"/>
        <v/>
      </c>
      <c r="I152" s="2"/>
    </row>
    <row r="153" spans="1:16" x14ac:dyDescent="0.25">
      <c r="B153" s="38" t="str">
        <f>IF($A153=0,"",VLOOKUP($A153,'BASE MATERIAL'!$A:$D,2))</f>
        <v/>
      </c>
      <c r="C153" s="2"/>
      <c r="D153" s="77"/>
      <c r="E153" s="78" t="str">
        <f>IF($A153=0,"",VLOOKUP($A153,'BASE MATERIAL'!$A:$D,3))</f>
        <v/>
      </c>
      <c r="F153" s="55"/>
      <c r="G153" s="55" t="str">
        <f>IF($A153=0,"",VLOOKUP($A153,'BASE MATERIAL'!$A:$D,4))</f>
        <v/>
      </c>
      <c r="H153" s="56" t="str">
        <f t="shared" si="14"/>
        <v/>
      </c>
      <c r="I153" s="2"/>
    </row>
    <row r="154" spans="1:16" x14ac:dyDescent="0.25">
      <c r="B154" s="38" t="str">
        <f>IF($A154=0,"",VLOOKUP($A154,'BASE MATERIAL'!$A:$D,2))</f>
        <v/>
      </c>
      <c r="C154" s="2"/>
      <c r="D154" s="77"/>
      <c r="E154" s="78" t="str">
        <f>IF($A154=0,"",VLOOKUP($A154,'BASE MATERIAL'!$A:$D,3))</f>
        <v/>
      </c>
      <c r="F154" s="55"/>
      <c r="G154" s="55" t="str">
        <f>IF($A154=0,"",VLOOKUP($A154,'BASE MATERIAL'!$A:$D,4))</f>
        <v/>
      </c>
      <c r="H154" s="56" t="str">
        <f t="shared" si="14"/>
        <v/>
      </c>
      <c r="I154" s="2"/>
    </row>
    <row r="155" spans="1:16" x14ac:dyDescent="0.25">
      <c r="B155" s="38" t="str">
        <f>IF($A155=0,"",VLOOKUP($A155,'BASE MATERIAL'!$A:$D,2))</f>
        <v/>
      </c>
      <c r="C155" s="2"/>
      <c r="D155" s="77"/>
      <c r="E155" s="78" t="str">
        <f>IF($A155=0,"",VLOOKUP($A155,'BASE MATERIAL'!$A:$D,3))</f>
        <v/>
      </c>
      <c r="F155" s="55"/>
      <c r="G155" s="55" t="str">
        <f>IF($A155=0,"",VLOOKUP($A155,'BASE MATERIAL'!$A:$D,4))</f>
        <v/>
      </c>
      <c r="H155" s="56" t="str">
        <f t="shared" si="14"/>
        <v/>
      </c>
      <c r="I155" s="2"/>
    </row>
    <row r="156" spans="1:16" x14ac:dyDescent="0.25">
      <c r="B156" s="38" t="str">
        <f>IF($A156=0,"",VLOOKUP($A156,'BASE MATERIAL'!$A:$D,2))</f>
        <v/>
      </c>
      <c r="C156" s="2"/>
      <c r="D156" s="81" t="s">
        <v>1682</v>
      </c>
      <c r="E156" s="55" t="str">
        <f>IF($A156=0,"",VLOOKUP($A156,'BASE MATERIAL'!$A:$D,3))</f>
        <v/>
      </c>
      <c r="F156" s="55" t="s">
        <v>1682</v>
      </c>
      <c r="G156" s="55" t="str">
        <f>IF($A156=0,"",VLOOKUP($A156,'BASE MATERIAL'!$A:$D,4))</f>
        <v/>
      </c>
      <c r="H156" s="56" t="str">
        <f>IF($A156=0,"",ROUND(E156*F156,2))</f>
        <v/>
      </c>
      <c r="I156" s="2"/>
    </row>
    <row r="157" spans="1:16" x14ac:dyDescent="0.25">
      <c r="B157" s="73" t="s">
        <v>1681</v>
      </c>
      <c r="C157" s="65"/>
      <c r="D157" s="74"/>
      <c r="E157" s="74"/>
      <c r="F157" s="74"/>
      <c r="G157" s="74"/>
      <c r="H157" s="75">
        <f>ROUND(SUM(H140:H156),2)</f>
        <v>16</v>
      </c>
      <c r="I157" s="2"/>
    </row>
    <row r="158" spans="1:16" x14ac:dyDescent="0.25">
      <c r="B158" s="38" t="s">
        <v>1680</v>
      </c>
      <c r="C158" s="2"/>
      <c r="D158" s="3"/>
      <c r="E158" s="3"/>
      <c r="F158" s="3"/>
      <c r="G158" s="3"/>
      <c r="H158" s="56"/>
      <c r="I158" s="2"/>
    </row>
    <row r="159" spans="1:16" ht="25.5" x14ac:dyDescent="0.25">
      <c r="B159" s="64" t="s">
        <v>1409</v>
      </c>
      <c r="C159" s="65"/>
      <c r="D159" s="76"/>
      <c r="E159" s="66" t="s">
        <v>1408</v>
      </c>
      <c r="F159" s="66" t="s">
        <v>1679</v>
      </c>
      <c r="G159" s="66" t="s">
        <v>1676</v>
      </c>
      <c r="H159" s="68" t="s">
        <v>1675</v>
      </c>
      <c r="I159" s="2"/>
    </row>
    <row r="160" spans="1:16" x14ac:dyDescent="0.25">
      <c r="A160" s="103">
        <v>19019</v>
      </c>
      <c r="B160" s="51" t="str">
        <f>IF($A160=0,"",VLOOKUP($A160,'BASE EQUIPO'!$A:$D,2))</f>
        <v>TRANSPORTE DE MATERIAL</v>
      </c>
      <c r="C160" s="52"/>
      <c r="D160" s="82"/>
      <c r="E160" s="78" t="str">
        <f>IF($A160=0,"",VLOOKUP($A160,'BASE EQUIPO'!$A:$D,3))</f>
        <v>GLOBAL</v>
      </c>
      <c r="F160" s="55">
        <v>1</v>
      </c>
      <c r="G160" s="83">
        <f>IF($A160=0,"",VLOOKUP($A160,'BASE EQUIPO'!$A:$D,4)*H157)</f>
        <v>0.48</v>
      </c>
      <c r="H160" s="56">
        <f>IF($A160=0,"",ROUND(F160*G160,2))</f>
        <v>0.48</v>
      </c>
      <c r="I160" s="2"/>
    </row>
    <row r="161" spans="1:15" x14ac:dyDescent="0.25">
      <c r="B161" s="38" t="str">
        <f>IF($A161=0,"",VLOOKUP($A161,'BASE EQUIPO'!$A:$D,2))</f>
        <v/>
      </c>
      <c r="C161" s="2"/>
      <c r="D161" s="84"/>
      <c r="E161" s="78" t="str">
        <f>IF($A161=0,"",VLOOKUP($A161,'BASE EQUIPO'!$A:$D,3))</f>
        <v/>
      </c>
      <c r="F161" s="55"/>
      <c r="G161" s="55" t="str">
        <f>IF($A161=0,"",VLOOKUP($A161,'BASE EQUIPO'!$A:$D,4)*H158)</f>
        <v/>
      </c>
      <c r="H161" s="56" t="str">
        <f>IF($A161=0,"",ROUND(F161*G161,2))</f>
        <v/>
      </c>
      <c r="I161" s="2"/>
    </row>
    <row r="162" spans="1:15" x14ac:dyDescent="0.25">
      <c r="B162" s="57" t="str">
        <f>IF($A162=0,"",VLOOKUP($A162,'BASE EQUIPO'!$A:$D,2))</f>
        <v/>
      </c>
      <c r="C162" s="58"/>
      <c r="D162" s="85"/>
      <c r="E162" s="86" t="str">
        <f>IF($A162=0,"",VLOOKUP($A162,'BASE EQUIPO'!$A:$D,3))</f>
        <v/>
      </c>
      <c r="F162" s="59"/>
      <c r="G162" s="59" t="str">
        <f>IF($A162=0,"",VLOOKUP($A162,'BASE EQUIPO'!$A:$D,4)*H159)</f>
        <v/>
      </c>
      <c r="H162" s="60" t="str">
        <f>IF($A162=0,"",ROUND(F162*G162,2))</f>
        <v/>
      </c>
      <c r="I162" s="2"/>
    </row>
    <row r="163" spans="1:15" ht="15.75" thickBot="1" x14ac:dyDescent="0.3">
      <c r="B163" s="87" t="s">
        <v>1674</v>
      </c>
      <c r="C163" s="88"/>
      <c r="D163" s="89"/>
      <c r="E163" s="89"/>
      <c r="F163" s="89"/>
      <c r="G163" s="89"/>
      <c r="H163" s="90">
        <f>ROUND(SUM(H159:H162),2)</f>
        <v>0.48</v>
      </c>
      <c r="I163" s="2"/>
    </row>
    <row r="164" spans="1:15" ht="15.75" x14ac:dyDescent="0.25">
      <c r="B164" s="2"/>
      <c r="C164" s="2"/>
      <c r="D164" s="91" t="s">
        <v>1673</v>
      </c>
      <c r="E164" s="47"/>
      <c r="F164" s="47"/>
      <c r="G164" s="47"/>
      <c r="H164" s="92">
        <f>ROUND(SUM(H163,H157,H138,H128),2)</f>
        <v>16.48</v>
      </c>
      <c r="I164" s="2"/>
    </row>
    <row r="165" spans="1:15" ht="15.75" x14ac:dyDescent="0.25">
      <c r="A165" s="103">
        <v>40002</v>
      </c>
      <c r="B165" s="2"/>
      <c r="C165" s="2"/>
      <c r="D165" s="93" t="s">
        <v>1672</v>
      </c>
      <c r="E165" s="65"/>
      <c r="F165" s="65"/>
      <c r="G165" s="94">
        <f>IF($A165=0,"",VLOOKUP($A165,'BASE MATERIAL'!$M:$P,4))</f>
        <v>0</v>
      </c>
      <c r="H165" s="95">
        <f>IF($A165=0,"",ROUND(G165*H164,2))</f>
        <v>0</v>
      </c>
      <c r="I165" s="2"/>
    </row>
    <row r="166" spans="1:15" ht="15.75" x14ac:dyDescent="0.25">
      <c r="A166" s="103">
        <v>40003</v>
      </c>
      <c r="B166" s="2"/>
      <c r="C166" s="2"/>
      <c r="D166" s="93" t="s">
        <v>1671</v>
      </c>
      <c r="E166" s="65"/>
      <c r="F166" s="65"/>
      <c r="G166" s="94">
        <f>IF($A166=0,"",VLOOKUP($A166,'BASE MATERIAL'!$M:$P,4))</f>
        <v>0</v>
      </c>
      <c r="H166" s="95">
        <f>IF($A166=0,"",ROUND(G166*H164,2))</f>
        <v>0</v>
      </c>
      <c r="I166" s="2"/>
    </row>
    <row r="167" spans="1:15" ht="15.75" x14ac:dyDescent="0.25">
      <c r="B167" s="2"/>
      <c r="C167" s="2"/>
      <c r="D167" s="93" t="s">
        <v>1670</v>
      </c>
      <c r="E167" s="65"/>
      <c r="F167" s="65"/>
      <c r="G167" s="65"/>
      <c r="H167" s="96">
        <f>ROUND(SUM(H164:H166),2)</f>
        <v>16.48</v>
      </c>
      <c r="I167" s="2"/>
    </row>
    <row r="168" spans="1:15" ht="16.5" thickBot="1" x14ac:dyDescent="0.3">
      <c r="B168" s="25"/>
      <c r="C168" s="2"/>
      <c r="D168" s="97" t="s">
        <v>1650</v>
      </c>
      <c r="E168" s="88"/>
      <c r="F168" s="88"/>
      <c r="G168" s="88"/>
      <c r="H168" s="98">
        <f>ROUND(H167,2)</f>
        <v>16.48</v>
      </c>
      <c r="I168" s="2"/>
    </row>
    <row r="169" spans="1:15" ht="15.75" x14ac:dyDescent="0.25">
      <c r="B169" s="34" t="s">
        <v>1701</v>
      </c>
      <c r="C169" s="2"/>
      <c r="D169" s="3" t="str">
        <f>$D$1</f>
        <v>ESPOL</v>
      </c>
      <c r="E169" s="2"/>
      <c r="F169" s="2"/>
      <c r="H169" s="2" t="s">
        <v>108</v>
      </c>
      <c r="I169" s="2"/>
      <c r="L169" s="40">
        <f>A173</f>
        <v>2</v>
      </c>
      <c r="M169" s="1" t="str">
        <f>C174</f>
        <v>Difusor de aire 12x12"</v>
      </c>
      <c r="N169" s="2" t="str">
        <f>H173</f>
        <v>u</v>
      </c>
      <c r="O169" s="2">
        <f>H224</f>
        <v>23.69</v>
      </c>
    </row>
    <row r="170" spans="1:15" ht="15.75" x14ac:dyDescent="0.25">
      <c r="B170" s="34" t="s">
        <v>1700</v>
      </c>
      <c r="C170" s="3">
        <f>'1.1'!$C$2</f>
        <v>0</v>
      </c>
      <c r="D170" s="2"/>
      <c r="E170" s="2"/>
      <c r="F170" s="2"/>
      <c r="G170" s="41" t="s">
        <v>1699</v>
      </c>
      <c r="H170" s="42"/>
      <c r="I170" s="2" t="s">
        <v>1698</v>
      </c>
    </row>
    <row r="171" spans="1:15" ht="15.75" x14ac:dyDescent="0.25">
      <c r="B171" s="34"/>
      <c r="C171" s="3">
        <f>'1.1'!$C$3</f>
        <v>0</v>
      </c>
      <c r="D171" s="2"/>
      <c r="E171" s="2"/>
      <c r="F171" s="2"/>
      <c r="G171" s="2"/>
      <c r="H171" s="2"/>
      <c r="I171" s="2"/>
    </row>
    <row r="172" spans="1:15" ht="15.75" x14ac:dyDescent="0.25">
      <c r="B172" s="34" t="s">
        <v>1697</v>
      </c>
      <c r="C172" s="3"/>
      <c r="D172" s="2"/>
      <c r="E172" s="2"/>
      <c r="F172" s="2"/>
      <c r="G172" s="2"/>
      <c r="H172" s="2"/>
      <c r="I172" s="2"/>
    </row>
    <row r="173" spans="1:15" x14ac:dyDescent="0.25">
      <c r="A173" s="104">
        <v>2</v>
      </c>
      <c r="B173" s="2" t="s">
        <v>1586</v>
      </c>
      <c r="C173" s="101" t="s">
        <v>1323</v>
      </c>
      <c r="D173" s="2"/>
      <c r="G173" s="2" t="s">
        <v>1696</v>
      </c>
      <c r="H173" s="3" t="s">
        <v>1506</v>
      </c>
      <c r="I173" s="2"/>
    </row>
    <row r="174" spans="1:15" x14ac:dyDescent="0.25">
      <c r="B174" s="1" t="s">
        <v>1585</v>
      </c>
      <c r="C174" s="36" t="s">
        <v>135</v>
      </c>
      <c r="D174" s="2"/>
      <c r="E174" s="2"/>
      <c r="F174" s="2"/>
      <c r="G174" s="2"/>
      <c r="H174" s="2"/>
      <c r="I174" s="2"/>
    </row>
    <row r="175" spans="1:15" ht="15.75" thickBot="1" x14ac:dyDescent="0.3">
      <c r="D175" s="2"/>
      <c r="E175" s="2"/>
      <c r="F175" s="2"/>
      <c r="G175" s="2"/>
      <c r="H175" s="2"/>
      <c r="I175" s="2"/>
    </row>
    <row r="176" spans="1:15" ht="15.75" thickBot="1" x14ac:dyDescent="0.3">
      <c r="B176" s="43" t="s">
        <v>1695</v>
      </c>
      <c r="C176" s="44"/>
      <c r="D176" s="44"/>
      <c r="E176" s="44"/>
      <c r="F176" s="44"/>
      <c r="G176" s="44"/>
      <c r="H176" s="45"/>
      <c r="I176" s="2"/>
    </row>
    <row r="177" spans="2:9" ht="25.5" x14ac:dyDescent="0.25">
      <c r="B177" s="46" t="s">
        <v>1409</v>
      </c>
      <c r="C177" s="47"/>
      <c r="D177" s="48" t="s">
        <v>1690</v>
      </c>
      <c r="E177" s="48" t="s">
        <v>1694</v>
      </c>
      <c r="F177" s="48" t="s">
        <v>1693</v>
      </c>
      <c r="G177" s="49" t="s">
        <v>1687</v>
      </c>
      <c r="H177" s="50" t="s">
        <v>1686</v>
      </c>
      <c r="I177" s="2"/>
    </row>
    <row r="178" spans="2:9" x14ac:dyDescent="0.25">
      <c r="B178" s="51" t="str">
        <f>IF($A178=0,"",VLOOKUP($A178,'BASE EQUIPO'!$A:$D,2))</f>
        <v/>
      </c>
      <c r="C178" s="52"/>
      <c r="D178" s="53"/>
      <c r="E178" s="53" t="str">
        <f>IF($A178=0,"",VLOOKUP($A178,'BASE EQUIPO'!$A:$D,4)*H194)</f>
        <v/>
      </c>
      <c r="F178" s="53" t="str">
        <f t="shared" ref="F178:F183" si="15">IF($A178=0,"",ROUND(D178*E178,2))</f>
        <v/>
      </c>
      <c r="G178" s="105"/>
      <c r="H178" s="54" t="str">
        <f t="shared" ref="H178:H183" si="16">IF($A178=0,"",ROUND(G178*F178,2))</f>
        <v/>
      </c>
      <c r="I178" s="2"/>
    </row>
    <row r="179" spans="2:9" x14ac:dyDescent="0.25">
      <c r="B179" s="38" t="str">
        <f>IF($A179=0,"",VLOOKUP($A179,'BASE EQUIPO'!$A:$D,2))</f>
        <v/>
      </c>
      <c r="C179" s="2"/>
      <c r="D179" s="55"/>
      <c r="E179" s="55" t="str">
        <f>IF($A179=0,"",VLOOKUP($A179,'BASE EQUIPO'!$A:$D,4))</f>
        <v/>
      </c>
      <c r="F179" s="55" t="str">
        <f t="shared" si="15"/>
        <v/>
      </c>
      <c r="G179" s="106"/>
      <c r="H179" s="56" t="str">
        <f t="shared" si="16"/>
        <v/>
      </c>
      <c r="I179" s="2"/>
    </row>
    <row r="180" spans="2:9" x14ac:dyDescent="0.25">
      <c r="B180" s="38" t="str">
        <f>IF($A180=0,"",VLOOKUP($A180,'BASE EQUIPO'!$A:$D,2))</f>
        <v/>
      </c>
      <c r="C180" s="2"/>
      <c r="D180" s="55"/>
      <c r="E180" s="55" t="str">
        <f>IF($A180=0,"",VLOOKUP($A180,'BASE EQUIPO'!$A:$D,4))</f>
        <v/>
      </c>
      <c r="F180" s="55" t="str">
        <f t="shared" si="15"/>
        <v/>
      </c>
      <c r="G180" s="106"/>
      <c r="H180" s="56" t="str">
        <f t="shared" si="16"/>
        <v/>
      </c>
      <c r="I180" s="2"/>
    </row>
    <row r="181" spans="2:9" x14ac:dyDescent="0.25">
      <c r="B181" s="38" t="str">
        <f>IF($A181=0,"",VLOOKUP($A181,'BASE EQUIPO'!$A:$D,2))</f>
        <v/>
      </c>
      <c r="C181" s="2"/>
      <c r="D181" s="55"/>
      <c r="E181" s="55" t="str">
        <f>IF($A181=0,"",VLOOKUP($A181,'BASE EQUIPO'!$A:$D,4))</f>
        <v/>
      </c>
      <c r="F181" s="55" t="str">
        <f t="shared" si="15"/>
        <v/>
      </c>
      <c r="G181" s="106"/>
      <c r="H181" s="56" t="str">
        <f t="shared" si="16"/>
        <v/>
      </c>
      <c r="I181" s="2"/>
    </row>
    <row r="182" spans="2:9" x14ac:dyDescent="0.25">
      <c r="B182" s="38" t="str">
        <f>IF($A182=0,"",VLOOKUP($A182,'BASE EQUIPO'!$A:$D,2))</f>
        <v/>
      </c>
      <c r="C182" s="2"/>
      <c r="D182" s="55"/>
      <c r="E182" s="55" t="str">
        <f>IF($A182=0,"",VLOOKUP($A182,'BASE EQUIPO'!$A:$D,4))</f>
        <v/>
      </c>
      <c r="F182" s="55" t="str">
        <f t="shared" si="15"/>
        <v/>
      </c>
      <c r="G182" s="106"/>
      <c r="H182" s="56" t="str">
        <f t="shared" si="16"/>
        <v/>
      </c>
      <c r="I182" s="2"/>
    </row>
    <row r="183" spans="2:9" x14ac:dyDescent="0.25">
      <c r="B183" s="57" t="str">
        <f>IF($A183=0,"",VLOOKUP($A183,'BASE EQUIPO'!$A:$D,2))</f>
        <v/>
      </c>
      <c r="C183" s="58"/>
      <c r="D183" s="59"/>
      <c r="E183" s="59" t="str">
        <f>IF($A183=0,"",VLOOKUP($A183,'BASE EQUIPO'!$A:$D,4))</f>
        <v/>
      </c>
      <c r="F183" s="59" t="str">
        <f t="shared" si="15"/>
        <v/>
      </c>
      <c r="G183" s="107"/>
      <c r="H183" s="60" t="str">
        <f t="shared" si="16"/>
        <v/>
      </c>
      <c r="I183" s="2"/>
    </row>
    <row r="184" spans="2:9" x14ac:dyDescent="0.25">
      <c r="B184" s="57" t="s">
        <v>1692</v>
      </c>
      <c r="C184" s="58"/>
      <c r="D184" s="61"/>
      <c r="E184" s="61"/>
      <c r="F184" s="61"/>
      <c r="G184" s="62"/>
      <c r="H184" s="60">
        <f>ROUND(SUM(H177:H183),2)</f>
        <v>0</v>
      </c>
      <c r="I184" s="2"/>
    </row>
    <row r="185" spans="2:9" x14ac:dyDescent="0.25">
      <c r="B185" s="38" t="s">
        <v>1503</v>
      </c>
      <c r="C185" s="2"/>
      <c r="D185" s="3"/>
      <c r="E185" s="3"/>
      <c r="F185" s="3"/>
      <c r="G185" s="63"/>
      <c r="H185" s="56"/>
      <c r="I185" s="2"/>
    </row>
    <row r="186" spans="2:9" ht="25.5" x14ac:dyDescent="0.25">
      <c r="B186" s="64" t="s">
        <v>1691</v>
      </c>
      <c r="C186" s="65"/>
      <c r="D186" s="66" t="s">
        <v>1690</v>
      </c>
      <c r="E186" s="66" t="s">
        <v>1689</v>
      </c>
      <c r="F186" s="66" t="s">
        <v>1688</v>
      </c>
      <c r="G186" s="67" t="s">
        <v>1687</v>
      </c>
      <c r="H186" s="68" t="s">
        <v>1686</v>
      </c>
      <c r="I186" s="2"/>
    </row>
    <row r="187" spans="2:9" x14ac:dyDescent="0.25">
      <c r="B187" s="69" t="str">
        <f>IF($A187=0,"",VLOOKUP($A187,'BASE M-OBRA'!$A:$D,2))</f>
        <v/>
      </c>
      <c r="C187" s="2"/>
      <c r="D187" s="108"/>
      <c r="E187" s="70" t="str">
        <f>IF($A187=0,"",VLOOKUP($A187,'BASE M-OBRA'!$A:$D,4))</f>
        <v/>
      </c>
      <c r="F187" s="55" t="str">
        <f t="shared" ref="F187:F193" si="17">IF($A187=0,"",ROUND(D187*E187,2))</f>
        <v/>
      </c>
      <c r="G187" s="106" t="str">
        <f>IF($A187=0,"",ROUND(H187/F187,2))</f>
        <v/>
      </c>
      <c r="H187" s="56" t="str">
        <f>IF($A187=0,"",ROUND(SUM(H188:H193)*'BASE M-OBRA'!$D$23,2))</f>
        <v/>
      </c>
      <c r="I187" s="2"/>
    </row>
    <row r="188" spans="2:9" x14ac:dyDescent="0.25">
      <c r="B188" s="69" t="str">
        <f>IF($A188=0,"",VLOOKUP($A188,'BASE M-OBRA'!$A:$D,2))</f>
        <v/>
      </c>
      <c r="C188" s="2"/>
      <c r="D188" s="108"/>
      <c r="E188" s="70" t="str">
        <f>IF($A188=0,"",VLOOKUP($A188,'BASE M-OBRA'!$A:$D,4))</f>
        <v/>
      </c>
      <c r="F188" s="55" t="str">
        <f t="shared" si="17"/>
        <v/>
      </c>
      <c r="G188" s="106"/>
      <c r="H188" s="56" t="str">
        <f t="shared" ref="H188:H193" si="18">IF($A188=0,"",ROUND(G188*F188,2))</f>
        <v/>
      </c>
      <c r="I188" s="2"/>
    </row>
    <row r="189" spans="2:9" x14ac:dyDescent="0.25">
      <c r="B189" s="69" t="str">
        <f>IF($A189=0,"",VLOOKUP($A189,'BASE M-OBRA'!$A:$D,2))</f>
        <v/>
      </c>
      <c r="C189" s="2"/>
      <c r="D189" s="108"/>
      <c r="E189" s="70" t="str">
        <f>IF($A189=0,"",VLOOKUP($A189,'BASE M-OBRA'!$A:$D,4))</f>
        <v/>
      </c>
      <c r="F189" s="55" t="str">
        <f t="shared" si="17"/>
        <v/>
      </c>
      <c r="G189" s="106"/>
      <c r="H189" s="56" t="str">
        <f t="shared" si="18"/>
        <v/>
      </c>
      <c r="I189" s="2"/>
    </row>
    <row r="190" spans="2:9" x14ac:dyDescent="0.25">
      <c r="B190" s="71" t="str">
        <f>IF($A190=0,"",VLOOKUP($A190,'BASE M-OBRA'!$A:$D,2))</f>
        <v/>
      </c>
      <c r="C190" s="2"/>
      <c r="D190" s="108"/>
      <c r="E190" s="70" t="str">
        <f>IF($A190=0,"",VLOOKUP($A190,'BASE M-OBRA'!$A:$D,4))</f>
        <v/>
      </c>
      <c r="F190" s="55" t="str">
        <f t="shared" si="17"/>
        <v/>
      </c>
      <c r="G190" s="106"/>
      <c r="H190" s="56" t="str">
        <f t="shared" si="18"/>
        <v/>
      </c>
      <c r="I190" s="2"/>
    </row>
    <row r="191" spans="2:9" x14ac:dyDescent="0.25">
      <c r="B191" s="72" t="str">
        <f>IF($A191=0,"",VLOOKUP($A191,'BASE M-OBRA'!$A:$D,2))</f>
        <v/>
      </c>
      <c r="C191" s="2"/>
      <c r="D191" s="108"/>
      <c r="E191" s="70" t="str">
        <f>IF($A191=0,"",VLOOKUP($A191,'BASE M-OBRA'!$A:$D,4))</f>
        <v/>
      </c>
      <c r="F191" s="55" t="str">
        <f t="shared" si="17"/>
        <v/>
      </c>
      <c r="G191" s="106"/>
      <c r="H191" s="56" t="str">
        <f t="shared" si="18"/>
        <v/>
      </c>
      <c r="I191" s="2"/>
    </row>
    <row r="192" spans="2:9" x14ac:dyDescent="0.25">
      <c r="B192" s="38" t="str">
        <f>IF($A192=0,"",VLOOKUP($A192,'BASE M-OBRA'!$A:$D,2))</f>
        <v/>
      </c>
      <c r="C192" s="2"/>
      <c r="D192" s="55"/>
      <c r="E192" s="55" t="str">
        <f>IF($A192=0,"",VLOOKUP($A192,'BASE M-OBRA'!$A:$D,4))</f>
        <v/>
      </c>
      <c r="F192" s="55" t="str">
        <f t="shared" si="17"/>
        <v/>
      </c>
      <c r="G192" s="106"/>
      <c r="H192" s="56" t="str">
        <f t="shared" si="18"/>
        <v/>
      </c>
      <c r="I192" s="2"/>
    </row>
    <row r="193" spans="1:16" x14ac:dyDescent="0.25">
      <c r="B193" s="57" t="str">
        <f>IF($A193=0,"",VLOOKUP($A193,'BASE M-OBRA'!$A:$D,2))</f>
        <v/>
      </c>
      <c r="C193" s="58"/>
      <c r="D193" s="59"/>
      <c r="E193" s="59" t="str">
        <f>IF($A193=0,"",VLOOKUP($A193,'BASE M-OBRA'!$A:$D,4))</f>
        <v/>
      </c>
      <c r="F193" s="59" t="str">
        <f t="shared" si="17"/>
        <v/>
      </c>
      <c r="G193" s="107"/>
      <c r="H193" s="60" t="str">
        <f t="shared" si="18"/>
        <v/>
      </c>
      <c r="I193" s="2"/>
    </row>
    <row r="194" spans="1:16" x14ac:dyDescent="0.25">
      <c r="B194" s="73" t="s">
        <v>1685</v>
      </c>
      <c r="C194" s="65"/>
      <c r="D194" s="74"/>
      <c r="E194" s="74"/>
      <c r="F194" s="74"/>
      <c r="G194" s="74"/>
      <c r="H194" s="75">
        <f>ROUND(SUM(H186:H193),2)</f>
        <v>0</v>
      </c>
      <c r="I194" s="2"/>
    </row>
    <row r="195" spans="1:16" x14ac:dyDescent="0.25">
      <c r="B195" s="38" t="s">
        <v>1684</v>
      </c>
      <c r="C195" s="2"/>
      <c r="D195" s="3"/>
      <c r="E195" s="3"/>
      <c r="F195" s="3"/>
      <c r="G195" s="3"/>
      <c r="H195" s="56"/>
      <c r="I195" s="2"/>
    </row>
    <row r="196" spans="1:16" ht="25.5" x14ac:dyDescent="0.25">
      <c r="B196" s="64" t="s">
        <v>1409</v>
      </c>
      <c r="C196" s="65"/>
      <c r="D196" s="76"/>
      <c r="E196" s="66" t="s">
        <v>1408</v>
      </c>
      <c r="F196" s="66" t="s">
        <v>1679</v>
      </c>
      <c r="G196" s="66" t="s">
        <v>1683</v>
      </c>
      <c r="H196" s="68" t="s">
        <v>1675</v>
      </c>
      <c r="I196" s="2"/>
    </row>
    <row r="197" spans="1:16" x14ac:dyDescent="0.25">
      <c r="A197" s="103">
        <v>1</v>
      </c>
      <c r="B197" s="102" t="s">
        <v>135</v>
      </c>
      <c r="C197" s="2"/>
      <c r="D197" s="77"/>
      <c r="E197" s="78" t="s">
        <v>1506</v>
      </c>
      <c r="F197" s="55">
        <v>1</v>
      </c>
      <c r="G197" s="55">
        <v>23</v>
      </c>
      <c r="H197" s="56">
        <f t="shared" ref="H197:H211" si="19">IF($A197=0,"",ROUND(F197*G197,2))</f>
        <v>23</v>
      </c>
      <c r="I197" s="2"/>
      <c r="J197" s="1">
        <v>10.9</v>
      </c>
      <c r="L197" s="2"/>
      <c r="M197" s="2"/>
      <c r="N197" s="39"/>
      <c r="O197" s="2"/>
      <c r="P197" s="2"/>
    </row>
    <row r="198" spans="1:16" x14ac:dyDescent="0.25">
      <c r="B198" s="102"/>
      <c r="C198" s="2"/>
      <c r="D198" s="77"/>
      <c r="E198" s="78" t="str">
        <f>IF($A198=0,"",VLOOKUP($A198,'BASE MATERIAL'!$A:$D,3))</f>
        <v/>
      </c>
      <c r="F198" s="55"/>
      <c r="G198" s="55" t="str">
        <f>IF($A198=0,"",VLOOKUP($A198,'BASE MATERIAL'!$A:$D,4))</f>
        <v/>
      </c>
      <c r="H198" s="56" t="str">
        <f t="shared" si="19"/>
        <v/>
      </c>
      <c r="I198" s="2"/>
      <c r="L198" s="2"/>
      <c r="M198" s="2"/>
      <c r="N198" s="39"/>
      <c r="O198" s="2"/>
      <c r="P198" s="2"/>
    </row>
    <row r="199" spans="1:16" x14ac:dyDescent="0.25">
      <c r="B199" s="38" t="str">
        <f>IF($A199=0,"",VLOOKUP($A199,'BASE MATERIAL'!$A:$D,2))</f>
        <v/>
      </c>
      <c r="C199" s="2"/>
      <c r="D199" s="77"/>
      <c r="E199" s="78" t="str">
        <f>IF($A199=0,"",VLOOKUP($A199,'BASE MATERIAL'!$A:$D,3))</f>
        <v/>
      </c>
      <c r="F199" s="55"/>
      <c r="G199" s="55" t="str">
        <f>IF($A199=0,"",VLOOKUP($A199,'BASE MATERIAL'!$A:$D,4))</f>
        <v/>
      </c>
      <c r="H199" s="56" t="str">
        <f t="shared" si="19"/>
        <v/>
      </c>
      <c r="I199" s="2"/>
      <c r="L199" s="2"/>
      <c r="M199" s="2"/>
      <c r="N199" s="39"/>
      <c r="O199" s="2"/>
      <c r="P199" s="2"/>
    </row>
    <row r="200" spans="1:16" x14ac:dyDescent="0.25">
      <c r="B200" s="38" t="str">
        <f>IF($A200=0,"",VLOOKUP($A200,'BASE MATERIAL'!$A:$D,2))</f>
        <v/>
      </c>
      <c r="C200" s="2"/>
      <c r="D200" s="77"/>
      <c r="E200" s="78" t="str">
        <f>IF($A200=0,"",VLOOKUP($A200,'BASE MATERIAL'!$A:$D,3))</f>
        <v/>
      </c>
      <c r="F200" s="55"/>
      <c r="G200" s="55" t="str">
        <f>IF($A200=0,"",VLOOKUP($A200,'BASE MATERIAL'!$A:$D,4))</f>
        <v/>
      </c>
      <c r="H200" s="56" t="str">
        <f t="shared" si="19"/>
        <v/>
      </c>
      <c r="I200" s="2"/>
      <c r="L200" s="2"/>
      <c r="M200" s="2"/>
      <c r="N200" s="39"/>
      <c r="O200" s="2"/>
      <c r="P200" s="2"/>
    </row>
    <row r="201" spans="1:16" x14ac:dyDescent="0.25">
      <c r="B201" s="38" t="str">
        <f>IF($A201=0,"",VLOOKUP($A201,'BASE MATERIAL'!$A:$D,2))</f>
        <v/>
      </c>
      <c r="C201" s="2"/>
      <c r="D201" s="77"/>
      <c r="E201" s="78" t="str">
        <f>IF($A201=0,"",VLOOKUP($A201,'BASE MATERIAL'!$A:$D,3))</f>
        <v/>
      </c>
      <c r="F201" s="55"/>
      <c r="G201" s="55" t="str">
        <f>IF($A201=0,"",VLOOKUP($A201,'BASE MATERIAL'!$A:$D,4))</f>
        <v/>
      </c>
      <c r="H201" s="56" t="str">
        <f t="shared" si="19"/>
        <v/>
      </c>
      <c r="I201" s="2"/>
      <c r="L201" s="2"/>
      <c r="M201" s="2"/>
      <c r="N201" s="39"/>
      <c r="O201" s="2"/>
      <c r="P201" s="2"/>
    </row>
    <row r="202" spans="1:16" x14ac:dyDescent="0.25">
      <c r="B202" s="38" t="str">
        <f>IF($A202=0,"",VLOOKUP($A202,'BASE MATERIAL'!$A:$D,2))</f>
        <v/>
      </c>
      <c r="C202" s="2"/>
      <c r="D202" s="77"/>
      <c r="E202" s="78" t="str">
        <f>IF($A202=0,"",VLOOKUP($A202,'BASE MATERIAL'!$A:$D,3))</f>
        <v/>
      </c>
      <c r="F202" s="55"/>
      <c r="G202" s="55" t="str">
        <f>IF($A202=0,"",VLOOKUP($A202,'BASE MATERIAL'!$A:$D,4))</f>
        <v/>
      </c>
      <c r="H202" s="56" t="str">
        <f t="shared" si="19"/>
        <v/>
      </c>
      <c r="I202" s="2"/>
      <c r="L202" s="2"/>
      <c r="M202" s="2"/>
      <c r="N202" s="39"/>
      <c r="O202" s="2"/>
      <c r="P202" s="2"/>
    </row>
    <row r="203" spans="1:16" x14ac:dyDescent="0.25">
      <c r="B203" s="38" t="str">
        <f>IF($A203=0,"",VLOOKUP($A203,'BASE MATERIAL'!$A:$D,2))</f>
        <v/>
      </c>
      <c r="C203" s="2"/>
      <c r="D203" s="77"/>
      <c r="E203" s="78" t="str">
        <f>IF($A203=0,"",VLOOKUP($A203,'BASE MATERIAL'!$A:$D,3))</f>
        <v/>
      </c>
      <c r="F203" s="55"/>
      <c r="G203" s="55" t="str">
        <f>IF($A203=0,"",VLOOKUP($A203,'BASE MATERIAL'!$A:$D,4))</f>
        <v/>
      </c>
      <c r="H203" s="56" t="str">
        <f t="shared" si="19"/>
        <v/>
      </c>
      <c r="I203" s="2"/>
      <c r="L203" s="2"/>
      <c r="M203" s="2"/>
      <c r="N203" s="39"/>
      <c r="O203" s="2"/>
      <c r="P203" s="2"/>
    </row>
    <row r="204" spans="1:16" x14ac:dyDescent="0.25">
      <c r="B204" s="38" t="str">
        <f>IF($A204=0,"",VLOOKUP($A204,'BASE MATERIAL'!$A:$D,2))</f>
        <v/>
      </c>
      <c r="C204" s="2"/>
      <c r="D204" s="77"/>
      <c r="E204" s="78" t="str">
        <f>IF($A204=0,"",VLOOKUP($A204,'BASE MATERIAL'!$A:$D,3))</f>
        <v/>
      </c>
      <c r="F204" s="55"/>
      <c r="G204" s="55" t="str">
        <f>IF($A204=0,"",VLOOKUP($A204,'BASE MATERIAL'!$A:$D,4))</f>
        <v/>
      </c>
      <c r="H204" s="56" t="str">
        <f t="shared" si="19"/>
        <v/>
      </c>
      <c r="I204" s="2"/>
      <c r="L204" s="2"/>
      <c r="M204" s="2"/>
      <c r="N204" s="39"/>
      <c r="O204" s="2"/>
      <c r="P204" s="2"/>
    </row>
    <row r="205" spans="1:16" x14ac:dyDescent="0.25">
      <c r="B205" s="38" t="str">
        <f>IF($A205=0,"",VLOOKUP($A205,'BASE MATERIAL'!$A:$D,2))</f>
        <v/>
      </c>
      <c r="C205" s="2"/>
      <c r="D205" s="77"/>
      <c r="E205" s="78" t="str">
        <f>IF($A205=0,"",VLOOKUP($A205,'BASE MATERIAL'!$A:$D,3))</f>
        <v/>
      </c>
      <c r="F205" s="55"/>
      <c r="G205" s="55" t="str">
        <f>IF($A205=0,"",VLOOKUP($A205,'BASE MATERIAL'!$A:$D,4))</f>
        <v/>
      </c>
      <c r="H205" s="56" t="str">
        <f t="shared" si="19"/>
        <v/>
      </c>
      <c r="I205" s="2"/>
    </row>
    <row r="206" spans="1:16" x14ac:dyDescent="0.25">
      <c r="B206" s="38" t="str">
        <f>IF($A206=0,"",VLOOKUP($A206,'BASE MATERIAL'!$A:$D,2))</f>
        <v/>
      </c>
      <c r="C206" s="2"/>
      <c r="D206" s="77"/>
      <c r="E206" s="78" t="str">
        <f>IF($A206=0,"",VLOOKUP($A206,'BASE MATERIAL'!$A:$D,3))</f>
        <v/>
      </c>
      <c r="F206" s="55"/>
      <c r="G206" s="55" t="str">
        <f>IF($A206=0,"",VLOOKUP($A206,'BASE MATERIAL'!$A:$D,4))</f>
        <v/>
      </c>
      <c r="H206" s="56" t="str">
        <f t="shared" si="19"/>
        <v/>
      </c>
      <c r="I206" s="2"/>
      <c r="L206" s="2"/>
      <c r="M206" s="2"/>
      <c r="N206" s="39"/>
      <c r="O206" s="2"/>
      <c r="P206" s="2"/>
    </row>
    <row r="207" spans="1:16" x14ac:dyDescent="0.25">
      <c r="B207" s="38" t="str">
        <f>IF($A207=0,"",VLOOKUP($A207,'BASE MATERIAL'!$A:$D,2))</f>
        <v/>
      </c>
      <c r="C207" s="2"/>
      <c r="D207" s="77"/>
      <c r="E207" s="78" t="str">
        <f>IF($A207=0,"",VLOOKUP($A207,'BASE MATERIAL'!$A:$D,3))</f>
        <v/>
      </c>
      <c r="F207" s="55"/>
      <c r="G207" s="55" t="str">
        <f>IF($A207=0,"",VLOOKUP($A207,'BASE MATERIAL'!$A:$D,4))</f>
        <v/>
      </c>
      <c r="H207" s="56" t="str">
        <f t="shared" si="19"/>
        <v/>
      </c>
      <c r="I207" s="2"/>
      <c r="L207" s="2"/>
      <c r="M207" s="2"/>
      <c r="N207" s="39"/>
      <c r="O207" s="2"/>
      <c r="P207" s="2"/>
    </row>
    <row r="208" spans="1:16" x14ac:dyDescent="0.25">
      <c r="B208" s="38" t="str">
        <f>IF($A208=0,"",VLOOKUP($A208,'BASE MATERIAL'!$A:$D,2))</f>
        <v/>
      </c>
      <c r="C208" s="2"/>
      <c r="D208" s="77"/>
      <c r="E208" s="78" t="str">
        <f>IF($A208=0,"",VLOOKUP($A208,'BASE MATERIAL'!$A:$D,3))</f>
        <v/>
      </c>
      <c r="F208" s="55"/>
      <c r="G208" s="55" t="str">
        <f>IF($A208=0,"",VLOOKUP($A208,'BASE MATERIAL'!$A:$D,4))</f>
        <v/>
      </c>
      <c r="H208" s="56" t="str">
        <f t="shared" si="19"/>
        <v/>
      </c>
      <c r="I208" s="2"/>
    </row>
    <row r="209" spans="1:9" x14ac:dyDescent="0.25">
      <c r="B209" s="38" t="str">
        <f>IF($A209=0,"",VLOOKUP($A209,'BASE MATERIAL'!$A:$D,2))</f>
        <v/>
      </c>
      <c r="C209" s="2"/>
      <c r="D209" s="77"/>
      <c r="E209" s="78" t="str">
        <f>IF($A209=0,"",VLOOKUP($A209,'BASE MATERIAL'!$A:$D,3))</f>
        <v/>
      </c>
      <c r="F209" s="55"/>
      <c r="G209" s="55" t="str">
        <f>IF($A209=0,"",VLOOKUP($A209,'BASE MATERIAL'!$A:$D,4))</f>
        <v/>
      </c>
      <c r="H209" s="56" t="str">
        <f t="shared" si="19"/>
        <v/>
      </c>
      <c r="I209" s="2"/>
    </row>
    <row r="210" spans="1:9" x14ac:dyDescent="0.25">
      <c r="B210" s="38" t="str">
        <f>IF($A210=0,"",VLOOKUP($A210,'BASE MATERIAL'!$A:$D,2))</f>
        <v/>
      </c>
      <c r="C210" s="2"/>
      <c r="D210" s="77"/>
      <c r="E210" s="78" t="str">
        <f>IF($A210=0,"",VLOOKUP($A210,'BASE MATERIAL'!$A:$D,3))</f>
        <v/>
      </c>
      <c r="F210" s="55"/>
      <c r="G210" s="55" t="str">
        <f>IF($A210=0,"",VLOOKUP($A210,'BASE MATERIAL'!$A:$D,4))</f>
        <v/>
      </c>
      <c r="H210" s="56" t="str">
        <f t="shared" si="19"/>
        <v/>
      </c>
      <c r="I210" s="2"/>
    </row>
    <row r="211" spans="1:9" x14ac:dyDescent="0.25">
      <c r="B211" s="38" t="str">
        <f>IF($A211=0,"",VLOOKUP($A211,'BASE MATERIAL'!$A:$D,2))</f>
        <v/>
      </c>
      <c r="C211" s="2"/>
      <c r="D211" s="77"/>
      <c r="E211" s="78" t="str">
        <f>IF($A211=0,"",VLOOKUP($A211,'BASE MATERIAL'!$A:$D,3))</f>
        <v/>
      </c>
      <c r="F211" s="55"/>
      <c r="G211" s="55" t="str">
        <f>IF($A211=0,"",VLOOKUP($A211,'BASE MATERIAL'!$A:$D,4))</f>
        <v/>
      </c>
      <c r="H211" s="56" t="str">
        <f t="shared" si="19"/>
        <v/>
      </c>
      <c r="I211" s="2"/>
    </row>
    <row r="212" spans="1:9" x14ac:dyDescent="0.25">
      <c r="B212" s="38" t="str">
        <f>IF($A212=0,"",VLOOKUP($A212,'BASE MATERIAL'!$A:$D,2))</f>
        <v/>
      </c>
      <c r="C212" s="2"/>
      <c r="D212" s="81" t="s">
        <v>1682</v>
      </c>
      <c r="E212" s="55" t="str">
        <f>IF($A212=0,"",VLOOKUP($A212,'BASE MATERIAL'!$A:$D,3))</f>
        <v/>
      </c>
      <c r="F212" s="55" t="s">
        <v>1682</v>
      </c>
      <c r="G212" s="55" t="str">
        <f>IF($A212=0,"",VLOOKUP($A212,'BASE MATERIAL'!$A:$D,4))</f>
        <v/>
      </c>
      <c r="H212" s="56" t="str">
        <f>IF($A212=0,"",ROUND(E212*F212,2))</f>
        <v/>
      </c>
      <c r="I212" s="2"/>
    </row>
    <row r="213" spans="1:9" x14ac:dyDescent="0.25">
      <c r="B213" s="73" t="s">
        <v>1681</v>
      </c>
      <c r="C213" s="65"/>
      <c r="D213" s="74"/>
      <c r="E213" s="74"/>
      <c r="F213" s="74"/>
      <c r="G213" s="74"/>
      <c r="H213" s="75">
        <f>ROUND(SUM(H196:H212),2)</f>
        <v>23</v>
      </c>
      <c r="I213" s="2"/>
    </row>
    <row r="214" spans="1:9" x14ac:dyDescent="0.25">
      <c r="B214" s="38" t="s">
        <v>1680</v>
      </c>
      <c r="C214" s="2"/>
      <c r="D214" s="3"/>
      <c r="E214" s="3"/>
      <c r="F214" s="3"/>
      <c r="G214" s="3"/>
      <c r="H214" s="56"/>
      <c r="I214" s="2"/>
    </row>
    <row r="215" spans="1:9" ht="25.5" x14ac:dyDescent="0.25">
      <c r="B215" s="64" t="s">
        <v>1409</v>
      </c>
      <c r="C215" s="65"/>
      <c r="D215" s="76"/>
      <c r="E215" s="66" t="s">
        <v>1408</v>
      </c>
      <c r="F215" s="66" t="s">
        <v>1679</v>
      </c>
      <c r="G215" s="66" t="s">
        <v>1676</v>
      </c>
      <c r="H215" s="68" t="s">
        <v>1675</v>
      </c>
      <c r="I215" s="2"/>
    </row>
    <row r="216" spans="1:9" x14ac:dyDescent="0.25">
      <c r="A216" s="103">
        <v>19019</v>
      </c>
      <c r="B216" s="51" t="str">
        <f>IF($A216=0,"",VLOOKUP($A216,'BASE EQUIPO'!$A:$D,2))</f>
        <v>TRANSPORTE DE MATERIAL</v>
      </c>
      <c r="C216" s="52"/>
      <c r="D216" s="82"/>
      <c r="E216" s="78" t="str">
        <f>IF($A216=0,"",VLOOKUP($A216,'BASE EQUIPO'!$A:$D,3))</f>
        <v>GLOBAL</v>
      </c>
      <c r="F216" s="55">
        <v>1</v>
      </c>
      <c r="G216" s="83">
        <f>IF($A216=0,"",VLOOKUP($A216,'BASE EQUIPO'!$A:$D,4)*H213)</f>
        <v>0.69</v>
      </c>
      <c r="H216" s="56">
        <f>IF($A216=0,"",ROUND(F216*G216,2))</f>
        <v>0.69</v>
      </c>
      <c r="I216" s="2"/>
    </row>
    <row r="217" spans="1:9" x14ac:dyDescent="0.25">
      <c r="B217" s="38" t="str">
        <f>IF($A217=0,"",VLOOKUP($A217,'BASE EQUIPO'!$A:$D,2))</f>
        <v/>
      </c>
      <c r="C217" s="2"/>
      <c r="D217" s="84"/>
      <c r="E217" s="78" t="str">
        <f>IF($A217=0,"",VLOOKUP($A217,'BASE EQUIPO'!$A:$D,3))</f>
        <v/>
      </c>
      <c r="F217" s="55"/>
      <c r="G217" s="55" t="str">
        <f>IF($A217=0,"",VLOOKUP($A217,'BASE EQUIPO'!$A:$D,4)*H214)</f>
        <v/>
      </c>
      <c r="H217" s="56" t="str">
        <f>IF($A217=0,"",ROUND(F217*G217,2))</f>
        <v/>
      </c>
      <c r="I217" s="2"/>
    </row>
    <row r="218" spans="1:9" x14ac:dyDescent="0.25">
      <c r="B218" s="57" t="str">
        <f>IF($A218=0,"",VLOOKUP($A218,'BASE EQUIPO'!$A:$D,2))</f>
        <v/>
      </c>
      <c r="C218" s="58"/>
      <c r="D218" s="85"/>
      <c r="E218" s="86" t="str">
        <f>IF($A218=0,"",VLOOKUP($A218,'BASE EQUIPO'!$A:$D,3))</f>
        <v/>
      </c>
      <c r="F218" s="59"/>
      <c r="G218" s="59" t="str">
        <f>IF($A218=0,"",VLOOKUP($A218,'BASE EQUIPO'!$A:$D,4)*H215)</f>
        <v/>
      </c>
      <c r="H218" s="60" t="str">
        <f>IF($A218=0,"",ROUND(F218*G218,2))</f>
        <v/>
      </c>
      <c r="I218" s="2"/>
    </row>
    <row r="219" spans="1:9" ht="15.75" thickBot="1" x14ac:dyDescent="0.3">
      <c r="B219" s="87" t="s">
        <v>1674</v>
      </c>
      <c r="C219" s="88"/>
      <c r="D219" s="89"/>
      <c r="E219" s="89"/>
      <c r="F219" s="89"/>
      <c r="G219" s="89"/>
      <c r="H219" s="90">
        <f>ROUND(SUM(H215:H218),2)</f>
        <v>0.69</v>
      </c>
      <c r="I219" s="2"/>
    </row>
    <row r="220" spans="1:9" ht="15.75" x14ac:dyDescent="0.25">
      <c r="B220" s="2"/>
      <c r="C220" s="2"/>
      <c r="D220" s="91" t="s">
        <v>1673</v>
      </c>
      <c r="E220" s="47"/>
      <c r="F220" s="47"/>
      <c r="G220" s="47"/>
      <c r="H220" s="92">
        <f>ROUND(SUM(H219,H213,H194,H184),2)</f>
        <v>23.69</v>
      </c>
      <c r="I220" s="2"/>
    </row>
    <row r="221" spans="1:9" ht="15.75" x14ac:dyDescent="0.25">
      <c r="A221" s="103">
        <v>40002</v>
      </c>
      <c r="B221" s="2"/>
      <c r="C221" s="2"/>
      <c r="D221" s="93" t="s">
        <v>1672</v>
      </c>
      <c r="E221" s="65"/>
      <c r="F221" s="65"/>
      <c r="G221" s="94">
        <f>IF($A221=0,"",VLOOKUP($A221,'BASE MATERIAL'!$M:$P,4))</f>
        <v>0</v>
      </c>
      <c r="H221" s="95">
        <f>IF($A221=0,"",ROUND(G221*H220,2))</f>
        <v>0</v>
      </c>
      <c r="I221" s="2"/>
    </row>
    <row r="222" spans="1:9" ht="15.75" x14ac:dyDescent="0.25">
      <c r="A222" s="103">
        <v>40003</v>
      </c>
      <c r="B222" s="2"/>
      <c r="C222" s="2"/>
      <c r="D222" s="93" t="s">
        <v>1671</v>
      </c>
      <c r="E222" s="65"/>
      <c r="F222" s="65"/>
      <c r="G222" s="94">
        <f>IF($A222=0,"",VLOOKUP($A222,'BASE MATERIAL'!$M:$P,4))</f>
        <v>0</v>
      </c>
      <c r="H222" s="95">
        <f>IF($A222=0,"",ROUND(G222*H220,2))</f>
        <v>0</v>
      </c>
      <c r="I222" s="2"/>
    </row>
    <row r="223" spans="1:9" ht="15.75" x14ac:dyDescent="0.25">
      <c r="B223" s="2"/>
      <c r="C223" s="2"/>
      <c r="D223" s="93" t="s">
        <v>1670</v>
      </c>
      <c r="E223" s="65"/>
      <c r="F223" s="65"/>
      <c r="G223" s="65"/>
      <c r="H223" s="96">
        <f>ROUND(SUM(H220:H222),2)</f>
        <v>23.69</v>
      </c>
      <c r="I223" s="2"/>
    </row>
    <row r="224" spans="1:9" ht="16.5" thickBot="1" x14ac:dyDescent="0.3">
      <c r="B224" s="25"/>
      <c r="C224" s="2"/>
      <c r="D224" s="97" t="s">
        <v>1650</v>
      </c>
      <c r="E224" s="88"/>
      <c r="F224" s="88"/>
      <c r="G224" s="88"/>
      <c r="H224" s="98">
        <f>ROUND(H223,2)</f>
        <v>23.69</v>
      </c>
      <c r="I224" s="2"/>
    </row>
    <row r="225" spans="1:15" ht="15.75" x14ac:dyDescent="0.25">
      <c r="B225" s="34" t="s">
        <v>1701</v>
      </c>
      <c r="C225" s="2"/>
      <c r="D225" s="3" t="str">
        <f>$D$1</f>
        <v>ESPOL</v>
      </c>
      <c r="E225" s="2"/>
      <c r="F225" s="2"/>
      <c r="H225" s="2" t="s">
        <v>108</v>
      </c>
      <c r="I225" s="2"/>
      <c r="L225" s="40">
        <f>A229</f>
        <v>2</v>
      </c>
      <c r="M225" s="1" t="str">
        <f>C230</f>
        <v>Difusor de aire 14x14"</v>
      </c>
      <c r="N225" s="2" t="str">
        <f>H229</f>
        <v>u</v>
      </c>
      <c r="O225" s="2">
        <f>H280</f>
        <v>27.96</v>
      </c>
    </row>
    <row r="226" spans="1:15" ht="15.75" x14ac:dyDescent="0.25">
      <c r="B226" s="34" t="s">
        <v>1700</v>
      </c>
      <c r="C226" s="3">
        <f>'1.1'!$C$2</f>
        <v>0</v>
      </c>
      <c r="D226" s="2"/>
      <c r="E226" s="2"/>
      <c r="F226" s="2"/>
      <c r="G226" s="41" t="s">
        <v>1699</v>
      </c>
      <c r="H226" s="42"/>
      <c r="I226" s="2" t="s">
        <v>1698</v>
      </c>
    </row>
    <row r="227" spans="1:15" ht="15.75" x14ac:dyDescent="0.25">
      <c r="B227" s="34"/>
      <c r="C227" s="3">
        <f>'1.1'!$C$3</f>
        <v>0</v>
      </c>
      <c r="D227" s="2"/>
      <c r="E227" s="2"/>
      <c r="F227" s="2"/>
      <c r="G227" s="2"/>
      <c r="H227" s="2"/>
      <c r="I227" s="2"/>
    </row>
    <row r="228" spans="1:15" ht="15.75" x14ac:dyDescent="0.25">
      <c r="B228" s="34" t="s">
        <v>1697</v>
      </c>
      <c r="C228" s="3"/>
      <c r="D228" s="2"/>
      <c r="E228" s="2"/>
      <c r="F228" s="2"/>
      <c r="G228" s="2"/>
      <c r="H228" s="2"/>
      <c r="I228" s="2"/>
    </row>
    <row r="229" spans="1:15" x14ac:dyDescent="0.25">
      <c r="A229" s="104">
        <v>2</v>
      </c>
      <c r="B229" s="2" t="s">
        <v>1586</v>
      </c>
      <c r="C229" s="101" t="s">
        <v>1324</v>
      </c>
      <c r="D229" s="2"/>
      <c r="G229" s="2" t="s">
        <v>1696</v>
      </c>
      <c r="H229" s="3" t="s">
        <v>1506</v>
      </c>
      <c r="I229" s="2"/>
    </row>
    <row r="230" spans="1:15" x14ac:dyDescent="0.25">
      <c r="B230" s="1" t="s">
        <v>1585</v>
      </c>
      <c r="C230" s="36" t="s">
        <v>136</v>
      </c>
      <c r="D230" s="2"/>
      <c r="E230" s="2"/>
      <c r="F230" s="2"/>
      <c r="G230" s="2"/>
      <c r="H230" s="2"/>
      <c r="I230" s="2"/>
    </row>
    <row r="231" spans="1:15" ht="15.75" thickBot="1" x14ac:dyDescent="0.3">
      <c r="D231" s="2"/>
      <c r="E231" s="2"/>
      <c r="F231" s="2"/>
      <c r="G231" s="2"/>
      <c r="H231" s="2"/>
      <c r="I231" s="2"/>
    </row>
    <row r="232" spans="1:15" ht="15.75" thickBot="1" x14ac:dyDescent="0.3">
      <c r="B232" s="43" t="s">
        <v>1695</v>
      </c>
      <c r="C232" s="44"/>
      <c r="D232" s="44"/>
      <c r="E232" s="44"/>
      <c r="F232" s="44"/>
      <c r="G232" s="44"/>
      <c r="H232" s="45"/>
      <c r="I232" s="2"/>
    </row>
    <row r="233" spans="1:15" ht="25.5" x14ac:dyDescent="0.25">
      <c r="B233" s="46" t="s">
        <v>1409</v>
      </c>
      <c r="C233" s="47"/>
      <c r="D233" s="48" t="s">
        <v>1690</v>
      </c>
      <c r="E233" s="48" t="s">
        <v>1694</v>
      </c>
      <c r="F233" s="48" t="s">
        <v>1693</v>
      </c>
      <c r="G233" s="49" t="s">
        <v>1687</v>
      </c>
      <c r="H233" s="50" t="s">
        <v>1686</v>
      </c>
      <c r="I233" s="2"/>
    </row>
    <row r="234" spans="1:15" x14ac:dyDescent="0.25">
      <c r="B234" s="51" t="str">
        <f>IF($A234=0,"",VLOOKUP($A234,'BASE EQUIPO'!$A:$D,2))</f>
        <v/>
      </c>
      <c r="C234" s="52"/>
      <c r="D234" s="53"/>
      <c r="E234" s="53" t="str">
        <f>IF($A234=0,"",VLOOKUP($A234,'BASE EQUIPO'!$A:$D,4)*H250)</f>
        <v/>
      </c>
      <c r="F234" s="53" t="str">
        <f t="shared" ref="F234:F239" si="20">IF($A234=0,"",ROUND(D234*E234,2))</f>
        <v/>
      </c>
      <c r="G234" s="105"/>
      <c r="H234" s="54" t="str">
        <f t="shared" ref="H234:H239" si="21">IF($A234=0,"",ROUND(G234*F234,2))</f>
        <v/>
      </c>
      <c r="I234" s="2"/>
    </row>
    <row r="235" spans="1:15" x14ac:dyDescent="0.25">
      <c r="B235" s="38" t="str">
        <f>IF($A235=0,"",VLOOKUP($A235,'BASE EQUIPO'!$A:$D,2))</f>
        <v/>
      </c>
      <c r="C235" s="2"/>
      <c r="D235" s="55"/>
      <c r="E235" s="55" t="str">
        <f>IF($A235=0,"",VLOOKUP($A235,'BASE EQUIPO'!$A:$D,4))</f>
        <v/>
      </c>
      <c r="F235" s="55" t="str">
        <f t="shared" si="20"/>
        <v/>
      </c>
      <c r="G235" s="106"/>
      <c r="H235" s="56" t="str">
        <f t="shared" si="21"/>
        <v/>
      </c>
      <c r="I235" s="2"/>
    </row>
    <row r="236" spans="1:15" x14ac:dyDescent="0.25">
      <c r="B236" s="38" t="str">
        <f>IF($A236=0,"",VLOOKUP($A236,'BASE EQUIPO'!$A:$D,2))</f>
        <v/>
      </c>
      <c r="C236" s="2"/>
      <c r="D236" s="55"/>
      <c r="E236" s="55" t="str">
        <f>IF($A236=0,"",VLOOKUP($A236,'BASE EQUIPO'!$A:$D,4))</f>
        <v/>
      </c>
      <c r="F236" s="55" t="str">
        <f t="shared" si="20"/>
        <v/>
      </c>
      <c r="G236" s="106"/>
      <c r="H236" s="56" t="str">
        <f t="shared" si="21"/>
        <v/>
      </c>
      <c r="I236" s="2"/>
    </row>
    <row r="237" spans="1:15" x14ac:dyDescent="0.25">
      <c r="B237" s="38" t="str">
        <f>IF($A237=0,"",VLOOKUP($A237,'BASE EQUIPO'!$A:$D,2))</f>
        <v/>
      </c>
      <c r="C237" s="2"/>
      <c r="D237" s="55"/>
      <c r="E237" s="55" t="str">
        <f>IF($A237=0,"",VLOOKUP($A237,'BASE EQUIPO'!$A:$D,4))</f>
        <v/>
      </c>
      <c r="F237" s="55" t="str">
        <f t="shared" si="20"/>
        <v/>
      </c>
      <c r="G237" s="106"/>
      <c r="H237" s="56" t="str">
        <f t="shared" si="21"/>
        <v/>
      </c>
      <c r="I237" s="2"/>
    </row>
    <row r="238" spans="1:15" x14ac:dyDescent="0.25">
      <c r="B238" s="38" t="str">
        <f>IF($A238=0,"",VLOOKUP($A238,'BASE EQUIPO'!$A:$D,2))</f>
        <v/>
      </c>
      <c r="C238" s="2"/>
      <c r="D238" s="55"/>
      <c r="E238" s="55" t="str">
        <f>IF($A238=0,"",VLOOKUP($A238,'BASE EQUIPO'!$A:$D,4))</f>
        <v/>
      </c>
      <c r="F238" s="55" t="str">
        <f t="shared" si="20"/>
        <v/>
      </c>
      <c r="G238" s="106"/>
      <c r="H238" s="56" t="str">
        <f t="shared" si="21"/>
        <v/>
      </c>
      <c r="I238" s="2"/>
    </row>
    <row r="239" spans="1:15" x14ac:dyDescent="0.25">
      <c r="B239" s="57" t="str">
        <f>IF($A239=0,"",VLOOKUP($A239,'BASE EQUIPO'!$A:$D,2))</f>
        <v/>
      </c>
      <c r="C239" s="58"/>
      <c r="D239" s="59"/>
      <c r="E239" s="59" t="str">
        <f>IF($A239=0,"",VLOOKUP($A239,'BASE EQUIPO'!$A:$D,4))</f>
        <v/>
      </c>
      <c r="F239" s="59" t="str">
        <f t="shared" si="20"/>
        <v/>
      </c>
      <c r="G239" s="107"/>
      <c r="H239" s="60" t="str">
        <f t="shared" si="21"/>
        <v/>
      </c>
      <c r="I239" s="2"/>
    </row>
    <row r="240" spans="1:15" x14ac:dyDescent="0.25">
      <c r="B240" s="57" t="s">
        <v>1692</v>
      </c>
      <c r="C240" s="58"/>
      <c r="D240" s="61"/>
      <c r="E240" s="61"/>
      <c r="F240" s="61"/>
      <c r="G240" s="62"/>
      <c r="H240" s="60">
        <f>ROUND(SUM(H233:H239),2)</f>
        <v>0</v>
      </c>
      <c r="I240" s="2"/>
    </row>
    <row r="241" spans="1:16" x14ac:dyDescent="0.25">
      <c r="B241" s="38" t="s">
        <v>1503</v>
      </c>
      <c r="C241" s="2"/>
      <c r="D241" s="3"/>
      <c r="E241" s="3"/>
      <c r="F241" s="3"/>
      <c r="G241" s="63"/>
      <c r="H241" s="56"/>
      <c r="I241" s="2"/>
    </row>
    <row r="242" spans="1:16" ht="25.5" x14ac:dyDescent="0.25">
      <c r="B242" s="64" t="s">
        <v>1691</v>
      </c>
      <c r="C242" s="65"/>
      <c r="D242" s="66" t="s">
        <v>1690</v>
      </c>
      <c r="E242" s="66" t="s">
        <v>1689</v>
      </c>
      <c r="F242" s="66" t="s">
        <v>1688</v>
      </c>
      <c r="G242" s="67" t="s">
        <v>1687</v>
      </c>
      <c r="H242" s="68" t="s">
        <v>1686</v>
      </c>
      <c r="I242" s="2"/>
    </row>
    <row r="243" spans="1:16" x14ac:dyDescent="0.25">
      <c r="B243" s="69" t="str">
        <f>IF($A243=0,"",VLOOKUP($A243,'BASE M-OBRA'!$A:$D,2))</f>
        <v/>
      </c>
      <c r="C243" s="2"/>
      <c r="D243" s="108"/>
      <c r="E243" s="70" t="str">
        <f>IF($A243=0,"",VLOOKUP($A243,'BASE M-OBRA'!$A:$D,4))</f>
        <v/>
      </c>
      <c r="F243" s="55" t="str">
        <f t="shared" ref="F243:F249" si="22">IF($A243=0,"",ROUND(D243*E243,2))</f>
        <v/>
      </c>
      <c r="G243" s="106" t="str">
        <f>IF($A243=0,"",ROUND(H243/F243,2))</f>
        <v/>
      </c>
      <c r="H243" s="56" t="str">
        <f>IF($A243=0,"",ROUND(SUM(H244:H249)*'BASE M-OBRA'!$D$23,2))</f>
        <v/>
      </c>
      <c r="I243" s="2"/>
    </row>
    <row r="244" spans="1:16" x14ac:dyDescent="0.25">
      <c r="B244" s="69" t="str">
        <f>IF($A244=0,"",VLOOKUP($A244,'BASE M-OBRA'!$A:$D,2))</f>
        <v/>
      </c>
      <c r="C244" s="2"/>
      <c r="D244" s="108"/>
      <c r="E244" s="70" t="str">
        <f>IF($A244=0,"",VLOOKUP($A244,'BASE M-OBRA'!$A:$D,4))</f>
        <v/>
      </c>
      <c r="F244" s="55" t="str">
        <f t="shared" si="22"/>
        <v/>
      </c>
      <c r="G244" s="106"/>
      <c r="H244" s="56" t="str">
        <f t="shared" ref="H244:H249" si="23">IF($A244=0,"",ROUND(G244*F244,2))</f>
        <v/>
      </c>
      <c r="I244" s="2"/>
    </row>
    <row r="245" spans="1:16" x14ac:dyDescent="0.25">
      <c r="B245" s="69" t="str">
        <f>IF($A245=0,"",VLOOKUP($A245,'BASE M-OBRA'!$A:$D,2))</f>
        <v/>
      </c>
      <c r="C245" s="2"/>
      <c r="D245" s="108"/>
      <c r="E245" s="70" t="str">
        <f>IF($A245=0,"",VLOOKUP($A245,'BASE M-OBRA'!$A:$D,4))</f>
        <v/>
      </c>
      <c r="F245" s="55" t="str">
        <f t="shared" si="22"/>
        <v/>
      </c>
      <c r="G245" s="106"/>
      <c r="H245" s="56" t="str">
        <f t="shared" si="23"/>
        <v/>
      </c>
      <c r="I245" s="2"/>
    </row>
    <row r="246" spans="1:16" x14ac:dyDescent="0.25">
      <c r="B246" s="71" t="str">
        <f>IF($A246=0,"",VLOOKUP($A246,'BASE M-OBRA'!$A:$D,2))</f>
        <v/>
      </c>
      <c r="C246" s="2"/>
      <c r="D246" s="108"/>
      <c r="E246" s="70" t="str">
        <f>IF($A246=0,"",VLOOKUP($A246,'BASE M-OBRA'!$A:$D,4))</f>
        <v/>
      </c>
      <c r="F246" s="55" t="str">
        <f t="shared" si="22"/>
        <v/>
      </c>
      <c r="G246" s="106"/>
      <c r="H246" s="56" t="str">
        <f t="shared" si="23"/>
        <v/>
      </c>
      <c r="I246" s="2"/>
    </row>
    <row r="247" spans="1:16" x14ac:dyDescent="0.25">
      <c r="B247" s="72" t="str">
        <f>IF($A247=0,"",VLOOKUP($A247,'BASE M-OBRA'!$A:$D,2))</f>
        <v/>
      </c>
      <c r="C247" s="2"/>
      <c r="D247" s="108"/>
      <c r="E247" s="70" t="str">
        <f>IF($A247=0,"",VLOOKUP($A247,'BASE M-OBRA'!$A:$D,4))</f>
        <v/>
      </c>
      <c r="F247" s="55" t="str">
        <f t="shared" si="22"/>
        <v/>
      </c>
      <c r="G247" s="106"/>
      <c r="H247" s="56" t="str">
        <f t="shared" si="23"/>
        <v/>
      </c>
      <c r="I247" s="2"/>
    </row>
    <row r="248" spans="1:16" x14ac:dyDescent="0.25">
      <c r="B248" s="38" t="str">
        <f>IF($A248=0,"",VLOOKUP($A248,'BASE M-OBRA'!$A:$D,2))</f>
        <v/>
      </c>
      <c r="C248" s="2"/>
      <c r="D248" s="55"/>
      <c r="E248" s="55" t="str">
        <f>IF($A248=0,"",VLOOKUP($A248,'BASE M-OBRA'!$A:$D,4))</f>
        <v/>
      </c>
      <c r="F248" s="55" t="str">
        <f t="shared" si="22"/>
        <v/>
      </c>
      <c r="G248" s="106"/>
      <c r="H248" s="56" t="str">
        <f t="shared" si="23"/>
        <v/>
      </c>
      <c r="I248" s="2"/>
    </row>
    <row r="249" spans="1:16" x14ac:dyDescent="0.25">
      <c r="B249" s="57" t="str">
        <f>IF($A249=0,"",VLOOKUP($A249,'BASE M-OBRA'!$A:$D,2))</f>
        <v/>
      </c>
      <c r="C249" s="58"/>
      <c r="D249" s="59"/>
      <c r="E249" s="59" t="str">
        <f>IF($A249=0,"",VLOOKUP($A249,'BASE M-OBRA'!$A:$D,4))</f>
        <v/>
      </c>
      <c r="F249" s="59" t="str">
        <f t="shared" si="22"/>
        <v/>
      </c>
      <c r="G249" s="107"/>
      <c r="H249" s="60" t="str">
        <f t="shared" si="23"/>
        <v/>
      </c>
      <c r="I249" s="2"/>
    </row>
    <row r="250" spans="1:16" x14ac:dyDescent="0.25">
      <c r="B250" s="73" t="s">
        <v>1685</v>
      </c>
      <c r="C250" s="65"/>
      <c r="D250" s="74"/>
      <c r="E250" s="74"/>
      <c r="F250" s="74"/>
      <c r="G250" s="74"/>
      <c r="H250" s="75">
        <f>ROUND(SUM(H242:H249),2)</f>
        <v>0</v>
      </c>
      <c r="I250" s="2"/>
    </row>
    <row r="251" spans="1:16" x14ac:dyDescent="0.25">
      <c r="B251" s="38" t="s">
        <v>1684</v>
      </c>
      <c r="C251" s="2"/>
      <c r="D251" s="3"/>
      <c r="E251" s="3"/>
      <c r="F251" s="3"/>
      <c r="G251" s="3"/>
      <c r="H251" s="56"/>
      <c r="I251" s="2"/>
    </row>
    <row r="252" spans="1:16" ht="25.5" x14ac:dyDescent="0.25">
      <c r="B252" s="64" t="s">
        <v>1409</v>
      </c>
      <c r="C252" s="65"/>
      <c r="D252" s="76"/>
      <c r="E252" s="66" t="s">
        <v>1408</v>
      </c>
      <c r="F252" s="66" t="s">
        <v>1679</v>
      </c>
      <c r="G252" s="66" t="s">
        <v>1683</v>
      </c>
      <c r="H252" s="68" t="s">
        <v>1675</v>
      </c>
      <c r="I252" s="2"/>
    </row>
    <row r="253" spans="1:16" x14ac:dyDescent="0.25">
      <c r="A253" s="103">
        <v>1</v>
      </c>
      <c r="B253" s="102" t="s">
        <v>136</v>
      </c>
      <c r="C253" s="2"/>
      <c r="D253" s="77"/>
      <c r="E253" s="78" t="s">
        <v>1506</v>
      </c>
      <c r="F253" s="55">
        <v>1</v>
      </c>
      <c r="G253" s="55">
        <v>27.15</v>
      </c>
      <c r="H253" s="56">
        <f t="shared" ref="H253:H267" si="24">IF($A253=0,"",ROUND(F253*G253,2))</f>
        <v>27.15</v>
      </c>
      <c r="I253" s="2"/>
      <c r="J253" s="1">
        <v>10.9</v>
      </c>
      <c r="L253" s="2"/>
      <c r="M253" s="2"/>
      <c r="N253" s="39"/>
      <c r="O253" s="2"/>
      <c r="P253" s="2"/>
    </row>
    <row r="254" spans="1:16" x14ac:dyDescent="0.25">
      <c r="B254" s="102"/>
      <c r="C254" s="2"/>
      <c r="D254" s="77"/>
      <c r="E254" s="78" t="str">
        <f>IF($A254=0,"",VLOOKUP($A254,'BASE MATERIAL'!$A:$D,3))</f>
        <v/>
      </c>
      <c r="F254" s="55"/>
      <c r="G254" s="55" t="str">
        <f>IF($A254=0,"",VLOOKUP($A254,'BASE MATERIAL'!$A:$D,4))</f>
        <v/>
      </c>
      <c r="H254" s="56" t="str">
        <f t="shared" si="24"/>
        <v/>
      </c>
      <c r="I254" s="2"/>
      <c r="L254" s="2"/>
      <c r="M254" s="2"/>
      <c r="N254" s="39"/>
      <c r="O254" s="2"/>
      <c r="P254" s="2"/>
    </row>
    <row r="255" spans="1:16" x14ac:dyDescent="0.25">
      <c r="B255" s="38" t="str">
        <f>IF($A255=0,"",VLOOKUP($A255,'BASE MATERIAL'!$A:$D,2))</f>
        <v/>
      </c>
      <c r="C255" s="2"/>
      <c r="D255" s="77"/>
      <c r="E255" s="78" t="str">
        <f>IF($A255=0,"",VLOOKUP($A255,'BASE MATERIAL'!$A:$D,3))</f>
        <v/>
      </c>
      <c r="F255" s="55"/>
      <c r="G255" s="55" t="str">
        <f>IF($A255=0,"",VLOOKUP($A255,'BASE MATERIAL'!$A:$D,4))</f>
        <v/>
      </c>
      <c r="H255" s="56" t="str">
        <f t="shared" si="24"/>
        <v/>
      </c>
      <c r="I255" s="2"/>
      <c r="L255" s="2"/>
      <c r="M255" s="2"/>
      <c r="N255" s="39"/>
      <c r="O255" s="2"/>
      <c r="P255" s="2"/>
    </row>
    <row r="256" spans="1:16" x14ac:dyDescent="0.25">
      <c r="B256" s="38" t="str">
        <f>IF($A256=0,"",VLOOKUP($A256,'BASE MATERIAL'!$A:$D,2))</f>
        <v/>
      </c>
      <c r="C256" s="2"/>
      <c r="D256" s="77"/>
      <c r="E256" s="78" t="str">
        <f>IF($A256=0,"",VLOOKUP($A256,'BASE MATERIAL'!$A:$D,3))</f>
        <v/>
      </c>
      <c r="F256" s="55"/>
      <c r="G256" s="55" t="str">
        <f>IF($A256=0,"",VLOOKUP($A256,'BASE MATERIAL'!$A:$D,4))</f>
        <v/>
      </c>
      <c r="H256" s="56" t="str">
        <f t="shared" si="24"/>
        <v/>
      </c>
      <c r="I256" s="2"/>
      <c r="L256" s="2"/>
      <c r="M256" s="2"/>
      <c r="N256" s="39"/>
      <c r="O256" s="2"/>
      <c r="P256" s="2"/>
    </row>
    <row r="257" spans="1:16" x14ac:dyDescent="0.25">
      <c r="B257" s="38" t="str">
        <f>IF($A257=0,"",VLOOKUP($A257,'BASE MATERIAL'!$A:$D,2))</f>
        <v/>
      </c>
      <c r="C257" s="2"/>
      <c r="D257" s="77"/>
      <c r="E257" s="78" t="str">
        <f>IF($A257=0,"",VLOOKUP($A257,'BASE MATERIAL'!$A:$D,3))</f>
        <v/>
      </c>
      <c r="F257" s="55"/>
      <c r="G257" s="55" t="str">
        <f>IF($A257=0,"",VLOOKUP($A257,'BASE MATERIAL'!$A:$D,4))</f>
        <v/>
      </c>
      <c r="H257" s="56" t="str">
        <f t="shared" si="24"/>
        <v/>
      </c>
      <c r="I257" s="2"/>
      <c r="L257" s="2"/>
      <c r="M257" s="2"/>
      <c r="N257" s="39"/>
      <c r="O257" s="2"/>
      <c r="P257" s="2"/>
    </row>
    <row r="258" spans="1:16" x14ac:dyDescent="0.25">
      <c r="B258" s="38" t="str">
        <f>IF($A258=0,"",VLOOKUP($A258,'BASE MATERIAL'!$A:$D,2))</f>
        <v/>
      </c>
      <c r="C258" s="2"/>
      <c r="D258" s="77"/>
      <c r="E258" s="78" t="str">
        <f>IF($A258=0,"",VLOOKUP($A258,'BASE MATERIAL'!$A:$D,3))</f>
        <v/>
      </c>
      <c r="F258" s="55"/>
      <c r="G258" s="55" t="str">
        <f>IF($A258=0,"",VLOOKUP($A258,'BASE MATERIAL'!$A:$D,4))</f>
        <v/>
      </c>
      <c r="H258" s="56" t="str">
        <f t="shared" si="24"/>
        <v/>
      </c>
      <c r="I258" s="2"/>
      <c r="L258" s="2"/>
      <c r="M258" s="2"/>
      <c r="N258" s="39"/>
      <c r="O258" s="2"/>
      <c r="P258" s="2"/>
    </row>
    <row r="259" spans="1:16" x14ac:dyDescent="0.25">
      <c r="B259" s="38" t="str">
        <f>IF($A259=0,"",VLOOKUP($A259,'BASE MATERIAL'!$A:$D,2))</f>
        <v/>
      </c>
      <c r="C259" s="2"/>
      <c r="D259" s="77"/>
      <c r="E259" s="78" t="str">
        <f>IF($A259=0,"",VLOOKUP($A259,'BASE MATERIAL'!$A:$D,3))</f>
        <v/>
      </c>
      <c r="F259" s="55"/>
      <c r="G259" s="55" t="str">
        <f>IF($A259=0,"",VLOOKUP($A259,'BASE MATERIAL'!$A:$D,4))</f>
        <v/>
      </c>
      <c r="H259" s="56" t="str">
        <f t="shared" si="24"/>
        <v/>
      </c>
      <c r="I259" s="2"/>
      <c r="L259" s="2"/>
      <c r="M259" s="2"/>
      <c r="N259" s="39"/>
      <c r="O259" s="2"/>
      <c r="P259" s="2"/>
    </row>
    <row r="260" spans="1:16" x14ac:dyDescent="0.25">
      <c r="B260" s="38" t="str">
        <f>IF($A260=0,"",VLOOKUP($A260,'BASE MATERIAL'!$A:$D,2))</f>
        <v/>
      </c>
      <c r="C260" s="2"/>
      <c r="D260" s="77"/>
      <c r="E260" s="78" t="str">
        <f>IF($A260=0,"",VLOOKUP($A260,'BASE MATERIAL'!$A:$D,3))</f>
        <v/>
      </c>
      <c r="F260" s="55"/>
      <c r="G260" s="55" t="str">
        <f>IF($A260=0,"",VLOOKUP($A260,'BASE MATERIAL'!$A:$D,4))</f>
        <v/>
      </c>
      <c r="H260" s="56" t="str">
        <f t="shared" si="24"/>
        <v/>
      </c>
      <c r="I260" s="2"/>
      <c r="L260" s="2"/>
      <c r="M260" s="2"/>
      <c r="N260" s="39"/>
      <c r="O260" s="2"/>
      <c r="P260" s="2"/>
    </row>
    <row r="261" spans="1:16" x14ac:dyDescent="0.25">
      <c r="B261" s="38" t="str">
        <f>IF($A261=0,"",VLOOKUP($A261,'BASE MATERIAL'!$A:$D,2))</f>
        <v/>
      </c>
      <c r="C261" s="2"/>
      <c r="D261" s="77"/>
      <c r="E261" s="78" t="str">
        <f>IF($A261=0,"",VLOOKUP($A261,'BASE MATERIAL'!$A:$D,3))</f>
        <v/>
      </c>
      <c r="F261" s="55"/>
      <c r="G261" s="55" t="str">
        <f>IF($A261=0,"",VLOOKUP($A261,'BASE MATERIAL'!$A:$D,4))</f>
        <v/>
      </c>
      <c r="H261" s="56" t="str">
        <f t="shared" si="24"/>
        <v/>
      </c>
      <c r="I261" s="2"/>
    </row>
    <row r="262" spans="1:16" x14ac:dyDescent="0.25">
      <c r="B262" s="38" t="str">
        <f>IF($A262=0,"",VLOOKUP($A262,'BASE MATERIAL'!$A:$D,2))</f>
        <v/>
      </c>
      <c r="C262" s="2"/>
      <c r="D262" s="77"/>
      <c r="E262" s="78" t="str">
        <f>IF($A262=0,"",VLOOKUP($A262,'BASE MATERIAL'!$A:$D,3))</f>
        <v/>
      </c>
      <c r="F262" s="55"/>
      <c r="G262" s="55" t="str">
        <f>IF($A262=0,"",VLOOKUP($A262,'BASE MATERIAL'!$A:$D,4))</f>
        <v/>
      </c>
      <c r="H262" s="56" t="str">
        <f t="shared" si="24"/>
        <v/>
      </c>
      <c r="I262" s="2"/>
      <c r="L262" s="2"/>
      <c r="M262" s="2"/>
      <c r="N262" s="39"/>
      <c r="O262" s="2"/>
      <c r="P262" s="2"/>
    </row>
    <row r="263" spans="1:16" x14ac:dyDescent="0.25">
      <c r="B263" s="38" t="str">
        <f>IF($A263=0,"",VLOOKUP($A263,'BASE MATERIAL'!$A:$D,2))</f>
        <v/>
      </c>
      <c r="C263" s="2"/>
      <c r="D263" s="77"/>
      <c r="E263" s="78" t="str">
        <f>IF($A263=0,"",VLOOKUP($A263,'BASE MATERIAL'!$A:$D,3))</f>
        <v/>
      </c>
      <c r="F263" s="55"/>
      <c r="G263" s="55" t="str">
        <f>IF($A263=0,"",VLOOKUP($A263,'BASE MATERIAL'!$A:$D,4))</f>
        <v/>
      </c>
      <c r="H263" s="56" t="str">
        <f t="shared" si="24"/>
        <v/>
      </c>
      <c r="I263" s="2"/>
      <c r="L263" s="2"/>
      <c r="M263" s="2"/>
      <c r="N263" s="39"/>
      <c r="O263" s="2"/>
      <c r="P263" s="2"/>
    </row>
    <row r="264" spans="1:16" x14ac:dyDescent="0.25">
      <c r="B264" s="38" t="str">
        <f>IF($A264=0,"",VLOOKUP($A264,'BASE MATERIAL'!$A:$D,2))</f>
        <v/>
      </c>
      <c r="C264" s="2"/>
      <c r="D264" s="77"/>
      <c r="E264" s="78" t="str">
        <f>IF($A264=0,"",VLOOKUP($A264,'BASE MATERIAL'!$A:$D,3))</f>
        <v/>
      </c>
      <c r="F264" s="55"/>
      <c r="G264" s="55" t="str">
        <f>IF($A264=0,"",VLOOKUP($A264,'BASE MATERIAL'!$A:$D,4))</f>
        <v/>
      </c>
      <c r="H264" s="56" t="str">
        <f t="shared" si="24"/>
        <v/>
      </c>
      <c r="I264" s="2"/>
    </row>
    <row r="265" spans="1:16" x14ac:dyDescent="0.25">
      <c r="B265" s="38" t="str">
        <f>IF($A265=0,"",VLOOKUP($A265,'BASE MATERIAL'!$A:$D,2))</f>
        <v/>
      </c>
      <c r="C265" s="2"/>
      <c r="D265" s="77"/>
      <c r="E265" s="78" t="str">
        <f>IF($A265=0,"",VLOOKUP($A265,'BASE MATERIAL'!$A:$D,3))</f>
        <v/>
      </c>
      <c r="F265" s="55"/>
      <c r="G265" s="55" t="str">
        <f>IF($A265=0,"",VLOOKUP($A265,'BASE MATERIAL'!$A:$D,4))</f>
        <v/>
      </c>
      <c r="H265" s="56" t="str">
        <f t="shared" si="24"/>
        <v/>
      </c>
      <c r="I265" s="2"/>
    </row>
    <row r="266" spans="1:16" x14ac:dyDescent="0.25">
      <c r="B266" s="38" t="str">
        <f>IF($A266=0,"",VLOOKUP($A266,'BASE MATERIAL'!$A:$D,2))</f>
        <v/>
      </c>
      <c r="C266" s="2"/>
      <c r="D266" s="77"/>
      <c r="E266" s="78" t="str">
        <f>IF($A266=0,"",VLOOKUP($A266,'BASE MATERIAL'!$A:$D,3))</f>
        <v/>
      </c>
      <c r="F266" s="55"/>
      <c r="G266" s="55" t="str">
        <f>IF($A266=0,"",VLOOKUP($A266,'BASE MATERIAL'!$A:$D,4))</f>
        <v/>
      </c>
      <c r="H266" s="56" t="str">
        <f t="shared" si="24"/>
        <v/>
      </c>
      <c r="I266" s="2"/>
    </row>
    <row r="267" spans="1:16" x14ac:dyDescent="0.25">
      <c r="B267" s="38" t="str">
        <f>IF($A267=0,"",VLOOKUP($A267,'BASE MATERIAL'!$A:$D,2))</f>
        <v/>
      </c>
      <c r="C267" s="2"/>
      <c r="D267" s="77"/>
      <c r="E267" s="78" t="str">
        <f>IF($A267=0,"",VLOOKUP($A267,'BASE MATERIAL'!$A:$D,3))</f>
        <v/>
      </c>
      <c r="F267" s="55"/>
      <c r="G267" s="55" t="str">
        <f>IF($A267=0,"",VLOOKUP($A267,'BASE MATERIAL'!$A:$D,4))</f>
        <v/>
      </c>
      <c r="H267" s="56" t="str">
        <f t="shared" si="24"/>
        <v/>
      </c>
      <c r="I267" s="2"/>
    </row>
    <row r="268" spans="1:16" x14ac:dyDescent="0.25">
      <c r="B268" s="38" t="str">
        <f>IF($A268=0,"",VLOOKUP($A268,'BASE MATERIAL'!$A:$D,2))</f>
        <v/>
      </c>
      <c r="C268" s="2"/>
      <c r="D268" s="81" t="s">
        <v>1682</v>
      </c>
      <c r="E268" s="55" t="str">
        <f>IF($A268=0,"",VLOOKUP($A268,'BASE MATERIAL'!$A:$D,3))</f>
        <v/>
      </c>
      <c r="F268" s="55" t="s">
        <v>1682</v>
      </c>
      <c r="G268" s="55" t="str">
        <f>IF($A268=0,"",VLOOKUP($A268,'BASE MATERIAL'!$A:$D,4))</f>
        <v/>
      </c>
      <c r="H268" s="56" t="str">
        <f>IF($A268=0,"",ROUND(E268*F268,2))</f>
        <v/>
      </c>
      <c r="I268" s="2"/>
    </row>
    <row r="269" spans="1:16" x14ac:dyDescent="0.25">
      <c r="B269" s="73" t="s">
        <v>1681</v>
      </c>
      <c r="C269" s="65"/>
      <c r="D269" s="74"/>
      <c r="E269" s="74"/>
      <c r="F269" s="74"/>
      <c r="G269" s="74"/>
      <c r="H269" s="75">
        <f>ROUND(SUM(H252:H268),2)</f>
        <v>27.15</v>
      </c>
      <c r="I269" s="2"/>
    </row>
    <row r="270" spans="1:16" x14ac:dyDescent="0.25">
      <c r="B270" s="38" t="s">
        <v>1680</v>
      </c>
      <c r="C270" s="2"/>
      <c r="D270" s="3"/>
      <c r="E270" s="3"/>
      <c r="F270" s="3"/>
      <c r="G270" s="3"/>
      <c r="H270" s="56"/>
      <c r="I270" s="2"/>
    </row>
    <row r="271" spans="1:16" ht="25.5" x14ac:dyDescent="0.25">
      <c r="B271" s="64" t="s">
        <v>1409</v>
      </c>
      <c r="C271" s="65"/>
      <c r="D271" s="76"/>
      <c r="E271" s="66" t="s">
        <v>1408</v>
      </c>
      <c r="F271" s="66" t="s">
        <v>1679</v>
      </c>
      <c r="G271" s="66" t="s">
        <v>1676</v>
      </c>
      <c r="H271" s="68" t="s">
        <v>1675</v>
      </c>
      <c r="I271" s="2"/>
    </row>
    <row r="272" spans="1:16" x14ac:dyDescent="0.25">
      <c r="A272" s="103">
        <v>19019</v>
      </c>
      <c r="B272" s="51" t="str">
        <f>IF($A272=0,"",VLOOKUP($A272,'BASE EQUIPO'!$A:$D,2))</f>
        <v>TRANSPORTE DE MATERIAL</v>
      </c>
      <c r="C272" s="52"/>
      <c r="D272" s="82"/>
      <c r="E272" s="78" t="str">
        <f>IF($A272=0,"",VLOOKUP($A272,'BASE EQUIPO'!$A:$D,3))</f>
        <v>GLOBAL</v>
      </c>
      <c r="F272" s="55">
        <v>1</v>
      </c>
      <c r="G272" s="83">
        <f>IF($A272=0,"",VLOOKUP($A272,'BASE EQUIPO'!$A:$D,4)*H269)</f>
        <v>0.81449999999999989</v>
      </c>
      <c r="H272" s="56">
        <f>IF($A272=0,"",ROUND(F272*G272,2))</f>
        <v>0.81</v>
      </c>
      <c r="I272" s="2"/>
    </row>
    <row r="273" spans="1:15" x14ac:dyDescent="0.25">
      <c r="B273" s="38" t="str">
        <f>IF($A273=0,"",VLOOKUP($A273,'BASE EQUIPO'!$A:$D,2))</f>
        <v/>
      </c>
      <c r="C273" s="2"/>
      <c r="D273" s="84"/>
      <c r="E273" s="78" t="str">
        <f>IF($A273=0,"",VLOOKUP($A273,'BASE EQUIPO'!$A:$D,3))</f>
        <v/>
      </c>
      <c r="F273" s="55"/>
      <c r="G273" s="55" t="str">
        <f>IF($A273=0,"",VLOOKUP($A273,'BASE EQUIPO'!$A:$D,4)*H270)</f>
        <v/>
      </c>
      <c r="H273" s="56" t="str">
        <f>IF($A273=0,"",ROUND(F273*G273,2))</f>
        <v/>
      </c>
      <c r="I273" s="2"/>
    </row>
    <row r="274" spans="1:15" x14ac:dyDescent="0.25">
      <c r="B274" s="57" t="str">
        <f>IF($A274=0,"",VLOOKUP($A274,'BASE EQUIPO'!$A:$D,2))</f>
        <v/>
      </c>
      <c r="C274" s="58"/>
      <c r="D274" s="85"/>
      <c r="E274" s="86" t="str">
        <f>IF($A274=0,"",VLOOKUP($A274,'BASE EQUIPO'!$A:$D,3))</f>
        <v/>
      </c>
      <c r="F274" s="59"/>
      <c r="G274" s="59" t="str">
        <f>IF($A274=0,"",VLOOKUP($A274,'BASE EQUIPO'!$A:$D,4)*H271)</f>
        <v/>
      </c>
      <c r="H274" s="60" t="str">
        <f>IF($A274=0,"",ROUND(F274*G274,2))</f>
        <v/>
      </c>
      <c r="I274" s="2"/>
    </row>
    <row r="275" spans="1:15" ht="15.75" thickBot="1" x14ac:dyDescent="0.3">
      <c r="B275" s="87" t="s">
        <v>1674</v>
      </c>
      <c r="C275" s="88"/>
      <c r="D275" s="89"/>
      <c r="E275" s="89"/>
      <c r="F275" s="89"/>
      <c r="G275" s="89"/>
      <c r="H275" s="90">
        <f>ROUND(SUM(H271:H274),2)</f>
        <v>0.81</v>
      </c>
      <c r="I275" s="2"/>
    </row>
    <row r="276" spans="1:15" ht="15.75" x14ac:dyDescent="0.25">
      <c r="B276" s="2"/>
      <c r="C276" s="2"/>
      <c r="D276" s="91" t="s">
        <v>1673</v>
      </c>
      <c r="E276" s="47"/>
      <c r="F276" s="47"/>
      <c r="G276" s="47"/>
      <c r="H276" s="92">
        <f>ROUND(SUM(H275,H269,H250,H240),2)</f>
        <v>27.96</v>
      </c>
      <c r="I276" s="2"/>
    </row>
    <row r="277" spans="1:15" ht="15.75" x14ac:dyDescent="0.25">
      <c r="A277" s="103">
        <v>40002</v>
      </c>
      <c r="B277" s="2"/>
      <c r="C277" s="2"/>
      <c r="D277" s="93" t="s">
        <v>1672</v>
      </c>
      <c r="E277" s="65"/>
      <c r="F277" s="65"/>
      <c r="G277" s="94">
        <f>IF($A277=0,"",VLOOKUP($A277,'BASE MATERIAL'!$M:$P,4))</f>
        <v>0</v>
      </c>
      <c r="H277" s="95">
        <f>IF($A277=0,"",ROUND(G277*H276,2))</f>
        <v>0</v>
      </c>
      <c r="I277" s="2"/>
    </row>
    <row r="278" spans="1:15" ht="15.75" x14ac:dyDescent="0.25">
      <c r="A278" s="103">
        <v>40003</v>
      </c>
      <c r="B278" s="2"/>
      <c r="C278" s="2"/>
      <c r="D278" s="93" t="s">
        <v>1671</v>
      </c>
      <c r="E278" s="65"/>
      <c r="F278" s="65"/>
      <c r="G278" s="94">
        <f>IF($A278=0,"",VLOOKUP($A278,'BASE MATERIAL'!$M:$P,4))</f>
        <v>0</v>
      </c>
      <c r="H278" s="95">
        <f>IF($A278=0,"",ROUND(G278*H276,2))</f>
        <v>0</v>
      </c>
      <c r="I278" s="2"/>
    </row>
    <row r="279" spans="1:15" ht="15.75" x14ac:dyDescent="0.25">
      <c r="B279" s="2"/>
      <c r="C279" s="2"/>
      <c r="D279" s="93" t="s">
        <v>1670</v>
      </c>
      <c r="E279" s="65"/>
      <c r="F279" s="65"/>
      <c r="G279" s="65"/>
      <c r="H279" s="96">
        <f>ROUND(SUM(H276:H278),2)</f>
        <v>27.96</v>
      </c>
      <c r="I279" s="2"/>
    </row>
    <row r="280" spans="1:15" ht="16.5" thickBot="1" x14ac:dyDescent="0.3">
      <c r="B280" s="25"/>
      <c r="C280" s="2"/>
      <c r="D280" s="97" t="s">
        <v>1650</v>
      </c>
      <c r="E280" s="88"/>
      <c r="F280" s="88"/>
      <c r="G280" s="88"/>
      <c r="H280" s="98">
        <f>ROUND(H279,2)</f>
        <v>27.96</v>
      </c>
      <c r="I280" s="2"/>
    </row>
    <row r="281" spans="1:15" ht="15.75" x14ac:dyDescent="0.25">
      <c r="B281" s="34" t="s">
        <v>1701</v>
      </c>
      <c r="C281" s="2"/>
      <c r="D281" s="3" t="str">
        <f>$D$1</f>
        <v>ESPOL</v>
      </c>
      <c r="E281" s="2"/>
      <c r="F281" s="2"/>
      <c r="H281" s="2" t="s">
        <v>108</v>
      </c>
      <c r="I281" s="2"/>
      <c r="L281" s="40">
        <f>A285</f>
        <v>2</v>
      </c>
      <c r="M281" s="1" t="str">
        <f>C286</f>
        <v>Rejilla de retorno 14x14"</v>
      </c>
      <c r="N281" s="2" t="str">
        <f>H285</f>
        <v>u</v>
      </c>
      <c r="O281" s="2">
        <f>H336</f>
        <v>20.75</v>
      </c>
    </row>
    <row r="282" spans="1:15" ht="15.75" x14ac:dyDescent="0.25">
      <c r="B282" s="34" t="s">
        <v>1700</v>
      </c>
      <c r="C282" s="3">
        <f>'1.1'!$C$2</f>
        <v>0</v>
      </c>
      <c r="D282" s="2"/>
      <c r="E282" s="2"/>
      <c r="F282" s="2"/>
      <c r="G282" s="41" t="s">
        <v>1699</v>
      </c>
      <c r="H282" s="42"/>
      <c r="I282" s="2" t="s">
        <v>1698</v>
      </c>
    </row>
    <row r="283" spans="1:15" ht="15.75" x14ac:dyDescent="0.25">
      <c r="B283" s="34"/>
      <c r="C283" s="3">
        <f>'1.1'!$C$3</f>
        <v>0</v>
      </c>
      <c r="D283" s="2"/>
      <c r="E283" s="2"/>
      <c r="F283" s="2"/>
      <c r="G283" s="2"/>
      <c r="H283" s="2"/>
      <c r="I283" s="2"/>
    </row>
    <row r="284" spans="1:15" ht="15.75" x14ac:dyDescent="0.25">
      <c r="B284" s="34" t="s">
        <v>1697</v>
      </c>
      <c r="C284" s="3"/>
      <c r="D284" s="2"/>
      <c r="E284" s="2"/>
      <c r="F284" s="2"/>
      <c r="G284" s="2"/>
      <c r="H284" s="2"/>
      <c r="I284" s="2"/>
    </row>
    <row r="285" spans="1:15" x14ac:dyDescent="0.25">
      <c r="A285" s="104">
        <v>2</v>
      </c>
      <c r="B285" s="2" t="s">
        <v>1586</v>
      </c>
      <c r="C285" s="101" t="s">
        <v>1325</v>
      </c>
      <c r="D285" s="2"/>
      <c r="G285" s="2" t="s">
        <v>1696</v>
      </c>
      <c r="H285" s="3" t="s">
        <v>1506</v>
      </c>
      <c r="I285" s="2"/>
    </row>
    <row r="286" spans="1:15" x14ac:dyDescent="0.25">
      <c r="B286" s="1" t="s">
        <v>1585</v>
      </c>
      <c r="C286" s="36" t="s">
        <v>137</v>
      </c>
      <c r="D286" s="2"/>
      <c r="E286" s="2"/>
      <c r="F286" s="2"/>
      <c r="G286" s="2"/>
      <c r="H286" s="2"/>
      <c r="I286" s="2"/>
    </row>
    <row r="287" spans="1:15" ht="15.75" thickBot="1" x14ac:dyDescent="0.3">
      <c r="D287" s="2"/>
      <c r="E287" s="2"/>
      <c r="F287" s="2"/>
      <c r="G287" s="2"/>
      <c r="H287" s="2"/>
      <c r="I287" s="2"/>
    </row>
    <row r="288" spans="1:15" ht="15.75" thickBot="1" x14ac:dyDescent="0.3">
      <c r="B288" s="43" t="s">
        <v>1695</v>
      </c>
      <c r="C288" s="44"/>
      <c r="D288" s="44"/>
      <c r="E288" s="44"/>
      <c r="F288" s="44"/>
      <c r="G288" s="44"/>
      <c r="H288" s="45"/>
      <c r="I288" s="2"/>
    </row>
    <row r="289" spans="2:9" ht="25.5" x14ac:dyDescent="0.25">
      <c r="B289" s="46" t="s">
        <v>1409</v>
      </c>
      <c r="C289" s="47"/>
      <c r="D289" s="48" t="s">
        <v>1690</v>
      </c>
      <c r="E289" s="48" t="s">
        <v>1694</v>
      </c>
      <c r="F289" s="48" t="s">
        <v>1693</v>
      </c>
      <c r="G289" s="49" t="s">
        <v>1687</v>
      </c>
      <c r="H289" s="50" t="s">
        <v>1686</v>
      </c>
      <c r="I289" s="2"/>
    </row>
    <row r="290" spans="2:9" x14ac:dyDescent="0.25">
      <c r="B290" s="51" t="str">
        <f>IF($A290=0,"",VLOOKUP($A290,'BASE EQUIPO'!$A:$D,2))</f>
        <v/>
      </c>
      <c r="C290" s="52"/>
      <c r="D290" s="53"/>
      <c r="E290" s="53" t="str">
        <f>IF($A290=0,"",VLOOKUP($A290,'BASE EQUIPO'!$A:$D,4)*H306)</f>
        <v/>
      </c>
      <c r="F290" s="53" t="str">
        <f t="shared" ref="F290:F295" si="25">IF($A290=0,"",ROUND(D290*E290,2))</f>
        <v/>
      </c>
      <c r="G290" s="105"/>
      <c r="H290" s="54" t="str">
        <f t="shared" ref="H290:H295" si="26">IF($A290=0,"",ROUND(G290*F290,2))</f>
        <v/>
      </c>
      <c r="I290" s="2"/>
    </row>
    <row r="291" spans="2:9" x14ac:dyDescent="0.25">
      <c r="B291" s="38" t="str">
        <f>IF($A291=0,"",VLOOKUP($A291,'BASE EQUIPO'!$A:$D,2))</f>
        <v/>
      </c>
      <c r="C291" s="2"/>
      <c r="D291" s="55"/>
      <c r="E291" s="55" t="str">
        <f>IF($A291=0,"",VLOOKUP($A291,'BASE EQUIPO'!$A:$D,4))</f>
        <v/>
      </c>
      <c r="F291" s="55" t="str">
        <f t="shared" si="25"/>
        <v/>
      </c>
      <c r="G291" s="106"/>
      <c r="H291" s="56" t="str">
        <f t="shared" si="26"/>
        <v/>
      </c>
      <c r="I291" s="2"/>
    </row>
    <row r="292" spans="2:9" x14ac:dyDescent="0.25">
      <c r="B292" s="38" t="str">
        <f>IF($A292=0,"",VLOOKUP($A292,'BASE EQUIPO'!$A:$D,2))</f>
        <v/>
      </c>
      <c r="C292" s="2"/>
      <c r="D292" s="55"/>
      <c r="E292" s="55" t="str">
        <f>IF($A292=0,"",VLOOKUP($A292,'BASE EQUIPO'!$A:$D,4))</f>
        <v/>
      </c>
      <c r="F292" s="55" t="str">
        <f t="shared" si="25"/>
        <v/>
      </c>
      <c r="G292" s="106"/>
      <c r="H292" s="56" t="str">
        <f t="shared" si="26"/>
        <v/>
      </c>
      <c r="I292" s="2"/>
    </row>
    <row r="293" spans="2:9" x14ac:dyDescent="0.25">
      <c r="B293" s="38" t="str">
        <f>IF($A293=0,"",VLOOKUP($A293,'BASE EQUIPO'!$A:$D,2))</f>
        <v/>
      </c>
      <c r="C293" s="2"/>
      <c r="D293" s="55"/>
      <c r="E293" s="55" t="str">
        <f>IF($A293=0,"",VLOOKUP($A293,'BASE EQUIPO'!$A:$D,4))</f>
        <v/>
      </c>
      <c r="F293" s="55" t="str">
        <f t="shared" si="25"/>
        <v/>
      </c>
      <c r="G293" s="106"/>
      <c r="H293" s="56" t="str">
        <f t="shared" si="26"/>
        <v/>
      </c>
      <c r="I293" s="2"/>
    </row>
    <row r="294" spans="2:9" x14ac:dyDescent="0.25">
      <c r="B294" s="38" t="str">
        <f>IF($A294=0,"",VLOOKUP($A294,'BASE EQUIPO'!$A:$D,2))</f>
        <v/>
      </c>
      <c r="C294" s="2"/>
      <c r="D294" s="55"/>
      <c r="E294" s="55" t="str">
        <f>IF($A294=0,"",VLOOKUP($A294,'BASE EQUIPO'!$A:$D,4))</f>
        <v/>
      </c>
      <c r="F294" s="55" t="str">
        <f t="shared" si="25"/>
        <v/>
      </c>
      <c r="G294" s="106"/>
      <c r="H294" s="56" t="str">
        <f t="shared" si="26"/>
        <v/>
      </c>
      <c r="I294" s="2"/>
    </row>
    <row r="295" spans="2:9" x14ac:dyDescent="0.25">
      <c r="B295" s="57" t="str">
        <f>IF($A295=0,"",VLOOKUP($A295,'BASE EQUIPO'!$A:$D,2))</f>
        <v/>
      </c>
      <c r="C295" s="58"/>
      <c r="D295" s="59"/>
      <c r="E295" s="59" t="str">
        <f>IF($A295=0,"",VLOOKUP($A295,'BASE EQUIPO'!$A:$D,4))</f>
        <v/>
      </c>
      <c r="F295" s="59" t="str">
        <f t="shared" si="25"/>
        <v/>
      </c>
      <c r="G295" s="107"/>
      <c r="H295" s="60" t="str">
        <f t="shared" si="26"/>
        <v/>
      </c>
      <c r="I295" s="2"/>
    </row>
    <row r="296" spans="2:9" x14ac:dyDescent="0.25">
      <c r="B296" s="57" t="s">
        <v>1692</v>
      </c>
      <c r="C296" s="58"/>
      <c r="D296" s="61"/>
      <c r="E296" s="61"/>
      <c r="F296" s="61"/>
      <c r="G296" s="62"/>
      <c r="H296" s="60">
        <f>ROUND(SUM(H289:H295),2)</f>
        <v>0</v>
      </c>
      <c r="I296" s="2"/>
    </row>
    <row r="297" spans="2:9" x14ac:dyDescent="0.25">
      <c r="B297" s="38" t="s">
        <v>1503</v>
      </c>
      <c r="C297" s="2"/>
      <c r="D297" s="3"/>
      <c r="E297" s="3"/>
      <c r="F297" s="3"/>
      <c r="G297" s="63"/>
      <c r="H297" s="56"/>
      <c r="I297" s="2"/>
    </row>
    <row r="298" spans="2:9" ht="25.5" x14ac:dyDescent="0.25">
      <c r="B298" s="64" t="s">
        <v>1691</v>
      </c>
      <c r="C298" s="65"/>
      <c r="D298" s="66" t="s">
        <v>1690</v>
      </c>
      <c r="E298" s="66" t="s">
        <v>1689</v>
      </c>
      <c r="F298" s="66" t="s">
        <v>1688</v>
      </c>
      <c r="G298" s="67" t="s">
        <v>1687</v>
      </c>
      <c r="H298" s="68" t="s">
        <v>1686</v>
      </c>
      <c r="I298" s="2"/>
    </row>
    <row r="299" spans="2:9" x14ac:dyDescent="0.25">
      <c r="B299" s="69" t="str">
        <f>IF($A299=0,"",VLOOKUP($A299,'BASE M-OBRA'!$A:$D,2))</f>
        <v/>
      </c>
      <c r="C299" s="2"/>
      <c r="D299" s="108"/>
      <c r="E299" s="70" t="str">
        <f>IF($A299=0,"",VLOOKUP($A299,'BASE M-OBRA'!$A:$D,4))</f>
        <v/>
      </c>
      <c r="F299" s="55" t="str">
        <f t="shared" ref="F299:F305" si="27">IF($A299=0,"",ROUND(D299*E299,2))</f>
        <v/>
      </c>
      <c r="G299" s="106" t="str">
        <f>IF($A299=0,"",ROUND(H299/F299,2))</f>
        <v/>
      </c>
      <c r="H299" s="56" t="str">
        <f>IF($A299=0,"",ROUND(SUM(H300:H305)*'BASE M-OBRA'!$D$23,2))</f>
        <v/>
      </c>
      <c r="I299" s="2"/>
    </row>
    <row r="300" spans="2:9" x14ac:dyDescent="0.25">
      <c r="B300" s="69" t="str">
        <f>IF($A300=0,"",VLOOKUP($A300,'BASE M-OBRA'!$A:$D,2))</f>
        <v/>
      </c>
      <c r="C300" s="2"/>
      <c r="D300" s="108"/>
      <c r="E300" s="70" t="str">
        <f>IF($A300=0,"",VLOOKUP($A300,'BASE M-OBRA'!$A:$D,4))</f>
        <v/>
      </c>
      <c r="F300" s="55" t="str">
        <f t="shared" si="27"/>
        <v/>
      </c>
      <c r="G300" s="106"/>
      <c r="H300" s="56" t="str">
        <f t="shared" ref="H300:H305" si="28">IF($A300=0,"",ROUND(G300*F300,2))</f>
        <v/>
      </c>
      <c r="I300" s="2"/>
    </row>
    <row r="301" spans="2:9" x14ac:dyDescent="0.25">
      <c r="B301" s="69" t="str">
        <f>IF($A301=0,"",VLOOKUP($A301,'BASE M-OBRA'!$A:$D,2))</f>
        <v/>
      </c>
      <c r="C301" s="2"/>
      <c r="D301" s="108"/>
      <c r="E301" s="70" t="str">
        <f>IF($A301=0,"",VLOOKUP($A301,'BASE M-OBRA'!$A:$D,4))</f>
        <v/>
      </c>
      <c r="F301" s="55" t="str">
        <f t="shared" si="27"/>
        <v/>
      </c>
      <c r="G301" s="106"/>
      <c r="H301" s="56" t="str">
        <f t="shared" si="28"/>
        <v/>
      </c>
      <c r="I301" s="2"/>
    </row>
    <row r="302" spans="2:9" x14ac:dyDescent="0.25">
      <c r="B302" s="71" t="str">
        <f>IF($A302=0,"",VLOOKUP($A302,'BASE M-OBRA'!$A:$D,2))</f>
        <v/>
      </c>
      <c r="C302" s="2"/>
      <c r="D302" s="108"/>
      <c r="E302" s="70" t="str">
        <f>IF($A302=0,"",VLOOKUP($A302,'BASE M-OBRA'!$A:$D,4))</f>
        <v/>
      </c>
      <c r="F302" s="55" t="str">
        <f t="shared" si="27"/>
        <v/>
      </c>
      <c r="G302" s="106"/>
      <c r="H302" s="56" t="str">
        <f t="shared" si="28"/>
        <v/>
      </c>
      <c r="I302" s="2"/>
    </row>
    <row r="303" spans="2:9" x14ac:dyDescent="0.25">
      <c r="B303" s="72" t="str">
        <f>IF($A303=0,"",VLOOKUP($A303,'BASE M-OBRA'!$A:$D,2))</f>
        <v/>
      </c>
      <c r="C303" s="2"/>
      <c r="D303" s="108"/>
      <c r="E303" s="70" t="str">
        <f>IF($A303=0,"",VLOOKUP($A303,'BASE M-OBRA'!$A:$D,4))</f>
        <v/>
      </c>
      <c r="F303" s="55" t="str">
        <f t="shared" si="27"/>
        <v/>
      </c>
      <c r="G303" s="106"/>
      <c r="H303" s="56" t="str">
        <f t="shared" si="28"/>
        <v/>
      </c>
      <c r="I303" s="2"/>
    </row>
    <row r="304" spans="2:9" x14ac:dyDescent="0.25">
      <c r="B304" s="38" t="str">
        <f>IF($A304=0,"",VLOOKUP($A304,'BASE M-OBRA'!$A:$D,2))</f>
        <v/>
      </c>
      <c r="C304" s="2"/>
      <c r="D304" s="55"/>
      <c r="E304" s="55" t="str">
        <f>IF($A304=0,"",VLOOKUP($A304,'BASE M-OBRA'!$A:$D,4))</f>
        <v/>
      </c>
      <c r="F304" s="55" t="str">
        <f t="shared" si="27"/>
        <v/>
      </c>
      <c r="G304" s="106"/>
      <c r="H304" s="56" t="str">
        <f t="shared" si="28"/>
        <v/>
      </c>
      <c r="I304" s="2"/>
    </row>
    <row r="305" spans="1:16" x14ac:dyDescent="0.25">
      <c r="B305" s="57" t="str">
        <f>IF($A305=0,"",VLOOKUP($A305,'BASE M-OBRA'!$A:$D,2))</f>
        <v/>
      </c>
      <c r="C305" s="58"/>
      <c r="D305" s="59"/>
      <c r="E305" s="59" t="str">
        <f>IF($A305=0,"",VLOOKUP($A305,'BASE M-OBRA'!$A:$D,4))</f>
        <v/>
      </c>
      <c r="F305" s="59" t="str">
        <f t="shared" si="27"/>
        <v/>
      </c>
      <c r="G305" s="107"/>
      <c r="H305" s="60" t="str">
        <f t="shared" si="28"/>
        <v/>
      </c>
      <c r="I305" s="2"/>
    </row>
    <row r="306" spans="1:16" x14ac:dyDescent="0.25">
      <c r="B306" s="73" t="s">
        <v>1685</v>
      </c>
      <c r="C306" s="65"/>
      <c r="D306" s="74"/>
      <c r="E306" s="74"/>
      <c r="F306" s="74"/>
      <c r="G306" s="74"/>
      <c r="H306" s="75">
        <f>ROUND(SUM(H298:H305),2)</f>
        <v>0</v>
      </c>
      <c r="I306" s="2"/>
    </row>
    <row r="307" spans="1:16" x14ac:dyDescent="0.25">
      <c r="B307" s="38" t="s">
        <v>1684</v>
      </c>
      <c r="C307" s="2"/>
      <c r="D307" s="3"/>
      <c r="E307" s="3"/>
      <c r="F307" s="3"/>
      <c r="G307" s="3"/>
      <c r="H307" s="56"/>
      <c r="I307" s="2"/>
    </row>
    <row r="308" spans="1:16" ht="25.5" x14ac:dyDescent="0.25">
      <c r="B308" s="64" t="s">
        <v>1409</v>
      </c>
      <c r="C308" s="65"/>
      <c r="D308" s="76"/>
      <c r="E308" s="66" t="s">
        <v>1408</v>
      </c>
      <c r="F308" s="66" t="s">
        <v>1679</v>
      </c>
      <c r="G308" s="66" t="s">
        <v>1683</v>
      </c>
      <c r="H308" s="68" t="s">
        <v>1675</v>
      </c>
      <c r="I308" s="2"/>
    </row>
    <row r="309" spans="1:16" x14ac:dyDescent="0.25">
      <c r="A309" s="103">
        <v>1</v>
      </c>
      <c r="B309" s="102" t="s">
        <v>137</v>
      </c>
      <c r="C309" s="2"/>
      <c r="D309" s="77"/>
      <c r="E309" s="78" t="s">
        <v>1506</v>
      </c>
      <c r="F309" s="55">
        <v>1</v>
      </c>
      <c r="G309" s="55">
        <v>20.149999999999999</v>
      </c>
      <c r="H309" s="56">
        <f t="shared" ref="H309:H323" si="29">IF($A309=0,"",ROUND(F309*G309,2))</f>
        <v>20.149999999999999</v>
      </c>
      <c r="I309" s="2"/>
      <c r="J309" s="1">
        <v>10.9</v>
      </c>
      <c r="L309" s="2"/>
      <c r="M309" s="2"/>
      <c r="N309" s="39"/>
      <c r="O309" s="2"/>
      <c r="P309" s="2"/>
    </row>
    <row r="310" spans="1:16" x14ac:dyDescent="0.25">
      <c r="B310" s="102"/>
      <c r="C310" s="2"/>
      <c r="D310" s="77"/>
      <c r="E310" s="78" t="str">
        <f>IF($A310=0,"",VLOOKUP($A310,'BASE MATERIAL'!$A:$D,3))</f>
        <v/>
      </c>
      <c r="F310" s="55"/>
      <c r="G310" s="55" t="str">
        <f>IF($A310=0,"",VLOOKUP($A310,'BASE MATERIAL'!$A:$D,4))</f>
        <v/>
      </c>
      <c r="H310" s="56" t="str">
        <f t="shared" si="29"/>
        <v/>
      </c>
      <c r="I310" s="2"/>
      <c r="L310" s="2"/>
      <c r="M310" s="2"/>
      <c r="N310" s="39"/>
      <c r="O310" s="2"/>
      <c r="P310" s="2"/>
    </row>
    <row r="311" spans="1:16" x14ac:dyDescent="0.25">
      <c r="B311" s="38" t="str">
        <f>IF($A311=0,"",VLOOKUP($A311,'BASE MATERIAL'!$A:$D,2))</f>
        <v/>
      </c>
      <c r="C311" s="2"/>
      <c r="D311" s="77"/>
      <c r="E311" s="78" t="str">
        <f>IF($A311=0,"",VLOOKUP($A311,'BASE MATERIAL'!$A:$D,3))</f>
        <v/>
      </c>
      <c r="F311" s="55"/>
      <c r="G311" s="55" t="str">
        <f>IF($A311=0,"",VLOOKUP($A311,'BASE MATERIAL'!$A:$D,4))</f>
        <v/>
      </c>
      <c r="H311" s="56" t="str">
        <f t="shared" si="29"/>
        <v/>
      </c>
      <c r="I311" s="2"/>
      <c r="L311" s="2"/>
      <c r="M311" s="2"/>
      <c r="N311" s="39"/>
      <c r="O311" s="2"/>
      <c r="P311" s="2"/>
    </row>
    <row r="312" spans="1:16" x14ac:dyDescent="0.25">
      <c r="B312" s="38" t="str">
        <f>IF($A312=0,"",VLOOKUP($A312,'BASE MATERIAL'!$A:$D,2))</f>
        <v/>
      </c>
      <c r="C312" s="2"/>
      <c r="D312" s="77"/>
      <c r="E312" s="78" t="str">
        <f>IF($A312=0,"",VLOOKUP($A312,'BASE MATERIAL'!$A:$D,3))</f>
        <v/>
      </c>
      <c r="F312" s="55"/>
      <c r="G312" s="55" t="str">
        <f>IF($A312=0,"",VLOOKUP($A312,'BASE MATERIAL'!$A:$D,4))</f>
        <v/>
      </c>
      <c r="H312" s="56" t="str">
        <f t="shared" si="29"/>
        <v/>
      </c>
      <c r="I312" s="2"/>
      <c r="L312" s="2"/>
      <c r="M312" s="2"/>
      <c r="N312" s="39"/>
      <c r="O312" s="2"/>
      <c r="P312" s="2"/>
    </row>
    <row r="313" spans="1:16" x14ac:dyDescent="0.25">
      <c r="B313" s="38" t="str">
        <f>IF($A313=0,"",VLOOKUP($A313,'BASE MATERIAL'!$A:$D,2))</f>
        <v/>
      </c>
      <c r="C313" s="2"/>
      <c r="D313" s="77"/>
      <c r="E313" s="78" t="str">
        <f>IF($A313=0,"",VLOOKUP($A313,'BASE MATERIAL'!$A:$D,3))</f>
        <v/>
      </c>
      <c r="F313" s="55"/>
      <c r="G313" s="55" t="str">
        <f>IF($A313=0,"",VLOOKUP($A313,'BASE MATERIAL'!$A:$D,4))</f>
        <v/>
      </c>
      <c r="H313" s="56" t="str">
        <f t="shared" si="29"/>
        <v/>
      </c>
      <c r="I313" s="2"/>
      <c r="L313" s="2"/>
      <c r="M313" s="2"/>
      <c r="N313" s="39"/>
      <c r="O313" s="2"/>
      <c r="P313" s="2"/>
    </row>
    <row r="314" spans="1:16" x14ac:dyDescent="0.25">
      <c r="B314" s="38" t="str">
        <f>IF($A314=0,"",VLOOKUP($A314,'BASE MATERIAL'!$A:$D,2))</f>
        <v/>
      </c>
      <c r="C314" s="2"/>
      <c r="D314" s="77"/>
      <c r="E314" s="78" t="str">
        <f>IF($A314=0,"",VLOOKUP($A314,'BASE MATERIAL'!$A:$D,3))</f>
        <v/>
      </c>
      <c r="F314" s="55"/>
      <c r="G314" s="55" t="str">
        <f>IF($A314=0,"",VLOOKUP($A314,'BASE MATERIAL'!$A:$D,4))</f>
        <v/>
      </c>
      <c r="H314" s="56" t="str">
        <f t="shared" si="29"/>
        <v/>
      </c>
      <c r="I314" s="2"/>
      <c r="L314" s="2"/>
      <c r="M314" s="2"/>
      <c r="N314" s="39"/>
      <c r="O314" s="2"/>
      <c r="P314" s="2"/>
    </row>
    <row r="315" spans="1:16" x14ac:dyDescent="0.25">
      <c r="B315" s="38" t="str">
        <f>IF($A315=0,"",VLOOKUP($A315,'BASE MATERIAL'!$A:$D,2))</f>
        <v/>
      </c>
      <c r="C315" s="2"/>
      <c r="D315" s="77"/>
      <c r="E315" s="78" t="str">
        <f>IF($A315=0,"",VLOOKUP($A315,'BASE MATERIAL'!$A:$D,3))</f>
        <v/>
      </c>
      <c r="F315" s="55"/>
      <c r="G315" s="55" t="str">
        <f>IF($A315=0,"",VLOOKUP($A315,'BASE MATERIAL'!$A:$D,4))</f>
        <v/>
      </c>
      <c r="H315" s="56" t="str">
        <f t="shared" si="29"/>
        <v/>
      </c>
      <c r="I315" s="2"/>
      <c r="L315" s="2"/>
      <c r="M315" s="2"/>
      <c r="N315" s="39"/>
      <c r="O315" s="2"/>
      <c r="P315" s="2"/>
    </row>
    <row r="316" spans="1:16" x14ac:dyDescent="0.25">
      <c r="B316" s="38" t="str">
        <f>IF($A316=0,"",VLOOKUP($A316,'BASE MATERIAL'!$A:$D,2))</f>
        <v/>
      </c>
      <c r="C316" s="2"/>
      <c r="D316" s="77"/>
      <c r="E316" s="78" t="str">
        <f>IF($A316=0,"",VLOOKUP($A316,'BASE MATERIAL'!$A:$D,3))</f>
        <v/>
      </c>
      <c r="F316" s="55"/>
      <c r="G316" s="55" t="str">
        <f>IF($A316=0,"",VLOOKUP($A316,'BASE MATERIAL'!$A:$D,4))</f>
        <v/>
      </c>
      <c r="H316" s="56" t="str">
        <f t="shared" si="29"/>
        <v/>
      </c>
      <c r="I316" s="2"/>
      <c r="L316" s="2"/>
      <c r="M316" s="2"/>
      <c r="N316" s="39"/>
      <c r="O316" s="2"/>
      <c r="P316" s="2"/>
    </row>
    <row r="317" spans="1:16" x14ac:dyDescent="0.25">
      <c r="B317" s="38" t="str">
        <f>IF($A317=0,"",VLOOKUP($A317,'BASE MATERIAL'!$A:$D,2))</f>
        <v/>
      </c>
      <c r="C317" s="2"/>
      <c r="D317" s="77"/>
      <c r="E317" s="78" t="str">
        <f>IF($A317=0,"",VLOOKUP($A317,'BASE MATERIAL'!$A:$D,3))</f>
        <v/>
      </c>
      <c r="F317" s="55"/>
      <c r="G317" s="55" t="str">
        <f>IF($A317=0,"",VLOOKUP($A317,'BASE MATERIAL'!$A:$D,4))</f>
        <v/>
      </c>
      <c r="H317" s="56" t="str">
        <f t="shared" si="29"/>
        <v/>
      </c>
      <c r="I317" s="2"/>
    </row>
    <row r="318" spans="1:16" x14ac:dyDescent="0.25">
      <c r="B318" s="38" t="str">
        <f>IF($A318=0,"",VLOOKUP($A318,'BASE MATERIAL'!$A:$D,2))</f>
        <v/>
      </c>
      <c r="C318" s="2"/>
      <c r="D318" s="77"/>
      <c r="E318" s="78" t="str">
        <f>IF($A318=0,"",VLOOKUP($A318,'BASE MATERIAL'!$A:$D,3))</f>
        <v/>
      </c>
      <c r="F318" s="55"/>
      <c r="G318" s="55" t="str">
        <f>IF($A318=0,"",VLOOKUP($A318,'BASE MATERIAL'!$A:$D,4))</f>
        <v/>
      </c>
      <c r="H318" s="56" t="str">
        <f t="shared" si="29"/>
        <v/>
      </c>
      <c r="I318" s="2"/>
      <c r="L318" s="2"/>
      <c r="M318" s="2"/>
      <c r="N318" s="39"/>
      <c r="O318" s="2"/>
      <c r="P318" s="2"/>
    </row>
    <row r="319" spans="1:16" x14ac:dyDescent="0.25">
      <c r="B319" s="38" t="str">
        <f>IF($A319=0,"",VLOOKUP($A319,'BASE MATERIAL'!$A:$D,2))</f>
        <v/>
      </c>
      <c r="C319" s="2"/>
      <c r="D319" s="77"/>
      <c r="E319" s="78" t="str">
        <f>IF($A319=0,"",VLOOKUP($A319,'BASE MATERIAL'!$A:$D,3))</f>
        <v/>
      </c>
      <c r="F319" s="55"/>
      <c r="G319" s="55" t="str">
        <f>IF($A319=0,"",VLOOKUP($A319,'BASE MATERIAL'!$A:$D,4))</f>
        <v/>
      </c>
      <c r="H319" s="56" t="str">
        <f t="shared" si="29"/>
        <v/>
      </c>
      <c r="I319" s="2"/>
      <c r="L319" s="2"/>
      <c r="M319" s="2"/>
      <c r="N319" s="39"/>
      <c r="O319" s="2"/>
      <c r="P319" s="2"/>
    </row>
    <row r="320" spans="1:16" x14ac:dyDescent="0.25">
      <c r="B320" s="38" t="str">
        <f>IF($A320=0,"",VLOOKUP($A320,'BASE MATERIAL'!$A:$D,2))</f>
        <v/>
      </c>
      <c r="C320" s="2"/>
      <c r="D320" s="77"/>
      <c r="E320" s="78" t="str">
        <f>IF($A320=0,"",VLOOKUP($A320,'BASE MATERIAL'!$A:$D,3))</f>
        <v/>
      </c>
      <c r="F320" s="55"/>
      <c r="G320" s="55" t="str">
        <f>IF($A320=0,"",VLOOKUP($A320,'BASE MATERIAL'!$A:$D,4))</f>
        <v/>
      </c>
      <c r="H320" s="56" t="str">
        <f t="shared" si="29"/>
        <v/>
      </c>
      <c r="I320" s="2"/>
    </row>
    <row r="321" spans="1:9" x14ac:dyDescent="0.25">
      <c r="B321" s="38" t="str">
        <f>IF($A321=0,"",VLOOKUP($A321,'BASE MATERIAL'!$A:$D,2))</f>
        <v/>
      </c>
      <c r="C321" s="2"/>
      <c r="D321" s="77"/>
      <c r="E321" s="78" t="str">
        <f>IF($A321=0,"",VLOOKUP($A321,'BASE MATERIAL'!$A:$D,3))</f>
        <v/>
      </c>
      <c r="F321" s="55"/>
      <c r="G321" s="55" t="str">
        <f>IF($A321=0,"",VLOOKUP($A321,'BASE MATERIAL'!$A:$D,4))</f>
        <v/>
      </c>
      <c r="H321" s="56" t="str">
        <f t="shared" si="29"/>
        <v/>
      </c>
      <c r="I321" s="2"/>
    </row>
    <row r="322" spans="1:9" x14ac:dyDescent="0.25">
      <c r="B322" s="38" t="str">
        <f>IF($A322=0,"",VLOOKUP($A322,'BASE MATERIAL'!$A:$D,2))</f>
        <v/>
      </c>
      <c r="C322" s="2"/>
      <c r="D322" s="77"/>
      <c r="E322" s="78" t="str">
        <f>IF($A322=0,"",VLOOKUP($A322,'BASE MATERIAL'!$A:$D,3))</f>
        <v/>
      </c>
      <c r="F322" s="55"/>
      <c r="G322" s="55" t="str">
        <f>IF($A322=0,"",VLOOKUP($A322,'BASE MATERIAL'!$A:$D,4))</f>
        <v/>
      </c>
      <c r="H322" s="56" t="str">
        <f t="shared" si="29"/>
        <v/>
      </c>
      <c r="I322" s="2"/>
    </row>
    <row r="323" spans="1:9" x14ac:dyDescent="0.25">
      <c r="B323" s="38" t="str">
        <f>IF($A323=0,"",VLOOKUP($A323,'BASE MATERIAL'!$A:$D,2))</f>
        <v/>
      </c>
      <c r="C323" s="2"/>
      <c r="D323" s="77"/>
      <c r="E323" s="78" t="str">
        <f>IF($A323=0,"",VLOOKUP($A323,'BASE MATERIAL'!$A:$D,3))</f>
        <v/>
      </c>
      <c r="F323" s="55"/>
      <c r="G323" s="55" t="str">
        <f>IF($A323=0,"",VLOOKUP($A323,'BASE MATERIAL'!$A:$D,4))</f>
        <v/>
      </c>
      <c r="H323" s="56" t="str">
        <f t="shared" si="29"/>
        <v/>
      </c>
      <c r="I323" s="2"/>
    </row>
    <row r="324" spans="1:9" x14ac:dyDescent="0.25">
      <c r="B324" s="38" t="str">
        <f>IF($A324=0,"",VLOOKUP($A324,'BASE MATERIAL'!$A:$D,2))</f>
        <v/>
      </c>
      <c r="C324" s="2"/>
      <c r="D324" s="81" t="s">
        <v>1682</v>
      </c>
      <c r="E324" s="55" t="str">
        <f>IF($A324=0,"",VLOOKUP($A324,'BASE MATERIAL'!$A:$D,3))</f>
        <v/>
      </c>
      <c r="F324" s="55" t="s">
        <v>1682</v>
      </c>
      <c r="G324" s="55" t="str">
        <f>IF($A324=0,"",VLOOKUP($A324,'BASE MATERIAL'!$A:$D,4))</f>
        <v/>
      </c>
      <c r="H324" s="56" t="str">
        <f>IF($A324=0,"",ROUND(E324*F324,2))</f>
        <v/>
      </c>
      <c r="I324" s="2"/>
    </row>
    <row r="325" spans="1:9" x14ac:dyDescent="0.25">
      <c r="B325" s="73" t="s">
        <v>1681</v>
      </c>
      <c r="C325" s="65"/>
      <c r="D325" s="74"/>
      <c r="E325" s="74"/>
      <c r="F325" s="74"/>
      <c r="G325" s="74"/>
      <c r="H325" s="75">
        <f>ROUND(SUM(H308:H324),2)</f>
        <v>20.149999999999999</v>
      </c>
      <c r="I325" s="2"/>
    </row>
    <row r="326" spans="1:9" x14ac:dyDescent="0.25">
      <c r="B326" s="38" t="s">
        <v>1680</v>
      </c>
      <c r="C326" s="2"/>
      <c r="D326" s="3"/>
      <c r="E326" s="3"/>
      <c r="F326" s="3"/>
      <c r="G326" s="3"/>
      <c r="H326" s="56"/>
      <c r="I326" s="2"/>
    </row>
    <row r="327" spans="1:9" ht="25.5" x14ac:dyDescent="0.25">
      <c r="B327" s="64" t="s">
        <v>1409</v>
      </c>
      <c r="C327" s="65"/>
      <c r="D327" s="76"/>
      <c r="E327" s="66" t="s">
        <v>1408</v>
      </c>
      <c r="F327" s="66" t="s">
        <v>1679</v>
      </c>
      <c r="G327" s="66" t="s">
        <v>1676</v>
      </c>
      <c r="H327" s="68" t="s">
        <v>1675</v>
      </c>
      <c r="I327" s="2"/>
    </row>
    <row r="328" spans="1:9" x14ac:dyDescent="0.25">
      <c r="A328" s="103">
        <v>19019</v>
      </c>
      <c r="B328" s="51" t="str">
        <f>IF($A328=0,"",VLOOKUP($A328,'BASE EQUIPO'!$A:$D,2))</f>
        <v>TRANSPORTE DE MATERIAL</v>
      </c>
      <c r="C328" s="52"/>
      <c r="D328" s="82"/>
      <c r="E328" s="78" t="str">
        <f>IF($A328=0,"",VLOOKUP($A328,'BASE EQUIPO'!$A:$D,3))</f>
        <v>GLOBAL</v>
      </c>
      <c r="F328" s="55">
        <v>1</v>
      </c>
      <c r="G328" s="83">
        <f>IF($A328=0,"",VLOOKUP($A328,'BASE EQUIPO'!$A:$D,4)*H325)</f>
        <v>0.60449999999999993</v>
      </c>
      <c r="H328" s="56">
        <f>IF($A328=0,"",ROUND(F328*G328,2))</f>
        <v>0.6</v>
      </c>
      <c r="I328" s="2"/>
    </row>
    <row r="329" spans="1:9" x14ac:dyDescent="0.25">
      <c r="B329" s="38" t="str">
        <f>IF($A329=0,"",VLOOKUP($A329,'BASE EQUIPO'!$A:$D,2))</f>
        <v/>
      </c>
      <c r="C329" s="2"/>
      <c r="D329" s="84"/>
      <c r="E329" s="78" t="str">
        <f>IF($A329=0,"",VLOOKUP($A329,'BASE EQUIPO'!$A:$D,3))</f>
        <v/>
      </c>
      <c r="F329" s="55"/>
      <c r="G329" s="55" t="str">
        <f>IF($A329=0,"",VLOOKUP($A329,'BASE EQUIPO'!$A:$D,4)*H326)</f>
        <v/>
      </c>
      <c r="H329" s="56" t="str">
        <f>IF($A329=0,"",ROUND(F329*G329,2))</f>
        <v/>
      </c>
      <c r="I329" s="2"/>
    </row>
    <row r="330" spans="1:9" x14ac:dyDescent="0.25">
      <c r="B330" s="57" t="str">
        <f>IF($A330=0,"",VLOOKUP($A330,'BASE EQUIPO'!$A:$D,2))</f>
        <v/>
      </c>
      <c r="C330" s="58"/>
      <c r="D330" s="85"/>
      <c r="E330" s="86" t="str">
        <f>IF($A330=0,"",VLOOKUP($A330,'BASE EQUIPO'!$A:$D,3))</f>
        <v/>
      </c>
      <c r="F330" s="59"/>
      <c r="G330" s="59" t="str">
        <f>IF($A330=0,"",VLOOKUP($A330,'BASE EQUIPO'!$A:$D,4)*H327)</f>
        <v/>
      </c>
      <c r="H330" s="60" t="str">
        <f>IF($A330=0,"",ROUND(F330*G330,2))</f>
        <v/>
      </c>
      <c r="I330" s="2"/>
    </row>
    <row r="331" spans="1:9" ht="15.75" thickBot="1" x14ac:dyDescent="0.3">
      <c r="B331" s="87" t="s">
        <v>1674</v>
      </c>
      <c r="C331" s="88"/>
      <c r="D331" s="89"/>
      <c r="E331" s="89"/>
      <c r="F331" s="89"/>
      <c r="G331" s="89"/>
      <c r="H331" s="90">
        <f>ROUND(SUM(H327:H330),2)</f>
        <v>0.6</v>
      </c>
      <c r="I331" s="2"/>
    </row>
    <row r="332" spans="1:9" ht="15.75" x14ac:dyDescent="0.25">
      <c r="B332" s="2"/>
      <c r="C332" s="2"/>
      <c r="D332" s="91" t="s">
        <v>1673</v>
      </c>
      <c r="E332" s="47"/>
      <c r="F332" s="47"/>
      <c r="G332" s="47"/>
      <c r="H332" s="92">
        <f>ROUND(SUM(H331,H325,H306,H296),2)</f>
        <v>20.75</v>
      </c>
      <c r="I332" s="2"/>
    </row>
    <row r="333" spans="1:9" ht="15.75" x14ac:dyDescent="0.25">
      <c r="A333" s="103">
        <v>40002</v>
      </c>
      <c r="B333" s="2"/>
      <c r="C333" s="2"/>
      <c r="D333" s="93" t="s">
        <v>1672</v>
      </c>
      <c r="E333" s="65"/>
      <c r="F333" s="65"/>
      <c r="G333" s="94">
        <f>IF($A333=0,"",VLOOKUP($A333,'BASE MATERIAL'!$M:$P,4))</f>
        <v>0</v>
      </c>
      <c r="H333" s="95">
        <f>IF($A333=0,"",ROUND(G333*H332,2))</f>
        <v>0</v>
      </c>
      <c r="I333" s="2"/>
    </row>
    <row r="334" spans="1:9" ht="15.75" x14ac:dyDescent="0.25">
      <c r="A334" s="103">
        <v>40003</v>
      </c>
      <c r="B334" s="2"/>
      <c r="C334" s="2"/>
      <c r="D334" s="93" t="s">
        <v>1671</v>
      </c>
      <c r="E334" s="65"/>
      <c r="F334" s="65"/>
      <c r="G334" s="94">
        <f>IF($A334=0,"",VLOOKUP($A334,'BASE MATERIAL'!$M:$P,4))</f>
        <v>0</v>
      </c>
      <c r="H334" s="95">
        <f>IF($A334=0,"",ROUND(G334*H332,2))</f>
        <v>0</v>
      </c>
      <c r="I334" s="2"/>
    </row>
    <row r="335" spans="1:9" ht="15.75" x14ac:dyDescent="0.25">
      <c r="B335" s="2"/>
      <c r="C335" s="2"/>
      <c r="D335" s="93" t="s">
        <v>1670</v>
      </c>
      <c r="E335" s="65"/>
      <c r="F335" s="65"/>
      <c r="G335" s="65"/>
      <c r="H335" s="96">
        <f>ROUND(SUM(H332:H334),2)</f>
        <v>20.75</v>
      </c>
      <c r="I335" s="2"/>
    </row>
    <row r="336" spans="1:9" ht="16.5" thickBot="1" x14ac:dyDescent="0.3">
      <c r="B336" s="25"/>
      <c r="C336" s="2"/>
      <c r="D336" s="97" t="s">
        <v>1650</v>
      </c>
      <c r="E336" s="88"/>
      <c r="F336" s="88"/>
      <c r="G336" s="88"/>
      <c r="H336" s="98">
        <f>ROUND(H335,2)</f>
        <v>20.75</v>
      </c>
      <c r="I336" s="2"/>
    </row>
    <row r="337" spans="1:15" ht="15.75" x14ac:dyDescent="0.25">
      <c r="B337" s="34" t="s">
        <v>1701</v>
      </c>
      <c r="C337" s="2"/>
      <c r="D337" s="3" t="str">
        <f>$D$1</f>
        <v>ESPOL</v>
      </c>
      <c r="E337" s="2"/>
      <c r="F337" s="2"/>
      <c r="H337" s="2" t="s">
        <v>108</v>
      </c>
      <c r="I337" s="2"/>
      <c r="L337" s="40">
        <f>A341</f>
        <v>2</v>
      </c>
      <c r="M337" s="1" t="str">
        <f>C342</f>
        <v>Rejilla de retorno 18x18"</v>
      </c>
      <c r="N337" s="2" t="str">
        <f>H341</f>
        <v>u</v>
      </c>
      <c r="O337" s="2">
        <f>H392</f>
        <v>30.9</v>
      </c>
    </row>
    <row r="338" spans="1:15" ht="15.75" x14ac:dyDescent="0.25">
      <c r="B338" s="34" t="s">
        <v>1700</v>
      </c>
      <c r="C338" s="3">
        <f>'1.1'!$C$2</f>
        <v>0</v>
      </c>
      <c r="D338" s="2"/>
      <c r="E338" s="2"/>
      <c r="F338" s="2"/>
      <c r="G338" s="41" t="s">
        <v>1699</v>
      </c>
      <c r="H338" s="42"/>
      <c r="I338" s="2" t="s">
        <v>1698</v>
      </c>
    </row>
    <row r="339" spans="1:15" ht="15.75" x14ac:dyDescent="0.25">
      <c r="B339" s="34"/>
      <c r="C339" s="3">
        <f>'1.1'!$C$3</f>
        <v>0</v>
      </c>
      <c r="D339" s="2"/>
      <c r="E339" s="2"/>
      <c r="F339" s="2"/>
      <c r="G339" s="2"/>
      <c r="H339" s="2"/>
      <c r="I339" s="2"/>
    </row>
    <row r="340" spans="1:15" ht="15.75" x14ac:dyDescent="0.25">
      <c r="B340" s="34" t="s">
        <v>1697</v>
      </c>
      <c r="C340" s="3"/>
      <c r="D340" s="2"/>
      <c r="E340" s="2"/>
      <c r="F340" s="2"/>
      <c r="G340" s="2"/>
      <c r="H340" s="2"/>
      <c r="I340" s="2"/>
    </row>
    <row r="341" spans="1:15" x14ac:dyDescent="0.25">
      <c r="A341" s="104">
        <v>2</v>
      </c>
      <c r="B341" s="2" t="s">
        <v>1586</v>
      </c>
      <c r="C341" s="101" t="s">
        <v>1326</v>
      </c>
      <c r="D341" s="2"/>
      <c r="G341" s="2" t="s">
        <v>1696</v>
      </c>
      <c r="H341" s="3" t="s">
        <v>1506</v>
      </c>
      <c r="I341" s="2"/>
    </row>
    <row r="342" spans="1:15" x14ac:dyDescent="0.25">
      <c r="B342" s="1" t="s">
        <v>1585</v>
      </c>
      <c r="C342" s="36" t="s">
        <v>138</v>
      </c>
      <c r="D342" s="2"/>
      <c r="E342" s="2"/>
      <c r="F342" s="2"/>
      <c r="G342" s="2"/>
      <c r="H342" s="2"/>
      <c r="I342" s="2"/>
    </row>
    <row r="343" spans="1:15" ht="15.75" thickBot="1" x14ac:dyDescent="0.3">
      <c r="D343" s="2"/>
      <c r="E343" s="2"/>
      <c r="F343" s="2"/>
      <c r="G343" s="2"/>
      <c r="H343" s="2"/>
      <c r="I343" s="2"/>
    </row>
    <row r="344" spans="1:15" ht="15.75" thickBot="1" x14ac:dyDescent="0.3">
      <c r="B344" s="43" t="s">
        <v>1695</v>
      </c>
      <c r="C344" s="44"/>
      <c r="D344" s="44"/>
      <c r="E344" s="44"/>
      <c r="F344" s="44"/>
      <c r="G344" s="44"/>
      <c r="H344" s="45"/>
      <c r="I344" s="2"/>
    </row>
    <row r="345" spans="1:15" ht="25.5" x14ac:dyDescent="0.25">
      <c r="B345" s="46" t="s">
        <v>1409</v>
      </c>
      <c r="C345" s="47"/>
      <c r="D345" s="48" t="s">
        <v>1690</v>
      </c>
      <c r="E345" s="48" t="s">
        <v>1694</v>
      </c>
      <c r="F345" s="48" t="s">
        <v>1693</v>
      </c>
      <c r="G345" s="49" t="s">
        <v>1687</v>
      </c>
      <c r="H345" s="50" t="s">
        <v>1686</v>
      </c>
      <c r="I345" s="2"/>
    </row>
    <row r="346" spans="1:15" x14ac:dyDescent="0.25">
      <c r="B346" s="51" t="str">
        <f>IF($A346=0,"",VLOOKUP($A346,'BASE EQUIPO'!$A:$D,2))</f>
        <v/>
      </c>
      <c r="C346" s="52"/>
      <c r="D346" s="53"/>
      <c r="E346" s="53" t="str">
        <f>IF($A346=0,"",VLOOKUP($A346,'BASE EQUIPO'!$A:$D,4)*H362)</f>
        <v/>
      </c>
      <c r="F346" s="53" t="str">
        <f t="shared" ref="F346:F351" si="30">IF($A346=0,"",ROUND(D346*E346,2))</f>
        <v/>
      </c>
      <c r="G346" s="105"/>
      <c r="H346" s="54" t="str">
        <f t="shared" ref="H346:H351" si="31">IF($A346=0,"",ROUND(G346*F346,2))</f>
        <v/>
      </c>
      <c r="I346" s="2"/>
    </row>
    <row r="347" spans="1:15" x14ac:dyDescent="0.25">
      <c r="B347" s="38" t="str">
        <f>IF($A347=0,"",VLOOKUP($A347,'BASE EQUIPO'!$A:$D,2))</f>
        <v/>
      </c>
      <c r="C347" s="2"/>
      <c r="D347" s="55"/>
      <c r="E347" s="55" t="str">
        <f>IF($A347=0,"",VLOOKUP($A347,'BASE EQUIPO'!$A:$D,4))</f>
        <v/>
      </c>
      <c r="F347" s="55" t="str">
        <f t="shared" si="30"/>
        <v/>
      </c>
      <c r="G347" s="106"/>
      <c r="H347" s="56" t="str">
        <f t="shared" si="31"/>
        <v/>
      </c>
      <c r="I347" s="2"/>
    </row>
    <row r="348" spans="1:15" x14ac:dyDescent="0.25">
      <c r="B348" s="38" t="str">
        <f>IF($A348=0,"",VLOOKUP($A348,'BASE EQUIPO'!$A:$D,2))</f>
        <v/>
      </c>
      <c r="C348" s="2"/>
      <c r="D348" s="55"/>
      <c r="E348" s="55" t="str">
        <f>IF($A348=0,"",VLOOKUP($A348,'BASE EQUIPO'!$A:$D,4))</f>
        <v/>
      </c>
      <c r="F348" s="55" t="str">
        <f t="shared" si="30"/>
        <v/>
      </c>
      <c r="G348" s="106"/>
      <c r="H348" s="56" t="str">
        <f t="shared" si="31"/>
        <v/>
      </c>
      <c r="I348" s="2"/>
    </row>
    <row r="349" spans="1:15" x14ac:dyDescent="0.25">
      <c r="B349" s="38" t="str">
        <f>IF($A349=0,"",VLOOKUP($A349,'BASE EQUIPO'!$A:$D,2))</f>
        <v/>
      </c>
      <c r="C349" s="2"/>
      <c r="D349" s="55"/>
      <c r="E349" s="55" t="str">
        <f>IF($A349=0,"",VLOOKUP($A349,'BASE EQUIPO'!$A:$D,4))</f>
        <v/>
      </c>
      <c r="F349" s="55" t="str">
        <f t="shared" si="30"/>
        <v/>
      </c>
      <c r="G349" s="106"/>
      <c r="H349" s="56" t="str">
        <f t="shared" si="31"/>
        <v/>
      </c>
      <c r="I349" s="2"/>
    </row>
    <row r="350" spans="1:15" x14ac:dyDescent="0.25">
      <c r="B350" s="38" t="str">
        <f>IF($A350=0,"",VLOOKUP($A350,'BASE EQUIPO'!$A:$D,2))</f>
        <v/>
      </c>
      <c r="C350" s="2"/>
      <c r="D350" s="55"/>
      <c r="E350" s="55" t="str">
        <f>IF($A350=0,"",VLOOKUP($A350,'BASE EQUIPO'!$A:$D,4))</f>
        <v/>
      </c>
      <c r="F350" s="55" t="str">
        <f t="shared" si="30"/>
        <v/>
      </c>
      <c r="G350" s="106"/>
      <c r="H350" s="56" t="str">
        <f t="shared" si="31"/>
        <v/>
      </c>
      <c r="I350" s="2"/>
    </row>
    <row r="351" spans="1:15" x14ac:dyDescent="0.25">
      <c r="B351" s="57" t="str">
        <f>IF($A351=0,"",VLOOKUP($A351,'BASE EQUIPO'!$A:$D,2))</f>
        <v/>
      </c>
      <c r="C351" s="58"/>
      <c r="D351" s="59"/>
      <c r="E351" s="59" t="str">
        <f>IF($A351=0,"",VLOOKUP($A351,'BASE EQUIPO'!$A:$D,4))</f>
        <v/>
      </c>
      <c r="F351" s="59" t="str">
        <f t="shared" si="30"/>
        <v/>
      </c>
      <c r="G351" s="107"/>
      <c r="H351" s="60" t="str">
        <f t="shared" si="31"/>
        <v/>
      </c>
      <c r="I351" s="2"/>
    </row>
    <row r="352" spans="1:15" x14ac:dyDescent="0.25">
      <c r="B352" s="57" t="s">
        <v>1692</v>
      </c>
      <c r="C352" s="58"/>
      <c r="D352" s="61"/>
      <c r="E352" s="61"/>
      <c r="F352" s="61"/>
      <c r="G352" s="62"/>
      <c r="H352" s="60">
        <f>ROUND(SUM(H345:H351),2)</f>
        <v>0</v>
      </c>
      <c r="I352" s="2"/>
    </row>
    <row r="353" spans="1:16" x14ac:dyDescent="0.25">
      <c r="B353" s="38" t="s">
        <v>1503</v>
      </c>
      <c r="C353" s="2"/>
      <c r="D353" s="3"/>
      <c r="E353" s="3"/>
      <c r="F353" s="3"/>
      <c r="G353" s="63"/>
      <c r="H353" s="56"/>
      <c r="I353" s="2"/>
    </row>
    <row r="354" spans="1:16" ht="25.5" x14ac:dyDescent="0.25">
      <c r="B354" s="64" t="s">
        <v>1691</v>
      </c>
      <c r="C354" s="65"/>
      <c r="D354" s="66" t="s">
        <v>1690</v>
      </c>
      <c r="E354" s="66" t="s">
        <v>1689</v>
      </c>
      <c r="F354" s="66" t="s">
        <v>1688</v>
      </c>
      <c r="G354" s="67" t="s">
        <v>1687</v>
      </c>
      <c r="H354" s="68" t="s">
        <v>1686</v>
      </c>
      <c r="I354" s="2"/>
    </row>
    <row r="355" spans="1:16" x14ac:dyDescent="0.25">
      <c r="B355" s="69" t="str">
        <f>IF($A355=0,"",VLOOKUP($A355,'BASE M-OBRA'!$A:$D,2))</f>
        <v/>
      </c>
      <c r="C355" s="2"/>
      <c r="D355" s="108"/>
      <c r="E355" s="70" t="str">
        <f>IF($A355=0,"",VLOOKUP($A355,'BASE M-OBRA'!$A:$D,4))</f>
        <v/>
      </c>
      <c r="F355" s="55" t="str">
        <f t="shared" ref="F355:F361" si="32">IF($A355=0,"",ROUND(D355*E355,2))</f>
        <v/>
      </c>
      <c r="G355" s="106" t="str">
        <f>IF($A355=0,"",ROUND(H355/F355,2))</f>
        <v/>
      </c>
      <c r="H355" s="56" t="str">
        <f>IF($A355=0,"",ROUND(SUM(H356:H361)*'BASE M-OBRA'!$D$23,2))</f>
        <v/>
      </c>
      <c r="I355" s="2"/>
    </row>
    <row r="356" spans="1:16" x14ac:dyDescent="0.25">
      <c r="B356" s="69" t="str">
        <f>IF($A356=0,"",VLOOKUP($A356,'BASE M-OBRA'!$A:$D,2))</f>
        <v/>
      </c>
      <c r="C356" s="2"/>
      <c r="D356" s="108"/>
      <c r="E356" s="70" t="str">
        <f>IF($A356=0,"",VLOOKUP($A356,'BASE M-OBRA'!$A:$D,4))</f>
        <v/>
      </c>
      <c r="F356" s="55" t="str">
        <f t="shared" si="32"/>
        <v/>
      </c>
      <c r="G356" s="106"/>
      <c r="H356" s="56" t="str">
        <f t="shared" ref="H356:H361" si="33">IF($A356=0,"",ROUND(G356*F356,2))</f>
        <v/>
      </c>
      <c r="I356" s="2"/>
    </row>
    <row r="357" spans="1:16" x14ac:dyDescent="0.25">
      <c r="B357" s="69" t="str">
        <f>IF($A357=0,"",VLOOKUP($A357,'BASE M-OBRA'!$A:$D,2))</f>
        <v/>
      </c>
      <c r="C357" s="2"/>
      <c r="D357" s="108"/>
      <c r="E357" s="70" t="str">
        <f>IF($A357=0,"",VLOOKUP($A357,'BASE M-OBRA'!$A:$D,4))</f>
        <v/>
      </c>
      <c r="F357" s="55" t="str">
        <f t="shared" si="32"/>
        <v/>
      </c>
      <c r="G357" s="106"/>
      <c r="H357" s="56" t="str">
        <f t="shared" si="33"/>
        <v/>
      </c>
      <c r="I357" s="2"/>
    </row>
    <row r="358" spans="1:16" x14ac:dyDescent="0.25">
      <c r="B358" s="71" t="str">
        <f>IF($A358=0,"",VLOOKUP($A358,'BASE M-OBRA'!$A:$D,2))</f>
        <v/>
      </c>
      <c r="C358" s="2"/>
      <c r="D358" s="108"/>
      <c r="E358" s="70" t="str">
        <f>IF($A358=0,"",VLOOKUP($A358,'BASE M-OBRA'!$A:$D,4))</f>
        <v/>
      </c>
      <c r="F358" s="55" t="str">
        <f t="shared" si="32"/>
        <v/>
      </c>
      <c r="G358" s="106"/>
      <c r="H358" s="56" t="str">
        <f t="shared" si="33"/>
        <v/>
      </c>
      <c r="I358" s="2"/>
    </row>
    <row r="359" spans="1:16" x14ac:dyDescent="0.25">
      <c r="B359" s="72" t="str">
        <f>IF($A359=0,"",VLOOKUP($A359,'BASE M-OBRA'!$A:$D,2))</f>
        <v/>
      </c>
      <c r="C359" s="2"/>
      <c r="D359" s="108"/>
      <c r="E359" s="70" t="str">
        <f>IF($A359=0,"",VLOOKUP($A359,'BASE M-OBRA'!$A:$D,4))</f>
        <v/>
      </c>
      <c r="F359" s="55" t="str">
        <f t="shared" si="32"/>
        <v/>
      </c>
      <c r="G359" s="106"/>
      <c r="H359" s="56" t="str">
        <f t="shared" si="33"/>
        <v/>
      </c>
      <c r="I359" s="2"/>
    </row>
    <row r="360" spans="1:16" x14ac:dyDescent="0.25">
      <c r="B360" s="38" t="str">
        <f>IF($A360=0,"",VLOOKUP($A360,'BASE M-OBRA'!$A:$D,2))</f>
        <v/>
      </c>
      <c r="C360" s="2"/>
      <c r="D360" s="55"/>
      <c r="E360" s="55" t="str">
        <f>IF($A360=0,"",VLOOKUP($A360,'BASE M-OBRA'!$A:$D,4))</f>
        <v/>
      </c>
      <c r="F360" s="55" t="str">
        <f t="shared" si="32"/>
        <v/>
      </c>
      <c r="G360" s="106"/>
      <c r="H360" s="56" t="str">
        <f t="shared" si="33"/>
        <v/>
      </c>
      <c r="I360" s="2"/>
    </row>
    <row r="361" spans="1:16" x14ac:dyDescent="0.25">
      <c r="B361" s="57" t="str">
        <f>IF($A361=0,"",VLOOKUP($A361,'BASE M-OBRA'!$A:$D,2))</f>
        <v/>
      </c>
      <c r="C361" s="58"/>
      <c r="D361" s="59"/>
      <c r="E361" s="59" t="str">
        <f>IF($A361=0,"",VLOOKUP($A361,'BASE M-OBRA'!$A:$D,4))</f>
        <v/>
      </c>
      <c r="F361" s="59" t="str">
        <f t="shared" si="32"/>
        <v/>
      </c>
      <c r="G361" s="107"/>
      <c r="H361" s="60" t="str">
        <f t="shared" si="33"/>
        <v/>
      </c>
      <c r="I361" s="2"/>
    </row>
    <row r="362" spans="1:16" x14ac:dyDescent="0.25">
      <c r="B362" s="73" t="s">
        <v>1685</v>
      </c>
      <c r="C362" s="65"/>
      <c r="D362" s="74"/>
      <c r="E362" s="74"/>
      <c r="F362" s="74"/>
      <c r="G362" s="74"/>
      <c r="H362" s="75">
        <f>ROUND(SUM(H354:H361),2)</f>
        <v>0</v>
      </c>
      <c r="I362" s="2"/>
    </row>
    <row r="363" spans="1:16" x14ac:dyDescent="0.25">
      <c r="B363" s="38" t="s">
        <v>1684</v>
      </c>
      <c r="C363" s="2"/>
      <c r="D363" s="3"/>
      <c r="E363" s="3"/>
      <c r="F363" s="3"/>
      <c r="G363" s="3"/>
      <c r="H363" s="56"/>
      <c r="I363" s="2"/>
    </row>
    <row r="364" spans="1:16" ht="25.5" x14ac:dyDescent="0.25">
      <c r="B364" s="64" t="s">
        <v>1409</v>
      </c>
      <c r="C364" s="65"/>
      <c r="D364" s="76"/>
      <c r="E364" s="66" t="s">
        <v>1408</v>
      </c>
      <c r="F364" s="66" t="s">
        <v>1679</v>
      </c>
      <c r="G364" s="66" t="s">
        <v>1683</v>
      </c>
      <c r="H364" s="68" t="s">
        <v>1675</v>
      </c>
      <c r="I364" s="2"/>
    </row>
    <row r="365" spans="1:16" x14ac:dyDescent="0.25">
      <c r="A365" s="103">
        <v>1</v>
      </c>
      <c r="B365" s="102" t="s">
        <v>138</v>
      </c>
      <c r="C365" s="2"/>
      <c r="D365" s="77"/>
      <c r="E365" s="78" t="s">
        <v>1506</v>
      </c>
      <c r="F365" s="55">
        <v>1</v>
      </c>
      <c r="G365" s="55">
        <v>30</v>
      </c>
      <c r="H365" s="56">
        <f t="shared" ref="H365:H379" si="34">IF($A365=0,"",ROUND(F365*G365,2))</f>
        <v>30</v>
      </c>
      <c r="I365" s="2"/>
      <c r="J365" s="1">
        <v>10.9</v>
      </c>
      <c r="L365" s="2"/>
      <c r="M365" s="2"/>
      <c r="N365" s="39"/>
      <c r="O365" s="2"/>
      <c r="P365" s="2"/>
    </row>
    <row r="366" spans="1:16" x14ac:dyDescent="0.25">
      <c r="B366" s="102"/>
      <c r="C366" s="2"/>
      <c r="D366" s="77"/>
      <c r="E366" s="78" t="str">
        <f>IF($A366=0,"",VLOOKUP($A366,'BASE MATERIAL'!$A:$D,3))</f>
        <v/>
      </c>
      <c r="F366" s="55"/>
      <c r="G366" s="55" t="str">
        <f>IF($A366=0,"",VLOOKUP($A366,'BASE MATERIAL'!$A:$D,4))</f>
        <v/>
      </c>
      <c r="H366" s="56" t="str">
        <f t="shared" si="34"/>
        <v/>
      </c>
      <c r="I366" s="2"/>
      <c r="L366" s="2"/>
      <c r="M366" s="2"/>
      <c r="N366" s="39"/>
      <c r="O366" s="2"/>
      <c r="P366" s="2"/>
    </row>
    <row r="367" spans="1:16" x14ac:dyDescent="0.25">
      <c r="B367" s="38" t="str">
        <f>IF($A367=0,"",VLOOKUP($A367,'BASE MATERIAL'!$A:$D,2))</f>
        <v/>
      </c>
      <c r="C367" s="2"/>
      <c r="D367" s="77"/>
      <c r="E367" s="78" t="str">
        <f>IF($A367=0,"",VLOOKUP($A367,'BASE MATERIAL'!$A:$D,3))</f>
        <v/>
      </c>
      <c r="F367" s="55"/>
      <c r="G367" s="55" t="str">
        <f>IF($A367=0,"",VLOOKUP($A367,'BASE MATERIAL'!$A:$D,4))</f>
        <v/>
      </c>
      <c r="H367" s="56" t="str">
        <f t="shared" si="34"/>
        <v/>
      </c>
      <c r="I367" s="2"/>
      <c r="L367" s="2"/>
      <c r="M367" s="2"/>
      <c r="N367" s="39"/>
      <c r="O367" s="2"/>
      <c r="P367" s="2"/>
    </row>
    <row r="368" spans="1:16" x14ac:dyDescent="0.25">
      <c r="B368" s="38" t="str">
        <f>IF($A368=0,"",VLOOKUP($A368,'BASE MATERIAL'!$A:$D,2))</f>
        <v/>
      </c>
      <c r="C368" s="2"/>
      <c r="D368" s="77"/>
      <c r="E368" s="78" t="str">
        <f>IF($A368=0,"",VLOOKUP($A368,'BASE MATERIAL'!$A:$D,3))</f>
        <v/>
      </c>
      <c r="F368" s="55"/>
      <c r="G368" s="55" t="str">
        <f>IF($A368=0,"",VLOOKUP($A368,'BASE MATERIAL'!$A:$D,4))</f>
        <v/>
      </c>
      <c r="H368" s="56" t="str">
        <f t="shared" si="34"/>
        <v/>
      </c>
      <c r="I368" s="2"/>
      <c r="L368" s="2"/>
      <c r="M368" s="2"/>
      <c r="N368" s="39"/>
      <c r="O368" s="2"/>
      <c r="P368" s="2"/>
    </row>
    <row r="369" spans="1:16" x14ac:dyDescent="0.25">
      <c r="B369" s="38" t="str">
        <f>IF($A369=0,"",VLOOKUP($A369,'BASE MATERIAL'!$A:$D,2))</f>
        <v/>
      </c>
      <c r="C369" s="2"/>
      <c r="D369" s="77"/>
      <c r="E369" s="78" t="str">
        <f>IF($A369=0,"",VLOOKUP($A369,'BASE MATERIAL'!$A:$D,3))</f>
        <v/>
      </c>
      <c r="F369" s="55"/>
      <c r="G369" s="55" t="str">
        <f>IF($A369=0,"",VLOOKUP($A369,'BASE MATERIAL'!$A:$D,4))</f>
        <v/>
      </c>
      <c r="H369" s="56" t="str">
        <f t="shared" si="34"/>
        <v/>
      </c>
      <c r="I369" s="2"/>
      <c r="L369" s="2"/>
      <c r="M369" s="2"/>
      <c r="N369" s="39"/>
      <c r="O369" s="2"/>
      <c r="P369" s="2"/>
    </row>
    <row r="370" spans="1:16" x14ac:dyDescent="0.25">
      <c r="B370" s="38" t="str">
        <f>IF($A370=0,"",VLOOKUP($A370,'BASE MATERIAL'!$A:$D,2))</f>
        <v/>
      </c>
      <c r="C370" s="2"/>
      <c r="D370" s="77"/>
      <c r="E370" s="78" t="str">
        <f>IF($A370=0,"",VLOOKUP($A370,'BASE MATERIAL'!$A:$D,3))</f>
        <v/>
      </c>
      <c r="F370" s="55"/>
      <c r="G370" s="55" t="str">
        <f>IF($A370=0,"",VLOOKUP($A370,'BASE MATERIAL'!$A:$D,4))</f>
        <v/>
      </c>
      <c r="H370" s="56" t="str">
        <f t="shared" si="34"/>
        <v/>
      </c>
      <c r="I370" s="2"/>
      <c r="L370" s="2"/>
      <c r="M370" s="2"/>
      <c r="N370" s="39"/>
      <c r="O370" s="2"/>
      <c r="P370" s="2"/>
    </row>
    <row r="371" spans="1:16" x14ac:dyDescent="0.25">
      <c r="B371" s="38" t="str">
        <f>IF($A371=0,"",VLOOKUP($A371,'BASE MATERIAL'!$A:$D,2))</f>
        <v/>
      </c>
      <c r="C371" s="2"/>
      <c r="D371" s="77"/>
      <c r="E371" s="78" t="str">
        <f>IF($A371=0,"",VLOOKUP($A371,'BASE MATERIAL'!$A:$D,3))</f>
        <v/>
      </c>
      <c r="F371" s="55"/>
      <c r="G371" s="55" t="str">
        <f>IF($A371=0,"",VLOOKUP($A371,'BASE MATERIAL'!$A:$D,4))</f>
        <v/>
      </c>
      <c r="H371" s="56" t="str">
        <f t="shared" si="34"/>
        <v/>
      </c>
      <c r="I371" s="2"/>
      <c r="L371" s="2"/>
      <c r="M371" s="2"/>
      <c r="N371" s="39"/>
      <c r="O371" s="2"/>
      <c r="P371" s="2"/>
    </row>
    <row r="372" spans="1:16" x14ac:dyDescent="0.25">
      <c r="B372" s="38" t="str">
        <f>IF($A372=0,"",VLOOKUP($A372,'BASE MATERIAL'!$A:$D,2))</f>
        <v/>
      </c>
      <c r="C372" s="2"/>
      <c r="D372" s="77"/>
      <c r="E372" s="78" t="str">
        <f>IF($A372=0,"",VLOOKUP($A372,'BASE MATERIAL'!$A:$D,3))</f>
        <v/>
      </c>
      <c r="F372" s="55"/>
      <c r="G372" s="55" t="str">
        <f>IF($A372=0,"",VLOOKUP($A372,'BASE MATERIAL'!$A:$D,4))</f>
        <v/>
      </c>
      <c r="H372" s="56" t="str">
        <f t="shared" si="34"/>
        <v/>
      </c>
      <c r="I372" s="2"/>
      <c r="L372" s="2"/>
      <c r="M372" s="2"/>
      <c r="N372" s="39"/>
      <c r="O372" s="2"/>
      <c r="P372" s="2"/>
    </row>
    <row r="373" spans="1:16" x14ac:dyDescent="0.25">
      <c r="B373" s="38" t="str">
        <f>IF($A373=0,"",VLOOKUP($A373,'BASE MATERIAL'!$A:$D,2))</f>
        <v/>
      </c>
      <c r="C373" s="2"/>
      <c r="D373" s="77"/>
      <c r="E373" s="78" t="str">
        <f>IF($A373=0,"",VLOOKUP($A373,'BASE MATERIAL'!$A:$D,3))</f>
        <v/>
      </c>
      <c r="F373" s="55"/>
      <c r="G373" s="55" t="str">
        <f>IF($A373=0,"",VLOOKUP($A373,'BASE MATERIAL'!$A:$D,4))</f>
        <v/>
      </c>
      <c r="H373" s="56" t="str">
        <f t="shared" si="34"/>
        <v/>
      </c>
      <c r="I373" s="2"/>
    </row>
    <row r="374" spans="1:16" x14ac:dyDescent="0.25">
      <c r="B374" s="38" t="str">
        <f>IF($A374=0,"",VLOOKUP($A374,'BASE MATERIAL'!$A:$D,2))</f>
        <v/>
      </c>
      <c r="C374" s="2"/>
      <c r="D374" s="77"/>
      <c r="E374" s="78" t="str">
        <f>IF($A374=0,"",VLOOKUP($A374,'BASE MATERIAL'!$A:$D,3))</f>
        <v/>
      </c>
      <c r="F374" s="55"/>
      <c r="G374" s="55" t="str">
        <f>IF($A374=0,"",VLOOKUP($A374,'BASE MATERIAL'!$A:$D,4))</f>
        <v/>
      </c>
      <c r="H374" s="56" t="str">
        <f t="shared" si="34"/>
        <v/>
      </c>
      <c r="I374" s="2"/>
      <c r="L374" s="2"/>
      <c r="M374" s="2"/>
      <c r="N374" s="39"/>
      <c r="O374" s="2"/>
      <c r="P374" s="2"/>
    </row>
    <row r="375" spans="1:16" x14ac:dyDescent="0.25">
      <c r="B375" s="38" t="str">
        <f>IF($A375=0,"",VLOOKUP($A375,'BASE MATERIAL'!$A:$D,2))</f>
        <v/>
      </c>
      <c r="C375" s="2"/>
      <c r="D375" s="77"/>
      <c r="E375" s="78" t="str">
        <f>IF($A375=0,"",VLOOKUP($A375,'BASE MATERIAL'!$A:$D,3))</f>
        <v/>
      </c>
      <c r="F375" s="55"/>
      <c r="G375" s="55" t="str">
        <f>IF($A375=0,"",VLOOKUP($A375,'BASE MATERIAL'!$A:$D,4))</f>
        <v/>
      </c>
      <c r="H375" s="56" t="str">
        <f t="shared" si="34"/>
        <v/>
      </c>
      <c r="I375" s="2"/>
      <c r="L375" s="2"/>
      <c r="M375" s="2"/>
      <c r="N375" s="39"/>
      <c r="O375" s="2"/>
      <c r="P375" s="2"/>
    </row>
    <row r="376" spans="1:16" x14ac:dyDescent="0.25">
      <c r="B376" s="38" t="str">
        <f>IF($A376=0,"",VLOOKUP($A376,'BASE MATERIAL'!$A:$D,2))</f>
        <v/>
      </c>
      <c r="C376" s="2"/>
      <c r="D376" s="77"/>
      <c r="E376" s="78" t="str">
        <f>IF($A376=0,"",VLOOKUP($A376,'BASE MATERIAL'!$A:$D,3))</f>
        <v/>
      </c>
      <c r="F376" s="55"/>
      <c r="G376" s="55" t="str">
        <f>IF($A376=0,"",VLOOKUP($A376,'BASE MATERIAL'!$A:$D,4))</f>
        <v/>
      </c>
      <c r="H376" s="56" t="str">
        <f t="shared" si="34"/>
        <v/>
      </c>
      <c r="I376" s="2"/>
    </row>
    <row r="377" spans="1:16" x14ac:dyDescent="0.25">
      <c r="B377" s="38" t="str">
        <f>IF($A377=0,"",VLOOKUP($A377,'BASE MATERIAL'!$A:$D,2))</f>
        <v/>
      </c>
      <c r="C377" s="2"/>
      <c r="D377" s="77"/>
      <c r="E377" s="78" t="str">
        <f>IF($A377=0,"",VLOOKUP($A377,'BASE MATERIAL'!$A:$D,3))</f>
        <v/>
      </c>
      <c r="F377" s="55"/>
      <c r="G377" s="55" t="str">
        <f>IF($A377=0,"",VLOOKUP($A377,'BASE MATERIAL'!$A:$D,4))</f>
        <v/>
      </c>
      <c r="H377" s="56" t="str">
        <f t="shared" si="34"/>
        <v/>
      </c>
      <c r="I377" s="2"/>
    </row>
    <row r="378" spans="1:16" x14ac:dyDescent="0.25">
      <c r="B378" s="38" t="str">
        <f>IF($A378=0,"",VLOOKUP($A378,'BASE MATERIAL'!$A:$D,2))</f>
        <v/>
      </c>
      <c r="C378" s="2"/>
      <c r="D378" s="77"/>
      <c r="E378" s="78" t="str">
        <f>IF($A378=0,"",VLOOKUP($A378,'BASE MATERIAL'!$A:$D,3))</f>
        <v/>
      </c>
      <c r="F378" s="55"/>
      <c r="G378" s="55" t="str">
        <f>IF($A378=0,"",VLOOKUP($A378,'BASE MATERIAL'!$A:$D,4))</f>
        <v/>
      </c>
      <c r="H378" s="56" t="str">
        <f t="shared" si="34"/>
        <v/>
      </c>
      <c r="I378" s="2"/>
    </row>
    <row r="379" spans="1:16" x14ac:dyDescent="0.25">
      <c r="B379" s="38" t="str">
        <f>IF($A379=0,"",VLOOKUP($A379,'BASE MATERIAL'!$A:$D,2))</f>
        <v/>
      </c>
      <c r="C379" s="2"/>
      <c r="D379" s="77"/>
      <c r="E379" s="78" t="str">
        <f>IF($A379=0,"",VLOOKUP($A379,'BASE MATERIAL'!$A:$D,3))</f>
        <v/>
      </c>
      <c r="F379" s="55"/>
      <c r="G379" s="55" t="str">
        <f>IF($A379=0,"",VLOOKUP($A379,'BASE MATERIAL'!$A:$D,4))</f>
        <v/>
      </c>
      <c r="H379" s="56" t="str">
        <f t="shared" si="34"/>
        <v/>
      </c>
      <c r="I379" s="2"/>
    </row>
    <row r="380" spans="1:16" x14ac:dyDescent="0.25">
      <c r="B380" s="38" t="str">
        <f>IF($A380=0,"",VLOOKUP($A380,'BASE MATERIAL'!$A:$D,2))</f>
        <v/>
      </c>
      <c r="C380" s="2"/>
      <c r="D380" s="81" t="s">
        <v>1682</v>
      </c>
      <c r="E380" s="55" t="str">
        <f>IF($A380=0,"",VLOOKUP($A380,'BASE MATERIAL'!$A:$D,3))</f>
        <v/>
      </c>
      <c r="F380" s="55" t="s">
        <v>1682</v>
      </c>
      <c r="G380" s="55" t="str">
        <f>IF($A380=0,"",VLOOKUP($A380,'BASE MATERIAL'!$A:$D,4))</f>
        <v/>
      </c>
      <c r="H380" s="56" t="str">
        <f>IF($A380=0,"",ROUND(E380*F380,2))</f>
        <v/>
      </c>
      <c r="I380" s="2"/>
    </row>
    <row r="381" spans="1:16" x14ac:dyDescent="0.25">
      <c r="B381" s="73" t="s">
        <v>1681</v>
      </c>
      <c r="C381" s="65"/>
      <c r="D381" s="74"/>
      <c r="E381" s="74"/>
      <c r="F381" s="74"/>
      <c r="G381" s="74"/>
      <c r="H381" s="75">
        <f>ROUND(SUM(H364:H380),2)</f>
        <v>30</v>
      </c>
      <c r="I381" s="2"/>
    </row>
    <row r="382" spans="1:16" x14ac:dyDescent="0.25">
      <c r="B382" s="38" t="s">
        <v>1680</v>
      </c>
      <c r="C382" s="2"/>
      <c r="D382" s="3"/>
      <c r="E382" s="3"/>
      <c r="F382" s="3"/>
      <c r="G382" s="3"/>
      <c r="H382" s="56"/>
      <c r="I382" s="2"/>
    </row>
    <row r="383" spans="1:16" ht="25.5" x14ac:dyDescent="0.25">
      <c r="B383" s="64" t="s">
        <v>1409</v>
      </c>
      <c r="C383" s="65"/>
      <c r="D383" s="76"/>
      <c r="E383" s="66" t="s">
        <v>1408</v>
      </c>
      <c r="F383" s="66" t="s">
        <v>1679</v>
      </c>
      <c r="G383" s="66" t="s">
        <v>1676</v>
      </c>
      <c r="H383" s="68" t="s">
        <v>1675</v>
      </c>
      <c r="I383" s="2"/>
    </row>
    <row r="384" spans="1:16" x14ac:dyDescent="0.25">
      <c r="A384" s="103">
        <v>19019</v>
      </c>
      <c r="B384" s="51" t="str">
        <f>IF($A384=0,"",VLOOKUP($A384,'BASE EQUIPO'!$A:$D,2))</f>
        <v>TRANSPORTE DE MATERIAL</v>
      </c>
      <c r="C384" s="52"/>
      <c r="D384" s="82"/>
      <c r="E384" s="78" t="str">
        <f>IF($A384=0,"",VLOOKUP($A384,'BASE EQUIPO'!$A:$D,3))</f>
        <v>GLOBAL</v>
      </c>
      <c r="F384" s="55">
        <v>1</v>
      </c>
      <c r="G384" s="83">
        <f>IF($A384=0,"",VLOOKUP($A384,'BASE EQUIPO'!$A:$D,4)*H381)</f>
        <v>0.89999999999999991</v>
      </c>
      <c r="H384" s="56">
        <f>IF($A384=0,"",ROUND(F384*G384,2))</f>
        <v>0.9</v>
      </c>
      <c r="I384" s="2"/>
    </row>
    <row r="385" spans="1:15" x14ac:dyDescent="0.25">
      <c r="B385" s="38" t="str">
        <f>IF($A385=0,"",VLOOKUP($A385,'BASE EQUIPO'!$A:$D,2))</f>
        <v/>
      </c>
      <c r="C385" s="2"/>
      <c r="D385" s="84"/>
      <c r="E385" s="78" t="str">
        <f>IF($A385=0,"",VLOOKUP($A385,'BASE EQUIPO'!$A:$D,3))</f>
        <v/>
      </c>
      <c r="F385" s="55"/>
      <c r="G385" s="55" t="str">
        <f>IF($A385=0,"",VLOOKUP($A385,'BASE EQUIPO'!$A:$D,4)*H382)</f>
        <v/>
      </c>
      <c r="H385" s="56" t="str">
        <f>IF($A385=0,"",ROUND(F385*G385,2))</f>
        <v/>
      </c>
      <c r="I385" s="2"/>
    </row>
    <row r="386" spans="1:15" x14ac:dyDescent="0.25">
      <c r="B386" s="57" t="str">
        <f>IF($A386=0,"",VLOOKUP($A386,'BASE EQUIPO'!$A:$D,2))</f>
        <v/>
      </c>
      <c r="C386" s="58"/>
      <c r="D386" s="85"/>
      <c r="E386" s="86" t="str">
        <f>IF($A386=0,"",VLOOKUP($A386,'BASE EQUIPO'!$A:$D,3))</f>
        <v/>
      </c>
      <c r="F386" s="59"/>
      <c r="G386" s="59" t="str">
        <f>IF($A386=0,"",VLOOKUP($A386,'BASE EQUIPO'!$A:$D,4)*H383)</f>
        <v/>
      </c>
      <c r="H386" s="60" t="str">
        <f>IF($A386=0,"",ROUND(F386*G386,2))</f>
        <v/>
      </c>
      <c r="I386" s="2"/>
    </row>
    <row r="387" spans="1:15" ht="15.75" thickBot="1" x14ac:dyDescent="0.3">
      <c r="B387" s="87" t="s">
        <v>1674</v>
      </c>
      <c r="C387" s="88"/>
      <c r="D387" s="89"/>
      <c r="E387" s="89"/>
      <c r="F387" s="89"/>
      <c r="G387" s="89"/>
      <c r="H387" s="90">
        <f>ROUND(SUM(H383:H386),2)</f>
        <v>0.9</v>
      </c>
      <c r="I387" s="2"/>
    </row>
    <row r="388" spans="1:15" ht="15.75" x14ac:dyDescent="0.25">
      <c r="B388" s="2"/>
      <c r="C388" s="2"/>
      <c r="D388" s="91" t="s">
        <v>1673</v>
      </c>
      <c r="E388" s="47"/>
      <c r="F388" s="47"/>
      <c r="G388" s="47"/>
      <c r="H388" s="92">
        <f>ROUND(SUM(H387,H381,H362,H352),2)</f>
        <v>30.9</v>
      </c>
      <c r="I388" s="2"/>
    </row>
    <row r="389" spans="1:15" ht="15.75" x14ac:dyDescent="0.25">
      <c r="A389" s="103">
        <v>40002</v>
      </c>
      <c r="B389" s="2"/>
      <c r="C389" s="2"/>
      <c r="D389" s="93" t="s">
        <v>1672</v>
      </c>
      <c r="E389" s="65"/>
      <c r="F389" s="65"/>
      <c r="G389" s="94">
        <f>IF($A389=0,"",VLOOKUP($A389,'BASE MATERIAL'!$M:$P,4))</f>
        <v>0</v>
      </c>
      <c r="H389" s="95">
        <f>IF($A389=0,"",ROUND(G389*H388,2))</f>
        <v>0</v>
      </c>
      <c r="I389" s="2"/>
    </row>
    <row r="390" spans="1:15" ht="15.75" x14ac:dyDescent="0.25">
      <c r="A390" s="103">
        <v>40003</v>
      </c>
      <c r="B390" s="2"/>
      <c r="C390" s="2"/>
      <c r="D390" s="93" t="s">
        <v>1671</v>
      </c>
      <c r="E390" s="65"/>
      <c r="F390" s="65"/>
      <c r="G390" s="94">
        <f>IF($A390=0,"",VLOOKUP($A390,'BASE MATERIAL'!$M:$P,4))</f>
        <v>0</v>
      </c>
      <c r="H390" s="95">
        <f>IF($A390=0,"",ROUND(G390*H388,2))</f>
        <v>0</v>
      </c>
      <c r="I390" s="2"/>
    </row>
    <row r="391" spans="1:15" ht="15.75" x14ac:dyDescent="0.25">
      <c r="B391" s="2"/>
      <c r="C391" s="2"/>
      <c r="D391" s="93" t="s">
        <v>1670</v>
      </c>
      <c r="E391" s="65"/>
      <c r="F391" s="65"/>
      <c r="G391" s="65"/>
      <c r="H391" s="96">
        <f>ROUND(SUM(H388:H390),2)</f>
        <v>30.9</v>
      </c>
      <c r="I391" s="2"/>
    </row>
    <row r="392" spans="1:15" ht="16.5" thickBot="1" x14ac:dyDescent="0.3">
      <c r="B392" s="25"/>
      <c r="C392" s="2"/>
      <c r="D392" s="97" t="s">
        <v>1650</v>
      </c>
      <c r="E392" s="88"/>
      <c r="F392" s="88"/>
      <c r="G392" s="88"/>
      <c r="H392" s="98">
        <f>ROUND(H391,2)</f>
        <v>30.9</v>
      </c>
      <c r="I392" s="2"/>
    </row>
    <row r="393" spans="1:15" ht="15.75" x14ac:dyDescent="0.25">
      <c r="B393" s="34" t="s">
        <v>1701</v>
      </c>
      <c r="C393" s="2"/>
      <c r="D393" s="3" t="str">
        <f>$D$1</f>
        <v>ESPOL</v>
      </c>
      <c r="E393" s="2"/>
      <c r="F393" s="2"/>
      <c r="H393" s="2" t="s">
        <v>108</v>
      </c>
      <c r="I393" s="2"/>
      <c r="L393" s="40">
        <f>A397</f>
        <v>2</v>
      </c>
      <c r="M393" s="1" t="str">
        <f>C398</f>
        <v>Rejilla de retorno 20x20"</v>
      </c>
      <c r="N393" s="2" t="str">
        <f>H397</f>
        <v>u</v>
      </c>
      <c r="O393" s="2">
        <f>H448</f>
        <v>37.08</v>
      </c>
    </row>
    <row r="394" spans="1:15" ht="15.75" x14ac:dyDescent="0.25">
      <c r="B394" s="34" t="s">
        <v>1700</v>
      </c>
      <c r="C394" s="3">
        <f>'1.1'!$C$2</f>
        <v>0</v>
      </c>
      <c r="D394" s="2"/>
      <c r="E394" s="2"/>
      <c r="F394" s="2"/>
      <c r="G394" s="41" t="s">
        <v>1699</v>
      </c>
      <c r="H394" s="42"/>
      <c r="I394" s="2" t="s">
        <v>1698</v>
      </c>
    </row>
    <row r="395" spans="1:15" ht="15.75" x14ac:dyDescent="0.25">
      <c r="B395" s="34"/>
      <c r="C395" s="3">
        <f>'1.1'!$C$3</f>
        <v>0</v>
      </c>
      <c r="D395" s="2"/>
      <c r="E395" s="2"/>
      <c r="F395" s="2"/>
      <c r="G395" s="2"/>
      <c r="H395" s="2"/>
      <c r="I395" s="2"/>
    </row>
    <row r="396" spans="1:15" ht="15.75" x14ac:dyDescent="0.25">
      <c r="B396" s="34" t="s">
        <v>1697</v>
      </c>
      <c r="C396" s="3"/>
      <c r="D396" s="2"/>
      <c r="E396" s="2"/>
      <c r="F396" s="2"/>
      <c r="G396" s="2"/>
      <c r="H396" s="2"/>
      <c r="I396" s="2"/>
    </row>
    <row r="397" spans="1:15" x14ac:dyDescent="0.25">
      <c r="A397" s="104">
        <v>2</v>
      </c>
      <c r="B397" s="2" t="s">
        <v>1586</v>
      </c>
      <c r="C397" s="101" t="s">
        <v>1327</v>
      </c>
      <c r="D397" s="2"/>
      <c r="G397" s="2" t="s">
        <v>1696</v>
      </c>
      <c r="H397" s="3" t="s">
        <v>1506</v>
      </c>
      <c r="I397" s="2"/>
    </row>
    <row r="398" spans="1:15" x14ac:dyDescent="0.25">
      <c r="B398" s="1" t="s">
        <v>1585</v>
      </c>
      <c r="C398" s="36" t="s">
        <v>139</v>
      </c>
      <c r="D398" s="2"/>
      <c r="E398" s="2"/>
      <c r="F398" s="2"/>
      <c r="G398" s="2"/>
      <c r="H398" s="2"/>
      <c r="I398" s="2"/>
    </row>
    <row r="399" spans="1:15" ht="15.75" thickBot="1" x14ac:dyDescent="0.3">
      <c r="D399" s="2"/>
      <c r="E399" s="2"/>
      <c r="F399" s="2"/>
      <c r="G399" s="2"/>
      <c r="H399" s="2"/>
      <c r="I399" s="2"/>
    </row>
    <row r="400" spans="1:15" ht="15.75" thickBot="1" x14ac:dyDescent="0.3">
      <c r="B400" s="43" t="s">
        <v>1695</v>
      </c>
      <c r="C400" s="44"/>
      <c r="D400" s="44"/>
      <c r="E400" s="44"/>
      <c r="F400" s="44"/>
      <c r="G400" s="44"/>
      <c r="H400" s="45"/>
      <c r="I400" s="2"/>
    </row>
    <row r="401" spans="2:9" ht="25.5" x14ac:dyDescent="0.25">
      <c r="B401" s="46" t="s">
        <v>1409</v>
      </c>
      <c r="C401" s="47"/>
      <c r="D401" s="48" t="s">
        <v>1690</v>
      </c>
      <c r="E401" s="48" t="s">
        <v>1694</v>
      </c>
      <c r="F401" s="48" t="s">
        <v>1693</v>
      </c>
      <c r="G401" s="49" t="s">
        <v>1687</v>
      </c>
      <c r="H401" s="50" t="s">
        <v>1686</v>
      </c>
      <c r="I401" s="2"/>
    </row>
    <row r="402" spans="2:9" x14ac:dyDescent="0.25">
      <c r="B402" s="51" t="str">
        <f>IF($A402=0,"",VLOOKUP($A402,'BASE EQUIPO'!$A:$D,2))</f>
        <v/>
      </c>
      <c r="C402" s="52"/>
      <c r="D402" s="53"/>
      <c r="E402" s="53" t="str">
        <f>IF($A402=0,"",VLOOKUP($A402,'BASE EQUIPO'!$A:$D,4)*H418)</f>
        <v/>
      </c>
      <c r="F402" s="53" t="str">
        <f t="shared" ref="F402:F407" si="35">IF($A402=0,"",ROUND(D402*E402,2))</f>
        <v/>
      </c>
      <c r="G402" s="105"/>
      <c r="H402" s="54" t="str">
        <f t="shared" ref="H402:H407" si="36">IF($A402=0,"",ROUND(G402*F402,2))</f>
        <v/>
      </c>
      <c r="I402" s="2"/>
    </row>
    <row r="403" spans="2:9" x14ac:dyDescent="0.25">
      <c r="B403" s="38" t="str">
        <f>IF($A403=0,"",VLOOKUP($A403,'BASE EQUIPO'!$A:$D,2))</f>
        <v/>
      </c>
      <c r="C403" s="2"/>
      <c r="D403" s="55"/>
      <c r="E403" s="55" t="str">
        <f>IF($A403=0,"",VLOOKUP($A403,'BASE EQUIPO'!$A:$D,4))</f>
        <v/>
      </c>
      <c r="F403" s="55" t="str">
        <f t="shared" si="35"/>
        <v/>
      </c>
      <c r="G403" s="106"/>
      <c r="H403" s="56" t="str">
        <f t="shared" si="36"/>
        <v/>
      </c>
      <c r="I403" s="2"/>
    </row>
    <row r="404" spans="2:9" x14ac:dyDescent="0.25">
      <c r="B404" s="38" t="str">
        <f>IF($A404=0,"",VLOOKUP($A404,'BASE EQUIPO'!$A:$D,2))</f>
        <v/>
      </c>
      <c r="C404" s="2"/>
      <c r="D404" s="55"/>
      <c r="E404" s="55" t="str">
        <f>IF($A404=0,"",VLOOKUP($A404,'BASE EQUIPO'!$A:$D,4))</f>
        <v/>
      </c>
      <c r="F404" s="55" t="str">
        <f t="shared" si="35"/>
        <v/>
      </c>
      <c r="G404" s="106"/>
      <c r="H404" s="56" t="str">
        <f t="shared" si="36"/>
        <v/>
      </c>
      <c r="I404" s="2"/>
    </row>
    <row r="405" spans="2:9" x14ac:dyDescent="0.25">
      <c r="B405" s="38" t="str">
        <f>IF($A405=0,"",VLOOKUP($A405,'BASE EQUIPO'!$A:$D,2))</f>
        <v/>
      </c>
      <c r="C405" s="2"/>
      <c r="D405" s="55"/>
      <c r="E405" s="55" t="str">
        <f>IF($A405=0,"",VLOOKUP($A405,'BASE EQUIPO'!$A:$D,4))</f>
        <v/>
      </c>
      <c r="F405" s="55" t="str">
        <f t="shared" si="35"/>
        <v/>
      </c>
      <c r="G405" s="106"/>
      <c r="H405" s="56" t="str">
        <f t="shared" si="36"/>
        <v/>
      </c>
      <c r="I405" s="2"/>
    </row>
    <row r="406" spans="2:9" x14ac:dyDescent="0.25">
      <c r="B406" s="38" t="str">
        <f>IF($A406=0,"",VLOOKUP($A406,'BASE EQUIPO'!$A:$D,2))</f>
        <v/>
      </c>
      <c r="C406" s="2"/>
      <c r="D406" s="55"/>
      <c r="E406" s="55" t="str">
        <f>IF($A406=0,"",VLOOKUP($A406,'BASE EQUIPO'!$A:$D,4))</f>
        <v/>
      </c>
      <c r="F406" s="55" t="str">
        <f t="shared" si="35"/>
        <v/>
      </c>
      <c r="G406" s="106"/>
      <c r="H406" s="56" t="str">
        <f t="shared" si="36"/>
        <v/>
      </c>
      <c r="I406" s="2"/>
    </row>
    <row r="407" spans="2:9" x14ac:dyDescent="0.25">
      <c r="B407" s="57" t="str">
        <f>IF($A407=0,"",VLOOKUP($A407,'BASE EQUIPO'!$A:$D,2))</f>
        <v/>
      </c>
      <c r="C407" s="58"/>
      <c r="D407" s="59"/>
      <c r="E407" s="59" t="str">
        <f>IF($A407=0,"",VLOOKUP($A407,'BASE EQUIPO'!$A:$D,4))</f>
        <v/>
      </c>
      <c r="F407" s="59" t="str">
        <f t="shared" si="35"/>
        <v/>
      </c>
      <c r="G407" s="107"/>
      <c r="H407" s="60" t="str">
        <f t="shared" si="36"/>
        <v/>
      </c>
      <c r="I407" s="2"/>
    </row>
    <row r="408" spans="2:9" x14ac:dyDescent="0.25">
      <c r="B408" s="57" t="s">
        <v>1692</v>
      </c>
      <c r="C408" s="58"/>
      <c r="D408" s="61"/>
      <c r="E408" s="61"/>
      <c r="F408" s="61"/>
      <c r="G408" s="62"/>
      <c r="H408" s="60">
        <f>ROUND(SUM(H401:H407),2)</f>
        <v>0</v>
      </c>
      <c r="I408" s="2"/>
    </row>
    <row r="409" spans="2:9" x14ac:dyDescent="0.25">
      <c r="B409" s="38" t="s">
        <v>1503</v>
      </c>
      <c r="C409" s="2"/>
      <c r="D409" s="3"/>
      <c r="E409" s="3"/>
      <c r="F409" s="3"/>
      <c r="G409" s="63"/>
      <c r="H409" s="56"/>
      <c r="I409" s="2"/>
    </row>
    <row r="410" spans="2:9" ht="25.5" x14ac:dyDescent="0.25">
      <c r="B410" s="64" t="s">
        <v>1691</v>
      </c>
      <c r="C410" s="65"/>
      <c r="D410" s="66" t="s">
        <v>1690</v>
      </c>
      <c r="E410" s="66" t="s">
        <v>1689</v>
      </c>
      <c r="F410" s="66" t="s">
        <v>1688</v>
      </c>
      <c r="G410" s="67" t="s">
        <v>1687</v>
      </c>
      <c r="H410" s="68" t="s">
        <v>1686</v>
      </c>
      <c r="I410" s="2"/>
    </row>
    <row r="411" spans="2:9" x14ac:dyDescent="0.25">
      <c r="B411" s="69" t="str">
        <f>IF($A411=0,"",VLOOKUP($A411,'BASE M-OBRA'!$A:$D,2))</f>
        <v/>
      </c>
      <c r="C411" s="2"/>
      <c r="D411" s="108"/>
      <c r="E411" s="70" t="str">
        <f>IF($A411=0,"",VLOOKUP($A411,'BASE M-OBRA'!$A:$D,4))</f>
        <v/>
      </c>
      <c r="F411" s="55" t="str">
        <f t="shared" ref="F411:F417" si="37">IF($A411=0,"",ROUND(D411*E411,2))</f>
        <v/>
      </c>
      <c r="G411" s="106" t="str">
        <f>IF($A411=0,"",ROUND(H411/F411,2))</f>
        <v/>
      </c>
      <c r="H411" s="56" t="str">
        <f>IF($A411=0,"",ROUND(SUM(H412:H417)*'BASE M-OBRA'!$D$23,2))</f>
        <v/>
      </c>
      <c r="I411" s="2"/>
    </row>
    <row r="412" spans="2:9" x14ac:dyDescent="0.25">
      <c r="B412" s="69" t="str">
        <f>IF($A412=0,"",VLOOKUP($A412,'BASE M-OBRA'!$A:$D,2))</f>
        <v/>
      </c>
      <c r="C412" s="2"/>
      <c r="D412" s="108"/>
      <c r="E412" s="70" t="str">
        <f>IF($A412=0,"",VLOOKUP($A412,'BASE M-OBRA'!$A:$D,4))</f>
        <v/>
      </c>
      <c r="F412" s="55" t="str">
        <f t="shared" si="37"/>
        <v/>
      </c>
      <c r="G412" s="106"/>
      <c r="H412" s="56" t="str">
        <f t="shared" ref="H412:H417" si="38">IF($A412=0,"",ROUND(G412*F412,2))</f>
        <v/>
      </c>
      <c r="I412" s="2"/>
    </row>
    <row r="413" spans="2:9" x14ac:dyDescent="0.25">
      <c r="B413" s="69" t="str">
        <f>IF($A413=0,"",VLOOKUP($A413,'BASE M-OBRA'!$A:$D,2))</f>
        <v/>
      </c>
      <c r="C413" s="2"/>
      <c r="D413" s="108"/>
      <c r="E413" s="70" t="str">
        <f>IF($A413=0,"",VLOOKUP($A413,'BASE M-OBRA'!$A:$D,4))</f>
        <v/>
      </c>
      <c r="F413" s="55" t="str">
        <f t="shared" si="37"/>
        <v/>
      </c>
      <c r="G413" s="106"/>
      <c r="H413" s="56" t="str">
        <f t="shared" si="38"/>
        <v/>
      </c>
      <c r="I413" s="2"/>
    </row>
    <row r="414" spans="2:9" x14ac:dyDescent="0.25">
      <c r="B414" s="71" t="str">
        <f>IF($A414=0,"",VLOOKUP($A414,'BASE M-OBRA'!$A:$D,2))</f>
        <v/>
      </c>
      <c r="C414" s="2"/>
      <c r="D414" s="108"/>
      <c r="E414" s="70" t="str">
        <f>IF($A414=0,"",VLOOKUP($A414,'BASE M-OBRA'!$A:$D,4))</f>
        <v/>
      </c>
      <c r="F414" s="55" t="str">
        <f t="shared" si="37"/>
        <v/>
      </c>
      <c r="G414" s="106"/>
      <c r="H414" s="56" t="str">
        <f t="shared" si="38"/>
        <v/>
      </c>
      <c r="I414" s="2"/>
    </row>
    <row r="415" spans="2:9" x14ac:dyDescent="0.25">
      <c r="B415" s="72" t="str">
        <f>IF($A415=0,"",VLOOKUP($A415,'BASE M-OBRA'!$A:$D,2))</f>
        <v/>
      </c>
      <c r="C415" s="2"/>
      <c r="D415" s="108"/>
      <c r="E415" s="70" t="str">
        <f>IF($A415=0,"",VLOOKUP($A415,'BASE M-OBRA'!$A:$D,4))</f>
        <v/>
      </c>
      <c r="F415" s="55" t="str">
        <f t="shared" si="37"/>
        <v/>
      </c>
      <c r="G415" s="106"/>
      <c r="H415" s="56" t="str">
        <f t="shared" si="38"/>
        <v/>
      </c>
      <c r="I415" s="2"/>
    </row>
    <row r="416" spans="2:9" x14ac:dyDescent="0.25">
      <c r="B416" s="38" t="str">
        <f>IF($A416=0,"",VLOOKUP($A416,'BASE M-OBRA'!$A:$D,2))</f>
        <v/>
      </c>
      <c r="C416" s="2"/>
      <c r="D416" s="55"/>
      <c r="E416" s="55" t="str">
        <f>IF($A416=0,"",VLOOKUP($A416,'BASE M-OBRA'!$A:$D,4))</f>
        <v/>
      </c>
      <c r="F416" s="55" t="str">
        <f t="shared" si="37"/>
        <v/>
      </c>
      <c r="G416" s="106"/>
      <c r="H416" s="56" t="str">
        <f t="shared" si="38"/>
        <v/>
      </c>
      <c r="I416" s="2"/>
    </row>
    <row r="417" spans="1:16" x14ac:dyDescent="0.25">
      <c r="B417" s="57" t="str">
        <f>IF($A417=0,"",VLOOKUP($A417,'BASE M-OBRA'!$A:$D,2))</f>
        <v/>
      </c>
      <c r="C417" s="58"/>
      <c r="D417" s="59"/>
      <c r="E417" s="59" t="str">
        <f>IF($A417=0,"",VLOOKUP($A417,'BASE M-OBRA'!$A:$D,4))</f>
        <v/>
      </c>
      <c r="F417" s="59" t="str">
        <f t="shared" si="37"/>
        <v/>
      </c>
      <c r="G417" s="107"/>
      <c r="H417" s="60" t="str">
        <f t="shared" si="38"/>
        <v/>
      </c>
      <c r="I417" s="2"/>
    </row>
    <row r="418" spans="1:16" x14ac:dyDescent="0.25">
      <c r="B418" s="73" t="s">
        <v>1685</v>
      </c>
      <c r="C418" s="65"/>
      <c r="D418" s="74"/>
      <c r="E418" s="74"/>
      <c r="F418" s="74"/>
      <c r="G418" s="74"/>
      <c r="H418" s="75">
        <f>ROUND(SUM(H410:H417),2)</f>
        <v>0</v>
      </c>
      <c r="I418" s="2"/>
    </row>
    <row r="419" spans="1:16" x14ac:dyDescent="0.25">
      <c r="B419" s="38" t="s">
        <v>1684</v>
      </c>
      <c r="C419" s="2"/>
      <c r="D419" s="3"/>
      <c r="E419" s="3"/>
      <c r="F419" s="3"/>
      <c r="G419" s="3"/>
      <c r="H419" s="56"/>
      <c r="I419" s="2"/>
    </row>
    <row r="420" spans="1:16" ht="25.5" x14ac:dyDescent="0.25">
      <c r="B420" s="64" t="s">
        <v>1409</v>
      </c>
      <c r="C420" s="65"/>
      <c r="D420" s="76"/>
      <c r="E420" s="66" t="s">
        <v>1408</v>
      </c>
      <c r="F420" s="66" t="s">
        <v>1679</v>
      </c>
      <c r="G420" s="66" t="s">
        <v>1683</v>
      </c>
      <c r="H420" s="68" t="s">
        <v>1675</v>
      </c>
      <c r="I420" s="2"/>
    </row>
    <row r="421" spans="1:16" x14ac:dyDescent="0.25">
      <c r="A421" s="103">
        <v>1</v>
      </c>
      <c r="B421" s="102" t="s">
        <v>139</v>
      </c>
      <c r="C421" s="2"/>
      <c r="D421" s="77"/>
      <c r="E421" s="78" t="s">
        <v>1506</v>
      </c>
      <c r="F421" s="55">
        <v>1</v>
      </c>
      <c r="G421" s="55">
        <v>36</v>
      </c>
      <c r="H421" s="56">
        <f t="shared" ref="H421:H435" si="39">IF($A421=0,"",ROUND(F421*G421,2))</f>
        <v>36</v>
      </c>
      <c r="I421" s="2"/>
      <c r="J421" s="1">
        <v>10.9</v>
      </c>
      <c r="L421" s="2"/>
      <c r="M421" s="2"/>
      <c r="N421" s="39"/>
      <c r="O421" s="2"/>
      <c r="P421" s="2"/>
    </row>
    <row r="422" spans="1:16" x14ac:dyDescent="0.25">
      <c r="B422" s="102"/>
      <c r="C422" s="2"/>
      <c r="D422" s="77"/>
      <c r="E422" s="78" t="str">
        <f>IF($A422=0,"",VLOOKUP($A422,'BASE MATERIAL'!$A:$D,3))</f>
        <v/>
      </c>
      <c r="F422" s="55"/>
      <c r="G422" s="55" t="str">
        <f>IF($A422=0,"",VLOOKUP($A422,'BASE MATERIAL'!$A:$D,4))</f>
        <v/>
      </c>
      <c r="H422" s="56" t="str">
        <f t="shared" si="39"/>
        <v/>
      </c>
      <c r="I422" s="2"/>
      <c r="L422" s="2"/>
      <c r="M422" s="2"/>
      <c r="N422" s="39"/>
      <c r="O422" s="2"/>
      <c r="P422" s="2"/>
    </row>
    <row r="423" spans="1:16" x14ac:dyDescent="0.25">
      <c r="B423" s="38" t="str">
        <f>IF($A423=0,"",VLOOKUP($A423,'BASE MATERIAL'!$A:$D,2))</f>
        <v/>
      </c>
      <c r="C423" s="2"/>
      <c r="D423" s="77"/>
      <c r="E423" s="78" t="str">
        <f>IF($A423=0,"",VLOOKUP($A423,'BASE MATERIAL'!$A:$D,3))</f>
        <v/>
      </c>
      <c r="F423" s="55"/>
      <c r="G423" s="55" t="str">
        <f>IF($A423=0,"",VLOOKUP($A423,'BASE MATERIAL'!$A:$D,4))</f>
        <v/>
      </c>
      <c r="H423" s="56" t="str">
        <f t="shared" si="39"/>
        <v/>
      </c>
      <c r="I423" s="2"/>
      <c r="L423" s="2"/>
      <c r="M423" s="2"/>
      <c r="N423" s="39"/>
      <c r="O423" s="2"/>
      <c r="P423" s="2"/>
    </row>
    <row r="424" spans="1:16" x14ac:dyDescent="0.25">
      <c r="B424" s="38" t="str">
        <f>IF($A424=0,"",VLOOKUP($A424,'BASE MATERIAL'!$A:$D,2))</f>
        <v/>
      </c>
      <c r="C424" s="2"/>
      <c r="D424" s="77"/>
      <c r="E424" s="78" t="str">
        <f>IF($A424=0,"",VLOOKUP($A424,'BASE MATERIAL'!$A:$D,3))</f>
        <v/>
      </c>
      <c r="F424" s="55"/>
      <c r="G424" s="55" t="str">
        <f>IF($A424=0,"",VLOOKUP($A424,'BASE MATERIAL'!$A:$D,4))</f>
        <v/>
      </c>
      <c r="H424" s="56" t="str">
        <f t="shared" si="39"/>
        <v/>
      </c>
      <c r="I424" s="2"/>
      <c r="L424" s="2"/>
      <c r="M424" s="2"/>
      <c r="N424" s="39"/>
      <c r="O424" s="2"/>
      <c r="P424" s="2"/>
    </row>
    <row r="425" spans="1:16" x14ac:dyDescent="0.25">
      <c r="B425" s="38" t="str">
        <f>IF($A425=0,"",VLOOKUP($A425,'BASE MATERIAL'!$A:$D,2))</f>
        <v/>
      </c>
      <c r="C425" s="2"/>
      <c r="D425" s="77"/>
      <c r="E425" s="78" t="str">
        <f>IF($A425=0,"",VLOOKUP($A425,'BASE MATERIAL'!$A:$D,3))</f>
        <v/>
      </c>
      <c r="F425" s="55"/>
      <c r="G425" s="55" t="str">
        <f>IF($A425=0,"",VLOOKUP($A425,'BASE MATERIAL'!$A:$D,4))</f>
        <v/>
      </c>
      <c r="H425" s="56" t="str">
        <f t="shared" si="39"/>
        <v/>
      </c>
      <c r="I425" s="2"/>
      <c r="L425" s="2"/>
      <c r="M425" s="2"/>
      <c r="N425" s="39"/>
      <c r="O425" s="2"/>
      <c r="P425" s="2"/>
    </row>
    <row r="426" spans="1:16" x14ac:dyDescent="0.25">
      <c r="B426" s="38" t="str">
        <f>IF($A426=0,"",VLOOKUP($A426,'BASE MATERIAL'!$A:$D,2))</f>
        <v/>
      </c>
      <c r="C426" s="2"/>
      <c r="D426" s="77"/>
      <c r="E426" s="78" t="str">
        <f>IF($A426=0,"",VLOOKUP($A426,'BASE MATERIAL'!$A:$D,3))</f>
        <v/>
      </c>
      <c r="F426" s="55"/>
      <c r="G426" s="55" t="str">
        <f>IF($A426=0,"",VLOOKUP($A426,'BASE MATERIAL'!$A:$D,4))</f>
        <v/>
      </c>
      <c r="H426" s="56" t="str">
        <f t="shared" si="39"/>
        <v/>
      </c>
      <c r="I426" s="2"/>
      <c r="L426" s="2"/>
      <c r="M426" s="2"/>
      <c r="N426" s="39"/>
      <c r="O426" s="2"/>
      <c r="P426" s="2"/>
    </row>
    <row r="427" spans="1:16" x14ac:dyDescent="0.25">
      <c r="B427" s="38" t="str">
        <f>IF($A427=0,"",VLOOKUP($A427,'BASE MATERIAL'!$A:$D,2))</f>
        <v/>
      </c>
      <c r="C427" s="2"/>
      <c r="D427" s="77"/>
      <c r="E427" s="78" t="str">
        <f>IF($A427=0,"",VLOOKUP($A427,'BASE MATERIAL'!$A:$D,3))</f>
        <v/>
      </c>
      <c r="F427" s="55"/>
      <c r="G427" s="55" t="str">
        <f>IF($A427=0,"",VLOOKUP($A427,'BASE MATERIAL'!$A:$D,4))</f>
        <v/>
      </c>
      <c r="H427" s="56" t="str">
        <f t="shared" si="39"/>
        <v/>
      </c>
      <c r="I427" s="2"/>
      <c r="L427" s="2"/>
      <c r="M427" s="2"/>
      <c r="N427" s="39"/>
      <c r="O427" s="2"/>
      <c r="P427" s="2"/>
    </row>
    <row r="428" spans="1:16" x14ac:dyDescent="0.25">
      <c r="B428" s="38" t="str">
        <f>IF($A428=0,"",VLOOKUP($A428,'BASE MATERIAL'!$A:$D,2))</f>
        <v/>
      </c>
      <c r="C428" s="2"/>
      <c r="D428" s="77"/>
      <c r="E428" s="78" t="str">
        <f>IF($A428=0,"",VLOOKUP($A428,'BASE MATERIAL'!$A:$D,3))</f>
        <v/>
      </c>
      <c r="F428" s="55"/>
      <c r="G428" s="55" t="str">
        <f>IF($A428=0,"",VLOOKUP($A428,'BASE MATERIAL'!$A:$D,4))</f>
        <v/>
      </c>
      <c r="H428" s="56" t="str">
        <f t="shared" si="39"/>
        <v/>
      </c>
      <c r="I428" s="2"/>
      <c r="L428" s="2"/>
      <c r="M428" s="2"/>
      <c r="N428" s="39"/>
      <c r="O428" s="2"/>
      <c r="P428" s="2"/>
    </row>
    <row r="429" spans="1:16" x14ac:dyDescent="0.25">
      <c r="B429" s="38" t="str">
        <f>IF($A429=0,"",VLOOKUP($A429,'BASE MATERIAL'!$A:$D,2))</f>
        <v/>
      </c>
      <c r="C429" s="2"/>
      <c r="D429" s="77"/>
      <c r="E429" s="78" t="str">
        <f>IF($A429=0,"",VLOOKUP($A429,'BASE MATERIAL'!$A:$D,3))</f>
        <v/>
      </c>
      <c r="F429" s="55"/>
      <c r="G429" s="55" t="str">
        <f>IF($A429=0,"",VLOOKUP($A429,'BASE MATERIAL'!$A:$D,4))</f>
        <v/>
      </c>
      <c r="H429" s="56" t="str">
        <f t="shared" si="39"/>
        <v/>
      </c>
      <c r="I429" s="2"/>
    </row>
    <row r="430" spans="1:16" x14ac:dyDescent="0.25">
      <c r="B430" s="38" t="str">
        <f>IF($A430=0,"",VLOOKUP($A430,'BASE MATERIAL'!$A:$D,2))</f>
        <v/>
      </c>
      <c r="C430" s="2"/>
      <c r="D430" s="77"/>
      <c r="E430" s="78" t="str">
        <f>IF($A430=0,"",VLOOKUP($A430,'BASE MATERIAL'!$A:$D,3))</f>
        <v/>
      </c>
      <c r="F430" s="55"/>
      <c r="G430" s="55" t="str">
        <f>IF($A430=0,"",VLOOKUP($A430,'BASE MATERIAL'!$A:$D,4))</f>
        <v/>
      </c>
      <c r="H430" s="56" t="str">
        <f t="shared" si="39"/>
        <v/>
      </c>
      <c r="I430" s="2"/>
      <c r="L430" s="2"/>
      <c r="M430" s="2"/>
      <c r="N430" s="39"/>
      <c r="O430" s="2"/>
      <c r="P430" s="2"/>
    </row>
    <row r="431" spans="1:16" x14ac:dyDescent="0.25">
      <c r="B431" s="38" t="str">
        <f>IF($A431=0,"",VLOOKUP($A431,'BASE MATERIAL'!$A:$D,2))</f>
        <v/>
      </c>
      <c r="C431" s="2"/>
      <c r="D431" s="77"/>
      <c r="E431" s="78" t="str">
        <f>IF($A431=0,"",VLOOKUP($A431,'BASE MATERIAL'!$A:$D,3))</f>
        <v/>
      </c>
      <c r="F431" s="55"/>
      <c r="G431" s="55" t="str">
        <f>IF($A431=0,"",VLOOKUP($A431,'BASE MATERIAL'!$A:$D,4))</f>
        <v/>
      </c>
      <c r="H431" s="56" t="str">
        <f t="shared" si="39"/>
        <v/>
      </c>
      <c r="I431" s="2"/>
      <c r="L431" s="2"/>
      <c r="M431" s="2"/>
      <c r="N431" s="39"/>
      <c r="O431" s="2"/>
      <c r="P431" s="2"/>
    </row>
    <row r="432" spans="1:16" x14ac:dyDescent="0.25">
      <c r="B432" s="38" t="str">
        <f>IF($A432=0,"",VLOOKUP($A432,'BASE MATERIAL'!$A:$D,2))</f>
        <v/>
      </c>
      <c r="C432" s="2"/>
      <c r="D432" s="77"/>
      <c r="E432" s="78" t="str">
        <f>IF($A432=0,"",VLOOKUP($A432,'BASE MATERIAL'!$A:$D,3))</f>
        <v/>
      </c>
      <c r="F432" s="55"/>
      <c r="G432" s="55" t="str">
        <f>IF($A432=0,"",VLOOKUP($A432,'BASE MATERIAL'!$A:$D,4))</f>
        <v/>
      </c>
      <c r="H432" s="56" t="str">
        <f t="shared" si="39"/>
        <v/>
      </c>
      <c r="I432" s="2"/>
    </row>
    <row r="433" spans="1:9" x14ac:dyDescent="0.25">
      <c r="B433" s="38" t="str">
        <f>IF($A433=0,"",VLOOKUP($A433,'BASE MATERIAL'!$A:$D,2))</f>
        <v/>
      </c>
      <c r="C433" s="2"/>
      <c r="D433" s="77"/>
      <c r="E433" s="78" t="str">
        <f>IF($A433=0,"",VLOOKUP($A433,'BASE MATERIAL'!$A:$D,3))</f>
        <v/>
      </c>
      <c r="F433" s="55"/>
      <c r="G433" s="55" t="str">
        <f>IF($A433=0,"",VLOOKUP($A433,'BASE MATERIAL'!$A:$D,4))</f>
        <v/>
      </c>
      <c r="H433" s="56" t="str">
        <f t="shared" si="39"/>
        <v/>
      </c>
      <c r="I433" s="2"/>
    </row>
    <row r="434" spans="1:9" x14ac:dyDescent="0.25">
      <c r="B434" s="38" t="str">
        <f>IF($A434=0,"",VLOOKUP($A434,'BASE MATERIAL'!$A:$D,2))</f>
        <v/>
      </c>
      <c r="C434" s="2"/>
      <c r="D434" s="77"/>
      <c r="E434" s="78" t="str">
        <f>IF($A434=0,"",VLOOKUP($A434,'BASE MATERIAL'!$A:$D,3))</f>
        <v/>
      </c>
      <c r="F434" s="55"/>
      <c r="G434" s="55" t="str">
        <f>IF($A434=0,"",VLOOKUP($A434,'BASE MATERIAL'!$A:$D,4))</f>
        <v/>
      </c>
      <c r="H434" s="56" t="str">
        <f t="shared" si="39"/>
        <v/>
      </c>
      <c r="I434" s="2"/>
    </row>
    <row r="435" spans="1:9" x14ac:dyDescent="0.25">
      <c r="B435" s="38" t="str">
        <f>IF($A435=0,"",VLOOKUP($A435,'BASE MATERIAL'!$A:$D,2))</f>
        <v/>
      </c>
      <c r="C435" s="2"/>
      <c r="D435" s="77"/>
      <c r="E435" s="78" t="str">
        <f>IF($A435=0,"",VLOOKUP($A435,'BASE MATERIAL'!$A:$D,3))</f>
        <v/>
      </c>
      <c r="F435" s="55"/>
      <c r="G435" s="55" t="str">
        <f>IF($A435=0,"",VLOOKUP($A435,'BASE MATERIAL'!$A:$D,4))</f>
        <v/>
      </c>
      <c r="H435" s="56" t="str">
        <f t="shared" si="39"/>
        <v/>
      </c>
      <c r="I435" s="2"/>
    </row>
    <row r="436" spans="1:9" x14ac:dyDescent="0.25">
      <c r="B436" s="38" t="str">
        <f>IF($A436=0,"",VLOOKUP($A436,'BASE MATERIAL'!$A:$D,2))</f>
        <v/>
      </c>
      <c r="C436" s="2"/>
      <c r="D436" s="81" t="s">
        <v>1682</v>
      </c>
      <c r="E436" s="55" t="str">
        <f>IF($A436=0,"",VLOOKUP($A436,'BASE MATERIAL'!$A:$D,3))</f>
        <v/>
      </c>
      <c r="F436" s="55" t="s">
        <v>1682</v>
      </c>
      <c r="G436" s="55" t="str">
        <f>IF($A436=0,"",VLOOKUP($A436,'BASE MATERIAL'!$A:$D,4))</f>
        <v/>
      </c>
      <c r="H436" s="56" t="str">
        <f>IF($A436=0,"",ROUND(E436*F436,2))</f>
        <v/>
      </c>
      <c r="I436" s="2"/>
    </row>
    <row r="437" spans="1:9" x14ac:dyDescent="0.25">
      <c r="B437" s="73" t="s">
        <v>1681</v>
      </c>
      <c r="C437" s="65"/>
      <c r="D437" s="74"/>
      <c r="E437" s="74"/>
      <c r="F437" s="74"/>
      <c r="G437" s="74"/>
      <c r="H437" s="75">
        <f>ROUND(SUM(H420:H436),2)</f>
        <v>36</v>
      </c>
      <c r="I437" s="2"/>
    </row>
    <row r="438" spans="1:9" x14ac:dyDescent="0.25">
      <c r="B438" s="38" t="s">
        <v>1680</v>
      </c>
      <c r="C438" s="2"/>
      <c r="D438" s="3"/>
      <c r="E438" s="3"/>
      <c r="F438" s="3"/>
      <c r="G438" s="3"/>
      <c r="H438" s="56"/>
      <c r="I438" s="2"/>
    </row>
    <row r="439" spans="1:9" ht="25.5" x14ac:dyDescent="0.25">
      <c r="B439" s="64" t="s">
        <v>1409</v>
      </c>
      <c r="C439" s="65"/>
      <c r="D439" s="76"/>
      <c r="E439" s="66" t="s">
        <v>1408</v>
      </c>
      <c r="F439" s="66" t="s">
        <v>1679</v>
      </c>
      <c r="G439" s="66" t="s">
        <v>1676</v>
      </c>
      <c r="H439" s="68" t="s">
        <v>1675</v>
      </c>
      <c r="I439" s="2"/>
    </row>
    <row r="440" spans="1:9" x14ac:dyDescent="0.25">
      <c r="A440" s="103">
        <v>19019</v>
      </c>
      <c r="B440" s="51" t="str">
        <f>IF($A440=0,"",VLOOKUP($A440,'BASE EQUIPO'!$A:$D,2))</f>
        <v>TRANSPORTE DE MATERIAL</v>
      </c>
      <c r="C440" s="52"/>
      <c r="D440" s="82"/>
      <c r="E440" s="78" t="str">
        <f>IF($A440=0,"",VLOOKUP($A440,'BASE EQUIPO'!$A:$D,3))</f>
        <v>GLOBAL</v>
      </c>
      <c r="F440" s="55">
        <v>1</v>
      </c>
      <c r="G440" s="83">
        <f>IF($A440=0,"",VLOOKUP($A440,'BASE EQUIPO'!$A:$D,4)*H437)</f>
        <v>1.08</v>
      </c>
      <c r="H440" s="56">
        <f>IF($A440=0,"",ROUND(F440*G440,2))</f>
        <v>1.08</v>
      </c>
      <c r="I440" s="2"/>
    </row>
    <row r="441" spans="1:9" x14ac:dyDescent="0.25">
      <c r="B441" s="38" t="str">
        <f>IF($A441=0,"",VLOOKUP($A441,'BASE EQUIPO'!$A:$D,2))</f>
        <v/>
      </c>
      <c r="C441" s="2"/>
      <c r="D441" s="84"/>
      <c r="E441" s="78" t="str">
        <f>IF($A441=0,"",VLOOKUP($A441,'BASE EQUIPO'!$A:$D,3))</f>
        <v/>
      </c>
      <c r="F441" s="55"/>
      <c r="G441" s="55" t="str">
        <f>IF($A441=0,"",VLOOKUP($A441,'BASE EQUIPO'!$A:$D,4)*H438)</f>
        <v/>
      </c>
      <c r="H441" s="56" t="str">
        <f>IF($A441=0,"",ROUND(F441*G441,2))</f>
        <v/>
      </c>
      <c r="I441" s="2"/>
    </row>
    <row r="442" spans="1:9" x14ac:dyDescent="0.25">
      <c r="B442" s="57" t="str">
        <f>IF($A442=0,"",VLOOKUP($A442,'BASE EQUIPO'!$A:$D,2))</f>
        <v/>
      </c>
      <c r="C442" s="58"/>
      <c r="D442" s="85"/>
      <c r="E442" s="86" t="str">
        <f>IF($A442=0,"",VLOOKUP($A442,'BASE EQUIPO'!$A:$D,3))</f>
        <v/>
      </c>
      <c r="F442" s="59"/>
      <c r="G442" s="59" t="str">
        <f>IF($A442=0,"",VLOOKUP($A442,'BASE EQUIPO'!$A:$D,4)*H439)</f>
        <v/>
      </c>
      <c r="H442" s="60" t="str">
        <f>IF($A442=0,"",ROUND(F442*G442,2))</f>
        <v/>
      </c>
      <c r="I442" s="2"/>
    </row>
    <row r="443" spans="1:9" ht="15.75" thickBot="1" x14ac:dyDescent="0.3">
      <c r="B443" s="87" t="s">
        <v>1674</v>
      </c>
      <c r="C443" s="88"/>
      <c r="D443" s="89"/>
      <c r="E443" s="89"/>
      <c r="F443" s="89"/>
      <c r="G443" s="89"/>
      <c r="H443" s="90">
        <f>ROUND(SUM(H439:H442),2)</f>
        <v>1.08</v>
      </c>
      <c r="I443" s="2"/>
    </row>
    <row r="444" spans="1:9" ht="15.75" x14ac:dyDescent="0.25">
      <c r="B444" s="2"/>
      <c r="C444" s="2"/>
      <c r="D444" s="91" t="s">
        <v>1673</v>
      </c>
      <c r="E444" s="47"/>
      <c r="F444" s="47"/>
      <c r="G444" s="47"/>
      <c r="H444" s="92">
        <f>ROUND(SUM(H443,H437,H418,H408),2)</f>
        <v>37.08</v>
      </c>
      <c r="I444" s="2"/>
    </row>
    <row r="445" spans="1:9" ht="15.75" x14ac:dyDescent="0.25">
      <c r="A445" s="103">
        <v>40002</v>
      </c>
      <c r="B445" s="2"/>
      <c r="C445" s="2"/>
      <c r="D445" s="93" t="s">
        <v>1672</v>
      </c>
      <c r="E445" s="65"/>
      <c r="F445" s="65"/>
      <c r="G445" s="94">
        <f>IF($A445=0,"",VLOOKUP($A445,'BASE MATERIAL'!$M:$P,4))</f>
        <v>0</v>
      </c>
      <c r="H445" s="95">
        <f>IF($A445=0,"",ROUND(G445*H444,2))</f>
        <v>0</v>
      </c>
      <c r="I445" s="2"/>
    </row>
    <row r="446" spans="1:9" ht="15.75" x14ac:dyDescent="0.25">
      <c r="A446" s="103">
        <v>40003</v>
      </c>
      <c r="B446" s="2"/>
      <c r="C446" s="2"/>
      <c r="D446" s="93" t="s">
        <v>1671</v>
      </c>
      <c r="E446" s="65"/>
      <c r="F446" s="65"/>
      <c r="G446" s="94">
        <f>IF($A446=0,"",VLOOKUP($A446,'BASE MATERIAL'!$M:$P,4))</f>
        <v>0</v>
      </c>
      <c r="H446" s="95">
        <f>IF($A446=0,"",ROUND(G446*H444,2))</f>
        <v>0</v>
      </c>
      <c r="I446" s="2"/>
    </row>
    <row r="447" spans="1:9" ht="15.75" x14ac:dyDescent="0.25">
      <c r="B447" s="2"/>
      <c r="C447" s="2"/>
      <c r="D447" s="93" t="s">
        <v>1670</v>
      </c>
      <c r="E447" s="65"/>
      <c r="F447" s="65"/>
      <c r="G447" s="65"/>
      <c r="H447" s="96">
        <f>ROUND(SUM(H444:H446),2)</f>
        <v>37.08</v>
      </c>
      <c r="I447" s="2"/>
    </row>
    <row r="448" spans="1:9" ht="16.5" thickBot="1" x14ac:dyDescent="0.3">
      <c r="B448" s="25"/>
      <c r="C448" s="2"/>
      <c r="D448" s="97" t="s">
        <v>1650</v>
      </c>
      <c r="E448" s="88"/>
      <c r="F448" s="88"/>
      <c r="G448" s="88"/>
      <c r="H448" s="98">
        <f>ROUND(H447,2)</f>
        <v>37.08</v>
      </c>
      <c r="I448" s="2"/>
    </row>
    <row r="449" spans="1:15" ht="15.75" x14ac:dyDescent="0.25">
      <c r="B449" s="34" t="s">
        <v>1701</v>
      </c>
      <c r="C449" s="2"/>
      <c r="D449" s="3" t="str">
        <f>$D$1</f>
        <v>ESPOL</v>
      </c>
      <c r="E449" s="2"/>
      <c r="F449" s="2"/>
      <c r="H449" s="2" t="s">
        <v>108</v>
      </c>
      <c r="I449" s="2"/>
      <c r="L449" s="40">
        <f>A453</f>
        <v>2</v>
      </c>
      <c r="M449" s="1" t="str">
        <f>C454</f>
        <v>Rejilla de retorno 22x22"</v>
      </c>
      <c r="N449" s="2" t="str">
        <f>H453</f>
        <v>u</v>
      </c>
      <c r="O449" s="2">
        <f>H504</f>
        <v>43.26</v>
      </c>
    </row>
    <row r="450" spans="1:15" ht="15.75" x14ac:dyDescent="0.25">
      <c r="B450" s="34" t="s">
        <v>1700</v>
      </c>
      <c r="C450" s="3">
        <f>'1.1'!$C$2</f>
        <v>0</v>
      </c>
      <c r="D450" s="2"/>
      <c r="E450" s="2"/>
      <c r="F450" s="2"/>
      <c r="G450" s="41" t="s">
        <v>1699</v>
      </c>
      <c r="H450" s="42"/>
      <c r="I450" s="2" t="s">
        <v>1698</v>
      </c>
    </row>
    <row r="451" spans="1:15" ht="15.75" x14ac:dyDescent="0.25">
      <c r="B451" s="34"/>
      <c r="C451" s="3">
        <f>'1.1'!$C$3</f>
        <v>0</v>
      </c>
      <c r="D451" s="2"/>
      <c r="E451" s="2"/>
      <c r="F451" s="2"/>
      <c r="G451" s="2"/>
      <c r="H451" s="2"/>
      <c r="I451" s="2"/>
    </row>
    <row r="452" spans="1:15" ht="15.75" x14ac:dyDescent="0.25">
      <c r="B452" s="34" t="s">
        <v>1697</v>
      </c>
      <c r="C452" s="3"/>
      <c r="D452" s="2"/>
      <c r="E452" s="2"/>
      <c r="F452" s="2"/>
      <c r="G452" s="2"/>
      <c r="H452" s="2"/>
      <c r="I452" s="2"/>
    </row>
    <row r="453" spans="1:15" x14ac:dyDescent="0.25">
      <c r="A453" s="104">
        <v>2</v>
      </c>
      <c r="B453" s="2" t="s">
        <v>1586</v>
      </c>
      <c r="C453" s="101" t="s">
        <v>1328</v>
      </c>
      <c r="D453" s="2"/>
      <c r="G453" s="2" t="s">
        <v>1696</v>
      </c>
      <c r="H453" s="3" t="s">
        <v>1506</v>
      </c>
      <c r="I453" s="2"/>
    </row>
    <row r="454" spans="1:15" x14ac:dyDescent="0.25">
      <c r="B454" s="1" t="s">
        <v>1585</v>
      </c>
      <c r="C454" s="36" t="s">
        <v>140</v>
      </c>
      <c r="D454" s="2"/>
      <c r="E454" s="2"/>
      <c r="F454" s="2"/>
      <c r="G454" s="2"/>
      <c r="H454" s="2"/>
      <c r="I454" s="2"/>
    </row>
    <row r="455" spans="1:15" ht="15.75" thickBot="1" x14ac:dyDescent="0.3">
      <c r="D455" s="2"/>
      <c r="E455" s="2"/>
      <c r="F455" s="2"/>
      <c r="G455" s="2"/>
      <c r="H455" s="2"/>
      <c r="I455" s="2"/>
    </row>
    <row r="456" spans="1:15" ht="15.75" thickBot="1" x14ac:dyDescent="0.3">
      <c r="B456" s="43" t="s">
        <v>1695</v>
      </c>
      <c r="C456" s="44"/>
      <c r="D456" s="44"/>
      <c r="E456" s="44"/>
      <c r="F456" s="44"/>
      <c r="G456" s="44"/>
      <c r="H456" s="45"/>
      <c r="I456" s="2"/>
    </row>
    <row r="457" spans="1:15" ht="25.5" x14ac:dyDescent="0.25">
      <c r="B457" s="46" t="s">
        <v>1409</v>
      </c>
      <c r="C457" s="47"/>
      <c r="D457" s="48" t="s">
        <v>1690</v>
      </c>
      <c r="E457" s="48" t="s">
        <v>1694</v>
      </c>
      <c r="F457" s="48" t="s">
        <v>1693</v>
      </c>
      <c r="G457" s="49" t="s">
        <v>1687</v>
      </c>
      <c r="H457" s="50" t="s">
        <v>1686</v>
      </c>
      <c r="I457" s="2"/>
    </row>
    <row r="458" spans="1:15" x14ac:dyDescent="0.25">
      <c r="B458" s="51" t="str">
        <f>IF($A458=0,"",VLOOKUP($A458,'BASE EQUIPO'!$A:$D,2))</f>
        <v/>
      </c>
      <c r="C458" s="52"/>
      <c r="D458" s="53"/>
      <c r="E458" s="53" t="str">
        <f>IF($A458=0,"",VLOOKUP($A458,'BASE EQUIPO'!$A:$D,4)*H474)</f>
        <v/>
      </c>
      <c r="F458" s="53" t="str">
        <f t="shared" ref="F458:F463" si="40">IF($A458=0,"",ROUND(D458*E458,2))</f>
        <v/>
      </c>
      <c r="G458" s="105"/>
      <c r="H458" s="54" t="str">
        <f t="shared" ref="H458:H463" si="41">IF($A458=0,"",ROUND(G458*F458,2))</f>
        <v/>
      </c>
      <c r="I458" s="2"/>
    </row>
    <row r="459" spans="1:15" x14ac:dyDescent="0.25">
      <c r="B459" s="38" t="str">
        <f>IF($A459=0,"",VLOOKUP($A459,'BASE EQUIPO'!$A:$D,2))</f>
        <v/>
      </c>
      <c r="C459" s="2"/>
      <c r="D459" s="55"/>
      <c r="E459" s="55" t="str">
        <f>IF($A459=0,"",VLOOKUP($A459,'BASE EQUIPO'!$A:$D,4))</f>
        <v/>
      </c>
      <c r="F459" s="55" t="str">
        <f t="shared" si="40"/>
        <v/>
      </c>
      <c r="G459" s="106"/>
      <c r="H459" s="56" t="str">
        <f t="shared" si="41"/>
        <v/>
      </c>
      <c r="I459" s="2"/>
    </row>
    <row r="460" spans="1:15" x14ac:dyDescent="0.25">
      <c r="B460" s="38" t="str">
        <f>IF($A460=0,"",VLOOKUP($A460,'BASE EQUIPO'!$A:$D,2))</f>
        <v/>
      </c>
      <c r="C460" s="2"/>
      <c r="D460" s="55"/>
      <c r="E460" s="55" t="str">
        <f>IF($A460=0,"",VLOOKUP($A460,'BASE EQUIPO'!$A:$D,4))</f>
        <v/>
      </c>
      <c r="F460" s="55" t="str">
        <f t="shared" si="40"/>
        <v/>
      </c>
      <c r="G460" s="106"/>
      <c r="H460" s="56" t="str">
        <f t="shared" si="41"/>
        <v/>
      </c>
      <c r="I460" s="2"/>
    </row>
    <row r="461" spans="1:15" x14ac:dyDescent="0.25">
      <c r="B461" s="38" t="str">
        <f>IF($A461=0,"",VLOOKUP($A461,'BASE EQUIPO'!$A:$D,2))</f>
        <v/>
      </c>
      <c r="C461" s="2"/>
      <c r="D461" s="55"/>
      <c r="E461" s="55" t="str">
        <f>IF($A461=0,"",VLOOKUP($A461,'BASE EQUIPO'!$A:$D,4))</f>
        <v/>
      </c>
      <c r="F461" s="55" t="str">
        <f t="shared" si="40"/>
        <v/>
      </c>
      <c r="G461" s="106"/>
      <c r="H461" s="56" t="str">
        <f t="shared" si="41"/>
        <v/>
      </c>
      <c r="I461" s="2"/>
    </row>
    <row r="462" spans="1:15" x14ac:dyDescent="0.25">
      <c r="B462" s="38" t="str">
        <f>IF($A462=0,"",VLOOKUP($A462,'BASE EQUIPO'!$A:$D,2))</f>
        <v/>
      </c>
      <c r="C462" s="2"/>
      <c r="D462" s="55"/>
      <c r="E462" s="55" t="str">
        <f>IF($A462=0,"",VLOOKUP($A462,'BASE EQUIPO'!$A:$D,4))</f>
        <v/>
      </c>
      <c r="F462" s="55" t="str">
        <f t="shared" si="40"/>
        <v/>
      </c>
      <c r="G462" s="106"/>
      <c r="H462" s="56" t="str">
        <f t="shared" si="41"/>
        <v/>
      </c>
      <c r="I462" s="2"/>
    </row>
    <row r="463" spans="1:15" x14ac:dyDescent="0.25">
      <c r="B463" s="57" t="str">
        <f>IF($A463=0,"",VLOOKUP($A463,'BASE EQUIPO'!$A:$D,2))</f>
        <v/>
      </c>
      <c r="C463" s="58"/>
      <c r="D463" s="59"/>
      <c r="E463" s="59" t="str">
        <f>IF($A463=0,"",VLOOKUP($A463,'BASE EQUIPO'!$A:$D,4))</f>
        <v/>
      </c>
      <c r="F463" s="59" t="str">
        <f t="shared" si="40"/>
        <v/>
      </c>
      <c r="G463" s="107"/>
      <c r="H463" s="60" t="str">
        <f t="shared" si="41"/>
        <v/>
      </c>
      <c r="I463" s="2"/>
    </row>
    <row r="464" spans="1:15" x14ac:dyDescent="0.25">
      <c r="B464" s="57" t="s">
        <v>1692</v>
      </c>
      <c r="C464" s="58"/>
      <c r="D464" s="61"/>
      <c r="E464" s="61"/>
      <c r="F464" s="61"/>
      <c r="G464" s="62"/>
      <c r="H464" s="60">
        <f>ROUND(SUM(H457:H463),2)</f>
        <v>0</v>
      </c>
      <c r="I464" s="2"/>
    </row>
    <row r="465" spans="1:16" x14ac:dyDescent="0.25">
      <c r="B465" s="38" t="s">
        <v>1503</v>
      </c>
      <c r="C465" s="2"/>
      <c r="D465" s="3"/>
      <c r="E465" s="3"/>
      <c r="F465" s="3"/>
      <c r="G465" s="63"/>
      <c r="H465" s="56"/>
      <c r="I465" s="2"/>
    </row>
    <row r="466" spans="1:16" ht="25.5" x14ac:dyDescent="0.25">
      <c r="B466" s="64" t="s">
        <v>1691</v>
      </c>
      <c r="C466" s="65"/>
      <c r="D466" s="66" t="s">
        <v>1690</v>
      </c>
      <c r="E466" s="66" t="s">
        <v>1689</v>
      </c>
      <c r="F466" s="66" t="s">
        <v>1688</v>
      </c>
      <c r="G466" s="67" t="s">
        <v>1687</v>
      </c>
      <c r="H466" s="68" t="s">
        <v>1686</v>
      </c>
      <c r="I466" s="2"/>
    </row>
    <row r="467" spans="1:16" x14ac:dyDescent="0.25">
      <c r="B467" s="69" t="str">
        <f>IF($A467=0,"",VLOOKUP($A467,'BASE M-OBRA'!$A:$D,2))</f>
        <v/>
      </c>
      <c r="C467" s="2"/>
      <c r="D467" s="108"/>
      <c r="E467" s="70" t="str">
        <f>IF($A467=0,"",VLOOKUP($A467,'BASE M-OBRA'!$A:$D,4))</f>
        <v/>
      </c>
      <c r="F467" s="55" t="str">
        <f t="shared" ref="F467:F473" si="42">IF($A467=0,"",ROUND(D467*E467,2))</f>
        <v/>
      </c>
      <c r="G467" s="106" t="str">
        <f>IF($A467=0,"",ROUND(H467/F467,2))</f>
        <v/>
      </c>
      <c r="H467" s="56" t="str">
        <f>IF($A467=0,"",ROUND(SUM(H468:H473)*'BASE M-OBRA'!$D$23,2))</f>
        <v/>
      </c>
      <c r="I467" s="2"/>
    </row>
    <row r="468" spans="1:16" x14ac:dyDescent="0.25">
      <c r="B468" s="69" t="str">
        <f>IF($A468=0,"",VLOOKUP($A468,'BASE M-OBRA'!$A:$D,2))</f>
        <v/>
      </c>
      <c r="C468" s="2"/>
      <c r="D468" s="108"/>
      <c r="E468" s="70" t="str">
        <f>IF($A468=0,"",VLOOKUP($A468,'BASE M-OBRA'!$A:$D,4))</f>
        <v/>
      </c>
      <c r="F468" s="55" t="str">
        <f t="shared" si="42"/>
        <v/>
      </c>
      <c r="G468" s="106"/>
      <c r="H468" s="56" t="str">
        <f t="shared" ref="H468:H473" si="43">IF($A468=0,"",ROUND(G468*F468,2))</f>
        <v/>
      </c>
      <c r="I468" s="2"/>
    </row>
    <row r="469" spans="1:16" x14ac:dyDescent="0.25">
      <c r="B469" s="69" t="str">
        <f>IF($A469=0,"",VLOOKUP($A469,'BASE M-OBRA'!$A:$D,2))</f>
        <v/>
      </c>
      <c r="C469" s="2"/>
      <c r="D469" s="108"/>
      <c r="E469" s="70" t="str">
        <f>IF($A469=0,"",VLOOKUP($A469,'BASE M-OBRA'!$A:$D,4))</f>
        <v/>
      </c>
      <c r="F469" s="55" t="str">
        <f t="shared" si="42"/>
        <v/>
      </c>
      <c r="G469" s="106"/>
      <c r="H469" s="56" t="str">
        <f t="shared" si="43"/>
        <v/>
      </c>
      <c r="I469" s="2"/>
    </row>
    <row r="470" spans="1:16" x14ac:dyDescent="0.25">
      <c r="B470" s="71" t="str">
        <f>IF($A470=0,"",VLOOKUP($A470,'BASE M-OBRA'!$A:$D,2))</f>
        <v/>
      </c>
      <c r="C470" s="2"/>
      <c r="D470" s="108"/>
      <c r="E470" s="70" t="str">
        <f>IF($A470=0,"",VLOOKUP($A470,'BASE M-OBRA'!$A:$D,4))</f>
        <v/>
      </c>
      <c r="F470" s="55" t="str">
        <f t="shared" si="42"/>
        <v/>
      </c>
      <c r="G470" s="106"/>
      <c r="H470" s="56" t="str">
        <f t="shared" si="43"/>
        <v/>
      </c>
      <c r="I470" s="2"/>
    </row>
    <row r="471" spans="1:16" x14ac:dyDescent="0.25">
      <c r="B471" s="72" t="str">
        <f>IF($A471=0,"",VLOOKUP($A471,'BASE M-OBRA'!$A:$D,2))</f>
        <v/>
      </c>
      <c r="C471" s="2"/>
      <c r="D471" s="108"/>
      <c r="E471" s="70" t="str">
        <f>IF($A471=0,"",VLOOKUP($A471,'BASE M-OBRA'!$A:$D,4))</f>
        <v/>
      </c>
      <c r="F471" s="55" t="str">
        <f t="shared" si="42"/>
        <v/>
      </c>
      <c r="G471" s="106"/>
      <c r="H471" s="56" t="str">
        <f t="shared" si="43"/>
        <v/>
      </c>
      <c r="I471" s="2"/>
    </row>
    <row r="472" spans="1:16" x14ac:dyDescent="0.25">
      <c r="B472" s="38" t="str">
        <f>IF($A472=0,"",VLOOKUP($A472,'BASE M-OBRA'!$A:$D,2))</f>
        <v/>
      </c>
      <c r="C472" s="2"/>
      <c r="D472" s="55"/>
      <c r="E472" s="55" t="str">
        <f>IF($A472=0,"",VLOOKUP($A472,'BASE M-OBRA'!$A:$D,4))</f>
        <v/>
      </c>
      <c r="F472" s="55" t="str">
        <f t="shared" si="42"/>
        <v/>
      </c>
      <c r="G472" s="106"/>
      <c r="H472" s="56" t="str">
        <f t="shared" si="43"/>
        <v/>
      </c>
      <c r="I472" s="2"/>
    </row>
    <row r="473" spans="1:16" x14ac:dyDescent="0.25">
      <c r="B473" s="57" t="str">
        <f>IF($A473=0,"",VLOOKUP($A473,'BASE M-OBRA'!$A:$D,2))</f>
        <v/>
      </c>
      <c r="C473" s="58"/>
      <c r="D473" s="59"/>
      <c r="E473" s="59" t="str">
        <f>IF($A473=0,"",VLOOKUP($A473,'BASE M-OBRA'!$A:$D,4))</f>
        <v/>
      </c>
      <c r="F473" s="59" t="str">
        <f t="shared" si="42"/>
        <v/>
      </c>
      <c r="G473" s="107"/>
      <c r="H473" s="60" t="str">
        <f t="shared" si="43"/>
        <v/>
      </c>
      <c r="I473" s="2"/>
    </row>
    <row r="474" spans="1:16" x14ac:dyDescent="0.25">
      <c r="B474" s="73" t="s">
        <v>1685</v>
      </c>
      <c r="C474" s="65"/>
      <c r="D474" s="74"/>
      <c r="E474" s="74"/>
      <c r="F474" s="74"/>
      <c r="G474" s="74"/>
      <c r="H474" s="75">
        <f>ROUND(SUM(H466:H473),2)</f>
        <v>0</v>
      </c>
      <c r="I474" s="2"/>
    </row>
    <row r="475" spans="1:16" x14ac:dyDescent="0.25">
      <c r="B475" s="38" t="s">
        <v>1684</v>
      </c>
      <c r="C475" s="2"/>
      <c r="D475" s="3"/>
      <c r="E475" s="3"/>
      <c r="F475" s="3"/>
      <c r="G475" s="3"/>
      <c r="H475" s="56"/>
      <c r="I475" s="2"/>
    </row>
    <row r="476" spans="1:16" ht="25.5" x14ac:dyDescent="0.25">
      <c r="B476" s="64" t="s">
        <v>1409</v>
      </c>
      <c r="C476" s="65"/>
      <c r="D476" s="76"/>
      <c r="E476" s="66" t="s">
        <v>1408</v>
      </c>
      <c r="F476" s="66" t="s">
        <v>1679</v>
      </c>
      <c r="G476" s="66" t="s">
        <v>1683</v>
      </c>
      <c r="H476" s="68" t="s">
        <v>1675</v>
      </c>
      <c r="I476" s="2"/>
    </row>
    <row r="477" spans="1:16" x14ac:dyDescent="0.25">
      <c r="A477" s="103">
        <v>1</v>
      </c>
      <c r="B477" s="102" t="s">
        <v>140</v>
      </c>
      <c r="C477" s="2"/>
      <c r="D477" s="77"/>
      <c r="E477" s="78" t="s">
        <v>1506</v>
      </c>
      <c r="F477" s="55">
        <v>1</v>
      </c>
      <c r="G477" s="55">
        <v>42</v>
      </c>
      <c r="H477" s="56">
        <f t="shared" ref="H477:H491" si="44">IF($A477=0,"",ROUND(F477*G477,2))</f>
        <v>42</v>
      </c>
      <c r="I477" s="2"/>
      <c r="J477" s="1">
        <v>10.9</v>
      </c>
      <c r="L477" s="2"/>
      <c r="M477" s="2"/>
      <c r="N477" s="39"/>
      <c r="O477" s="2"/>
      <c r="P477" s="2"/>
    </row>
    <row r="478" spans="1:16" x14ac:dyDescent="0.25">
      <c r="B478" s="102"/>
      <c r="C478" s="2"/>
      <c r="D478" s="77"/>
      <c r="E478" s="78" t="str">
        <f>IF($A478=0,"",VLOOKUP($A478,'BASE MATERIAL'!$A:$D,3))</f>
        <v/>
      </c>
      <c r="F478" s="55"/>
      <c r="G478" s="55" t="str">
        <f>IF($A478=0,"",VLOOKUP($A478,'BASE MATERIAL'!$A:$D,4))</f>
        <v/>
      </c>
      <c r="H478" s="56" t="str">
        <f t="shared" si="44"/>
        <v/>
      </c>
      <c r="I478" s="2"/>
      <c r="L478" s="2"/>
      <c r="M478" s="2"/>
      <c r="N478" s="39"/>
      <c r="O478" s="2"/>
      <c r="P478" s="2"/>
    </row>
    <row r="479" spans="1:16" x14ac:dyDescent="0.25">
      <c r="B479" s="38" t="str">
        <f>IF($A479=0,"",VLOOKUP($A479,'BASE MATERIAL'!$A:$D,2))</f>
        <v/>
      </c>
      <c r="C479" s="2"/>
      <c r="D479" s="77"/>
      <c r="E479" s="78" t="str">
        <f>IF($A479=0,"",VLOOKUP($A479,'BASE MATERIAL'!$A:$D,3))</f>
        <v/>
      </c>
      <c r="F479" s="55"/>
      <c r="G479" s="55" t="str">
        <f>IF($A479=0,"",VLOOKUP($A479,'BASE MATERIAL'!$A:$D,4))</f>
        <v/>
      </c>
      <c r="H479" s="56" t="str">
        <f t="shared" si="44"/>
        <v/>
      </c>
      <c r="I479" s="2"/>
      <c r="L479" s="2"/>
      <c r="M479" s="2"/>
      <c r="N479" s="39"/>
      <c r="O479" s="2"/>
      <c r="P479" s="2"/>
    </row>
    <row r="480" spans="1:16" x14ac:dyDescent="0.25">
      <c r="B480" s="38" t="str">
        <f>IF($A480=0,"",VLOOKUP($A480,'BASE MATERIAL'!$A:$D,2))</f>
        <v/>
      </c>
      <c r="C480" s="2"/>
      <c r="D480" s="77"/>
      <c r="E480" s="78" t="str">
        <f>IF($A480=0,"",VLOOKUP($A480,'BASE MATERIAL'!$A:$D,3))</f>
        <v/>
      </c>
      <c r="F480" s="55"/>
      <c r="G480" s="55" t="str">
        <f>IF($A480=0,"",VLOOKUP($A480,'BASE MATERIAL'!$A:$D,4))</f>
        <v/>
      </c>
      <c r="H480" s="56" t="str">
        <f t="shared" si="44"/>
        <v/>
      </c>
      <c r="I480" s="2"/>
      <c r="L480" s="2"/>
      <c r="M480" s="2"/>
      <c r="N480" s="39"/>
      <c r="O480" s="2"/>
      <c r="P480" s="2"/>
    </row>
    <row r="481" spans="1:16" x14ac:dyDescent="0.25">
      <c r="B481" s="38" t="str">
        <f>IF($A481=0,"",VLOOKUP($A481,'BASE MATERIAL'!$A:$D,2))</f>
        <v/>
      </c>
      <c r="C481" s="2"/>
      <c r="D481" s="77"/>
      <c r="E481" s="78" t="str">
        <f>IF($A481=0,"",VLOOKUP($A481,'BASE MATERIAL'!$A:$D,3))</f>
        <v/>
      </c>
      <c r="F481" s="55"/>
      <c r="G481" s="55" t="str">
        <f>IF($A481=0,"",VLOOKUP($A481,'BASE MATERIAL'!$A:$D,4))</f>
        <v/>
      </c>
      <c r="H481" s="56" t="str">
        <f t="shared" si="44"/>
        <v/>
      </c>
      <c r="I481" s="2"/>
      <c r="L481" s="2"/>
      <c r="M481" s="2"/>
      <c r="N481" s="39"/>
      <c r="O481" s="2"/>
      <c r="P481" s="2"/>
    </row>
    <row r="482" spans="1:16" x14ac:dyDescent="0.25">
      <c r="B482" s="38" t="str">
        <f>IF($A482=0,"",VLOOKUP($A482,'BASE MATERIAL'!$A:$D,2))</f>
        <v/>
      </c>
      <c r="C482" s="2"/>
      <c r="D482" s="77"/>
      <c r="E482" s="78" t="str">
        <f>IF($A482=0,"",VLOOKUP($A482,'BASE MATERIAL'!$A:$D,3))</f>
        <v/>
      </c>
      <c r="F482" s="55"/>
      <c r="G482" s="55" t="str">
        <f>IF($A482=0,"",VLOOKUP($A482,'BASE MATERIAL'!$A:$D,4))</f>
        <v/>
      </c>
      <c r="H482" s="56" t="str">
        <f t="shared" si="44"/>
        <v/>
      </c>
      <c r="I482" s="2"/>
      <c r="L482" s="2"/>
      <c r="M482" s="2"/>
      <c r="N482" s="39"/>
      <c r="O482" s="2"/>
      <c r="P482" s="2"/>
    </row>
    <row r="483" spans="1:16" x14ac:dyDescent="0.25">
      <c r="B483" s="38" t="str">
        <f>IF($A483=0,"",VLOOKUP($A483,'BASE MATERIAL'!$A:$D,2))</f>
        <v/>
      </c>
      <c r="C483" s="2"/>
      <c r="D483" s="77"/>
      <c r="E483" s="78" t="str">
        <f>IF($A483=0,"",VLOOKUP($A483,'BASE MATERIAL'!$A:$D,3))</f>
        <v/>
      </c>
      <c r="F483" s="55"/>
      <c r="G483" s="55" t="str">
        <f>IF($A483=0,"",VLOOKUP($A483,'BASE MATERIAL'!$A:$D,4))</f>
        <v/>
      </c>
      <c r="H483" s="56" t="str">
        <f t="shared" si="44"/>
        <v/>
      </c>
      <c r="I483" s="2"/>
      <c r="L483" s="2"/>
      <c r="M483" s="2"/>
      <c r="N483" s="39"/>
      <c r="O483" s="2"/>
      <c r="P483" s="2"/>
    </row>
    <row r="484" spans="1:16" x14ac:dyDescent="0.25">
      <c r="B484" s="38" t="str">
        <f>IF($A484=0,"",VLOOKUP($A484,'BASE MATERIAL'!$A:$D,2))</f>
        <v/>
      </c>
      <c r="C484" s="2"/>
      <c r="D484" s="77"/>
      <c r="E484" s="78" t="str">
        <f>IF($A484=0,"",VLOOKUP($A484,'BASE MATERIAL'!$A:$D,3))</f>
        <v/>
      </c>
      <c r="F484" s="55"/>
      <c r="G484" s="55" t="str">
        <f>IF($A484=0,"",VLOOKUP($A484,'BASE MATERIAL'!$A:$D,4))</f>
        <v/>
      </c>
      <c r="H484" s="56" t="str">
        <f t="shared" si="44"/>
        <v/>
      </c>
      <c r="I484" s="2"/>
      <c r="L484" s="2"/>
      <c r="M484" s="2"/>
      <c r="N484" s="39"/>
      <c r="O484" s="2"/>
      <c r="P484" s="2"/>
    </row>
    <row r="485" spans="1:16" x14ac:dyDescent="0.25">
      <c r="B485" s="38" t="str">
        <f>IF($A485=0,"",VLOOKUP($A485,'BASE MATERIAL'!$A:$D,2))</f>
        <v/>
      </c>
      <c r="C485" s="2"/>
      <c r="D485" s="77"/>
      <c r="E485" s="78" t="str">
        <f>IF($A485=0,"",VLOOKUP($A485,'BASE MATERIAL'!$A:$D,3))</f>
        <v/>
      </c>
      <c r="F485" s="55"/>
      <c r="G485" s="55" t="str">
        <f>IF($A485=0,"",VLOOKUP($A485,'BASE MATERIAL'!$A:$D,4))</f>
        <v/>
      </c>
      <c r="H485" s="56" t="str">
        <f t="shared" si="44"/>
        <v/>
      </c>
      <c r="I485" s="2"/>
    </row>
    <row r="486" spans="1:16" x14ac:dyDescent="0.25">
      <c r="B486" s="38" t="str">
        <f>IF($A486=0,"",VLOOKUP($A486,'BASE MATERIAL'!$A:$D,2))</f>
        <v/>
      </c>
      <c r="C486" s="2"/>
      <c r="D486" s="77"/>
      <c r="E486" s="78" t="str">
        <f>IF($A486=0,"",VLOOKUP($A486,'BASE MATERIAL'!$A:$D,3))</f>
        <v/>
      </c>
      <c r="F486" s="55"/>
      <c r="G486" s="55" t="str">
        <f>IF($A486=0,"",VLOOKUP($A486,'BASE MATERIAL'!$A:$D,4))</f>
        <v/>
      </c>
      <c r="H486" s="56" t="str">
        <f t="shared" si="44"/>
        <v/>
      </c>
      <c r="I486" s="2"/>
      <c r="L486" s="2"/>
      <c r="M486" s="2"/>
      <c r="N486" s="39"/>
      <c r="O486" s="2"/>
      <c r="P486" s="2"/>
    </row>
    <row r="487" spans="1:16" x14ac:dyDescent="0.25">
      <c r="B487" s="38" t="str">
        <f>IF($A487=0,"",VLOOKUP($A487,'BASE MATERIAL'!$A:$D,2))</f>
        <v/>
      </c>
      <c r="C487" s="2"/>
      <c r="D487" s="77"/>
      <c r="E487" s="78" t="str">
        <f>IF($A487=0,"",VLOOKUP($A487,'BASE MATERIAL'!$A:$D,3))</f>
        <v/>
      </c>
      <c r="F487" s="55"/>
      <c r="G487" s="55" t="str">
        <f>IF($A487=0,"",VLOOKUP($A487,'BASE MATERIAL'!$A:$D,4))</f>
        <v/>
      </c>
      <c r="H487" s="56" t="str">
        <f t="shared" si="44"/>
        <v/>
      </c>
      <c r="I487" s="2"/>
      <c r="L487" s="2"/>
      <c r="M487" s="2"/>
      <c r="N487" s="39"/>
      <c r="O487" s="2"/>
      <c r="P487" s="2"/>
    </row>
    <row r="488" spans="1:16" x14ac:dyDescent="0.25">
      <c r="B488" s="38" t="str">
        <f>IF($A488=0,"",VLOOKUP($A488,'BASE MATERIAL'!$A:$D,2))</f>
        <v/>
      </c>
      <c r="C488" s="2"/>
      <c r="D488" s="77"/>
      <c r="E488" s="78" t="str">
        <f>IF($A488=0,"",VLOOKUP($A488,'BASE MATERIAL'!$A:$D,3))</f>
        <v/>
      </c>
      <c r="F488" s="55"/>
      <c r="G488" s="55" t="str">
        <f>IF($A488=0,"",VLOOKUP($A488,'BASE MATERIAL'!$A:$D,4))</f>
        <v/>
      </c>
      <c r="H488" s="56" t="str">
        <f t="shared" si="44"/>
        <v/>
      </c>
      <c r="I488" s="2"/>
    </row>
    <row r="489" spans="1:16" x14ac:dyDescent="0.25">
      <c r="B489" s="38" t="str">
        <f>IF($A489=0,"",VLOOKUP($A489,'BASE MATERIAL'!$A:$D,2))</f>
        <v/>
      </c>
      <c r="C489" s="2"/>
      <c r="D489" s="77"/>
      <c r="E489" s="78" t="str">
        <f>IF($A489=0,"",VLOOKUP($A489,'BASE MATERIAL'!$A:$D,3))</f>
        <v/>
      </c>
      <c r="F489" s="55"/>
      <c r="G489" s="55" t="str">
        <f>IF($A489=0,"",VLOOKUP($A489,'BASE MATERIAL'!$A:$D,4))</f>
        <v/>
      </c>
      <c r="H489" s="56" t="str">
        <f t="shared" si="44"/>
        <v/>
      </c>
      <c r="I489" s="2"/>
    </row>
    <row r="490" spans="1:16" x14ac:dyDescent="0.25">
      <c r="B490" s="38" t="str">
        <f>IF($A490=0,"",VLOOKUP($A490,'BASE MATERIAL'!$A:$D,2))</f>
        <v/>
      </c>
      <c r="C490" s="2"/>
      <c r="D490" s="77"/>
      <c r="E490" s="78" t="str">
        <f>IF($A490=0,"",VLOOKUP($A490,'BASE MATERIAL'!$A:$D,3))</f>
        <v/>
      </c>
      <c r="F490" s="55"/>
      <c r="G490" s="55" t="str">
        <f>IF($A490=0,"",VLOOKUP($A490,'BASE MATERIAL'!$A:$D,4))</f>
        <v/>
      </c>
      <c r="H490" s="56" t="str">
        <f t="shared" si="44"/>
        <v/>
      </c>
      <c r="I490" s="2"/>
    </row>
    <row r="491" spans="1:16" x14ac:dyDescent="0.25">
      <c r="B491" s="38" t="str">
        <f>IF($A491=0,"",VLOOKUP($A491,'BASE MATERIAL'!$A:$D,2))</f>
        <v/>
      </c>
      <c r="C491" s="2"/>
      <c r="D491" s="77"/>
      <c r="E491" s="78" t="str">
        <f>IF($A491=0,"",VLOOKUP($A491,'BASE MATERIAL'!$A:$D,3))</f>
        <v/>
      </c>
      <c r="F491" s="55"/>
      <c r="G491" s="55" t="str">
        <f>IF($A491=0,"",VLOOKUP($A491,'BASE MATERIAL'!$A:$D,4))</f>
        <v/>
      </c>
      <c r="H491" s="56" t="str">
        <f t="shared" si="44"/>
        <v/>
      </c>
      <c r="I491" s="2"/>
    </row>
    <row r="492" spans="1:16" x14ac:dyDescent="0.25">
      <c r="B492" s="38" t="str">
        <f>IF($A492=0,"",VLOOKUP($A492,'BASE MATERIAL'!$A:$D,2))</f>
        <v/>
      </c>
      <c r="C492" s="2"/>
      <c r="D492" s="81" t="s">
        <v>1682</v>
      </c>
      <c r="E492" s="55" t="str">
        <f>IF($A492=0,"",VLOOKUP($A492,'BASE MATERIAL'!$A:$D,3))</f>
        <v/>
      </c>
      <c r="F492" s="55" t="s">
        <v>1682</v>
      </c>
      <c r="G492" s="55" t="str">
        <f>IF($A492=0,"",VLOOKUP($A492,'BASE MATERIAL'!$A:$D,4))</f>
        <v/>
      </c>
      <c r="H492" s="56" t="str">
        <f>IF($A492=0,"",ROUND(E492*F492,2))</f>
        <v/>
      </c>
      <c r="I492" s="2"/>
    </row>
    <row r="493" spans="1:16" x14ac:dyDescent="0.25">
      <c r="B493" s="73" t="s">
        <v>1681</v>
      </c>
      <c r="C493" s="65"/>
      <c r="D493" s="74"/>
      <c r="E493" s="74"/>
      <c r="F493" s="74"/>
      <c r="G493" s="74"/>
      <c r="H493" s="75">
        <f>ROUND(SUM(H476:H492),2)</f>
        <v>42</v>
      </c>
      <c r="I493" s="2"/>
    </row>
    <row r="494" spans="1:16" x14ac:dyDescent="0.25">
      <c r="B494" s="38" t="s">
        <v>1680</v>
      </c>
      <c r="C494" s="2"/>
      <c r="D494" s="3"/>
      <c r="E494" s="3"/>
      <c r="F494" s="3"/>
      <c r="G494" s="3"/>
      <c r="H494" s="56"/>
      <c r="I494" s="2"/>
    </row>
    <row r="495" spans="1:16" ht="25.5" x14ac:dyDescent="0.25">
      <c r="B495" s="64" t="s">
        <v>1409</v>
      </c>
      <c r="C495" s="65"/>
      <c r="D495" s="76"/>
      <c r="E495" s="66" t="s">
        <v>1408</v>
      </c>
      <c r="F495" s="66" t="s">
        <v>1679</v>
      </c>
      <c r="G495" s="66" t="s">
        <v>1676</v>
      </c>
      <c r="H495" s="68" t="s">
        <v>1675</v>
      </c>
      <c r="I495" s="2"/>
    </row>
    <row r="496" spans="1:16" x14ac:dyDescent="0.25">
      <c r="A496" s="103">
        <v>19019</v>
      </c>
      <c r="B496" s="51" t="str">
        <f>IF($A496=0,"",VLOOKUP($A496,'BASE EQUIPO'!$A:$D,2))</f>
        <v>TRANSPORTE DE MATERIAL</v>
      </c>
      <c r="C496" s="52"/>
      <c r="D496" s="82"/>
      <c r="E496" s="78" t="str">
        <f>IF($A496=0,"",VLOOKUP($A496,'BASE EQUIPO'!$A:$D,3))</f>
        <v>GLOBAL</v>
      </c>
      <c r="F496" s="55">
        <v>1</v>
      </c>
      <c r="G496" s="83">
        <f>IF($A496=0,"",VLOOKUP($A496,'BASE EQUIPO'!$A:$D,4)*H493)</f>
        <v>1.26</v>
      </c>
      <c r="H496" s="56">
        <f>IF($A496=0,"",ROUND(F496*G496,2))</f>
        <v>1.26</v>
      </c>
      <c r="I496" s="2"/>
    </row>
    <row r="497" spans="1:15" x14ac:dyDescent="0.25">
      <c r="B497" s="38" t="str">
        <f>IF($A497=0,"",VLOOKUP($A497,'BASE EQUIPO'!$A:$D,2))</f>
        <v/>
      </c>
      <c r="C497" s="2"/>
      <c r="D497" s="84"/>
      <c r="E497" s="78" t="str">
        <f>IF($A497=0,"",VLOOKUP($A497,'BASE EQUIPO'!$A:$D,3))</f>
        <v/>
      </c>
      <c r="F497" s="55"/>
      <c r="G497" s="55" t="str">
        <f>IF($A497=0,"",VLOOKUP($A497,'BASE EQUIPO'!$A:$D,4)*H494)</f>
        <v/>
      </c>
      <c r="H497" s="56" t="str">
        <f>IF($A497=0,"",ROUND(F497*G497,2))</f>
        <v/>
      </c>
      <c r="I497" s="2"/>
    </row>
    <row r="498" spans="1:15" x14ac:dyDescent="0.25">
      <c r="B498" s="57" t="str">
        <f>IF($A498=0,"",VLOOKUP($A498,'BASE EQUIPO'!$A:$D,2))</f>
        <v/>
      </c>
      <c r="C498" s="58"/>
      <c r="D498" s="85"/>
      <c r="E498" s="86" t="str">
        <f>IF($A498=0,"",VLOOKUP($A498,'BASE EQUIPO'!$A:$D,3))</f>
        <v/>
      </c>
      <c r="F498" s="59"/>
      <c r="G498" s="59" t="str">
        <f>IF($A498=0,"",VLOOKUP($A498,'BASE EQUIPO'!$A:$D,4)*H495)</f>
        <v/>
      </c>
      <c r="H498" s="60" t="str">
        <f>IF($A498=0,"",ROUND(F498*G498,2))</f>
        <v/>
      </c>
      <c r="I498" s="2"/>
    </row>
    <row r="499" spans="1:15" ht="15.75" thickBot="1" x14ac:dyDescent="0.3">
      <c r="B499" s="87" t="s">
        <v>1674</v>
      </c>
      <c r="C499" s="88"/>
      <c r="D499" s="89"/>
      <c r="E499" s="89"/>
      <c r="F499" s="89"/>
      <c r="G499" s="89"/>
      <c r="H499" s="90">
        <f>ROUND(SUM(H495:H498),2)</f>
        <v>1.26</v>
      </c>
      <c r="I499" s="2"/>
    </row>
    <row r="500" spans="1:15" ht="15.75" x14ac:dyDescent="0.25">
      <c r="B500" s="2"/>
      <c r="C500" s="2"/>
      <c r="D500" s="91" t="s">
        <v>1673</v>
      </c>
      <c r="E500" s="47"/>
      <c r="F500" s="47"/>
      <c r="G500" s="47"/>
      <c r="H500" s="92">
        <f>ROUND(SUM(H499,H493,H474,H464),2)</f>
        <v>43.26</v>
      </c>
      <c r="I500" s="2"/>
    </row>
    <row r="501" spans="1:15" ht="15.75" x14ac:dyDescent="0.25">
      <c r="A501" s="103">
        <v>40002</v>
      </c>
      <c r="B501" s="2"/>
      <c r="C501" s="2"/>
      <c r="D501" s="93" t="s">
        <v>1672</v>
      </c>
      <c r="E501" s="65"/>
      <c r="F501" s="65"/>
      <c r="G501" s="94">
        <f>IF($A501=0,"",VLOOKUP($A501,'BASE MATERIAL'!$M:$P,4))</f>
        <v>0</v>
      </c>
      <c r="H501" s="95">
        <f>IF($A501=0,"",ROUND(G501*H500,2))</f>
        <v>0</v>
      </c>
      <c r="I501" s="2"/>
    </row>
    <row r="502" spans="1:15" ht="15.75" x14ac:dyDescent="0.25">
      <c r="A502" s="103">
        <v>40003</v>
      </c>
      <c r="B502" s="2"/>
      <c r="C502" s="2"/>
      <c r="D502" s="93" t="s">
        <v>1671</v>
      </c>
      <c r="E502" s="65"/>
      <c r="F502" s="65"/>
      <c r="G502" s="94">
        <f>IF($A502=0,"",VLOOKUP($A502,'BASE MATERIAL'!$M:$P,4))</f>
        <v>0</v>
      </c>
      <c r="H502" s="95">
        <f>IF($A502=0,"",ROUND(G502*H500,2))</f>
        <v>0</v>
      </c>
      <c r="I502" s="2"/>
    </row>
    <row r="503" spans="1:15" ht="15.75" x14ac:dyDescent="0.25">
      <c r="B503" s="2"/>
      <c r="C503" s="2"/>
      <c r="D503" s="93" t="s">
        <v>1670</v>
      </c>
      <c r="E503" s="65"/>
      <c r="F503" s="65"/>
      <c r="G503" s="65"/>
      <c r="H503" s="96">
        <f>ROUND(SUM(H500:H502),2)</f>
        <v>43.26</v>
      </c>
      <c r="I503" s="2"/>
    </row>
    <row r="504" spans="1:15" ht="16.5" thickBot="1" x14ac:dyDescent="0.3">
      <c r="B504" s="25"/>
      <c r="C504" s="2"/>
      <c r="D504" s="97" t="s">
        <v>1650</v>
      </c>
      <c r="E504" s="88"/>
      <c r="F504" s="88"/>
      <c r="G504" s="88"/>
      <c r="H504" s="98">
        <f>ROUND(H503,2)</f>
        <v>43.26</v>
      </c>
      <c r="I504" s="2"/>
    </row>
    <row r="505" spans="1:15" ht="15.75" x14ac:dyDescent="0.25">
      <c r="B505" s="34" t="s">
        <v>1701</v>
      </c>
      <c r="C505" s="2"/>
      <c r="D505" s="3" t="str">
        <f>$D$1</f>
        <v>ESPOL</v>
      </c>
      <c r="E505" s="2"/>
      <c r="F505" s="2"/>
      <c r="H505" s="2" t="s">
        <v>108</v>
      </c>
      <c r="I505" s="2"/>
      <c r="L505" s="40">
        <f>A509</f>
        <v>2</v>
      </c>
      <c r="M505" s="1" t="str">
        <f>C510</f>
        <v>Rejilla de retorno 24x24"</v>
      </c>
      <c r="N505" s="2" t="str">
        <f>H509</f>
        <v>u</v>
      </c>
      <c r="O505" s="2">
        <f>H560</f>
        <v>46.35</v>
      </c>
    </row>
    <row r="506" spans="1:15" ht="15.75" x14ac:dyDescent="0.25">
      <c r="B506" s="34" t="s">
        <v>1700</v>
      </c>
      <c r="C506" s="3">
        <f>'1.1'!$C$2</f>
        <v>0</v>
      </c>
      <c r="D506" s="2"/>
      <c r="E506" s="2"/>
      <c r="F506" s="2"/>
      <c r="G506" s="41" t="s">
        <v>1699</v>
      </c>
      <c r="H506" s="42"/>
      <c r="I506" s="2" t="s">
        <v>1698</v>
      </c>
    </row>
    <row r="507" spans="1:15" ht="15.75" x14ac:dyDescent="0.25">
      <c r="B507" s="34"/>
      <c r="C507" s="3">
        <f>'1.1'!$C$3</f>
        <v>0</v>
      </c>
      <c r="D507" s="2"/>
      <c r="E507" s="2"/>
      <c r="F507" s="2"/>
      <c r="G507" s="2"/>
      <c r="H507" s="2"/>
      <c r="I507" s="2"/>
    </row>
    <row r="508" spans="1:15" ht="15.75" x14ac:dyDescent="0.25">
      <c r="B508" s="34" t="s">
        <v>1697</v>
      </c>
      <c r="C508" s="3"/>
      <c r="D508" s="2"/>
      <c r="E508" s="2"/>
      <c r="F508" s="2"/>
      <c r="G508" s="2"/>
      <c r="H508" s="2"/>
      <c r="I508" s="2"/>
    </row>
    <row r="509" spans="1:15" x14ac:dyDescent="0.25">
      <c r="A509" s="104">
        <v>2</v>
      </c>
      <c r="B509" s="2" t="s">
        <v>1586</v>
      </c>
      <c r="C509" s="101" t="s">
        <v>1329</v>
      </c>
      <c r="D509" s="2"/>
      <c r="G509" s="2" t="s">
        <v>1696</v>
      </c>
      <c r="H509" s="3" t="s">
        <v>1506</v>
      </c>
      <c r="I509" s="2"/>
    </row>
    <row r="510" spans="1:15" x14ac:dyDescent="0.25">
      <c r="B510" s="1" t="s">
        <v>1585</v>
      </c>
      <c r="C510" s="36" t="s">
        <v>141</v>
      </c>
      <c r="D510" s="2"/>
      <c r="E510" s="2"/>
      <c r="F510" s="2"/>
      <c r="G510" s="2"/>
      <c r="H510" s="2"/>
      <c r="I510" s="2"/>
    </row>
    <row r="511" spans="1:15" ht="15.75" thickBot="1" x14ac:dyDescent="0.3">
      <c r="D511" s="2"/>
      <c r="E511" s="2"/>
      <c r="F511" s="2"/>
      <c r="G511" s="2"/>
      <c r="H511" s="2"/>
      <c r="I511" s="2"/>
    </row>
    <row r="512" spans="1:15" ht="15.75" thickBot="1" x14ac:dyDescent="0.3">
      <c r="B512" s="43" t="s">
        <v>1695</v>
      </c>
      <c r="C512" s="44"/>
      <c r="D512" s="44"/>
      <c r="E512" s="44"/>
      <c r="F512" s="44"/>
      <c r="G512" s="44"/>
      <c r="H512" s="45"/>
      <c r="I512" s="2"/>
    </row>
    <row r="513" spans="2:9" ht="25.5" x14ac:dyDescent="0.25">
      <c r="B513" s="46" t="s">
        <v>1409</v>
      </c>
      <c r="C513" s="47"/>
      <c r="D513" s="48" t="s">
        <v>1690</v>
      </c>
      <c r="E513" s="48" t="s">
        <v>1694</v>
      </c>
      <c r="F513" s="48" t="s">
        <v>1693</v>
      </c>
      <c r="G513" s="49" t="s">
        <v>1687</v>
      </c>
      <c r="H513" s="50" t="s">
        <v>1686</v>
      </c>
      <c r="I513" s="2"/>
    </row>
    <row r="514" spans="2:9" x14ac:dyDescent="0.25">
      <c r="B514" s="51" t="str">
        <f>IF($A514=0,"",VLOOKUP($A514,'BASE EQUIPO'!$A:$D,2))</f>
        <v/>
      </c>
      <c r="C514" s="52"/>
      <c r="D514" s="53"/>
      <c r="E514" s="53" t="str">
        <f>IF($A514=0,"",VLOOKUP($A514,'BASE EQUIPO'!$A:$D,4)*H530)</f>
        <v/>
      </c>
      <c r="F514" s="53" t="str">
        <f t="shared" ref="F514:F519" si="45">IF($A514=0,"",ROUND(D514*E514,2))</f>
        <v/>
      </c>
      <c r="G514" s="105"/>
      <c r="H514" s="54" t="str">
        <f t="shared" ref="H514:H519" si="46">IF($A514=0,"",ROUND(G514*F514,2))</f>
        <v/>
      </c>
      <c r="I514" s="2"/>
    </row>
    <row r="515" spans="2:9" x14ac:dyDescent="0.25">
      <c r="B515" s="38" t="str">
        <f>IF($A515=0,"",VLOOKUP($A515,'BASE EQUIPO'!$A:$D,2))</f>
        <v/>
      </c>
      <c r="C515" s="2"/>
      <c r="D515" s="55"/>
      <c r="E515" s="55" t="str">
        <f>IF($A515=0,"",VLOOKUP($A515,'BASE EQUIPO'!$A:$D,4))</f>
        <v/>
      </c>
      <c r="F515" s="55" t="str">
        <f t="shared" si="45"/>
        <v/>
      </c>
      <c r="G515" s="106"/>
      <c r="H515" s="56" t="str">
        <f t="shared" si="46"/>
        <v/>
      </c>
      <c r="I515" s="2"/>
    </row>
    <row r="516" spans="2:9" x14ac:dyDescent="0.25">
      <c r="B516" s="38" t="str">
        <f>IF($A516=0,"",VLOOKUP($A516,'BASE EQUIPO'!$A:$D,2))</f>
        <v/>
      </c>
      <c r="C516" s="2"/>
      <c r="D516" s="55"/>
      <c r="E516" s="55" t="str">
        <f>IF($A516=0,"",VLOOKUP($A516,'BASE EQUIPO'!$A:$D,4))</f>
        <v/>
      </c>
      <c r="F516" s="55" t="str">
        <f t="shared" si="45"/>
        <v/>
      </c>
      <c r="G516" s="106"/>
      <c r="H516" s="56" t="str">
        <f t="shared" si="46"/>
        <v/>
      </c>
      <c r="I516" s="2"/>
    </row>
    <row r="517" spans="2:9" x14ac:dyDescent="0.25">
      <c r="B517" s="38" t="str">
        <f>IF($A517=0,"",VLOOKUP($A517,'BASE EQUIPO'!$A:$D,2))</f>
        <v/>
      </c>
      <c r="C517" s="2"/>
      <c r="D517" s="55"/>
      <c r="E517" s="55" t="str">
        <f>IF($A517=0,"",VLOOKUP($A517,'BASE EQUIPO'!$A:$D,4))</f>
        <v/>
      </c>
      <c r="F517" s="55" t="str">
        <f t="shared" si="45"/>
        <v/>
      </c>
      <c r="G517" s="106"/>
      <c r="H517" s="56" t="str">
        <f t="shared" si="46"/>
        <v/>
      </c>
      <c r="I517" s="2"/>
    </row>
    <row r="518" spans="2:9" x14ac:dyDescent="0.25">
      <c r="B518" s="38" t="str">
        <f>IF($A518=0,"",VLOOKUP($A518,'BASE EQUIPO'!$A:$D,2))</f>
        <v/>
      </c>
      <c r="C518" s="2"/>
      <c r="D518" s="55"/>
      <c r="E518" s="55" t="str">
        <f>IF($A518=0,"",VLOOKUP($A518,'BASE EQUIPO'!$A:$D,4))</f>
        <v/>
      </c>
      <c r="F518" s="55" t="str">
        <f t="shared" si="45"/>
        <v/>
      </c>
      <c r="G518" s="106"/>
      <c r="H518" s="56" t="str">
        <f t="shared" si="46"/>
        <v/>
      </c>
      <c r="I518" s="2"/>
    </row>
    <row r="519" spans="2:9" x14ac:dyDescent="0.25">
      <c r="B519" s="57" t="str">
        <f>IF($A519=0,"",VLOOKUP($A519,'BASE EQUIPO'!$A:$D,2))</f>
        <v/>
      </c>
      <c r="C519" s="58"/>
      <c r="D519" s="59"/>
      <c r="E519" s="59" t="str">
        <f>IF($A519=0,"",VLOOKUP($A519,'BASE EQUIPO'!$A:$D,4))</f>
        <v/>
      </c>
      <c r="F519" s="59" t="str">
        <f t="shared" si="45"/>
        <v/>
      </c>
      <c r="G519" s="107"/>
      <c r="H519" s="60" t="str">
        <f t="shared" si="46"/>
        <v/>
      </c>
      <c r="I519" s="2"/>
    </row>
    <row r="520" spans="2:9" x14ac:dyDescent="0.25">
      <c r="B520" s="57" t="s">
        <v>1692</v>
      </c>
      <c r="C520" s="58"/>
      <c r="D520" s="61"/>
      <c r="E520" s="61"/>
      <c r="F520" s="61"/>
      <c r="G520" s="62"/>
      <c r="H520" s="60">
        <f>ROUND(SUM(H513:H519),2)</f>
        <v>0</v>
      </c>
      <c r="I520" s="2"/>
    </row>
    <row r="521" spans="2:9" x14ac:dyDescent="0.25">
      <c r="B521" s="38" t="s">
        <v>1503</v>
      </c>
      <c r="C521" s="2"/>
      <c r="D521" s="3"/>
      <c r="E521" s="3"/>
      <c r="F521" s="3"/>
      <c r="G521" s="63"/>
      <c r="H521" s="56"/>
      <c r="I521" s="2"/>
    </row>
    <row r="522" spans="2:9" ht="25.5" x14ac:dyDescent="0.25">
      <c r="B522" s="64" t="s">
        <v>1691</v>
      </c>
      <c r="C522" s="65"/>
      <c r="D522" s="66" t="s">
        <v>1690</v>
      </c>
      <c r="E522" s="66" t="s">
        <v>1689</v>
      </c>
      <c r="F522" s="66" t="s">
        <v>1688</v>
      </c>
      <c r="G522" s="67" t="s">
        <v>1687</v>
      </c>
      <c r="H522" s="68" t="s">
        <v>1686</v>
      </c>
      <c r="I522" s="2"/>
    </row>
    <row r="523" spans="2:9" x14ac:dyDescent="0.25">
      <c r="B523" s="69" t="str">
        <f>IF($A523=0,"",VLOOKUP($A523,'BASE M-OBRA'!$A:$D,2))</f>
        <v/>
      </c>
      <c r="C523" s="2"/>
      <c r="D523" s="108"/>
      <c r="E523" s="70" t="str">
        <f>IF($A523=0,"",VLOOKUP($A523,'BASE M-OBRA'!$A:$D,4))</f>
        <v/>
      </c>
      <c r="F523" s="55" t="str">
        <f t="shared" ref="F523:F529" si="47">IF($A523=0,"",ROUND(D523*E523,2))</f>
        <v/>
      </c>
      <c r="G523" s="106" t="str">
        <f>IF($A523=0,"",ROUND(H523/F523,2))</f>
        <v/>
      </c>
      <c r="H523" s="56" t="str">
        <f>IF($A523=0,"",ROUND(SUM(H524:H529)*'BASE M-OBRA'!$D$23,2))</f>
        <v/>
      </c>
      <c r="I523" s="2"/>
    </row>
    <row r="524" spans="2:9" x14ac:dyDescent="0.25">
      <c r="B524" s="69" t="str">
        <f>IF($A524=0,"",VLOOKUP($A524,'BASE M-OBRA'!$A:$D,2))</f>
        <v/>
      </c>
      <c r="C524" s="2"/>
      <c r="D524" s="108"/>
      <c r="E524" s="70" t="str">
        <f>IF($A524=0,"",VLOOKUP($A524,'BASE M-OBRA'!$A:$D,4))</f>
        <v/>
      </c>
      <c r="F524" s="55" t="str">
        <f t="shared" si="47"/>
        <v/>
      </c>
      <c r="G524" s="106"/>
      <c r="H524" s="56" t="str">
        <f t="shared" ref="H524:H529" si="48">IF($A524=0,"",ROUND(G524*F524,2))</f>
        <v/>
      </c>
      <c r="I524" s="2"/>
    </row>
    <row r="525" spans="2:9" x14ac:dyDescent="0.25">
      <c r="B525" s="69" t="str">
        <f>IF($A525=0,"",VLOOKUP($A525,'BASE M-OBRA'!$A:$D,2))</f>
        <v/>
      </c>
      <c r="C525" s="2"/>
      <c r="D525" s="108"/>
      <c r="E525" s="70" t="str">
        <f>IF($A525=0,"",VLOOKUP($A525,'BASE M-OBRA'!$A:$D,4))</f>
        <v/>
      </c>
      <c r="F525" s="55" t="str">
        <f t="shared" si="47"/>
        <v/>
      </c>
      <c r="G525" s="106"/>
      <c r="H525" s="56" t="str">
        <f t="shared" si="48"/>
        <v/>
      </c>
      <c r="I525" s="2"/>
    </row>
    <row r="526" spans="2:9" x14ac:dyDescent="0.25">
      <c r="B526" s="71" t="str">
        <f>IF($A526=0,"",VLOOKUP($A526,'BASE M-OBRA'!$A:$D,2))</f>
        <v/>
      </c>
      <c r="C526" s="2"/>
      <c r="D526" s="108"/>
      <c r="E526" s="70" t="str">
        <f>IF($A526=0,"",VLOOKUP($A526,'BASE M-OBRA'!$A:$D,4))</f>
        <v/>
      </c>
      <c r="F526" s="55" t="str">
        <f t="shared" si="47"/>
        <v/>
      </c>
      <c r="G526" s="106"/>
      <c r="H526" s="56" t="str">
        <f t="shared" si="48"/>
        <v/>
      </c>
      <c r="I526" s="2"/>
    </row>
    <row r="527" spans="2:9" x14ac:dyDescent="0.25">
      <c r="B527" s="72" t="str">
        <f>IF($A527=0,"",VLOOKUP($A527,'BASE M-OBRA'!$A:$D,2))</f>
        <v/>
      </c>
      <c r="C527" s="2"/>
      <c r="D527" s="108"/>
      <c r="E527" s="70" t="str">
        <f>IF($A527=0,"",VLOOKUP($A527,'BASE M-OBRA'!$A:$D,4))</f>
        <v/>
      </c>
      <c r="F527" s="55" t="str">
        <f t="shared" si="47"/>
        <v/>
      </c>
      <c r="G527" s="106"/>
      <c r="H527" s="56" t="str">
        <f t="shared" si="48"/>
        <v/>
      </c>
      <c r="I527" s="2"/>
    </row>
    <row r="528" spans="2:9" x14ac:dyDescent="0.25">
      <c r="B528" s="38" t="str">
        <f>IF($A528=0,"",VLOOKUP($A528,'BASE M-OBRA'!$A:$D,2))</f>
        <v/>
      </c>
      <c r="C528" s="2"/>
      <c r="D528" s="55"/>
      <c r="E528" s="55" t="str">
        <f>IF($A528=0,"",VLOOKUP($A528,'BASE M-OBRA'!$A:$D,4))</f>
        <v/>
      </c>
      <c r="F528" s="55" t="str">
        <f t="shared" si="47"/>
        <v/>
      </c>
      <c r="G528" s="106"/>
      <c r="H528" s="56" t="str">
        <f t="shared" si="48"/>
        <v/>
      </c>
      <c r="I528" s="2"/>
    </row>
    <row r="529" spans="1:16" x14ac:dyDescent="0.25">
      <c r="B529" s="57" t="str">
        <f>IF($A529=0,"",VLOOKUP($A529,'BASE M-OBRA'!$A:$D,2))</f>
        <v/>
      </c>
      <c r="C529" s="58"/>
      <c r="D529" s="59"/>
      <c r="E529" s="59" t="str">
        <f>IF($A529=0,"",VLOOKUP($A529,'BASE M-OBRA'!$A:$D,4))</f>
        <v/>
      </c>
      <c r="F529" s="59" t="str">
        <f t="shared" si="47"/>
        <v/>
      </c>
      <c r="G529" s="107"/>
      <c r="H529" s="60" t="str">
        <f t="shared" si="48"/>
        <v/>
      </c>
      <c r="I529" s="2"/>
    </row>
    <row r="530" spans="1:16" x14ac:dyDescent="0.25">
      <c r="B530" s="73" t="s">
        <v>1685</v>
      </c>
      <c r="C530" s="65"/>
      <c r="D530" s="74"/>
      <c r="E530" s="74"/>
      <c r="F530" s="74"/>
      <c r="G530" s="74"/>
      <c r="H530" s="75">
        <f>ROUND(SUM(H522:H529),2)</f>
        <v>0</v>
      </c>
      <c r="I530" s="2"/>
    </row>
    <row r="531" spans="1:16" x14ac:dyDescent="0.25">
      <c r="B531" s="38" t="s">
        <v>1684</v>
      </c>
      <c r="C531" s="2"/>
      <c r="D531" s="3"/>
      <c r="E531" s="3"/>
      <c r="F531" s="3"/>
      <c r="G531" s="3"/>
      <c r="H531" s="56"/>
      <c r="I531" s="2"/>
    </row>
    <row r="532" spans="1:16" ht="25.5" x14ac:dyDescent="0.25">
      <c r="B532" s="64" t="s">
        <v>1409</v>
      </c>
      <c r="C532" s="65"/>
      <c r="D532" s="76"/>
      <c r="E532" s="66" t="s">
        <v>1408</v>
      </c>
      <c r="F532" s="66" t="s">
        <v>1679</v>
      </c>
      <c r="G532" s="66" t="s">
        <v>1683</v>
      </c>
      <c r="H532" s="68" t="s">
        <v>1675</v>
      </c>
      <c r="I532" s="2"/>
    </row>
    <row r="533" spans="1:16" x14ac:dyDescent="0.25">
      <c r="A533" s="103">
        <v>1</v>
      </c>
      <c r="B533" s="102" t="s">
        <v>141</v>
      </c>
      <c r="C533" s="2"/>
      <c r="D533" s="77"/>
      <c r="E533" s="78" t="s">
        <v>1506</v>
      </c>
      <c r="F533" s="55">
        <v>1</v>
      </c>
      <c r="G533" s="55">
        <v>45</v>
      </c>
      <c r="H533" s="56">
        <f t="shared" ref="H533:H547" si="49">IF($A533=0,"",ROUND(F533*G533,2))</f>
        <v>45</v>
      </c>
      <c r="I533" s="2"/>
      <c r="J533" s="1">
        <v>10.9</v>
      </c>
      <c r="L533" s="2"/>
      <c r="M533" s="2"/>
      <c r="N533" s="39"/>
      <c r="O533" s="2"/>
      <c r="P533" s="2"/>
    </row>
    <row r="534" spans="1:16" x14ac:dyDescent="0.25">
      <c r="B534" s="102"/>
      <c r="C534" s="2"/>
      <c r="D534" s="77"/>
      <c r="E534" s="78" t="str">
        <f>IF($A534=0,"",VLOOKUP($A534,'BASE MATERIAL'!$A:$D,3))</f>
        <v/>
      </c>
      <c r="F534" s="55"/>
      <c r="G534" s="55" t="str">
        <f>IF($A534=0,"",VLOOKUP($A534,'BASE MATERIAL'!$A:$D,4))</f>
        <v/>
      </c>
      <c r="H534" s="56" t="str">
        <f t="shared" si="49"/>
        <v/>
      </c>
      <c r="I534" s="2"/>
      <c r="L534" s="2"/>
      <c r="M534" s="2"/>
      <c r="N534" s="39"/>
      <c r="O534" s="2"/>
      <c r="P534" s="2"/>
    </row>
    <row r="535" spans="1:16" x14ac:dyDescent="0.25">
      <c r="B535" s="38" t="str">
        <f>IF($A535=0,"",VLOOKUP($A535,'BASE MATERIAL'!$A:$D,2))</f>
        <v/>
      </c>
      <c r="C535" s="2"/>
      <c r="D535" s="77"/>
      <c r="E535" s="78" t="str">
        <f>IF($A535=0,"",VLOOKUP($A535,'BASE MATERIAL'!$A:$D,3))</f>
        <v/>
      </c>
      <c r="F535" s="55"/>
      <c r="G535" s="55" t="str">
        <f>IF($A535=0,"",VLOOKUP($A535,'BASE MATERIAL'!$A:$D,4))</f>
        <v/>
      </c>
      <c r="H535" s="56" t="str">
        <f t="shared" si="49"/>
        <v/>
      </c>
      <c r="I535" s="2"/>
      <c r="L535" s="2"/>
      <c r="M535" s="2"/>
      <c r="N535" s="39"/>
      <c r="O535" s="2"/>
      <c r="P535" s="2"/>
    </row>
    <row r="536" spans="1:16" x14ac:dyDescent="0.25">
      <c r="B536" s="38" t="str">
        <f>IF($A536=0,"",VLOOKUP($A536,'BASE MATERIAL'!$A:$D,2))</f>
        <v/>
      </c>
      <c r="C536" s="2"/>
      <c r="D536" s="77"/>
      <c r="E536" s="78" t="str">
        <f>IF($A536=0,"",VLOOKUP($A536,'BASE MATERIAL'!$A:$D,3))</f>
        <v/>
      </c>
      <c r="F536" s="55"/>
      <c r="G536" s="55" t="str">
        <f>IF($A536=0,"",VLOOKUP($A536,'BASE MATERIAL'!$A:$D,4))</f>
        <v/>
      </c>
      <c r="H536" s="56" t="str">
        <f t="shared" si="49"/>
        <v/>
      </c>
      <c r="I536" s="2"/>
      <c r="L536" s="2"/>
      <c r="M536" s="2"/>
      <c r="N536" s="39"/>
      <c r="O536" s="2"/>
      <c r="P536" s="2"/>
    </row>
    <row r="537" spans="1:16" x14ac:dyDescent="0.25">
      <c r="B537" s="38" t="str">
        <f>IF($A537=0,"",VLOOKUP($A537,'BASE MATERIAL'!$A:$D,2))</f>
        <v/>
      </c>
      <c r="C537" s="2"/>
      <c r="D537" s="77"/>
      <c r="E537" s="78" t="str">
        <f>IF($A537=0,"",VLOOKUP($A537,'BASE MATERIAL'!$A:$D,3))</f>
        <v/>
      </c>
      <c r="F537" s="55"/>
      <c r="G537" s="55" t="str">
        <f>IF($A537=0,"",VLOOKUP($A537,'BASE MATERIAL'!$A:$D,4))</f>
        <v/>
      </c>
      <c r="H537" s="56" t="str">
        <f t="shared" si="49"/>
        <v/>
      </c>
      <c r="I537" s="2"/>
      <c r="L537" s="2"/>
      <c r="M537" s="2"/>
      <c r="N537" s="39"/>
      <c r="O537" s="2"/>
      <c r="P537" s="2"/>
    </row>
    <row r="538" spans="1:16" x14ac:dyDescent="0.25">
      <c r="B538" s="38" t="str">
        <f>IF($A538=0,"",VLOOKUP($A538,'BASE MATERIAL'!$A:$D,2))</f>
        <v/>
      </c>
      <c r="C538" s="2"/>
      <c r="D538" s="77"/>
      <c r="E538" s="78" t="str">
        <f>IF($A538=0,"",VLOOKUP($A538,'BASE MATERIAL'!$A:$D,3))</f>
        <v/>
      </c>
      <c r="F538" s="55"/>
      <c r="G538" s="55" t="str">
        <f>IF($A538=0,"",VLOOKUP($A538,'BASE MATERIAL'!$A:$D,4))</f>
        <v/>
      </c>
      <c r="H538" s="56" t="str">
        <f t="shared" si="49"/>
        <v/>
      </c>
      <c r="I538" s="2"/>
      <c r="L538" s="2"/>
      <c r="M538" s="2"/>
      <c r="N538" s="39"/>
      <c r="O538" s="2"/>
      <c r="P538" s="2"/>
    </row>
    <row r="539" spans="1:16" x14ac:dyDescent="0.25">
      <c r="B539" s="38" t="str">
        <f>IF($A539=0,"",VLOOKUP($A539,'BASE MATERIAL'!$A:$D,2))</f>
        <v/>
      </c>
      <c r="C539" s="2"/>
      <c r="D539" s="77"/>
      <c r="E539" s="78" t="str">
        <f>IF($A539=0,"",VLOOKUP($A539,'BASE MATERIAL'!$A:$D,3))</f>
        <v/>
      </c>
      <c r="F539" s="55"/>
      <c r="G539" s="55" t="str">
        <f>IF($A539=0,"",VLOOKUP($A539,'BASE MATERIAL'!$A:$D,4))</f>
        <v/>
      </c>
      <c r="H539" s="56" t="str">
        <f t="shared" si="49"/>
        <v/>
      </c>
      <c r="I539" s="2"/>
      <c r="L539" s="2"/>
      <c r="M539" s="2"/>
      <c r="N539" s="39"/>
      <c r="O539" s="2"/>
      <c r="P539" s="2"/>
    </row>
    <row r="540" spans="1:16" x14ac:dyDescent="0.25">
      <c r="B540" s="38" t="str">
        <f>IF($A540=0,"",VLOOKUP($A540,'BASE MATERIAL'!$A:$D,2))</f>
        <v/>
      </c>
      <c r="C540" s="2"/>
      <c r="D540" s="77"/>
      <c r="E540" s="78" t="str">
        <f>IF($A540=0,"",VLOOKUP($A540,'BASE MATERIAL'!$A:$D,3))</f>
        <v/>
      </c>
      <c r="F540" s="55"/>
      <c r="G540" s="55" t="str">
        <f>IF($A540=0,"",VLOOKUP($A540,'BASE MATERIAL'!$A:$D,4))</f>
        <v/>
      </c>
      <c r="H540" s="56" t="str">
        <f t="shared" si="49"/>
        <v/>
      </c>
      <c r="I540" s="2"/>
      <c r="L540" s="2"/>
      <c r="M540" s="2"/>
      <c r="N540" s="39"/>
      <c r="O540" s="2"/>
      <c r="P540" s="2"/>
    </row>
    <row r="541" spans="1:16" x14ac:dyDescent="0.25">
      <c r="B541" s="38" t="str">
        <f>IF($A541=0,"",VLOOKUP($A541,'BASE MATERIAL'!$A:$D,2))</f>
        <v/>
      </c>
      <c r="C541" s="2"/>
      <c r="D541" s="77"/>
      <c r="E541" s="78" t="str">
        <f>IF($A541=0,"",VLOOKUP($A541,'BASE MATERIAL'!$A:$D,3))</f>
        <v/>
      </c>
      <c r="F541" s="55"/>
      <c r="G541" s="55" t="str">
        <f>IF($A541=0,"",VLOOKUP($A541,'BASE MATERIAL'!$A:$D,4))</f>
        <v/>
      </c>
      <c r="H541" s="56" t="str">
        <f t="shared" si="49"/>
        <v/>
      </c>
      <c r="I541" s="2"/>
    </row>
    <row r="542" spans="1:16" x14ac:dyDescent="0.25">
      <c r="B542" s="38" t="str">
        <f>IF($A542=0,"",VLOOKUP($A542,'BASE MATERIAL'!$A:$D,2))</f>
        <v/>
      </c>
      <c r="C542" s="2"/>
      <c r="D542" s="77"/>
      <c r="E542" s="78" t="str">
        <f>IF($A542=0,"",VLOOKUP($A542,'BASE MATERIAL'!$A:$D,3))</f>
        <v/>
      </c>
      <c r="F542" s="55"/>
      <c r="G542" s="55" t="str">
        <f>IF($A542=0,"",VLOOKUP($A542,'BASE MATERIAL'!$A:$D,4))</f>
        <v/>
      </c>
      <c r="H542" s="56" t="str">
        <f t="shared" si="49"/>
        <v/>
      </c>
      <c r="I542" s="2"/>
      <c r="L542" s="2"/>
      <c r="M542" s="2"/>
      <c r="N542" s="39"/>
      <c r="O542" s="2"/>
      <c r="P542" s="2"/>
    </row>
    <row r="543" spans="1:16" x14ac:dyDescent="0.25">
      <c r="B543" s="38" t="str">
        <f>IF($A543=0,"",VLOOKUP($A543,'BASE MATERIAL'!$A:$D,2))</f>
        <v/>
      </c>
      <c r="C543" s="2"/>
      <c r="D543" s="77"/>
      <c r="E543" s="78" t="str">
        <f>IF($A543=0,"",VLOOKUP($A543,'BASE MATERIAL'!$A:$D,3))</f>
        <v/>
      </c>
      <c r="F543" s="55"/>
      <c r="G543" s="55" t="str">
        <f>IF($A543=0,"",VLOOKUP($A543,'BASE MATERIAL'!$A:$D,4))</f>
        <v/>
      </c>
      <c r="H543" s="56" t="str">
        <f t="shared" si="49"/>
        <v/>
      </c>
      <c r="I543" s="2"/>
      <c r="L543" s="2"/>
      <c r="M543" s="2"/>
      <c r="N543" s="39"/>
      <c r="O543" s="2"/>
      <c r="P543" s="2"/>
    </row>
    <row r="544" spans="1:16" x14ac:dyDescent="0.25">
      <c r="B544" s="38" t="str">
        <f>IF($A544=0,"",VLOOKUP($A544,'BASE MATERIAL'!$A:$D,2))</f>
        <v/>
      </c>
      <c r="C544" s="2"/>
      <c r="D544" s="77"/>
      <c r="E544" s="78" t="str">
        <f>IF($A544=0,"",VLOOKUP($A544,'BASE MATERIAL'!$A:$D,3))</f>
        <v/>
      </c>
      <c r="F544" s="55"/>
      <c r="G544" s="55" t="str">
        <f>IF($A544=0,"",VLOOKUP($A544,'BASE MATERIAL'!$A:$D,4))</f>
        <v/>
      </c>
      <c r="H544" s="56" t="str">
        <f t="shared" si="49"/>
        <v/>
      </c>
      <c r="I544" s="2"/>
    </row>
    <row r="545" spans="1:9" x14ac:dyDescent="0.25">
      <c r="B545" s="38" t="str">
        <f>IF($A545=0,"",VLOOKUP($A545,'BASE MATERIAL'!$A:$D,2))</f>
        <v/>
      </c>
      <c r="C545" s="2"/>
      <c r="D545" s="77"/>
      <c r="E545" s="78" t="str">
        <f>IF($A545=0,"",VLOOKUP($A545,'BASE MATERIAL'!$A:$D,3))</f>
        <v/>
      </c>
      <c r="F545" s="55"/>
      <c r="G545" s="55" t="str">
        <f>IF($A545=0,"",VLOOKUP($A545,'BASE MATERIAL'!$A:$D,4))</f>
        <v/>
      </c>
      <c r="H545" s="56" t="str">
        <f t="shared" si="49"/>
        <v/>
      </c>
      <c r="I545" s="2"/>
    </row>
    <row r="546" spans="1:9" x14ac:dyDescent="0.25">
      <c r="B546" s="38" t="str">
        <f>IF($A546=0,"",VLOOKUP($A546,'BASE MATERIAL'!$A:$D,2))</f>
        <v/>
      </c>
      <c r="C546" s="2"/>
      <c r="D546" s="77"/>
      <c r="E546" s="78" t="str">
        <f>IF($A546=0,"",VLOOKUP($A546,'BASE MATERIAL'!$A:$D,3))</f>
        <v/>
      </c>
      <c r="F546" s="55"/>
      <c r="G546" s="55" t="str">
        <f>IF($A546=0,"",VLOOKUP($A546,'BASE MATERIAL'!$A:$D,4))</f>
        <v/>
      </c>
      <c r="H546" s="56" t="str">
        <f t="shared" si="49"/>
        <v/>
      </c>
      <c r="I546" s="2"/>
    </row>
    <row r="547" spans="1:9" x14ac:dyDescent="0.25">
      <c r="B547" s="38" t="str">
        <f>IF($A547=0,"",VLOOKUP($A547,'BASE MATERIAL'!$A:$D,2))</f>
        <v/>
      </c>
      <c r="C547" s="2"/>
      <c r="D547" s="77"/>
      <c r="E547" s="78" t="str">
        <f>IF($A547=0,"",VLOOKUP($A547,'BASE MATERIAL'!$A:$D,3))</f>
        <v/>
      </c>
      <c r="F547" s="55"/>
      <c r="G547" s="55" t="str">
        <f>IF($A547=0,"",VLOOKUP($A547,'BASE MATERIAL'!$A:$D,4))</f>
        <v/>
      </c>
      <c r="H547" s="56" t="str">
        <f t="shared" si="49"/>
        <v/>
      </c>
      <c r="I547" s="2"/>
    </row>
    <row r="548" spans="1:9" x14ac:dyDescent="0.25">
      <c r="B548" s="38" t="str">
        <f>IF($A548=0,"",VLOOKUP($A548,'BASE MATERIAL'!$A:$D,2))</f>
        <v/>
      </c>
      <c r="C548" s="2"/>
      <c r="D548" s="81" t="s">
        <v>1682</v>
      </c>
      <c r="E548" s="55" t="str">
        <f>IF($A548=0,"",VLOOKUP($A548,'BASE MATERIAL'!$A:$D,3))</f>
        <v/>
      </c>
      <c r="F548" s="55" t="s">
        <v>1682</v>
      </c>
      <c r="G548" s="55" t="str">
        <f>IF($A548=0,"",VLOOKUP($A548,'BASE MATERIAL'!$A:$D,4))</f>
        <v/>
      </c>
      <c r="H548" s="56" t="str">
        <f>IF($A548=0,"",ROUND(E548*F548,2))</f>
        <v/>
      </c>
      <c r="I548" s="2"/>
    </row>
    <row r="549" spans="1:9" x14ac:dyDescent="0.25">
      <c r="B549" s="73" t="s">
        <v>1681</v>
      </c>
      <c r="C549" s="65"/>
      <c r="D549" s="74"/>
      <c r="E549" s="74"/>
      <c r="F549" s="74"/>
      <c r="G549" s="74"/>
      <c r="H549" s="75">
        <f>ROUND(SUM(H532:H548),2)</f>
        <v>45</v>
      </c>
      <c r="I549" s="2"/>
    </row>
    <row r="550" spans="1:9" x14ac:dyDescent="0.25">
      <c r="B550" s="38" t="s">
        <v>1680</v>
      </c>
      <c r="C550" s="2"/>
      <c r="D550" s="3"/>
      <c r="E550" s="3"/>
      <c r="F550" s="3"/>
      <c r="G550" s="3"/>
      <c r="H550" s="56"/>
      <c r="I550" s="2"/>
    </row>
    <row r="551" spans="1:9" ht="25.5" x14ac:dyDescent="0.25">
      <c r="B551" s="64" t="s">
        <v>1409</v>
      </c>
      <c r="C551" s="65"/>
      <c r="D551" s="76"/>
      <c r="E551" s="66" t="s">
        <v>1408</v>
      </c>
      <c r="F551" s="66" t="s">
        <v>1679</v>
      </c>
      <c r="G551" s="66" t="s">
        <v>1676</v>
      </c>
      <c r="H551" s="68" t="s">
        <v>1675</v>
      </c>
      <c r="I551" s="2"/>
    </row>
    <row r="552" spans="1:9" x14ac:dyDescent="0.25">
      <c r="A552" s="103">
        <v>19019</v>
      </c>
      <c r="B552" s="51" t="str">
        <f>IF($A552=0,"",VLOOKUP($A552,'BASE EQUIPO'!$A:$D,2))</f>
        <v>TRANSPORTE DE MATERIAL</v>
      </c>
      <c r="C552" s="52"/>
      <c r="D552" s="82"/>
      <c r="E552" s="78" t="str">
        <f>IF($A552=0,"",VLOOKUP($A552,'BASE EQUIPO'!$A:$D,3))</f>
        <v>GLOBAL</v>
      </c>
      <c r="F552" s="55">
        <v>1</v>
      </c>
      <c r="G552" s="83">
        <f>IF($A552=0,"",VLOOKUP($A552,'BASE EQUIPO'!$A:$D,4)*H549)</f>
        <v>1.3499999999999999</v>
      </c>
      <c r="H552" s="56">
        <f>IF($A552=0,"",ROUND(F552*G552,2))</f>
        <v>1.35</v>
      </c>
      <c r="I552" s="2"/>
    </row>
    <row r="553" spans="1:9" x14ac:dyDescent="0.25">
      <c r="B553" s="38" t="str">
        <f>IF($A553=0,"",VLOOKUP($A553,'BASE EQUIPO'!$A:$D,2))</f>
        <v/>
      </c>
      <c r="C553" s="2"/>
      <c r="D553" s="84"/>
      <c r="E553" s="78" t="str">
        <f>IF($A553=0,"",VLOOKUP($A553,'BASE EQUIPO'!$A:$D,3))</f>
        <v/>
      </c>
      <c r="F553" s="55"/>
      <c r="G553" s="55" t="str">
        <f>IF($A553=0,"",VLOOKUP($A553,'BASE EQUIPO'!$A:$D,4)*H550)</f>
        <v/>
      </c>
      <c r="H553" s="56" t="str">
        <f>IF($A553=0,"",ROUND(F553*G553,2))</f>
        <v/>
      </c>
      <c r="I553" s="2"/>
    </row>
    <row r="554" spans="1:9" x14ac:dyDescent="0.25">
      <c r="B554" s="57" t="str">
        <f>IF($A554=0,"",VLOOKUP($A554,'BASE EQUIPO'!$A:$D,2))</f>
        <v/>
      </c>
      <c r="C554" s="58"/>
      <c r="D554" s="85"/>
      <c r="E554" s="86" t="str">
        <f>IF($A554=0,"",VLOOKUP($A554,'BASE EQUIPO'!$A:$D,3))</f>
        <v/>
      </c>
      <c r="F554" s="59"/>
      <c r="G554" s="59" t="str">
        <f>IF($A554=0,"",VLOOKUP($A554,'BASE EQUIPO'!$A:$D,4)*H551)</f>
        <v/>
      </c>
      <c r="H554" s="60" t="str">
        <f>IF($A554=0,"",ROUND(F554*G554,2))</f>
        <v/>
      </c>
      <c r="I554" s="2"/>
    </row>
    <row r="555" spans="1:9" ht="15.75" thickBot="1" x14ac:dyDescent="0.3">
      <c r="B555" s="87" t="s">
        <v>1674</v>
      </c>
      <c r="C555" s="88"/>
      <c r="D555" s="89"/>
      <c r="E555" s="89"/>
      <c r="F555" s="89"/>
      <c r="G555" s="89"/>
      <c r="H555" s="90">
        <f>ROUND(SUM(H551:H554),2)</f>
        <v>1.35</v>
      </c>
      <c r="I555" s="2"/>
    </row>
    <row r="556" spans="1:9" ht="15.75" x14ac:dyDescent="0.25">
      <c r="B556" s="2"/>
      <c r="C556" s="2"/>
      <c r="D556" s="91" t="s">
        <v>1673</v>
      </c>
      <c r="E556" s="47"/>
      <c r="F556" s="47"/>
      <c r="G556" s="47"/>
      <c r="H556" s="92">
        <f>ROUND(SUM(H555,H549,H530,H520),2)</f>
        <v>46.35</v>
      </c>
      <c r="I556" s="2"/>
    </row>
    <row r="557" spans="1:9" ht="15.75" x14ac:dyDescent="0.25">
      <c r="A557" s="103">
        <v>40002</v>
      </c>
      <c r="B557" s="2"/>
      <c r="C557" s="2"/>
      <c r="D557" s="93" t="s">
        <v>1672</v>
      </c>
      <c r="E557" s="65"/>
      <c r="F557" s="65"/>
      <c r="G557" s="94">
        <f>IF($A557=0,"",VLOOKUP($A557,'BASE MATERIAL'!$M:$P,4))</f>
        <v>0</v>
      </c>
      <c r="H557" s="95">
        <f>IF($A557=0,"",ROUND(G557*H556,2))</f>
        <v>0</v>
      </c>
      <c r="I557" s="2"/>
    </row>
    <row r="558" spans="1:9" ht="15.75" x14ac:dyDescent="0.25">
      <c r="A558" s="103">
        <v>40003</v>
      </c>
      <c r="B558" s="2"/>
      <c r="C558" s="2"/>
      <c r="D558" s="93" t="s">
        <v>1671</v>
      </c>
      <c r="E558" s="65"/>
      <c r="F558" s="65"/>
      <c r="G558" s="94">
        <f>IF($A558=0,"",VLOOKUP($A558,'BASE MATERIAL'!$M:$P,4))</f>
        <v>0</v>
      </c>
      <c r="H558" s="95">
        <f>IF($A558=0,"",ROUND(G558*H556,2))</f>
        <v>0</v>
      </c>
      <c r="I558" s="2"/>
    </row>
    <row r="559" spans="1:9" ht="15.75" x14ac:dyDescent="0.25">
      <c r="B559" s="2"/>
      <c r="C559" s="2"/>
      <c r="D559" s="93" t="s">
        <v>1670</v>
      </c>
      <c r="E559" s="65"/>
      <c r="F559" s="65"/>
      <c r="G559" s="65"/>
      <c r="H559" s="96">
        <f>ROUND(SUM(H556:H558),2)</f>
        <v>46.35</v>
      </c>
      <c r="I559" s="2"/>
    </row>
    <row r="560" spans="1:9" ht="16.5" thickBot="1" x14ac:dyDescent="0.3">
      <c r="B560" s="25"/>
      <c r="C560" s="2"/>
      <c r="D560" s="97" t="s">
        <v>1650</v>
      </c>
      <c r="E560" s="88"/>
      <c r="F560" s="88"/>
      <c r="G560" s="88"/>
      <c r="H560" s="98">
        <f>ROUND(H559,2)</f>
        <v>46.35</v>
      </c>
      <c r="I560" s="2"/>
    </row>
    <row r="561" spans="1:15" ht="15.75" x14ac:dyDescent="0.25">
      <c r="B561" s="34" t="s">
        <v>1701</v>
      </c>
      <c r="C561" s="2"/>
      <c r="D561" s="3" t="str">
        <f>$D$1</f>
        <v>ESPOL</v>
      </c>
      <c r="E561" s="2"/>
      <c r="F561" s="2"/>
      <c r="H561" s="2" t="s">
        <v>108</v>
      </c>
      <c r="I561" s="2"/>
      <c r="L561" s="40">
        <f>A565</f>
        <v>2</v>
      </c>
      <c r="M561" s="1" t="str">
        <f>C566</f>
        <v>Rejilla de extracción 6x6"</v>
      </c>
      <c r="N561" s="2" t="str">
        <f>H565</f>
        <v>u</v>
      </c>
      <c r="O561" s="2">
        <f>H616</f>
        <v>9.7899999999999991</v>
      </c>
    </row>
    <row r="562" spans="1:15" ht="15.75" x14ac:dyDescent="0.25">
      <c r="B562" s="34" t="s">
        <v>1700</v>
      </c>
      <c r="C562" s="3">
        <f>'1.1'!$C$2</f>
        <v>0</v>
      </c>
      <c r="D562" s="2"/>
      <c r="E562" s="2"/>
      <c r="F562" s="2"/>
      <c r="G562" s="41" t="s">
        <v>1699</v>
      </c>
      <c r="H562" s="42"/>
      <c r="I562" s="2" t="s">
        <v>1698</v>
      </c>
    </row>
    <row r="563" spans="1:15" ht="15.75" x14ac:dyDescent="0.25">
      <c r="B563" s="34"/>
      <c r="C563" s="3">
        <f>'1.1'!$C$3</f>
        <v>0</v>
      </c>
      <c r="D563" s="2"/>
      <c r="E563" s="2"/>
      <c r="F563" s="2"/>
      <c r="G563" s="2"/>
      <c r="H563" s="2"/>
      <c r="I563" s="2"/>
    </row>
    <row r="564" spans="1:15" ht="15.75" x14ac:dyDescent="0.25">
      <c r="B564" s="34" t="s">
        <v>1697</v>
      </c>
      <c r="C564" s="3"/>
      <c r="D564" s="2"/>
      <c r="E564" s="2"/>
      <c r="F564" s="2"/>
      <c r="G564" s="2"/>
      <c r="H564" s="2"/>
      <c r="I564" s="2"/>
    </row>
    <row r="565" spans="1:15" x14ac:dyDescent="0.25">
      <c r="A565" s="104">
        <v>2</v>
      </c>
      <c r="B565" s="2" t="s">
        <v>1586</v>
      </c>
      <c r="C565" s="101" t="s">
        <v>1330</v>
      </c>
      <c r="D565" s="2"/>
      <c r="G565" s="2" t="s">
        <v>1696</v>
      </c>
      <c r="H565" s="3" t="s">
        <v>1506</v>
      </c>
      <c r="I565" s="2"/>
    </row>
    <row r="566" spans="1:15" x14ac:dyDescent="0.25">
      <c r="B566" s="1" t="s">
        <v>1585</v>
      </c>
      <c r="C566" s="36" t="s">
        <v>142</v>
      </c>
      <c r="D566" s="2"/>
      <c r="E566" s="2"/>
      <c r="F566" s="2"/>
      <c r="G566" s="2"/>
      <c r="H566" s="2"/>
      <c r="I566" s="2"/>
    </row>
    <row r="567" spans="1:15" ht="15.75" thickBot="1" x14ac:dyDescent="0.3">
      <c r="D567" s="2"/>
      <c r="E567" s="2"/>
      <c r="F567" s="2"/>
      <c r="G567" s="2"/>
      <c r="H567" s="2"/>
      <c r="I567" s="2"/>
    </row>
    <row r="568" spans="1:15" ht="15.75" thickBot="1" x14ac:dyDescent="0.3">
      <c r="B568" s="43" t="s">
        <v>1695</v>
      </c>
      <c r="C568" s="44"/>
      <c r="D568" s="44"/>
      <c r="E568" s="44"/>
      <c r="F568" s="44"/>
      <c r="G568" s="44"/>
      <c r="H568" s="45"/>
      <c r="I568" s="2"/>
    </row>
    <row r="569" spans="1:15" ht="25.5" x14ac:dyDescent="0.25">
      <c r="B569" s="46" t="s">
        <v>1409</v>
      </c>
      <c r="C569" s="47"/>
      <c r="D569" s="48" t="s">
        <v>1690</v>
      </c>
      <c r="E569" s="48" t="s">
        <v>1694</v>
      </c>
      <c r="F569" s="48" t="s">
        <v>1693</v>
      </c>
      <c r="G569" s="49" t="s">
        <v>1687</v>
      </c>
      <c r="H569" s="50" t="s">
        <v>1686</v>
      </c>
      <c r="I569" s="2"/>
    </row>
    <row r="570" spans="1:15" x14ac:dyDescent="0.25">
      <c r="B570" s="51" t="str">
        <f>IF($A570=0,"",VLOOKUP($A570,'BASE EQUIPO'!$A:$D,2))</f>
        <v/>
      </c>
      <c r="C570" s="52"/>
      <c r="D570" s="53"/>
      <c r="E570" s="53" t="str">
        <f>IF($A570=0,"",VLOOKUP($A570,'BASE EQUIPO'!$A:$D,4)*H586)</f>
        <v/>
      </c>
      <c r="F570" s="53" t="str">
        <f t="shared" ref="F570:F575" si="50">IF($A570=0,"",ROUND(D570*E570,2))</f>
        <v/>
      </c>
      <c r="G570" s="105"/>
      <c r="H570" s="54" t="str">
        <f t="shared" ref="H570:H575" si="51">IF($A570=0,"",ROUND(G570*F570,2))</f>
        <v/>
      </c>
      <c r="I570" s="2"/>
    </row>
    <row r="571" spans="1:15" x14ac:dyDescent="0.25">
      <c r="B571" s="38" t="str">
        <f>IF($A571=0,"",VLOOKUP($A571,'BASE EQUIPO'!$A:$D,2))</f>
        <v/>
      </c>
      <c r="C571" s="2"/>
      <c r="D571" s="55"/>
      <c r="E571" s="55" t="str">
        <f>IF($A571=0,"",VLOOKUP($A571,'BASE EQUIPO'!$A:$D,4))</f>
        <v/>
      </c>
      <c r="F571" s="55" t="str">
        <f t="shared" si="50"/>
        <v/>
      </c>
      <c r="G571" s="106"/>
      <c r="H571" s="56" t="str">
        <f t="shared" si="51"/>
        <v/>
      </c>
      <c r="I571" s="2"/>
    </row>
    <row r="572" spans="1:15" x14ac:dyDescent="0.25">
      <c r="B572" s="38" t="str">
        <f>IF($A572=0,"",VLOOKUP($A572,'BASE EQUIPO'!$A:$D,2))</f>
        <v/>
      </c>
      <c r="C572" s="2"/>
      <c r="D572" s="55"/>
      <c r="E572" s="55" t="str">
        <f>IF($A572=0,"",VLOOKUP($A572,'BASE EQUIPO'!$A:$D,4))</f>
        <v/>
      </c>
      <c r="F572" s="55" t="str">
        <f t="shared" si="50"/>
        <v/>
      </c>
      <c r="G572" s="106"/>
      <c r="H572" s="56" t="str">
        <f t="shared" si="51"/>
        <v/>
      </c>
      <c r="I572" s="2"/>
    </row>
    <row r="573" spans="1:15" x14ac:dyDescent="0.25">
      <c r="B573" s="38" t="str">
        <f>IF($A573=0,"",VLOOKUP($A573,'BASE EQUIPO'!$A:$D,2))</f>
        <v/>
      </c>
      <c r="C573" s="2"/>
      <c r="D573" s="55"/>
      <c r="E573" s="55" t="str">
        <f>IF($A573=0,"",VLOOKUP($A573,'BASE EQUIPO'!$A:$D,4))</f>
        <v/>
      </c>
      <c r="F573" s="55" t="str">
        <f t="shared" si="50"/>
        <v/>
      </c>
      <c r="G573" s="106"/>
      <c r="H573" s="56" t="str">
        <f t="shared" si="51"/>
        <v/>
      </c>
      <c r="I573" s="2"/>
    </row>
    <row r="574" spans="1:15" x14ac:dyDescent="0.25">
      <c r="B574" s="38" t="str">
        <f>IF($A574=0,"",VLOOKUP($A574,'BASE EQUIPO'!$A:$D,2))</f>
        <v/>
      </c>
      <c r="C574" s="2"/>
      <c r="D574" s="55"/>
      <c r="E574" s="55" t="str">
        <f>IF($A574=0,"",VLOOKUP($A574,'BASE EQUIPO'!$A:$D,4))</f>
        <v/>
      </c>
      <c r="F574" s="55" t="str">
        <f t="shared" si="50"/>
        <v/>
      </c>
      <c r="G574" s="106"/>
      <c r="H574" s="56" t="str">
        <f t="shared" si="51"/>
        <v/>
      </c>
      <c r="I574" s="2"/>
    </row>
    <row r="575" spans="1:15" x14ac:dyDescent="0.25">
      <c r="B575" s="57" t="str">
        <f>IF($A575=0,"",VLOOKUP($A575,'BASE EQUIPO'!$A:$D,2))</f>
        <v/>
      </c>
      <c r="C575" s="58"/>
      <c r="D575" s="59"/>
      <c r="E575" s="59" t="str">
        <f>IF($A575=0,"",VLOOKUP($A575,'BASE EQUIPO'!$A:$D,4))</f>
        <v/>
      </c>
      <c r="F575" s="59" t="str">
        <f t="shared" si="50"/>
        <v/>
      </c>
      <c r="G575" s="107"/>
      <c r="H575" s="60" t="str">
        <f t="shared" si="51"/>
        <v/>
      </c>
      <c r="I575" s="2"/>
    </row>
    <row r="576" spans="1:15" x14ac:dyDescent="0.25">
      <c r="B576" s="57" t="s">
        <v>1692</v>
      </c>
      <c r="C576" s="58"/>
      <c r="D576" s="61"/>
      <c r="E576" s="61"/>
      <c r="F576" s="61"/>
      <c r="G576" s="62"/>
      <c r="H576" s="60">
        <f>ROUND(SUM(H569:H575),2)</f>
        <v>0</v>
      </c>
      <c r="I576" s="2"/>
    </row>
    <row r="577" spans="1:16" x14ac:dyDescent="0.25">
      <c r="B577" s="38" t="s">
        <v>1503</v>
      </c>
      <c r="C577" s="2"/>
      <c r="D577" s="3"/>
      <c r="E577" s="3"/>
      <c r="F577" s="3"/>
      <c r="G577" s="63"/>
      <c r="H577" s="56"/>
      <c r="I577" s="2"/>
    </row>
    <row r="578" spans="1:16" ht="25.5" x14ac:dyDescent="0.25">
      <c r="B578" s="64" t="s">
        <v>1691</v>
      </c>
      <c r="C578" s="65"/>
      <c r="D578" s="66" t="s">
        <v>1690</v>
      </c>
      <c r="E578" s="66" t="s">
        <v>1689</v>
      </c>
      <c r="F578" s="66" t="s">
        <v>1688</v>
      </c>
      <c r="G578" s="67" t="s">
        <v>1687</v>
      </c>
      <c r="H578" s="68" t="s">
        <v>1686</v>
      </c>
      <c r="I578" s="2"/>
    </row>
    <row r="579" spans="1:16" x14ac:dyDescent="0.25">
      <c r="B579" s="69" t="str">
        <f>IF($A579=0,"",VLOOKUP($A579,'BASE M-OBRA'!$A:$D,2))</f>
        <v/>
      </c>
      <c r="C579" s="2"/>
      <c r="D579" s="108"/>
      <c r="E579" s="70" t="str">
        <f>IF($A579=0,"",VLOOKUP($A579,'BASE M-OBRA'!$A:$D,4))</f>
        <v/>
      </c>
      <c r="F579" s="55" t="str">
        <f t="shared" ref="F579:F585" si="52">IF($A579=0,"",ROUND(D579*E579,2))</f>
        <v/>
      </c>
      <c r="G579" s="106" t="str">
        <f>IF($A579=0,"",ROUND(H579/F579,2))</f>
        <v/>
      </c>
      <c r="H579" s="56" t="str">
        <f>IF($A579=0,"",ROUND(SUM(H580:H585)*'BASE M-OBRA'!$D$23,2))</f>
        <v/>
      </c>
      <c r="I579" s="2"/>
    </row>
    <row r="580" spans="1:16" x14ac:dyDescent="0.25">
      <c r="B580" s="69" t="str">
        <f>IF($A580=0,"",VLOOKUP($A580,'BASE M-OBRA'!$A:$D,2))</f>
        <v/>
      </c>
      <c r="C580" s="2"/>
      <c r="D580" s="108"/>
      <c r="E580" s="70" t="str">
        <f>IF($A580=0,"",VLOOKUP($A580,'BASE M-OBRA'!$A:$D,4))</f>
        <v/>
      </c>
      <c r="F580" s="55" t="str">
        <f t="shared" si="52"/>
        <v/>
      </c>
      <c r="G580" s="106"/>
      <c r="H580" s="56" t="str">
        <f t="shared" ref="H580:H585" si="53">IF($A580=0,"",ROUND(G580*F580,2))</f>
        <v/>
      </c>
      <c r="I580" s="2"/>
    </row>
    <row r="581" spans="1:16" x14ac:dyDescent="0.25">
      <c r="B581" s="69" t="str">
        <f>IF($A581=0,"",VLOOKUP($A581,'BASE M-OBRA'!$A:$D,2))</f>
        <v/>
      </c>
      <c r="C581" s="2"/>
      <c r="D581" s="108"/>
      <c r="E581" s="70" t="str">
        <f>IF($A581=0,"",VLOOKUP($A581,'BASE M-OBRA'!$A:$D,4))</f>
        <v/>
      </c>
      <c r="F581" s="55" t="str">
        <f t="shared" si="52"/>
        <v/>
      </c>
      <c r="G581" s="106"/>
      <c r="H581" s="56" t="str">
        <f t="shared" si="53"/>
        <v/>
      </c>
      <c r="I581" s="2"/>
    </row>
    <row r="582" spans="1:16" x14ac:dyDescent="0.25">
      <c r="B582" s="71" t="str">
        <f>IF($A582=0,"",VLOOKUP($A582,'BASE M-OBRA'!$A:$D,2))</f>
        <v/>
      </c>
      <c r="C582" s="2"/>
      <c r="D582" s="108"/>
      <c r="E582" s="70" t="str">
        <f>IF($A582=0,"",VLOOKUP($A582,'BASE M-OBRA'!$A:$D,4))</f>
        <v/>
      </c>
      <c r="F582" s="55" t="str">
        <f t="shared" si="52"/>
        <v/>
      </c>
      <c r="G582" s="106"/>
      <c r="H582" s="56" t="str">
        <f t="shared" si="53"/>
        <v/>
      </c>
      <c r="I582" s="2"/>
    </row>
    <row r="583" spans="1:16" x14ac:dyDescent="0.25">
      <c r="B583" s="72" t="str">
        <f>IF($A583=0,"",VLOOKUP($A583,'BASE M-OBRA'!$A:$D,2))</f>
        <v/>
      </c>
      <c r="C583" s="2"/>
      <c r="D583" s="108"/>
      <c r="E583" s="70" t="str">
        <f>IF($A583=0,"",VLOOKUP($A583,'BASE M-OBRA'!$A:$D,4))</f>
        <v/>
      </c>
      <c r="F583" s="55" t="str">
        <f t="shared" si="52"/>
        <v/>
      </c>
      <c r="G583" s="106"/>
      <c r="H583" s="56" t="str">
        <f t="shared" si="53"/>
        <v/>
      </c>
      <c r="I583" s="2"/>
    </row>
    <row r="584" spans="1:16" x14ac:dyDescent="0.25">
      <c r="B584" s="38" t="str">
        <f>IF($A584=0,"",VLOOKUP($A584,'BASE M-OBRA'!$A:$D,2))</f>
        <v/>
      </c>
      <c r="C584" s="2"/>
      <c r="D584" s="55"/>
      <c r="E584" s="55" t="str">
        <f>IF($A584=0,"",VLOOKUP($A584,'BASE M-OBRA'!$A:$D,4))</f>
        <v/>
      </c>
      <c r="F584" s="55" t="str">
        <f t="shared" si="52"/>
        <v/>
      </c>
      <c r="G584" s="106"/>
      <c r="H584" s="56" t="str">
        <f t="shared" si="53"/>
        <v/>
      </c>
      <c r="I584" s="2"/>
    </row>
    <row r="585" spans="1:16" x14ac:dyDescent="0.25">
      <c r="B585" s="57" t="str">
        <f>IF($A585=0,"",VLOOKUP($A585,'BASE M-OBRA'!$A:$D,2))</f>
        <v/>
      </c>
      <c r="C585" s="58"/>
      <c r="D585" s="59"/>
      <c r="E585" s="59" t="str">
        <f>IF($A585=0,"",VLOOKUP($A585,'BASE M-OBRA'!$A:$D,4))</f>
        <v/>
      </c>
      <c r="F585" s="59" t="str">
        <f t="shared" si="52"/>
        <v/>
      </c>
      <c r="G585" s="107"/>
      <c r="H585" s="60" t="str">
        <f t="shared" si="53"/>
        <v/>
      </c>
      <c r="I585" s="2"/>
    </row>
    <row r="586" spans="1:16" x14ac:dyDescent="0.25">
      <c r="B586" s="73" t="s">
        <v>1685</v>
      </c>
      <c r="C586" s="65"/>
      <c r="D586" s="74"/>
      <c r="E586" s="74"/>
      <c r="F586" s="74"/>
      <c r="G586" s="74"/>
      <c r="H586" s="75">
        <f>ROUND(SUM(H578:H585),2)</f>
        <v>0</v>
      </c>
      <c r="I586" s="2"/>
    </row>
    <row r="587" spans="1:16" x14ac:dyDescent="0.25">
      <c r="B587" s="38" t="s">
        <v>1684</v>
      </c>
      <c r="C587" s="2"/>
      <c r="D587" s="3"/>
      <c r="E587" s="3"/>
      <c r="F587" s="3"/>
      <c r="G587" s="3"/>
      <c r="H587" s="56"/>
      <c r="I587" s="2"/>
    </row>
    <row r="588" spans="1:16" ht="25.5" x14ac:dyDescent="0.25">
      <c r="B588" s="64" t="s">
        <v>1409</v>
      </c>
      <c r="C588" s="65"/>
      <c r="D588" s="76"/>
      <c r="E588" s="66" t="s">
        <v>1408</v>
      </c>
      <c r="F588" s="66" t="s">
        <v>1679</v>
      </c>
      <c r="G588" s="66" t="s">
        <v>1683</v>
      </c>
      <c r="H588" s="68" t="s">
        <v>1675</v>
      </c>
      <c r="I588" s="2"/>
    </row>
    <row r="589" spans="1:16" x14ac:dyDescent="0.25">
      <c r="A589" s="103">
        <v>1</v>
      </c>
      <c r="B589" s="102" t="s">
        <v>142</v>
      </c>
      <c r="C589" s="2"/>
      <c r="D589" s="77"/>
      <c r="E589" s="78" t="s">
        <v>1506</v>
      </c>
      <c r="F589" s="55">
        <v>1</v>
      </c>
      <c r="G589" s="55">
        <v>9.5</v>
      </c>
      <c r="H589" s="56">
        <f t="shared" ref="H589:H603" si="54">IF($A589=0,"",ROUND(F589*G589,2))</f>
        <v>9.5</v>
      </c>
      <c r="I589" s="2"/>
      <c r="J589" s="1">
        <v>10.9</v>
      </c>
      <c r="L589" s="2"/>
      <c r="M589" s="2"/>
      <c r="N589" s="39"/>
      <c r="O589" s="2"/>
      <c r="P589" s="2"/>
    </row>
    <row r="590" spans="1:16" x14ac:dyDescent="0.25">
      <c r="B590" s="102"/>
      <c r="C590" s="2"/>
      <c r="D590" s="77"/>
      <c r="E590" s="78" t="str">
        <f>IF($A590=0,"",VLOOKUP($A590,'BASE MATERIAL'!$A:$D,3))</f>
        <v/>
      </c>
      <c r="F590" s="55"/>
      <c r="G590" s="55" t="str">
        <f>IF($A590=0,"",VLOOKUP($A590,'BASE MATERIAL'!$A:$D,4))</f>
        <v/>
      </c>
      <c r="H590" s="56" t="str">
        <f t="shared" si="54"/>
        <v/>
      </c>
      <c r="I590" s="2"/>
      <c r="L590" s="2"/>
      <c r="M590" s="2"/>
      <c r="N590" s="39"/>
      <c r="O590" s="2"/>
      <c r="P590" s="2"/>
    </row>
    <row r="591" spans="1:16" x14ac:dyDescent="0.25">
      <c r="B591" s="38" t="str">
        <f>IF($A591=0,"",VLOOKUP($A591,'BASE MATERIAL'!$A:$D,2))</f>
        <v/>
      </c>
      <c r="C591" s="2"/>
      <c r="D591" s="77"/>
      <c r="E591" s="78" t="str">
        <f>IF($A591=0,"",VLOOKUP($A591,'BASE MATERIAL'!$A:$D,3))</f>
        <v/>
      </c>
      <c r="F591" s="55"/>
      <c r="G591" s="55" t="str">
        <f>IF($A591=0,"",VLOOKUP($A591,'BASE MATERIAL'!$A:$D,4))</f>
        <v/>
      </c>
      <c r="H591" s="56" t="str">
        <f t="shared" si="54"/>
        <v/>
      </c>
      <c r="I591" s="2"/>
      <c r="L591" s="2"/>
      <c r="M591" s="2"/>
      <c r="N591" s="39"/>
      <c r="O591" s="2"/>
      <c r="P591" s="2"/>
    </row>
    <row r="592" spans="1:16" x14ac:dyDescent="0.25">
      <c r="B592" s="38" t="str">
        <f>IF($A592=0,"",VLOOKUP($A592,'BASE MATERIAL'!$A:$D,2))</f>
        <v/>
      </c>
      <c r="C592" s="2"/>
      <c r="D592" s="77"/>
      <c r="E592" s="78" t="str">
        <f>IF($A592=0,"",VLOOKUP($A592,'BASE MATERIAL'!$A:$D,3))</f>
        <v/>
      </c>
      <c r="F592" s="55"/>
      <c r="G592" s="55" t="str">
        <f>IF($A592=0,"",VLOOKUP($A592,'BASE MATERIAL'!$A:$D,4))</f>
        <v/>
      </c>
      <c r="H592" s="56" t="str">
        <f t="shared" si="54"/>
        <v/>
      </c>
      <c r="I592" s="2"/>
      <c r="L592" s="2"/>
      <c r="M592" s="2"/>
      <c r="N592" s="39"/>
      <c r="O592" s="2"/>
      <c r="P592" s="2"/>
    </row>
    <row r="593" spans="1:16" x14ac:dyDescent="0.25">
      <c r="B593" s="38" t="str">
        <f>IF($A593=0,"",VLOOKUP($A593,'BASE MATERIAL'!$A:$D,2))</f>
        <v/>
      </c>
      <c r="C593" s="2"/>
      <c r="D593" s="77"/>
      <c r="E593" s="78" t="str">
        <f>IF($A593=0,"",VLOOKUP($A593,'BASE MATERIAL'!$A:$D,3))</f>
        <v/>
      </c>
      <c r="F593" s="55"/>
      <c r="G593" s="55" t="str">
        <f>IF($A593=0,"",VLOOKUP($A593,'BASE MATERIAL'!$A:$D,4))</f>
        <v/>
      </c>
      <c r="H593" s="56" t="str">
        <f t="shared" si="54"/>
        <v/>
      </c>
      <c r="I593" s="2"/>
      <c r="L593" s="2"/>
      <c r="M593" s="2"/>
      <c r="N593" s="39"/>
      <c r="O593" s="2"/>
      <c r="P593" s="2"/>
    </row>
    <row r="594" spans="1:16" x14ac:dyDescent="0.25">
      <c r="B594" s="38" t="str">
        <f>IF($A594=0,"",VLOOKUP($A594,'BASE MATERIAL'!$A:$D,2))</f>
        <v/>
      </c>
      <c r="C594" s="2"/>
      <c r="D594" s="77"/>
      <c r="E594" s="78" t="str">
        <f>IF($A594=0,"",VLOOKUP($A594,'BASE MATERIAL'!$A:$D,3))</f>
        <v/>
      </c>
      <c r="F594" s="55"/>
      <c r="G594" s="55" t="str">
        <f>IF($A594=0,"",VLOOKUP($A594,'BASE MATERIAL'!$A:$D,4))</f>
        <v/>
      </c>
      <c r="H594" s="56" t="str">
        <f t="shared" si="54"/>
        <v/>
      </c>
      <c r="I594" s="2"/>
      <c r="L594" s="2"/>
      <c r="M594" s="2"/>
      <c r="N594" s="39"/>
      <c r="O594" s="2"/>
      <c r="P594" s="2"/>
    </row>
    <row r="595" spans="1:16" x14ac:dyDescent="0.25">
      <c r="B595" s="38" t="str">
        <f>IF($A595=0,"",VLOOKUP($A595,'BASE MATERIAL'!$A:$D,2))</f>
        <v/>
      </c>
      <c r="C595" s="2"/>
      <c r="D595" s="77"/>
      <c r="E595" s="78" t="str">
        <f>IF($A595=0,"",VLOOKUP($A595,'BASE MATERIAL'!$A:$D,3))</f>
        <v/>
      </c>
      <c r="F595" s="55"/>
      <c r="G595" s="55" t="str">
        <f>IF($A595=0,"",VLOOKUP($A595,'BASE MATERIAL'!$A:$D,4))</f>
        <v/>
      </c>
      <c r="H595" s="56" t="str">
        <f t="shared" si="54"/>
        <v/>
      </c>
      <c r="I595" s="2"/>
      <c r="L595" s="2"/>
      <c r="M595" s="2"/>
      <c r="N595" s="39"/>
      <c r="O595" s="2"/>
      <c r="P595" s="2"/>
    </row>
    <row r="596" spans="1:16" x14ac:dyDescent="0.25">
      <c r="B596" s="38" t="str">
        <f>IF($A596=0,"",VLOOKUP($A596,'BASE MATERIAL'!$A:$D,2))</f>
        <v/>
      </c>
      <c r="C596" s="2"/>
      <c r="D596" s="77"/>
      <c r="E596" s="78" t="str">
        <f>IF($A596=0,"",VLOOKUP($A596,'BASE MATERIAL'!$A:$D,3))</f>
        <v/>
      </c>
      <c r="F596" s="55"/>
      <c r="G596" s="55" t="str">
        <f>IF($A596=0,"",VLOOKUP($A596,'BASE MATERIAL'!$A:$D,4))</f>
        <v/>
      </c>
      <c r="H596" s="56" t="str">
        <f t="shared" si="54"/>
        <v/>
      </c>
      <c r="I596" s="2"/>
      <c r="L596" s="2"/>
      <c r="M596" s="2"/>
      <c r="N596" s="39"/>
      <c r="O596" s="2"/>
      <c r="P596" s="2"/>
    </row>
    <row r="597" spans="1:16" x14ac:dyDescent="0.25">
      <c r="B597" s="38" t="str">
        <f>IF($A597=0,"",VLOOKUP($A597,'BASE MATERIAL'!$A:$D,2))</f>
        <v/>
      </c>
      <c r="C597" s="2"/>
      <c r="D597" s="77"/>
      <c r="E597" s="78" t="str">
        <f>IF($A597=0,"",VLOOKUP($A597,'BASE MATERIAL'!$A:$D,3))</f>
        <v/>
      </c>
      <c r="F597" s="55"/>
      <c r="G597" s="55" t="str">
        <f>IF($A597=0,"",VLOOKUP($A597,'BASE MATERIAL'!$A:$D,4))</f>
        <v/>
      </c>
      <c r="H597" s="56" t="str">
        <f t="shared" si="54"/>
        <v/>
      </c>
      <c r="I597" s="2"/>
    </row>
    <row r="598" spans="1:16" x14ac:dyDescent="0.25">
      <c r="B598" s="38" t="str">
        <f>IF($A598=0,"",VLOOKUP($A598,'BASE MATERIAL'!$A:$D,2))</f>
        <v/>
      </c>
      <c r="C598" s="2"/>
      <c r="D598" s="77"/>
      <c r="E598" s="78" t="str">
        <f>IF($A598=0,"",VLOOKUP($A598,'BASE MATERIAL'!$A:$D,3))</f>
        <v/>
      </c>
      <c r="F598" s="55"/>
      <c r="G598" s="55" t="str">
        <f>IF($A598=0,"",VLOOKUP($A598,'BASE MATERIAL'!$A:$D,4))</f>
        <v/>
      </c>
      <c r="H598" s="56" t="str">
        <f t="shared" si="54"/>
        <v/>
      </c>
      <c r="I598" s="2"/>
      <c r="L598" s="2"/>
      <c r="M598" s="2"/>
      <c r="N598" s="39"/>
      <c r="O598" s="2"/>
      <c r="P598" s="2"/>
    </row>
    <row r="599" spans="1:16" x14ac:dyDescent="0.25">
      <c r="B599" s="38" t="str">
        <f>IF($A599=0,"",VLOOKUP($A599,'BASE MATERIAL'!$A:$D,2))</f>
        <v/>
      </c>
      <c r="C599" s="2"/>
      <c r="D599" s="77"/>
      <c r="E599" s="78" t="str">
        <f>IF($A599=0,"",VLOOKUP($A599,'BASE MATERIAL'!$A:$D,3))</f>
        <v/>
      </c>
      <c r="F599" s="55"/>
      <c r="G599" s="55" t="str">
        <f>IF($A599=0,"",VLOOKUP($A599,'BASE MATERIAL'!$A:$D,4))</f>
        <v/>
      </c>
      <c r="H599" s="56" t="str">
        <f t="shared" si="54"/>
        <v/>
      </c>
      <c r="I599" s="2"/>
      <c r="L599" s="2"/>
      <c r="M599" s="2"/>
      <c r="N599" s="39"/>
      <c r="O599" s="2"/>
      <c r="P599" s="2"/>
    </row>
    <row r="600" spans="1:16" x14ac:dyDescent="0.25">
      <c r="B600" s="38" t="str">
        <f>IF($A600=0,"",VLOOKUP($A600,'BASE MATERIAL'!$A:$D,2))</f>
        <v/>
      </c>
      <c r="C600" s="2"/>
      <c r="D600" s="77"/>
      <c r="E600" s="78" t="str">
        <f>IF($A600=0,"",VLOOKUP($A600,'BASE MATERIAL'!$A:$D,3))</f>
        <v/>
      </c>
      <c r="F600" s="55"/>
      <c r="G600" s="55" t="str">
        <f>IF($A600=0,"",VLOOKUP($A600,'BASE MATERIAL'!$A:$D,4))</f>
        <v/>
      </c>
      <c r="H600" s="56" t="str">
        <f t="shared" si="54"/>
        <v/>
      </c>
      <c r="I600" s="2"/>
    </row>
    <row r="601" spans="1:16" x14ac:dyDescent="0.25">
      <c r="B601" s="38" t="str">
        <f>IF($A601=0,"",VLOOKUP($A601,'BASE MATERIAL'!$A:$D,2))</f>
        <v/>
      </c>
      <c r="C601" s="2"/>
      <c r="D601" s="77"/>
      <c r="E601" s="78" t="str">
        <f>IF($A601=0,"",VLOOKUP($A601,'BASE MATERIAL'!$A:$D,3))</f>
        <v/>
      </c>
      <c r="F601" s="55"/>
      <c r="G601" s="55" t="str">
        <f>IF($A601=0,"",VLOOKUP($A601,'BASE MATERIAL'!$A:$D,4))</f>
        <v/>
      </c>
      <c r="H601" s="56" t="str">
        <f t="shared" si="54"/>
        <v/>
      </c>
      <c r="I601" s="2"/>
    </row>
    <row r="602" spans="1:16" x14ac:dyDescent="0.25">
      <c r="B602" s="38" t="str">
        <f>IF($A602=0,"",VLOOKUP($A602,'BASE MATERIAL'!$A:$D,2))</f>
        <v/>
      </c>
      <c r="C602" s="2"/>
      <c r="D602" s="77"/>
      <c r="E602" s="78" t="str">
        <f>IF($A602=0,"",VLOOKUP($A602,'BASE MATERIAL'!$A:$D,3))</f>
        <v/>
      </c>
      <c r="F602" s="55"/>
      <c r="G602" s="55" t="str">
        <f>IF($A602=0,"",VLOOKUP($A602,'BASE MATERIAL'!$A:$D,4))</f>
        <v/>
      </c>
      <c r="H602" s="56" t="str">
        <f t="shared" si="54"/>
        <v/>
      </c>
      <c r="I602" s="2"/>
    </row>
    <row r="603" spans="1:16" x14ac:dyDescent="0.25">
      <c r="B603" s="38" t="str">
        <f>IF($A603=0,"",VLOOKUP($A603,'BASE MATERIAL'!$A:$D,2))</f>
        <v/>
      </c>
      <c r="C603" s="2"/>
      <c r="D603" s="77"/>
      <c r="E603" s="78" t="str">
        <f>IF($A603=0,"",VLOOKUP($A603,'BASE MATERIAL'!$A:$D,3))</f>
        <v/>
      </c>
      <c r="F603" s="55"/>
      <c r="G603" s="55" t="str">
        <f>IF($A603=0,"",VLOOKUP($A603,'BASE MATERIAL'!$A:$D,4))</f>
        <v/>
      </c>
      <c r="H603" s="56" t="str">
        <f t="shared" si="54"/>
        <v/>
      </c>
      <c r="I603" s="2"/>
    </row>
    <row r="604" spans="1:16" x14ac:dyDescent="0.25">
      <c r="B604" s="38" t="str">
        <f>IF($A604=0,"",VLOOKUP($A604,'BASE MATERIAL'!$A:$D,2))</f>
        <v/>
      </c>
      <c r="C604" s="2"/>
      <c r="D604" s="81" t="s">
        <v>1682</v>
      </c>
      <c r="E604" s="55" t="str">
        <f>IF($A604=0,"",VLOOKUP($A604,'BASE MATERIAL'!$A:$D,3))</f>
        <v/>
      </c>
      <c r="F604" s="55" t="s">
        <v>1682</v>
      </c>
      <c r="G604" s="55" t="str">
        <f>IF($A604=0,"",VLOOKUP($A604,'BASE MATERIAL'!$A:$D,4))</f>
        <v/>
      </c>
      <c r="H604" s="56" t="str">
        <f>IF($A604=0,"",ROUND(E604*F604,2))</f>
        <v/>
      </c>
      <c r="I604" s="2"/>
    </row>
    <row r="605" spans="1:16" x14ac:dyDescent="0.25">
      <c r="B605" s="73" t="s">
        <v>1681</v>
      </c>
      <c r="C605" s="65"/>
      <c r="D605" s="74"/>
      <c r="E605" s="74"/>
      <c r="F605" s="74"/>
      <c r="G605" s="74"/>
      <c r="H605" s="75">
        <f>ROUND(SUM(H588:H604),2)</f>
        <v>9.5</v>
      </c>
      <c r="I605" s="2"/>
    </row>
    <row r="606" spans="1:16" x14ac:dyDescent="0.25">
      <c r="B606" s="38" t="s">
        <v>1680</v>
      </c>
      <c r="C606" s="2"/>
      <c r="D606" s="3"/>
      <c r="E606" s="3"/>
      <c r="F606" s="3"/>
      <c r="G606" s="3"/>
      <c r="H606" s="56"/>
      <c r="I606" s="2"/>
    </row>
    <row r="607" spans="1:16" ht="25.5" x14ac:dyDescent="0.25">
      <c r="B607" s="64" t="s">
        <v>1409</v>
      </c>
      <c r="C607" s="65"/>
      <c r="D607" s="76"/>
      <c r="E607" s="66" t="s">
        <v>1408</v>
      </c>
      <c r="F607" s="66" t="s">
        <v>1679</v>
      </c>
      <c r="G607" s="66" t="s">
        <v>1676</v>
      </c>
      <c r="H607" s="68" t="s">
        <v>1675</v>
      </c>
      <c r="I607" s="2"/>
    </row>
    <row r="608" spans="1:16" x14ac:dyDescent="0.25">
      <c r="A608" s="103">
        <v>19019</v>
      </c>
      <c r="B608" s="51" t="str">
        <f>IF($A608=0,"",VLOOKUP($A608,'BASE EQUIPO'!$A:$D,2))</f>
        <v>TRANSPORTE DE MATERIAL</v>
      </c>
      <c r="C608" s="52"/>
      <c r="D608" s="82"/>
      <c r="E608" s="78" t="str">
        <f>IF($A608=0,"",VLOOKUP($A608,'BASE EQUIPO'!$A:$D,3))</f>
        <v>GLOBAL</v>
      </c>
      <c r="F608" s="55">
        <v>1</v>
      </c>
      <c r="G608" s="83">
        <f>IF($A608=0,"",VLOOKUP($A608,'BASE EQUIPO'!$A:$D,4)*H605)</f>
        <v>0.28499999999999998</v>
      </c>
      <c r="H608" s="56">
        <f>IF($A608=0,"",ROUND(F608*G608,2))</f>
        <v>0.28999999999999998</v>
      </c>
      <c r="I608" s="2"/>
    </row>
    <row r="609" spans="1:15" x14ac:dyDescent="0.25">
      <c r="B609" s="38" t="str">
        <f>IF($A609=0,"",VLOOKUP($A609,'BASE EQUIPO'!$A:$D,2))</f>
        <v/>
      </c>
      <c r="C609" s="2"/>
      <c r="D609" s="84"/>
      <c r="E609" s="78" t="str">
        <f>IF($A609=0,"",VLOOKUP($A609,'BASE EQUIPO'!$A:$D,3))</f>
        <v/>
      </c>
      <c r="F609" s="55"/>
      <c r="G609" s="55" t="str">
        <f>IF($A609=0,"",VLOOKUP($A609,'BASE EQUIPO'!$A:$D,4)*H606)</f>
        <v/>
      </c>
      <c r="H609" s="56" t="str">
        <f>IF($A609=0,"",ROUND(F609*G609,2))</f>
        <v/>
      </c>
      <c r="I609" s="2"/>
    </row>
    <row r="610" spans="1:15" x14ac:dyDescent="0.25">
      <c r="B610" s="57" t="str">
        <f>IF($A610=0,"",VLOOKUP($A610,'BASE EQUIPO'!$A:$D,2))</f>
        <v/>
      </c>
      <c r="C610" s="58"/>
      <c r="D610" s="85"/>
      <c r="E610" s="86" t="str">
        <f>IF($A610=0,"",VLOOKUP($A610,'BASE EQUIPO'!$A:$D,3))</f>
        <v/>
      </c>
      <c r="F610" s="59"/>
      <c r="G610" s="59" t="str">
        <f>IF($A610=0,"",VLOOKUP($A610,'BASE EQUIPO'!$A:$D,4)*H607)</f>
        <v/>
      </c>
      <c r="H610" s="60" t="str">
        <f>IF($A610=0,"",ROUND(F610*G610,2))</f>
        <v/>
      </c>
      <c r="I610" s="2"/>
    </row>
    <row r="611" spans="1:15" ht="15.75" thickBot="1" x14ac:dyDescent="0.3">
      <c r="B611" s="87" t="s">
        <v>1674</v>
      </c>
      <c r="C611" s="88"/>
      <c r="D611" s="89"/>
      <c r="E611" s="89"/>
      <c r="F611" s="89"/>
      <c r="G611" s="89"/>
      <c r="H611" s="90">
        <f>ROUND(SUM(H607:H610),2)</f>
        <v>0.28999999999999998</v>
      </c>
      <c r="I611" s="2"/>
    </row>
    <row r="612" spans="1:15" ht="15.75" x14ac:dyDescent="0.25">
      <c r="B612" s="2"/>
      <c r="C612" s="2"/>
      <c r="D612" s="91" t="s">
        <v>1673</v>
      </c>
      <c r="E612" s="47"/>
      <c r="F612" s="47"/>
      <c r="G612" s="47"/>
      <c r="H612" s="92">
        <f>ROUND(SUM(H611,H605,H586,H576),2)</f>
        <v>9.7899999999999991</v>
      </c>
      <c r="I612" s="2"/>
    </row>
    <row r="613" spans="1:15" ht="15.75" x14ac:dyDescent="0.25">
      <c r="A613" s="103">
        <v>40002</v>
      </c>
      <c r="B613" s="2"/>
      <c r="C613" s="2"/>
      <c r="D613" s="93" t="s">
        <v>1672</v>
      </c>
      <c r="E613" s="65"/>
      <c r="F613" s="65"/>
      <c r="G613" s="94">
        <f>IF($A613=0,"",VLOOKUP($A613,'BASE MATERIAL'!$M:$P,4))</f>
        <v>0</v>
      </c>
      <c r="H613" s="95">
        <f>IF($A613=0,"",ROUND(G613*H612,2))</f>
        <v>0</v>
      </c>
      <c r="I613" s="2"/>
    </row>
    <row r="614" spans="1:15" ht="15.75" x14ac:dyDescent="0.25">
      <c r="A614" s="103">
        <v>40003</v>
      </c>
      <c r="B614" s="2"/>
      <c r="C614" s="2"/>
      <c r="D614" s="93" t="s">
        <v>1671</v>
      </c>
      <c r="E614" s="65"/>
      <c r="F614" s="65"/>
      <c r="G614" s="94">
        <f>IF($A614=0,"",VLOOKUP($A614,'BASE MATERIAL'!$M:$P,4))</f>
        <v>0</v>
      </c>
      <c r="H614" s="95">
        <f>IF($A614=0,"",ROUND(G614*H612,2))</f>
        <v>0</v>
      </c>
      <c r="I614" s="2"/>
    </row>
    <row r="615" spans="1:15" ht="15.75" x14ac:dyDescent="0.25">
      <c r="B615" s="2"/>
      <c r="C615" s="2"/>
      <c r="D615" s="93" t="s">
        <v>1670</v>
      </c>
      <c r="E615" s="65"/>
      <c r="F615" s="65"/>
      <c r="G615" s="65"/>
      <c r="H615" s="96">
        <f>ROUND(SUM(H612:H614),2)</f>
        <v>9.7899999999999991</v>
      </c>
      <c r="I615" s="2"/>
    </row>
    <row r="616" spans="1:15" ht="16.5" thickBot="1" x14ac:dyDescent="0.3">
      <c r="B616" s="25"/>
      <c r="C616" s="2"/>
      <c r="D616" s="97" t="s">
        <v>1650</v>
      </c>
      <c r="E616" s="88"/>
      <c r="F616" s="88"/>
      <c r="G616" s="88"/>
      <c r="H616" s="98">
        <f>ROUND(H615,2)</f>
        <v>9.7899999999999991</v>
      </c>
      <c r="I616" s="2"/>
    </row>
    <row r="617" spans="1:15" ht="15.75" x14ac:dyDescent="0.25">
      <c r="B617" s="34" t="s">
        <v>1701</v>
      </c>
      <c r="C617" s="2"/>
      <c r="D617" s="3" t="str">
        <f>$D$1</f>
        <v>ESPOL</v>
      </c>
      <c r="E617" s="2"/>
      <c r="F617" s="2"/>
      <c r="H617" s="2" t="s">
        <v>108</v>
      </c>
      <c r="I617" s="2"/>
      <c r="L617" s="40">
        <f>A621</f>
        <v>2</v>
      </c>
      <c r="M617" s="1" t="str">
        <f>C622</f>
        <v>Rejilla de extracción 8x8"</v>
      </c>
      <c r="N617" s="2" t="str">
        <f>H621</f>
        <v>u</v>
      </c>
      <c r="O617" s="2">
        <f>H672</f>
        <v>11.33</v>
      </c>
    </row>
    <row r="618" spans="1:15" ht="15.75" x14ac:dyDescent="0.25">
      <c r="B618" s="34" t="s">
        <v>1700</v>
      </c>
      <c r="C618" s="3">
        <f>'1.1'!$C$2</f>
        <v>0</v>
      </c>
      <c r="D618" s="2"/>
      <c r="E618" s="2"/>
      <c r="F618" s="2"/>
      <c r="G618" s="41" t="s">
        <v>1699</v>
      </c>
      <c r="H618" s="42"/>
      <c r="I618" s="2" t="s">
        <v>1698</v>
      </c>
    </row>
    <row r="619" spans="1:15" ht="15.75" x14ac:dyDescent="0.25">
      <c r="B619" s="34"/>
      <c r="C619" s="3">
        <f>'1.1'!$C$3</f>
        <v>0</v>
      </c>
      <c r="D619" s="2"/>
      <c r="E619" s="2"/>
      <c r="F619" s="2"/>
      <c r="G619" s="2"/>
      <c r="H619" s="2"/>
      <c r="I619" s="2"/>
    </row>
    <row r="620" spans="1:15" ht="15.75" x14ac:dyDescent="0.25">
      <c r="B620" s="34" t="s">
        <v>1697</v>
      </c>
      <c r="C620" s="3"/>
      <c r="D620" s="2"/>
      <c r="E620" s="2"/>
      <c r="F620" s="2"/>
      <c r="G620" s="2"/>
      <c r="H620" s="2"/>
      <c r="I620" s="2"/>
    </row>
    <row r="621" spans="1:15" x14ac:dyDescent="0.25">
      <c r="A621" s="104">
        <v>2</v>
      </c>
      <c r="B621" s="2" t="s">
        <v>1586</v>
      </c>
      <c r="C621" s="101" t="s">
        <v>1331</v>
      </c>
      <c r="D621" s="2"/>
      <c r="G621" s="2" t="s">
        <v>1696</v>
      </c>
      <c r="H621" s="3" t="s">
        <v>1506</v>
      </c>
      <c r="I621" s="2"/>
    </row>
    <row r="622" spans="1:15" x14ac:dyDescent="0.25">
      <c r="B622" s="1" t="s">
        <v>1585</v>
      </c>
      <c r="C622" s="36" t="s">
        <v>143</v>
      </c>
      <c r="D622" s="2"/>
      <c r="E622" s="2"/>
      <c r="F622" s="2"/>
      <c r="G622" s="2"/>
      <c r="H622" s="2"/>
      <c r="I622" s="2"/>
    </row>
    <row r="623" spans="1:15" ht="15.75" thickBot="1" x14ac:dyDescent="0.3">
      <c r="D623" s="2"/>
      <c r="E623" s="2"/>
      <c r="F623" s="2"/>
      <c r="G623" s="2"/>
      <c r="H623" s="2"/>
      <c r="I623" s="2"/>
    </row>
    <row r="624" spans="1:15" ht="15.75" thickBot="1" x14ac:dyDescent="0.3">
      <c r="B624" s="43" t="s">
        <v>1695</v>
      </c>
      <c r="C624" s="44"/>
      <c r="D624" s="44"/>
      <c r="E624" s="44"/>
      <c r="F624" s="44"/>
      <c r="G624" s="44"/>
      <c r="H624" s="45"/>
      <c r="I624" s="2"/>
    </row>
    <row r="625" spans="2:9" ht="25.5" x14ac:dyDescent="0.25">
      <c r="B625" s="46" t="s">
        <v>1409</v>
      </c>
      <c r="C625" s="47"/>
      <c r="D625" s="48" t="s">
        <v>1690</v>
      </c>
      <c r="E625" s="48" t="s">
        <v>1694</v>
      </c>
      <c r="F625" s="48" t="s">
        <v>1693</v>
      </c>
      <c r="G625" s="49" t="s">
        <v>1687</v>
      </c>
      <c r="H625" s="50" t="s">
        <v>1686</v>
      </c>
      <c r="I625" s="2"/>
    </row>
    <row r="626" spans="2:9" x14ac:dyDescent="0.25">
      <c r="B626" s="51" t="str">
        <f>IF($A626=0,"",VLOOKUP($A626,'BASE EQUIPO'!$A:$D,2))</f>
        <v/>
      </c>
      <c r="C626" s="52"/>
      <c r="D626" s="53"/>
      <c r="E626" s="53" t="str">
        <f>IF($A626=0,"",VLOOKUP($A626,'BASE EQUIPO'!$A:$D,4)*H642)</f>
        <v/>
      </c>
      <c r="F626" s="53" t="str">
        <f t="shared" ref="F626:F631" si="55">IF($A626=0,"",ROUND(D626*E626,2))</f>
        <v/>
      </c>
      <c r="G626" s="105"/>
      <c r="H626" s="54" t="str">
        <f t="shared" ref="H626:H631" si="56">IF($A626=0,"",ROUND(G626*F626,2))</f>
        <v/>
      </c>
      <c r="I626" s="2"/>
    </row>
    <row r="627" spans="2:9" x14ac:dyDescent="0.25">
      <c r="B627" s="38" t="str">
        <f>IF($A627=0,"",VLOOKUP($A627,'BASE EQUIPO'!$A:$D,2))</f>
        <v/>
      </c>
      <c r="C627" s="2"/>
      <c r="D627" s="55"/>
      <c r="E627" s="55" t="str">
        <f>IF($A627=0,"",VLOOKUP($A627,'BASE EQUIPO'!$A:$D,4))</f>
        <v/>
      </c>
      <c r="F627" s="55" t="str">
        <f t="shared" si="55"/>
        <v/>
      </c>
      <c r="G627" s="106"/>
      <c r="H627" s="56" t="str">
        <f t="shared" si="56"/>
        <v/>
      </c>
      <c r="I627" s="2"/>
    </row>
    <row r="628" spans="2:9" x14ac:dyDescent="0.25">
      <c r="B628" s="38" t="str">
        <f>IF($A628=0,"",VLOOKUP($A628,'BASE EQUIPO'!$A:$D,2))</f>
        <v/>
      </c>
      <c r="C628" s="2"/>
      <c r="D628" s="55"/>
      <c r="E628" s="55" t="str">
        <f>IF($A628=0,"",VLOOKUP($A628,'BASE EQUIPO'!$A:$D,4))</f>
        <v/>
      </c>
      <c r="F628" s="55" t="str">
        <f t="shared" si="55"/>
        <v/>
      </c>
      <c r="G628" s="106"/>
      <c r="H628" s="56" t="str">
        <f t="shared" si="56"/>
        <v/>
      </c>
      <c r="I628" s="2"/>
    </row>
    <row r="629" spans="2:9" x14ac:dyDescent="0.25">
      <c r="B629" s="38" t="str">
        <f>IF($A629=0,"",VLOOKUP($A629,'BASE EQUIPO'!$A:$D,2))</f>
        <v/>
      </c>
      <c r="C629" s="2"/>
      <c r="D629" s="55"/>
      <c r="E629" s="55" t="str">
        <f>IF($A629=0,"",VLOOKUP($A629,'BASE EQUIPO'!$A:$D,4))</f>
        <v/>
      </c>
      <c r="F629" s="55" t="str">
        <f t="shared" si="55"/>
        <v/>
      </c>
      <c r="G629" s="106"/>
      <c r="H629" s="56" t="str">
        <f t="shared" si="56"/>
        <v/>
      </c>
      <c r="I629" s="2"/>
    </row>
    <row r="630" spans="2:9" x14ac:dyDescent="0.25">
      <c r="B630" s="38" t="str">
        <f>IF($A630=0,"",VLOOKUP($A630,'BASE EQUIPO'!$A:$D,2))</f>
        <v/>
      </c>
      <c r="C630" s="2"/>
      <c r="D630" s="55"/>
      <c r="E630" s="55" t="str">
        <f>IF($A630=0,"",VLOOKUP($A630,'BASE EQUIPO'!$A:$D,4))</f>
        <v/>
      </c>
      <c r="F630" s="55" t="str">
        <f t="shared" si="55"/>
        <v/>
      </c>
      <c r="G630" s="106"/>
      <c r="H630" s="56" t="str">
        <f t="shared" si="56"/>
        <v/>
      </c>
      <c r="I630" s="2"/>
    </row>
    <row r="631" spans="2:9" x14ac:dyDescent="0.25">
      <c r="B631" s="57" t="str">
        <f>IF($A631=0,"",VLOOKUP($A631,'BASE EQUIPO'!$A:$D,2))</f>
        <v/>
      </c>
      <c r="C631" s="58"/>
      <c r="D631" s="59"/>
      <c r="E631" s="59" t="str">
        <f>IF($A631=0,"",VLOOKUP($A631,'BASE EQUIPO'!$A:$D,4))</f>
        <v/>
      </c>
      <c r="F631" s="59" t="str">
        <f t="shared" si="55"/>
        <v/>
      </c>
      <c r="G631" s="107"/>
      <c r="H631" s="60" t="str">
        <f t="shared" si="56"/>
        <v/>
      </c>
      <c r="I631" s="2"/>
    </row>
    <row r="632" spans="2:9" x14ac:dyDescent="0.25">
      <c r="B632" s="57" t="s">
        <v>1692</v>
      </c>
      <c r="C632" s="58"/>
      <c r="D632" s="61"/>
      <c r="E632" s="61"/>
      <c r="F632" s="61"/>
      <c r="G632" s="62"/>
      <c r="H632" s="60">
        <f>ROUND(SUM(H625:H631),2)</f>
        <v>0</v>
      </c>
      <c r="I632" s="2"/>
    </row>
    <row r="633" spans="2:9" x14ac:dyDescent="0.25">
      <c r="B633" s="38" t="s">
        <v>1503</v>
      </c>
      <c r="C633" s="2"/>
      <c r="D633" s="3"/>
      <c r="E633" s="3"/>
      <c r="F633" s="3"/>
      <c r="G633" s="63"/>
      <c r="H633" s="56"/>
      <c r="I633" s="2"/>
    </row>
    <row r="634" spans="2:9" ht="25.5" x14ac:dyDescent="0.25">
      <c r="B634" s="64" t="s">
        <v>1691</v>
      </c>
      <c r="C634" s="65"/>
      <c r="D634" s="66" t="s">
        <v>1690</v>
      </c>
      <c r="E634" s="66" t="s">
        <v>1689</v>
      </c>
      <c r="F634" s="66" t="s">
        <v>1688</v>
      </c>
      <c r="G634" s="67" t="s">
        <v>1687</v>
      </c>
      <c r="H634" s="68" t="s">
        <v>1686</v>
      </c>
      <c r="I634" s="2"/>
    </row>
    <row r="635" spans="2:9" x14ac:dyDescent="0.25">
      <c r="B635" s="69" t="str">
        <f>IF($A635=0,"",VLOOKUP($A635,'BASE M-OBRA'!$A:$D,2))</f>
        <v/>
      </c>
      <c r="C635" s="2"/>
      <c r="D635" s="108"/>
      <c r="E635" s="70" t="str">
        <f>IF($A635=0,"",VLOOKUP($A635,'BASE M-OBRA'!$A:$D,4))</f>
        <v/>
      </c>
      <c r="F635" s="55" t="str">
        <f t="shared" ref="F635:F641" si="57">IF($A635=0,"",ROUND(D635*E635,2))</f>
        <v/>
      </c>
      <c r="G635" s="106" t="str">
        <f>IF($A635=0,"",ROUND(H635/F635,2))</f>
        <v/>
      </c>
      <c r="H635" s="56" t="str">
        <f>IF($A635=0,"",ROUND(SUM(H636:H641)*'BASE M-OBRA'!$D$23,2))</f>
        <v/>
      </c>
      <c r="I635" s="2"/>
    </row>
    <row r="636" spans="2:9" x14ac:dyDescent="0.25">
      <c r="B636" s="69" t="str">
        <f>IF($A636=0,"",VLOOKUP($A636,'BASE M-OBRA'!$A:$D,2))</f>
        <v/>
      </c>
      <c r="C636" s="2"/>
      <c r="D636" s="108"/>
      <c r="E636" s="70" t="str">
        <f>IF($A636=0,"",VLOOKUP($A636,'BASE M-OBRA'!$A:$D,4))</f>
        <v/>
      </c>
      <c r="F636" s="55" t="str">
        <f t="shared" si="57"/>
        <v/>
      </c>
      <c r="G636" s="106"/>
      <c r="H636" s="56" t="str">
        <f t="shared" ref="H636:H641" si="58">IF($A636=0,"",ROUND(G636*F636,2))</f>
        <v/>
      </c>
      <c r="I636" s="2"/>
    </row>
    <row r="637" spans="2:9" x14ac:dyDescent="0.25">
      <c r="B637" s="69" t="str">
        <f>IF($A637=0,"",VLOOKUP($A637,'BASE M-OBRA'!$A:$D,2))</f>
        <v/>
      </c>
      <c r="C637" s="2"/>
      <c r="D637" s="108"/>
      <c r="E637" s="70" t="str">
        <f>IF($A637=0,"",VLOOKUP($A637,'BASE M-OBRA'!$A:$D,4))</f>
        <v/>
      </c>
      <c r="F637" s="55" t="str">
        <f t="shared" si="57"/>
        <v/>
      </c>
      <c r="G637" s="106"/>
      <c r="H637" s="56" t="str">
        <f t="shared" si="58"/>
        <v/>
      </c>
      <c r="I637" s="2"/>
    </row>
    <row r="638" spans="2:9" x14ac:dyDescent="0.25">
      <c r="B638" s="71" t="str">
        <f>IF($A638=0,"",VLOOKUP($A638,'BASE M-OBRA'!$A:$D,2))</f>
        <v/>
      </c>
      <c r="C638" s="2"/>
      <c r="D638" s="108"/>
      <c r="E638" s="70" t="str">
        <f>IF($A638=0,"",VLOOKUP($A638,'BASE M-OBRA'!$A:$D,4))</f>
        <v/>
      </c>
      <c r="F638" s="55" t="str">
        <f t="shared" si="57"/>
        <v/>
      </c>
      <c r="G638" s="106"/>
      <c r="H638" s="56" t="str">
        <f t="shared" si="58"/>
        <v/>
      </c>
      <c r="I638" s="2"/>
    </row>
    <row r="639" spans="2:9" x14ac:dyDescent="0.25">
      <c r="B639" s="72" t="str">
        <f>IF($A639=0,"",VLOOKUP($A639,'BASE M-OBRA'!$A:$D,2))</f>
        <v/>
      </c>
      <c r="C639" s="2"/>
      <c r="D639" s="108"/>
      <c r="E639" s="70" t="str">
        <f>IF($A639=0,"",VLOOKUP($A639,'BASE M-OBRA'!$A:$D,4))</f>
        <v/>
      </c>
      <c r="F639" s="55" t="str">
        <f t="shared" si="57"/>
        <v/>
      </c>
      <c r="G639" s="106"/>
      <c r="H639" s="56" t="str">
        <f t="shared" si="58"/>
        <v/>
      </c>
      <c r="I639" s="2"/>
    </row>
    <row r="640" spans="2:9" x14ac:dyDescent="0.25">
      <c r="B640" s="38" t="str">
        <f>IF($A640=0,"",VLOOKUP($A640,'BASE M-OBRA'!$A:$D,2))</f>
        <v/>
      </c>
      <c r="C640" s="2"/>
      <c r="D640" s="55"/>
      <c r="E640" s="55" t="str">
        <f>IF($A640=0,"",VLOOKUP($A640,'BASE M-OBRA'!$A:$D,4))</f>
        <v/>
      </c>
      <c r="F640" s="55" t="str">
        <f t="shared" si="57"/>
        <v/>
      </c>
      <c r="G640" s="106"/>
      <c r="H640" s="56" t="str">
        <f t="shared" si="58"/>
        <v/>
      </c>
      <c r="I640" s="2"/>
    </row>
    <row r="641" spans="1:16" x14ac:dyDescent="0.25">
      <c r="B641" s="57" t="str">
        <f>IF($A641=0,"",VLOOKUP($A641,'BASE M-OBRA'!$A:$D,2))</f>
        <v/>
      </c>
      <c r="C641" s="58"/>
      <c r="D641" s="59"/>
      <c r="E641" s="59" t="str">
        <f>IF($A641=0,"",VLOOKUP($A641,'BASE M-OBRA'!$A:$D,4))</f>
        <v/>
      </c>
      <c r="F641" s="59" t="str">
        <f t="shared" si="57"/>
        <v/>
      </c>
      <c r="G641" s="107"/>
      <c r="H641" s="60" t="str">
        <f t="shared" si="58"/>
        <v/>
      </c>
      <c r="I641" s="2"/>
    </row>
    <row r="642" spans="1:16" x14ac:dyDescent="0.25">
      <c r="B642" s="73" t="s">
        <v>1685</v>
      </c>
      <c r="C642" s="65"/>
      <c r="D642" s="74"/>
      <c r="E642" s="74"/>
      <c r="F642" s="74"/>
      <c r="G642" s="74"/>
      <c r="H642" s="75">
        <f>ROUND(SUM(H634:H641),2)</f>
        <v>0</v>
      </c>
      <c r="I642" s="2"/>
    </row>
    <row r="643" spans="1:16" x14ac:dyDescent="0.25">
      <c r="B643" s="38" t="s">
        <v>1684</v>
      </c>
      <c r="C643" s="2"/>
      <c r="D643" s="3"/>
      <c r="E643" s="3"/>
      <c r="F643" s="3"/>
      <c r="G643" s="3"/>
      <c r="H643" s="56"/>
      <c r="I643" s="2"/>
    </row>
    <row r="644" spans="1:16" ht="25.5" x14ac:dyDescent="0.25">
      <c r="B644" s="64" t="s">
        <v>1409</v>
      </c>
      <c r="C644" s="65"/>
      <c r="D644" s="76"/>
      <c r="E644" s="66" t="s">
        <v>1408</v>
      </c>
      <c r="F644" s="66" t="s">
        <v>1679</v>
      </c>
      <c r="G644" s="66" t="s">
        <v>1683</v>
      </c>
      <c r="H644" s="68" t="s">
        <v>1675</v>
      </c>
      <c r="I644" s="2"/>
    </row>
    <row r="645" spans="1:16" x14ac:dyDescent="0.25">
      <c r="A645" s="103">
        <v>1</v>
      </c>
      <c r="B645" s="102" t="s">
        <v>143</v>
      </c>
      <c r="C645" s="2"/>
      <c r="D645" s="77"/>
      <c r="E645" s="78" t="s">
        <v>1506</v>
      </c>
      <c r="F645" s="55">
        <v>1</v>
      </c>
      <c r="G645" s="55">
        <v>11</v>
      </c>
      <c r="H645" s="56">
        <f t="shared" ref="H645:H659" si="59">IF($A645=0,"",ROUND(F645*G645,2))</f>
        <v>11</v>
      </c>
      <c r="I645" s="2"/>
      <c r="J645" s="1">
        <v>10.9</v>
      </c>
      <c r="L645" s="2"/>
      <c r="M645" s="2"/>
      <c r="N645" s="39"/>
      <c r="O645" s="2"/>
      <c r="P645" s="2"/>
    </row>
    <row r="646" spans="1:16" x14ac:dyDescent="0.25">
      <c r="B646" s="102"/>
      <c r="C646" s="2"/>
      <c r="D646" s="77"/>
      <c r="E646" s="78" t="str">
        <f>IF($A646=0,"",VLOOKUP($A646,'BASE MATERIAL'!$A:$D,3))</f>
        <v/>
      </c>
      <c r="F646" s="55"/>
      <c r="G646" s="55" t="str">
        <f>IF($A646=0,"",VLOOKUP($A646,'BASE MATERIAL'!$A:$D,4))</f>
        <v/>
      </c>
      <c r="H646" s="56" t="str">
        <f t="shared" si="59"/>
        <v/>
      </c>
      <c r="I646" s="2"/>
      <c r="L646" s="2"/>
      <c r="M646" s="2"/>
      <c r="N646" s="39"/>
      <c r="O646" s="2"/>
      <c r="P646" s="2"/>
    </row>
    <row r="647" spans="1:16" x14ac:dyDescent="0.25">
      <c r="B647" s="38" t="str">
        <f>IF($A647=0,"",VLOOKUP($A647,'BASE MATERIAL'!$A:$D,2))</f>
        <v/>
      </c>
      <c r="C647" s="2"/>
      <c r="D647" s="77"/>
      <c r="E647" s="78" t="str">
        <f>IF($A647=0,"",VLOOKUP($A647,'BASE MATERIAL'!$A:$D,3))</f>
        <v/>
      </c>
      <c r="F647" s="55"/>
      <c r="G647" s="55" t="str">
        <f>IF($A647=0,"",VLOOKUP($A647,'BASE MATERIAL'!$A:$D,4))</f>
        <v/>
      </c>
      <c r="H647" s="56" t="str">
        <f t="shared" si="59"/>
        <v/>
      </c>
      <c r="I647" s="2"/>
      <c r="L647" s="2"/>
      <c r="M647" s="2"/>
      <c r="N647" s="39"/>
      <c r="O647" s="2"/>
      <c r="P647" s="2"/>
    </row>
    <row r="648" spans="1:16" x14ac:dyDescent="0.25">
      <c r="B648" s="38" t="str">
        <f>IF($A648=0,"",VLOOKUP($A648,'BASE MATERIAL'!$A:$D,2))</f>
        <v/>
      </c>
      <c r="C648" s="2"/>
      <c r="D648" s="77"/>
      <c r="E648" s="78" t="str">
        <f>IF($A648=0,"",VLOOKUP($A648,'BASE MATERIAL'!$A:$D,3))</f>
        <v/>
      </c>
      <c r="F648" s="55"/>
      <c r="G648" s="55" t="str">
        <f>IF($A648=0,"",VLOOKUP($A648,'BASE MATERIAL'!$A:$D,4))</f>
        <v/>
      </c>
      <c r="H648" s="56" t="str">
        <f t="shared" si="59"/>
        <v/>
      </c>
      <c r="I648" s="2"/>
      <c r="L648" s="2"/>
      <c r="M648" s="2"/>
      <c r="N648" s="39"/>
      <c r="O648" s="2"/>
      <c r="P648" s="2"/>
    </row>
    <row r="649" spans="1:16" x14ac:dyDescent="0.25">
      <c r="B649" s="38" t="str">
        <f>IF($A649=0,"",VLOOKUP($A649,'BASE MATERIAL'!$A:$D,2))</f>
        <v/>
      </c>
      <c r="C649" s="2"/>
      <c r="D649" s="77"/>
      <c r="E649" s="78" t="str">
        <f>IF($A649=0,"",VLOOKUP($A649,'BASE MATERIAL'!$A:$D,3))</f>
        <v/>
      </c>
      <c r="F649" s="55"/>
      <c r="G649" s="55" t="str">
        <f>IF($A649=0,"",VLOOKUP($A649,'BASE MATERIAL'!$A:$D,4))</f>
        <v/>
      </c>
      <c r="H649" s="56" t="str">
        <f t="shared" si="59"/>
        <v/>
      </c>
      <c r="I649" s="2"/>
      <c r="L649" s="2"/>
      <c r="M649" s="2"/>
      <c r="N649" s="39"/>
      <c r="O649" s="2"/>
      <c r="P649" s="2"/>
    </row>
    <row r="650" spans="1:16" x14ac:dyDescent="0.25">
      <c r="B650" s="38" t="str">
        <f>IF($A650=0,"",VLOOKUP($A650,'BASE MATERIAL'!$A:$D,2))</f>
        <v/>
      </c>
      <c r="C650" s="2"/>
      <c r="D650" s="77"/>
      <c r="E650" s="78" t="str">
        <f>IF($A650=0,"",VLOOKUP($A650,'BASE MATERIAL'!$A:$D,3))</f>
        <v/>
      </c>
      <c r="F650" s="55"/>
      <c r="G650" s="55" t="str">
        <f>IF($A650=0,"",VLOOKUP($A650,'BASE MATERIAL'!$A:$D,4))</f>
        <v/>
      </c>
      <c r="H650" s="56" t="str">
        <f t="shared" si="59"/>
        <v/>
      </c>
      <c r="I650" s="2"/>
      <c r="L650" s="2"/>
      <c r="M650" s="2"/>
      <c r="N650" s="39"/>
      <c r="O650" s="2"/>
      <c r="P650" s="2"/>
    </row>
    <row r="651" spans="1:16" x14ac:dyDescent="0.25">
      <c r="B651" s="38" t="str">
        <f>IF($A651=0,"",VLOOKUP($A651,'BASE MATERIAL'!$A:$D,2))</f>
        <v/>
      </c>
      <c r="C651" s="2"/>
      <c r="D651" s="77"/>
      <c r="E651" s="78" t="str">
        <f>IF($A651=0,"",VLOOKUP($A651,'BASE MATERIAL'!$A:$D,3))</f>
        <v/>
      </c>
      <c r="F651" s="55"/>
      <c r="G651" s="55" t="str">
        <f>IF($A651=0,"",VLOOKUP($A651,'BASE MATERIAL'!$A:$D,4))</f>
        <v/>
      </c>
      <c r="H651" s="56" t="str">
        <f t="shared" si="59"/>
        <v/>
      </c>
      <c r="I651" s="2"/>
      <c r="L651" s="2"/>
      <c r="M651" s="2"/>
      <c r="N651" s="39"/>
      <c r="O651" s="2"/>
      <c r="P651" s="2"/>
    </row>
    <row r="652" spans="1:16" x14ac:dyDescent="0.25">
      <c r="B652" s="38" t="str">
        <f>IF($A652=0,"",VLOOKUP($A652,'BASE MATERIAL'!$A:$D,2))</f>
        <v/>
      </c>
      <c r="C652" s="2"/>
      <c r="D652" s="77"/>
      <c r="E652" s="78" t="str">
        <f>IF($A652=0,"",VLOOKUP($A652,'BASE MATERIAL'!$A:$D,3))</f>
        <v/>
      </c>
      <c r="F652" s="55"/>
      <c r="G652" s="55" t="str">
        <f>IF($A652=0,"",VLOOKUP($A652,'BASE MATERIAL'!$A:$D,4))</f>
        <v/>
      </c>
      <c r="H652" s="56" t="str">
        <f t="shared" si="59"/>
        <v/>
      </c>
      <c r="I652" s="2"/>
      <c r="L652" s="2"/>
      <c r="M652" s="2"/>
      <c r="N652" s="39"/>
      <c r="O652" s="2"/>
      <c r="P652" s="2"/>
    </row>
    <row r="653" spans="1:16" x14ac:dyDescent="0.25">
      <c r="B653" s="38" t="str">
        <f>IF($A653=0,"",VLOOKUP($A653,'BASE MATERIAL'!$A:$D,2))</f>
        <v/>
      </c>
      <c r="C653" s="2"/>
      <c r="D653" s="77"/>
      <c r="E653" s="78" t="str">
        <f>IF($A653=0,"",VLOOKUP($A653,'BASE MATERIAL'!$A:$D,3))</f>
        <v/>
      </c>
      <c r="F653" s="55"/>
      <c r="G653" s="55" t="str">
        <f>IF($A653=0,"",VLOOKUP($A653,'BASE MATERIAL'!$A:$D,4))</f>
        <v/>
      </c>
      <c r="H653" s="56" t="str">
        <f t="shared" si="59"/>
        <v/>
      </c>
      <c r="I653" s="2"/>
    </row>
    <row r="654" spans="1:16" x14ac:dyDescent="0.25">
      <c r="B654" s="38" t="str">
        <f>IF($A654=0,"",VLOOKUP($A654,'BASE MATERIAL'!$A:$D,2))</f>
        <v/>
      </c>
      <c r="C654" s="2"/>
      <c r="D654" s="77"/>
      <c r="E654" s="78" t="str">
        <f>IF($A654=0,"",VLOOKUP($A654,'BASE MATERIAL'!$A:$D,3))</f>
        <v/>
      </c>
      <c r="F654" s="55"/>
      <c r="G654" s="55" t="str">
        <f>IF($A654=0,"",VLOOKUP($A654,'BASE MATERIAL'!$A:$D,4))</f>
        <v/>
      </c>
      <c r="H654" s="56" t="str">
        <f t="shared" si="59"/>
        <v/>
      </c>
      <c r="I654" s="2"/>
      <c r="L654" s="2"/>
      <c r="M654" s="2"/>
      <c r="N654" s="39"/>
      <c r="O654" s="2"/>
      <c r="P654" s="2"/>
    </row>
    <row r="655" spans="1:16" x14ac:dyDescent="0.25">
      <c r="B655" s="38" t="str">
        <f>IF($A655=0,"",VLOOKUP($A655,'BASE MATERIAL'!$A:$D,2))</f>
        <v/>
      </c>
      <c r="C655" s="2"/>
      <c r="D655" s="77"/>
      <c r="E655" s="78" t="str">
        <f>IF($A655=0,"",VLOOKUP($A655,'BASE MATERIAL'!$A:$D,3))</f>
        <v/>
      </c>
      <c r="F655" s="55"/>
      <c r="G655" s="55" t="str">
        <f>IF($A655=0,"",VLOOKUP($A655,'BASE MATERIAL'!$A:$D,4))</f>
        <v/>
      </c>
      <c r="H655" s="56" t="str">
        <f t="shared" si="59"/>
        <v/>
      </c>
      <c r="I655" s="2"/>
      <c r="L655" s="2"/>
      <c r="M655" s="2"/>
      <c r="N655" s="39"/>
      <c r="O655" s="2"/>
      <c r="P655" s="2"/>
    </row>
    <row r="656" spans="1:16" x14ac:dyDescent="0.25">
      <c r="B656" s="38" t="str">
        <f>IF($A656=0,"",VLOOKUP($A656,'BASE MATERIAL'!$A:$D,2))</f>
        <v/>
      </c>
      <c r="C656" s="2"/>
      <c r="D656" s="77"/>
      <c r="E656" s="78" t="str">
        <f>IF($A656=0,"",VLOOKUP($A656,'BASE MATERIAL'!$A:$D,3))</f>
        <v/>
      </c>
      <c r="F656" s="55"/>
      <c r="G656" s="55" t="str">
        <f>IF($A656=0,"",VLOOKUP($A656,'BASE MATERIAL'!$A:$D,4))</f>
        <v/>
      </c>
      <c r="H656" s="56" t="str">
        <f t="shared" si="59"/>
        <v/>
      </c>
      <c r="I656" s="2"/>
    </row>
    <row r="657" spans="1:9" x14ac:dyDescent="0.25">
      <c r="B657" s="38" t="str">
        <f>IF($A657=0,"",VLOOKUP($A657,'BASE MATERIAL'!$A:$D,2))</f>
        <v/>
      </c>
      <c r="C657" s="2"/>
      <c r="D657" s="77"/>
      <c r="E657" s="78" t="str">
        <f>IF($A657=0,"",VLOOKUP($A657,'BASE MATERIAL'!$A:$D,3))</f>
        <v/>
      </c>
      <c r="F657" s="55"/>
      <c r="G657" s="55" t="str">
        <f>IF($A657=0,"",VLOOKUP($A657,'BASE MATERIAL'!$A:$D,4))</f>
        <v/>
      </c>
      <c r="H657" s="56" t="str">
        <f t="shared" si="59"/>
        <v/>
      </c>
      <c r="I657" s="2"/>
    </row>
    <row r="658" spans="1:9" x14ac:dyDescent="0.25">
      <c r="B658" s="38" t="str">
        <f>IF($A658=0,"",VLOOKUP($A658,'BASE MATERIAL'!$A:$D,2))</f>
        <v/>
      </c>
      <c r="C658" s="2"/>
      <c r="D658" s="77"/>
      <c r="E658" s="78" t="str">
        <f>IF($A658=0,"",VLOOKUP($A658,'BASE MATERIAL'!$A:$D,3))</f>
        <v/>
      </c>
      <c r="F658" s="55"/>
      <c r="G658" s="55" t="str">
        <f>IF($A658=0,"",VLOOKUP($A658,'BASE MATERIAL'!$A:$D,4))</f>
        <v/>
      </c>
      <c r="H658" s="56" t="str">
        <f t="shared" si="59"/>
        <v/>
      </c>
      <c r="I658" s="2"/>
    </row>
    <row r="659" spans="1:9" x14ac:dyDescent="0.25">
      <c r="B659" s="38" t="str">
        <f>IF($A659=0,"",VLOOKUP($A659,'BASE MATERIAL'!$A:$D,2))</f>
        <v/>
      </c>
      <c r="C659" s="2"/>
      <c r="D659" s="77"/>
      <c r="E659" s="78" t="str">
        <f>IF($A659=0,"",VLOOKUP($A659,'BASE MATERIAL'!$A:$D,3))</f>
        <v/>
      </c>
      <c r="F659" s="55"/>
      <c r="G659" s="55" t="str">
        <f>IF($A659=0,"",VLOOKUP($A659,'BASE MATERIAL'!$A:$D,4))</f>
        <v/>
      </c>
      <c r="H659" s="56" t="str">
        <f t="shared" si="59"/>
        <v/>
      </c>
      <c r="I659" s="2"/>
    </row>
    <row r="660" spans="1:9" x14ac:dyDescent="0.25">
      <c r="B660" s="38" t="str">
        <f>IF($A660=0,"",VLOOKUP($A660,'BASE MATERIAL'!$A:$D,2))</f>
        <v/>
      </c>
      <c r="C660" s="2"/>
      <c r="D660" s="81" t="s">
        <v>1682</v>
      </c>
      <c r="E660" s="55" t="str">
        <f>IF($A660=0,"",VLOOKUP($A660,'BASE MATERIAL'!$A:$D,3))</f>
        <v/>
      </c>
      <c r="F660" s="55" t="s">
        <v>1682</v>
      </c>
      <c r="G660" s="55" t="str">
        <f>IF($A660=0,"",VLOOKUP($A660,'BASE MATERIAL'!$A:$D,4))</f>
        <v/>
      </c>
      <c r="H660" s="56" t="str">
        <f>IF($A660=0,"",ROUND(E660*F660,2))</f>
        <v/>
      </c>
      <c r="I660" s="2"/>
    </row>
    <row r="661" spans="1:9" x14ac:dyDescent="0.25">
      <c r="B661" s="73" t="s">
        <v>1681</v>
      </c>
      <c r="C661" s="65"/>
      <c r="D661" s="74"/>
      <c r="E661" s="74"/>
      <c r="F661" s="74"/>
      <c r="G661" s="74"/>
      <c r="H661" s="75">
        <f>ROUND(SUM(H644:H660),2)</f>
        <v>11</v>
      </c>
      <c r="I661" s="2"/>
    </row>
    <row r="662" spans="1:9" x14ac:dyDescent="0.25">
      <c r="B662" s="38" t="s">
        <v>1680</v>
      </c>
      <c r="C662" s="2"/>
      <c r="D662" s="3"/>
      <c r="E662" s="3"/>
      <c r="F662" s="3"/>
      <c r="G662" s="3"/>
      <c r="H662" s="56"/>
      <c r="I662" s="2"/>
    </row>
    <row r="663" spans="1:9" ht="25.5" x14ac:dyDescent="0.25">
      <c r="B663" s="64" t="s">
        <v>1409</v>
      </c>
      <c r="C663" s="65"/>
      <c r="D663" s="76"/>
      <c r="E663" s="66" t="s">
        <v>1408</v>
      </c>
      <c r="F663" s="66" t="s">
        <v>1679</v>
      </c>
      <c r="G663" s="66" t="s">
        <v>1676</v>
      </c>
      <c r="H663" s="68" t="s">
        <v>1675</v>
      </c>
      <c r="I663" s="2"/>
    </row>
    <row r="664" spans="1:9" x14ac:dyDescent="0.25">
      <c r="A664" s="103">
        <v>19019</v>
      </c>
      <c r="B664" s="51" t="str">
        <f>IF($A664=0,"",VLOOKUP($A664,'BASE EQUIPO'!$A:$D,2))</f>
        <v>TRANSPORTE DE MATERIAL</v>
      </c>
      <c r="C664" s="52"/>
      <c r="D664" s="82"/>
      <c r="E664" s="78" t="str">
        <f>IF($A664=0,"",VLOOKUP($A664,'BASE EQUIPO'!$A:$D,3))</f>
        <v>GLOBAL</v>
      </c>
      <c r="F664" s="55">
        <v>1</v>
      </c>
      <c r="G664" s="83">
        <f>IF($A664=0,"",VLOOKUP($A664,'BASE EQUIPO'!$A:$D,4)*H661)</f>
        <v>0.32999999999999996</v>
      </c>
      <c r="H664" s="56">
        <f>IF($A664=0,"",ROUND(F664*G664,2))</f>
        <v>0.33</v>
      </c>
      <c r="I664" s="2"/>
    </row>
    <row r="665" spans="1:9" x14ac:dyDescent="0.25">
      <c r="B665" s="38" t="str">
        <f>IF($A665=0,"",VLOOKUP($A665,'BASE EQUIPO'!$A:$D,2))</f>
        <v/>
      </c>
      <c r="C665" s="2"/>
      <c r="D665" s="84"/>
      <c r="E665" s="78" t="str">
        <f>IF($A665=0,"",VLOOKUP($A665,'BASE EQUIPO'!$A:$D,3))</f>
        <v/>
      </c>
      <c r="F665" s="55"/>
      <c r="G665" s="55" t="str">
        <f>IF($A665=0,"",VLOOKUP($A665,'BASE EQUIPO'!$A:$D,4)*H662)</f>
        <v/>
      </c>
      <c r="H665" s="56" t="str">
        <f>IF($A665=0,"",ROUND(F665*G665,2))</f>
        <v/>
      </c>
      <c r="I665" s="2"/>
    </row>
    <row r="666" spans="1:9" x14ac:dyDescent="0.25">
      <c r="B666" s="57" t="str">
        <f>IF($A666=0,"",VLOOKUP($A666,'BASE EQUIPO'!$A:$D,2))</f>
        <v/>
      </c>
      <c r="C666" s="58"/>
      <c r="D666" s="85"/>
      <c r="E666" s="86" t="str">
        <f>IF($A666=0,"",VLOOKUP($A666,'BASE EQUIPO'!$A:$D,3))</f>
        <v/>
      </c>
      <c r="F666" s="59"/>
      <c r="G666" s="59" t="str">
        <f>IF($A666=0,"",VLOOKUP($A666,'BASE EQUIPO'!$A:$D,4)*H663)</f>
        <v/>
      </c>
      <c r="H666" s="60" t="str">
        <f>IF($A666=0,"",ROUND(F666*G666,2))</f>
        <v/>
      </c>
      <c r="I666" s="2"/>
    </row>
    <row r="667" spans="1:9" ht="15.75" thickBot="1" x14ac:dyDescent="0.3">
      <c r="B667" s="87" t="s">
        <v>1674</v>
      </c>
      <c r="C667" s="88"/>
      <c r="D667" s="89"/>
      <c r="E667" s="89"/>
      <c r="F667" s="89"/>
      <c r="G667" s="89"/>
      <c r="H667" s="90">
        <f>ROUND(SUM(H663:H666),2)</f>
        <v>0.33</v>
      </c>
      <c r="I667" s="2"/>
    </row>
    <row r="668" spans="1:9" ht="15.75" x14ac:dyDescent="0.25">
      <c r="B668" s="2"/>
      <c r="C668" s="2"/>
      <c r="D668" s="91" t="s">
        <v>1673</v>
      </c>
      <c r="E668" s="47"/>
      <c r="F668" s="47"/>
      <c r="G668" s="47"/>
      <c r="H668" s="92">
        <f>ROUND(SUM(H667,H661,H642,H632),2)</f>
        <v>11.33</v>
      </c>
      <c r="I668" s="2"/>
    </row>
    <row r="669" spans="1:9" ht="15.75" x14ac:dyDescent="0.25">
      <c r="A669" s="103">
        <v>40002</v>
      </c>
      <c r="B669" s="2"/>
      <c r="C669" s="2"/>
      <c r="D669" s="93" t="s">
        <v>1672</v>
      </c>
      <c r="E669" s="65"/>
      <c r="F669" s="65"/>
      <c r="G669" s="94">
        <f>IF($A669=0,"",VLOOKUP($A669,'BASE MATERIAL'!$M:$P,4))</f>
        <v>0</v>
      </c>
      <c r="H669" s="95">
        <f>IF($A669=0,"",ROUND(G669*H668,2))</f>
        <v>0</v>
      </c>
      <c r="I669" s="2"/>
    </row>
    <row r="670" spans="1:9" ht="15.75" x14ac:dyDescent="0.25">
      <c r="A670" s="103">
        <v>40003</v>
      </c>
      <c r="B670" s="2"/>
      <c r="C670" s="2"/>
      <c r="D670" s="93" t="s">
        <v>1671</v>
      </c>
      <c r="E670" s="65"/>
      <c r="F670" s="65"/>
      <c r="G670" s="94">
        <f>IF($A670=0,"",VLOOKUP($A670,'BASE MATERIAL'!$M:$P,4))</f>
        <v>0</v>
      </c>
      <c r="H670" s="95">
        <f>IF($A670=0,"",ROUND(G670*H668,2))</f>
        <v>0</v>
      </c>
      <c r="I670" s="2"/>
    </row>
    <row r="671" spans="1:9" ht="15.75" x14ac:dyDescent="0.25">
      <c r="B671" s="2"/>
      <c r="C671" s="2"/>
      <c r="D671" s="93" t="s">
        <v>1670</v>
      </c>
      <c r="E671" s="65"/>
      <c r="F671" s="65"/>
      <c r="G671" s="65"/>
      <c r="H671" s="96">
        <f>ROUND(SUM(H668:H670),2)</f>
        <v>11.33</v>
      </c>
      <c r="I671" s="2"/>
    </row>
    <row r="672" spans="1:9" ht="16.5" thickBot="1" x14ac:dyDescent="0.3">
      <c r="B672" s="25"/>
      <c r="C672" s="2"/>
      <c r="D672" s="97" t="s">
        <v>1650</v>
      </c>
      <c r="E672" s="88"/>
      <c r="F672" s="88"/>
      <c r="G672" s="88"/>
      <c r="H672" s="98">
        <f>ROUND(H671,2)</f>
        <v>11.33</v>
      </c>
      <c r="I672" s="2"/>
    </row>
    <row r="673" spans="1:15" ht="15.75" x14ac:dyDescent="0.25">
      <c r="B673" s="34" t="s">
        <v>1701</v>
      </c>
      <c r="C673" s="2"/>
      <c r="D673" s="3" t="str">
        <f>$D$1</f>
        <v>ESPOL</v>
      </c>
      <c r="E673" s="2"/>
      <c r="F673" s="2"/>
      <c r="H673" s="2" t="s">
        <v>108</v>
      </c>
      <c r="I673" s="2"/>
      <c r="L673" s="40">
        <f>A677</f>
        <v>2</v>
      </c>
      <c r="M673" s="1" t="str">
        <f>C678</f>
        <v>Manguera flexible de 10"</v>
      </c>
      <c r="N673" s="2" t="str">
        <f>H677</f>
        <v>metros</v>
      </c>
      <c r="O673" s="2">
        <f>H728</f>
        <v>9.58</v>
      </c>
    </row>
    <row r="674" spans="1:15" ht="15.75" x14ac:dyDescent="0.25">
      <c r="B674" s="34" t="s">
        <v>1700</v>
      </c>
      <c r="C674" s="3">
        <f>'1.1'!$C$2</f>
        <v>0</v>
      </c>
      <c r="D674" s="2"/>
      <c r="E674" s="2"/>
      <c r="F674" s="2"/>
      <c r="G674" s="41" t="s">
        <v>1699</v>
      </c>
      <c r="H674" s="42"/>
      <c r="I674" s="2" t="s">
        <v>1698</v>
      </c>
    </row>
    <row r="675" spans="1:15" ht="15.75" x14ac:dyDescent="0.25">
      <c r="B675" s="34"/>
      <c r="C675" s="3">
        <f>'1.1'!$C$3</f>
        <v>0</v>
      </c>
      <c r="D675" s="2"/>
      <c r="E675" s="2"/>
      <c r="F675" s="2"/>
      <c r="G675" s="2"/>
      <c r="H675" s="2"/>
      <c r="I675" s="2"/>
    </row>
    <row r="676" spans="1:15" ht="15.75" x14ac:dyDescent="0.25">
      <c r="B676" s="34" t="s">
        <v>1697</v>
      </c>
      <c r="C676" s="3"/>
      <c r="D676" s="2"/>
      <c r="E676" s="2"/>
      <c r="F676" s="2"/>
      <c r="G676" s="2"/>
      <c r="H676" s="2"/>
      <c r="I676" s="2"/>
    </row>
    <row r="677" spans="1:15" x14ac:dyDescent="0.25">
      <c r="A677" s="104">
        <v>2</v>
      </c>
      <c r="B677" s="2" t="s">
        <v>1586</v>
      </c>
      <c r="C677" s="101" t="s">
        <v>1332</v>
      </c>
      <c r="D677" s="2"/>
      <c r="G677" s="2" t="s">
        <v>1696</v>
      </c>
      <c r="H677" s="3" t="s">
        <v>145</v>
      </c>
      <c r="I677" s="2"/>
    </row>
    <row r="678" spans="1:15" x14ac:dyDescent="0.25">
      <c r="B678" s="1" t="s">
        <v>1585</v>
      </c>
      <c r="C678" s="36" t="s">
        <v>144</v>
      </c>
      <c r="D678" s="2"/>
      <c r="E678" s="2"/>
      <c r="F678" s="2"/>
      <c r="G678" s="2"/>
      <c r="H678" s="2"/>
      <c r="I678" s="2"/>
    </row>
    <row r="679" spans="1:15" ht="15.75" thickBot="1" x14ac:dyDescent="0.3">
      <c r="D679" s="2"/>
      <c r="E679" s="2"/>
      <c r="F679" s="2"/>
      <c r="G679" s="2"/>
      <c r="H679" s="2"/>
      <c r="I679" s="2"/>
    </row>
    <row r="680" spans="1:15" ht="15.75" thickBot="1" x14ac:dyDescent="0.3">
      <c r="B680" s="43" t="s">
        <v>1695</v>
      </c>
      <c r="C680" s="44"/>
      <c r="D680" s="44"/>
      <c r="E680" s="44"/>
      <c r="F680" s="44"/>
      <c r="G680" s="44"/>
      <c r="H680" s="45"/>
      <c r="I680" s="2"/>
    </row>
    <row r="681" spans="1:15" ht="25.5" x14ac:dyDescent="0.25">
      <c r="B681" s="46" t="s">
        <v>1409</v>
      </c>
      <c r="C681" s="47"/>
      <c r="D681" s="48" t="s">
        <v>1690</v>
      </c>
      <c r="E681" s="48" t="s">
        <v>1694</v>
      </c>
      <c r="F681" s="48" t="s">
        <v>1693</v>
      </c>
      <c r="G681" s="49" t="s">
        <v>1687</v>
      </c>
      <c r="H681" s="50" t="s">
        <v>1686</v>
      </c>
      <c r="I681" s="2"/>
    </row>
    <row r="682" spans="1:15" x14ac:dyDescent="0.25">
      <c r="B682" s="51" t="str">
        <f>IF($A682=0,"",VLOOKUP($A682,'BASE EQUIPO'!$A:$D,2))</f>
        <v/>
      </c>
      <c r="C682" s="52"/>
      <c r="D682" s="53"/>
      <c r="E682" s="53" t="str">
        <f>IF($A682=0,"",VLOOKUP($A682,'BASE EQUIPO'!$A:$D,4)*H698)</f>
        <v/>
      </c>
      <c r="F682" s="53" t="str">
        <f t="shared" ref="F682:F687" si="60">IF($A682=0,"",ROUND(D682*E682,2))</f>
        <v/>
      </c>
      <c r="G682" s="105"/>
      <c r="H682" s="54" t="str">
        <f t="shared" ref="H682:H687" si="61">IF($A682=0,"",ROUND(G682*F682,2))</f>
        <v/>
      </c>
      <c r="I682" s="2"/>
    </row>
    <row r="683" spans="1:15" x14ac:dyDescent="0.25">
      <c r="B683" s="38" t="str">
        <f>IF($A683=0,"",VLOOKUP($A683,'BASE EQUIPO'!$A:$D,2))</f>
        <v/>
      </c>
      <c r="C683" s="2"/>
      <c r="D683" s="55"/>
      <c r="E683" s="55" t="str">
        <f>IF($A683=0,"",VLOOKUP($A683,'BASE EQUIPO'!$A:$D,4))</f>
        <v/>
      </c>
      <c r="F683" s="55" t="str">
        <f t="shared" si="60"/>
        <v/>
      </c>
      <c r="G683" s="106"/>
      <c r="H683" s="56" t="str">
        <f t="shared" si="61"/>
        <v/>
      </c>
      <c r="I683" s="2"/>
    </row>
    <row r="684" spans="1:15" x14ac:dyDescent="0.25">
      <c r="B684" s="38" t="str">
        <f>IF($A684=0,"",VLOOKUP($A684,'BASE EQUIPO'!$A:$D,2))</f>
        <v/>
      </c>
      <c r="C684" s="2"/>
      <c r="D684" s="55"/>
      <c r="E684" s="55" t="str">
        <f>IF($A684=0,"",VLOOKUP($A684,'BASE EQUIPO'!$A:$D,4))</f>
        <v/>
      </c>
      <c r="F684" s="55" t="str">
        <f t="shared" si="60"/>
        <v/>
      </c>
      <c r="G684" s="106"/>
      <c r="H684" s="56" t="str">
        <f t="shared" si="61"/>
        <v/>
      </c>
      <c r="I684" s="2"/>
    </row>
    <row r="685" spans="1:15" x14ac:dyDescent="0.25">
      <c r="B685" s="38" t="str">
        <f>IF($A685=0,"",VLOOKUP($A685,'BASE EQUIPO'!$A:$D,2))</f>
        <v/>
      </c>
      <c r="C685" s="2"/>
      <c r="D685" s="55"/>
      <c r="E685" s="55" t="str">
        <f>IF($A685=0,"",VLOOKUP($A685,'BASE EQUIPO'!$A:$D,4))</f>
        <v/>
      </c>
      <c r="F685" s="55" t="str">
        <f t="shared" si="60"/>
        <v/>
      </c>
      <c r="G685" s="106"/>
      <c r="H685" s="56" t="str">
        <f t="shared" si="61"/>
        <v/>
      </c>
      <c r="I685" s="2"/>
    </row>
    <row r="686" spans="1:15" x14ac:dyDescent="0.25">
      <c r="B686" s="38" t="str">
        <f>IF($A686=0,"",VLOOKUP($A686,'BASE EQUIPO'!$A:$D,2))</f>
        <v/>
      </c>
      <c r="C686" s="2"/>
      <c r="D686" s="55"/>
      <c r="E686" s="55" t="str">
        <f>IF($A686=0,"",VLOOKUP($A686,'BASE EQUIPO'!$A:$D,4))</f>
        <v/>
      </c>
      <c r="F686" s="55" t="str">
        <f t="shared" si="60"/>
        <v/>
      </c>
      <c r="G686" s="106"/>
      <c r="H686" s="56" t="str">
        <f t="shared" si="61"/>
        <v/>
      </c>
      <c r="I686" s="2"/>
    </row>
    <row r="687" spans="1:15" x14ac:dyDescent="0.25">
      <c r="B687" s="57" t="str">
        <f>IF($A687=0,"",VLOOKUP($A687,'BASE EQUIPO'!$A:$D,2))</f>
        <v/>
      </c>
      <c r="C687" s="58"/>
      <c r="D687" s="59"/>
      <c r="E687" s="59" t="str">
        <f>IF($A687=0,"",VLOOKUP($A687,'BASE EQUIPO'!$A:$D,4))</f>
        <v/>
      </c>
      <c r="F687" s="59" t="str">
        <f t="shared" si="60"/>
        <v/>
      </c>
      <c r="G687" s="107"/>
      <c r="H687" s="60" t="str">
        <f t="shared" si="61"/>
        <v/>
      </c>
      <c r="I687" s="2"/>
    </row>
    <row r="688" spans="1:15" x14ac:dyDescent="0.25">
      <c r="B688" s="57" t="s">
        <v>1692</v>
      </c>
      <c r="C688" s="58"/>
      <c r="D688" s="61"/>
      <c r="E688" s="61"/>
      <c r="F688" s="61"/>
      <c r="G688" s="62"/>
      <c r="H688" s="60">
        <f>ROUND(SUM(H681:H687),2)</f>
        <v>0</v>
      </c>
      <c r="I688" s="2"/>
    </row>
    <row r="689" spans="1:16" x14ac:dyDescent="0.25">
      <c r="B689" s="38" t="s">
        <v>1503</v>
      </c>
      <c r="C689" s="2"/>
      <c r="D689" s="3"/>
      <c r="E689" s="3"/>
      <c r="F689" s="3"/>
      <c r="G689" s="63"/>
      <c r="H689" s="56"/>
      <c r="I689" s="2"/>
    </row>
    <row r="690" spans="1:16" ht="25.5" x14ac:dyDescent="0.25">
      <c r="B690" s="64" t="s">
        <v>1691</v>
      </c>
      <c r="C690" s="65"/>
      <c r="D690" s="66" t="s">
        <v>1690</v>
      </c>
      <c r="E690" s="66" t="s">
        <v>1689</v>
      </c>
      <c r="F690" s="66" t="s">
        <v>1688</v>
      </c>
      <c r="G690" s="67" t="s">
        <v>1687</v>
      </c>
      <c r="H690" s="68" t="s">
        <v>1686</v>
      </c>
      <c r="I690" s="2"/>
    </row>
    <row r="691" spans="1:16" x14ac:dyDescent="0.25">
      <c r="B691" s="69" t="str">
        <f>IF($A691=0,"",VLOOKUP($A691,'BASE M-OBRA'!$A:$D,2))</f>
        <v/>
      </c>
      <c r="C691" s="2"/>
      <c r="D691" s="108"/>
      <c r="E691" s="70" t="str">
        <f>IF($A691=0,"",VLOOKUP($A691,'BASE M-OBRA'!$A:$D,4))</f>
        <v/>
      </c>
      <c r="F691" s="55" t="str">
        <f t="shared" ref="F691:F697" si="62">IF($A691=0,"",ROUND(D691*E691,2))</f>
        <v/>
      </c>
      <c r="G691" s="106" t="str">
        <f>IF($A691=0,"",ROUND(H691/F691,2))</f>
        <v/>
      </c>
      <c r="H691" s="56" t="str">
        <f>IF($A691=0,"",ROUND(SUM(H692:H697)*'BASE M-OBRA'!$D$23,2))</f>
        <v/>
      </c>
      <c r="I691" s="2"/>
    </row>
    <row r="692" spans="1:16" x14ac:dyDescent="0.25">
      <c r="B692" s="69" t="str">
        <f>IF($A692=0,"",VLOOKUP($A692,'BASE M-OBRA'!$A:$D,2))</f>
        <v/>
      </c>
      <c r="C692" s="2"/>
      <c r="D692" s="108"/>
      <c r="E692" s="70" t="str">
        <f>IF($A692=0,"",VLOOKUP($A692,'BASE M-OBRA'!$A:$D,4))</f>
        <v/>
      </c>
      <c r="F692" s="55" t="str">
        <f t="shared" si="62"/>
        <v/>
      </c>
      <c r="G692" s="106"/>
      <c r="H692" s="56" t="str">
        <f t="shared" ref="H692:H697" si="63">IF($A692=0,"",ROUND(G692*F692,2))</f>
        <v/>
      </c>
      <c r="I692" s="2"/>
    </row>
    <row r="693" spans="1:16" x14ac:dyDescent="0.25">
      <c r="B693" s="69" t="str">
        <f>IF($A693=0,"",VLOOKUP($A693,'BASE M-OBRA'!$A:$D,2))</f>
        <v/>
      </c>
      <c r="C693" s="2"/>
      <c r="D693" s="108"/>
      <c r="E693" s="70" t="str">
        <f>IF($A693=0,"",VLOOKUP($A693,'BASE M-OBRA'!$A:$D,4))</f>
        <v/>
      </c>
      <c r="F693" s="55" t="str">
        <f t="shared" si="62"/>
        <v/>
      </c>
      <c r="G693" s="106"/>
      <c r="H693" s="56" t="str">
        <f t="shared" si="63"/>
        <v/>
      </c>
      <c r="I693" s="2"/>
    </row>
    <row r="694" spans="1:16" x14ac:dyDescent="0.25">
      <c r="B694" s="71" t="str">
        <f>IF($A694=0,"",VLOOKUP($A694,'BASE M-OBRA'!$A:$D,2))</f>
        <v/>
      </c>
      <c r="C694" s="2"/>
      <c r="D694" s="108"/>
      <c r="E694" s="70" t="str">
        <f>IF($A694=0,"",VLOOKUP($A694,'BASE M-OBRA'!$A:$D,4))</f>
        <v/>
      </c>
      <c r="F694" s="55" t="str">
        <f t="shared" si="62"/>
        <v/>
      </c>
      <c r="G694" s="106"/>
      <c r="H694" s="56" t="str">
        <f t="shared" si="63"/>
        <v/>
      </c>
      <c r="I694" s="2"/>
    </row>
    <row r="695" spans="1:16" x14ac:dyDescent="0.25">
      <c r="B695" s="72" t="str">
        <f>IF($A695=0,"",VLOOKUP($A695,'BASE M-OBRA'!$A:$D,2))</f>
        <v/>
      </c>
      <c r="C695" s="2"/>
      <c r="D695" s="108"/>
      <c r="E695" s="70" t="str">
        <f>IF($A695=0,"",VLOOKUP($A695,'BASE M-OBRA'!$A:$D,4))</f>
        <v/>
      </c>
      <c r="F695" s="55" t="str">
        <f t="shared" si="62"/>
        <v/>
      </c>
      <c r="G695" s="106"/>
      <c r="H695" s="56" t="str">
        <f t="shared" si="63"/>
        <v/>
      </c>
      <c r="I695" s="2"/>
    </row>
    <row r="696" spans="1:16" x14ac:dyDescent="0.25">
      <c r="B696" s="38" t="str">
        <f>IF($A696=0,"",VLOOKUP($A696,'BASE M-OBRA'!$A:$D,2))</f>
        <v/>
      </c>
      <c r="C696" s="2"/>
      <c r="D696" s="55"/>
      <c r="E696" s="55" t="str">
        <f>IF($A696=0,"",VLOOKUP($A696,'BASE M-OBRA'!$A:$D,4))</f>
        <v/>
      </c>
      <c r="F696" s="55" t="str">
        <f t="shared" si="62"/>
        <v/>
      </c>
      <c r="G696" s="106"/>
      <c r="H696" s="56" t="str">
        <f t="shared" si="63"/>
        <v/>
      </c>
      <c r="I696" s="2"/>
    </row>
    <row r="697" spans="1:16" x14ac:dyDescent="0.25">
      <c r="B697" s="57" t="str">
        <f>IF($A697=0,"",VLOOKUP($A697,'BASE M-OBRA'!$A:$D,2))</f>
        <v/>
      </c>
      <c r="C697" s="58"/>
      <c r="D697" s="59"/>
      <c r="E697" s="59" t="str">
        <f>IF($A697=0,"",VLOOKUP($A697,'BASE M-OBRA'!$A:$D,4))</f>
        <v/>
      </c>
      <c r="F697" s="59" t="str">
        <f t="shared" si="62"/>
        <v/>
      </c>
      <c r="G697" s="107"/>
      <c r="H697" s="60" t="str">
        <f t="shared" si="63"/>
        <v/>
      </c>
      <c r="I697" s="2"/>
    </row>
    <row r="698" spans="1:16" x14ac:dyDescent="0.25">
      <c r="B698" s="73" t="s">
        <v>1685</v>
      </c>
      <c r="C698" s="65"/>
      <c r="D698" s="74"/>
      <c r="E698" s="74"/>
      <c r="F698" s="74"/>
      <c r="G698" s="74"/>
      <c r="H698" s="75">
        <f>ROUND(SUM(H690:H697),2)</f>
        <v>0</v>
      </c>
      <c r="I698" s="2"/>
    </row>
    <row r="699" spans="1:16" x14ac:dyDescent="0.25">
      <c r="B699" s="38" t="s">
        <v>1684</v>
      </c>
      <c r="C699" s="2"/>
      <c r="D699" s="3"/>
      <c r="E699" s="3"/>
      <c r="F699" s="3"/>
      <c r="G699" s="3"/>
      <c r="H699" s="56"/>
      <c r="I699" s="2"/>
    </row>
    <row r="700" spans="1:16" ht="25.5" x14ac:dyDescent="0.25">
      <c r="B700" s="64" t="s">
        <v>1409</v>
      </c>
      <c r="C700" s="65"/>
      <c r="D700" s="76"/>
      <c r="E700" s="66" t="s">
        <v>1408</v>
      </c>
      <c r="F700" s="66" t="s">
        <v>1679</v>
      </c>
      <c r="G700" s="66" t="s">
        <v>1683</v>
      </c>
      <c r="H700" s="68" t="s">
        <v>1675</v>
      </c>
      <c r="I700" s="2"/>
    </row>
    <row r="701" spans="1:16" x14ac:dyDescent="0.25">
      <c r="A701" s="103">
        <v>1</v>
      </c>
      <c r="B701" s="102" t="s">
        <v>144</v>
      </c>
      <c r="C701" s="2"/>
      <c r="D701" s="77"/>
      <c r="E701" s="78" t="s">
        <v>145</v>
      </c>
      <c r="F701" s="55">
        <v>1</v>
      </c>
      <c r="G701" s="55">
        <v>9.3000000000000007</v>
      </c>
      <c r="H701" s="56">
        <f t="shared" ref="H701:H715" si="64">IF($A701=0,"",ROUND(F701*G701,2))</f>
        <v>9.3000000000000007</v>
      </c>
      <c r="I701" s="2"/>
      <c r="J701" s="1">
        <v>10.9</v>
      </c>
      <c r="L701" s="2"/>
      <c r="M701" s="2"/>
      <c r="N701" s="39"/>
      <c r="O701" s="2"/>
      <c r="P701" s="2"/>
    </row>
    <row r="702" spans="1:16" x14ac:dyDescent="0.25">
      <c r="B702" s="102"/>
      <c r="C702" s="2"/>
      <c r="D702" s="77"/>
      <c r="E702" s="78" t="str">
        <f>IF($A702=0,"",VLOOKUP($A702,'BASE MATERIAL'!$A:$D,3))</f>
        <v/>
      </c>
      <c r="F702" s="55"/>
      <c r="G702" s="55" t="str">
        <f>IF($A702=0,"",VLOOKUP($A702,'BASE MATERIAL'!$A:$D,4))</f>
        <v/>
      </c>
      <c r="H702" s="56" t="str">
        <f t="shared" si="64"/>
        <v/>
      </c>
      <c r="I702" s="2"/>
      <c r="L702" s="2"/>
      <c r="M702" s="2"/>
      <c r="N702" s="39"/>
      <c r="O702" s="2"/>
      <c r="P702" s="2"/>
    </row>
    <row r="703" spans="1:16" x14ac:dyDescent="0.25">
      <c r="B703" s="38" t="str">
        <f>IF($A703=0,"",VLOOKUP($A703,'BASE MATERIAL'!$A:$D,2))</f>
        <v/>
      </c>
      <c r="C703" s="2"/>
      <c r="D703" s="77"/>
      <c r="E703" s="78" t="str">
        <f>IF($A703=0,"",VLOOKUP($A703,'BASE MATERIAL'!$A:$D,3))</f>
        <v/>
      </c>
      <c r="F703" s="55"/>
      <c r="G703" s="55" t="str">
        <f>IF($A703=0,"",VLOOKUP($A703,'BASE MATERIAL'!$A:$D,4))</f>
        <v/>
      </c>
      <c r="H703" s="56" t="str">
        <f t="shared" si="64"/>
        <v/>
      </c>
      <c r="I703" s="2"/>
      <c r="L703" s="2"/>
      <c r="M703" s="2"/>
      <c r="N703" s="39"/>
      <c r="O703" s="2"/>
      <c r="P703" s="2"/>
    </row>
    <row r="704" spans="1:16" x14ac:dyDescent="0.25">
      <c r="B704" s="38" t="str">
        <f>IF($A704=0,"",VLOOKUP($A704,'BASE MATERIAL'!$A:$D,2))</f>
        <v/>
      </c>
      <c r="C704" s="2"/>
      <c r="D704" s="77"/>
      <c r="E704" s="78" t="str">
        <f>IF($A704=0,"",VLOOKUP($A704,'BASE MATERIAL'!$A:$D,3))</f>
        <v/>
      </c>
      <c r="F704" s="55"/>
      <c r="G704" s="55" t="str">
        <f>IF($A704=0,"",VLOOKUP($A704,'BASE MATERIAL'!$A:$D,4))</f>
        <v/>
      </c>
      <c r="H704" s="56" t="str">
        <f t="shared" si="64"/>
        <v/>
      </c>
      <c r="I704" s="2"/>
      <c r="L704" s="2"/>
      <c r="M704" s="2"/>
      <c r="N704" s="39"/>
      <c r="O704" s="2"/>
      <c r="P704" s="2"/>
    </row>
    <row r="705" spans="1:16" x14ac:dyDescent="0.25">
      <c r="B705" s="38" t="str">
        <f>IF($A705=0,"",VLOOKUP($A705,'BASE MATERIAL'!$A:$D,2))</f>
        <v/>
      </c>
      <c r="C705" s="2"/>
      <c r="D705" s="77"/>
      <c r="E705" s="78" t="str">
        <f>IF($A705=0,"",VLOOKUP($A705,'BASE MATERIAL'!$A:$D,3))</f>
        <v/>
      </c>
      <c r="F705" s="55"/>
      <c r="G705" s="55" t="str">
        <f>IF($A705=0,"",VLOOKUP($A705,'BASE MATERIAL'!$A:$D,4))</f>
        <v/>
      </c>
      <c r="H705" s="56" t="str">
        <f t="shared" si="64"/>
        <v/>
      </c>
      <c r="I705" s="2"/>
      <c r="L705" s="2"/>
      <c r="M705" s="2"/>
      <c r="N705" s="39"/>
      <c r="O705" s="2"/>
      <c r="P705" s="2"/>
    </row>
    <row r="706" spans="1:16" x14ac:dyDescent="0.25">
      <c r="B706" s="38" t="str">
        <f>IF($A706=0,"",VLOOKUP($A706,'BASE MATERIAL'!$A:$D,2))</f>
        <v/>
      </c>
      <c r="C706" s="2"/>
      <c r="D706" s="77"/>
      <c r="E706" s="78" t="str">
        <f>IF($A706=0,"",VLOOKUP($A706,'BASE MATERIAL'!$A:$D,3))</f>
        <v/>
      </c>
      <c r="F706" s="55"/>
      <c r="G706" s="55" t="str">
        <f>IF($A706=0,"",VLOOKUP($A706,'BASE MATERIAL'!$A:$D,4))</f>
        <v/>
      </c>
      <c r="H706" s="56" t="str">
        <f t="shared" si="64"/>
        <v/>
      </c>
      <c r="I706" s="2"/>
      <c r="L706" s="2"/>
      <c r="M706" s="2"/>
      <c r="N706" s="39"/>
      <c r="O706" s="2"/>
      <c r="P706" s="2"/>
    </row>
    <row r="707" spans="1:16" x14ac:dyDescent="0.25">
      <c r="B707" s="38" t="str">
        <f>IF($A707=0,"",VLOOKUP($A707,'BASE MATERIAL'!$A:$D,2))</f>
        <v/>
      </c>
      <c r="C707" s="2"/>
      <c r="D707" s="77"/>
      <c r="E707" s="78" t="str">
        <f>IF($A707=0,"",VLOOKUP($A707,'BASE MATERIAL'!$A:$D,3))</f>
        <v/>
      </c>
      <c r="F707" s="55"/>
      <c r="G707" s="55" t="str">
        <f>IF($A707=0,"",VLOOKUP($A707,'BASE MATERIAL'!$A:$D,4))</f>
        <v/>
      </c>
      <c r="H707" s="56" t="str">
        <f t="shared" si="64"/>
        <v/>
      </c>
      <c r="I707" s="2"/>
      <c r="L707" s="2"/>
      <c r="M707" s="2"/>
      <c r="N707" s="39"/>
      <c r="O707" s="2"/>
      <c r="P707" s="2"/>
    </row>
    <row r="708" spans="1:16" x14ac:dyDescent="0.25">
      <c r="B708" s="38" t="str">
        <f>IF($A708=0,"",VLOOKUP($A708,'BASE MATERIAL'!$A:$D,2))</f>
        <v/>
      </c>
      <c r="C708" s="2"/>
      <c r="D708" s="77"/>
      <c r="E708" s="78" t="str">
        <f>IF($A708=0,"",VLOOKUP($A708,'BASE MATERIAL'!$A:$D,3))</f>
        <v/>
      </c>
      <c r="F708" s="55"/>
      <c r="G708" s="55" t="str">
        <f>IF($A708=0,"",VLOOKUP($A708,'BASE MATERIAL'!$A:$D,4))</f>
        <v/>
      </c>
      <c r="H708" s="56" t="str">
        <f t="shared" si="64"/>
        <v/>
      </c>
      <c r="I708" s="2"/>
      <c r="L708" s="2"/>
      <c r="M708" s="2"/>
      <c r="N708" s="39"/>
      <c r="O708" s="2"/>
      <c r="P708" s="2"/>
    </row>
    <row r="709" spans="1:16" x14ac:dyDescent="0.25">
      <c r="B709" s="38" t="str">
        <f>IF($A709=0,"",VLOOKUP($A709,'BASE MATERIAL'!$A:$D,2))</f>
        <v/>
      </c>
      <c r="C709" s="2"/>
      <c r="D709" s="77"/>
      <c r="E709" s="78" t="str">
        <f>IF($A709=0,"",VLOOKUP($A709,'BASE MATERIAL'!$A:$D,3))</f>
        <v/>
      </c>
      <c r="F709" s="55"/>
      <c r="G709" s="55" t="str">
        <f>IF($A709=0,"",VLOOKUP($A709,'BASE MATERIAL'!$A:$D,4))</f>
        <v/>
      </c>
      <c r="H709" s="56" t="str">
        <f t="shared" si="64"/>
        <v/>
      </c>
      <c r="I709" s="2"/>
    </row>
    <row r="710" spans="1:16" x14ac:dyDescent="0.25">
      <c r="B710" s="38" t="str">
        <f>IF($A710=0,"",VLOOKUP($A710,'BASE MATERIAL'!$A:$D,2))</f>
        <v/>
      </c>
      <c r="C710" s="2"/>
      <c r="D710" s="77"/>
      <c r="E710" s="78" t="str">
        <f>IF($A710=0,"",VLOOKUP($A710,'BASE MATERIAL'!$A:$D,3))</f>
        <v/>
      </c>
      <c r="F710" s="55"/>
      <c r="G710" s="55" t="str">
        <f>IF($A710=0,"",VLOOKUP($A710,'BASE MATERIAL'!$A:$D,4))</f>
        <v/>
      </c>
      <c r="H710" s="56" t="str">
        <f t="shared" si="64"/>
        <v/>
      </c>
      <c r="I710" s="2"/>
      <c r="L710" s="2"/>
      <c r="M710" s="2"/>
      <c r="N710" s="39"/>
      <c r="O710" s="2"/>
      <c r="P710" s="2"/>
    </row>
    <row r="711" spans="1:16" x14ac:dyDescent="0.25">
      <c r="B711" s="38" t="str">
        <f>IF($A711=0,"",VLOOKUP($A711,'BASE MATERIAL'!$A:$D,2))</f>
        <v/>
      </c>
      <c r="C711" s="2"/>
      <c r="D711" s="77"/>
      <c r="E711" s="78" t="str">
        <f>IF($A711=0,"",VLOOKUP($A711,'BASE MATERIAL'!$A:$D,3))</f>
        <v/>
      </c>
      <c r="F711" s="55"/>
      <c r="G711" s="55" t="str">
        <f>IF($A711=0,"",VLOOKUP($A711,'BASE MATERIAL'!$A:$D,4))</f>
        <v/>
      </c>
      <c r="H711" s="56" t="str">
        <f t="shared" si="64"/>
        <v/>
      </c>
      <c r="I711" s="2"/>
      <c r="L711" s="2"/>
      <c r="M711" s="2"/>
      <c r="N711" s="39"/>
      <c r="O711" s="2"/>
      <c r="P711" s="2"/>
    </row>
    <row r="712" spans="1:16" x14ac:dyDescent="0.25">
      <c r="B712" s="38" t="str">
        <f>IF($A712=0,"",VLOOKUP($A712,'BASE MATERIAL'!$A:$D,2))</f>
        <v/>
      </c>
      <c r="C712" s="2"/>
      <c r="D712" s="77"/>
      <c r="E712" s="78" t="str">
        <f>IF($A712=0,"",VLOOKUP($A712,'BASE MATERIAL'!$A:$D,3))</f>
        <v/>
      </c>
      <c r="F712" s="55"/>
      <c r="G712" s="55" t="str">
        <f>IF($A712=0,"",VLOOKUP($A712,'BASE MATERIAL'!$A:$D,4))</f>
        <v/>
      </c>
      <c r="H712" s="56" t="str">
        <f t="shared" si="64"/>
        <v/>
      </c>
      <c r="I712" s="2"/>
    </row>
    <row r="713" spans="1:16" x14ac:dyDescent="0.25">
      <c r="B713" s="38" t="str">
        <f>IF($A713=0,"",VLOOKUP($A713,'BASE MATERIAL'!$A:$D,2))</f>
        <v/>
      </c>
      <c r="C713" s="2"/>
      <c r="D713" s="77"/>
      <c r="E713" s="78" t="str">
        <f>IF($A713=0,"",VLOOKUP($A713,'BASE MATERIAL'!$A:$D,3))</f>
        <v/>
      </c>
      <c r="F713" s="55"/>
      <c r="G713" s="55" t="str">
        <f>IF($A713=0,"",VLOOKUP($A713,'BASE MATERIAL'!$A:$D,4))</f>
        <v/>
      </c>
      <c r="H713" s="56" t="str">
        <f t="shared" si="64"/>
        <v/>
      </c>
      <c r="I713" s="2"/>
    </row>
    <row r="714" spans="1:16" x14ac:dyDescent="0.25">
      <c r="B714" s="38" t="str">
        <f>IF($A714=0,"",VLOOKUP($A714,'BASE MATERIAL'!$A:$D,2))</f>
        <v/>
      </c>
      <c r="C714" s="2"/>
      <c r="D714" s="77"/>
      <c r="E714" s="78" t="str">
        <f>IF($A714=0,"",VLOOKUP($A714,'BASE MATERIAL'!$A:$D,3))</f>
        <v/>
      </c>
      <c r="F714" s="55"/>
      <c r="G714" s="55" t="str">
        <f>IF($A714=0,"",VLOOKUP($A714,'BASE MATERIAL'!$A:$D,4))</f>
        <v/>
      </c>
      <c r="H714" s="56" t="str">
        <f t="shared" si="64"/>
        <v/>
      </c>
      <c r="I714" s="2"/>
    </row>
    <row r="715" spans="1:16" x14ac:dyDescent="0.25">
      <c r="B715" s="38" t="str">
        <f>IF($A715=0,"",VLOOKUP($A715,'BASE MATERIAL'!$A:$D,2))</f>
        <v/>
      </c>
      <c r="C715" s="2"/>
      <c r="D715" s="77"/>
      <c r="E715" s="78" t="str">
        <f>IF($A715=0,"",VLOOKUP($A715,'BASE MATERIAL'!$A:$D,3))</f>
        <v/>
      </c>
      <c r="F715" s="55"/>
      <c r="G715" s="55" t="str">
        <f>IF($A715=0,"",VLOOKUP($A715,'BASE MATERIAL'!$A:$D,4))</f>
        <v/>
      </c>
      <c r="H715" s="56" t="str">
        <f t="shared" si="64"/>
        <v/>
      </c>
      <c r="I715" s="2"/>
    </row>
    <row r="716" spans="1:16" x14ac:dyDescent="0.25">
      <c r="B716" s="38" t="str">
        <f>IF($A716=0,"",VLOOKUP($A716,'BASE MATERIAL'!$A:$D,2))</f>
        <v/>
      </c>
      <c r="C716" s="2"/>
      <c r="D716" s="81" t="s">
        <v>1682</v>
      </c>
      <c r="E716" s="55" t="str">
        <f>IF($A716=0,"",VLOOKUP($A716,'BASE MATERIAL'!$A:$D,3))</f>
        <v/>
      </c>
      <c r="F716" s="55" t="s">
        <v>1682</v>
      </c>
      <c r="G716" s="55" t="str">
        <f>IF($A716=0,"",VLOOKUP($A716,'BASE MATERIAL'!$A:$D,4))</f>
        <v/>
      </c>
      <c r="H716" s="56" t="str">
        <f>IF($A716=0,"",ROUND(E716*F716,2))</f>
        <v/>
      </c>
      <c r="I716" s="2"/>
    </row>
    <row r="717" spans="1:16" x14ac:dyDescent="0.25">
      <c r="B717" s="73" t="s">
        <v>1681</v>
      </c>
      <c r="C717" s="65"/>
      <c r="D717" s="74"/>
      <c r="E717" s="74"/>
      <c r="F717" s="74"/>
      <c r="G717" s="74"/>
      <c r="H717" s="75">
        <f>ROUND(SUM(H700:H716),2)</f>
        <v>9.3000000000000007</v>
      </c>
      <c r="I717" s="2"/>
    </row>
    <row r="718" spans="1:16" x14ac:dyDescent="0.25">
      <c r="B718" s="38" t="s">
        <v>1680</v>
      </c>
      <c r="C718" s="2"/>
      <c r="D718" s="3"/>
      <c r="E718" s="3"/>
      <c r="F718" s="3"/>
      <c r="G718" s="3"/>
      <c r="H718" s="56"/>
      <c r="I718" s="2"/>
    </row>
    <row r="719" spans="1:16" ht="25.5" x14ac:dyDescent="0.25">
      <c r="B719" s="64" t="s">
        <v>1409</v>
      </c>
      <c r="C719" s="65"/>
      <c r="D719" s="76"/>
      <c r="E719" s="66" t="s">
        <v>1408</v>
      </c>
      <c r="F719" s="66" t="s">
        <v>1679</v>
      </c>
      <c r="G719" s="66" t="s">
        <v>1676</v>
      </c>
      <c r="H719" s="68" t="s">
        <v>1675</v>
      </c>
      <c r="I719" s="2"/>
    </row>
    <row r="720" spans="1:16" x14ac:dyDescent="0.25">
      <c r="A720" s="103">
        <v>19019</v>
      </c>
      <c r="B720" s="51" t="str">
        <f>IF($A720=0,"",VLOOKUP($A720,'BASE EQUIPO'!$A:$D,2))</f>
        <v>TRANSPORTE DE MATERIAL</v>
      </c>
      <c r="C720" s="52"/>
      <c r="D720" s="82"/>
      <c r="E720" s="78" t="str">
        <f>IF($A720=0,"",VLOOKUP($A720,'BASE EQUIPO'!$A:$D,3))</f>
        <v>GLOBAL</v>
      </c>
      <c r="F720" s="55">
        <v>1</v>
      </c>
      <c r="G720" s="83">
        <f>IF($A720=0,"",VLOOKUP($A720,'BASE EQUIPO'!$A:$D,4)*H717)</f>
        <v>0.27900000000000003</v>
      </c>
      <c r="H720" s="56">
        <f>IF($A720=0,"",ROUND(F720*G720,2))</f>
        <v>0.28000000000000003</v>
      </c>
      <c r="I720" s="2"/>
    </row>
    <row r="721" spans="1:15" x14ac:dyDescent="0.25">
      <c r="B721" s="38" t="str">
        <f>IF($A721=0,"",VLOOKUP($A721,'BASE EQUIPO'!$A:$D,2))</f>
        <v/>
      </c>
      <c r="C721" s="2"/>
      <c r="D721" s="84"/>
      <c r="E721" s="78" t="str">
        <f>IF($A721=0,"",VLOOKUP($A721,'BASE EQUIPO'!$A:$D,3))</f>
        <v/>
      </c>
      <c r="F721" s="55"/>
      <c r="G721" s="55" t="str">
        <f>IF($A721=0,"",VLOOKUP($A721,'BASE EQUIPO'!$A:$D,4)*H718)</f>
        <v/>
      </c>
      <c r="H721" s="56" t="str">
        <f>IF($A721=0,"",ROUND(F721*G721,2))</f>
        <v/>
      </c>
      <c r="I721" s="2"/>
    </row>
    <row r="722" spans="1:15" x14ac:dyDescent="0.25">
      <c r="B722" s="57" t="str">
        <f>IF($A722=0,"",VLOOKUP($A722,'BASE EQUIPO'!$A:$D,2))</f>
        <v/>
      </c>
      <c r="C722" s="58"/>
      <c r="D722" s="85"/>
      <c r="E722" s="86" t="str">
        <f>IF($A722=0,"",VLOOKUP($A722,'BASE EQUIPO'!$A:$D,3))</f>
        <v/>
      </c>
      <c r="F722" s="59"/>
      <c r="G722" s="59" t="str">
        <f>IF($A722=0,"",VLOOKUP($A722,'BASE EQUIPO'!$A:$D,4)*H719)</f>
        <v/>
      </c>
      <c r="H722" s="60" t="str">
        <f>IF($A722=0,"",ROUND(F722*G722,2))</f>
        <v/>
      </c>
      <c r="I722" s="2"/>
    </row>
    <row r="723" spans="1:15" ht="15.75" thickBot="1" x14ac:dyDescent="0.3">
      <c r="B723" s="87" t="s">
        <v>1674</v>
      </c>
      <c r="C723" s="88"/>
      <c r="D723" s="89"/>
      <c r="E723" s="89"/>
      <c r="F723" s="89"/>
      <c r="G723" s="89"/>
      <c r="H723" s="90">
        <f>ROUND(SUM(H719:H722),2)</f>
        <v>0.28000000000000003</v>
      </c>
      <c r="I723" s="2"/>
    </row>
    <row r="724" spans="1:15" ht="15.75" x14ac:dyDescent="0.25">
      <c r="B724" s="2"/>
      <c r="C724" s="2"/>
      <c r="D724" s="91" t="s">
        <v>1673</v>
      </c>
      <c r="E724" s="47"/>
      <c r="F724" s="47"/>
      <c r="G724" s="47"/>
      <c r="H724" s="92">
        <f>ROUND(SUM(H723,H717,H698,H688),2)</f>
        <v>9.58</v>
      </c>
      <c r="I724" s="2"/>
    </row>
    <row r="725" spans="1:15" ht="15.75" x14ac:dyDescent="0.25">
      <c r="A725" s="103">
        <v>40002</v>
      </c>
      <c r="B725" s="2"/>
      <c r="C725" s="2"/>
      <c r="D725" s="93" t="s">
        <v>1672</v>
      </c>
      <c r="E725" s="65"/>
      <c r="F725" s="65"/>
      <c r="G725" s="94">
        <f>IF($A725=0,"",VLOOKUP($A725,'BASE MATERIAL'!$M:$P,4))</f>
        <v>0</v>
      </c>
      <c r="H725" s="95">
        <f>IF($A725=0,"",ROUND(G725*H724,2))</f>
        <v>0</v>
      </c>
      <c r="I725" s="2"/>
    </row>
    <row r="726" spans="1:15" ht="15.75" x14ac:dyDescent="0.25">
      <c r="A726" s="103">
        <v>40003</v>
      </c>
      <c r="B726" s="2"/>
      <c r="C726" s="2"/>
      <c r="D726" s="93" t="s">
        <v>1671</v>
      </c>
      <c r="E726" s="65"/>
      <c r="F726" s="65"/>
      <c r="G726" s="94">
        <f>IF($A726=0,"",VLOOKUP($A726,'BASE MATERIAL'!$M:$P,4))</f>
        <v>0</v>
      </c>
      <c r="H726" s="95">
        <f>IF($A726=0,"",ROUND(G726*H724,2))</f>
        <v>0</v>
      </c>
      <c r="I726" s="2"/>
    </row>
    <row r="727" spans="1:15" ht="15.75" x14ac:dyDescent="0.25">
      <c r="B727" s="2"/>
      <c r="C727" s="2"/>
      <c r="D727" s="93" t="s">
        <v>1670</v>
      </c>
      <c r="E727" s="65"/>
      <c r="F727" s="65"/>
      <c r="G727" s="65"/>
      <c r="H727" s="96">
        <f>ROUND(SUM(H724:H726),2)</f>
        <v>9.58</v>
      </c>
      <c r="I727" s="2"/>
    </row>
    <row r="728" spans="1:15" ht="16.5" thickBot="1" x14ac:dyDescent="0.3">
      <c r="B728" s="25"/>
      <c r="C728" s="2"/>
      <c r="D728" s="97" t="s">
        <v>1650</v>
      </c>
      <c r="E728" s="88"/>
      <c r="F728" s="88"/>
      <c r="G728" s="88"/>
      <c r="H728" s="98">
        <f>ROUND(H727,2)</f>
        <v>9.58</v>
      </c>
      <c r="I728" s="2"/>
    </row>
    <row r="729" spans="1:15" ht="15.75" x14ac:dyDescent="0.25">
      <c r="B729" s="34" t="s">
        <v>1701</v>
      </c>
      <c r="C729" s="2"/>
      <c r="D729" s="3" t="str">
        <f>$D$1</f>
        <v>ESPOL</v>
      </c>
      <c r="E729" s="2"/>
      <c r="F729" s="2"/>
      <c r="H729" s="2" t="s">
        <v>108</v>
      </c>
      <c r="I729" s="2"/>
      <c r="L729" s="40">
        <f>A733</f>
        <v>2</v>
      </c>
      <c r="M729" s="1" t="str">
        <f>C734</f>
        <v>Manguera flexible de 12"</v>
      </c>
      <c r="N729" s="2" t="str">
        <f>H733</f>
        <v>metros</v>
      </c>
      <c r="O729" s="2">
        <f>H784</f>
        <v>12.15</v>
      </c>
    </row>
    <row r="730" spans="1:15" ht="15.75" x14ac:dyDescent="0.25">
      <c r="B730" s="34" t="s">
        <v>1700</v>
      </c>
      <c r="C730" s="3">
        <f>'1.1'!$C$2</f>
        <v>0</v>
      </c>
      <c r="D730" s="2"/>
      <c r="E730" s="2"/>
      <c r="F730" s="2"/>
      <c r="G730" s="41" t="s">
        <v>1699</v>
      </c>
      <c r="H730" s="42"/>
      <c r="I730" s="2" t="s">
        <v>1698</v>
      </c>
    </row>
    <row r="731" spans="1:15" ht="15.75" x14ac:dyDescent="0.25">
      <c r="B731" s="34"/>
      <c r="C731" s="3">
        <f>'1.1'!$C$3</f>
        <v>0</v>
      </c>
      <c r="D731" s="2"/>
      <c r="E731" s="2"/>
      <c r="F731" s="2"/>
      <c r="G731" s="2"/>
      <c r="H731" s="2"/>
      <c r="I731" s="2"/>
    </row>
    <row r="732" spans="1:15" ht="15.75" x14ac:dyDescent="0.25">
      <c r="B732" s="34" t="s">
        <v>1697</v>
      </c>
      <c r="C732" s="3"/>
      <c r="D732" s="2"/>
      <c r="E732" s="2"/>
      <c r="F732" s="2"/>
      <c r="G732" s="2"/>
      <c r="H732" s="2"/>
      <c r="I732" s="2"/>
    </row>
    <row r="733" spans="1:15" x14ac:dyDescent="0.25">
      <c r="A733" s="104">
        <v>2</v>
      </c>
      <c r="B733" s="2" t="s">
        <v>1586</v>
      </c>
      <c r="C733" s="101" t="s">
        <v>1333</v>
      </c>
      <c r="D733" s="2"/>
      <c r="G733" s="2" t="s">
        <v>1696</v>
      </c>
      <c r="H733" s="3" t="s">
        <v>145</v>
      </c>
      <c r="I733" s="2"/>
    </row>
    <row r="734" spans="1:15" x14ac:dyDescent="0.25">
      <c r="B734" s="1" t="s">
        <v>1585</v>
      </c>
      <c r="C734" s="36" t="s">
        <v>146</v>
      </c>
      <c r="D734" s="2"/>
      <c r="E734" s="2"/>
      <c r="F734" s="2"/>
      <c r="G734" s="2"/>
      <c r="H734" s="2"/>
      <c r="I734" s="2"/>
    </row>
    <row r="735" spans="1:15" ht="15.75" thickBot="1" x14ac:dyDescent="0.3">
      <c r="D735" s="2"/>
      <c r="E735" s="2"/>
      <c r="F735" s="2"/>
      <c r="G735" s="2"/>
      <c r="H735" s="2"/>
      <c r="I735" s="2"/>
    </row>
    <row r="736" spans="1:15" ht="15.75" thickBot="1" x14ac:dyDescent="0.3">
      <c r="B736" s="43" t="s">
        <v>1695</v>
      </c>
      <c r="C736" s="44"/>
      <c r="D736" s="44"/>
      <c r="E736" s="44"/>
      <c r="F736" s="44"/>
      <c r="G736" s="44"/>
      <c r="H736" s="45"/>
      <c r="I736" s="2"/>
    </row>
    <row r="737" spans="2:9" ht="25.5" x14ac:dyDescent="0.25">
      <c r="B737" s="46" t="s">
        <v>1409</v>
      </c>
      <c r="C737" s="47"/>
      <c r="D737" s="48" t="s">
        <v>1690</v>
      </c>
      <c r="E737" s="48" t="s">
        <v>1694</v>
      </c>
      <c r="F737" s="48" t="s">
        <v>1693</v>
      </c>
      <c r="G737" s="49" t="s">
        <v>1687</v>
      </c>
      <c r="H737" s="50" t="s">
        <v>1686</v>
      </c>
      <c r="I737" s="2"/>
    </row>
    <row r="738" spans="2:9" x14ac:dyDescent="0.25">
      <c r="B738" s="51" t="str">
        <f>IF($A738=0,"",VLOOKUP($A738,'BASE EQUIPO'!$A:$D,2))</f>
        <v/>
      </c>
      <c r="C738" s="52"/>
      <c r="D738" s="53"/>
      <c r="E738" s="53" t="str">
        <f>IF($A738=0,"",VLOOKUP($A738,'BASE EQUIPO'!$A:$D,4)*H754)</f>
        <v/>
      </c>
      <c r="F738" s="53" t="str">
        <f t="shared" ref="F738:F743" si="65">IF($A738=0,"",ROUND(D738*E738,2))</f>
        <v/>
      </c>
      <c r="G738" s="105"/>
      <c r="H738" s="54" t="str">
        <f t="shared" ref="H738:H743" si="66">IF($A738=0,"",ROUND(G738*F738,2))</f>
        <v/>
      </c>
      <c r="I738" s="2"/>
    </row>
    <row r="739" spans="2:9" x14ac:dyDescent="0.25">
      <c r="B739" s="38" t="str">
        <f>IF($A739=0,"",VLOOKUP($A739,'BASE EQUIPO'!$A:$D,2))</f>
        <v/>
      </c>
      <c r="C739" s="2"/>
      <c r="D739" s="55"/>
      <c r="E739" s="55" t="str">
        <f>IF($A739=0,"",VLOOKUP($A739,'BASE EQUIPO'!$A:$D,4))</f>
        <v/>
      </c>
      <c r="F739" s="55" t="str">
        <f t="shared" si="65"/>
        <v/>
      </c>
      <c r="G739" s="106"/>
      <c r="H739" s="56" t="str">
        <f t="shared" si="66"/>
        <v/>
      </c>
      <c r="I739" s="2"/>
    </row>
    <row r="740" spans="2:9" x14ac:dyDescent="0.25">
      <c r="B740" s="38" t="str">
        <f>IF($A740=0,"",VLOOKUP($A740,'BASE EQUIPO'!$A:$D,2))</f>
        <v/>
      </c>
      <c r="C740" s="2"/>
      <c r="D740" s="55"/>
      <c r="E740" s="55" t="str">
        <f>IF($A740=0,"",VLOOKUP($A740,'BASE EQUIPO'!$A:$D,4))</f>
        <v/>
      </c>
      <c r="F740" s="55" t="str">
        <f t="shared" si="65"/>
        <v/>
      </c>
      <c r="G740" s="106"/>
      <c r="H740" s="56" t="str">
        <f t="shared" si="66"/>
        <v/>
      </c>
      <c r="I740" s="2"/>
    </row>
    <row r="741" spans="2:9" x14ac:dyDescent="0.25">
      <c r="B741" s="38" t="str">
        <f>IF($A741=0,"",VLOOKUP($A741,'BASE EQUIPO'!$A:$D,2))</f>
        <v/>
      </c>
      <c r="C741" s="2"/>
      <c r="D741" s="55"/>
      <c r="E741" s="55" t="str">
        <f>IF($A741=0,"",VLOOKUP($A741,'BASE EQUIPO'!$A:$D,4))</f>
        <v/>
      </c>
      <c r="F741" s="55" t="str">
        <f t="shared" si="65"/>
        <v/>
      </c>
      <c r="G741" s="106"/>
      <c r="H741" s="56" t="str">
        <f t="shared" si="66"/>
        <v/>
      </c>
      <c r="I741" s="2"/>
    </row>
    <row r="742" spans="2:9" x14ac:dyDescent="0.25">
      <c r="B742" s="38" t="str">
        <f>IF($A742=0,"",VLOOKUP($A742,'BASE EQUIPO'!$A:$D,2))</f>
        <v/>
      </c>
      <c r="C742" s="2"/>
      <c r="D742" s="55"/>
      <c r="E742" s="55" t="str">
        <f>IF($A742=0,"",VLOOKUP($A742,'BASE EQUIPO'!$A:$D,4))</f>
        <v/>
      </c>
      <c r="F742" s="55" t="str">
        <f t="shared" si="65"/>
        <v/>
      </c>
      <c r="G742" s="106"/>
      <c r="H742" s="56" t="str">
        <f t="shared" si="66"/>
        <v/>
      </c>
      <c r="I742" s="2"/>
    </row>
    <row r="743" spans="2:9" x14ac:dyDescent="0.25">
      <c r="B743" s="57" t="str">
        <f>IF($A743=0,"",VLOOKUP($A743,'BASE EQUIPO'!$A:$D,2))</f>
        <v/>
      </c>
      <c r="C743" s="58"/>
      <c r="D743" s="59"/>
      <c r="E743" s="59" t="str">
        <f>IF($A743=0,"",VLOOKUP($A743,'BASE EQUIPO'!$A:$D,4))</f>
        <v/>
      </c>
      <c r="F743" s="59" t="str">
        <f t="shared" si="65"/>
        <v/>
      </c>
      <c r="G743" s="107"/>
      <c r="H743" s="60" t="str">
        <f t="shared" si="66"/>
        <v/>
      </c>
      <c r="I743" s="2"/>
    </row>
    <row r="744" spans="2:9" x14ac:dyDescent="0.25">
      <c r="B744" s="57" t="s">
        <v>1692</v>
      </c>
      <c r="C744" s="58"/>
      <c r="D744" s="61"/>
      <c r="E744" s="61"/>
      <c r="F744" s="61"/>
      <c r="G744" s="62"/>
      <c r="H744" s="60">
        <f>ROUND(SUM(H737:H743),2)</f>
        <v>0</v>
      </c>
      <c r="I744" s="2"/>
    </row>
    <row r="745" spans="2:9" x14ac:dyDescent="0.25">
      <c r="B745" s="38" t="s">
        <v>1503</v>
      </c>
      <c r="C745" s="2"/>
      <c r="D745" s="3"/>
      <c r="E745" s="3"/>
      <c r="F745" s="3"/>
      <c r="G745" s="63"/>
      <c r="H745" s="56"/>
      <c r="I745" s="2"/>
    </row>
    <row r="746" spans="2:9" ht="25.5" x14ac:dyDescent="0.25">
      <c r="B746" s="64" t="s">
        <v>1691</v>
      </c>
      <c r="C746" s="65"/>
      <c r="D746" s="66" t="s">
        <v>1690</v>
      </c>
      <c r="E746" s="66" t="s">
        <v>1689</v>
      </c>
      <c r="F746" s="66" t="s">
        <v>1688</v>
      </c>
      <c r="G746" s="67" t="s">
        <v>1687</v>
      </c>
      <c r="H746" s="68" t="s">
        <v>1686</v>
      </c>
      <c r="I746" s="2"/>
    </row>
    <row r="747" spans="2:9" x14ac:dyDescent="0.25">
      <c r="B747" s="69" t="str">
        <f>IF($A747=0,"",VLOOKUP($A747,'BASE M-OBRA'!$A:$D,2))</f>
        <v/>
      </c>
      <c r="C747" s="2"/>
      <c r="D747" s="108"/>
      <c r="E747" s="70" t="str">
        <f>IF($A747=0,"",VLOOKUP($A747,'BASE M-OBRA'!$A:$D,4))</f>
        <v/>
      </c>
      <c r="F747" s="55" t="str">
        <f t="shared" ref="F747:F753" si="67">IF($A747=0,"",ROUND(D747*E747,2))</f>
        <v/>
      </c>
      <c r="G747" s="106" t="str">
        <f>IF($A747=0,"",ROUND(H747/F747,2))</f>
        <v/>
      </c>
      <c r="H747" s="56" t="str">
        <f>IF($A747=0,"",ROUND(SUM(H748:H753)*'BASE M-OBRA'!$D$23,2))</f>
        <v/>
      </c>
      <c r="I747" s="2"/>
    </row>
    <row r="748" spans="2:9" x14ac:dyDescent="0.25">
      <c r="B748" s="69" t="str">
        <f>IF($A748=0,"",VLOOKUP($A748,'BASE M-OBRA'!$A:$D,2))</f>
        <v/>
      </c>
      <c r="C748" s="2"/>
      <c r="D748" s="108"/>
      <c r="E748" s="70" t="str">
        <f>IF($A748=0,"",VLOOKUP($A748,'BASE M-OBRA'!$A:$D,4))</f>
        <v/>
      </c>
      <c r="F748" s="55" t="str">
        <f t="shared" si="67"/>
        <v/>
      </c>
      <c r="G748" s="106"/>
      <c r="H748" s="56" t="str">
        <f t="shared" ref="H748:H753" si="68">IF($A748=0,"",ROUND(G748*F748,2))</f>
        <v/>
      </c>
      <c r="I748" s="2"/>
    </row>
    <row r="749" spans="2:9" x14ac:dyDescent="0.25">
      <c r="B749" s="69" t="str">
        <f>IF($A749=0,"",VLOOKUP($A749,'BASE M-OBRA'!$A:$D,2))</f>
        <v/>
      </c>
      <c r="C749" s="2"/>
      <c r="D749" s="108"/>
      <c r="E749" s="70" t="str">
        <f>IF($A749=0,"",VLOOKUP($A749,'BASE M-OBRA'!$A:$D,4))</f>
        <v/>
      </c>
      <c r="F749" s="55" t="str">
        <f t="shared" si="67"/>
        <v/>
      </c>
      <c r="G749" s="106"/>
      <c r="H749" s="56" t="str">
        <f t="shared" si="68"/>
        <v/>
      </c>
      <c r="I749" s="2"/>
    </row>
    <row r="750" spans="2:9" x14ac:dyDescent="0.25">
      <c r="B750" s="71" t="str">
        <f>IF($A750=0,"",VLOOKUP($A750,'BASE M-OBRA'!$A:$D,2))</f>
        <v/>
      </c>
      <c r="C750" s="2"/>
      <c r="D750" s="108"/>
      <c r="E750" s="70" t="str">
        <f>IF($A750=0,"",VLOOKUP($A750,'BASE M-OBRA'!$A:$D,4))</f>
        <v/>
      </c>
      <c r="F750" s="55" t="str">
        <f t="shared" si="67"/>
        <v/>
      </c>
      <c r="G750" s="106"/>
      <c r="H750" s="56" t="str">
        <f t="shared" si="68"/>
        <v/>
      </c>
      <c r="I750" s="2"/>
    </row>
    <row r="751" spans="2:9" x14ac:dyDescent="0.25">
      <c r="B751" s="72" t="str">
        <f>IF($A751=0,"",VLOOKUP($A751,'BASE M-OBRA'!$A:$D,2))</f>
        <v/>
      </c>
      <c r="C751" s="2"/>
      <c r="D751" s="108"/>
      <c r="E751" s="70" t="str">
        <f>IF($A751=0,"",VLOOKUP($A751,'BASE M-OBRA'!$A:$D,4))</f>
        <v/>
      </c>
      <c r="F751" s="55" t="str">
        <f t="shared" si="67"/>
        <v/>
      </c>
      <c r="G751" s="106"/>
      <c r="H751" s="56" t="str">
        <f t="shared" si="68"/>
        <v/>
      </c>
      <c r="I751" s="2"/>
    </row>
    <row r="752" spans="2:9" x14ac:dyDescent="0.25">
      <c r="B752" s="38" t="str">
        <f>IF($A752=0,"",VLOOKUP($A752,'BASE M-OBRA'!$A:$D,2))</f>
        <v/>
      </c>
      <c r="C752" s="2"/>
      <c r="D752" s="55"/>
      <c r="E752" s="55" t="str">
        <f>IF($A752=0,"",VLOOKUP($A752,'BASE M-OBRA'!$A:$D,4))</f>
        <v/>
      </c>
      <c r="F752" s="55" t="str">
        <f t="shared" si="67"/>
        <v/>
      </c>
      <c r="G752" s="106"/>
      <c r="H752" s="56" t="str">
        <f t="shared" si="68"/>
        <v/>
      </c>
      <c r="I752" s="2"/>
    </row>
    <row r="753" spans="1:16" x14ac:dyDescent="0.25">
      <c r="B753" s="57" t="str">
        <f>IF($A753=0,"",VLOOKUP($A753,'BASE M-OBRA'!$A:$D,2))</f>
        <v/>
      </c>
      <c r="C753" s="58"/>
      <c r="D753" s="59"/>
      <c r="E753" s="59" t="str">
        <f>IF($A753=0,"",VLOOKUP($A753,'BASE M-OBRA'!$A:$D,4))</f>
        <v/>
      </c>
      <c r="F753" s="59" t="str">
        <f t="shared" si="67"/>
        <v/>
      </c>
      <c r="G753" s="107"/>
      <c r="H753" s="60" t="str">
        <f t="shared" si="68"/>
        <v/>
      </c>
      <c r="I753" s="2"/>
    </row>
    <row r="754" spans="1:16" x14ac:dyDescent="0.25">
      <c r="B754" s="73" t="s">
        <v>1685</v>
      </c>
      <c r="C754" s="65"/>
      <c r="D754" s="74"/>
      <c r="E754" s="74"/>
      <c r="F754" s="74"/>
      <c r="G754" s="74"/>
      <c r="H754" s="75">
        <f>ROUND(SUM(H746:H753),2)</f>
        <v>0</v>
      </c>
      <c r="I754" s="2"/>
    </row>
    <row r="755" spans="1:16" x14ac:dyDescent="0.25">
      <c r="B755" s="38" t="s">
        <v>1684</v>
      </c>
      <c r="C755" s="2"/>
      <c r="D755" s="3"/>
      <c r="E755" s="3"/>
      <c r="F755" s="3"/>
      <c r="G755" s="3"/>
      <c r="H755" s="56"/>
      <c r="I755" s="2"/>
    </row>
    <row r="756" spans="1:16" ht="25.5" x14ac:dyDescent="0.25">
      <c r="B756" s="64" t="s">
        <v>1409</v>
      </c>
      <c r="C756" s="65"/>
      <c r="D756" s="76"/>
      <c r="E756" s="66" t="s">
        <v>1408</v>
      </c>
      <c r="F756" s="66" t="s">
        <v>1679</v>
      </c>
      <c r="G756" s="66" t="s">
        <v>1683</v>
      </c>
      <c r="H756" s="68" t="s">
        <v>1675</v>
      </c>
      <c r="I756" s="2"/>
    </row>
    <row r="757" spans="1:16" x14ac:dyDescent="0.25">
      <c r="A757" s="103">
        <v>1</v>
      </c>
      <c r="B757" s="102" t="s">
        <v>146</v>
      </c>
      <c r="C757" s="2"/>
      <c r="D757" s="77"/>
      <c r="E757" s="78" t="s">
        <v>145</v>
      </c>
      <c r="F757" s="55">
        <v>1</v>
      </c>
      <c r="G757" s="55">
        <v>11.8</v>
      </c>
      <c r="H757" s="56">
        <f t="shared" ref="H757:H771" si="69">IF($A757=0,"",ROUND(F757*G757,2))</f>
        <v>11.8</v>
      </c>
      <c r="I757" s="2"/>
      <c r="J757" s="1">
        <v>10.9</v>
      </c>
      <c r="L757" s="2"/>
      <c r="M757" s="2"/>
      <c r="N757" s="39"/>
      <c r="O757" s="2"/>
      <c r="P757" s="2"/>
    </row>
    <row r="758" spans="1:16" x14ac:dyDescent="0.25">
      <c r="B758" s="102"/>
      <c r="C758" s="2"/>
      <c r="D758" s="77"/>
      <c r="E758" s="78" t="str">
        <f>IF($A758=0,"",VLOOKUP($A758,'BASE MATERIAL'!$A:$D,3))</f>
        <v/>
      </c>
      <c r="F758" s="55"/>
      <c r="G758" s="55" t="str">
        <f>IF($A758=0,"",VLOOKUP($A758,'BASE MATERIAL'!$A:$D,4))</f>
        <v/>
      </c>
      <c r="H758" s="56" t="str">
        <f t="shared" si="69"/>
        <v/>
      </c>
      <c r="I758" s="2"/>
      <c r="L758" s="2"/>
      <c r="M758" s="2"/>
      <c r="N758" s="39"/>
      <c r="O758" s="2"/>
      <c r="P758" s="2"/>
    </row>
    <row r="759" spans="1:16" x14ac:dyDescent="0.25">
      <c r="B759" s="38" t="str">
        <f>IF($A759=0,"",VLOOKUP($A759,'BASE MATERIAL'!$A:$D,2))</f>
        <v/>
      </c>
      <c r="C759" s="2"/>
      <c r="D759" s="77"/>
      <c r="E759" s="78" t="str">
        <f>IF($A759=0,"",VLOOKUP($A759,'BASE MATERIAL'!$A:$D,3))</f>
        <v/>
      </c>
      <c r="F759" s="55"/>
      <c r="G759" s="55" t="str">
        <f>IF($A759=0,"",VLOOKUP($A759,'BASE MATERIAL'!$A:$D,4))</f>
        <v/>
      </c>
      <c r="H759" s="56" t="str">
        <f t="shared" si="69"/>
        <v/>
      </c>
      <c r="I759" s="2"/>
      <c r="L759" s="2"/>
      <c r="M759" s="2"/>
      <c r="N759" s="39"/>
      <c r="O759" s="2"/>
      <c r="P759" s="2"/>
    </row>
    <row r="760" spans="1:16" x14ac:dyDescent="0.25">
      <c r="B760" s="38" t="str">
        <f>IF($A760=0,"",VLOOKUP($A760,'BASE MATERIAL'!$A:$D,2))</f>
        <v/>
      </c>
      <c r="C760" s="2"/>
      <c r="D760" s="77"/>
      <c r="E760" s="78" t="str">
        <f>IF($A760=0,"",VLOOKUP($A760,'BASE MATERIAL'!$A:$D,3))</f>
        <v/>
      </c>
      <c r="F760" s="55"/>
      <c r="G760" s="55" t="str">
        <f>IF($A760=0,"",VLOOKUP($A760,'BASE MATERIAL'!$A:$D,4))</f>
        <v/>
      </c>
      <c r="H760" s="56" t="str">
        <f t="shared" si="69"/>
        <v/>
      </c>
      <c r="I760" s="2"/>
      <c r="L760" s="2"/>
      <c r="M760" s="2"/>
      <c r="N760" s="39"/>
      <c r="O760" s="2"/>
      <c r="P760" s="2"/>
    </row>
    <row r="761" spans="1:16" x14ac:dyDescent="0.25">
      <c r="B761" s="38" t="str">
        <f>IF($A761=0,"",VLOOKUP($A761,'BASE MATERIAL'!$A:$D,2))</f>
        <v/>
      </c>
      <c r="C761" s="2"/>
      <c r="D761" s="77"/>
      <c r="E761" s="78" t="str">
        <f>IF($A761=0,"",VLOOKUP($A761,'BASE MATERIAL'!$A:$D,3))</f>
        <v/>
      </c>
      <c r="F761" s="55"/>
      <c r="G761" s="55" t="str">
        <f>IF($A761=0,"",VLOOKUP($A761,'BASE MATERIAL'!$A:$D,4))</f>
        <v/>
      </c>
      <c r="H761" s="56" t="str">
        <f t="shared" si="69"/>
        <v/>
      </c>
      <c r="I761" s="2"/>
      <c r="L761" s="2"/>
      <c r="M761" s="2"/>
      <c r="N761" s="39"/>
      <c r="O761" s="2"/>
      <c r="P761" s="2"/>
    </row>
    <row r="762" spans="1:16" x14ac:dyDescent="0.25">
      <c r="B762" s="38" t="str">
        <f>IF($A762=0,"",VLOOKUP($A762,'BASE MATERIAL'!$A:$D,2))</f>
        <v/>
      </c>
      <c r="C762" s="2"/>
      <c r="D762" s="77"/>
      <c r="E762" s="78" t="str">
        <f>IF($A762=0,"",VLOOKUP($A762,'BASE MATERIAL'!$A:$D,3))</f>
        <v/>
      </c>
      <c r="F762" s="55"/>
      <c r="G762" s="55" t="str">
        <f>IF($A762=0,"",VLOOKUP($A762,'BASE MATERIAL'!$A:$D,4))</f>
        <v/>
      </c>
      <c r="H762" s="56" t="str">
        <f t="shared" si="69"/>
        <v/>
      </c>
      <c r="I762" s="2"/>
      <c r="L762" s="2"/>
      <c r="M762" s="2"/>
      <c r="N762" s="39"/>
      <c r="O762" s="2"/>
      <c r="P762" s="2"/>
    </row>
    <row r="763" spans="1:16" x14ac:dyDescent="0.25">
      <c r="B763" s="38" t="str">
        <f>IF($A763=0,"",VLOOKUP($A763,'BASE MATERIAL'!$A:$D,2))</f>
        <v/>
      </c>
      <c r="C763" s="2"/>
      <c r="D763" s="77"/>
      <c r="E763" s="78" t="str">
        <f>IF($A763=0,"",VLOOKUP($A763,'BASE MATERIAL'!$A:$D,3))</f>
        <v/>
      </c>
      <c r="F763" s="55"/>
      <c r="G763" s="55" t="str">
        <f>IF($A763=0,"",VLOOKUP($A763,'BASE MATERIAL'!$A:$D,4))</f>
        <v/>
      </c>
      <c r="H763" s="56" t="str">
        <f t="shared" si="69"/>
        <v/>
      </c>
      <c r="I763" s="2"/>
      <c r="L763" s="2"/>
      <c r="M763" s="2"/>
      <c r="N763" s="39"/>
      <c r="O763" s="2"/>
      <c r="P763" s="2"/>
    </row>
    <row r="764" spans="1:16" x14ac:dyDescent="0.25">
      <c r="B764" s="38" t="str">
        <f>IF($A764=0,"",VLOOKUP($A764,'BASE MATERIAL'!$A:$D,2))</f>
        <v/>
      </c>
      <c r="C764" s="2"/>
      <c r="D764" s="77"/>
      <c r="E764" s="78" t="str">
        <f>IF($A764=0,"",VLOOKUP($A764,'BASE MATERIAL'!$A:$D,3))</f>
        <v/>
      </c>
      <c r="F764" s="55"/>
      <c r="G764" s="55" t="str">
        <f>IF($A764=0,"",VLOOKUP($A764,'BASE MATERIAL'!$A:$D,4))</f>
        <v/>
      </c>
      <c r="H764" s="56" t="str">
        <f t="shared" si="69"/>
        <v/>
      </c>
      <c r="I764" s="2"/>
      <c r="L764" s="2"/>
      <c r="M764" s="2"/>
      <c r="N764" s="39"/>
      <c r="O764" s="2"/>
      <c r="P764" s="2"/>
    </row>
    <row r="765" spans="1:16" x14ac:dyDescent="0.25">
      <c r="B765" s="38" t="str">
        <f>IF($A765=0,"",VLOOKUP($A765,'BASE MATERIAL'!$A:$D,2))</f>
        <v/>
      </c>
      <c r="C765" s="2"/>
      <c r="D765" s="77"/>
      <c r="E765" s="78" t="str">
        <f>IF($A765=0,"",VLOOKUP($A765,'BASE MATERIAL'!$A:$D,3))</f>
        <v/>
      </c>
      <c r="F765" s="55"/>
      <c r="G765" s="55" t="str">
        <f>IF($A765=0,"",VLOOKUP($A765,'BASE MATERIAL'!$A:$D,4))</f>
        <v/>
      </c>
      <c r="H765" s="56" t="str">
        <f t="shared" si="69"/>
        <v/>
      </c>
      <c r="I765" s="2"/>
    </row>
    <row r="766" spans="1:16" x14ac:dyDescent="0.25">
      <c r="B766" s="38" t="str">
        <f>IF($A766=0,"",VLOOKUP($A766,'BASE MATERIAL'!$A:$D,2))</f>
        <v/>
      </c>
      <c r="C766" s="2"/>
      <c r="D766" s="77"/>
      <c r="E766" s="78" t="str">
        <f>IF($A766=0,"",VLOOKUP($A766,'BASE MATERIAL'!$A:$D,3))</f>
        <v/>
      </c>
      <c r="F766" s="55"/>
      <c r="G766" s="55" t="str">
        <f>IF($A766=0,"",VLOOKUP($A766,'BASE MATERIAL'!$A:$D,4))</f>
        <v/>
      </c>
      <c r="H766" s="56" t="str">
        <f t="shared" si="69"/>
        <v/>
      </c>
      <c r="I766" s="2"/>
      <c r="L766" s="2"/>
      <c r="M766" s="2"/>
      <c r="N766" s="39"/>
      <c r="O766" s="2"/>
      <c r="P766" s="2"/>
    </row>
    <row r="767" spans="1:16" x14ac:dyDescent="0.25">
      <c r="B767" s="38" t="str">
        <f>IF($A767=0,"",VLOOKUP($A767,'BASE MATERIAL'!$A:$D,2))</f>
        <v/>
      </c>
      <c r="C767" s="2"/>
      <c r="D767" s="77"/>
      <c r="E767" s="78" t="str">
        <f>IF($A767=0,"",VLOOKUP($A767,'BASE MATERIAL'!$A:$D,3))</f>
        <v/>
      </c>
      <c r="F767" s="55"/>
      <c r="G767" s="55" t="str">
        <f>IF($A767=0,"",VLOOKUP($A767,'BASE MATERIAL'!$A:$D,4))</f>
        <v/>
      </c>
      <c r="H767" s="56" t="str">
        <f t="shared" si="69"/>
        <v/>
      </c>
      <c r="I767" s="2"/>
      <c r="L767" s="2"/>
      <c r="M767" s="2"/>
      <c r="N767" s="39"/>
      <c r="O767" s="2"/>
      <c r="P767" s="2"/>
    </row>
    <row r="768" spans="1:16" x14ac:dyDescent="0.25">
      <c r="B768" s="38" t="str">
        <f>IF($A768=0,"",VLOOKUP($A768,'BASE MATERIAL'!$A:$D,2))</f>
        <v/>
      </c>
      <c r="C768" s="2"/>
      <c r="D768" s="77"/>
      <c r="E768" s="78" t="str">
        <f>IF($A768=0,"",VLOOKUP($A768,'BASE MATERIAL'!$A:$D,3))</f>
        <v/>
      </c>
      <c r="F768" s="55"/>
      <c r="G768" s="55" t="str">
        <f>IF($A768=0,"",VLOOKUP($A768,'BASE MATERIAL'!$A:$D,4))</f>
        <v/>
      </c>
      <c r="H768" s="56" t="str">
        <f t="shared" si="69"/>
        <v/>
      </c>
      <c r="I768" s="2"/>
    </row>
    <row r="769" spans="1:9" x14ac:dyDescent="0.25">
      <c r="B769" s="38" t="str">
        <f>IF($A769=0,"",VLOOKUP($A769,'BASE MATERIAL'!$A:$D,2))</f>
        <v/>
      </c>
      <c r="C769" s="2"/>
      <c r="D769" s="77"/>
      <c r="E769" s="78" t="str">
        <f>IF($A769=0,"",VLOOKUP($A769,'BASE MATERIAL'!$A:$D,3))</f>
        <v/>
      </c>
      <c r="F769" s="55"/>
      <c r="G769" s="55" t="str">
        <f>IF($A769=0,"",VLOOKUP($A769,'BASE MATERIAL'!$A:$D,4))</f>
        <v/>
      </c>
      <c r="H769" s="56" t="str">
        <f t="shared" si="69"/>
        <v/>
      </c>
      <c r="I769" s="2"/>
    </row>
    <row r="770" spans="1:9" x14ac:dyDescent="0.25">
      <c r="B770" s="38" t="str">
        <f>IF($A770=0,"",VLOOKUP($A770,'BASE MATERIAL'!$A:$D,2))</f>
        <v/>
      </c>
      <c r="C770" s="2"/>
      <c r="D770" s="77"/>
      <c r="E770" s="78" t="str">
        <f>IF($A770=0,"",VLOOKUP($A770,'BASE MATERIAL'!$A:$D,3))</f>
        <v/>
      </c>
      <c r="F770" s="55"/>
      <c r="G770" s="55" t="str">
        <f>IF($A770=0,"",VLOOKUP($A770,'BASE MATERIAL'!$A:$D,4))</f>
        <v/>
      </c>
      <c r="H770" s="56" t="str">
        <f t="shared" si="69"/>
        <v/>
      </c>
      <c r="I770" s="2"/>
    </row>
    <row r="771" spans="1:9" x14ac:dyDescent="0.25">
      <c r="B771" s="38" t="str">
        <f>IF($A771=0,"",VLOOKUP($A771,'BASE MATERIAL'!$A:$D,2))</f>
        <v/>
      </c>
      <c r="C771" s="2"/>
      <c r="D771" s="77"/>
      <c r="E771" s="78" t="str">
        <f>IF($A771=0,"",VLOOKUP($A771,'BASE MATERIAL'!$A:$D,3))</f>
        <v/>
      </c>
      <c r="F771" s="55"/>
      <c r="G771" s="55" t="str">
        <f>IF($A771=0,"",VLOOKUP($A771,'BASE MATERIAL'!$A:$D,4))</f>
        <v/>
      </c>
      <c r="H771" s="56" t="str">
        <f t="shared" si="69"/>
        <v/>
      </c>
      <c r="I771" s="2"/>
    </row>
    <row r="772" spans="1:9" x14ac:dyDescent="0.25">
      <c r="B772" s="38" t="str">
        <f>IF($A772=0,"",VLOOKUP($A772,'BASE MATERIAL'!$A:$D,2))</f>
        <v/>
      </c>
      <c r="C772" s="2"/>
      <c r="D772" s="81" t="s">
        <v>1682</v>
      </c>
      <c r="E772" s="55" t="str">
        <f>IF($A772=0,"",VLOOKUP($A772,'BASE MATERIAL'!$A:$D,3))</f>
        <v/>
      </c>
      <c r="F772" s="55" t="s">
        <v>1682</v>
      </c>
      <c r="G772" s="55" t="str">
        <f>IF($A772=0,"",VLOOKUP($A772,'BASE MATERIAL'!$A:$D,4))</f>
        <v/>
      </c>
      <c r="H772" s="56" t="str">
        <f>IF($A772=0,"",ROUND(E772*F772,2))</f>
        <v/>
      </c>
      <c r="I772" s="2"/>
    </row>
    <row r="773" spans="1:9" x14ac:dyDescent="0.25">
      <c r="B773" s="73" t="s">
        <v>1681</v>
      </c>
      <c r="C773" s="65"/>
      <c r="D773" s="74"/>
      <c r="E773" s="74"/>
      <c r="F773" s="74"/>
      <c r="G773" s="74"/>
      <c r="H773" s="75">
        <f>ROUND(SUM(H756:H772),2)</f>
        <v>11.8</v>
      </c>
      <c r="I773" s="2"/>
    </row>
    <row r="774" spans="1:9" x14ac:dyDescent="0.25">
      <c r="B774" s="38" t="s">
        <v>1680</v>
      </c>
      <c r="C774" s="2"/>
      <c r="D774" s="3"/>
      <c r="E774" s="3"/>
      <c r="F774" s="3"/>
      <c r="G774" s="3"/>
      <c r="H774" s="56"/>
      <c r="I774" s="2"/>
    </row>
    <row r="775" spans="1:9" ht="25.5" x14ac:dyDescent="0.25">
      <c r="B775" s="64" t="s">
        <v>1409</v>
      </c>
      <c r="C775" s="65"/>
      <c r="D775" s="76"/>
      <c r="E775" s="66" t="s">
        <v>1408</v>
      </c>
      <c r="F775" s="66" t="s">
        <v>1679</v>
      </c>
      <c r="G775" s="66" t="s">
        <v>1676</v>
      </c>
      <c r="H775" s="68" t="s">
        <v>1675</v>
      </c>
      <c r="I775" s="2"/>
    </row>
    <row r="776" spans="1:9" x14ac:dyDescent="0.25">
      <c r="A776" s="103">
        <v>19019</v>
      </c>
      <c r="B776" s="51" t="str">
        <f>IF($A776=0,"",VLOOKUP($A776,'BASE EQUIPO'!$A:$D,2))</f>
        <v>TRANSPORTE DE MATERIAL</v>
      </c>
      <c r="C776" s="52"/>
      <c r="D776" s="82"/>
      <c r="E776" s="78" t="str">
        <f>IF($A776=0,"",VLOOKUP($A776,'BASE EQUIPO'!$A:$D,3))</f>
        <v>GLOBAL</v>
      </c>
      <c r="F776" s="55">
        <v>1</v>
      </c>
      <c r="G776" s="83">
        <f>IF($A776=0,"",VLOOKUP($A776,'BASE EQUIPO'!$A:$D,4)*H773)</f>
        <v>0.35399999999999998</v>
      </c>
      <c r="H776" s="56">
        <f>IF($A776=0,"",ROUND(F776*G776,2))</f>
        <v>0.35</v>
      </c>
      <c r="I776" s="2"/>
    </row>
    <row r="777" spans="1:9" x14ac:dyDescent="0.25">
      <c r="B777" s="38" t="str">
        <f>IF($A777=0,"",VLOOKUP($A777,'BASE EQUIPO'!$A:$D,2))</f>
        <v/>
      </c>
      <c r="C777" s="2"/>
      <c r="D777" s="84"/>
      <c r="E777" s="78" t="str">
        <f>IF($A777=0,"",VLOOKUP($A777,'BASE EQUIPO'!$A:$D,3))</f>
        <v/>
      </c>
      <c r="F777" s="55"/>
      <c r="G777" s="55" t="str">
        <f>IF($A777=0,"",VLOOKUP($A777,'BASE EQUIPO'!$A:$D,4)*H774)</f>
        <v/>
      </c>
      <c r="H777" s="56" t="str">
        <f>IF($A777=0,"",ROUND(F777*G777,2))</f>
        <v/>
      </c>
      <c r="I777" s="2"/>
    </row>
    <row r="778" spans="1:9" x14ac:dyDescent="0.25">
      <c r="B778" s="57" t="str">
        <f>IF($A778=0,"",VLOOKUP($A778,'BASE EQUIPO'!$A:$D,2))</f>
        <v/>
      </c>
      <c r="C778" s="58"/>
      <c r="D778" s="85"/>
      <c r="E778" s="86" t="str">
        <f>IF($A778=0,"",VLOOKUP($A778,'BASE EQUIPO'!$A:$D,3))</f>
        <v/>
      </c>
      <c r="F778" s="59"/>
      <c r="G778" s="59" t="str">
        <f>IF($A778=0,"",VLOOKUP($A778,'BASE EQUIPO'!$A:$D,4)*H775)</f>
        <v/>
      </c>
      <c r="H778" s="60" t="str">
        <f>IF($A778=0,"",ROUND(F778*G778,2))</f>
        <v/>
      </c>
      <c r="I778" s="2"/>
    </row>
    <row r="779" spans="1:9" ht="15.75" thickBot="1" x14ac:dyDescent="0.3">
      <c r="B779" s="87" t="s">
        <v>1674</v>
      </c>
      <c r="C779" s="88"/>
      <c r="D779" s="89"/>
      <c r="E779" s="89"/>
      <c r="F779" s="89"/>
      <c r="G779" s="89"/>
      <c r="H779" s="90">
        <f>ROUND(SUM(H775:H778),2)</f>
        <v>0.35</v>
      </c>
      <c r="I779" s="2"/>
    </row>
    <row r="780" spans="1:9" ht="15.75" x14ac:dyDescent="0.25">
      <c r="B780" s="2"/>
      <c r="C780" s="2"/>
      <c r="D780" s="91" t="s">
        <v>1673</v>
      </c>
      <c r="E780" s="47"/>
      <c r="F780" s="47"/>
      <c r="G780" s="47"/>
      <c r="H780" s="92">
        <f>ROUND(SUM(H779,H773,H754,H744),2)</f>
        <v>12.15</v>
      </c>
      <c r="I780" s="2"/>
    </row>
    <row r="781" spans="1:9" ht="15.75" x14ac:dyDescent="0.25">
      <c r="A781" s="103">
        <v>40002</v>
      </c>
      <c r="B781" s="2"/>
      <c r="C781" s="2"/>
      <c r="D781" s="93" t="s">
        <v>1672</v>
      </c>
      <c r="E781" s="65"/>
      <c r="F781" s="65"/>
      <c r="G781" s="94">
        <f>IF($A781=0,"",VLOOKUP($A781,'BASE MATERIAL'!$M:$P,4))</f>
        <v>0</v>
      </c>
      <c r="H781" s="95">
        <f>IF($A781=0,"",ROUND(G781*H780,2))</f>
        <v>0</v>
      </c>
      <c r="I781" s="2"/>
    </row>
    <row r="782" spans="1:9" ht="15.75" x14ac:dyDescent="0.25">
      <c r="A782" s="103">
        <v>40003</v>
      </c>
      <c r="B782" s="2"/>
      <c r="C782" s="2"/>
      <c r="D782" s="93" t="s">
        <v>1671</v>
      </c>
      <c r="E782" s="65"/>
      <c r="F782" s="65"/>
      <c r="G782" s="94">
        <f>IF($A782=0,"",VLOOKUP($A782,'BASE MATERIAL'!$M:$P,4))</f>
        <v>0</v>
      </c>
      <c r="H782" s="95">
        <f>IF($A782=0,"",ROUND(G782*H780,2))</f>
        <v>0</v>
      </c>
      <c r="I782" s="2"/>
    </row>
    <row r="783" spans="1:9" ht="15.75" x14ac:dyDescent="0.25">
      <c r="B783" s="2"/>
      <c r="C783" s="2"/>
      <c r="D783" s="93" t="s">
        <v>1670</v>
      </c>
      <c r="E783" s="65"/>
      <c r="F783" s="65"/>
      <c r="G783" s="65"/>
      <c r="H783" s="96">
        <f>ROUND(SUM(H780:H782),2)</f>
        <v>12.15</v>
      </c>
      <c r="I783" s="2"/>
    </row>
    <row r="784" spans="1:9" ht="16.5" thickBot="1" x14ac:dyDescent="0.3">
      <c r="B784" s="25"/>
      <c r="C784" s="2"/>
      <c r="D784" s="97" t="s">
        <v>1650</v>
      </c>
      <c r="E784" s="88"/>
      <c r="F784" s="88"/>
      <c r="G784" s="88"/>
      <c r="H784" s="98">
        <f>ROUND(H783,2)</f>
        <v>12.15</v>
      </c>
      <c r="I784" s="2"/>
    </row>
    <row r="785" spans="1:15" ht="15.75" x14ac:dyDescent="0.25">
      <c r="B785" s="34" t="s">
        <v>1701</v>
      </c>
      <c r="C785" s="2"/>
      <c r="D785" s="3" t="str">
        <f>$D$1</f>
        <v>ESPOL</v>
      </c>
      <c r="E785" s="2"/>
      <c r="F785" s="2"/>
      <c r="H785" s="2" t="s">
        <v>108</v>
      </c>
      <c r="I785" s="2"/>
      <c r="L785" s="40">
        <f>A789</f>
        <v>2</v>
      </c>
      <c r="M785" s="1" t="str">
        <f>C790</f>
        <v>Tuberia de cobre 1/4</v>
      </c>
      <c r="N785" s="2" t="str">
        <f>H789</f>
        <v>metros</v>
      </c>
      <c r="O785" s="2">
        <f>H840</f>
        <v>3.91</v>
      </c>
    </row>
    <row r="786" spans="1:15" ht="15.75" x14ac:dyDescent="0.25">
      <c r="B786" s="34" t="s">
        <v>1700</v>
      </c>
      <c r="C786" s="3">
        <f>'1.1'!$C$2</f>
        <v>0</v>
      </c>
      <c r="D786" s="2"/>
      <c r="E786" s="2"/>
      <c r="F786" s="2"/>
      <c r="G786" s="41" t="s">
        <v>1699</v>
      </c>
      <c r="H786" s="42"/>
      <c r="I786" s="2" t="s">
        <v>1698</v>
      </c>
    </row>
    <row r="787" spans="1:15" ht="15.75" x14ac:dyDescent="0.25">
      <c r="B787" s="34"/>
      <c r="C787" s="3">
        <f>'1.1'!$C$3</f>
        <v>0</v>
      </c>
      <c r="D787" s="2"/>
      <c r="E787" s="2"/>
      <c r="F787" s="2"/>
      <c r="G787" s="2"/>
      <c r="H787" s="2"/>
      <c r="I787" s="2"/>
    </row>
    <row r="788" spans="1:15" ht="15.75" x14ac:dyDescent="0.25">
      <c r="B788" s="34" t="s">
        <v>1697</v>
      </c>
      <c r="C788" s="3"/>
      <c r="D788" s="2"/>
      <c r="E788" s="2"/>
      <c r="F788" s="2"/>
      <c r="G788" s="2"/>
      <c r="H788" s="2"/>
      <c r="I788" s="2"/>
    </row>
    <row r="789" spans="1:15" x14ac:dyDescent="0.25">
      <c r="A789" s="104">
        <v>2</v>
      </c>
      <c r="B789" s="2" t="s">
        <v>1586</v>
      </c>
      <c r="C789" s="101" t="s">
        <v>1334</v>
      </c>
      <c r="D789" s="2"/>
      <c r="G789" s="2" t="s">
        <v>1696</v>
      </c>
      <c r="H789" s="3" t="s">
        <v>145</v>
      </c>
      <c r="I789" s="2"/>
    </row>
    <row r="790" spans="1:15" x14ac:dyDescent="0.25">
      <c r="B790" s="1" t="s">
        <v>1585</v>
      </c>
      <c r="C790" s="36" t="s">
        <v>147</v>
      </c>
      <c r="D790" s="2"/>
      <c r="E790" s="2"/>
      <c r="F790" s="2"/>
      <c r="G790" s="2"/>
      <c r="H790" s="2"/>
      <c r="I790" s="2"/>
    </row>
    <row r="791" spans="1:15" ht="15.75" thickBot="1" x14ac:dyDescent="0.3">
      <c r="D791" s="2"/>
      <c r="E791" s="2"/>
      <c r="F791" s="2"/>
      <c r="G791" s="2"/>
      <c r="H791" s="2"/>
      <c r="I791" s="2"/>
    </row>
    <row r="792" spans="1:15" ht="15.75" thickBot="1" x14ac:dyDescent="0.3">
      <c r="B792" s="43" t="s">
        <v>1695</v>
      </c>
      <c r="C792" s="44"/>
      <c r="D792" s="44"/>
      <c r="E792" s="44"/>
      <c r="F792" s="44"/>
      <c r="G792" s="44"/>
      <c r="H792" s="45"/>
      <c r="I792" s="2"/>
    </row>
    <row r="793" spans="1:15" ht="25.5" x14ac:dyDescent="0.25">
      <c r="B793" s="46" t="s">
        <v>1409</v>
      </c>
      <c r="C793" s="47"/>
      <c r="D793" s="48" t="s">
        <v>1690</v>
      </c>
      <c r="E793" s="48" t="s">
        <v>1694</v>
      </c>
      <c r="F793" s="48" t="s">
        <v>1693</v>
      </c>
      <c r="G793" s="49" t="s">
        <v>1687</v>
      </c>
      <c r="H793" s="50" t="s">
        <v>1686</v>
      </c>
      <c r="I793" s="2"/>
    </row>
    <row r="794" spans="1:15" x14ac:dyDescent="0.25">
      <c r="B794" s="51" t="str">
        <f>IF($A794=0,"",VLOOKUP($A794,'BASE EQUIPO'!$A:$D,2))</f>
        <v/>
      </c>
      <c r="C794" s="52"/>
      <c r="D794" s="53"/>
      <c r="E794" s="53" t="str">
        <f>IF($A794=0,"",VLOOKUP($A794,'BASE EQUIPO'!$A:$D,4)*H810)</f>
        <v/>
      </c>
      <c r="F794" s="53" t="str">
        <f t="shared" ref="F794:F799" si="70">IF($A794=0,"",ROUND(D794*E794,2))</f>
        <v/>
      </c>
      <c r="G794" s="105"/>
      <c r="H794" s="54" t="str">
        <f t="shared" ref="H794:H799" si="71">IF($A794=0,"",ROUND(G794*F794,2))</f>
        <v/>
      </c>
      <c r="I794" s="2"/>
    </row>
    <row r="795" spans="1:15" x14ac:dyDescent="0.25">
      <c r="B795" s="38" t="str">
        <f>IF($A795=0,"",VLOOKUP($A795,'BASE EQUIPO'!$A:$D,2))</f>
        <v/>
      </c>
      <c r="C795" s="2"/>
      <c r="D795" s="55"/>
      <c r="E795" s="55" t="str">
        <f>IF($A795=0,"",VLOOKUP($A795,'BASE EQUIPO'!$A:$D,4))</f>
        <v/>
      </c>
      <c r="F795" s="55" t="str">
        <f t="shared" si="70"/>
        <v/>
      </c>
      <c r="G795" s="106"/>
      <c r="H795" s="56" t="str">
        <f t="shared" si="71"/>
        <v/>
      </c>
      <c r="I795" s="2"/>
    </row>
    <row r="796" spans="1:15" x14ac:dyDescent="0.25">
      <c r="B796" s="38" t="str">
        <f>IF($A796=0,"",VLOOKUP($A796,'BASE EQUIPO'!$A:$D,2))</f>
        <v/>
      </c>
      <c r="C796" s="2"/>
      <c r="D796" s="55"/>
      <c r="E796" s="55" t="str">
        <f>IF($A796=0,"",VLOOKUP($A796,'BASE EQUIPO'!$A:$D,4))</f>
        <v/>
      </c>
      <c r="F796" s="55" t="str">
        <f t="shared" si="70"/>
        <v/>
      </c>
      <c r="G796" s="106"/>
      <c r="H796" s="56" t="str">
        <f t="shared" si="71"/>
        <v/>
      </c>
      <c r="I796" s="2"/>
    </row>
    <row r="797" spans="1:15" x14ac:dyDescent="0.25">
      <c r="B797" s="38" t="str">
        <f>IF($A797=0,"",VLOOKUP($A797,'BASE EQUIPO'!$A:$D,2))</f>
        <v/>
      </c>
      <c r="C797" s="2"/>
      <c r="D797" s="55"/>
      <c r="E797" s="55" t="str">
        <f>IF($A797=0,"",VLOOKUP($A797,'BASE EQUIPO'!$A:$D,4))</f>
        <v/>
      </c>
      <c r="F797" s="55" t="str">
        <f t="shared" si="70"/>
        <v/>
      </c>
      <c r="G797" s="106"/>
      <c r="H797" s="56" t="str">
        <f t="shared" si="71"/>
        <v/>
      </c>
      <c r="I797" s="2"/>
    </row>
    <row r="798" spans="1:15" x14ac:dyDescent="0.25">
      <c r="B798" s="38" t="str">
        <f>IF($A798=0,"",VLOOKUP($A798,'BASE EQUIPO'!$A:$D,2))</f>
        <v/>
      </c>
      <c r="C798" s="2"/>
      <c r="D798" s="55"/>
      <c r="E798" s="55" t="str">
        <f>IF($A798=0,"",VLOOKUP($A798,'BASE EQUIPO'!$A:$D,4))</f>
        <v/>
      </c>
      <c r="F798" s="55" t="str">
        <f t="shared" si="70"/>
        <v/>
      </c>
      <c r="G798" s="106"/>
      <c r="H798" s="56" t="str">
        <f t="shared" si="71"/>
        <v/>
      </c>
      <c r="I798" s="2"/>
    </row>
    <row r="799" spans="1:15" x14ac:dyDescent="0.25">
      <c r="B799" s="57" t="str">
        <f>IF($A799=0,"",VLOOKUP($A799,'BASE EQUIPO'!$A:$D,2))</f>
        <v/>
      </c>
      <c r="C799" s="58"/>
      <c r="D799" s="59"/>
      <c r="E799" s="59" t="str">
        <f>IF($A799=0,"",VLOOKUP($A799,'BASE EQUIPO'!$A:$D,4))</f>
        <v/>
      </c>
      <c r="F799" s="59" t="str">
        <f t="shared" si="70"/>
        <v/>
      </c>
      <c r="G799" s="107"/>
      <c r="H799" s="60" t="str">
        <f t="shared" si="71"/>
        <v/>
      </c>
      <c r="I799" s="2"/>
    </row>
    <row r="800" spans="1:15" x14ac:dyDescent="0.25">
      <c r="B800" s="57" t="s">
        <v>1692</v>
      </c>
      <c r="C800" s="58"/>
      <c r="D800" s="61"/>
      <c r="E800" s="61"/>
      <c r="F800" s="61"/>
      <c r="G800" s="62"/>
      <c r="H800" s="60">
        <f>ROUND(SUM(H793:H799),2)</f>
        <v>0</v>
      </c>
      <c r="I800" s="2"/>
    </row>
    <row r="801" spans="1:16" x14ac:dyDescent="0.25">
      <c r="B801" s="38" t="s">
        <v>1503</v>
      </c>
      <c r="C801" s="2"/>
      <c r="D801" s="3"/>
      <c r="E801" s="3"/>
      <c r="F801" s="3"/>
      <c r="G801" s="63"/>
      <c r="H801" s="56"/>
      <c r="I801" s="2"/>
    </row>
    <row r="802" spans="1:16" ht="25.5" x14ac:dyDescent="0.25">
      <c r="B802" s="64" t="s">
        <v>1691</v>
      </c>
      <c r="C802" s="65"/>
      <c r="D802" s="66" t="s">
        <v>1690</v>
      </c>
      <c r="E802" s="66" t="s">
        <v>1689</v>
      </c>
      <c r="F802" s="66" t="s">
        <v>1688</v>
      </c>
      <c r="G802" s="67" t="s">
        <v>1687</v>
      </c>
      <c r="H802" s="68" t="s">
        <v>1686</v>
      </c>
      <c r="I802" s="2"/>
    </row>
    <row r="803" spans="1:16" x14ac:dyDescent="0.25">
      <c r="B803" s="69" t="str">
        <f>IF($A803=0,"",VLOOKUP($A803,'BASE M-OBRA'!$A:$D,2))</f>
        <v/>
      </c>
      <c r="C803" s="2"/>
      <c r="D803" s="108"/>
      <c r="E803" s="70" t="str">
        <f>IF($A803=0,"",VLOOKUP($A803,'BASE M-OBRA'!$A:$D,4))</f>
        <v/>
      </c>
      <c r="F803" s="55" t="str">
        <f t="shared" ref="F803:F809" si="72">IF($A803=0,"",ROUND(D803*E803,2))</f>
        <v/>
      </c>
      <c r="G803" s="106" t="str">
        <f>IF($A803=0,"",ROUND(H803/F803,2))</f>
        <v/>
      </c>
      <c r="H803" s="56" t="str">
        <f>IF($A803=0,"",ROUND(SUM(H804:H809)*'BASE M-OBRA'!$D$23,2))</f>
        <v/>
      </c>
      <c r="I803" s="2"/>
    </row>
    <row r="804" spans="1:16" x14ac:dyDescent="0.25">
      <c r="B804" s="69" t="str">
        <f>IF($A804=0,"",VLOOKUP($A804,'BASE M-OBRA'!$A:$D,2))</f>
        <v/>
      </c>
      <c r="C804" s="2"/>
      <c r="D804" s="108"/>
      <c r="E804" s="70" t="str">
        <f>IF($A804=0,"",VLOOKUP($A804,'BASE M-OBRA'!$A:$D,4))</f>
        <v/>
      </c>
      <c r="F804" s="55" t="str">
        <f t="shared" si="72"/>
        <v/>
      </c>
      <c r="G804" s="106"/>
      <c r="H804" s="56" t="str">
        <f t="shared" ref="H804:H809" si="73">IF($A804=0,"",ROUND(G804*F804,2))</f>
        <v/>
      </c>
      <c r="I804" s="2"/>
    </row>
    <row r="805" spans="1:16" x14ac:dyDescent="0.25">
      <c r="B805" s="69" t="str">
        <f>IF($A805=0,"",VLOOKUP($A805,'BASE M-OBRA'!$A:$D,2))</f>
        <v/>
      </c>
      <c r="C805" s="2"/>
      <c r="D805" s="108"/>
      <c r="E805" s="70" t="str">
        <f>IF($A805=0,"",VLOOKUP($A805,'BASE M-OBRA'!$A:$D,4))</f>
        <v/>
      </c>
      <c r="F805" s="55" t="str">
        <f t="shared" si="72"/>
        <v/>
      </c>
      <c r="G805" s="106"/>
      <c r="H805" s="56" t="str">
        <f t="shared" si="73"/>
        <v/>
      </c>
      <c r="I805" s="2"/>
    </row>
    <row r="806" spans="1:16" x14ac:dyDescent="0.25">
      <c r="B806" s="71" t="str">
        <f>IF($A806=0,"",VLOOKUP($A806,'BASE M-OBRA'!$A:$D,2))</f>
        <v/>
      </c>
      <c r="C806" s="2"/>
      <c r="D806" s="108"/>
      <c r="E806" s="70" t="str">
        <f>IF($A806=0,"",VLOOKUP($A806,'BASE M-OBRA'!$A:$D,4))</f>
        <v/>
      </c>
      <c r="F806" s="55" t="str">
        <f t="shared" si="72"/>
        <v/>
      </c>
      <c r="G806" s="106"/>
      <c r="H806" s="56" t="str">
        <f t="shared" si="73"/>
        <v/>
      </c>
      <c r="I806" s="2"/>
    </row>
    <row r="807" spans="1:16" x14ac:dyDescent="0.25">
      <c r="B807" s="72" t="str">
        <f>IF($A807=0,"",VLOOKUP($A807,'BASE M-OBRA'!$A:$D,2))</f>
        <v/>
      </c>
      <c r="C807" s="2"/>
      <c r="D807" s="108"/>
      <c r="E807" s="70" t="str">
        <f>IF($A807=0,"",VLOOKUP($A807,'BASE M-OBRA'!$A:$D,4))</f>
        <v/>
      </c>
      <c r="F807" s="55" t="str">
        <f t="shared" si="72"/>
        <v/>
      </c>
      <c r="G807" s="106"/>
      <c r="H807" s="56" t="str">
        <f t="shared" si="73"/>
        <v/>
      </c>
      <c r="I807" s="2"/>
    </row>
    <row r="808" spans="1:16" x14ac:dyDescent="0.25">
      <c r="B808" s="38" t="str">
        <f>IF($A808=0,"",VLOOKUP($A808,'BASE M-OBRA'!$A:$D,2))</f>
        <v/>
      </c>
      <c r="C808" s="2"/>
      <c r="D808" s="55"/>
      <c r="E808" s="55" t="str">
        <f>IF($A808=0,"",VLOOKUP($A808,'BASE M-OBRA'!$A:$D,4))</f>
        <v/>
      </c>
      <c r="F808" s="55" t="str">
        <f t="shared" si="72"/>
        <v/>
      </c>
      <c r="G808" s="106"/>
      <c r="H808" s="56" t="str">
        <f t="shared" si="73"/>
        <v/>
      </c>
      <c r="I808" s="2"/>
    </row>
    <row r="809" spans="1:16" x14ac:dyDescent="0.25">
      <c r="B809" s="57" t="str">
        <f>IF($A809=0,"",VLOOKUP($A809,'BASE M-OBRA'!$A:$D,2))</f>
        <v/>
      </c>
      <c r="C809" s="58"/>
      <c r="D809" s="59"/>
      <c r="E809" s="59" t="str">
        <f>IF($A809=0,"",VLOOKUP($A809,'BASE M-OBRA'!$A:$D,4))</f>
        <v/>
      </c>
      <c r="F809" s="59" t="str">
        <f t="shared" si="72"/>
        <v/>
      </c>
      <c r="G809" s="107"/>
      <c r="H809" s="60" t="str">
        <f t="shared" si="73"/>
        <v/>
      </c>
      <c r="I809" s="2"/>
    </row>
    <row r="810" spans="1:16" x14ac:dyDescent="0.25">
      <c r="B810" s="73" t="s">
        <v>1685</v>
      </c>
      <c r="C810" s="65"/>
      <c r="D810" s="74"/>
      <c r="E810" s="74"/>
      <c r="F810" s="74"/>
      <c r="G810" s="74"/>
      <c r="H810" s="75">
        <f>ROUND(SUM(H802:H809),2)</f>
        <v>0</v>
      </c>
      <c r="I810" s="2"/>
    </row>
    <row r="811" spans="1:16" x14ac:dyDescent="0.25">
      <c r="B811" s="38" t="s">
        <v>1684</v>
      </c>
      <c r="C811" s="2"/>
      <c r="D811" s="3"/>
      <c r="E811" s="3"/>
      <c r="F811" s="3"/>
      <c r="G811" s="3"/>
      <c r="H811" s="56"/>
      <c r="I811" s="2"/>
    </row>
    <row r="812" spans="1:16" ht="25.5" x14ac:dyDescent="0.25">
      <c r="B812" s="64" t="s">
        <v>1409</v>
      </c>
      <c r="C812" s="65"/>
      <c r="D812" s="76"/>
      <c r="E812" s="66" t="s">
        <v>1408</v>
      </c>
      <c r="F812" s="66" t="s">
        <v>1679</v>
      </c>
      <c r="G812" s="66" t="s">
        <v>1683</v>
      </c>
      <c r="H812" s="68" t="s">
        <v>1675</v>
      </c>
      <c r="I812" s="2"/>
    </row>
    <row r="813" spans="1:16" x14ac:dyDescent="0.25">
      <c r="A813" s="103">
        <v>1</v>
      </c>
      <c r="B813" s="102" t="s">
        <v>1508</v>
      </c>
      <c r="C813" s="2"/>
      <c r="D813" s="77"/>
      <c r="E813" s="78" t="s">
        <v>145</v>
      </c>
      <c r="F813" s="55">
        <v>1</v>
      </c>
      <c r="G813" s="55">
        <v>3.8</v>
      </c>
      <c r="H813" s="56">
        <f t="shared" ref="H813:H827" si="74">IF($A813=0,"",ROUND(F813*G813,2))</f>
        <v>3.8</v>
      </c>
      <c r="I813" s="2"/>
      <c r="J813" s="1">
        <v>2.95</v>
      </c>
      <c r="L813" s="2"/>
      <c r="M813" s="2"/>
      <c r="N813" s="39"/>
      <c r="O813" s="2"/>
      <c r="P813" s="2"/>
    </row>
    <row r="814" spans="1:16" x14ac:dyDescent="0.25">
      <c r="B814" s="102"/>
      <c r="C814" s="2"/>
      <c r="D814" s="77"/>
      <c r="E814" s="78" t="str">
        <f>IF($A814=0,"",VLOOKUP($A814,'BASE MATERIAL'!$A:$D,3))</f>
        <v/>
      </c>
      <c r="F814" s="55"/>
      <c r="G814" s="55" t="str">
        <f>IF($A814=0,"",VLOOKUP($A814,'BASE MATERIAL'!$A:$D,4))</f>
        <v/>
      </c>
      <c r="H814" s="56" t="str">
        <f t="shared" si="74"/>
        <v/>
      </c>
      <c r="I814" s="2"/>
      <c r="L814" s="2"/>
      <c r="M814" s="2"/>
      <c r="N814" s="39"/>
      <c r="O814" s="2"/>
      <c r="P814" s="2"/>
    </row>
    <row r="815" spans="1:16" x14ac:dyDescent="0.25">
      <c r="B815" s="38" t="str">
        <f>IF($A815=0,"",VLOOKUP($A815,'BASE MATERIAL'!$A:$D,2))</f>
        <v/>
      </c>
      <c r="C815" s="2"/>
      <c r="D815" s="77"/>
      <c r="E815" s="78" t="str">
        <f>IF($A815=0,"",VLOOKUP($A815,'BASE MATERIAL'!$A:$D,3))</f>
        <v/>
      </c>
      <c r="F815" s="55"/>
      <c r="G815" s="55" t="str">
        <f>IF($A815=0,"",VLOOKUP($A815,'BASE MATERIAL'!$A:$D,4))</f>
        <v/>
      </c>
      <c r="H815" s="56" t="str">
        <f t="shared" si="74"/>
        <v/>
      </c>
      <c r="I815" s="2"/>
      <c r="L815" s="2"/>
      <c r="M815" s="2"/>
      <c r="N815" s="39"/>
      <c r="O815" s="2"/>
      <c r="P815" s="2"/>
    </row>
    <row r="816" spans="1:16" x14ac:dyDescent="0.25">
      <c r="B816" s="38" t="str">
        <f>IF($A816=0,"",VLOOKUP($A816,'BASE MATERIAL'!$A:$D,2))</f>
        <v/>
      </c>
      <c r="C816" s="2"/>
      <c r="D816" s="77"/>
      <c r="E816" s="78" t="str">
        <f>IF($A816=0,"",VLOOKUP($A816,'BASE MATERIAL'!$A:$D,3))</f>
        <v/>
      </c>
      <c r="F816" s="55"/>
      <c r="G816" s="55" t="str">
        <f>IF($A816=0,"",VLOOKUP($A816,'BASE MATERIAL'!$A:$D,4))</f>
        <v/>
      </c>
      <c r="H816" s="56" t="str">
        <f t="shared" si="74"/>
        <v/>
      </c>
      <c r="I816" s="2"/>
      <c r="L816" s="2"/>
      <c r="M816" s="2"/>
      <c r="N816" s="39"/>
      <c r="O816" s="2"/>
      <c r="P816" s="2"/>
    </row>
    <row r="817" spans="1:16" x14ac:dyDescent="0.25">
      <c r="B817" s="38" t="str">
        <f>IF($A817=0,"",VLOOKUP($A817,'BASE MATERIAL'!$A:$D,2))</f>
        <v/>
      </c>
      <c r="C817" s="2"/>
      <c r="D817" s="77"/>
      <c r="E817" s="78" t="str">
        <f>IF($A817=0,"",VLOOKUP($A817,'BASE MATERIAL'!$A:$D,3))</f>
        <v/>
      </c>
      <c r="F817" s="55"/>
      <c r="G817" s="55" t="str">
        <f>IF($A817=0,"",VLOOKUP($A817,'BASE MATERIAL'!$A:$D,4))</f>
        <v/>
      </c>
      <c r="H817" s="56" t="str">
        <f t="shared" si="74"/>
        <v/>
      </c>
      <c r="I817" s="2"/>
      <c r="L817" s="2"/>
      <c r="M817" s="2"/>
      <c r="N817" s="39"/>
      <c r="O817" s="2"/>
      <c r="P817" s="2"/>
    </row>
    <row r="818" spans="1:16" x14ac:dyDescent="0.25">
      <c r="B818" s="38" t="str">
        <f>IF($A818=0,"",VLOOKUP($A818,'BASE MATERIAL'!$A:$D,2))</f>
        <v/>
      </c>
      <c r="C818" s="2"/>
      <c r="D818" s="77"/>
      <c r="E818" s="78" t="str">
        <f>IF($A818=0,"",VLOOKUP($A818,'BASE MATERIAL'!$A:$D,3))</f>
        <v/>
      </c>
      <c r="F818" s="55"/>
      <c r="G818" s="55" t="str">
        <f>IF($A818=0,"",VLOOKUP($A818,'BASE MATERIAL'!$A:$D,4))</f>
        <v/>
      </c>
      <c r="H818" s="56" t="str">
        <f t="shared" si="74"/>
        <v/>
      </c>
      <c r="I818" s="2"/>
      <c r="L818" s="2"/>
      <c r="M818" s="2"/>
      <c r="N818" s="39"/>
      <c r="O818" s="2"/>
      <c r="P818" s="2"/>
    </row>
    <row r="819" spans="1:16" x14ac:dyDescent="0.25">
      <c r="B819" s="38" t="str">
        <f>IF($A819=0,"",VLOOKUP($A819,'BASE MATERIAL'!$A:$D,2))</f>
        <v/>
      </c>
      <c r="C819" s="2"/>
      <c r="D819" s="77"/>
      <c r="E819" s="78" t="str">
        <f>IF($A819=0,"",VLOOKUP($A819,'BASE MATERIAL'!$A:$D,3))</f>
        <v/>
      </c>
      <c r="F819" s="55"/>
      <c r="G819" s="55" t="str">
        <f>IF($A819=0,"",VLOOKUP($A819,'BASE MATERIAL'!$A:$D,4))</f>
        <v/>
      </c>
      <c r="H819" s="56" t="str">
        <f t="shared" si="74"/>
        <v/>
      </c>
      <c r="I819" s="2"/>
      <c r="L819" s="2"/>
      <c r="M819" s="2"/>
      <c r="N819" s="39"/>
      <c r="O819" s="2"/>
      <c r="P819" s="2"/>
    </row>
    <row r="820" spans="1:16" x14ac:dyDescent="0.25">
      <c r="B820" s="38" t="str">
        <f>IF($A820=0,"",VLOOKUP($A820,'BASE MATERIAL'!$A:$D,2))</f>
        <v/>
      </c>
      <c r="C820" s="2"/>
      <c r="D820" s="77"/>
      <c r="E820" s="78" t="str">
        <f>IF($A820=0,"",VLOOKUP($A820,'BASE MATERIAL'!$A:$D,3))</f>
        <v/>
      </c>
      <c r="F820" s="55"/>
      <c r="G820" s="55" t="str">
        <f>IF($A820=0,"",VLOOKUP($A820,'BASE MATERIAL'!$A:$D,4))</f>
        <v/>
      </c>
      <c r="H820" s="56" t="str">
        <f t="shared" si="74"/>
        <v/>
      </c>
      <c r="I820" s="2"/>
      <c r="L820" s="2"/>
      <c r="M820" s="2"/>
      <c r="N820" s="39"/>
      <c r="O820" s="2"/>
      <c r="P820" s="2"/>
    </row>
    <row r="821" spans="1:16" x14ac:dyDescent="0.25">
      <c r="B821" s="38" t="str">
        <f>IF($A821=0,"",VLOOKUP($A821,'BASE MATERIAL'!$A:$D,2))</f>
        <v/>
      </c>
      <c r="C821" s="2"/>
      <c r="D821" s="77"/>
      <c r="E821" s="78" t="str">
        <f>IF($A821=0,"",VLOOKUP($A821,'BASE MATERIAL'!$A:$D,3))</f>
        <v/>
      </c>
      <c r="F821" s="55"/>
      <c r="G821" s="55" t="str">
        <f>IF($A821=0,"",VLOOKUP($A821,'BASE MATERIAL'!$A:$D,4))</f>
        <v/>
      </c>
      <c r="H821" s="56" t="str">
        <f t="shared" si="74"/>
        <v/>
      </c>
      <c r="I821" s="2"/>
    </row>
    <row r="822" spans="1:16" x14ac:dyDescent="0.25">
      <c r="B822" s="38" t="str">
        <f>IF($A822=0,"",VLOOKUP($A822,'BASE MATERIAL'!$A:$D,2))</f>
        <v/>
      </c>
      <c r="C822" s="2"/>
      <c r="D822" s="77"/>
      <c r="E822" s="78" t="str">
        <f>IF($A822=0,"",VLOOKUP($A822,'BASE MATERIAL'!$A:$D,3))</f>
        <v/>
      </c>
      <c r="F822" s="55"/>
      <c r="G822" s="55" t="str">
        <f>IF($A822=0,"",VLOOKUP($A822,'BASE MATERIAL'!$A:$D,4))</f>
        <v/>
      </c>
      <c r="H822" s="56" t="str">
        <f t="shared" si="74"/>
        <v/>
      </c>
      <c r="I822" s="2"/>
      <c r="L822" s="2"/>
      <c r="M822" s="2"/>
      <c r="N822" s="39"/>
      <c r="O822" s="2"/>
      <c r="P822" s="2"/>
    </row>
    <row r="823" spans="1:16" x14ac:dyDescent="0.25">
      <c r="B823" s="38" t="str">
        <f>IF($A823=0,"",VLOOKUP($A823,'BASE MATERIAL'!$A:$D,2))</f>
        <v/>
      </c>
      <c r="C823" s="2"/>
      <c r="D823" s="77"/>
      <c r="E823" s="78" t="str">
        <f>IF($A823=0,"",VLOOKUP($A823,'BASE MATERIAL'!$A:$D,3))</f>
        <v/>
      </c>
      <c r="F823" s="55"/>
      <c r="G823" s="55" t="str">
        <f>IF($A823=0,"",VLOOKUP($A823,'BASE MATERIAL'!$A:$D,4))</f>
        <v/>
      </c>
      <c r="H823" s="56" t="str">
        <f t="shared" si="74"/>
        <v/>
      </c>
      <c r="I823" s="2"/>
      <c r="L823" s="2"/>
      <c r="M823" s="2"/>
      <c r="N823" s="39"/>
      <c r="O823" s="2"/>
      <c r="P823" s="2"/>
    </row>
    <row r="824" spans="1:16" x14ac:dyDescent="0.25">
      <c r="B824" s="38" t="str">
        <f>IF($A824=0,"",VLOOKUP($A824,'BASE MATERIAL'!$A:$D,2))</f>
        <v/>
      </c>
      <c r="C824" s="2"/>
      <c r="D824" s="77"/>
      <c r="E824" s="78" t="str">
        <f>IF($A824=0,"",VLOOKUP($A824,'BASE MATERIAL'!$A:$D,3))</f>
        <v/>
      </c>
      <c r="F824" s="55"/>
      <c r="G824" s="55" t="str">
        <f>IF($A824=0,"",VLOOKUP($A824,'BASE MATERIAL'!$A:$D,4))</f>
        <v/>
      </c>
      <c r="H824" s="56" t="str">
        <f t="shared" si="74"/>
        <v/>
      </c>
      <c r="I824" s="2"/>
    </row>
    <row r="825" spans="1:16" x14ac:dyDescent="0.25">
      <c r="B825" s="38" t="str">
        <f>IF($A825=0,"",VLOOKUP($A825,'BASE MATERIAL'!$A:$D,2))</f>
        <v/>
      </c>
      <c r="C825" s="2"/>
      <c r="D825" s="77"/>
      <c r="E825" s="78" t="str">
        <f>IF($A825=0,"",VLOOKUP($A825,'BASE MATERIAL'!$A:$D,3))</f>
        <v/>
      </c>
      <c r="F825" s="55"/>
      <c r="G825" s="55" t="str">
        <f>IF($A825=0,"",VLOOKUP($A825,'BASE MATERIAL'!$A:$D,4))</f>
        <v/>
      </c>
      <c r="H825" s="56" t="str">
        <f t="shared" si="74"/>
        <v/>
      </c>
      <c r="I825" s="2"/>
    </row>
    <row r="826" spans="1:16" x14ac:dyDescent="0.25">
      <c r="B826" s="38" t="str">
        <f>IF($A826=0,"",VLOOKUP($A826,'BASE MATERIAL'!$A:$D,2))</f>
        <v/>
      </c>
      <c r="C826" s="2"/>
      <c r="D826" s="77"/>
      <c r="E826" s="78" t="str">
        <f>IF($A826=0,"",VLOOKUP($A826,'BASE MATERIAL'!$A:$D,3))</f>
        <v/>
      </c>
      <c r="F826" s="55"/>
      <c r="G826" s="55" t="str">
        <f>IF($A826=0,"",VLOOKUP($A826,'BASE MATERIAL'!$A:$D,4))</f>
        <v/>
      </c>
      <c r="H826" s="56" t="str">
        <f t="shared" si="74"/>
        <v/>
      </c>
      <c r="I826" s="2"/>
    </row>
    <row r="827" spans="1:16" x14ac:dyDescent="0.25">
      <c r="B827" s="38" t="str">
        <f>IF($A827=0,"",VLOOKUP($A827,'BASE MATERIAL'!$A:$D,2))</f>
        <v/>
      </c>
      <c r="C827" s="2"/>
      <c r="D827" s="77"/>
      <c r="E827" s="78" t="str">
        <f>IF($A827=0,"",VLOOKUP($A827,'BASE MATERIAL'!$A:$D,3))</f>
        <v/>
      </c>
      <c r="F827" s="55"/>
      <c r="G827" s="55" t="str">
        <f>IF($A827=0,"",VLOOKUP($A827,'BASE MATERIAL'!$A:$D,4))</f>
        <v/>
      </c>
      <c r="H827" s="56" t="str">
        <f t="shared" si="74"/>
        <v/>
      </c>
      <c r="I827" s="2"/>
    </row>
    <row r="828" spans="1:16" x14ac:dyDescent="0.25">
      <c r="B828" s="38" t="str">
        <f>IF($A828=0,"",VLOOKUP($A828,'BASE MATERIAL'!$A:$D,2))</f>
        <v/>
      </c>
      <c r="C828" s="2"/>
      <c r="D828" s="81" t="s">
        <v>1682</v>
      </c>
      <c r="E828" s="55" t="str">
        <f>IF($A828=0,"",VLOOKUP($A828,'BASE MATERIAL'!$A:$D,3))</f>
        <v/>
      </c>
      <c r="F828" s="55" t="s">
        <v>1682</v>
      </c>
      <c r="G828" s="55" t="str">
        <f>IF($A828=0,"",VLOOKUP($A828,'BASE MATERIAL'!$A:$D,4))</f>
        <v/>
      </c>
      <c r="H828" s="56" t="str">
        <f>IF($A828=0,"",ROUND(E828*F828,2))</f>
        <v/>
      </c>
      <c r="I828" s="2"/>
    </row>
    <row r="829" spans="1:16" x14ac:dyDescent="0.25">
      <c r="B829" s="73" t="s">
        <v>1681</v>
      </c>
      <c r="C829" s="65"/>
      <c r="D829" s="74"/>
      <c r="E829" s="74"/>
      <c r="F829" s="74"/>
      <c r="G829" s="74"/>
      <c r="H829" s="75">
        <f>ROUND(SUM(H812:H828),2)</f>
        <v>3.8</v>
      </c>
      <c r="I829" s="2"/>
    </row>
    <row r="830" spans="1:16" x14ac:dyDescent="0.25">
      <c r="B830" s="38" t="s">
        <v>1680</v>
      </c>
      <c r="C830" s="2"/>
      <c r="D830" s="3"/>
      <c r="E830" s="3"/>
      <c r="F830" s="3"/>
      <c r="G830" s="3"/>
      <c r="H830" s="56"/>
      <c r="I830" s="2"/>
    </row>
    <row r="831" spans="1:16" ht="25.5" x14ac:dyDescent="0.25">
      <c r="B831" s="64" t="s">
        <v>1409</v>
      </c>
      <c r="C831" s="65"/>
      <c r="D831" s="76"/>
      <c r="E831" s="66" t="s">
        <v>1408</v>
      </c>
      <c r="F831" s="66" t="s">
        <v>1679</v>
      </c>
      <c r="G831" s="66" t="s">
        <v>1676</v>
      </c>
      <c r="H831" s="68" t="s">
        <v>1675</v>
      </c>
      <c r="I831" s="2"/>
    </row>
    <row r="832" spans="1:16" x14ac:dyDescent="0.25">
      <c r="A832" s="103">
        <v>19019</v>
      </c>
      <c r="B832" s="51" t="str">
        <f>IF($A832=0,"",VLOOKUP($A832,'BASE EQUIPO'!$A:$D,2))</f>
        <v>TRANSPORTE DE MATERIAL</v>
      </c>
      <c r="C832" s="52"/>
      <c r="D832" s="82"/>
      <c r="E832" s="78" t="str">
        <f>IF($A832=0,"",VLOOKUP($A832,'BASE EQUIPO'!$A:$D,3))</f>
        <v>GLOBAL</v>
      </c>
      <c r="F832" s="55">
        <v>1</v>
      </c>
      <c r="G832" s="83">
        <f>IF($A832=0,"",VLOOKUP($A832,'BASE EQUIPO'!$A:$D,4)*H829)</f>
        <v>0.11399999999999999</v>
      </c>
      <c r="H832" s="56">
        <f>IF($A832=0,"",ROUND(F832*G832,2))</f>
        <v>0.11</v>
      </c>
      <c r="I832" s="2"/>
    </row>
    <row r="833" spans="1:15" x14ac:dyDescent="0.25">
      <c r="B833" s="38" t="str">
        <f>IF($A833=0,"",VLOOKUP($A833,'BASE EQUIPO'!$A:$D,2))</f>
        <v/>
      </c>
      <c r="C833" s="2"/>
      <c r="D833" s="84"/>
      <c r="E833" s="78" t="str">
        <f>IF($A833=0,"",VLOOKUP($A833,'BASE EQUIPO'!$A:$D,3))</f>
        <v/>
      </c>
      <c r="F833" s="55"/>
      <c r="G833" s="55" t="str">
        <f>IF($A833=0,"",VLOOKUP($A833,'BASE EQUIPO'!$A:$D,4)*H830)</f>
        <v/>
      </c>
      <c r="H833" s="56" t="str">
        <f>IF($A833=0,"",ROUND(F833*G833,2))</f>
        <v/>
      </c>
      <c r="I833" s="2"/>
    </row>
    <row r="834" spans="1:15" x14ac:dyDescent="0.25">
      <c r="B834" s="57" t="str">
        <f>IF($A834=0,"",VLOOKUP($A834,'BASE EQUIPO'!$A:$D,2))</f>
        <v/>
      </c>
      <c r="C834" s="58"/>
      <c r="D834" s="85"/>
      <c r="E834" s="86" t="str">
        <f>IF($A834=0,"",VLOOKUP($A834,'BASE EQUIPO'!$A:$D,3))</f>
        <v/>
      </c>
      <c r="F834" s="59"/>
      <c r="G834" s="59" t="str">
        <f>IF($A834=0,"",VLOOKUP($A834,'BASE EQUIPO'!$A:$D,4)*H831)</f>
        <v/>
      </c>
      <c r="H834" s="60" t="str">
        <f>IF($A834=0,"",ROUND(F834*G834,2))</f>
        <v/>
      </c>
      <c r="I834" s="2"/>
    </row>
    <row r="835" spans="1:15" ht="15.75" thickBot="1" x14ac:dyDescent="0.3">
      <c r="B835" s="87" t="s">
        <v>1674</v>
      </c>
      <c r="C835" s="88"/>
      <c r="D835" s="89"/>
      <c r="E835" s="89"/>
      <c r="F835" s="89"/>
      <c r="G835" s="89"/>
      <c r="H835" s="90">
        <f>ROUND(SUM(H831:H834),2)</f>
        <v>0.11</v>
      </c>
      <c r="I835" s="2"/>
    </row>
    <row r="836" spans="1:15" ht="15.75" x14ac:dyDescent="0.25">
      <c r="B836" s="2"/>
      <c r="C836" s="2"/>
      <c r="D836" s="91" t="s">
        <v>1673</v>
      </c>
      <c r="E836" s="47"/>
      <c r="F836" s="47"/>
      <c r="G836" s="47"/>
      <c r="H836" s="92">
        <f>ROUND(SUM(H835,H829,H810,H800),2)</f>
        <v>3.91</v>
      </c>
      <c r="I836" s="2"/>
    </row>
    <row r="837" spans="1:15" ht="15.75" x14ac:dyDescent="0.25">
      <c r="A837" s="103">
        <v>40002</v>
      </c>
      <c r="B837" s="2"/>
      <c r="C837" s="2"/>
      <c r="D837" s="93" t="s">
        <v>1672</v>
      </c>
      <c r="E837" s="65"/>
      <c r="F837" s="65"/>
      <c r="G837" s="94">
        <f>IF($A837=0,"",VLOOKUP($A837,'BASE MATERIAL'!$M:$P,4))</f>
        <v>0</v>
      </c>
      <c r="H837" s="95">
        <f>IF($A837=0,"",ROUND(G837*H836,2))</f>
        <v>0</v>
      </c>
      <c r="I837" s="2"/>
    </row>
    <row r="838" spans="1:15" ht="15.75" x14ac:dyDescent="0.25">
      <c r="A838" s="103">
        <v>40003</v>
      </c>
      <c r="B838" s="2"/>
      <c r="C838" s="2"/>
      <c r="D838" s="93" t="s">
        <v>1671</v>
      </c>
      <c r="E838" s="65"/>
      <c r="F838" s="65"/>
      <c r="G838" s="94">
        <f>IF($A838=0,"",VLOOKUP($A838,'BASE MATERIAL'!$M:$P,4))</f>
        <v>0</v>
      </c>
      <c r="H838" s="95">
        <f>IF($A838=0,"",ROUND(G838*H836,2))</f>
        <v>0</v>
      </c>
      <c r="I838" s="2"/>
    </row>
    <row r="839" spans="1:15" ht="15.75" x14ac:dyDescent="0.25">
      <c r="B839" s="2"/>
      <c r="C839" s="2"/>
      <c r="D839" s="93" t="s">
        <v>1670</v>
      </c>
      <c r="E839" s="65"/>
      <c r="F839" s="65"/>
      <c r="G839" s="65"/>
      <c r="H839" s="96">
        <f>ROUND(SUM(H836:H838),2)</f>
        <v>3.91</v>
      </c>
      <c r="I839" s="2"/>
    </row>
    <row r="840" spans="1:15" ht="16.5" thickBot="1" x14ac:dyDescent="0.3">
      <c r="B840" s="25"/>
      <c r="C840" s="2"/>
      <c r="D840" s="97" t="s">
        <v>1650</v>
      </c>
      <c r="E840" s="88"/>
      <c r="F840" s="88"/>
      <c r="G840" s="88"/>
      <c r="H840" s="98">
        <f>ROUND(H839,2)</f>
        <v>3.91</v>
      </c>
      <c r="I840" s="2"/>
    </row>
    <row r="841" spans="1:15" ht="15.75" x14ac:dyDescent="0.25">
      <c r="B841" s="34" t="s">
        <v>1701</v>
      </c>
      <c r="C841" s="2"/>
      <c r="D841" s="3" t="str">
        <f>$D$1</f>
        <v>ESPOL</v>
      </c>
      <c r="E841" s="2"/>
      <c r="F841" s="2"/>
      <c r="H841" s="2" t="s">
        <v>108</v>
      </c>
      <c r="I841" s="2"/>
      <c r="L841" s="40">
        <f>A845</f>
        <v>2</v>
      </c>
      <c r="M841" s="1" t="str">
        <f>C846</f>
        <v>Tuberia de cobre 1/2</v>
      </c>
      <c r="N841" s="2" t="str">
        <f>H845</f>
        <v>metros</v>
      </c>
      <c r="O841" s="2">
        <f>H896</f>
        <v>9.27</v>
      </c>
    </row>
    <row r="842" spans="1:15" ht="15.75" x14ac:dyDescent="0.25">
      <c r="B842" s="34" t="s">
        <v>1700</v>
      </c>
      <c r="C842" s="3">
        <f>'1.1'!$C$2</f>
        <v>0</v>
      </c>
      <c r="D842" s="2"/>
      <c r="E842" s="2"/>
      <c r="F842" s="2"/>
      <c r="G842" s="41" t="s">
        <v>1699</v>
      </c>
      <c r="H842" s="42"/>
      <c r="I842" s="2" t="s">
        <v>1698</v>
      </c>
    </row>
    <row r="843" spans="1:15" ht="15.75" x14ac:dyDescent="0.25">
      <c r="B843" s="34"/>
      <c r="C843" s="3">
        <f>'1.1'!$C$3</f>
        <v>0</v>
      </c>
      <c r="D843" s="2"/>
      <c r="E843" s="2"/>
      <c r="F843" s="2"/>
      <c r="G843" s="2"/>
      <c r="H843" s="2"/>
      <c r="I843" s="2"/>
    </row>
    <row r="844" spans="1:15" ht="15.75" x14ac:dyDescent="0.25">
      <c r="B844" s="34" t="s">
        <v>1697</v>
      </c>
      <c r="C844" s="3"/>
      <c r="D844" s="2"/>
      <c r="E844" s="2"/>
      <c r="F844" s="2"/>
      <c r="G844" s="2"/>
      <c r="H844" s="2"/>
      <c r="I844" s="2"/>
    </row>
    <row r="845" spans="1:15" x14ac:dyDescent="0.25">
      <c r="A845" s="104">
        <v>2</v>
      </c>
      <c r="B845" s="2" t="s">
        <v>1586</v>
      </c>
      <c r="C845" s="101" t="s">
        <v>1335</v>
      </c>
      <c r="D845" s="2"/>
      <c r="G845" s="2" t="s">
        <v>1696</v>
      </c>
      <c r="H845" s="3" t="s">
        <v>145</v>
      </c>
      <c r="I845" s="2"/>
    </row>
    <row r="846" spans="1:15" x14ac:dyDescent="0.25">
      <c r="B846" s="1" t="s">
        <v>1585</v>
      </c>
      <c r="C846" s="36" t="s">
        <v>148</v>
      </c>
      <c r="D846" s="2"/>
      <c r="E846" s="2"/>
      <c r="F846" s="2"/>
      <c r="G846" s="2"/>
      <c r="H846" s="2"/>
      <c r="I846" s="2"/>
    </row>
    <row r="847" spans="1:15" ht="15.75" thickBot="1" x14ac:dyDescent="0.3">
      <c r="D847" s="2"/>
      <c r="E847" s="2"/>
      <c r="F847" s="2"/>
      <c r="G847" s="2"/>
      <c r="H847" s="2"/>
      <c r="I847" s="2"/>
    </row>
    <row r="848" spans="1:15" ht="15.75" thickBot="1" x14ac:dyDescent="0.3">
      <c r="B848" s="43" t="s">
        <v>1695</v>
      </c>
      <c r="C848" s="44"/>
      <c r="D848" s="44"/>
      <c r="E848" s="44"/>
      <c r="F848" s="44"/>
      <c r="G848" s="44"/>
      <c r="H848" s="45"/>
      <c r="I848" s="2"/>
    </row>
    <row r="849" spans="2:9" ht="25.5" x14ac:dyDescent="0.25">
      <c r="B849" s="46" t="s">
        <v>1409</v>
      </c>
      <c r="C849" s="47"/>
      <c r="D849" s="48" t="s">
        <v>1690</v>
      </c>
      <c r="E849" s="48" t="s">
        <v>1694</v>
      </c>
      <c r="F849" s="48" t="s">
        <v>1693</v>
      </c>
      <c r="G849" s="49" t="s">
        <v>1687</v>
      </c>
      <c r="H849" s="50" t="s">
        <v>1686</v>
      </c>
      <c r="I849" s="2"/>
    </row>
    <row r="850" spans="2:9" x14ac:dyDescent="0.25">
      <c r="B850" s="51" t="str">
        <f>IF($A850=0,"",VLOOKUP($A850,'BASE EQUIPO'!$A:$D,2))</f>
        <v/>
      </c>
      <c r="C850" s="52"/>
      <c r="D850" s="53"/>
      <c r="E850" s="53" t="str">
        <f>IF($A850=0,"",VLOOKUP($A850,'BASE EQUIPO'!$A:$D,4)*H866)</f>
        <v/>
      </c>
      <c r="F850" s="53" t="str">
        <f t="shared" ref="F850:F855" si="75">IF($A850=0,"",ROUND(D850*E850,2))</f>
        <v/>
      </c>
      <c r="G850" s="105"/>
      <c r="H850" s="54" t="str">
        <f t="shared" ref="H850:H855" si="76">IF($A850=0,"",ROUND(G850*F850,2))</f>
        <v/>
      </c>
      <c r="I850" s="2"/>
    </row>
    <row r="851" spans="2:9" x14ac:dyDescent="0.25">
      <c r="B851" s="38" t="str">
        <f>IF($A851=0,"",VLOOKUP($A851,'BASE EQUIPO'!$A:$D,2))</f>
        <v/>
      </c>
      <c r="C851" s="2"/>
      <c r="D851" s="55"/>
      <c r="E851" s="55" t="str">
        <f>IF($A851=0,"",VLOOKUP($A851,'BASE EQUIPO'!$A:$D,4))</f>
        <v/>
      </c>
      <c r="F851" s="55" t="str">
        <f t="shared" si="75"/>
        <v/>
      </c>
      <c r="G851" s="106"/>
      <c r="H851" s="56" t="str">
        <f t="shared" si="76"/>
        <v/>
      </c>
      <c r="I851" s="2"/>
    </row>
    <row r="852" spans="2:9" x14ac:dyDescent="0.25">
      <c r="B852" s="38" t="str">
        <f>IF($A852=0,"",VLOOKUP($A852,'BASE EQUIPO'!$A:$D,2))</f>
        <v/>
      </c>
      <c r="C852" s="2"/>
      <c r="D852" s="55"/>
      <c r="E852" s="55" t="str">
        <f>IF($A852=0,"",VLOOKUP($A852,'BASE EQUIPO'!$A:$D,4))</f>
        <v/>
      </c>
      <c r="F852" s="55" t="str">
        <f t="shared" si="75"/>
        <v/>
      </c>
      <c r="G852" s="106"/>
      <c r="H852" s="56" t="str">
        <f t="shared" si="76"/>
        <v/>
      </c>
      <c r="I852" s="2"/>
    </row>
    <row r="853" spans="2:9" x14ac:dyDescent="0.25">
      <c r="B853" s="38" t="str">
        <f>IF($A853=0,"",VLOOKUP($A853,'BASE EQUIPO'!$A:$D,2))</f>
        <v/>
      </c>
      <c r="C853" s="2"/>
      <c r="D853" s="55"/>
      <c r="E853" s="55" t="str">
        <f>IF($A853=0,"",VLOOKUP($A853,'BASE EQUIPO'!$A:$D,4))</f>
        <v/>
      </c>
      <c r="F853" s="55" t="str">
        <f t="shared" si="75"/>
        <v/>
      </c>
      <c r="G853" s="106"/>
      <c r="H853" s="56" t="str">
        <f t="shared" si="76"/>
        <v/>
      </c>
      <c r="I853" s="2"/>
    </row>
    <row r="854" spans="2:9" x14ac:dyDescent="0.25">
      <c r="B854" s="38" t="str">
        <f>IF($A854=0,"",VLOOKUP($A854,'BASE EQUIPO'!$A:$D,2))</f>
        <v/>
      </c>
      <c r="C854" s="2"/>
      <c r="D854" s="55"/>
      <c r="E854" s="55" t="str">
        <f>IF($A854=0,"",VLOOKUP($A854,'BASE EQUIPO'!$A:$D,4))</f>
        <v/>
      </c>
      <c r="F854" s="55" t="str">
        <f t="shared" si="75"/>
        <v/>
      </c>
      <c r="G854" s="106"/>
      <c r="H854" s="56" t="str">
        <f t="shared" si="76"/>
        <v/>
      </c>
      <c r="I854" s="2"/>
    </row>
    <row r="855" spans="2:9" x14ac:dyDescent="0.25">
      <c r="B855" s="57" t="str">
        <f>IF($A855=0,"",VLOOKUP($A855,'BASE EQUIPO'!$A:$D,2))</f>
        <v/>
      </c>
      <c r="C855" s="58"/>
      <c r="D855" s="59"/>
      <c r="E855" s="59" t="str">
        <f>IF($A855=0,"",VLOOKUP($A855,'BASE EQUIPO'!$A:$D,4))</f>
        <v/>
      </c>
      <c r="F855" s="59" t="str">
        <f t="shared" si="75"/>
        <v/>
      </c>
      <c r="G855" s="107"/>
      <c r="H855" s="60" t="str">
        <f t="shared" si="76"/>
        <v/>
      </c>
      <c r="I855" s="2"/>
    </row>
    <row r="856" spans="2:9" x14ac:dyDescent="0.25">
      <c r="B856" s="57" t="s">
        <v>1692</v>
      </c>
      <c r="C856" s="58"/>
      <c r="D856" s="61"/>
      <c r="E856" s="61"/>
      <c r="F856" s="61"/>
      <c r="G856" s="62"/>
      <c r="H856" s="60">
        <f>ROUND(SUM(H849:H855),2)</f>
        <v>0</v>
      </c>
      <c r="I856" s="2"/>
    </row>
    <row r="857" spans="2:9" x14ac:dyDescent="0.25">
      <c r="B857" s="38" t="s">
        <v>1503</v>
      </c>
      <c r="C857" s="2"/>
      <c r="D857" s="3"/>
      <c r="E857" s="3"/>
      <c r="F857" s="3"/>
      <c r="G857" s="63"/>
      <c r="H857" s="56"/>
      <c r="I857" s="2"/>
    </row>
    <row r="858" spans="2:9" ht="25.5" x14ac:dyDescent="0.25">
      <c r="B858" s="64" t="s">
        <v>1691</v>
      </c>
      <c r="C858" s="65"/>
      <c r="D858" s="66" t="s">
        <v>1690</v>
      </c>
      <c r="E858" s="66" t="s">
        <v>1689</v>
      </c>
      <c r="F858" s="66" t="s">
        <v>1688</v>
      </c>
      <c r="G858" s="67" t="s">
        <v>1687</v>
      </c>
      <c r="H858" s="68" t="s">
        <v>1686</v>
      </c>
      <c r="I858" s="2"/>
    </row>
    <row r="859" spans="2:9" x14ac:dyDescent="0.25">
      <c r="B859" s="69" t="str">
        <f>IF($A859=0,"",VLOOKUP($A859,'BASE M-OBRA'!$A:$D,2))</f>
        <v/>
      </c>
      <c r="C859" s="2"/>
      <c r="D859" s="108"/>
      <c r="E859" s="70" t="str">
        <f>IF($A859=0,"",VLOOKUP($A859,'BASE M-OBRA'!$A:$D,4))</f>
        <v/>
      </c>
      <c r="F859" s="55" t="str">
        <f t="shared" ref="F859:F865" si="77">IF($A859=0,"",ROUND(D859*E859,2))</f>
        <v/>
      </c>
      <c r="G859" s="106" t="str">
        <f>IF($A859=0,"",ROUND(H859/F859,2))</f>
        <v/>
      </c>
      <c r="H859" s="56" t="str">
        <f>IF($A859=0,"",ROUND(SUM(H860:H865)*'BASE M-OBRA'!$D$23,2))</f>
        <v/>
      </c>
      <c r="I859" s="2"/>
    </row>
    <row r="860" spans="2:9" x14ac:dyDescent="0.25">
      <c r="B860" s="69" t="str">
        <f>IF($A860=0,"",VLOOKUP($A860,'BASE M-OBRA'!$A:$D,2))</f>
        <v/>
      </c>
      <c r="C860" s="2"/>
      <c r="D860" s="108"/>
      <c r="E860" s="70" t="str">
        <f>IF($A860=0,"",VLOOKUP($A860,'BASE M-OBRA'!$A:$D,4))</f>
        <v/>
      </c>
      <c r="F860" s="55" t="str">
        <f t="shared" si="77"/>
        <v/>
      </c>
      <c r="G860" s="106"/>
      <c r="H860" s="56" t="str">
        <f t="shared" ref="H860:H865" si="78">IF($A860=0,"",ROUND(G860*F860,2))</f>
        <v/>
      </c>
      <c r="I860" s="2"/>
    </row>
    <row r="861" spans="2:9" x14ac:dyDescent="0.25">
      <c r="B861" s="69" t="str">
        <f>IF($A861=0,"",VLOOKUP($A861,'BASE M-OBRA'!$A:$D,2))</f>
        <v/>
      </c>
      <c r="C861" s="2"/>
      <c r="D861" s="108"/>
      <c r="E861" s="70" t="str">
        <f>IF($A861=0,"",VLOOKUP($A861,'BASE M-OBRA'!$A:$D,4))</f>
        <v/>
      </c>
      <c r="F861" s="55" t="str">
        <f t="shared" si="77"/>
        <v/>
      </c>
      <c r="G861" s="106"/>
      <c r="H861" s="56" t="str">
        <f t="shared" si="78"/>
        <v/>
      </c>
      <c r="I861" s="2"/>
    </row>
    <row r="862" spans="2:9" x14ac:dyDescent="0.25">
      <c r="B862" s="71" t="str">
        <f>IF($A862=0,"",VLOOKUP($A862,'BASE M-OBRA'!$A:$D,2))</f>
        <v/>
      </c>
      <c r="C862" s="2"/>
      <c r="D862" s="108"/>
      <c r="E862" s="70" t="str">
        <f>IF($A862=0,"",VLOOKUP($A862,'BASE M-OBRA'!$A:$D,4))</f>
        <v/>
      </c>
      <c r="F862" s="55" t="str">
        <f t="shared" si="77"/>
        <v/>
      </c>
      <c r="G862" s="106"/>
      <c r="H862" s="56" t="str">
        <f t="shared" si="78"/>
        <v/>
      </c>
      <c r="I862" s="2"/>
    </row>
    <row r="863" spans="2:9" x14ac:dyDescent="0.25">
      <c r="B863" s="72" t="str">
        <f>IF($A863=0,"",VLOOKUP($A863,'BASE M-OBRA'!$A:$D,2))</f>
        <v/>
      </c>
      <c r="C863" s="2"/>
      <c r="D863" s="108"/>
      <c r="E863" s="70" t="str">
        <f>IF($A863=0,"",VLOOKUP($A863,'BASE M-OBRA'!$A:$D,4))</f>
        <v/>
      </c>
      <c r="F863" s="55" t="str">
        <f t="shared" si="77"/>
        <v/>
      </c>
      <c r="G863" s="106"/>
      <c r="H863" s="56" t="str">
        <f t="shared" si="78"/>
        <v/>
      </c>
      <c r="I863" s="2"/>
    </row>
    <row r="864" spans="2:9" x14ac:dyDescent="0.25">
      <c r="B864" s="38" t="str">
        <f>IF($A864=0,"",VLOOKUP($A864,'BASE M-OBRA'!$A:$D,2))</f>
        <v/>
      </c>
      <c r="C864" s="2"/>
      <c r="D864" s="55"/>
      <c r="E864" s="55" t="str">
        <f>IF($A864=0,"",VLOOKUP($A864,'BASE M-OBRA'!$A:$D,4))</f>
        <v/>
      </c>
      <c r="F864" s="55" t="str">
        <f t="shared" si="77"/>
        <v/>
      </c>
      <c r="G864" s="106"/>
      <c r="H864" s="56" t="str">
        <f t="shared" si="78"/>
        <v/>
      </c>
      <c r="I864" s="2"/>
    </row>
    <row r="865" spans="1:16" x14ac:dyDescent="0.25">
      <c r="B865" s="57" t="str">
        <f>IF($A865=0,"",VLOOKUP($A865,'BASE M-OBRA'!$A:$D,2))</f>
        <v/>
      </c>
      <c r="C865" s="58"/>
      <c r="D865" s="59"/>
      <c r="E865" s="59" t="str">
        <f>IF($A865=0,"",VLOOKUP($A865,'BASE M-OBRA'!$A:$D,4))</f>
        <v/>
      </c>
      <c r="F865" s="59" t="str">
        <f t="shared" si="77"/>
        <v/>
      </c>
      <c r="G865" s="107"/>
      <c r="H865" s="60" t="str">
        <f t="shared" si="78"/>
        <v/>
      </c>
      <c r="I865" s="2"/>
    </row>
    <row r="866" spans="1:16" x14ac:dyDescent="0.25">
      <c r="B866" s="73" t="s">
        <v>1685</v>
      </c>
      <c r="C866" s="65"/>
      <c r="D866" s="74"/>
      <c r="E866" s="74"/>
      <c r="F866" s="74"/>
      <c r="G866" s="74"/>
      <c r="H866" s="75">
        <f>ROUND(SUM(H858:H865),2)</f>
        <v>0</v>
      </c>
      <c r="I866" s="2"/>
    </row>
    <row r="867" spans="1:16" x14ac:dyDescent="0.25">
      <c r="B867" s="38" t="s">
        <v>1684</v>
      </c>
      <c r="C867" s="2"/>
      <c r="D867" s="3"/>
      <c r="E867" s="3"/>
      <c r="F867" s="3"/>
      <c r="G867" s="3"/>
      <c r="H867" s="56"/>
      <c r="I867" s="2"/>
    </row>
    <row r="868" spans="1:16" ht="25.5" x14ac:dyDescent="0.25">
      <c r="B868" s="64" t="s">
        <v>1409</v>
      </c>
      <c r="C868" s="65"/>
      <c r="D868" s="76"/>
      <c r="E868" s="66" t="s">
        <v>1408</v>
      </c>
      <c r="F868" s="66" t="s">
        <v>1679</v>
      </c>
      <c r="G868" s="66" t="s">
        <v>1683</v>
      </c>
      <c r="H868" s="68" t="s">
        <v>1675</v>
      </c>
      <c r="I868" s="2"/>
    </row>
    <row r="869" spans="1:16" x14ac:dyDescent="0.25">
      <c r="A869" s="103">
        <v>1</v>
      </c>
      <c r="B869" s="102" t="s">
        <v>148</v>
      </c>
      <c r="C869" s="2"/>
      <c r="D869" s="77"/>
      <c r="E869" s="78" t="s">
        <v>145</v>
      </c>
      <c r="F869" s="55">
        <v>1</v>
      </c>
      <c r="G869" s="55">
        <v>9</v>
      </c>
      <c r="H869" s="56">
        <f t="shared" ref="H869:H883" si="79">IF($A869=0,"",ROUND(F869*G869,2))</f>
        <v>9</v>
      </c>
      <c r="I869" s="2"/>
      <c r="J869" s="1">
        <v>23.9</v>
      </c>
      <c r="L869" s="2"/>
      <c r="M869" s="2"/>
      <c r="N869" s="39"/>
      <c r="O869" s="2"/>
      <c r="P869" s="2"/>
    </row>
    <row r="870" spans="1:16" x14ac:dyDescent="0.25">
      <c r="B870" s="102"/>
      <c r="C870" s="2"/>
      <c r="D870" s="77"/>
      <c r="E870" s="78" t="str">
        <f>IF($A870=0,"",VLOOKUP($A870,'BASE MATERIAL'!$A:$D,3))</f>
        <v/>
      </c>
      <c r="F870" s="55"/>
      <c r="G870" s="55" t="str">
        <f>IF($A870=0,"",VLOOKUP($A870,'BASE MATERIAL'!$A:$D,4))</f>
        <v/>
      </c>
      <c r="H870" s="56" t="str">
        <f t="shared" si="79"/>
        <v/>
      </c>
      <c r="I870" s="2"/>
      <c r="L870" s="2"/>
      <c r="M870" s="2"/>
      <c r="N870" s="39"/>
      <c r="O870" s="2"/>
      <c r="P870" s="2"/>
    </row>
    <row r="871" spans="1:16" x14ac:dyDescent="0.25">
      <c r="B871" s="38" t="str">
        <f>IF($A871=0,"",VLOOKUP($A871,'BASE MATERIAL'!$A:$D,2))</f>
        <v/>
      </c>
      <c r="C871" s="2"/>
      <c r="D871" s="77"/>
      <c r="E871" s="78" t="str">
        <f>IF($A871=0,"",VLOOKUP($A871,'BASE MATERIAL'!$A:$D,3))</f>
        <v/>
      </c>
      <c r="F871" s="55"/>
      <c r="G871" s="55" t="str">
        <f>IF($A871=0,"",VLOOKUP($A871,'BASE MATERIAL'!$A:$D,4))</f>
        <v/>
      </c>
      <c r="H871" s="56" t="str">
        <f t="shared" si="79"/>
        <v/>
      </c>
      <c r="I871" s="2"/>
      <c r="L871" s="2"/>
      <c r="M871" s="2"/>
      <c r="N871" s="39"/>
      <c r="O871" s="2"/>
      <c r="P871" s="2"/>
    </row>
    <row r="872" spans="1:16" x14ac:dyDescent="0.25">
      <c r="B872" s="38" t="str">
        <f>IF($A872=0,"",VLOOKUP($A872,'BASE MATERIAL'!$A:$D,2))</f>
        <v/>
      </c>
      <c r="C872" s="2"/>
      <c r="D872" s="77"/>
      <c r="E872" s="78" t="str">
        <f>IF($A872=0,"",VLOOKUP($A872,'BASE MATERIAL'!$A:$D,3))</f>
        <v/>
      </c>
      <c r="F872" s="55"/>
      <c r="G872" s="55" t="str">
        <f>IF($A872=0,"",VLOOKUP($A872,'BASE MATERIAL'!$A:$D,4))</f>
        <v/>
      </c>
      <c r="H872" s="56" t="str">
        <f t="shared" si="79"/>
        <v/>
      </c>
      <c r="I872" s="2"/>
      <c r="L872" s="2"/>
      <c r="M872" s="2"/>
      <c r="N872" s="39"/>
      <c r="O872" s="2"/>
      <c r="P872" s="2"/>
    </row>
    <row r="873" spans="1:16" x14ac:dyDescent="0.25">
      <c r="B873" s="38" t="str">
        <f>IF($A873=0,"",VLOOKUP($A873,'BASE MATERIAL'!$A:$D,2))</f>
        <v/>
      </c>
      <c r="C873" s="2"/>
      <c r="D873" s="77"/>
      <c r="E873" s="78" t="str">
        <f>IF($A873=0,"",VLOOKUP($A873,'BASE MATERIAL'!$A:$D,3))</f>
        <v/>
      </c>
      <c r="F873" s="55"/>
      <c r="G873" s="55" t="str">
        <f>IF($A873=0,"",VLOOKUP($A873,'BASE MATERIAL'!$A:$D,4))</f>
        <v/>
      </c>
      <c r="H873" s="56" t="str">
        <f t="shared" si="79"/>
        <v/>
      </c>
      <c r="I873" s="2"/>
      <c r="L873" s="2"/>
      <c r="M873" s="2"/>
      <c r="N873" s="39"/>
      <c r="O873" s="2"/>
      <c r="P873" s="2"/>
    </row>
    <row r="874" spans="1:16" x14ac:dyDescent="0.25">
      <c r="B874" s="38" t="str">
        <f>IF($A874=0,"",VLOOKUP($A874,'BASE MATERIAL'!$A:$D,2))</f>
        <v/>
      </c>
      <c r="C874" s="2"/>
      <c r="D874" s="77"/>
      <c r="E874" s="78" t="str">
        <f>IF($A874=0,"",VLOOKUP($A874,'BASE MATERIAL'!$A:$D,3))</f>
        <v/>
      </c>
      <c r="F874" s="55"/>
      <c r="G874" s="55" t="str">
        <f>IF($A874=0,"",VLOOKUP($A874,'BASE MATERIAL'!$A:$D,4))</f>
        <v/>
      </c>
      <c r="H874" s="56" t="str">
        <f t="shared" si="79"/>
        <v/>
      </c>
      <c r="I874" s="2"/>
      <c r="L874" s="2"/>
      <c r="M874" s="2"/>
      <c r="N874" s="39"/>
      <c r="O874" s="2"/>
      <c r="P874" s="2"/>
    </row>
    <row r="875" spans="1:16" x14ac:dyDescent="0.25">
      <c r="B875" s="38" t="str">
        <f>IF($A875=0,"",VLOOKUP($A875,'BASE MATERIAL'!$A:$D,2))</f>
        <v/>
      </c>
      <c r="C875" s="2"/>
      <c r="D875" s="77"/>
      <c r="E875" s="78" t="str">
        <f>IF($A875=0,"",VLOOKUP($A875,'BASE MATERIAL'!$A:$D,3))</f>
        <v/>
      </c>
      <c r="F875" s="55"/>
      <c r="G875" s="55" t="str">
        <f>IF($A875=0,"",VLOOKUP($A875,'BASE MATERIAL'!$A:$D,4))</f>
        <v/>
      </c>
      <c r="H875" s="56" t="str">
        <f t="shared" si="79"/>
        <v/>
      </c>
      <c r="I875" s="2"/>
      <c r="L875" s="2"/>
      <c r="M875" s="2"/>
      <c r="N875" s="39"/>
      <c r="O875" s="2"/>
      <c r="P875" s="2"/>
    </row>
    <row r="876" spans="1:16" x14ac:dyDescent="0.25">
      <c r="B876" s="38" t="str">
        <f>IF($A876=0,"",VLOOKUP($A876,'BASE MATERIAL'!$A:$D,2))</f>
        <v/>
      </c>
      <c r="C876" s="2"/>
      <c r="D876" s="77"/>
      <c r="E876" s="78" t="str">
        <f>IF($A876=0,"",VLOOKUP($A876,'BASE MATERIAL'!$A:$D,3))</f>
        <v/>
      </c>
      <c r="F876" s="55"/>
      <c r="G876" s="55" t="str">
        <f>IF($A876=0,"",VLOOKUP($A876,'BASE MATERIAL'!$A:$D,4))</f>
        <v/>
      </c>
      <c r="H876" s="56" t="str">
        <f t="shared" si="79"/>
        <v/>
      </c>
      <c r="I876" s="2"/>
      <c r="L876" s="2"/>
      <c r="M876" s="2"/>
      <c r="N876" s="39"/>
      <c r="O876" s="2"/>
      <c r="P876" s="2"/>
    </row>
    <row r="877" spans="1:16" x14ac:dyDescent="0.25">
      <c r="B877" s="38" t="str">
        <f>IF($A877=0,"",VLOOKUP($A877,'BASE MATERIAL'!$A:$D,2))</f>
        <v/>
      </c>
      <c r="C877" s="2"/>
      <c r="D877" s="77"/>
      <c r="E877" s="78" t="str">
        <f>IF($A877=0,"",VLOOKUP($A877,'BASE MATERIAL'!$A:$D,3))</f>
        <v/>
      </c>
      <c r="F877" s="55"/>
      <c r="G877" s="55" t="str">
        <f>IF($A877=0,"",VLOOKUP($A877,'BASE MATERIAL'!$A:$D,4))</f>
        <v/>
      </c>
      <c r="H877" s="56" t="str">
        <f t="shared" si="79"/>
        <v/>
      </c>
      <c r="I877" s="2"/>
    </row>
    <row r="878" spans="1:16" x14ac:dyDescent="0.25">
      <c r="B878" s="38" t="str">
        <f>IF($A878=0,"",VLOOKUP($A878,'BASE MATERIAL'!$A:$D,2))</f>
        <v/>
      </c>
      <c r="C878" s="2"/>
      <c r="D878" s="77"/>
      <c r="E878" s="78" t="str">
        <f>IF($A878=0,"",VLOOKUP($A878,'BASE MATERIAL'!$A:$D,3))</f>
        <v/>
      </c>
      <c r="F878" s="55"/>
      <c r="G878" s="55" t="str">
        <f>IF($A878=0,"",VLOOKUP($A878,'BASE MATERIAL'!$A:$D,4))</f>
        <v/>
      </c>
      <c r="H878" s="56" t="str">
        <f t="shared" si="79"/>
        <v/>
      </c>
      <c r="I878" s="2"/>
      <c r="L878" s="2"/>
      <c r="M878" s="2"/>
      <c r="N878" s="39"/>
      <c r="O878" s="2"/>
      <c r="P878" s="2"/>
    </row>
    <row r="879" spans="1:16" x14ac:dyDescent="0.25">
      <c r="B879" s="38" t="str">
        <f>IF($A879=0,"",VLOOKUP($A879,'BASE MATERIAL'!$A:$D,2))</f>
        <v/>
      </c>
      <c r="C879" s="2"/>
      <c r="D879" s="77"/>
      <c r="E879" s="78" t="str">
        <f>IF($A879=0,"",VLOOKUP($A879,'BASE MATERIAL'!$A:$D,3))</f>
        <v/>
      </c>
      <c r="F879" s="55"/>
      <c r="G879" s="55" t="str">
        <f>IF($A879=0,"",VLOOKUP($A879,'BASE MATERIAL'!$A:$D,4))</f>
        <v/>
      </c>
      <c r="H879" s="56" t="str">
        <f t="shared" si="79"/>
        <v/>
      </c>
      <c r="I879" s="2"/>
      <c r="L879" s="2"/>
      <c r="M879" s="2"/>
      <c r="N879" s="39"/>
      <c r="O879" s="2"/>
      <c r="P879" s="2"/>
    </row>
    <row r="880" spans="1:16" x14ac:dyDescent="0.25">
      <c r="B880" s="38" t="str">
        <f>IF($A880=0,"",VLOOKUP($A880,'BASE MATERIAL'!$A:$D,2))</f>
        <v/>
      </c>
      <c r="C880" s="2"/>
      <c r="D880" s="77"/>
      <c r="E880" s="78" t="str">
        <f>IF($A880=0,"",VLOOKUP($A880,'BASE MATERIAL'!$A:$D,3))</f>
        <v/>
      </c>
      <c r="F880" s="55"/>
      <c r="G880" s="55" t="str">
        <f>IF($A880=0,"",VLOOKUP($A880,'BASE MATERIAL'!$A:$D,4))</f>
        <v/>
      </c>
      <c r="H880" s="56" t="str">
        <f t="shared" si="79"/>
        <v/>
      </c>
      <c r="I880" s="2"/>
    </row>
    <row r="881" spans="1:9" x14ac:dyDescent="0.25">
      <c r="B881" s="38" t="str">
        <f>IF($A881=0,"",VLOOKUP($A881,'BASE MATERIAL'!$A:$D,2))</f>
        <v/>
      </c>
      <c r="C881" s="2"/>
      <c r="D881" s="77"/>
      <c r="E881" s="78" t="str">
        <f>IF($A881=0,"",VLOOKUP($A881,'BASE MATERIAL'!$A:$D,3))</f>
        <v/>
      </c>
      <c r="F881" s="55"/>
      <c r="G881" s="55" t="str">
        <f>IF($A881=0,"",VLOOKUP($A881,'BASE MATERIAL'!$A:$D,4))</f>
        <v/>
      </c>
      <c r="H881" s="56" t="str">
        <f t="shared" si="79"/>
        <v/>
      </c>
      <c r="I881" s="2"/>
    </row>
    <row r="882" spans="1:9" x14ac:dyDescent="0.25">
      <c r="B882" s="38" t="str">
        <f>IF($A882=0,"",VLOOKUP($A882,'BASE MATERIAL'!$A:$D,2))</f>
        <v/>
      </c>
      <c r="C882" s="2"/>
      <c r="D882" s="77"/>
      <c r="E882" s="78" t="str">
        <f>IF($A882=0,"",VLOOKUP($A882,'BASE MATERIAL'!$A:$D,3))</f>
        <v/>
      </c>
      <c r="F882" s="55"/>
      <c r="G882" s="55" t="str">
        <f>IF($A882=0,"",VLOOKUP($A882,'BASE MATERIAL'!$A:$D,4))</f>
        <v/>
      </c>
      <c r="H882" s="56" t="str">
        <f t="shared" si="79"/>
        <v/>
      </c>
      <c r="I882" s="2"/>
    </row>
    <row r="883" spans="1:9" x14ac:dyDescent="0.25">
      <c r="B883" s="38" t="str">
        <f>IF($A883=0,"",VLOOKUP($A883,'BASE MATERIAL'!$A:$D,2))</f>
        <v/>
      </c>
      <c r="C883" s="2"/>
      <c r="D883" s="77"/>
      <c r="E883" s="78" t="str">
        <f>IF($A883=0,"",VLOOKUP($A883,'BASE MATERIAL'!$A:$D,3))</f>
        <v/>
      </c>
      <c r="F883" s="55"/>
      <c r="G883" s="55" t="str">
        <f>IF($A883=0,"",VLOOKUP($A883,'BASE MATERIAL'!$A:$D,4))</f>
        <v/>
      </c>
      <c r="H883" s="56" t="str">
        <f t="shared" si="79"/>
        <v/>
      </c>
      <c r="I883" s="2"/>
    </row>
    <row r="884" spans="1:9" x14ac:dyDescent="0.25">
      <c r="B884" s="38" t="str">
        <f>IF($A884=0,"",VLOOKUP($A884,'BASE MATERIAL'!$A:$D,2))</f>
        <v/>
      </c>
      <c r="C884" s="2"/>
      <c r="D884" s="81" t="s">
        <v>1682</v>
      </c>
      <c r="E884" s="55" t="str">
        <f>IF($A884=0,"",VLOOKUP($A884,'BASE MATERIAL'!$A:$D,3))</f>
        <v/>
      </c>
      <c r="F884" s="55" t="s">
        <v>1682</v>
      </c>
      <c r="G884" s="55" t="str">
        <f>IF($A884=0,"",VLOOKUP($A884,'BASE MATERIAL'!$A:$D,4))</f>
        <v/>
      </c>
      <c r="H884" s="56" t="str">
        <f>IF($A884=0,"",ROUND(E884*F884,2))</f>
        <v/>
      </c>
      <c r="I884" s="2"/>
    </row>
    <row r="885" spans="1:9" x14ac:dyDescent="0.25">
      <c r="B885" s="73" t="s">
        <v>1681</v>
      </c>
      <c r="C885" s="65"/>
      <c r="D885" s="74"/>
      <c r="E885" s="74"/>
      <c r="F885" s="74"/>
      <c r="G885" s="74"/>
      <c r="H885" s="75">
        <f>ROUND(SUM(H868:H884),2)</f>
        <v>9</v>
      </c>
      <c r="I885" s="2"/>
    </row>
    <row r="886" spans="1:9" x14ac:dyDescent="0.25">
      <c r="B886" s="38" t="s">
        <v>1680</v>
      </c>
      <c r="C886" s="2"/>
      <c r="D886" s="3"/>
      <c r="E886" s="3"/>
      <c r="F886" s="3"/>
      <c r="G886" s="3"/>
      <c r="H886" s="56"/>
      <c r="I886" s="2"/>
    </row>
    <row r="887" spans="1:9" ht="25.5" x14ac:dyDescent="0.25">
      <c r="B887" s="64" t="s">
        <v>1409</v>
      </c>
      <c r="C887" s="65"/>
      <c r="D887" s="76"/>
      <c r="E887" s="66" t="s">
        <v>1408</v>
      </c>
      <c r="F887" s="66" t="s">
        <v>1679</v>
      </c>
      <c r="G887" s="66" t="s">
        <v>1676</v>
      </c>
      <c r="H887" s="68" t="s">
        <v>1675</v>
      </c>
      <c r="I887" s="2"/>
    </row>
    <row r="888" spans="1:9" x14ac:dyDescent="0.25">
      <c r="A888" s="103">
        <v>19019</v>
      </c>
      <c r="B888" s="51" t="str">
        <f>IF($A888=0,"",VLOOKUP($A888,'BASE EQUIPO'!$A:$D,2))</f>
        <v>TRANSPORTE DE MATERIAL</v>
      </c>
      <c r="C888" s="52"/>
      <c r="D888" s="82"/>
      <c r="E888" s="78" t="str">
        <f>IF($A888=0,"",VLOOKUP($A888,'BASE EQUIPO'!$A:$D,3))</f>
        <v>GLOBAL</v>
      </c>
      <c r="F888" s="55">
        <v>1</v>
      </c>
      <c r="G888" s="83">
        <f>IF($A888=0,"",VLOOKUP($A888,'BASE EQUIPO'!$A:$D,4)*H885)</f>
        <v>0.27</v>
      </c>
      <c r="H888" s="56">
        <f>IF($A888=0,"",ROUND(F888*G888,2))</f>
        <v>0.27</v>
      </c>
      <c r="I888" s="2"/>
    </row>
    <row r="889" spans="1:9" x14ac:dyDescent="0.25">
      <c r="B889" s="38" t="str">
        <f>IF($A889=0,"",VLOOKUP($A889,'BASE EQUIPO'!$A:$D,2))</f>
        <v/>
      </c>
      <c r="C889" s="2"/>
      <c r="D889" s="84"/>
      <c r="E889" s="78" t="str">
        <f>IF($A889=0,"",VLOOKUP($A889,'BASE EQUIPO'!$A:$D,3))</f>
        <v/>
      </c>
      <c r="F889" s="55"/>
      <c r="G889" s="55" t="str">
        <f>IF($A889=0,"",VLOOKUP($A889,'BASE EQUIPO'!$A:$D,4)*H886)</f>
        <v/>
      </c>
      <c r="H889" s="56" t="str">
        <f>IF($A889=0,"",ROUND(F889*G889,2))</f>
        <v/>
      </c>
      <c r="I889" s="2"/>
    </row>
    <row r="890" spans="1:9" x14ac:dyDescent="0.25">
      <c r="B890" s="57" t="str">
        <f>IF($A890=0,"",VLOOKUP($A890,'BASE EQUIPO'!$A:$D,2))</f>
        <v/>
      </c>
      <c r="C890" s="58"/>
      <c r="D890" s="85"/>
      <c r="E890" s="86" t="str">
        <f>IF($A890=0,"",VLOOKUP($A890,'BASE EQUIPO'!$A:$D,3))</f>
        <v/>
      </c>
      <c r="F890" s="59"/>
      <c r="G890" s="59" t="str">
        <f>IF($A890=0,"",VLOOKUP($A890,'BASE EQUIPO'!$A:$D,4)*H887)</f>
        <v/>
      </c>
      <c r="H890" s="60" t="str">
        <f>IF($A890=0,"",ROUND(F890*G890,2))</f>
        <v/>
      </c>
      <c r="I890" s="2"/>
    </row>
    <row r="891" spans="1:9" ht="15.75" thickBot="1" x14ac:dyDescent="0.3">
      <c r="B891" s="87" t="s">
        <v>1674</v>
      </c>
      <c r="C891" s="88"/>
      <c r="D891" s="89"/>
      <c r="E891" s="89"/>
      <c r="F891" s="89"/>
      <c r="G891" s="89"/>
      <c r="H891" s="90">
        <f>ROUND(SUM(H887:H890),2)</f>
        <v>0.27</v>
      </c>
      <c r="I891" s="2"/>
    </row>
    <row r="892" spans="1:9" ht="15.75" x14ac:dyDescent="0.25">
      <c r="B892" s="2"/>
      <c r="C892" s="2"/>
      <c r="D892" s="91" t="s">
        <v>1673</v>
      </c>
      <c r="E892" s="47"/>
      <c r="F892" s="47"/>
      <c r="G892" s="47"/>
      <c r="H892" s="92">
        <f>ROUND(SUM(H891,H885,H866,H856),2)</f>
        <v>9.27</v>
      </c>
      <c r="I892" s="2"/>
    </row>
    <row r="893" spans="1:9" ht="15.75" x14ac:dyDescent="0.25">
      <c r="A893" s="103">
        <v>40002</v>
      </c>
      <c r="B893" s="2"/>
      <c r="C893" s="2"/>
      <c r="D893" s="93" t="s">
        <v>1672</v>
      </c>
      <c r="E893" s="65"/>
      <c r="F893" s="65"/>
      <c r="G893" s="94">
        <f>IF($A893=0,"",VLOOKUP($A893,'BASE MATERIAL'!$M:$P,4))</f>
        <v>0</v>
      </c>
      <c r="H893" s="95">
        <f>IF($A893=0,"",ROUND(G893*H892,2))</f>
        <v>0</v>
      </c>
      <c r="I893" s="2"/>
    </row>
    <row r="894" spans="1:9" ht="15.75" x14ac:dyDescent="0.25">
      <c r="A894" s="103">
        <v>40003</v>
      </c>
      <c r="B894" s="2"/>
      <c r="C894" s="2"/>
      <c r="D894" s="93" t="s">
        <v>1671</v>
      </c>
      <c r="E894" s="65"/>
      <c r="F894" s="65"/>
      <c r="G894" s="94">
        <f>IF($A894=0,"",VLOOKUP($A894,'BASE MATERIAL'!$M:$P,4))</f>
        <v>0</v>
      </c>
      <c r="H894" s="95">
        <f>IF($A894=0,"",ROUND(G894*H892,2))</f>
        <v>0</v>
      </c>
      <c r="I894" s="2"/>
    </row>
    <row r="895" spans="1:9" ht="15.75" x14ac:dyDescent="0.25">
      <c r="B895" s="2"/>
      <c r="C895" s="2"/>
      <c r="D895" s="93" t="s">
        <v>1670</v>
      </c>
      <c r="E895" s="65"/>
      <c r="F895" s="65"/>
      <c r="G895" s="65"/>
      <c r="H895" s="96">
        <f>ROUND(SUM(H892:H894),2)</f>
        <v>9.27</v>
      </c>
      <c r="I895" s="2"/>
    </row>
    <row r="896" spans="1:9" ht="16.5" thickBot="1" x14ac:dyDescent="0.3">
      <c r="B896" s="25"/>
      <c r="C896" s="2"/>
      <c r="D896" s="97" t="s">
        <v>1650</v>
      </c>
      <c r="E896" s="88"/>
      <c r="F896" s="88"/>
      <c r="G896" s="88"/>
      <c r="H896" s="98">
        <f>ROUND(H895,2)</f>
        <v>9.27</v>
      </c>
      <c r="I896" s="2"/>
    </row>
    <row r="897" spans="1:15" ht="15.75" x14ac:dyDescent="0.25">
      <c r="B897" s="34" t="s">
        <v>1701</v>
      </c>
      <c r="C897" s="2"/>
      <c r="D897" s="3" t="str">
        <f>$D$1</f>
        <v>ESPOL</v>
      </c>
      <c r="E897" s="2"/>
      <c r="F897" s="2"/>
      <c r="H897" s="2" t="s">
        <v>108</v>
      </c>
      <c r="I897" s="2"/>
      <c r="L897" s="40">
        <f>A901</f>
        <v>2</v>
      </c>
      <c r="M897" s="1" t="str">
        <f>C902</f>
        <v>Tuberia de cobre 3/4</v>
      </c>
      <c r="N897" s="2" t="str">
        <f>H901</f>
        <v>metros</v>
      </c>
      <c r="O897" s="2">
        <f>H952</f>
        <v>16.48</v>
      </c>
    </row>
    <row r="898" spans="1:15" ht="15.75" x14ac:dyDescent="0.25">
      <c r="B898" s="34" t="s">
        <v>1700</v>
      </c>
      <c r="C898" s="3">
        <f>'1.1'!$C$2</f>
        <v>0</v>
      </c>
      <c r="D898" s="2"/>
      <c r="E898" s="2"/>
      <c r="F898" s="2"/>
      <c r="G898" s="41" t="s">
        <v>1699</v>
      </c>
      <c r="H898" s="42"/>
      <c r="I898" s="2" t="s">
        <v>1698</v>
      </c>
    </row>
    <row r="899" spans="1:15" ht="15.75" x14ac:dyDescent="0.25">
      <c r="B899" s="34"/>
      <c r="C899" s="3">
        <f>'1.1'!$C$3</f>
        <v>0</v>
      </c>
      <c r="D899" s="2"/>
      <c r="E899" s="2"/>
      <c r="F899" s="2"/>
      <c r="G899" s="2"/>
      <c r="H899" s="2"/>
      <c r="I899" s="2"/>
    </row>
    <row r="900" spans="1:15" ht="15.75" x14ac:dyDescent="0.25">
      <c r="B900" s="34" t="s">
        <v>1697</v>
      </c>
      <c r="C900" s="3"/>
      <c r="D900" s="2"/>
      <c r="E900" s="2"/>
      <c r="F900" s="2"/>
      <c r="G900" s="2"/>
      <c r="H900" s="2"/>
      <c r="I900" s="2"/>
    </row>
    <row r="901" spans="1:15" x14ac:dyDescent="0.25">
      <c r="A901" s="104">
        <v>2</v>
      </c>
      <c r="B901" s="2" t="s">
        <v>1586</v>
      </c>
      <c r="C901" s="101" t="s">
        <v>1336</v>
      </c>
      <c r="D901" s="2"/>
      <c r="G901" s="2" t="s">
        <v>1696</v>
      </c>
      <c r="H901" s="3" t="s">
        <v>145</v>
      </c>
      <c r="I901" s="2"/>
    </row>
    <row r="902" spans="1:15" x14ac:dyDescent="0.25">
      <c r="B902" s="1" t="s">
        <v>1585</v>
      </c>
      <c r="C902" s="36" t="s">
        <v>149</v>
      </c>
      <c r="D902" s="2"/>
      <c r="E902" s="2"/>
      <c r="F902" s="2"/>
      <c r="G902" s="2"/>
      <c r="H902" s="2"/>
      <c r="I902" s="2"/>
    </row>
    <row r="903" spans="1:15" ht="15.75" thickBot="1" x14ac:dyDescent="0.3">
      <c r="D903" s="2"/>
      <c r="E903" s="2"/>
      <c r="F903" s="2"/>
      <c r="G903" s="2"/>
      <c r="H903" s="2"/>
      <c r="I903" s="2"/>
    </row>
    <row r="904" spans="1:15" ht="15.75" thickBot="1" x14ac:dyDescent="0.3">
      <c r="B904" s="43" t="s">
        <v>1695</v>
      </c>
      <c r="C904" s="44"/>
      <c r="D904" s="44"/>
      <c r="E904" s="44"/>
      <c r="F904" s="44"/>
      <c r="G904" s="44"/>
      <c r="H904" s="45"/>
      <c r="I904" s="2"/>
    </row>
    <row r="905" spans="1:15" ht="25.5" x14ac:dyDescent="0.25">
      <c r="B905" s="46" t="s">
        <v>1409</v>
      </c>
      <c r="C905" s="47"/>
      <c r="D905" s="48" t="s">
        <v>1690</v>
      </c>
      <c r="E905" s="48" t="s">
        <v>1694</v>
      </c>
      <c r="F905" s="48" t="s">
        <v>1693</v>
      </c>
      <c r="G905" s="49" t="s">
        <v>1687</v>
      </c>
      <c r="H905" s="50" t="s">
        <v>1686</v>
      </c>
      <c r="I905" s="2"/>
    </row>
    <row r="906" spans="1:15" x14ac:dyDescent="0.25">
      <c r="B906" s="51" t="str">
        <f>IF($A906=0,"",VLOOKUP($A906,'BASE EQUIPO'!$A:$D,2))</f>
        <v/>
      </c>
      <c r="C906" s="52"/>
      <c r="D906" s="53"/>
      <c r="E906" s="53" t="str">
        <f>IF($A906=0,"",VLOOKUP($A906,'BASE EQUIPO'!$A:$D,4)*H922)</f>
        <v/>
      </c>
      <c r="F906" s="53" t="str">
        <f t="shared" ref="F906:F911" si="80">IF($A906=0,"",ROUND(D906*E906,2))</f>
        <v/>
      </c>
      <c r="G906" s="105"/>
      <c r="H906" s="54" t="str">
        <f t="shared" ref="H906:H911" si="81">IF($A906=0,"",ROUND(G906*F906,2))</f>
        <v/>
      </c>
      <c r="I906" s="2"/>
    </row>
    <row r="907" spans="1:15" x14ac:dyDescent="0.25">
      <c r="B907" s="38" t="str">
        <f>IF($A907=0,"",VLOOKUP($A907,'BASE EQUIPO'!$A:$D,2))</f>
        <v/>
      </c>
      <c r="C907" s="2"/>
      <c r="D907" s="55"/>
      <c r="E907" s="55" t="str">
        <f>IF($A907=0,"",VLOOKUP($A907,'BASE EQUIPO'!$A:$D,4))</f>
        <v/>
      </c>
      <c r="F907" s="55" t="str">
        <f t="shared" si="80"/>
        <v/>
      </c>
      <c r="G907" s="106"/>
      <c r="H907" s="56" t="str">
        <f t="shared" si="81"/>
        <v/>
      </c>
      <c r="I907" s="2"/>
    </row>
    <row r="908" spans="1:15" x14ac:dyDescent="0.25">
      <c r="B908" s="38" t="str">
        <f>IF($A908=0,"",VLOOKUP($A908,'BASE EQUIPO'!$A:$D,2))</f>
        <v/>
      </c>
      <c r="C908" s="2"/>
      <c r="D908" s="55"/>
      <c r="E908" s="55" t="str">
        <f>IF($A908=0,"",VLOOKUP($A908,'BASE EQUIPO'!$A:$D,4))</f>
        <v/>
      </c>
      <c r="F908" s="55" t="str">
        <f t="shared" si="80"/>
        <v/>
      </c>
      <c r="G908" s="106"/>
      <c r="H908" s="56" t="str">
        <f t="shared" si="81"/>
        <v/>
      </c>
      <c r="I908" s="2"/>
    </row>
    <row r="909" spans="1:15" x14ac:dyDescent="0.25">
      <c r="B909" s="38" t="str">
        <f>IF($A909=0,"",VLOOKUP($A909,'BASE EQUIPO'!$A:$D,2))</f>
        <v/>
      </c>
      <c r="C909" s="2"/>
      <c r="D909" s="55"/>
      <c r="E909" s="55" t="str">
        <f>IF($A909=0,"",VLOOKUP($A909,'BASE EQUIPO'!$A:$D,4))</f>
        <v/>
      </c>
      <c r="F909" s="55" t="str">
        <f t="shared" si="80"/>
        <v/>
      </c>
      <c r="G909" s="106"/>
      <c r="H909" s="56" t="str">
        <f t="shared" si="81"/>
        <v/>
      </c>
      <c r="I909" s="2"/>
    </row>
    <row r="910" spans="1:15" x14ac:dyDescent="0.25">
      <c r="B910" s="38" t="str">
        <f>IF($A910=0,"",VLOOKUP($A910,'BASE EQUIPO'!$A:$D,2))</f>
        <v/>
      </c>
      <c r="C910" s="2"/>
      <c r="D910" s="55"/>
      <c r="E910" s="55" t="str">
        <f>IF($A910=0,"",VLOOKUP($A910,'BASE EQUIPO'!$A:$D,4))</f>
        <v/>
      </c>
      <c r="F910" s="55" t="str">
        <f t="shared" si="80"/>
        <v/>
      </c>
      <c r="G910" s="106"/>
      <c r="H910" s="56" t="str">
        <f t="shared" si="81"/>
        <v/>
      </c>
      <c r="I910" s="2"/>
    </row>
    <row r="911" spans="1:15" x14ac:dyDescent="0.25">
      <c r="B911" s="57" t="str">
        <f>IF($A911=0,"",VLOOKUP($A911,'BASE EQUIPO'!$A:$D,2))</f>
        <v/>
      </c>
      <c r="C911" s="58"/>
      <c r="D911" s="59"/>
      <c r="E911" s="59" t="str">
        <f>IF($A911=0,"",VLOOKUP($A911,'BASE EQUIPO'!$A:$D,4))</f>
        <v/>
      </c>
      <c r="F911" s="59" t="str">
        <f t="shared" si="80"/>
        <v/>
      </c>
      <c r="G911" s="107"/>
      <c r="H911" s="60" t="str">
        <f t="shared" si="81"/>
        <v/>
      </c>
      <c r="I911" s="2"/>
    </row>
    <row r="912" spans="1:15" x14ac:dyDescent="0.25">
      <c r="B912" s="57" t="s">
        <v>1692</v>
      </c>
      <c r="C912" s="58"/>
      <c r="D912" s="61"/>
      <c r="E912" s="61"/>
      <c r="F912" s="61"/>
      <c r="G912" s="62"/>
      <c r="H912" s="60">
        <f>ROUND(SUM(H905:H911),2)</f>
        <v>0</v>
      </c>
      <c r="I912" s="2"/>
    </row>
    <row r="913" spans="1:16" x14ac:dyDescent="0.25">
      <c r="B913" s="38" t="s">
        <v>1503</v>
      </c>
      <c r="C913" s="2"/>
      <c r="D913" s="3"/>
      <c r="E913" s="3"/>
      <c r="F913" s="3"/>
      <c r="G913" s="63"/>
      <c r="H913" s="56"/>
      <c r="I913" s="2"/>
    </row>
    <row r="914" spans="1:16" ht="25.5" x14ac:dyDescent="0.25">
      <c r="B914" s="64" t="s">
        <v>1691</v>
      </c>
      <c r="C914" s="65"/>
      <c r="D914" s="66" t="s">
        <v>1690</v>
      </c>
      <c r="E914" s="66" t="s">
        <v>1689</v>
      </c>
      <c r="F914" s="66" t="s">
        <v>1688</v>
      </c>
      <c r="G914" s="67" t="s">
        <v>1687</v>
      </c>
      <c r="H914" s="68" t="s">
        <v>1686</v>
      </c>
      <c r="I914" s="2"/>
    </row>
    <row r="915" spans="1:16" x14ac:dyDescent="0.25">
      <c r="B915" s="69" t="str">
        <f>IF($A915=0,"",VLOOKUP($A915,'BASE M-OBRA'!$A:$D,2))</f>
        <v/>
      </c>
      <c r="C915" s="2"/>
      <c r="D915" s="108"/>
      <c r="E915" s="70" t="str">
        <f>IF($A915=0,"",VLOOKUP($A915,'BASE M-OBRA'!$A:$D,4))</f>
        <v/>
      </c>
      <c r="F915" s="55" t="str">
        <f t="shared" ref="F915:F921" si="82">IF($A915=0,"",ROUND(D915*E915,2))</f>
        <v/>
      </c>
      <c r="G915" s="106" t="str">
        <f>IF($A915=0,"",ROUND(H915/F915,2))</f>
        <v/>
      </c>
      <c r="H915" s="56" t="str">
        <f>IF($A915=0,"",ROUND(SUM(H916:H921)*'BASE M-OBRA'!$D$23,2))</f>
        <v/>
      </c>
      <c r="I915" s="2"/>
    </row>
    <row r="916" spans="1:16" x14ac:dyDescent="0.25">
      <c r="B916" s="69" t="str">
        <f>IF($A916=0,"",VLOOKUP($A916,'BASE M-OBRA'!$A:$D,2))</f>
        <v/>
      </c>
      <c r="C916" s="2"/>
      <c r="D916" s="108"/>
      <c r="E916" s="70" t="str">
        <f>IF($A916=0,"",VLOOKUP($A916,'BASE M-OBRA'!$A:$D,4))</f>
        <v/>
      </c>
      <c r="F916" s="55" t="str">
        <f t="shared" si="82"/>
        <v/>
      </c>
      <c r="G916" s="106"/>
      <c r="H916" s="56" t="str">
        <f t="shared" ref="H916:H921" si="83">IF($A916=0,"",ROUND(G916*F916,2))</f>
        <v/>
      </c>
      <c r="I916" s="2"/>
    </row>
    <row r="917" spans="1:16" x14ac:dyDescent="0.25">
      <c r="B917" s="69" t="str">
        <f>IF($A917=0,"",VLOOKUP($A917,'BASE M-OBRA'!$A:$D,2))</f>
        <v/>
      </c>
      <c r="C917" s="2"/>
      <c r="D917" s="108"/>
      <c r="E917" s="70" t="str">
        <f>IF($A917=0,"",VLOOKUP($A917,'BASE M-OBRA'!$A:$D,4))</f>
        <v/>
      </c>
      <c r="F917" s="55" t="str">
        <f t="shared" si="82"/>
        <v/>
      </c>
      <c r="G917" s="106"/>
      <c r="H917" s="56" t="str">
        <f t="shared" si="83"/>
        <v/>
      </c>
      <c r="I917" s="2"/>
    </row>
    <row r="918" spans="1:16" x14ac:dyDescent="0.25">
      <c r="B918" s="71" t="str">
        <f>IF($A918=0,"",VLOOKUP($A918,'BASE M-OBRA'!$A:$D,2))</f>
        <v/>
      </c>
      <c r="C918" s="2"/>
      <c r="D918" s="108"/>
      <c r="E918" s="70" t="str">
        <f>IF($A918=0,"",VLOOKUP($A918,'BASE M-OBRA'!$A:$D,4))</f>
        <v/>
      </c>
      <c r="F918" s="55" t="str">
        <f t="shared" si="82"/>
        <v/>
      </c>
      <c r="G918" s="106"/>
      <c r="H918" s="56" t="str">
        <f t="shared" si="83"/>
        <v/>
      </c>
      <c r="I918" s="2"/>
    </row>
    <row r="919" spans="1:16" x14ac:dyDescent="0.25">
      <c r="B919" s="72" t="str">
        <f>IF($A919=0,"",VLOOKUP($A919,'BASE M-OBRA'!$A:$D,2))</f>
        <v/>
      </c>
      <c r="C919" s="2"/>
      <c r="D919" s="108"/>
      <c r="E919" s="70" t="str">
        <f>IF($A919=0,"",VLOOKUP($A919,'BASE M-OBRA'!$A:$D,4))</f>
        <v/>
      </c>
      <c r="F919" s="55" t="str">
        <f t="shared" si="82"/>
        <v/>
      </c>
      <c r="G919" s="106"/>
      <c r="H919" s="56" t="str">
        <f t="shared" si="83"/>
        <v/>
      </c>
      <c r="I919" s="2"/>
    </row>
    <row r="920" spans="1:16" x14ac:dyDescent="0.25">
      <c r="B920" s="38" t="str">
        <f>IF($A920=0,"",VLOOKUP($A920,'BASE M-OBRA'!$A:$D,2))</f>
        <v/>
      </c>
      <c r="C920" s="2"/>
      <c r="D920" s="55"/>
      <c r="E920" s="55" t="str">
        <f>IF($A920=0,"",VLOOKUP($A920,'BASE M-OBRA'!$A:$D,4))</f>
        <v/>
      </c>
      <c r="F920" s="55" t="str">
        <f t="shared" si="82"/>
        <v/>
      </c>
      <c r="G920" s="106"/>
      <c r="H920" s="56" t="str">
        <f t="shared" si="83"/>
        <v/>
      </c>
      <c r="I920" s="2"/>
    </row>
    <row r="921" spans="1:16" x14ac:dyDescent="0.25">
      <c r="B921" s="57" t="str">
        <f>IF($A921=0,"",VLOOKUP($A921,'BASE M-OBRA'!$A:$D,2))</f>
        <v/>
      </c>
      <c r="C921" s="58"/>
      <c r="D921" s="59"/>
      <c r="E921" s="59" t="str">
        <f>IF($A921=0,"",VLOOKUP($A921,'BASE M-OBRA'!$A:$D,4))</f>
        <v/>
      </c>
      <c r="F921" s="59" t="str">
        <f t="shared" si="82"/>
        <v/>
      </c>
      <c r="G921" s="107"/>
      <c r="H921" s="60" t="str">
        <f t="shared" si="83"/>
        <v/>
      </c>
      <c r="I921" s="2"/>
    </row>
    <row r="922" spans="1:16" x14ac:dyDescent="0.25">
      <c r="B922" s="73" t="s">
        <v>1685</v>
      </c>
      <c r="C922" s="65"/>
      <c r="D922" s="74"/>
      <c r="E922" s="74"/>
      <c r="F922" s="74"/>
      <c r="G922" s="74"/>
      <c r="H922" s="75">
        <f>ROUND(SUM(H914:H921),2)</f>
        <v>0</v>
      </c>
      <c r="I922" s="2"/>
    </row>
    <row r="923" spans="1:16" x14ac:dyDescent="0.25">
      <c r="B923" s="38" t="s">
        <v>1684</v>
      </c>
      <c r="C923" s="2"/>
      <c r="D923" s="3"/>
      <c r="E923" s="3"/>
      <c r="F923" s="3"/>
      <c r="G923" s="3"/>
      <c r="H923" s="56"/>
      <c r="I923" s="2"/>
    </row>
    <row r="924" spans="1:16" ht="25.5" x14ac:dyDescent="0.25">
      <c r="B924" s="64" t="s">
        <v>1409</v>
      </c>
      <c r="C924" s="65"/>
      <c r="D924" s="76"/>
      <c r="E924" s="66" t="s">
        <v>1408</v>
      </c>
      <c r="F924" s="66" t="s">
        <v>1679</v>
      </c>
      <c r="G924" s="66" t="s">
        <v>1683</v>
      </c>
      <c r="H924" s="68" t="s">
        <v>1675</v>
      </c>
      <c r="I924" s="2"/>
    </row>
    <row r="925" spans="1:16" x14ac:dyDescent="0.25">
      <c r="A925" s="103">
        <v>1</v>
      </c>
      <c r="B925" s="102" t="s">
        <v>149</v>
      </c>
      <c r="C925" s="2"/>
      <c r="D925" s="77"/>
      <c r="E925" s="78" t="s">
        <v>145</v>
      </c>
      <c r="F925" s="55">
        <v>1</v>
      </c>
      <c r="G925" s="55">
        <v>16</v>
      </c>
      <c r="H925" s="56">
        <f t="shared" ref="H925:H939" si="84">IF($A925=0,"",ROUND(F925*G925,2))</f>
        <v>16</v>
      </c>
      <c r="I925" s="2"/>
      <c r="J925" s="1">
        <v>13.59</v>
      </c>
      <c r="L925" s="2"/>
      <c r="M925" s="2"/>
      <c r="N925" s="39"/>
      <c r="O925" s="2"/>
      <c r="P925" s="2"/>
    </row>
    <row r="926" spans="1:16" x14ac:dyDescent="0.25">
      <c r="B926" s="102"/>
      <c r="C926" s="2"/>
      <c r="D926" s="77"/>
      <c r="E926" s="78" t="str">
        <f>IF($A926=0,"",VLOOKUP($A926,'BASE MATERIAL'!$A:$D,3))</f>
        <v/>
      </c>
      <c r="F926" s="55"/>
      <c r="G926" s="55" t="str">
        <f>IF($A926=0,"",VLOOKUP($A926,'BASE MATERIAL'!$A:$D,4))</f>
        <v/>
      </c>
      <c r="H926" s="56" t="str">
        <f t="shared" si="84"/>
        <v/>
      </c>
      <c r="I926" s="2"/>
      <c r="L926" s="2"/>
      <c r="M926" s="2"/>
      <c r="N926" s="39"/>
      <c r="O926" s="2"/>
      <c r="P926" s="2"/>
    </row>
    <row r="927" spans="1:16" x14ac:dyDescent="0.25">
      <c r="B927" s="38" t="str">
        <f>IF($A927=0,"",VLOOKUP($A927,'BASE MATERIAL'!$A:$D,2))</f>
        <v/>
      </c>
      <c r="C927" s="2"/>
      <c r="D927" s="77"/>
      <c r="E927" s="78" t="str">
        <f>IF($A927=0,"",VLOOKUP($A927,'BASE MATERIAL'!$A:$D,3))</f>
        <v/>
      </c>
      <c r="F927" s="55"/>
      <c r="G927" s="55" t="str">
        <f>IF($A927=0,"",VLOOKUP($A927,'BASE MATERIAL'!$A:$D,4))</f>
        <v/>
      </c>
      <c r="H927" s="56" t="str">
        <f t="shared" si="84"/>
        <v/>
      </c>
      <c r="I927" s="2"/>
      <c r="L927" s="2"/>
      <c r="M927" s="2"/>
      <c r="N927" s="39"/>
      <c r="O927" s="2"/>
      <c r="P927" s="2"/>
    </row>
    <row r="928" spans="1:16" x14ac:dyDescent="0.25">
      <c r="B928" s="38" t="str">
        <f>IF($A928=0,"",VLOOKUP($A928,'BASE MATERIAL'!$A:$D,2))</f>
        <v/>
      </c>
      <c r="C928" s="2"/>
      <c r="D928" s="77"/>
      <c r="E928" s="78" t="str">
        <f>IF($A928=0,"",VLOOKUP($A928,'BASE MATERIAL'!$A:$D,3))</f>
        <v/>
      </c>
      <c r="F928" s="55"/>
      <c r="G928" s="55" t="str">
        <f>IF($A928=0,"",VLOOKUP($A928,'BASE MATERIAL'!$A:$D,4))</f>
        <v/>
      </c>
      <c r="H928" s="56" t="str">
        <f t="shared" si="84"/>
        <v/>
      </c>
      <c r="I928" s="2"/>
      <c r="L928" s="2"/>
      <c r="M928" s="2"/>
      <c r="N928" s="39"/>
      <c r="O928" s="2"/>
      <c r="P928" s="2"/>
    </row>
    <row r="929" spans="1:16" x14ac:dyDescent="0.25">
      <c r="B929" s="38" t="str">
        <f>IF($A929=0,"",VLOOKUP($A929,'BASE MATERIAL'!$A:$D,2))</f>
        <v/>
      </c>
      <c r="C929" s="2"/>
      <c r="D929" s="77"/>
      <c r="E929" s="78" t="str">
        <f>IF($A929=0,"",VLOOKUP($A929,'BASE MATERIAL'!$A:$D,3))</f>
        <v/>
      </c>
      <c r="F929" s="55"/>
      <c r="G929" s="55" t="str">
        <f>IF($A929=0,"",VLOOKUP($A929,'BASE MATERIAL'!$A:$D,4))</f>
        <v/>
      </c>
      <c r="H929" s="56" t="str">
        <f t="shared" si="84"/>
        <v/>
      </c>
      <c r="I929" s="2"/>
      <c r="L929" s="2"/>
      <c r="M929" s="2"/>
      <c r="N929" s="39"/>
      <c r="O929" s="2"/>
      <c r="P929" s="2"/>
    </row>
    <row r="930" spans="1:16" x14ac:dyDescent="0.25">
      <c r="B930" s="38" t="str">
        <f>IF($A930=0,"",VLOOKUP($A930,'BASE MATERIAL'!$A:$D,2))</f>
        <v/>
      </c>
      <c r="C930" s="2"/>
      <c r="D930" s="77"/>
      <c r="E930" s="78" t="str">
        <f>IF($A930=0,"",VLOOKUP($A930,'BASE MATERIAL'!$A:$D,3))</f>
        <v/>
      </c>
      <c r="F930" s="55"/>
      <c r="G930" s="55" t="str">
        <f>IF($A930=0,"",VLOOKUP($A930,'BASE MATERIAL'!$A:$D,4))</f>
        <v/>
      </c>
      <c r="H930" s="56" t="str">
        <f t="shared" si="84"/>
        <v/>
      </c>
      <c r="I930" s="2"/>
      <c r="L930" s="2"/>
      <c r="M930" s="2"/>
      <c r="N930" s="39"/>
      <c r="O930" s="2"/>
      <c r="P930" s="2"/>
    </row>
    <row r="931" spans="1:16" x14ac:dyDescent="0.25">
      <c r="B931" s="38" t="str">
        <f>IF($A931=0,"",VLOOKUP($A931,'BASE MATERIAL'!$A:$D,2))</f>
        <v/>
      </c>
      <c r="C931" s="2"/>
      <c r="D931" s="77"/>
      <c r="E931" s="78" t="str">
        <f>IF($A931=0,"",VLOOKUP($A931,'BASE MATERIAL'!$A:$D,3))</f>
        <v/>
      </c>
      <c r="F931" s="55"/>
      <c r="G931" s="55" t="str">
        <f>IF($A931=0,"",VLOOKUP($A931,'BASE MATERIAL'!$A:$D,4))</f>
        <v/>
      </c>
      <c r="H931" s="56" t="str">
        <f t="shared" si="84"/>
        <v/>
      </c>
      <c r="I931" s="2"/>
      <c r="L931" s="2"/>
      <c r="M931" s="2"/>
      <c r="N931" s="39"/>
      <c r="O931" s="2"/>
      <c r="P931" s="2"/>
    </row>
    <row r="932" spans="1:16" x14ac:dyDescent="0.25">
      <c r="B932" s="38" t="str">
        <f>IF($A932=0,"",VLOOKUP($A932,'BASE MATERIAL'!$A:$D,2))</f>
        <v/>
      </c>
      <c r="C932" s="2"/>
      <c r="D932" s="77"/>
      <c r="E932" s="78" t="str">
        <f>IF($A932=0,"",VLOOKUP($A932,'BASE MATERIAL'!$A:$D,3))</f>
        <v/>
      </c>
      <c r="F932" s="55"/>
      <c r="G932" s="55" t="str">
        <f>IF($A932=0,"",VLOOKUP($A932,'BASE MATERIAL'!$A:$D,4))</f>
        <v/>
      </c>
      <c r="H932" s="56" t="str">
        <f t="shared" si="84"/>
        <v/>
      </c>
      <c r="I932" s="2"/>
      <c r="L932" s="2"/>
      <c r="M932" s="2"/>
      <c r="N932" s="39"/>
      <c r="O932" s="2"/>
      <c r="P932" s="2"/>
    </row>
    <row r="933" spans="1:16" x14ac:dyDescent="0.25">
      <c r="B933" s="38" t="str">
        <f>IF($A933=0,"",VLOOKUP($A933,'BASE MATERIAL'!$A:$D,2))</f>
        <v/>
      </c>
      <c r="C933" s="2"/>
      <c r="D933" s="77"/>
      <c r="E933" s="78" t="str">
        <f>IF($A933=0,"",VLOOKUP($A933,'BASE MATERIAL'!$A:$D,3))</f>
        <v/>
      </c>
      <c r="F933" s="55"/>
      <c r="G933" s="55" t="str">
        <f>IF($A933=0,"",VLOOKUP($A933,'BASE MATERIAL'!$A:$D,4))</f>
        <v/>
      </c>
      <c r="H933" s="56" t="str">
        <f t="shared" si="84"/>
        <v/>
      </c>
      <c r="I933" s="2"/>
    </row>
    <row r="934" spans="1:16" x14ac:dyDescent="0.25">
      <c r="B934" s="38" t="str">
        <f>IF($A934=0,"",VLOOKUP($A934,'BASE MATERIAL'!$A:$D,2))</f>
        <v/>
      </c>
      <c r="C934" s="2"/>
      <c r="D934" s="77"/>
      <c r="E934" s="78" t="str">
        <f>IF($A934=0,"",VLOOKUP($A934,'BASE MATERIAL'!$A:$D,3))</f>
        <v/>
      </c>
      <c r="F934" s="55"/>
      <c r="G934" s="55" t="str">
        <f>IF($A934=0,"",VLOOKUP($A934,'BASE MATERIAL'!$A:$D,4))</f>
        <v/>
      </c>
      <c r="H934" s="56" t="str">
        <f t="shared" si="84"/>
        <v/>
      </c>
      <c r="I934" s="2"/>
      <c r="L934" s="2"/>
      <c r="M934" s="2"/>
      <c r="N934" s="39"/>
      <c r="O934" s="2"/>
      <c r="P934" s="2"/>
    </row>
    <row r="935" spans="1:16" x14ac:dyDescent="0.25">
      <c r="B935" s="38" t="str">
        <f>IF($A935=0,"",VLOOKUP($A935,'BASE MATERIAL'!$A:$D,2))</f>
        <v/>
      </c>
      <c r="C935" s="2"/>
      <c r="D935" s="77"/>
      <c r="E935" s="78" t="str">
        <f>IF($A935=0,"",VLOOKUP($A935,'BASE MATERIAL'!$A:$D,3))</f>
        <v/>
      </c>
      <c r="F935" s="55"/>
      <c r="G935" s="55" t="str">
        <f>IF($A935=0,"",VLOOKUP($A935,'BASE MATERIAL'!$A:$D,4))</f>
        <v/>
      </c>
      <c r="H935" s="56" t="str">
        <f t="shared" si="84"/>
        <v/>
      </c>
      <c r="I935" s="2"/>
      <c r="L935" s="2"/>
      <c r="M935" s="2"/>
      <c r="N935" s="39"/>
      <c r="O935" s="2"/>
      <c r="P935" s="2"/>
    </row>
    <row r="936" spans="1:16" x14ac:dyDescent="0.25">
      <c r="B936" s="38" t="str">
        <f>IF($A936=0,"",VLOOKUP($A936,'BASE MATERIAL'!$A:$D,2))</f>
        <v/>
      </c>
      <c r="C936" s="2"/>
      <c r="D936" s="77"/>
      <c r="E936" s="78" t="str">
        <f>IF($A936=0,"",VLOOKUP($A936,'BASE MATERIAL'!$A:$D,3))</f>
        <v/>
      </c>
      <c r="F936" s="55"/>
      <c r="G936" s="55" t="str">
        <f>IF($A936=0,"",VLOOKUP($A936,'BASE MATERIAL'!$A:$D,4))</f>
        <v/>
      </c>
      <c r="H936" s="56" t="str">
        <f t="shared" si="84"/>
        <v/>
      </c>
      <c r="I936" s="2"/>
    </row>
    <row r="937" spans="1:16" x14ac:dyDescent="0.25">
      <c r="B937" s="38" t="str">
        <f>IF($A937=0,"",VLOOKUP($A937,'BASE MATERIAL'!$A:$D,2))</f>
        <v/>
      </c>
      <c r="C937" s="2"/>
      <c r="D937" s="77"/>
      <c r="E937" s="78" t="str">
        <f>IF($A937=0,"",VLOOKUP($A937,'BASE MATERIAL'!$A:$D,3))</f>
        <v/>
      </c>
      <c r="F937" s="55"/>
      <c r="G937" s="55" t="str">
        <f>IF($A937=0,"",VLOOKUP($A937,'BASE MATERIAL'!$A:$D,4))</f>
        <v/>
      </c>
      <c r="H937" s="56" t="str">
        <f t="shared" si="84"/>
        <v/>
      </c>
      <c r="I937" s="2"/>
    </row>
    <row r="938" spans="1:16" x14ac:dyDescent="0.25">
      <c r="B938" s="38" t="str">
        <f>IF($A938=0,"",VLOOKUP($A938,'BASE MATERIAL'!$A:$D,2))</f>
        <v/>
      </c>
      <c r="C938" s="2"/>
      <c r="D938" s="77"/>
      <c r="E938" s="78" t="str">
        <f>IF($A938=0,"",VLOOKUP($A938,'BASE MATERIAL'!$A:$D,3))</f>
        <v/>
      </c>
      <c r="F938" s="55"/>
      <c r="G938" s="55" t="str">
        <f>IF($A938=0,"",VLOOKUP($A938,'BASE MATERIAL'!$A:$D,4))</f>
        <v/>
      </c>
      <c r="H938" s="56" t="str">
        <f t="shared" si="84"/>
        <v/>
      </c>
      <c r="I938" s="2"/>
    </row>
    <row r="939" spans="1:16" x14ac:dyDescent="0.25">
      <c r="B939" s="38" t="str">
        <f>IF($A939=0,"",VLOOKUP($A939,'BASE MATERIAL'!$A:$D,2))</f>
        <v/>
      </c>
      <c r="C939" s="2"/>
      <c r="D939" s="77"/>
      <c r="E939" s="78" t="str">
        <f>IF($A939=0,"",VLOOKUP($A939,'BASE MATERIAL'!$A:$D,3))</f>
        <v/>
      </c>
      <c r="F939" s="55"/>
      <c r="G939" s="55" t="str">
        <f>IF($A939=0,"",VLOOKUP($A939,'BASE MATERIAL'!$A:$D,4))</f>
        <v/>
      </c>
      <c r="H939" s="56" t="str">
        <f t="shared" si="84"/>
        <v/>
      </c>
      <c r="I939" s="2"/>
    </row>
    <row r="940" spans="1:16" x14ac:dyDescent="0.25">
      <c r="B940" s="38" t="str">
        <f>IF($A940=0,"",VLOOKUP($A940,'BASE MATERIAL'!$A:$D,2))</f>
        <v/>
      </c>
      <c r="C940" s="2"/>
      <c r="D940" s="81" t="s">
        <v>1682</v>
      </c>
      <c r="E940" s="55" t="str">
        <f>IF($A940=0,"",VLOOKUP($A940,'BASE MATERIAL'!$A:$D,3))</f>
        <v/>
      </c>
      <c r="F940" s="55" t="s">
        <v>1682</v>
      </c>
      <c r="G940" s="55" t="str">
        <f>IF($A940=0,"",VLOOKUP($A940,'BASE MATERIAL'!$A:$D,4))</f>
        <v/>
      </c>
      <c r="H940" s="56" t="str">
        <f>IF($A940=0,"",ROUND(E940*F940,2))</f>
        <v/>
      </c>
      <c r="I940" s="2"/>
    </row>
    <row r="941" spans="1:16" x14ac:dyDescent="0.25">
      <c r="B941" s="73" t="s">
        <v>1681</v>
      </c>
      <c r="C941" s="65"/>
      <c r="D941" s="74"/>
      <c r="E941" s="74"/>
      <c r="F941" s="74"/>
      <c r="G941" s="74"/>
      <c r="H941" s="75">
        <f>ROUND(SUM(H924:H940),2)</f>
        <v>16</v>
      </c>
      <c r="I941" s="2"/>
    </row>
    <row r="942" spans="1:16" x14ac:dyDescent="0.25">
      <c r="B942" s="38" t="s">
        <v>1680</v>
      </c>
      <c r="C942" s="2"/>
      <c r="D942" s="3"/>
      <c r="E942" s="3"/>
      <c r="F942" s="3"/>
      <c r="G942" s="3"/>
      <c r="H942" s="56"/>
      <c r="I942" s="2"/>
    </row>
    <row r="943" spans="1:16" ht="25.5" x14ac:dyDescent="0.25">
      <c r="B943" s="64" t="s">
        <v>1409</v>
      </c>
      <c r="C943" s="65"/>
      <c r="D943" s="76"/>
      <c r="E943" s="66" t="s">
        <v>1408</v>
      </c>
      <c r="F943" s="66" t="s">
        <v>1679</v>
      </c>
      <c r="G943" s="66" t="s">
        <v>1676</v>
      </c>
      <c r="H943" s="68" t="s">
        <v>1675</v>
      </c>
      <c r="I943" s="2"/>
    </row>
    <row r="944" spans="1:16" x14ac:dyDescent="0.25">
      <c r="A944" s="103">
        <v>19019</v>
      </c>
      <c r="B944" s="51" t="str">
        <f>IF($A944=0,"",VLOOKUP($A944,'BASE EQUIPO'!$A:$D,2))</f>
        <v>TRANSPORTE DE MATERIAL</v>
      </c>
      <c r="C944" s="52"/>
      <c r="D944" s="82"/>
      <c r="E944" s="78" t="str">
        <f>IF($A944=0,"",VLOOKUP($A944,'BASE EQUIPO'!$A:$D,3))</f>
        <v>GLOBAL</v>
      </c>
      <c r="F944" s="55">
        <v>1</v>
      </c>
      <c r="G944" s="83">
        <f>IF($A944=0,"",VLOOKUP($A944,'BASE EQUIPO'!$A:$D,4)*H941)</f>
        <v>0.48</v>
      </c>
      <c r="H944" s="56">
        <f>IF($A944=0,"",ROUND(F944*G944,2))</f>
        <v>0.48</v>
      </c>
      <c r="I944" s="2"/>
    </row>
    <row r="945" spans="1:15" x14ac:dyDescent="0.25">
      <c r="B945" s="38" t="str">
        <f>IF($A945=0,"",VLOOKUP($A945,'BASE EQUIPO'!$A:$D,2))</f>
        <v/>
      </c>
      <c r="C945" s="2"/>
      <c r="D945" s="84"/>
      <c r="E945" s="78" t="str">
        <f>IF($A945=0,"",VLOOKUP($A945,'BASE EQUIPO'!$A:$D,3))</f>
        <v/>
      </c>
      <c r="F945" s="55"/>
      <c r="G945" s="55" t="str">
        <f>IF($A945=0,"",VLOOKUP($A945,'BASE EQUIPO'!$A:$D,4)*H942)</f>
        <v/>
      </c>
      <c r="H945" s="56" t="str">
        <f>IF($A945=0,"",ROUND(F945*G945,2))</f>
        <v/>
      </c>
      <c r="I945" s="2"/>
    </row>
    <row r="946" spans="1:15" x14ac:dyDescent="0.25">
      <c r="B946" s="57" t="str">
        <f>IF($A946=0,"",VLOOKUP($A946,'BASE EQUIPO'!$A:$D,2))</f>
        <v/>
      </c>
      <c r="C946" s="58"/>
      <c r="D946" s="85"/>
      <c r="E946" s="86" t="str">
        <f>IF($A946=0,"",VLOOKUP($A946,'BASE EQUIPO'!$A:$D,3))</f>
        <v/>
      </c>
      <c r="F946" s="59"/>
      <c r="G946" s="59" t="str">
        <f>IF($A946=0,"",VLOOKUP($A946,'BASE EQUIPO'!$A:$D,4)*H943)</f>
        <v/>
      </c>
      <c r="H946" s="60" t="str">
        <f>IF($A946=0,"",ROUND(F946*G946,2))</f>
        <v/>
      </c>
      <c r="I946" s="2"/>
    </row>
    <row r="947" spans="1:15" ht="15.75" thickBot="1" x14ac:dyDescent="0.3">
      <c r="B947" s="87" t="s">
        <v>1674</v>
      </c>
      <c r="C947" s="88"/>
      <c r="D947" s="89"/>
      <c r="E947" s="89"/>
      <c r="F947" s="89"/>
      <c r="G947" s="89"/>
      <c r="H947" s="90">
        <f>ROUND(SUM(H943:H946),2)</f>
        <v>0.48</v>
      </c>
      <c r="I947" s="2"/>
    </row>
    <row r="948" spans="1:15" ht="15.75" x14ac:dyDescent="0.25">
      <c r="B948" s="2"/>
      <c r="C948" s="2"/>
      <c r="D948" s="91" t="s">
        <v>1673</v>
      </c>
      <c r="E948" s="47"/>
      <c r="F948" s="47"/>
      <c r="G948" s="47"/>
      <c r="H948" s="92">
        <f>ROUND(SUM(H947,H941,H922,H912),2)</f>
        <v>16.48</v>
      </c>
      <c r="I948" s="2"/>
    </row>
    <row r="949" spans="1:15" ht="15.75" x14ac:dyDescent="0.25">
      <c r="A949" s="103">
        <v>40002</v>
      </c>
      <c r="B949" s="2"/>
      <c r="C949" s="2"/>
      <c r="D949" s="93" t="s">
        <v>1672</v>
      </c>
      <c r="E949" s="65"/>
      <c r="F949" s="65"/>
      <c r="G949" s="94">
        <f>IF($A949=0,"",VLOOKUP($A949,'BASE MATERIAL'!$M:$P,4))</f>
        <v>0</v>
      </c>
      <c r="H949" s="95">
        <f>IF($A949=0,"",ROUND(G949*H948,2))</f>
        <v>0</v>
      </c>
      <c r="I949" s="2"/>
    </row>
    <row r="950" spans="1:15" ht="15.75" x14ac:dyDescent="0.25">
      <c r="A950" s="103">
        <v>40003</v>
      </c>
      <c r="B950" s="2"/>
      <c r="C950" s="2"/>
      <c r="D950" s="93" t="s">
        <v>1671</v>
      </c>
      <c r="E950" s="65"/>
      <c r="F950" s="65"/>
      <c r="G950" s="94">
        <f>IF($A950=0,"",VLOOKUP($A950,'BASE MATERIAL'!$M:$P,4))</f>
        <v>0</v>
      </c>
      <c r="H950" s="95">
        <f>IF($A950=0,"",ROUND(G950*H948,2))</f>
        <v>0</v>
      </c>
      <c r="I950" s="2"/>
    </row>
    <row r="951" spans="1:15" ht="15.75" x14ac:dyDescent="0.25">
      <c r="B951" s="2"/>
      <c r="C951" s="2"/>
      <c r="D951" s="93" t="s">
        <v>1670</v>
      </c>
      <c r="E951" s="65"/>
      <c r="F951" s="65"/>
      <c r="G951" s="65"/>
      <c r="H951" s="96">
        <f>ROUND(SUM(H948:H950),2)</f>
        <v>16.48</v>
      </c>
      <c r="I951" s="2"/>
    </row>
    <row r="952" spans="1:15" ht="16.5" thickBot="1" x14ac:dyDescent="0.3">
      <c r="B952" s="25"/>
      <c r="C952" s="2"/>
      <c r="D952" s="97" t="s">
        <v>1650</v>
      </c>
      <c r="E952" s="88"/>
      <c r="F952" s="88"/>
      <c r="G952" s="88"/>
      <c r="H952" s="98">
        <f>ROUND(H951,2)</f>
        <v>16.48</v>
      </c>
      <c r="I952" s="2"/>
    </row>
    <row r="953" spans="1:15" ht="15.75" x14ac:dyDescent="0.25">
      <c r="B953" s="34" t="s">
        <v>1701</v>
      </c>
      <c r="C953" s="2"/>
      <c r="D953" s="3" t="str">
        <f>$D$1</f>
        <v>ESPOL</v>
      </c>
      <c r="E953" s="2"/>
      <c r="F953" s="2"/>
      <c r="H953" s="2" t="s">
        <v>108</v>
      </c>
      <c r="I953" s="2"/>
      <c r="L953" s="40">
        <f>A957</f>
        <v>2</v>
      </c>
      <c r="M953" s="1" t="str">
        <f>C958</f>
        <v>Tuberia de cobre 3/8</v>
      </c>
      <c r="N953" s="2" t="str">
        <f>H957</f>
        <v>metros</v>
      </c>
      <c r="O953" s="2">
        <f>H1008</f>
        <v>6.39</v>
      </c>
    </row>
    <row r="954" spans="1:15" ht="15.75" x14ac:dyDescent="0.25">
      <c r="B954" s="34" t="s">
        <v>1700</v>
      </c>
      <c r="C954" s="3">
        <f>'1.1'!$C$2</f>
        <v>0</v>
      </c>
      <c r="D954" s="2"/>
      <c r="E954" s="2"/>
      <c r="F954" s="2"/>
      <c r="G954" s="41" t="s">
        <v>1699</v>
      </c>
      <c r="H954" s="42"/>
      <c r="I954" s="2" t="s">
        <v>1698</v>
      </c>
    </row>
    <row r="955" spans="1:15" ht="15.75" x14ac:dyDescent="0.25">
      <c r="B955" s="34"/>
      <c r="C955" s="3">
        <f>'1.1'!$C$3</f>
        <v>0</v>
      </c>
      <c r="D955" s="2"/>
      <c r="E955" s="2"/>
      <c r="F955" s="2"/>
      <c r="G955" s="2"/>
      <c r="H955" s="2"/>
      <c r="I955" s="2"/>
    </row>
    <row r="956" spans="1:15" ht="15.75" x14ac:dyDescent="0.25">
      <c r="B956" s="34" t="s">
        <v>1697</v>
      </c>
      <c r="C956" s="3"/>
      <c r="D956" s="2"/>
      <c r="E956" s="2"/>
      <c r="F956" s="2"/>
      <c r="G956" s="2"/>
      <c r="H956" s="2"/>
      <c r="I956" s="2"/>
    </row>
    <row r="957" spans="1:15" x14ac:dyDescent="0.25">
      <c r="A957" s="104">
        <v>2</v>
      </c>
      <c r="B957" s="2" t="s">
        <v>1586</v>
      </c>
      <c r="C957" s="101" t="s">
        <v>1337</v>
      </c>
      <c r="D957" s="2"/>
      <c r="G957" s="2" t="s">
        <v>1696</v>
      </c>
      <c r="H957" s="3" t="s">
        <v>145</v>
      </c>
      <c r="I957" s="2"/>
    </row>
    <row r="958" spans="1:15" x14ac:dyDescent="0.25">
      <c r="B958" s="1" t="s">
        <v>1585</v>
      </c>
      <c r="C958" s="36" t="s">
        <v>150</v>
      </c>
      <c r="D958" s="2"/>
      <c r="E958" s="2"/>
      <c r="F958" s="2"/>
      <c r="G958" s="2"/>
      <c r="H958" s="2"/>
      <c r="I958" s="2"/>
    </row>
    <row r="959" spans="1:15" ht="15.75" thickBot="1" x14ac:dyDescent="0.3">
      <c r="D959" s="2"/>
      <c r="E959" s="2"/>
      <c r="F959" s="2"/>
      <c r="G959" s="2"/>
      <c r="H959" s="2"/>
      <c r="I959" s="2"/>
    </row>
    <row r="960" spans="1:15" ht="15.75" thickBot="1" x14ac:dyDescent="0.3">
      <c r="B960" s="43" t="s">
        <v>1695</v>
      </c>
      <c r="C960" s="44"/>
      <c r="D960" s="44"/>
      <c r="E960" s="44"/>
      <c r="F960" s="44"/>
      <c r="G960" s="44"/>
      <c r="H960" s="45"/>
      <c r="I960" s="2"/>
    </row>
    <row r="961" spans="2:9" ht="25.5" x14ac:dyDescent="0.25">
      <c r="B961" s="46" t="s">
        <v>1409</v>
      </c>
      <c r="C961" s="47"/>
      <c r="D961" s="48" t="s">
        <v>1690</v>
      </c>
      <c r="E961" s="48" t="s">
        <v>1694</v>
      </c>
      <c r="F961" s="48" t="s">
        <v>1693</v>
      </c>
      <c r="G961" s="49" t="s">
        <v>1687</v>
      </c>
      <c r="H961" s="50" t="s">
        <v>1686</v>
      </c>
      <c r="I961" s="2"/>
    </row>
    <row r="962" spans="2:9" x14ac:dyDescent="0.25">
      <c r="B962" s="51" t="str">
        <f>IF($A962=0,"",VLOOKUP($A962,'BASE EQUIPO'!$A:$D,2))</f>
        <v/>
      </c>
      <c r="C962" s="52"/>
      <c r="D962" s="53"/>
      <c r="E962" s="53" t="str">
        <f>IF($A962=0,"",VLOOKUP($A962,'BASE EQUIPO'!$A:$D,4)*H978)</f>
        <v/>
      </c>
      <c r="F962" s="53" t="str">
        <f t="shared" ref="F962:F967" si="85">IF($A962=0,"",ROUND(D962*E962,2))</f>
        <v/>
      </c>
      <c r="G962" s="105"/>
      <c r="H962" s="54" t="str">
        <f t="shared" ref="H962:H967" si="86">IF($A962=0,"",ROUND(G962*F962,2))</f>
        <v/>
      </c>
      <c r="I962" s="2"/>
    </row>
    <row r="963" spans="2:9" x14ac:dyDescent="0.25">
      <c r="B963" s="38" t="str">
        <f>IF($A963=0,"",VLOOKUP($A963,'BASE EQUIPO'!$A:$D,2))</f>
        <v/>
      </c>
      <c r="C963" s="2"/>
      <c r="D963" s="55"/>
      <c r="E963" s="55" t="str">
        <f>IF($A963=0,"",VLOOKUP($A963,'BASE EQUIPO'!$A:$D,4))</f>
        <v/>
      </c>
      <c r="F963" s="55" t="str">
        <f t="shared" si="85"/>
        <v/>
      </c>
      <c r="G963" s="106"/>
      <c r="H963" s="56" t="str">
        <f t="shared" si="86"/>
        <v/>
      </c>
      <c r="I963" s="2"/>
    </row>
    <row r="964" spans="2:9" x14ac:dyDescent="0.25">
      <c r="B964" s="38" t="str">
        <f>IF($A964=0,"",VLOOKUP($A964,'BASE EQUIPO'!$A:$D,2))</f>
        <v/>
      </c>
      <c r="C964" s="2"/>
      <c r="D964" s="55"/>
      <c r="E964" s="55" t="str">
        <f>IF($A964=0,"",VLOOKUP($A964,'BASE EQUIPO'!$A:$D,4))</f>
        <v/>
      </c>
      <c r="F964" s="55" t="str">
        <f t="shared" si="85"/>
        <v/>
      </c>
      <c r="G964" s="106"/>
      <c r="H964" s="56" t="str">
        <f t="shared" si="86"/>
        <v/>
      </c>
      <c r="I964" s="2"/>
    </row>
    <row r="965" spans="2:9" x14ac:dyDescent="0.25">
      <c r="B965" s="38" t="str">
        <f>IF($A965=0,"",VLOOKUP($A965,'BASE EQUIPO'!$A:$D,2))</f>
        <v/>
      </c>
      <c r="C965" s="2"/>
      <c r="D965" s="55"/>
      <c r="E965" s="55" t="str">
        <f>IF($A965=0,"",VLOOKUP($A965,'BASE EQUIPO'!$A:$D,4))</f>
        <v/>
      </c>
      <c r="F965" s="55" t="str">
        <f t="shared" si="85"/>
        <v/>
      </c>
      <c r="G965" s="106"/>
      <c r="H965" s="56" t="str">
        <f t="shared" si="86"/>
        <v/>
      </c>
      <c r="I965" s="2"/>
    </row>
    <row r="966" spans="2:9" x14ac:dyDescent="0.25">
      <c r="B966" s="38" t="str">
        <f>IF($A966=0,"",VLOOKUP($A966,'BASE EQUIPO'!$A:$D,2))</f>
        <v/>
      </c>
      <c r="C966" s="2"/>
      <c r="D966" s="55"/>
      <c r="E966" s="55" t="str">
        <f>IF($A966=0,"",VLOOKUP($A966,'BASE EQUIPO'!$A:$D,4))</f>
        <v/>
      </c>
      <c r="F966" s="55" t="str">
        <f t="shared" si="85"/>
        <v/>
      </c>
      <c r="G966" s="106"/>
      <c r="H966" s="56" t="str">
        <f t="shared" si="86"/>
        <v/>
      </c>
      <c r="I966" s="2"/>
    </row>
    <row r="967" spans="2:9" x14ac:dyDescent="0.25">
      <c r="B967" s="57" t="str">
        <f>IF($A967=0,"",VLOOKUP($A967,'BASE EQUIPO'!$A:$D,2))</f>
        <v/>
      </c>
      <c r="C967" s="58"/>
      <c r="D967" s="59"/>
      <c r="E967" s="59" t="str">
        <f>IF($A967=0,"",VLOOKUP($A967,'BASE EQUIPO'!$A:$D,4))</f>
        <v/>
      </c>
      <c r="F967" s="59" t="str">
        <f t="shared" si="85"/>
        <v/>
      </c>
      <c r="G967" s="107"/>
      <c r="H967" s="60" t="str">
        <f t="shared" si="86"/>
        <v/>
      </c>
      <c r="I967" s="2"/>
    </row>
    <row r="968" spans="2:9" x14ac:dyDescent="0.25">
      <c r="B968" s="57" t="s">
        <v>1692</v>
      </c>
      <c r="C968" s="58"/>
      <c r="D968" s="61"/>
      <c r="E968" s="61"/>
      <c r="F968" s="61"/>
      <c r="G968" s="62"/>
      <c r="H968" s="60">
        <f>ROUND(SUM(H961:H967),2)</f>
        <v>0</v>
      </c>
      <c r="I968" s="2"/>
    </row>
    <row r="969" spans="2:9" x14ac:dyDescent="0.25">
      <c r="B969" s="38" t="s">
        <v>1503</v>
      </c>
      <c r="C969" s="2"/>
      <c r="D969" s="3"/>
      <c r="E969" s="3"/>
      <c r="F969" s="3"/>
      <c r="G969" s="63"/>
      <c r="H969" s="56"/>
      <c r="I969" s="2"/>
    </row>
    <row r="970" spans="2:9" ht="25.5" x14ac:dyDescent="0.25">
      <c r="B970" s="64" t="s">
        <v>1691</v>
      </c>
      <c r="C970" s="65"/>
      <c r="D970" s="66" t="s">
        <v>1690</v>
      </c>
      <c r="E970" s="66" t="s">
        <v>1689</v>
      </c>
      <c r="F970" s="66" t="s">
        <v>1688</v>
      </c>
      <c r="G970" s="67" t="s">
        <v>1687</v>
      </c>
      <c r="H970" s="68" t="s">
        <v>1686</v>
      </c>
      <c r="I970" s="2"/>
    </row>
    <row r="971" spans="2:9" x14ac:dyDescent="0.25">
      <c r="B971" s="69" t="str">
        <f>IF($A971=0,"",VLOOKUP($A971,'BASE M-OBRA'!$A:$D,2))</f>
        <v/>
      </c>
      <c r="C971" s="2"/>
      <c r="D971" s="108"/>
      <c r="E971" s="70" t="str">
        <f>IF($A971=0,"",VLOOKUP($A971,'BASE M-OBRA'!$A:$D,4))</f>
        <v/>
      </c>
      <c r="F971" s="55" t="str">
        <f t="shared" ref="F971:F977" si="87">IF($A971=0,"",ROUND(D971*E971,2))</f>
        <v/>
      </c>
      <c r="G971" s="106" t="str">
        <f>IF($A971=0,"",ROUND(H971/F971,2))</f>
        <v/>
      </c>
      <c r="H971" s="56" t="str">
        <f>IF($A971=0,"",ROUND(SUM(H972:H977)*'BASE M-OBRA'!$D$23,2))</f>
        <v/>
      </c>
      <c r="I971" s="2"/>
    </row>
    <row r="972" spans="2:9" x14ac:dyDescent="0.25">
      <c r="B972" s="69" t="str">
        <f>IF($A972=0,"",VLOOKUP($A972,'BASE M-OBRA'!$A:$D,2))</f>
        <v/>
      </c>
      <c r="C972" s="2"/>
      <c r="D972" s="108"/>
      <c r="E972" s="70" t="str">
        <f>IF($A972=0,"",VLOOKUP($A972,'BASE M-OBRA'!$A:$D,4))</f>
        <v/>
      </c>
      <c r="F972" s="55" t="str">
        <f t="shared" si="87"/>
        <v/>
      </c>
      <c r="G972" s="106"/>
      <c r="H972" s="56" t="str">
        <f t="shared" ref="H972:H977" si="88">IF($A972=0,"",ROUND(G972*F972,2))</f>
        <v/>
      </c>
      <c r="I972" s="2"/>
    </row>
    <row r="973" spans="2:9" x14ac:dyDescent="0.25">
      <c r="B973" s="69" t="str">
        <f>IF($A973=0,"",VLOOKUP($A973,'BASE M-OBRA'!$A:$D,2))</f>
        <v/>
      </c>
      <c r="C973" s="2"/>
      <c r="D973" s="108"/>
      <c r="E973" s="70" t="str">
        <f>IF($A973=0,"",VLOOKUP($A973,'BASE M-OBRA'!$A:$D,4))</f>
        <v/>
      </c>
      <c r="F973" s="55" t="str">
        <f t="shared" si="87"/>
        <v/>
      </c>
      <c r="G973" s="106"/>
      <c r="H973" s="56" t="str">
        <f t="shared" si="88"/>
        <v/>
      </c>
      <c r="I973" s="2"/>
    </row>
    <row r="974" spans="2:9" x14ac:dyDescent="0.25">
      <c r="B974" s="71" t="str">
        <f>IF($A974=0,"",VLOOKUP($A974,'BASE M-OBRA'!$A:$D,2))</f>
        <v/>
      </c>
      <c r="C974" s="2"/>
      <c r="D974" s="108"/>
      <c r="E974" s="70" t="str">
        <f>IF($A974=0,"",VLOOKUP($A974,'BASE M-OBRA'!$A:$D,4))</f>
        <v/>
      </c>
      <c r="F974" s="55" t="str">
        <f t="shared" si="87"/>
        <v/>
      </c>
      <c r="G974" s="106"/>
      <c r="H974" s="56" t="str">
        <f t="shared" si="88"/>
        <v/>
      </c>
      <c r="I974" s="2"/>
    </row>
    <row r="975" spans="2:9" x14ac:dyDescent="0.25">
      <c r="B975" s="72" t="str">
        <f>IF($A975=0,"",VLOOKUP($A975,'BASE M-OBRA'!$A:$D,2))</f>
        <v/>
      </c>
      <c r="C975" s="2"/>
      <c r="D975" s="108"/>
      <c r="E975" s="70" t="str">
        <f>IF($A975=0,"",VLOOKUP($A975,'BASE M-OBRA'!$A:$D,4))</f>
        <v/>
      </c>
      <c r="F975" s="55" t="str">
        <f t="shared" si="87"/>
        <v/>
      </c>
      <c r="G975" s="106"/>
      <c r="H975" s="56" t="str">
        <f t="shared" si="88"/>
        <v/>
      </c>
      <c r="I975" s="2"/>
    </row>
    <row r="976" spans="2:9" x14ac:dyDescent="0.25">
      <c r="B976" s="38" t="str">
        <f>IF($A976=0,"",VLOOKUP($A976,'BASE M-OBRA'!$A:$D,2))</f>
        <v/>
      </c>
      <c r="C976" s="2"/>
      <c r="D976" s="55"/>
      <c r="E976" s="55" t="str">
        <f>IF($A976=0,"",VLOOKUP($A976,'BASE M-OBRA'!$A:$D,4))</f>
        <v/>
      </c>
      <c r="F976" s="55" t="str">
        <f t="shared" si="87"/>
        <v/>
      </c>
      <c r="G976" s="106"/>
      <c r="H976" s="56" t="str">
        <f t="shared" si="88"/>
        <v/>
      </c>
      <c r="I976" s="2"/>
    </row>
    <row r="977" spans="1:16" x14ac:dyDescent="0.25">
      <c r="B977" s="57" t="str">
        <f>IF($A977=0,"",VLOOKUP($A977,'BASE M-OBRA'!$A:$D,2))</f>
        <v/>
      </c>
      <c r="C977" s="58"/>
      <c r="D977" s="59"/>
      <c r="E977" s="59" t="str">
        <f>IF($A977=0,"",VLOOKUP($A977,'BASE M-OBRA'!$A:$D,4))</f>
        <v/>
      </c>
      <c r="F977" s="59" t="str">
        <f t="shared" si="87"/>
        <v/>
      </c>
      <c r="G977" s="107"/>
      <c r="H977" s="60" t="str">
        <f t="shared" si="88"/>
        <v/>
      </c>
      <c r="I977" s="2"/>
    </row>
    <row r="978" spans="1:16" x14ac:dyDescent="0.25">
      <c r="B978" s="73" t="s">
        <v>1685</v>
      </c>
      <c r="C978" s="65"/>
      <c r="D978" s="74"/>
      <c r="E978" s="74"/>
      <c r="F978" s="74"/>
      <c r="G978" s="74"/>
      <c r="H978" s="75">
        <f>ROUND(SUM(H970:H977),2)</f>
        <v>0</v>
      </c>
      <c r="I978" s="2"/>
    </row>
    <row r="979" spans="1:16" x14ac:dyDescent="0.25">
      <c r="B979" s="38" t="s">
        <v>1684</v>
      </c>
      <c r="C979" s="2"/>
      <c r="D979" s="3"/>
      <c r="E979" s="3"/>
      <c r="F979" s="3"/>
      <c r="G979" s="3"/>
      <c r="H979" s="56"/>
      <c r="I979" s="2"/>
    </row>
    <row r="980" spans="1:16" ht="25.5" x14ac:dyDescent="0.25">
      <c r="B980" s="64" t="s">
        <v>1409</v>
      </c>
      <c r="C980" s="65"/>
      <c r="D980" s="76"/>
      <c r="E980" s="66" t="s">
        <v>1408</v>
      </c>
      <c r="F980" s="66" t="s">
        <v>1679</v>
      </c>
      <c r="G980" s="66" t="s">
        <v>1683</v>
      </c>
      <c r="H980" s="68" t="s">
        <v>1675</v>
      </c>
      <c r="I980" s="2"/>
    </row>
    <row r="981" spans="1:16" x14ac:dyDescent="0.25">
      <c r="A981" s="103">
        <v>1</v>
      </c>
      <c r="B981" s="102" t="s">
        <v>118</v>
      </c>
      <c r="C981" s="2"/>
      <c r="D981" s="77"/>
      <c r="E981" s="78" t="s">
        <v>145</v>
      </c>
      <c r="F981" s="55">
        <v>1</v>
      </c>
      <c r="G981" s="55">
        <v>6.2</v>
      </c>
      <c r="H981" s="56">
        <f t="shared" ref="H981:H995" si="89">IF($A981=0,"",ROUND(F981*G981,2))</f>
        <v>6.2</v>
      </c>
      <c r="I981" s="2"/>
      <c r="J981" s="1">
        <v>6.2</v>
      </c>
      <c r="L981" s="2"/>
      <c r="M981" s="2"/>
      <c r="N981" s="39"/>
      <c r="O981" s="2"/>
      <c r="P981" s="2"/>
    </row>
    <row r="982" spans="1:16" x14ac:dyDescent="0.25">
      <c r="B982" s="102"/>
      <c r="C982" s="2"/>
      <c r="D982" s="77"/>
      <c r="E982" s="78" t="str">
        <f>IF($A982=0,"",VLOOKUP($A982,'BASE MATERIAL'!$A:$D,3))</f>
        <v/>
      </c>
      <c r="F982" s="55"/>
      <c r="G982" s="55" t="str">
        <f>IF($A982=0,"",VLOOKUP($A982,'BASE MATERIAL'!$A:$D,4))</f>
        <v/>
      </c>
      <c r="H982" s="56" t="str">
        <f t="shared" si="89"/>
        <v/>
      </c>
      <c r="I982" s="2"/>
      <c r="L982" s="2"/>
      <c r="M982" s="2"/>
      <c r="N982" s="39"/>
      <c r="O982" s="2"/>
      <c r="P982" s="2"/>
    </row>
    <row r="983" spans="1:16" x14ac:dyDescent="0.25">
      <c r="B983" s="38" t="str">
        <f>IF($A983=0,"",VLOOKUP($A983,'BASE MATERIAL'!$A:$D,2))</f>
        <v/>
      </c>
      <c r="C983" s="2"/>
      <c r="D983" s="77"/>
      <c r="E983" s="78" t="str">
        <f>IF($A983=0,"",VLOOKUP($A983,'BASE MATERIAL'!$A:$D,3))</f>
        <v/>
      </c>
      <c r="F983" s="55"/>
      <c r="G983" s="55" t="str">
        <f>IF($A983=0,"",VLOOKUP($A983,'BASE MATERIAL'!$A:$D,4))</f>
        <v/>
      </c>
      <c r="H983" s="56" t="str">
        <f t="shared" si="89"/>
        <v/>
      </c>
      <c r="I983" s="2"/>
      <c r="L983" s="2"/>
      <c r="M983" s="2"/>
      <c r="N983" s="39"/>
      <c r="O983" s="2"/>
      <c r="P983" s="2"/>
    </row>
    <row r="984" spans="1:16" x14ac:dyDescent="0.25">
      <c r="B984" s="38" t="str">
        <f>IF($A984=0,"",VLOOKUP($A984,'BASE MATERIAL'!$A:$D,2))</f>
        <v/>
      </c>
      <c r="C984" s="2"/>
      <c r="D984" s="77"/>
      <c r="E984" s="78" t="str">
        <f>IF($A984=0,"",VLOOKUP($A984,'BASE MATERIAL'!$A:$D,3))</f>
        <v/>
      </c>
      <c r="F984" s="55"/>
      <c r="G984" s="55" t="str">
        <f>IF($A984=0,"",VLOOKUP($A984,'BASE MATERIAL'!$A:$D,4))</f>
        <v/>
      </c>
      <c r="H984" s="56" t="str">
        <f t="shared" si="89"/>
        <v/>
      </c>
      <c r="I984" s="2"/>
      <c r="L984" s="2"/>
      <c r="M984" s="2"/>
      <c r="N984" s="39"/>
      <c r="O984" s="2"/>
      <c r="P984" s="2"/>
    </row>
    <row r="985" spans="1:16" x14ac:dyDescent="0.25">
      <c r="B985" s="38" t="str">
        <f>IF($A985=0,"",VLOOKUP($A985,'BASE MATERIAL'!$A:$D,2))</f>
        <v/>
      </c>
      <c r="C985" s="2"/>
      <c r="D985" s="77"/>
      <c r="E985" s="78" t="str">
        <f>IF($A985=0,"",VLOOKUP($A985,'BASE MATERIAL'!$A:$D,3))</f>
        <v/>
      </c>
      <c r="F985" s="55"/>
      <c r="G985" s="55" t="str">
        <f>IF($A985=0,"",VLOOKUP($A985,'BASE MATERIAL'!$A:$D,4))</f>
        <v/>
      </c>
      <c r="H985" s="56" t="str">
        <f t="shared" si="89"/>
        <v/>
      </c>
      <c r="I985" s="2"/>
      <c r="L985" s="2"/>
      <c r="M985" s="2"/>
      <c r="N985" s="39"/>
      <c r="O985" s="2"/>
      <c r="P985" s="2"/>
    </row>
    <row r="986" spans="1:16" x14ac:dyDescent="0.25">
      <c r="B986" s="38" t="str">
        <f>IF($A986=0,"",VLOOKUP($A986,'BASE MATERIAL'!$A:$D,2))</f>
        <v/>
      </c>
      <c r="C986" s="2"/>
      <c r="D986" s="77"/>
      <c r="E986" s="78" t="str">
        <f>IF($A986=0,"",VLOOKUP($A986,'BASE MATERIAL'!$A:$D,3))</f>
        <v/>
      </c>
      <c r="F986" s="55"/>
      <c r="G986" s="55" t="str">
        <f>IF($A986=0,"",VLOOKUP($A986,'BASE MATERIAL'!$A:$D,4))</f>
        <v/>
      </c>
      <c r="H986" s="56" t="str">
        <f t="shared" si="89"/>
        <v/>
      </c>
      <c r="I986" s="2"/>
      <c r="L986" s="2"/>
      <c r="M986" s="2"/>
      <c r="N986" s="39"/>
      <c r="O986" s="2"/>
      <c r="P986" s="2"/>
    </row>
    <row r="987" spans="1:16" x14ac:dyDescent="0.25">
      <c r="B987" s="38" t="str">
        <f>IF($A987=0,"",VLOOKUP($A987,'BASE MATERIAL'!$A:$D,2))</f>
        <v/>
      </c>
      <c r="C987" s="2"/>
      <c r="D987" s="77"/>
      <c r="E987" s="78" t="str">
        <f>IF($A987=0,"",VLOOKUP($A987,'BASE MATERIAL'!$A:$D,3))</f>
        <v/>
      </c>
      <c r="F987" s="55"/>
      <c r="G987" s="55" t="str">
        <f>IF($A987=0,"",VLOOKUP($A987,'BASE MATERIAL'!$A:$D,4))</f>
        <v/>
      </c>
      <c r="H987" s="56" t="str">
        <f t="shared" si="89"/>
        <v/>
      </c>
      <c r="I987" s="2"/>
      <c r="L987" s="2"/>
      <c r="M987" s="2"/>
      <c r="N987" s="39"/>
      <c r="O987" s="2"/>
      <c r="P987" s="2"/>
    </row>
    <row r="988" spans="1:16" x14ac:dyDescent="0.25">
      <c r="B988" s="38" t="str">
        <f>IF($A988=0,"",VLOOKUP($A988,'BASE MATERIAL'!$A:$D,2))</f>
        <v/>
      </c>
      <c r="C988" s="2"/>
      <c r="D988" s="77"/>
      <c r="E988" s="78" t="str">
        <f>IF($A988=0,"",VLOOKUP($A988,'BASE MATERIAL'!$A:$D,3))</f>
        <v/>
      </c>
      <c r="F988" s="55"/>
      <c r="G988" s="55" t="str">
        <f>IF($A988=0,"",VLOOKUP($A988,'BASE MATERIAL'!$A:$D,4))</f>
        <v/>
      </c>
      <c r="H988" s="56" t="str">
        <f t="shared" si="89"/>
        <v/>
      </c>
      <c r="I988" s="2"/>
      <c r="L988" s="2"/>
      <c r="M988" s="2"/>
      <c r="N988" s="39"/>
      <c r="O988" s="2"/>
      <c r="P988" s="2"/>
    </row>
    <row r="989" spans="1:16" x14ac:dyDescent="0.25">
      <c r="B989" s="38" t="str">
        <f>IF($A989=0,"",VLOOKUP($A989,'BASE MATERIAL'!$A:$D,2))</f>
        <v/>
      </c>
      <c r="C989" s="2"/>
      <c r="D989" s="77"/>
      <c r="E989" s="78" t="str">
        <f>IF($A989=0,"",VLOOKUP($A989,'BASE MATERIAL'!$A:$D,3))</f>
        <v/>
      </c>
      <c r="F989" s="55"/>
      <c r="G989" s="55" t="str">
        <f>IF($A989=0,"",VLOOKUP($A989,'BASE MATERIAL'!$A:$D,4))</f>
        <v/>
      </c>
      <c r="H989" s="56" t="str">
        <f t="shared" si="89"/>
        <v/>
      </c>
      <c r="I989" s="2"/>
    </row>
    <row r="990" spans="1:16" x14ac:dyDescent="0.25">
      <c r="B990" s="38" t="str">
        <f>IF($A990=0,"",VLOOKUP($A990,'BASE MATERIAL'!$A:$D,2))</f>
        <v/>
      </c>
      <c r="C990" s="2"/>
      <c r="D990" s="77"/>
      <c r="E990" s="78" t="str">
        <f>IF($A990=0,"",VLOOKUP($A990,'BASE MATERIAL'!$A:$D,3))</f>
        <v/>
      </c>
      <c r="F990" s="55"/>
      <c r="G990" s="55" t="str">
        <f>IF($A990=0,"",VLOOKUP($A990,'BASE MATERIAL'!$A:$D,4))</f>
        <v/>
      </c>
      <c r="H990" s="56" t="str">
        <f t="shared" si="89"/>
        <v/>
      </c>
      <c r="I990" s="2"/>
      <c r="L990" s="2"/>
      <c r="M990" s="2"/>
      <c r="N990" s="39"/>
      <c r="O990" s="2"/>
      <c r="P990" s="2"/>
    </row>
    <row r="991" spans="1:16" x14ac:dyDescent="0.25">
      <c r="B991" s="38" t="str">
        <f>IF($A991=0,"",VLOOKUP($A991,'BASE MATERIAL'!$A:$D,2))</f>
        <v/>
      </c>
      <c r="C991" s="2"/>
      <c r="D991" s="77"/>
      <c r="E991" s="78" t="str">
        <f>IF($A991=0,"",VLOOKUP($A991,'BASE MATERIAL'!$A:$D,3))</f>
        <v/>
      </c>
      <c r="F991" s="55"/>
      <c r="G991" s="55" t="str">
        <f>IF($A991=0,"",VLOOKUP($A991,'BASE MATERIAL'!$A:$D,4))</f>
        <v/>
      </c>
      <c r="H991" s="56" t="str">
        <f t="shared" si="89"/>
        <v/>
      </c>
      <c r="I991" s="2"/>
      <c r="L991" s="2"/>
      <c r="M991" s="2"/>
      <c r="N991" s="39"/>
      <c r="O991" s="2"/>
      <c r="P991" s="2"/>
    </row>
    <row r="992" spans="1:16" x14ac:dyDescent="0.25">
      <c r="B992" s="38" t="str">
        <f>IF($A992=0,"",VLOOKUP($A992,'BASE MATERIAL'!$A:$D,2))</f>
        <v/>
      </c>
      <c r="C992" s="2"/>
      <c r="D992" s="77"/>
      <c r="E992" s="78" t="str">
        <f>IF($A992=0,"",VLOOKUP($A992,'BASE MATERIAL'!$A:$D,3))</f>
        <v/>
      </c>
      <c r="F992" s="55"/>
      <c r="G992" s="55" t="str">
        <f>IF($A992=0,"",VLOOKUP($A992,'BASE MATERIAL'!$A:$D,4))</f>
        <v/>
      </c>
      <c r="H992" s="56" t="str">
        <f t="shared" si="89"/>
        <v/>
      </c>
      <c r="I992" s="2"/>
    </row>
    <row r="993" spans="1:9" x14ac:dyDescent="0.25">
      <c r="B993" s="38" t="str">
        <f>IF($A993=0,"",VLOOKUP($A993,'BASE MATERIAL'!$A:$D,2))</f>
        <v/>
      </c>
      <c r="C993" s="2"/>
      <c r="D993" s="77"/>
      <c r="E993" s="78" t="str">
        <f>IF($A993=0,"",VLOOKUP($A993,'BASE MATERIAL'!$A:$D,3))</f>
        <v/>
      </c>
      <c r="F993" s="55"/>
      <c r="G993" s="55" t="str">
        <f>IF($A993=0,"",VLOOKUP($A993,'BASE MATERIAL'!$A:$D,4))</f>
        <v/>
      </c>
      <c r="H993" s="56" t="str">
        <f t="shared" si="89"/>
        <v/>
      </c>
      <c r="I993" s="2"/>
    </row>
    <row r="994" spans="1:9" x14ac:dyDescent="0.25">
      <c r="B994" s="38" t="str">
        <f>IF($A994=0,"",VLOOKUP($A994,'BASE MATERIAL'!$A:$D,2))</f>
        <v/>
      </c>
      <c r="C994" s="2"/>
      <c r="D994" s="77"/>
      <c r="E994" s="78" t="str">
        <f>IF($A994=0,"",VLOOKUP($A994,'BASE MATERIAL'!$A:$D,3))</f>
        <v/>
      </c>
      <c r="F994" s="55"/>
      <c r="G994" s="55" t="str">
        <f>IF($A994=0,"",VLOOKUP($A994,'BASE MATERIAL'!$A:$D,4))</f>
        <v/>
      </c>
      <c r="H994" s="56" t="str">
        <f t="shared" si="89"/>
        <v/>
      </c>
      <c r="I994" s="2"/>
    </row>
    <row r="995" spans="1:9" x14ac:dyDescent="0.25">
      <c r="B995" s="38" t="str">
        <f>IF($A995=0,"",VLOOKUP($A995,'BASE MATERIAL'!$A:$D,2))</f>
        <v/>
      </c>
      <c r="C995" s="2"/>
      <c r="D995" s="77"/>
      <c r="E995" s="78" t="str">
        <f>IF($A995=0,"",VLOOKUP($A995,'BASE MATERIAL'!$A:$D,3))</f>
        <v/>
      </c>
      <c r="F995" s="55"/>
      <c r="G995" s="55" t="str">
        <f>IF($A995=0,"",VLOOKUP($A995,'BASE MATERIAL'!$A:$D,4))</f>
        <v/>
      </c>
      <c r="H995" s="56" t="str">
        <f t="shared" si="89"/>
        <v/>
      </c>
      <c r="I995" s="2"/>
    </row>
    <row r="996" spans="1:9" x14ac:dyDescent="0.25">
      <c r="B996" s="38" t="str">
        <f>IF($A996=0,"",VLOOKUP($A996,'BASE MATERIAL'!$A:$D,2))</f>
        <v/>
      </c>
      <c r="C996" s="2"/>
      <c r="D996" s="81" t="s">
        <v>1682</v>
      </c>
      <c r="E996" s="55" t="str">
        <f>IF($A996=0,"",VLOOKUP($A996,'BASE MATERIAL'!$A:$D,3))</f>
        <v/>
      </c>
      <c r="F996" s="55" t="s">
        <v>1682</v>
      </c>
      <c r="G996" s="55" t="str">
        <f>IF($A996=0,"",VLOOKUP($A996,'BASE MATERIAL'!$A:$D,4))</f>
        <v/>
      </c>
      <c r="H996" s="56" t="str">
        <f>IF($A996=0,"",ROUND(E996*F996,2))</f>
        <v/>
      </c>
      <c r="I996" s="2"/>
    </row>
    <row r="997" spans="1:9" x14ac:dyDescent="0.25">
      <c r="B997" s="73" t="s">
        <v>1681</v>
      </c>
      <c r="C997" s="65"/>
      <c r="D997" s="74"/>
      <c r="E997" s="74"/>
      <c r="F997" s="74"/>
      <c r="G997" s="74"/>
      <c r="H997" s="75">
        <f>ROUND(SUM(H980:H996),2)</f>
        <v>6.2</v>
      </c>
      <c r="I997" s="2"/>
    </row>
    <row r="998" spans="1:9" x14ac:dyDescent="0.25">
      <c r="B998" s="38" t="s">
        <v>1680</v>
      </c>
      <c r="C998" s="2"/>
      <c r="D998" s="3"/>
      <c r="E998" s="3"/>
      <c r="F998" s="3"/>
      <c r="G998" s="3"/>
      <c r="H998" s="56"/>
      <c r="I998" s="2"/>
    </row>
    <row r="999" spans="1:9" ht="25.5" x14ac:dyDescent="0.25">
      <c r="B999" s="64" t="s">
        <v>1409</v>
      </c>
      <c r="C999" s="65"/>
      <c r="D999" s="76"/>
      <c r="E999" s="66" t="s">
        <v>1408</v>
      </c>
      <c r="F999" s="66" t="s">
        <v>1679</v>
      </c>
      <c r="G999" s="66" t="s">
        <v>1676</v>
      </c>
      <c r="H999" s="68" t="s">
        <v>1675</v>
      </c>
      <c r="I999" s="2"/>
    </row>
    <row r="1000" spans="1:9" x14ac:dyDescent="0.25">
      <c r="A1000" s="103">
        <v>19019</v>
      </c>
      <c r="B1000" s="51" t="str">
        <f>IF($A1000=0,"",VLOOKUP($A1000,'BASE EQUIPO'!$A:$D,2))</f>
        <v>TRANSPORTE DE MATERIAL</v>
      </c>
      <c r="C1000" s="52"/>
      <c r="D1000" s="82"/>
      <c r="E1000" s="78" t="str">
        <f>IF($A1000=0,"",VLOOKUP($A1000,'BASE EQUIPO'!$A:$D,3))</f>
        <v>GLOBAL</v>
      </c>
      <c r="F1000" s="55">
        <v>1</v>
      </c>
      <c r="G1000" s="83">
        <f>IF($A1000=0,"",VLOOKUP($A1000,'BASE EQUIPO'!$A:$D,4)*H997)</f>
        <v>0.186</v>
      </c>
      <c r="H1000" s="56">
        <f>IF($A1000=0,"",ROUND(F1000*G1000,2))</f>
        <v>0.19</v>
      </c>
      <c r="I1000" s="2"/>
    </row>
    <row r="1001" spans="1:9" x14ac:dyDescent="0.25">
      <c r="B1001" s="38" t="str">
        <f>IF($A1001=0,"",VLOOKUP($A1001,'BASE EQUIPO'!$A:$D,2))</f>
        <v/>
      </c>
      <c r="C1001" s="2"/>
      <c r="D1001" s="84"/>
      <c r="E1001" s="78" t="str">
        <f>IF($A1001=0,"",VLOOKUP($A1001,'BASE EQUIPO'!$A:$D,3))</f>
        <v/>
      </c>
      <c r="F1001" s="55"/>
      <c r="G1001" s="55" t="str">
        <f>IF($A1001=0,"",VLOOKUP($A1001,'BASE EQUIPO'!$A:$D,4)*H998)</f>
        <v/>
      </c>
      <c r="H1001" s="56" t="str">
        <f>IF($A1001=0,"",ROUND(F1001*G1001,2))</f>
        <v/>
      </c>
      <c r="I1001" s="2"/>
    </row>
    <row r="1002" spans="1:9" x14ac:dyDescent="0.25">
      <c r="B1002" s="57" t="str">
        <f>IF($A1002=0,"",VLOOKUP($A1002,'BASE EQUIPO'!$A:$D,2))</f>
        <v/>
      </c>
      <c r="C1002" s="58"/>
      <c r="D1002" s="85"/>
      <c r="E1002" s="86" t="str">
        <f>IF($A1002=0,"",VLOOKUP($A1002,'BASE EQUIPO'!$A:$D,3))</f>
        <v/>
      </c>
      <c r="F1002" s="59"/>
      <c r="G1002" s="59" t="str">
        <f>IF($A1002=0,"",VLOOKUP($A1002,'BASE EQUIPO'!$A:$D,4)*H999)</f>
        <v/>
      </c>
      <c r="H1002" s="60" t="str">
        <f>IF($A1002=0,"",ROUND(F1002*G1002,2))</f>
        <v/>
      </c>
      <c r="I1002" s="2"/>
    </row>
    <row r="1003" spans="1:9" ht="15.75" thickBot="1" x14ac:dyDescent="0.3">
      <c r="B1003" s="87" t="s">
        <v>1674</v>
      </c>
      <c r="C1003" s="88"/>
      <c r="D1003" s="89"/>
      <c r="E1003" s="89"/>
      <c r="F1003" s="89"/>
      <c r="G1003" s="89"/>
      <c r="H1003" s="90">
        <f>ROUND(SUM(H999:H1002),2)</f>
        <v>0.19</v>
      </c>
      <c r="I1003" s="2"/>
    </row>
    <row r="1004" spans="1:9" ht="15.75" x14ac:dyDescent="0.25">
      <c r="B1004" s="2"/>
      <c r="C1004" s="2"/>
      <c r="D1004" s="91" t="s">
        <v>1673</v>
      </c>
      <c r="E1004" s="47"/>
      <c r="F1004" s="47"/>
      <c r="G1004" s="47"/>
      <c r="H1004" s="92">
        <f>ROUND(SUM(H1003,H997,H978,H968),2)</f>
        <v>6.39</v>
      </c>
      <c r="I1004" s="2"/>
    </row>
    <row r="1005" spans="1:9" ht="15.75" x14ac:dyDescent="0.25">
      <c r="A1005" s="103">
        <v>40002</v>
      </c>
      <c r="B1005" s="2"/>
      <c r="C1005" s="2"/>
      <c r="D1005" s="93" t="s">
        <v>1672</v>
      </c>
      <c r="E1005" s="65"/>
      <c r="F1005" s="65"/>
      <c r="G1005" s="94">
        <f>IF($A1005=0,"",VLOOKUP($A1005,'BASE MATERIAL'!$M:$P,4))</f>
        <v>0</v>
      </c>
      <c r="H1005" s="95">
        <f>IF($A1005=0,"",ROUND(G1005*H1004,2))</f>
        <v>0</v>
      </c>
      <c r="I1005" s="2"/>
    </row>
    <row r="1006" spans="1:9" ht="15.75" x14ac:dyDescent="0.25">
      <c r="A1006" s="103">
        <v>40003</v>
      </c>
      <c r="B1006" s="2"/>
      <c r="C1006" s="2"/>
      <c r="D1006" s="93" t="s">
        <v>1671</v>
      </c>
      <c r="E1006" s="65"/>
      <c r="F1006" s="65"/>
      <c r="G1006" s="94">
        <f>IF($A1006=0,"",VLOOKUP($A1006,'BASE MATERIAL'!$M:$P,4))</f>
        <v>0</v>
      </c>
      <c r="H1006" s="95">
        <f>IF($A1006=0,"",ROUND(G1006*H1004,2))</f>
        <v>0</v>
      </c>
      <c r="I1006" s="2"/>
    </row>
    <row r="1007" spans="1:9" ht="15.75" x14ac:dyDescent="0.25">
      <c r="B1007" s="2"/>
      <c r="C1007" s="2"/>
      <c r="D1007" s="93" t="s">
        <v>1670</v>
      </c>
      <c r="E1007" s="65"/>
      <c r="F1007" s="65"/>
      <c r="G1007" s="65"/>
      <c r="H1007" s="96">
        <f>ROUND(SUM(H1004:H1006),2)</f>
        <v>6.39</v>
      </c>
      <c r="I1007" s="2"/>
    </row>
    <row r="1008" spans="1:9" ht="16.5" thickBot="1" x14ac:dyDescent="0.3">
      <c r="B1008" s="25"/>
      <c r="C1008" s="2"/>
      <c r="D1008" s="97" t="s">
        <v>1650</v>
      </c>
      <c r="E1008" s="88"/>
      <c r="F1008" s="88"/>
      <c r="G1008" s="88"/>
      <c r="H1008" s="98">
        <f>ROUND(H1007,2)</f>
        <v>6.39</v>
      </c>
      <c r="I1008" s="2"/>
    </row>
    <row r="1009" spans="1:15" ht="15.75" x14ac:dyDescent="0.25">
      <c r="B1009" s="34" t="s">
        <v>1701</v>
      </c>
      <c r="C1009" s="2"/>
      <c r="D1009" s="3" t="str">
        <f>$D$1</f>
        <v>ESPOL</v>
      </c>
      <c r="E1009" s="2"/>
      <c r="F1009" s="2"/>
      <c r="H1009" s="2" t="s">
        <v>108</v>
      </c>
      <c r="I1009" s="2"/>
      <c r="L1009" s="40">
        <f>A1013</f>
        <v>2</v>
      </c>
      <c r="M1009" s="1" t="str">
        <f>C1014</f>
        <v>Tuberia de cobre 7/8</v>
      </c>
      <c r="N1009" s="2" t="str">
        <f>H1013</f>
        <v>metros</v>
      </c>
      <c r="O1009" s="2">
        <f>H1064</f>
        <v>24.72</v>
      </c>
    </row>
    <row r="1010" spans="1:15" ht="15.75" x14ac:dyDescent="0.25">
      <c r="B1010" s="34" t="s">
        <v>1700</v>
      </c>
      <c r="C1010" s="3">
        <f>'1.1'!$C$2</f>
        <v>0</v>
      </c>
      <c r="D1010" s="2"/>
      <c r="E1010" s="2"/>
      <c r="F1010" s="2"/>
      <c r="G1010" s="41" t="s">
        <v>1699</v>
      </c>
      <c r="H1010" s="42"/>
      <c r="I1010" s="2" t="s">
        <v>1698</v>
      </c>
    </row>
    <row r="1011" spans="1:15" ht="15.75" x14ac:dyDescent="0.25">
      <c r="B1011" s="34"/>
      <c r="C1011" s="3">
        <f>'1.1'!$C$3</f>
        <v>0</v>
      </c>
      <c r="D1011" s="2"/>
      <c r="E1011" s="2"/>
      <c r="F1011" s="2"/>
      <c r="G1011" s="2"/>
      <c r="H1011" s="2"/>
      <c r="I1011" s="2"/>
    </row>
    <row r="1012" spans="1:15" ht="15.75" x14ac:dyDescent="0.25">
      <c r="B1012" s="34" t="s">
        <v>1697</v>
      </c>
      <c r="C1012" s="3"/>
      <c r="D1012" s="2"/>
      <c r="E1012" s="2"/>
      <c r="F1012" s="2"/>
      <c r="G1012" s="2"/>
      <c r="H1012" s="2"/>
      <c r="I1012" s="2"/>
    </row>
    <row r="1013" spans="1:15" x14ac:dyDescent="0.25">
      <c r="A1013" s="104">
        <v>2</v>
      </c>
      <c r="B1013" s="2" t="s">
        <v>1586</v>
      </c>
      <c r="C1013" s="101" t="s">
        <v>1338</v>
      </c>
      <c r="D1013" s="2"/>
      <c r="G1013" s="2" t="s">
        <v>1696</v>
      </c>
      <c r="H1013" s="3" t="s">
        <v>145</v>
      </c>
      <c r="I1013" s="2"/>
    </row>
    <row r="1014" spans="1:15" x14ac:dyDescent="0.25">
      <c r="B1014" s="1" t="s">
        <v>1585</v>
      </c>
      <c r="C1014" s="36" t="s">
        <v>151</v>
      </c>
      <c r="D1014" s="2"/>
      <c r="E1014" s="2"/>
      <c r="F1014" s="2"/>
      <c r="G1014" s="2"/>
      <c r="H1014" s="2"/>
      <c r="I1014" s="2"/>
    </row>
    <row r="1015" spans="1:15" ht="15.75" thickBot="1" x14ac:dyDescent="0.3">
      <c r="D1015" s="2"/>
      <c r="E1015" s="2"/>
      <c r="F1015" s="2"/>
      <c r="G1015" s="2"/>
      <c r="H1015" s="2"/>
      <c r="I1015" s="2"/>
    </row>
    <row r="1016" spans="1:15" ht="15.75" thickBot="1" x14ac:dyDescent="0.3">
      <c r="B1016" s="43" t="s">
        <v>1695</v>
      </c>
      <c r="C1016" s="44"/>
      <c r="D1016" s="44"/>
      <c r="E1016" s="44"/>
      <c r="F1016" s="44"/>
      <c r="G1016" s="44"/>
      <c r="H1016" s="45"/>
      <c r="I1016" s="2"/>
    </row>
    <row r="1017" spans="1:15" ht="25.5" x14ac:dyDescent="0.25">
      <c r="B1017" s="46" t="s">
        <v>1409</v>
      </c>
      <c r="C1017" s="47"/>
      <c r="D1017" s="48" t="s">
        <v>1690</v>
      </c>
      <c r="E1017" s="48" t="s">
        <v>1694</v>
      </c>
      <c r="F1017" s="48" t="s">
        <v>1693</v>
      </c>
      <c r="G1017" s="49" t="s">
        <v>1687</v>
      </c>
      <c r="H1017" s="50" t="s">
        <v>1686</v>
      </c>
      <c r="I1017" s="2"/>
    </row>
    <row r="1018" spans="1:15" x14ac:dyDescent="0.25">
      <c r="B1018" s="51" t="str">
        <f>IF($A1018=0,"",VLOOKUP($A1018,'BASE EQUIPO'!$A:$D,2))</f>
        <v/>
      </c>
      <c r="C1018" s="52"/>
      <c r="D1018" s="53"/>
      <c r="E1018" s="53" t="str">
        <f>IF($A1018=0,"",VLOOKUP($A1018,'BASE EQUIPO'!$A:$D,4)*H1034)</f>
        <v/>
      </c>
      <c r="F1018" s="53" t="str">
        <f t="shared" ref="F1018:F1023" si="90">IF($A1018=0,"",ROUND(D1018*E1018,2))</f>
        <v/>
      </c>
      <c r="G1018" s="105"/>
      <c r="H1018" s="54" t="str">
        <f t="shared" ref="H1018:H1023" si="91">IF($A1018=0,"",ROUND(G1018*F1018,2))</f>
        <v/>
      </c>
      <c r="I1018" s="2"/>
    </row>
    <row r="1019" spans="1:15" x14ac:dyDescent="0.25">
      <c r="B1019" s="38" t="str">
        <f>IF($A1019=0,"",VLOOKUP($A1019,'BASE EQUIPO'!$A:$D,2))</f>
        <v/>
      </c>
      <c r="C1019" s="2"/>
      <c r="D1019" s="55"/>
      <c r="E1019" s="55" t="str">
        <f>IF($A1019=0,"",VLOOKUP($A1019,'BASE EQUIPO'!$A:$D,4))</f>
        <v/>
      </c>
      <c r="F1019" s="55" t="str">
        <f t="shared" si="90"/>
        <v/>
      </c>
      <c r="G1019" s="106"/>
      <c r="H1019" s="56" t="str">
        <f t="shared" si="91"/>
        <v/>
      </c>
      <c r="I1019" s="2"/>
    </row>
    <row r="1020" spans="1:15" x14ac:dyDescent="0.25">
      <c r="B1020" s="38" t="str">
        <f>IF($A1020=0,"",VLOOKUP($A1020,'BASE EQUIPO'!$A:$D,2))</f>
        <v/>
      </c>
      <c r="C1020" s="2"/>
      <c r="D1020" s="55"/>
      <c r="E1020" s="55" t="str">
        <f>IF($A1020=0,"",VLOOKUP($A1020,'BASE EQUIPO'!$A:$D,4))</f>
        <v/>
      </c>
      <c r="F1020" s="55" t="str">
        <f t="shared" si="90"/>
        <v/>
      </c>
      <c r="G1020" s="106"/>
      <c r="H1020" s="56" t="str">
        <f t="shared" si="91"/>
        <v/>
      </c>
      <c r="I1020" s="2"/>
    </row>
    <row r="1021" spans="1:15" x14ac:dyDescent="0.25">
      <c r="B1021" s="38" t="str">
        <f>IF($A1021=0,"",VLOOKUP($A1021,'BASE EQUIPO'!$A:$D,2))</f>
        <v/>
      </c>
      <c r="C1021" s="2"/>
      <c r="D1021" s="55"/>
      <c r="E1021" s="55" t="str">
        <f>IF($A1021=0,"",VLOOKUP($A1021,'BASE EQUIPO'!$A:$D,4))</f>
        <v/>
      </c>
      <c r="F1021" s="55" t="str">
        <f t="shared" si="90"/>
        <v/>
      </c>
      <c r="G1021" s="106"/>
      <c r="H1021" s="56" t="str">
        <f t="shared" si="91"/>
        <v/>
      </c>
      <c r="I1021" s="2"/>
    </row>
    <row r="1022" spans="1:15" x14ac:dyDescent="0.25">
      <c r="B1022" s="38" t="str">
        <f>IF($A1022=0,"",VLOOKUP($A1022,'BASE EQUIPO'!$A:$D,2))</f>
        <v/>
      </c>
      <c r="C1022" s="2"/>
      <c r="D1022" s="55"/>
      <c r="E1022" s="55" t="str">
        <f>IF($A1022=0,"",VLOOKUP($A1022,'BASE EQUIPO'!$A:$D,4))</f>
        <v/>
      </c>
      <c r="F1022" s="55" t="str">
        <f t="shared" si="90"/>
        <v/>
      </c>
      <c r="G1022" s="106"/>
      <c r="H1022" s="56" t="str">
        <f t="shared" si="91"/>
        <v/>
      </c>
      <c r="I1022" s="2"/>
    </row>
    <row r="1023" spans="1:15" x14ac:dyDescent="0.25">
      <c r="B1023" s="57" t="str">
        <f>IF($A1023=0,"",VLOOKUP($A1023,'BASE EQUIPO'!$A:$D,2))</f>
        <v/>
      </c>
      <c r="C1023" s="58"/>
      <c r="D1023" s="59"/>
      <c r="E1023" s="59" t="str">
        <f>IF($A1023=0,"",VLOOKUP($A1023,'BASE EQUIPO'!$A:$D,4))</f>
        <v/>
      </c>
      <c r="F1023" s="59" t="str">
        <f t="shared" si="90"/>
        <v/>
      </c>
      <c r="G1023" s="107"/>
      <c r="H1023" s="60" t="str">
        <f t="shared" si="91"/>
        <v/>
      </c>
      <c r="I1023" s="2"/>
    </row>
    <row r="1024" spans="1:15" x14ac:dyDescent="0.25">
      <c r="B1024" s="57" t="s">
        <v>1692</v>
      </c>
      <c r="C1024" s="58"/>
      <c r="D1024" s="61"/>
      <c r="E1024" s="61"/>
      <c r="F1024" s="61"/>
      <c r="G1024" s="62"/>
      <c r="H1024" s="60">
        <f>ROUND(SUM(H1017:H1023),2)</f>
        <v>0</v>
      </c>
      <c r="I1024" s="2"/>
    </row>
    <row r="1025" spans="1:16" x14ac:dyDescent="0.25">
      <c r="B1025" s="38" t="s">
        <v>1503</v>
      </c>
      <c r="C1025" s="2"/>
      <c r="D1025" s="3"/>
      <c r="E1025" s="3"/>
      <c r="F1025" s="3"/>
      <c r="G1025" s="63"/>
      <c r="H1025" s="56"/>
      <c r="I1025" s="2"/>
    </row>
    <row r="1026" spans="1:16" ht="25.5" x14ac:dyDescent="0.25">
      <c r="B1026" s="64" t="s">
        <v>1691</v>
      </c>
      <c r="C1026" s="65"/>
      <c r="D1026" s="66" t="s">
        <v>1690</v>
      </c>
      <c r="E1026" s="66" t="s">
        <v>1689</v>
      </c>
      <c r="F1026" s="66" t="s">
        <v>1688</v>
      </c>
      <c r="G1026" s="67" t="s">
        <v>1687</v>
      </c>
      <c r="H1026" s="68" t="s">
        <v>1686</v>
      </c>
      <c r="I1026" s="2"/>
    </row>
    <row r="1027" spans="1:16" x14ac:dyDescent="0.25">
      <c r="B1027" s="69" t="str">
        <f>IF($A1027=0,"",VLOOKUP($A1027,'BASE M-OBRA'!$A:$D,2))</f>
        <v/>
      </c>
      <c r="C1027" s="2"/>
      <c r="D1027" s="108"/>
      <c r="E1027" s="70" t="str">
        <f>IF($A1027=0,"",VLOOKUP($A1027,'BASE M-OBRA'!$A:$D,4))</f>
        <v/>
      </c>
      <c r="F1027" s="55" t="str">
        <f t="shared" ref="F1027:F1033" si="92">IF($A1027=0,"",ROUND(D1027*E1027,2))</f>
        <v/>
      </c>
      <c r="G1027" s="106" t="str">
        <f>IF($A1027=0,"",ROUND(H1027/F1027,2))</f>
        <v/>
      </c>
      <c r="H1027" s="56" t="str">
        <f>IF($A1027=0,"",ROUND(SUM(H1028:H1033)*'BASE M-OBRA'!$D$23,2))</f>
        <v/>
      </c>
      <c r="I1027" s="2"/>
    </row>
    <row r="1028" spans="1:16" x14ac:dyDescent="0.25">
      <c r="B1028" s="69" t="str">
        <f>IF($A1028=0,"",VLOOKUP($A1028,'BASE M-OBRA'!$A:$D,2))</f>
        <v/>
      </c>
      <c r="C1028" s="2"/>
      <c r="D1028" s="108"/>
      <c r="E1028" s="70" t="str">
        <f>IF($A1028=0,"",VLOOKUP($A1028,'BASE M-OBRA'!$A:$D,4))</f>
        <v/>
      </c>
      <c r="F1028" s="55" t="str">
        <f t="shared" si="92"/>
        <v/>
      </c>
      <c r="G1028" s="106"/>
      <c r="H1028" s="56" t="str">
        <f t="shared" ref="H1028:H1033" si="93">IF($A1028=0,"",ROUND(G1028*F1028,2))</f>
        <v/>
      </c>
      <c r="I1028" s="2"/>
    </row>
    <row r="1029" spans="1:16" x14ac:dyDescent="0.25">
      <c r="B1029" s="69" t="str">
        <f>IF($A1029=0,"",VLOOKUP($A1029,'BASE M-OBRA'!$A:$D,2))</f>
        <v/>
      </c>
      <c r="C1029" s="2"/>
      <c r="D1029" s="108"/>
      <c r="E1029" s="70" t="str">
        <f>IF($A1029=0,"",VLOOKUP($A1029,'BASE M-OBRA'!$A:$D,4))</f>
        <v/>
      </c>
      <c r="F1029" s="55" t="str">
        <f t="shared" si="92"/>
        <v/>
      </c>
      <c r="G1029" s="106"/>
      <c r="H1029" s="56" t="str">
        <f t="shared" si="93"/>
        <v/>
      </c>
      <c r="I1029" s="2"/>
    </row>
    <row r="1030" spans="1:16" x14ac:dyDescent="0.25">
      <c r="B1030" s="71" t="str">
        <f>IF($A1030=0,"",VLOOKUP($A1030,'BASE M-OBRA'!$A:$D,2))</f>
        <v/>
      </c>
      <c r="C1030" s="2"/>
      <c r="D1030" s="108"/>
      <c r="E1030" s="70" t="str">
        <f>IF($A1030=0,"",VLOOKUP($A1030,'BASE M-OBRA'!$A:$D,4))</f>
        <v/>
      </c>
      <c r="F1030" s="55" t="str">
        <f t="shared" si="92"/>
        <v/>
      </c>
      <c r="G1030" s="106"/>
      <c r="H1030" s="56" t="str">
        <f t="shared" si="93"/>
        <v/>
      </c>
      <c r="I1030" s="2"/>
    </row>
    <row r="1031" spans="1:16" x14ac:dyDescent="0.25">
      <c r="B1031" s="72" t="str">
        <f>IF($A1031=0,"",VLOOKUP($A1031,'BASE M-OBRA'!$A:$D,2))</f>
        <v/>
      </c>
      <c r="C1031" s="2"/>
      <c r="D1031" s="108"/>
      <c r="E1031" s="70" t="str">
        <f>IF($A1031=0,"",VLOOKUP($A1031,'BASE M-OBRA'!$A:$D,4))</f>
        <v/>
      </c>
      <c r="F1031" s="55" t="str">
        <f t="shared" si="92"/>
        <v/>
      </c>
      <c r="G1031" s="106"/>
      <c r="H1031" s="56" t="str">
        <f t="shared" si="93"/>
        <v/>
      </c>
      <c r="I1031" s="2"/>
    </row>
    <row r="1032" spans="1:16" x14ac:dyDescent="0.25">
      <c r="B1032" s="38" t="str">
        <f>IF($A1032=0,"",VLOOKUP($A1032,'BASE M-OBRA'!$A:$D,2))</f>
        <v/>
      </c>
      <c r="C1032" s="2"/>
      <c r="D1032" s="55"/>
      <c r="E1032" s="55" t="str">
        <f>IF($A1032=0,"",VLOOKUP($A1032,'BASE M-OBRA'!$A:$D,4))</f>
        <v/>
      </c>
      <c r="F1032" s="55" t="str">
        <f t="shared" si="92"/>
        <v/>
      </c>
      <c r="G1032" s="106"/>
      <c r="H1032" s="56" t="str">
        <f t="shared" si="93"/>
        <v/>
      </c>
      <c r="I1032" s="2"/>
    </row>
    <row r="1033" spans="1:16" x14ac:dyDescent="0.25">
      <c r="B1033" s="57" t="str">
        <f>IF($A1033=0,"",VLOOKUP($A1033,'BASE M-OBRA'!$A:$D,2))</f>
        <v/>
      </c>
      <c r="C1033" s="58"/>
      <c r="D1033" s="59"/>
      <c r="E1033" s="59" t="str">
        <f>IF($A1033=0,"",VLOOKUP($A1033,'BASE M-OBRA'!$A:$D,4))</f>
        <v/>
      </c>
      <c r="F1033" s="59" t="str">
        <f t="shared" si="92"/>
        <v/>
      </c>
      <c r="G1033" s="107"/>
      <c r="H1033" s="60" t="str">
        <f t="shared" si="93"/>
        <v/>
      </c>
      <c r="I1033" s="2"/>
    </row>
    <row r="1034" spans="1:16" x14ac:dyDescent="0.25">
      <c r="B1034" s="73" t="s">
        <v>1685</v>
      </c>
      <c r="C1034" s="65"/>
      <c r="D1034" s="74"/>
      <c r="E1034" s="74"/>
      <c r="F1034" s="74"/>
      <c r="G1034" s="74"/>
      <c r="H1034" s="75">
        <f>ROUND(SUM(H1026:H1033),2)</f>
        <v>0</v>
      </c>
      <c r="I1034" s="2"/>
    </row>
    <row r="1035" spans="1:16" x14ac:dyDescent="0.25">
      <c r="B1035" s="38" t="s">
        <v>1684</v>
      </c>
      <c r="C1035" s="2"/>
      <c r="D1035" s="3"/>
      <c r="E1035" s="3"/>
      <c r="F1035" s="3"/>
      <c r="G1035" s="3"/>
      <c r="H1035" s="56"/>
      <c r="I1035" s="2"/>
    </row>
    <row r="1036" spans="1:16" ht="25.5" x14ac:dyDescent="0.25">
      <c r="B1036" s="64" t="s">
        <v>1409</v>
      </c>
      <c r="C1036" s="65"/>
      <c r="D1036" s="76"/>
      <c r="E1036" s="66" t="s">
        <v>1408</v>
      </c>
      <c r="F1036" s="66" t="s">
        <v>1679</v>
      </c>
      <c r="G1036" s="66" t="s">
        <v>1683</v>
      </c>
      <c r="H1036" s="68" t="s">
        <v>1675</v>
      </c>
      <c r="I1036" s="2"/>
    </row>
    <row r="1037" spans="1:16" x14ac:dyDescent="0.25">
      <c r="A1037" s="103">
        <v>1</v>
      </c>
      <c r="B1037" s="102" t="s">
        <v>151</v>
      </c>
      <c r="C1037" s="2"/>
      <c r="D1037" s="77"/>
      <c r="E1037" s="78" t="s">
        <v>145</v>
      </c>
      <c r="F1037" s="55">
        <v>1</v>
      </c>
      <c r="G1037" s="55">
        <v>24</v>
      </c>
      <c r="H1037" s="56">
        <f t="shared" ref="H1037:H1051" si="94">IF($A1037=0,"",ROUND(F1037*G1037,2))</f>
        <v>24</v>
      </c>
      <c r="I1037" s="2"/>
      <c r="J1037" s="1">
        <v>7.85</v>
      </c>
      <c r="L1037" s="2"/>
      <c r="M1037" s="2"/>
      <c r="N1037" s="39"/>
      <c r="O1037" s="2"/>
      <c r="P1037" s="2"/>
    </row>
    <row r="1038" spans="1:16" x14ac:dyDescent="0.25">
      <c r="B1038" s="102"/>
      <c r="C1038" s="2"/>
      <c r="D1038" s="77"/>
      <c r="E1038" s="78" t="str">
        <f>IF($A1038=0,"",VLOOKUP($A1038,'BASE MATERIAL'!$A:$D,3))</f>
        <v/>
      </c>
      <c r="F1038" s="55"/>
      <c r="G1038" s="55" t="str">
        <f>IF($A1038=0,"",VLOOKUP($A1038,'BASE MATERIAL'!$A:$D,4))</f>
        <v/>
      </c>
      <c r="H1038" s="56" t="str">
        <f t="shared" si="94"/>
        <v/>
      </c>
      <c r="I1038" s="2"/>
      <c r="L1038" s="2"/>
      <c r="M1038" s="2"/>
      <c r="N1038" s="39"/>
      <c r="O1038" s="2"/>
      <c r="P1038" s="2"/>
    </row>
    <row r="1039" spans="1:16" x14ac:dyDescent="0.25">
      <c r="B1039" s="38" t="str">
        <f>IF($A1039=0,"",VLOOKUP($A1039,'BASE MATERIAL'!$A:$D,2))</f>
        <v/>
      </c>
      <c r="C1039" s="2"/>
      <c r="D1039" s="77"/>
      <c r="E1039" s="78" t="str">
        <f>IF($A1039=0,"",VLOOKUP($A1039,'BASE MATERIAL'!$A:$D,3))</f>
        <v/>
      </c>
      <c r="F1039" s="55"/>
      <c r="G1039" s="55" t="str">
        <f>IF($A1039=0,"",VLOOKUP($A1039,'BASE MATERIAL'!$A:$D,4))</f>
        <v/>
      </c>
      <c r="H1039" s="56" t="str">
        <f t="shared" si="94"/>
        <v/>
      </c>
      <c r="I1039" s="2"/>
      <c r="L1039" s="2"/>
      <c r="M1039" s="2"/>
      <c r="N1039" s="39"/>
      <c r="O1039" s="2"/>
      <c r="P1039" s="2"/>
    </row>
    <row r="1040" spans="1:16" x14ac:dyDescent="0.25">
      <c r="B1040" s="38" t="str">
        <f>IF($A1040=0,"",VLOOKUP($A1040,'BASE MATERIAL'!$A:$D,2))</f>
        <v/>
      </c>
      <c r="C1040" s="2"/>
      <c r="D1040" s="77"/>
      <c r="E1040" s="78" t="str">
        <f>IF($A1040=0,"",VLOOKUP($A1040,'BASE MATERIAL'!$A:$D,3))</f>
        <v/>
      </c>
      <c r="F1040" s="55"/>
      <c r="G1040" s="55" t="str">
        <f>IF($A1040=0,"",VLOOKUP($A1040,'BASE MATERIAL'!$A:$D,4))</f>
        <v/>
      </c>
      <c r="H1040" s="56" t="str">
        <f t="shared" si="94"/>
        <v/>
      </c>
      <c r="I1040" s="2"/>
      <c r="L1040" s="2"/>
      <c r="M1040" s="2"/>
      <c r="N1040" s="39"/>
      <c r="O1040" s="2"/>
      <c r="P1040" s="2"/>
    </row>
    <row r="1041" spans="1:16" x14ac:dyDescent="0.25">
      <c r="B1041" s="38" t="str">
        <f>IF($A1041=0,"",VLOOKUP($A1041,'BASE MATERIAL'!$A:$D,2))</f>
        <v/>
      </c>
      <c r="C1041" s="2"/>
      <c r="D1041" s="77"/>
      <c r="E1041" s="78" t="str">
        <f>IF($A1041=0,"",VLOOKUP($A1041,'BASE MATERIAL'!$A:$D,3))</f>
        <v/>
      </c>
      <c r="F1041" s="55"/>
      <c r="G1041" s="55" t="str">
        <f>IF($A1041=0,"",VLOOKUP($A1041,'BASE MATERIAL'!$A:$D,4))</f>
        <v/>
      </c>
      <c r="H1041" s="56" t="str">
        <f t="shared" si="94"/>
        <v/>
      </c>
      <c r="I1041" s="2"/>
      <c r="L1041" s="2"/>
      <c r="M1041" s="2"/>
      <c r="N1041" s="39"/>
      <c r="O1041" s="2"/>
      <c r="P1041" s="2"/>
    </row>
    <row r="1042" spans="1:16" x14ac:dyDescent="0.25">
      <c r="B1042" s="38" t="str">
        <f>IF($A1042=0,"",VLOOKUP($A1042,'BASE MATERIAL'!$A:$D,2))</f>
        <v/>
      </c>
      <c r="C1042" s="2"/>
      <c r="D1042" s="77"/>
      <c r="E1042" s="78" t="str">
        <f>IF($A1042=0,"",VLOOKUP($A1042,'BASE MATERIAL'!$A:$D,3))</f>
        <v/>
      </c>
      <c r="F1042" s="55"/>
      <c r="G1042" s="55" t="str">
        <f>IF($A1042=0,"",VLOOKUP($A1042,'BASE MATERIAL'!$A:$D,4))</f>
        <v/>
      </c>
      <c r="H1042" s="56" t="str">
        <f t="shared" si="94"/>
        <v/>
      </c>
      <c r="I1042" s="2"/>
      <c r="L1042" s="2"/>
      <c r="M1042" s="2"/>
      <c r="N1042" s="39"/>
      <c r="O1042" s="2"/>
      <c r="P1042" s="2"/>
    </row>
    <row r="1043" spans="1:16" x14ac:dyDescent="0.25">
      <c r="B1043" s="38" t="str">
        <f>IF($A1043=0,"",VLOOKUP($A1043,'BASE MATERIAL'!$A:$D,2))</f>
        <v/>
      </c>
      <c r="C1043" s="2"/>
      <c r="D1043" s="77"/>
      <c r="E1043" s="78" t="str">
        <f>IF($A1043=0,"",VLOOKUP($A1043,'BASE MATERIAL'!$A:$D,3))</f>
        <v/>
      </c>
      <c r="F1043" s="55"/>
      <c r="G1043" s="55" t="str">
        <f>IF($A1043=0,"",VLOOKUP($A1043,'BASE MATERIAL'!$A:$D,4))</f>
        <v/>
      </c>
      <c r="H1043" s="56" t="str">
        <f t="shared" si="94"/>
        <v/>
      </c>
      <c r="I1043" s="2"/>
      <c r="L1043" s="2"/>
      <c r="M1043" s="2"/>
      <c r="N1043" s="39"/>
      <c r="O1043" s="2"/>
      <c r="P1043" s="2"/>
    </row>
    <row r="1044" spans="1:16" x14ac:dyDescent="0.25">
      <c r="B1044" s="38" t="str">
        <f>IF($A1044=0,"",VLOOKUP($A1044,'BASE MATERIAL'!$A:$D,2))</f>
        <v/>
      </c>
      <c r="C1044" s="2"/>
      <c r="D1044" s="77"/>
      <c r="E1044" s="78" t="str">
        <f>IF($A1044=0,"",VLOOKUP($A1044,'BASE MATERIAL'!$A:$D,3))</f>
        <v/>
      </c>
      <c r="F1044" s="55"/>
      <c r="G1044" s="55" t="str">
        <f>IF($A1044=0,"",VLOOKUP($A1044,'BASE MATERIAL'!$A:$D,4))</f>
        <v/>
      </c>
      <c r="H1044" s="56" t="str">
        <f t="shared" si="94"/>
        <v/>
      </c>
      <c r="I1044" s="2"/>
      <c r="L1044" s="2"/>
      <c r="M1044" s="2"/>
      <c r="N1044" s="39"/>
      <c r="O1044" s="2"/>
      <c r="P1044" s="2"/>
    </row>
    <row r="1045" spans="1:16" x14ac:dyDescent="0.25">
      <c r="B1045" s="38" t="str">
        <f>IF($A1045=0,"",VLOOKUP($A1045,'BASE MATERIAL'!$A:$D,2))</f>
        <v/>
      </c>
      <c r="C1045" s="2"/>
      <c r="D1045" s="77"/>
      <c r="E1045" s="78" t="str">
        <f>IF($A1045=0,"",VLOOKUP($A1045,'BASE MATERIAL'!$A:$D,3))</f>
        <v/>
      </c>
      <c r="F1045" s="55"/>
      <c r="G1045" s="55" t="str">
        <f>IF($A1045=0,"",VLOOKUP($A1045,'BASE MATERIAL'!$A:$D,4))</f>
        <v/>
      </c>
      <c r="H1045" s="56" t="str">
        <f t="shared" si="94"/>
        <v/>
      </c>
      <c r="I1045" s="2"/>
    </row>
    <row r="1046" spans="1:16" x14ac:dyDescent="0.25">
      <c r="B1046" s="38" t="str">
        <f>IF($A1046=0,"",VLOOKUP($A1046,'BASE MATERIAL'!$A:$D,2))</f>
        <v/>
      </c>
      <c r="C1046" s="2"/>
      <c r="D1046" s="77"/>
      <c r="E1046" s="78" t="str">
        <f>IF($A1046=0,"",VLOOKUP($A1046,'BASE MATERIAL'!$A:$D,3))</f>
        <v/>
      </c>
      <c r="F1046" s="55"/>
      <c r="G1046" s="55" t="str">
        <f>IF($A1046=0,"",VLOOKUP($A1046,'BASE MATERIAL'!$A:$D,4))</f>
        <v/>
      </c>
      <c r="H1046" s="56" t="str">
        <f t="shared" si="94"/>
        <v/>
      </c>
      <c r="I1046" s="2"/>
      <c r="L1046" s="2"/>
      <c r="M1046" s="2"/>
      <c r="N1046" s="39"/>
      <c r="O1046" s="2"/>
      <c r="P1046" s="2"/>
    </row>
    <row r="1047" spans="1:16" x14ac:dyDescent="0.25">
      <c r="B1047" s="38" t="str">
        <f>IF($A1047=0,"",VLOOKUP($A1047,'BASE MATERIAL'!$A:$D,2))</f>
        <v/>
      </c>
      <c r="C1047" s="2"/>
      <c r="D1047" s="77"/>
      <c r="E1047" s="78" t="str">
        <f>IF($A1047=0,"",VLOOKUP($A1047,'BASE MATERIAL'!$A:$D,3))</f>
        <v/>
      </c>
      <c r="F1047" s="55"/>
      <c r="G1047" s="55" t="str">
        <f>IF($A1047=0,"",VLOOKUP($A1047,'BASE MATERIAL'!$A:$D,4))</f>
        <v/>
      </c>
      <c r="H1047" s="56" t="str">
        <f t="shared" si="94"/>
        <v/>
      </c>
      <c r="I1047" s="2"/>
      <c r="L1047" s="2"/>
      <c r="M1047" s="2"/>
      <c r="N1047" s="39"/>
      <c r="O1047" s="2"/>
      <c r="P1047" s="2"/>
    </row>
    <row r="1048" spans="1:16" x14ac:dyDescent="0.25">
      <c r="B1048" s="38" t="str">
        <f>IF($A1048=0,"",VLOOKUP($A1048,'BASE MATERIAL'!$A:$D,2))</f>
        <v/>
      </c>
      <c r="C1048" s="2"/>
      <c r="D1048" s="77"/>
      <c r="E1048" s="78" t="str">
        <f>IF($A1048=0,"",VLOOKUP($A1048,'BASE MATERIAL'!$A:$D,3))</f>
        <v/>
      </c>
      <c r="F1048" s="55"/>
      <c r="G1048" s="55" t="str">
        <f>IF($A1048=0,"",VLOOKUP($A1048,'BASE MATERIAL'!$A:$D,4))</f>
        <v/>
      </c>
      <c r="H1048" s="56" t="str">
        <f t="shared" si="94"/>
        <v/>
      </c>
      <c r="I1048" s="2"/>
    </row>
    <row r="1049" spans="1:16" x14ac:dyDescent="0.25">
      <c r="B1049" s="38" t="str">
        <f>IF($A1049=0,"",VLOOKUP($A1049,'BASE MATERIAL'!$A:$D,2))</f>
        <v/>
      </c>
      <c r="C1049" s="2"/>
      <c r="D1049" s="77"/>
      <c r="E1049" s="78" t="str">
        <f>IF($A1049=0,"",VLOOKUP($A1049,'BASE MATERIAL'!$A:$D,3))</f>
        <v/>
      </c>
      <c r="F1049" s="55"/>
      <c r="G1049" s="55" t="str">
        <f>IF($A1049=0,"",VLOOKUP($A1049,'BASE MATERIAL'!$A:$D,4))</f>
        <v/>
      </c>
      <c r="H1049" s="56" t="str">
        <f t="shared" si="94"/>
        <v/>
      </c>
      <c r="I1049" s="2"/>
    </row>
    <row r="1050" spans="1:16" x14ac:dyDescent="0.25">
      <c r="B1050" s="38" t="str">
        <f>IF($A1050=0,"",VLOOKUP($A1050,'BASE MATERIAL'!$A:$D,2))</f>
        <v/>
      </c>
      <c r="C1050" s="2"/>
      <c r="D1050" s="77"/>
      <c r="E1050" s="78" t="str">
        <f>IF($A1050=0,"",VLOOKUP($A1050,'BASE MATERIAL'!$A:$D,3))</f>
        <v/>
      </c>
      <c r="F1050" s="55"/>
      <c r="G1050" s="55" t="str">
        <f>IF($A1050=0,"",VLOOKUP($A1050,'BASE MATERIAL'!$A:$D,4))</f>
        <v/>
      </c>
      <c r="H1050" s="56" t="str">
        <f t="shared" si="94"/>
        <v/>
      </c>
      <c r="I1050" s="2"/>
    </row>
    <row r="1051" spans="1:16" x14ac:dyDescent="0.25">
      <c r="B1051" s="38" t="str">
        <f>IF($A1051=0,"",VLOOKUP($A1051,'BASE MATERIAL'!$A:$D,2))</f>
        <v/>
      </c>
      <c r="C1051" s="2"/>
      <c r="D1051" s="77"/>
      <c r="E1051" s="78" t="str">
        <f>IF($A1051=0,"",VLOOKUP($A1051,'BASE MATERIAL'!$A:$D,3))</f>
        <v/>
      </c>
      <c r="F1051" s="55"/>
      <c r="G1051" s="55" t="str">
        <f>IF($A1051=0,"",VLOOKUP($A1051,'BASE MATERIAL'!$A:$D,4))</f>
        <v/>
      </c>
      <c r="H1051" s="56" t="str">
        <f t="shared" si="94"/>
        <v/>
      </c>
      <c r="I1051" s="2"/>
    </row>
    <row r="1052" spans="1:16" x14ac:dyDescent="0.25">
      <c r="B1052" s="38" t="str">
        <f>IF($A1052=0,"",VLOOKUP($A1052,'BASE MATERIAL'!$A:$D,2))</f>
        <v/>
      </c>
      <c r="C1052" s="2"/>
      <c r="D1052" s="81" t="s">
        <v>1682</v>
      </c>
      <c r="E1052" s="55" t="str">
        <f>IF($A1052=0,"",VLOOKUP($A1052,'BASE MATERIAL'!$A:$D,3))</f>
        <v/>
      </c>
      <c r="F1052" s="55" t="s">
        <v>1682</v>
      </c>
      <c r="G1052" s="55" t="str">
        <f>IF($A1052=0,"",VLOOKUP($A1052,'BASE MATERIAL'!$A:$D,4))</f>
        <v/>
      </c>
      <c r="H1052" s="56" t="str">
        <f>IF($A1052=0,"",ROUND(E1052*F1052,2))</f>
        <v/>
      </c>
      <c r="I1052" s="2"/>
    </row>
    <row r="1053" spans="1:16" x14ac:dyDescent="0.25">
      <c r="B1053" s="73" t="s">
        <v>1681</v>
      </c>
      <c r="C1053" s="65"/>
      <c r="D1053" s="74"/>
      <c r="E1053" s="74"/>
      <c r="F1053" s="74"/>
      <c r="G1053" s="74"/>
      <c r="H1053" s="75">
        <f>ROUND(SUM(H1036:H1052),2)</f>
        <v>24</v>
      </c>
      <c r="I1053" s="2"/>
    </row>
    <row r="1054" spans="1:16" x14ac:dyDescent="0.25">
      <c r="B1054" s="38" t="s">
        <v>1680</v>
      </c>
      <c r="C1054" s="2"/>
      <c r="D1054" s="3"/>
      <c r="E1054" s="3"/>
      <c r="F1054" s="3"/>
      <c r="G1054" s="3"/>
      <c r="H1054" s="56"/>
      <c r="I1054" s="2"/>
    </row>
    <row r="1055" spans="1:16" ht="25.5" x14ac:dyDescent="0.25">
      <c r="B1055" s="64" t="s">
        <v>1409</v>
      </c>
      <c r="C1055" s="65"/>
      <c r="D1055" s="76"/>
      <c r="E1055" s="66" t="s">
        <v>1408</v>
      </c>
      <c r="F1055" s="66" t="s">
        <v>1679</v>
      </c>
      <c r="G1055" s="66" t="s">
        <v>1676</v>
      </c>
      <c r="H1055" s="68" t="s">
        <v>1675</v>
      </c>
      <c r="I1055" s="2"/>
    </row>
    <row r="1056" spans="1:16" x14ac:dyDescent="0.25">
      <c r="A1056" s="103">
        <v>19019</v>
      </c>
      <c r="B1056" s="51" t="str">
        <f>IF($A1056=0,"",VLOOKUP($A1056,'BASE EQUIPO'!$A:$D,2))</f>
        <v>TRANSPORTE DE MATERIAL</v>
      </c>
      <c r="C1056" s="52"/>
      <c r="D1056" s="82"/>
      <c r="E1056" s="78" t="str">
        <f>IF($A1056=0,"",VLOOKUP($A1056,'BASE EQUIPO'!$A:$D,3))</f>
        <v>GLOBAL</v>
      </c>
      <c r="F1056" s="55">
        <v>1</v>
      </c>
      <c r="G1056" s="83">
        <f>IF($A1056=0,"",VLOOKUP($A1056,'BASE EQUIPO'!$A:$D,4)*H1053)</f>
        <v>0.72</v>
      </c>
      <c r="H1056" s="56">
        <f>IF($A1056=0,"",ROUND(F1056*G1056,2))</f>
        <v>0.72</v>
      </c>
      <c r="I1056" s="2"/>
    </row>
    <row r="1057" spans="1:15" x14ac:dyDescent="0.25">
      <c r="B1057" s="38" t="str">
        <f>IF($A1057=0,"",VLOOKUP($A1057,'BASE EQUIPO'!$A:$D,2))</f>
        <v/>
      </c>
      <c r="C1057" s="2"/>
      <c r="D1057" s="84"/>
      <c r="E1057" s="78" t="str">
        <f>IF($A1057=0,"",VLOOKUP($A1057,'BASE EQUIPO'!$A:$D,3))</f>
        <v/>
      </c>
      <c r="F1057" s="55"/>
      <c r="G1057" s="55" t="str">
        <f>IF($A1057=0,"",VLOOKUP($A1057,'BASE EQUIPO'!$A:$D,4)*H1054)</f>
        <v/>
      </c>
      <c r="H1057" s="56" t="str">
        <f>IF($A1057=0,"",ROUND(F1057*G1057,2))</f>
        <v/>
      </c>
      <c r="I1057" s="2"/>
    </row>
    <row r="1058" spans="1:15" x14ac:dyDescent="0.25">
      <c r="B1058" s="57" t="str">
        <f>IF($A1058=0,"",VLOOKUP($A1058,'BASE EQUIPO'!$A:$D,2))</f>
        <v/>
      </c>
      <c r="C1058" s="58"/>
      <c r="D1058" s="85"/>
      <c r="E1058" s="86" t="str">
        <f>IF($A1058=0,"",VLOOKUP($A1058,'BASE EQUIPO'!$A:$D,3))</f>
        <v/>
      </c>
      <c r="F1058" s="59"/>
      <c r="G1058" s="59" t="str">
        <f>IF($A1058=0,"",VLOOKUP($A1058,'BASE EQUIPO'!$A:$D,4)*H1055)</f>
        <v/>
      </c>
      <c r="H1058" s="60" t="str">
        <f>IF($A1058=0,"",ROUND(F1058*G1058,2))</f>
        <v/>
      </c>
      <c r="I1058" s="2"/>
    </row>
    <row r="1059" spans="1:15" ht="15.75" thickBot="1" x14ac:dyDescent="0.3">
      <c r="B1059" s="87" t="s">
        <v>1674</v>
      </c>
      <c r="C1059" s="88"/>
      <c r="D1059" s="89"/>
      <c r="E1059" s="89"/>
      <c r="F1059" s="89"/>
      <c r="G1059" s="89"/>
      <c r="H1059" s="90">
        <f>ROUND(SUM(H1055:H1058),2)</f>
        <v>0.72</v>
      </c>
      <c r="I1059" s="2"/>
    </row>
    <row r="1060" spans="1:15" ht="15.75" x14ac:dyDescent="0.25">
      <c r="B1060" s="2"/>
      <c r="C1060" s="2"/>
      <c r="D1060" s="91" t="s">
        <v>1673</v>
      </c>
      <c r="E1060" s="47"/>
      <c r="F1060" s="47"/>
      <c r="G1060" s="47"/>
      <c r="H1060" s="92">
        <f>ROUND(SUM(H1059,H1053,H1034,H1024),2)</f>
        <v>24.72</v>
      </c>
      <c r="I1060" s="2"/>
    </row>
    <row r="1061" spans="1:15" ht="15.75" x14ac:dyDescent="0.25">
      <c r="A1061" s="103">
        <v>40002</v>
      </c>
      <c r="B1061" s="2"/>
      <c r="C1061" s="2"/>
      <c r="D1061" s="93" t="s">
        <v>1672</v>
      </c>
      <c r="E1061" s="65"/>
      <c r="F1061" s="65"/>
      <c r="G1061" s="94">
        <f>IF($A1061=0,"",VLOOKUP($A1061,'BASE MATERIAL'!$M:$P,4))</f>
        <v>0</v>
      </c>
      <c r="H1061" s="95">
        <f>IF($A1061=0,"",ROUND(G1061*H1060,2))</f>
        <v>0</v>
      </c>
      <c r="I1061" s="2"/>
    </row>
    <row r="1062" spans="1:15" ht="15.75" x14ac:dyDescent="0.25">
      <c r="A1062" s="103">
        <v>40003</v>
      </c>
      <c r="B1062" s="2"/>
      <c r="C1062" s="2"/>
      <c r="D1062" s="93" t="s">
        <v>1671</v>
      </c>
      <c r="E1062" s="65"/>
      <c r="F1062" s="65"/>
      <c r="G1062" s="94">
        <f>IF($A1062=0,"",VLOOKUP($A1062,'BASE MATERIAL'!$M:$P,4))</f>
        <v>0</v>
      </c>
      <c r="H1062" s="95">
        <f>IF($A1062=0,"",ROUND(G1062*H1060,2))</f>
        <v>0</v>
      </c>
      <c r="I1062" s="2"/>
    </row>
    <row r="1063" spans="1:15" ht="15.75" x14ac:dyDescent="0.25">
      <c r="B1063" s="2"/>
      <c r="C1063" s="2"/>
      <c r="D1063" s="93" t="s">
        <v>1670</v>
      </c>
      <c r="E1063" s="65"/>
      <c r="F1063" s="65"/>
      <c r="G1063" s="65"/>
      <c r="H1063" s="96">
        <f>ROUND(SUM(H1060:H1062),2)</f>
        <v>24.72</v>
      </c>
      <c r="I1063" s="2"/>
    </row>
    <row r="1064" spans="1:15" ht="16.5" thickBot="1" x14ac:dyDescent="0.3">
      <c r="B1064" s="25"/>
      <c r="C1064" s="2"/>
      <c r="D1064" s="97" t="s">
        <v>1650</v>
      </c>
      <c r="E1064" s="88"/>
      <c r="F1064" s="88"/>
      <c r="G1064" s="88"/>
      <c r="H1064" s="98">
        <f>ROUND(H1063,2)</f>
        <v>24.72</v>
      </c>
      <c r="I1064" s="2"/>
    </row>
    <row r="1065" spans="1:15" ht="15.75" x14ac:dyDescent="0.25">
      <c r="B1065" s="34" t="s">
        <v>1701</v>
      </c>
      <c r="C1065" s="2"/>
      <c r="D1065" s="3" t="str">
        <f>$D$1</f>
        <v>ESPOL</v>
      </c>
      <c r="E1065" s="2"/>
      <c r="F1065" s="2"/>
      <c r="H1065" s="2" t="s">
        <v>108</v>
      </c>
      <c r="I1065" s="2"/>
      <c r="L1065" s="40">
        <f>A1069</f>
        <v>2</v>
      </c>
      <c r="M1065" s="1" t="str">
        <f>C1070</f>
        <v>Tuberia de cobre 1 3/8</v>
      </c>
      <c r="N1065" s="2" t="str">
        <f>H1069</f>
        <v>metros</v>
      </c>
      <c r="O1065" s="2">
        <f>H1120</f>
        <v>23.69</v>
      </c>
    </row>
    <row r="1066" spans="1:15" ht="15.75" x14ac:dyDescent="0.25">
      <c r="B1066" s="34" t="s">
        <v>1700</v>
      </c>
      <c r="C1066" s="3">
        <f>'1.1'!$C$2</f>
        <v>0</v>
      </c>
      <c r="D1066" s="2"/>
      <c r="E1066" s="2"/>
      <c r="F1066" s="2"/>
      <c r="G1066" s="41" t="s">
        <v>1699</v>
      </c>
      <c r="H1066" s="42"/>
      <c r="I1066" s="2" t="s">
        <v>1698</v>
      </c>
    </row>
    <row r="1067" spans="1:15" ht="15.75" x14ac:dyDescent="0.25">
      <c r="B1067" s="34"/>
      <c r="C1067" s="3">
        <f>'1.1'!$C$3</f>
        <v>0</v>
      </c>
      <c r="D1067" s="2"/>
      <c r="E1067" s="2"/>
      <c r="F1067" s="2"/>
      <c r="G1067" s="2"/>
      <c r="H1067" s="2"/>
      <c r="I1067" s="2"/>
    </row>
    <row r="1068" spans="1:15" ht="15.75" x14ac:dyDescent="0.25">
      <c r="B1068" s="34" t="s">
        <v>1697</v>
      </c>
      <c r="C1068" s="3"/>
      <c r="D1068" s="2"/>
      <c r="E1068" s="2"/>
      <c r="F1068" s="2"/>
      <c r="G1068" s="2"/>
      <c r="H1068" s="2"/>
      <c r="I1068" s="2"/>
    </row>
    <row r="1069" spans="1:15" x14ac:dyDescent="0.25">
      <c r="A1069" s="104">
        <v>2</v>
      </c>
      <c r="B1069" s="2" t="s">
        <v>1586</v>
      </c>
      <c r="C1069" s="101" t="s">
        <v>1339</v>
      </c>
      <c r="D1069" s="2"/>
      <c r="G1069" s="2" t="s">
        <v>1696</v>
      </c>
      <c r="H1069" s="3" t="s">
        <v>145</v>
      </c>
      <c r="I1069" s="2"/>
    </row>
    <row r="1070" spans="1:15" x14ac:dyDescent="0.25">
      <c r="B1070" s="1" t="s">
        <v>1585</v>
      </c>
      <c r="C1070" s="36" t="s">
        <v>152</v>
      </c>
      <c r="D1070" s="2"/>
      <c r="E1070" s="2"/>
      <c r="F1070" s="2"/>
      <c r="G1070" s="2"/>
      <c r="H1070" s="2"/>
      <c r="I1070" s="2"/>
    </row>
    <row r="1071" spans="1:15" ht="15.75" thickBot="1" x14ac:dyDescent="0.3">
      <c r="D1071" s="2"/>
      <c r="E1071" s="2"/>
      <c r="F1071" s="2"/>
      <c r="G1071" s="2"/>
      <c r="H1071" s="2"/>
      <c r="I1071" s="2"/>
    </row>
    <row r="1072" spans="1:15" ht="15.75" thickBot="1" x14ac:dyDescent="0.3">
      <c r="B1072" s="43" t="s">
        <v>1695</v>
      </c>
      <c r="C1072" s="44"/>
      <c r="D1072" s="44"/>
      <c r="E1072" s="44"/>
      <c r="F1072" s="44"/>
      <c r="G1072" s="44"/>
      <c r="H1072" s="45"/>
      <c r="I1072" s="2"/>
    </row>
    <row r="1073" spans="2:9" ht="25.5" x14ac:dyDescent="0.25">
      <c r="B1073" s="46" t="s">
        <v>1409</v>
      </c>
      <c r="C1073" s="47"/>
      <c r="D1073" s="48" t="s">
        <v>1690</v>
      </c>
      <c r="E1073" s="48" t="s">
        <v>1694</v>
      </c>
      <c r="F1073" s="48" t="s">
        <v>1693</v>
      </c>
      <c r="G1073" s="49" t="s">
        <v>1687</v>
      </c>
      <c r="H1073" s="50" t="s">
        <v>1686</v>
      </c>
      <c r="I1073" s="2"/>
    </row>
    <row r="1074" spans="2:9" x14ac:dyDescent="0.25">
      <c r="B1074" s="51" t="str">
        <f>IF($A1074=0,"",VLOOKUP($A1074,'BASE EQUIPO'!$A:$D,2))</f>
        <v/>
      </c>
      <c r="C1074" s="52"/>
      <c r="D1074" s="53"/>
      <c r="E1074" s="53" t="str">
        <f>IF($A1074=0,"",VLOOKUP($A1074,'BASE EQUIPO'!$A:$D,4)*H1090)</f>
        <v/>
      </c>
      <c r="F1074" s="53" t="str">
        <f t="shared" ref="F1074:F1079" si="95">IF($A1074=0,"",ROUND(D1074*E1074,2))</f>
        <v/>
      </c>
      <c r="G1074" s="105"/>
      <c r="H1074" s="54" t="str">
        <f t="shared" ref="H1074:H1079" si="96">IF($A1074=0,"",ROUND(G1074*F1074,2))</f>
        <v/>
      </c>
      <c r="I1074" s="2"/>
    </row>
    <row r="1075" spans="2:9" x14ac:dyDescent="0.25">
      <c r="B1075" s="38" t="str">
        <f>IF($A1075=0,"",VLOOKUP($A1075,'BASE EQUIPO'!$A:$D,2))</f>
        <v/>
      </c>
      <c r="C1075" s="2"/>
      <c r="D1075" s="55"/>
      <c r="E1075" s="55" t="str">
        <f>IF($A1075=0,"",VLOOKUP($A1075,'BASE EQUIPO'!$A:$D,4))</f>
        <v/>
      </c>
      <c r="F1075" s="55" t="str">
        <f t="shared" si="95"/>
        <v/>
      </c>
      <c r="G1075" s="106"/>
      <c r="H1075" s="56" t="str">
        <f t="shared" si="96"/>
        <v/>
      </c>
      <c r="I1075" s="2"/>
    </row>
    <row r="1076" spans="2:9" x14ac:dyDescent="0.25">
      <c r="B1076" s="38" t="str">
        <f>IF($A1076=0,"",VLOOKUP($A1076,'BASE EQUIPO'!$A:$D,2))</f>
        <v/>
      </c>
      <c r="C1076" s="2"/>
      <c r="D1076" s="55"/>
      <c r="E1076" s="55" t="str">
        <f>IF($A1076=0,"",VLOOKUP($A1076,'BASE EQUIPO'!$A:$D,4))</f>
        <v/>
      </c>
      <c r="F1076" s="55" t="str">
        <f t="shared" si="95"/>
        <v/>
      </c>
      <c r="G1076" s="106"/>
      <c r="H1076" s="56" t="str">
        <f t="shared" si="96"/>
        <v/>
      </c>
      <c r="I1076" s="2"/>
    </row>
    <row r="1077" spans="2:9" x14ac:dyDescent="0.25">
      <c r="B1077" s="38" t="str">
        <f>IF($A1077=0,"",VLOOKUP($A1077,'BASE EQUIPO'!$A:$D,2))</f>
        <v/>
      </c>
      <c r="C1077" s="2"/>
      <c r="D1077" s="55"/>
      <c r="E1077" s="55" t="str">
        <f>IF($A1077=0,"",VLOOKUP($A1077,'BASE EQUIPO'!$A:$D,4))</f>
        <v/>
      </c>
      <c r="F1077" s="55" t="str">
        <f t="shared" si="95"/>
        <v/>
      </c>
      <c r="G1077" s="106"/>
      <c r="H1077" s="56" t="str">
        <f t="shared" si="96"/>
        <v/>
      </c>
      <c r="I1077" s="2"/>
    </row>
    <row r="1078" spans="2:9" x14ac:dyDescent="0.25">
      <c r="B1078" s="38" t="str">
        <f>IF($A1078=0,"",VLOOKUP($A1078,'BASE EQUIPO'!$A:$D,2))</f>
        <v/>
      </c>
      <c r="C1078" s="2"/>
      <c r="D1078" s="55"/>
      <c r="E1078" s="55" t="str">
        <f>IF($A1078=0,"",VLOOKUP($A1078,'BASE EQUIPO'!$A:$D,4))</f>
        <v/>
      </c>
      <c r="F1078" s="55" t="str">
        <f t="shared" si="95"/>
        <v/>
      </c>
      <c r="G1078" s="106"/>
      <c r="H1078" s="56" t="str">
        <f t="shared" si="96"/>
        <v/>
      </c>
      <c r="I1078" s="2"/>
    </row>
    <row r="1079" spans="2:9" x14ac:dyDescent="0.25">
      <c r="B1079" s="57" t="str">
        <f>IF($A1079=0,"",VLOOKUP($A1079,'BASE EQUIPO'!$A:$D,2))</f>
        <v/>
      </c>
      <c r="C1079" s="58"/>
      <c r="D1079" s="59"/>
      <c r="E1079" s="59" t="str">
        <f>IF($A1079=0,"",VLOOKUP($A1079,'BASE EQUIPO'!$A:$D,4))</f>
        <v/>
      </c>
      <c r="F1079" s="59" t="str">
        <f t="shared" si="95"/>
        <v/>
      </c>
      <c r="G1079" s="107"/>
      <c r="H1079" s="60" t="str">
        <f t="shared" si="96"/>
        <v/>
      </c>
      <c r="I1079" s="2"/>
    </row>
    <row r="1080" spans="2:9" x14ac:dyDescent="0.25">
      <c r="B1080" s="57" t="s">
        <v>1692</v>
      </c>
      <c r="C1080" s="58"/>
      <c r="D1080" s="61"/>
      <c r="E1080" s="61"/>
      <c r="F1080" s="61"/>
      <c r="G1080" s="62"/>
      <c r="H1080" s="60">
        <f>ROUND(SUM(H1073:H1079),2)</f>
        <v>0</v>
      </c>
      <c r="I1080" s="2"/>
    </row>
    <row r="1081" spans="2:9" x14ac:dyDescent="0.25">
      <c r="B1081" s="38" t="s">
        <v>1503</v>
      </c>
      <c r="C1081" s="2"/>
      <c r="D1081" s="3"/>
      <c r="E1081" s="3"/>
      <c r="F1081" s="3"/>
      <c r="G1081" s="63"/>
      <c r="H1081" s="56"/>
      <c r="I1081" s="2"/>
    </row>
    <row r="1082" spans="2:9" ht="25.5" x14ac:dyDescent="0.25">
      <c r="B1082" s="64" t="s">
        <v>1691</v>
      </c>
      <c r="C1082" s="65"/>
      <c r="D1082" s="66" t="s">
        <v>1690</v>
      </c>
      <c r="E1082" s="66" t="s">
        <v>1689</v>
      </c>
      <c r="F1082" s="66" t="s">
        <v>1688</v>
      </c>
      <c r="G1082" s="67" t="s">
        <v>1687</v>
      </c>
      <c r="H1082" s="68" t="s">
        <v>1686</v>
      </c>
      <c r="I1082" s="2"/>
    </row>
    <row r="1083" spans="2:9" x14ac:dyDescent="0.25">
      <c r="B1083" s="69" t="str">
        <f>IF($A1083=0,"",VLOOKUP($A1083,'BASE M-OBRA'!$A:$D,2))</f>
        <v/>
      </c>
      <c r="C1083" s="2"/>
      <c r="D1083" s="108"/>
      <c r="E1083" s="70" t="str">
        <f>IF($A1083=0,"",VLOOKUP($A1083,'BASE M-OBRA'!$A:$D,4))</f>
        <v/>
      </c>
      <c r="F1083" s="55" t="str">
        <f t="shared" ref="F1083:F1089" si="97">IF($A1083=0,"",ROUND(D1083*E1083,2))</f>
        <v/>
      </c>
      <c r="G1083" s="106" t="str">
        <f>IF($A1083=0,"",ROUND(H1083/F1083,2))</f>
        <v/>
      </c>
      <c r="H1083" s="56" t="str">
        <f>IF($A1083=0,"",ROUND(SUM(H1084:H1089)*'BASE M-OBRA'!$D$23,2))</f>
        <v/>
      </c>
      <c r="I1083" s="2"/>
    </row>
    <row r="1084" spans="2:9" x14ac:dyDescent="0.25">
      <c r="B1084" s="69" t="str">
        <f>IF($A1084=0,"",VLOOKUP($A1084,'BASE M-OBRA'!$A:$D,2))</f>
        <v/>
      </c>
      <c r="C1084" s="2"/>
      <c r="D1084" s="108"/>
      <c r="E1084" s="70" t="str">
        <f>IF($A1084=0,"",VLOOKUP($A1084,'BASE M-OBRA'!$A:$D,4))</f>
        <v/>
      </c>
      <c r="F1084" s="55" t="str">
        <f t="shared" si="97"/>
        <v/>
      </c>
      <c r="G1084" s="106"/>
      <c r="H1084" s="56" t="str">
        <f t="shared" ref="H1084:H1089" si="98">IF($A1084=0,"",ROUND(G1084*F1084,2))</f>
        <v/>
      </c>
      <c r="I1084" s="2"/>
    </row>
    <row r="1085" spans="2:9" x14ac:dyDescent="0.25">
      <c r="B1085" s="69" t="str">
        <f>IF($A1085=0,"",VLOOKUP($A1085,'BASE M-OBRA'!$A:$D,2))</f>
        <v/>
      </c>
      <c r="C1085" s="2"/>
      <c r="D1085" s="108"/>
      <c r="E1085" s="70" t="str">
        <f>IF($A1085=0,"",VLOOKUP($A1085,'BASE M-OBRA'!$A:$D,4))</f>
        <v/>
      </c>
      <c r="F1085" s="55" t="str">
        <f t="shared" si="97"/>
        <v/>
      </c>
      <c r="G1085" s="106"/>
      <c r="H1085" s="56" t="str">
        <f t="shared" si="98"/>
        <v/>
      </c>
      <c r="I1085" s="2"/>
    </row>
    <row r="1086" spans="2:9" x14ac:dyDescent="0.25">
      <c r="B1086" s="71" t="str">
        <f>IF($A1086=0,"",VLOOKUP($A1086,'BASE M-OBRA'!$A:$D,2))</f>
        <v/>
      </c>
      <c r="C1086" s="2"/>
      <c r="D1086" s="108"/>
      <c r="E1086" s="70" t="str">
        <f>IF($A1086=0,"",VLOOKUP($A1086,'BASE M-OBRA'!$A:$D,4))</f>
        <v/>
      </c>
      <c r="F1086" s="55" t="str">
        <f t="shared" si="97"/>
        <v/>
      </c>
      <c r="G1086" s="106"/>
      <c r="H1086" s="56" t="str">
        <f t="shared" si="98"/>
        <v/>
      </c>
      <c r="I1086" s="2"/>
    </row>
    <row r="1087" spans="2:9" x14ac:dyDescent="0.25">
      <c r="B1087" s="72" t="str">
        <f>IF($A1087=0,"",VLOOKUP($A1087,'BASE M-OBRA'!$A:$D,2))</f>
        <v/>
      </c>
      <c r="C1087" s="2"/>
      <c r="D1087" s="108"/>
      <c r="E1087" s="70" t="str">
        <f>IF($A1087=0,"",VLOOKUP($A1087,'BASE M-OBRA'!$A:$D,4))</f>
        <v/>
      </c>
      <c r="F1087" s="55" t="str">
        <f t="shared" si="97"/>
        <v/>
      </c>
      <c r="G1087" s="106"/>
      <c r="H1087" s="56" t="str">
        <f t="shared" si="98"/>
        <v/>
      </c>
      <c r="I1087" s="2"/>
    </row>
    <row r="1088" spans="2:9" x14ac:dyDescent="0.25">
      <c r="B1088" s="38" t="str">
        <f>IF($A1088=0,"",VLOOKUP($A1088,'BASE M-OBRA'!$A:$D,2))</f>
        <v/>
      </c>
      <c r="C1088" s="2"/>
      <c r="D1088" s="55"/>
      <c r="E1088" s="55" t="str">
        <f>IF($A1088=0,"",VLOOKUP($A1088,'BASE M-OBRA'!$A:$D,4))</f>
        <v/>
      </c>
      <c r="F1088" s="55" t="str">
        <f t="shared" si="97"/>
        <v/>
      </c>
      <c r="G1088" s="106"/>
      <c r="H1088" s="56" t="str">
        <f t="shared" si="98"/>
        <v/>
      </c>
      <c r="I1088" s="2"/>
    </row>
    <row r="1089" spans="1:16" x14ac:dyDescent="0.25">
      <c r="B1089" s="57" t="str">
        <f>IF($A1089=0,"",VLOOKUP($A1089,'BASE M-OBRA'!$A:$D,2))</f>
        <v/>
      </c>
      <c r="C1089" s="58"/>
      <c r="D1089" s="59"/>
      <c r="E1089" s="59" t="str">
        <f>IF($A1089=0,"",VLOOKUP($A1089,'BASE M-OBRA'!$A:$D,4))</f>
        <v/>
      </c>
      <c r="F1089" s="59" t="str">
        <f t="shared" si="97"/>
        <v/>
      </c>
      <c r="G1089" s="107"/>
      <c r="H1089" s="60" t="str">
        <f t="shared" si="98"/>
        <v/>
      </c>
      <c r="I1089" s="2"/>
    </row>
    <row r="1090" spans="1:16" x14ac:dyDescent="0.25">
      <c r="B1090" s="73" t="s">
        <v>1685</v>
      </c>
      <c r="C1090" s="65"/>
      <c r="D1090" s="74"/>
      <c r="E1090" s="74"/>
      <c r="F1090" s="74"/>
      <c r="G1090" s="74"/>
      <c r="H1090" s="75">
        <f>ROUND(SUM(H1082:H1089),2)</f>
        <v>0</v>
      </c>
      <c r="I1090" s="2"/>
    </row>
    <row r="1091" spans="1:16" x14ac:dyDescent="0.25">
      <c r="B1091" s="38" t="s">
        <v>1684</v>
      </c>
      <c r="C1091" s="2"/>
      <c r="D1091" s="3"/>
      <c r="E1091" s="3"/>
      <c r="F1091" s="3"/>
      <c r="G1091" s="3"/>
      <c r="H1091" s="56"/>
      <c r="I1091" s="2"/>
    </row>
    <row r="1092" spans="1:16" ht="25.5" x14ac:dyDescent="0.25">
      <c r="B1092" s="64" t="s">
        <v>1409</v>
      </c>
      <c r="C1092" s="65"/>
      <c r="D1092" s="76"/>
      <c r="E1092" s="66" t="s">
        <v>1408</v>
      </c>
      <c r="F1092" s="66" t="s">
        <v>1679</v>
      </c>
      <c r="G1092" s="66" t="s">
        <v>1683</v>
      </c>
      <c r="H1092" s="68" t="s">
        <v>1675</v>
      </c>
      <c r="I1092" s="2"/>
    </row>
    <row r="1093" spans="1:16" x14ac:dyDescent="0.25">
      <c r="A1093" s="103">
        <v>1</v>
      </c>
      <c r="B1093" s="102" t="s">
        <v>152</v>
      </c>
      <c r="C1093" s="2"/>
      <c r="D1093" s="77"/>
      <c r="E1093" s="78" t="s">
        <v>145</v>
      </c>
      <c r="F1093" s="55">
        <v>1</v>
      </c>
      <c r="G1093" s="55">
        <v>23</v>
      </c>
      <c r="H1093" s="56">
        <f t="shared" ref="H1093:H1107" si="99">IF($A1093=0,"",ROUND(F1093*G1093,2))</f>
        <v>23</v>
      </c>
      <c r="I1093" s="2"/>
      <c r="J1093" s="1">
        <v>7.85</v>
      </c>
      <c r="L1093" s="2"/>
      <c r="M1093" s="2"/>
      <c r="N1093" s="39"/>
      <c r="O1093" s="2"/>
      <c r="P1093" s="2"/>
    </row>
    <row r="1094" spans="1:16" x14ac:dyDescent="0.25">
      <c r="B1094" s="102"/>
      <c r="C1094" s="2"/>
      <c r="D1094" s="77"/>
      <c r="E1094" s="78" t="str">
        <f>IF($A1094=0,"",VLOOKUP($A1094,'BASE MATERIAL'!$A:$D,3))</f>
        <v/>
      </c>
      <c r="F1094" s="55"/>
      <c r="G1094" s="55" t="str">
        <f>IF($A1094=0,"",VLOOKUP($A1094,'BASE MATERIAL'!$A:$D,4))</f>
        <v/>
      </c>
      <c r="H1094" s="56" t="str">
        <f t="shared" si="99"/>
        <v/>
      </c>
      <c r="I1094" s="2"/>
      <c r="L1094" s="2"/>
      <c r="M1094" s="2"/>
      <c r="N1094" s="39"/>
      <c r="O1094" s="2"/>
      <c r="P1094" s="2"/>
    </row>
    <row r="1095" spans="1:16" x14ac:dyDescent="0.25">
      <c r="B1095" s="38" t="str">
        <f>IF($A1095=0,"",VLOOKUP($A1095,'BASE MATERIAL'!$A:$D,2))</f>
        <v/>
      </c>
      <c r="C1095" s="2"/>
      <c r="D1095" s="77"/>
      <c r="E1095" s="78" t="str">
        <f>IF($A1095=0,"",VLOOKUP($A1095,'BASE MATERIAL'!$A:$D,3))</f>
        <v/>
      </c>
      <c r="F1095" s="55"/>
      <c r="G1095" s="55" t="str">
        <f>IF($A1095=0,"",VLOOKUP($A1095,'BASE MATERIAL'!$A:$D,4))</f>
        <v/>
      </c>
      <c r="H1095" s="56" t="str">
        <f t="shared" si="99"/>
        <v/>
      </c>
      <c r="I1095" s="2"/>
      <c r="L1095" s="2"/>
      <c r="M1095" s="2"/>
      <c r="N1095" s="39"/>
      <c r="O1095" s="2"/>
      <c r="P1095" s="2"/>
    </row>
    <row r="1096" spans="1:16" x14ac:dyDescent="0.25">
      <c r="B1096" s="38" t="str">
        <f>IF($A1096=0,"",VLOOKUP($A1096,'BASE MATERIAL'!$A:$D,2))</f>
        <v/>
      </c>
      <c r="C1096" s="2"/>
      <c r="D1096" s="77"/>
      <c r="E1096" s="78" t="str">
        <f>IF($A1096=0,"",VLOOKUP($A1096,'BASE MATERIAL'!$A:$D,3))</f>
        <v/>
      </c>
      <c r="F1096" s="55"/>
      <c r="G1096" s="55" t="str">
        <f>IF($A1096=0,"",VLOOKUP($A1096,'BASE MATERIAL'!$A:$D,4))</f>
        <v/>
      </c>
      <c r="H1096" s="56" t="str">
        <f t="shared" si="99"/>
        <v/>
      </c>
      <c r="I1096" s="2"/>
      <c r="L1096" s="2"/>
      <c r="M1096" s="2"/>
      <c r="N1096" s="39"/>
      <c r="O1096" s="2"/>
      <c r="P1096" s="2"/>
    </row>
    <row r="1097" spans="1:16" x14ac:dyDescent="0.25">
      <c r="B1097" s="38" t="str">
        <f>IF($A1097=0,"",VLOOKUP($A1097,'BASE MATERIAL'!$A:$D,2))</f>
        <v/>
      </c>
      <c r="C1097" s="2"/>
      <c r="D1097" s="77"/>
      <c r="E1097" s="78" t="str">
        <f>IF($A1097=0,"",VLOOKUP($A1097,'BASE MATERIAL'!$A:$D,3))</f>
        <v/>
      </c>
      <c r="F1097" s="55"/>
      <c r="G1097" s="55" t="str">
        <f>IF($A1097=0,"",VLOOKUP($A1097,'BASE MATERIAL'!$A:$D,4))</f>
        <v/>
      </c>
      <c r="H1097" s="56" t="str">
        <f t="shared" si="99"/>
        <v/>
      </c>
      <c r="I1097" s="2"/>
      <c r="L1097" s="2"/>
      <c r="M1097" s="2"/>
      <c r="N1097" s="39"/>
      <c r="O1097" s="2"/>
      <c r="P1097" s="2"/>
    </row>
    <row r="1098" spans="1:16" x14ac:dyDescent="0.25">
      <c r="B1098" s="38" t="str">
        <f>IF($A1098=0,"",VLOOKUP($A1098,'BASE MATERIAL'!$A:$D,2))</f>
        <v/>
      </c>
      <c r="C1098" s="2"/>
      <c r="D1098" s="77"/>
      <c r="E1098" s="78" t="str">
        <f>IF($A1098=0,"",VLOOKUP($A1098,'BASE MATERIAL'!$A:$D,3))</f>
        <v/>
      </c>
      <c r="F1098" s="55"/>
      <c r="G1098" s="55" t="str">
        <f>IF($A1098=0,"",VLOOKUP($A1098,'BASE MATERIAL'!$A:$D,4))</f>
        <v/>
      </c>
      <c r="H1098" s="56" t="str">
        <f t="shared" si="99"/>
        <v/>
      </c>
      <c r="I1098" s="2"/>
      <c r="L1098" s="2"/>
      <c r="M1098" s="2"/>
      <c r="N1098" s="39"/>
      <c r="O1098" s="2"/>
      <c r="P1098" s="2"/>
    </row>
    <row r="1099" spans="1:16" x14ac:dyDescent="0.25">
      <c r="B1099" s="38" t="str">
        <f>IF($A1099=0,"",VLOOKUP($A1099,'BASE MATERIAL'!$A:$D,2))</f>
        <v/>
      </c>
      <c r="C1099" s="2"/>
      <c r="D1099" s="77"/>
      <c r="E1099" s="78" t="str">
        <f>IF($A1099=0,"",VLOOKUP($A1099,'BASE MATERIAL'!$A:$D,3))</f>
        <v/>
      </c>
      <c r="F1099" s="55"/>
      <c r="G1099" s="55" t="str">
        <f>IF($A1099=0,"",VLOOKUP($A1099,'BASE MATERIAL'!$A:$D,4))</f>
        <v/>
      </c>
      <c r="H1099" s="56" t="str">
        <f t="shared" si="99"/>
        <v/>
      </c>
      <c r="I1099" s="2"/>
      <c r="L1099" s="2"/>
      <c r="M1099" s="2"/>
      <c r="N1099" s="39"/>
      <c r="O1099" s="2"/>
      <c r="P1099" s="2"/>
    </row>
    <row r="1100" spans="1:16" x14ac:dyDescent="0.25">
      <c r="B1100" s="38" t="str">
        <f>IF($A1100=0,"",VLOOKUP($A1100,'BASE MATERIAL'!$A:$D,2))</f>
        <v/>
      </c>
      <c r="C1100" s="2"/>
      <c r="D1100" s="77"/>
      <c r="E1100" s="78" t="str">
        <f>IF($A1100=0,"",VLOOKUP($A1100,'BASE MATERIAL'!$A:$D,3))</f>
        <v/>
      </c>
      <c r="F1100" s="55"/>
      <c r="G1100" s="55" t="str">
        <f>IF($A1100=0,"",VLOOKUP($A1100,'BASE MATERIAL'!$A:$D,4))</f>
        <v/>
      </c>
      <c r="H1100" s="56" t="str">
        <f t="shared" si="99"/>
        <v/>
      </c>
      <c r="I1100" s="2"/>
      <c r="L1100" s="2"/>
      <c r="M1100" s="2"/>
      <c r="N1100" s="39"/>
      <c r="O1100" s="2"/>
      <c r="P1100" s="2"/>
    </row>
    <row r="1101" spans="1:16" x14ac:dyDescent="0.25">
      <c r="B1101" s="38" t="str">
        <f>IF($A1101=0,"",VLOOKUP($A1101,'BASE MATERIAL'!$A:$D,2))</f>
        <v/>
      </c>
      <c r="C1101" s="2"/>
      <c r="D1101" s="77"/>
      <c r="E1101" s="78" t="str">
        <f>IF($A1101=0,"",VLOOKUP($A1101,'BASE MATERIAL'!$A:$D,3))</f>
        <v/>
      </c>
      <c r="F1101" s="55"/>
      <c r="G1101" s="55" t="str">
        <f>IF($A1101=0,"",VLOOKUP($A1101,'BASE MATERIAL'!$A:$D,4))</f>
        <v/>
      </c>
      <c r="H1101" s="56" t="str">
        <f t="shared" si="99"/>
        <v/>
      </c>
      <c r="I1101" s="2"/>
    </row>
    <row r="1102" spans="1:16" x14ac:dyDescent="0.25">
      <c r="B1102" s="38" t="str">
        <f>IF($A1102=0,"",VLOOKUP($A1102,'BASE MATERIAL'!$A:$D,2))</f>
        <v/>
      </c>
      <c r="C1102" s="2"/>
      <c r="D1102" s="77"/>
      <c r="E1102" s="78" t="str">
        <f>IF($A1102=0,"",VLOOKUP($A1102,'BASE MATERIAL'!$A:$D,3))</f>
        <v/>
      </c>
      <c r="F1102" s="55"/>
      <c r="G1102" s="55" t="str">
        <f>IF($A1102=0,"",VLOOKUP($A1102,'BASE MATERIAL'!$A:$D,4))</f>
        <v/>
      </c>
      <c r="H1102" s="56" t="str">
        <f t="shared" si="99"/>
        <v/>
      </c>
      <c r="I1102" s="2"/>
      <c r="L1102" s="2"/>
      <c r="M1102" s="2"/>
      <c r="N1102" s="39"/>
      <c r="O1102" s="2"/>
      <c r="P1102" s="2"/>
    </row>
    <row r="1103" spans="1:16" x14ac:dyDescent="0.25">
      <c r="B1103" s="38" t="str">
        <f>IF($A1103=0,"",VLOOKUP($A1103,'BASE MATERIAL'!$A:$D,2))</f>
        <v/>
      </c>
      <c r="C1103" s="2"/>
      <c r="D1103" s="77"/>
      <c r="E1103" s="78" t="str">
        <f>IF($A1103=0,"",VLOOKUP($A1103,'BASE MATERIAL'!$A:$D,3))</f>
        <v/>
      </c>
      <c r="F1103" s="55"/>
      <c r="G1103" s="55" t="str">
        <f>IF($A1103=0,"",VLOOKUP($A1103,'BASE MATERIAL'!$A:$D,4))</f>
        <v/>
      </c>
      <c r="H1103" s="56" t="str">
        <f t="shared" si="99"/>
        <v/>
      </c>
      <c r="I1103" s="2"/>
      <c r="L1103" s="2"/>
      <c r="M1103" s="2"/>
      <c r="N1103" s="39"/>
      <c r="O1103" s="2"/>
      <c r="P1103" s="2"/>
    </row>
    <row r="1104" spans="1:16" x14ac:dyDescent="0.25">
      <c r="B1104" s="38" t="str">
        <f>IF($A1104=0,"",VLOOKUP($A1104,'BASE MATERIAL'!$A:$D,2))</f>
        <v/>
      </c>
      <c r="C1104" s="2"/>
      <c r="D1104" s="77"/>
      <c r="E1104" s="78" t="str">
        <f>IF($A1104=0,"",VLOOKUP($A1104,'BASE MATERIAL'!$A:$D,3))</f>
        <v/>
      </c>
      <c r="F1104" s="55"/>
      <c r="G1104" s="55" t="str">
        <f>IF($A1104=0,"",VLOOKUP($A1104,'BASE MATERIAL'!$A:$D,4))</f>
        <v/>
      </c>
      <c r="H1104" s="56" t="str">
        <f t="shared" si="99"/>
        <v/>
      </c>
      <c r="I1104" s="2"/>
    </row>
    <row r="1105" spans="1:9" x14ac:dyDescent="0.25">
      <c r="B1105" s="38" t="str">
        <f>IF($A1105=0,"",VLOOKUP($A1105,'BASE MATERIAL'!$A:$D,2))</f>
        <v/>
      </c>
      <c r="C1105" s="2"/>
      <c r="D1105" s="77"/>
      <c r="E1105" s="78" t="str">
        <f>IF($A1105=0,"",VLOOKUP($A1105,'BASE MATERIAL'!$A:$D,3))</f>
        <v/>
      </c>
      <c r="F1105" s="55"/>
      <c r="G1105" s="55" t="str">
        <f>IF($A1105=0,"",VLOOKUP($A1105,'BASE MATERIAL'!$A:$D,4))</f>
        <v/>
      </c>
      <c r="H1105" s="56" t="str">
        <f t="shared" si="99"/>
        <v/>
      </c>
      <c r="I1105" s="2"/>
    </row>
    <row r="1106" spans="1:9" x14ac:dyDescent="0.25">
      <c r="B1106" s="38" t="str">
        <f>IF($A1106=0,"",VLOOKUP($A1106,'BASE MATERIAL'!$A:$D,2))</f>
        <v/>
      </c>
      <c r="C1106" s="2"/>
      <c r="D1106" s="77"/>
      <c r="E1106" s="78" t="str">
        <f>IF($A1106=0,"",VLOOKUP($A1106,'BASE MATERIAL'!$A:$D,3))</f>
        <v/>
      </c>
      <c r="F1106" s="55"/>
      <c r="G1106" s="55" t="str">
        <f>IF($A1106=0,"",VLOOKUP($A1106,'BASE MATERIAL'!$A:$D,4))</f>
        <v/>
      </c>
      <c r="H1106" s="56" t="str">
        <f t="shared" si="99"/>
        <v/>
      </c>
      <c r="I1106" s="2"/>
    </row>
    <row r="1107" spans="1:9" x14ac:dyDescent="0.25">
      <c r="B1107" s="38" t="str">
        <f>IF($A1107=0,"",VLOOKUP($A1107,'BASE MATERIAL'!$A:$D,2))</f>
        <v/>
      </c>
      <c r="C1107" s="2"/>
      <c r="D1107" s="77"/>
      <c r="E1107" s="78" t="str">
        <f>IF($A1107=0,"",VLOOKUP($A1107,'BASE MATERIAL'!$A:$D,3))</f>
        <v/>
      </c>
      <c r="F1107" s="55"/>
      <c r="G1107" s="55" t="str">
        <f>IF($A1107=0,"",VLOOKUP($A1107,'BASE MATERIAL'!$A:$D,4))</f>
        <v/>
      </c>
      <c r="H1107" s="56" t="str">
        <f t="shared" si="99"/>
        <v/>
      </c>
      <c r="I1107" s="2"/>
    </row>
    <row r="1108" spans="1:9" x14ac:dyDescent="0.25">
      <c r="B1108" s="38" t="str">
        <f>IF($A1108=0,"",VLOOKUP($A1108,'BASE MATERIAL'!$A:$D,2))</f>
        <v/>
      </c>
      <c r="C1108" s="2"/>
      <c r="D1108" s="81" t="s">
        <v>1682</v>
      </c>
      <c r="E1108" s="55" t="str">
        <f>IF($A1108=0,"",VLOOKUP($A1108,'BASE MATERIAL'!$A:$D,3))</f>
        <v/>
      </c>
      <c r="F1108" s="55" t="s">
        <v>1682</v>
      </c>
      <c r="G1108" s="55" t="str">
        <f>IF($A1108=0,"",VLOOKUP($A1108,'BASE MATERIAL'!$A:$D,4))</f>
        <v/>
      </c>
      <c r="H1108" s="56" t="str">
        <f>IF($A1108=0,"",ROUND(E1108*F1108,2))</f>
        <v/>
      </c>
      <c r="I1108" s="2"/>
    </row>
    <row r="1109" spans="1:9" x14ac:dyDescent="0.25">
      <c r="B1109" s="73" t="s">
        <v>1681</v>
      </c>
      <c r="C1109" s="65"/>
      <c r="D1109" s="74"/>
      <c r="E1109" s="74"/>
      <c r="F1109" s="74"/>
      <c r="G1109" s="74"/>
      <c r="H1109" s="75">
        <f>ROUND(SUM(H1092:H1108),2)</f>
        <v>23</v>
      </c>
      <c r="I1109" s="2"/>
    </row>
    <row r="1110" spans="1:9" x14ac:dyDescent="0.25">
      <c r="B1110" s="38" t="s">
        <v>1680</v>
      </c>
      <c r="C1110" s="2"/>
      <c r="D1110" s="3"/>
      <c r="E1110" s="3"/>
      <c r="F1110" s="3"/>
      <c r="G1110" s="3"/>
      <c r="H1110" s="56"/>
      <c r="I1110" s="2"/>
    </row>
    <row r="1111" spans="1:9" ht="25.5" x14ac:dyDescent="0.25">
      <c r="B1111" s="64" t="s">
        <v>1409</v>
      </c>
      <c r="C1111" s="65"/>
      <c r="D1111" s="76"/>
      <c r="E1111" s="66" t="s">
        <v>1408</v>
      </c>
      <c r="F1111" s="66" t="s">
        <v>1679</v>
      </c>
      <c r="G1111" s="66" t="s">
        <v>1676</v>
      </c>
      <c r="H1111" s="68" t="s">
        <v>1675</v>
      </c>
      <c r="I1111" s="2"/>
    </row>
    <row r="1112" spans="1:9" x14ac:dyDescent="0.25">
      <c r="A1112" s="103">
        <v>19019</v>
      </c>
      <c r="B1112" s="51" t="str">
        <f>IF($A1112=0,"",VLOOKUP($A1112,'BASE EQUIPO'!$A:$D,2))</f>
        <v>TRANSPORTE DE MATERIAL</v>
      </c>
      <c r="C1112" s="52"/>
      <c r="D1112" s="82"/>
      <c r="E1112" s="78" t="str">
        <f>IF($A1112=0,"",VLOOKUP($A1112,'BASE EQUIPO'!$A:$D,3))</f>
        <v>GLOBAL</v>
      </c>
      <c r="F1112" s="55">
        <v>1</v>
      </c>
      <c r="G1112" s="83">
        <f>IF($A1112=0,"",VLOOKUP($A1112,'BASE EQUIPO'!$A:$D,4)*H1109)</f>
        <v>0.69</v>
      </c>
      <c r="H1112" s="56">
        <f>IF($A1112=0,"",ROUND(F1112*G1112,2))</f>
        <v>0.69</v>
      </c>
      <c r="I1112" s="2"/>
    </row>
    <row r="1113" spans="1:9" x14ac:dyDescent="0.25">
      <c r="B1113" s="38" t="str">
        <f>IF($A1113=0,"",VLOOKUP($A1113,'BASE EQUIPO'!$A:$D,2))</f>
        <v/>
      </c>
      <c r="C1113" s="2"/>
      <c r="D1113" s="84"/>
      <c r="E1113" s="78" t="str">
        <f>IF($A1113=0,"",VLOOKUP($A1113,'BASE EQUIPO'!$A:$D,3))</f>
        <v/>
      </c>
      <c r="F1113" s="55"/>
      <c r="G1113" s="55" t="str">
        <f>IF($A1113=0,"",VLOOKUP($A1113,'BASE EQUIPO'!$A:$D,4)*H1110)</f>
        <v/>
      </c>
      <c r="H1113" s="56" t="str">
        <f>IF($A1113=0,"",ROUND(F1113*G1113,2))</f>
        <v/>
      </c>
      <c r="I1113" s="2"/>
    </row>
    <row r="1114" spans="1:9" x14ac:dyDescent="0.25">
      <c r="B1114" s="57" t="str">
        <f>IF($A1114=0,"",VLOOKUP($A1114,'BASE EQUIPO'!$A:$D,2))</f>
        <v/>
      </c>
      <c r="C1114" s="58"/>
      <c r="D1114" s="85"/>
      <c r="E1114" s="86" t="str">
        <f>IF($A1114=0,"",VLOOKUP($A1114,'BASE EQUIPO'!$A:$D,3))</f>
        <v/>
      </c>
      <c r="F1114" s="59"/>
      <c r="G1114" s="59" t="str">
        <f>IF($A1114=0,"",VLOOKUP($A1114,'BASE EQUIPO'!$A:$D,4)*H1111)</f>
        <v/>
      </c>
      <c r="H1114" s="60" t="str">
        <f>IF($A1114=0,"",ROUND(F1114*G1114,2))</f>
        <v/>
      </c>
      <c r="I1114" s="2"/>
    </row>
    <row r="1115" spans="1:9" ht="15.75" thickBot="1" x14ac:dyDescent="0.3">
      <c r="B1115" s="87" t="s">
        <v>1674</v>
      </c>
      <c r="C1115" s="88"/>
      <c r="D1115" s="89"/>
      <c r="E1115" s="89"/>
      <c r="F1115" s="89"/>
      <c r="G1115" s="89"/>
      <c r="H1115" s="90">
        <f>ROUND(SUM(H1111:H1114),2)</f>
        <v>0.69</v>
      </c>
      <c r="I1115" s="2"/>
    </row>
    <row r="1116" spans="1:9" ht="15.75" x14ac:dyDescent="0.25">
      <c r="B1116" s="2"/>
      <c r="C1116" s="2"/>
      <c r="D1116" s="91" t="s">
        <v>1673</v>
      </c>
      <c r="E1116" s="47"/>
      <c r="F1116" s="47"/>
      <c r="G1116" s="47"/>
      <c r="H1116" s="92">
        <f>ROUND(SUM(H1115,H1109,H1090,H1080),2)</f>
        <v>23.69</v>
      </c>
      <c r="I1116" s="2"/>
    </row>
    <row r="1117" spans="1:9" ht="15.75" x14ac:dyDescent="0.25">
      <c r="A1117" s="103">
        <v>40002</v>
      </c>
      <c r="B1117" s="2"/>
      <c r="C1117" s="2"/>
      <c r="D1117" s="93" t="s">
        <v>1672</v>
      </c>
      <c r="E1117" s="65"/>
      <c r="F1117" s="65"/>
      <c r="G1117" s="94">
        <f>IF($A1117=0,"",VLOOKUP($A1117,'BASE MATERIAL'!$M:$P,4))</f>
        <v>0</v>
      </c>
      <c r="H1117" s="95">
        <f>IF($A1117=0,"",ROUND(G1117*H1116,2))</f>
        <v>0</v>
      </c>
      <c r="I1117" s="2"/>
    </row>
    <row r="1118" spans="1:9" ht="15.75" x14ac:dyDescent="0.25">
      <c r="A1118" s="103">
        <v>40003</v>
      </c>
      <c r="B1118" s="2"/>
      <c r="C1118" s="2"/>
      <c r="D1118" s="93" t="s">
        <v>1671</v>
      </c>
      <c r="E1118" s="65"/>
      <c r="F1118" s="65"/>
      <c r="G1118" s="94">
        <f>IF($A1118=0,"",VLOOKUP($A1118,'BASE MATERIAL'!$M:$P,4))</f>
        <v>0</v>
      </c>
      <c r="H1118" s="95">
        <f>IF($A1118=0,"",ROUND(G1118*H1116,2))</f>
        <v>0</v>
      </c>
      <c r="I1118" s="2"/>
    </row>
    <row r="1119" spans="1:9" ht="15.75" x14ac:dyDescent="0.25">
      <c r="B1119" s="2"/>
      <c r="C1119" s="2"/>
      <c r="D1119" s="93" t="s">
        <v>1670</v>
      </c>
      <c r="E1119" s="65"/>
      <c r="F1119" s="65"/>
      <c r="G1119" s="65"/>
      <c r="H1119" s="96">
        <f>ROUND(SUM(H1116:H1118),2)</f>
        <v>23.69</v>
      </c>
      <c r="I1119" s="2"/>
    </row>
    <row r="1120" spans="1:9" ht="16.5" thickBot="1" x14ac:dyDescent="0.3">
      <c r="B1120" s="25"/>
      <c r="C1120" s="2"/>
      <c r="D1120" s="97" t="s">
        <v>1650</v>
      </c>
      <c r="E1120" s="88"/>
      <c r="F1120" s="88"/>
      <c r="G1120" s="88"/>
      <c r="H1120" s="98">
        <f>ROUND(H1119,2)</f>
        <v>23.69</v>
      </c>
      <c r="I1120" s="2"/>
    </row>
    <row r="1121" spans="1:15" ht="15.75" x14ac:dyDescent="0.25">
      <c r="B1121" s="34" t="s">
        <v>1701</v>
      </c>
      <c r="C1121" s="2"/>
      <c r="D1121" s="3" t="str">
        <f>$D$1</f>
        <v>ESPOL</v>
      </c>
      <c r="E1121" s="2"/>
      <c r="F1121" s="2"/>
      <c r="H1121" s="2" t="s">
        <v>108</v>
      </c>
      <c r="I1121" s="2"/>
      <c r="L1121" s="40">
        <f>A1125</f>
        <v>2</v>
      </c>
      <c r="M1121" s="1" t="str">
        <f>C1126</f>
        <v>Aislante rubatex 3/4</v>
      </c>
      <c r="N1121" s="2" t="str">
        <f>H1125</f>
        <v>metros</v>
      </c>
      <c r="O1121" s="2">
        <f>H1176</f>
        <v>3.66</v>
      </c>
    </row>
    <row r="1122" spans="1:15" ht="15.75" x14ac:dyDescent="0.25">
      <c r="B1122" s="34" t="s">
        <v>1700</v>
      </c>
      <c r="C1122" s="3">
        <f>'1.1'!$C$2</f>
        <v>0</v>
      </c>
      <c r="D1122" s="2"/>
      <c r="E1122" s="2"/>
      <c r="F1122" s="2"/>
      <c r="G1122" s="41" t="s">
        <v>1699</v>
      </c>
      <c r="H1122" s="42"/>
      <c r="I1122" s="2" t="s">
        <v>1698</v>
      </c>
    </row>
    <row r="1123" spans="1:15" ht="15.75" x14ac:dyDescent="0.25">
      <c r="B1123" s="34"/>
      <c r="C1123" s="3">
        <f>'1.1'!$C$3</f>
        <v>0</v>
      </c>
      <c r="D1123" s="2"/>
      <c r="E1123" s="2"/>
      <c r="F1123" s="2"/>
      <c r="G1123" s="2"/>
      <c r="H1123" s="2"/>
      <c r="I1123" s="2"/>
    </row>
    <row r="1124" spans="1:15" ht="15.75" x14ac:dyDescent="0.25">
      <c r="B1124" s="34" t="s">
        <v>1697</v>
      </c>
      <c r="C1124" s="3"/>
      <c r="D1124" s="2"/>
      <c r="E1124" s="2"/>
      <c r="F1124" s="2"/>
      <c r="G1124" s="2"/>
      <c r="H1124" s="2"/>
      <c r="I1124" s="2"/>
    </row>
    <row r="1125" spans="1:15" x14ac:dyDescent="0.25">
      <c r="A1125" s="104">
        <v>2</v>
      </c>
      <c r="B1125" s="2" t="s">
        <v>1586</v>
      </c>
      <c r="C1125" s="101" t="s">
        <v>171</v>
      </c>
      <c r="D1125" s="2"/>
      <c r="G1125" s="2" t="s">
        <v>1696</v>
      </c>
      <c r="H1125" s="3" t="s">
        <v>145</v>
      </c>
      <c r="I1125" s="2"/>
    </row>
    <row r="1126" spans="1:15" x14ac:dyDescent="0.25">
      <c r="B1126" s="1" t="s">
        <v>1585</v>
      </c>
      <c r="C1126" s="36" t="s">
        <v>153</v>
      </c>
      <c r="D1126" s="2"/>
      <c r="E1126" s="2"/>
      <c r="F1126" s="2"/>
      <c r="G1126" s="2"/>
      <c r="H1126" s="2"/>
      <c r="I1126" s="2"/>
    </row>
    <row r="1127" spans="1:15" ht="15.75" thickBot="1" x14ac:dyDescent="0.3">
      <c r="D1127" s="2"/>
      <c r="E1127" s="2"/>
      <c r="F1127" s="2"/>
      <c r="G1127" s="2"/>
      <c r="H1127" s="2"/>
      <c r="I1127" s="2"/>
    </row>
    <row r="1128" spans="1:15" ht="15.75" thickBot="1" x14ac:dyDescent="0.3">
      <c r="B1128" s="43" t="s">
        <v>1695</v>
      </c>
      <c r="C1128" s="44"/>
      <c r="D1128" s="44"/>
      <c r="E1128" s="44"/>
      <c r="F1128" s="44"/>
      <c r="G1128" s="44"/>
      <c r="H1128" s="45"/>
      <c r="I1128" s="2"/>
    </row>
    <row r="1129" spans="1:15" ht="25.5" x14ac:dyDescent="0.25">
      <c r="B1129" s="46" t="s">
        <v>1409</v>
      </c>
      <c r="C1129" s="47"/>
      <c r="D1129" s="48" t="s">
        <v>1690</v>
      </c>
      <c r="E1129" s="48" t="s">
        <v>1694</v>
      </c>
      <c r="F1129" s="48" t="s">
        <v>1693</v>
      </c>
      <c r="G1129" s="49" t="s">
        <v>1687</v>
      </c>
      <c r="H1129" s="50" t="s">
        <v>1686</v>
      </c>
      <c r="I1129" s="2"/>
    </row>
    <row r="1130" spans="1:15" x14ac:dyDescent="0.25">
      <c r="B1130" s="51" t="str">
        <f>IF($A1130=0,"",VLOOKUP($A1130,'BASE EQUIPO'!$A:$D,2))</f>
        <v/>
      </c>
      <c r="C1130" s="52"/>
      <c r="D1130" s="53"/>
      <c r="E1130" s="53" t="str">
        <f>IF($A1130=0,"",VLOOKUP($A1130,'BASE EQUIPO'!$A:$D,4)*H1146)</f>
        <v/>
      </c>
      <c r="F1130" s="53" t="str">
        <f t="shared" ref="F1130:F1135" si="100">IF($A1130=0,"",ROUND(D1130*E1130,2))</f>
        <v/>
      </c>
      <c r="G1130" s="105"/>
      <c r="H1130" s="54" t="str">
        <f t="shared" ref="H1130:H1135" si="101">IF($A1130=0,"",ROUND(G1130*F1130,2))</f>
        <v/>
      </c>
      <c r="I1130" s="2"/>
    </row>
    <row r="1131" spans="1:15" x14ac:dyDescent="0.25">
      <c r="B1131" s="38" t="str">
        <f>IF($A1131=0,"",VLOOKUP($A1131,'BASE EQUIPO'!$A:$D,2))</f>
        <v/>
      </c>
      <c r="C1131" s="2"/>
      <c r="D1131" s="55"/>
      <c r="E1131" s="55" t="str">
        <f>IF($A1131=0,"",VLOOKUP($A1131,'BASE EQUIPO'!$A:$D,4))</f>
        <v/>
      </c>
      <c r="F1131" s="55" t="str">
        <f t="shared" si="100"/>
        <v/>
      </c>
      <c r="G1131" s="106"/>
      <c r="H1131" s="56" t="str">
        <f t="shared" si="101"/>
        <v/>
      </c>
      <c r="I1131" s="2"/>
    </row>
    <row r="1132" spans="1:15" x14ac:dyDescent="0.25">
      <c r="B1132" s="38" t="str">
        <f>IF($A1132=0,"",VLOOKUP($A1132,'BASE EQUIPO'!$A:$D,2))</f>
        <v/>
      </c>
      <c r="C1132" s="2"/>
      <c r="D1132" s="55"/>
      <c r="E1132" s="55" t="str">
        <f>IF($A1132=0,"",VLOOKUP($A1132,'BASE EQUIPO'!$A:$D,4))</f>
        <v/>
      </c>
      <c r="F1132" s="55" t="str">
        <f t="shared" si="100"/>
        <v/>
      </c>
      <c r="G1132" s="106"/>
      <c r="H1132" s="56" t="str">
        <f t="shared" si="101"/>
        <v/>
      </c>
      <c r="I1132" s="2"/>
    </row>
    <row r="1133" spans="1:15" x14ac:dyDescent="0.25">
      <c r="B1133" s="38" t="str">
        <f>IF($A1133=0,"",VLOOKUP($A1133,'BASE EQUIPO'!$A:$D,2))</f>
        <v/>
      </c>
      <c r="C1133" s="2"/>
      <c r="D1133" s="55"/>
      <c r="E1133" s="55" t="str">
        <f>IF($A1133=0,"",VLOOKUP($A1133,'BASE EQUIPO'!$A:$D,4))</f>
        <v/>
      </c>
      <c r="F1133" s="55" t="str">
        <f t="shared" si="100"/>
        <v/>
      </c>
      <c r="G1133" s="106"/>
      <c r="H1133" s="56" t="str">
        <f t="shared" si="101"/>
        <v/>
      </c>
      <c r="I1133" s="2"/>
    </row>
    <row r="1134" spans="1:15" x14ac:dyDescent="0.25">
      <c r="B1134" s="38" t="str">
        <f>IF($A1134=0,"",VLOOKUP($A1134,'BASE EQUIPO'!$A:$D,2))</f>
        <v/>
      </c>
      <c r="C1134" s="2"/>
      <c r="D1134" s="55"/>
      <c r="E1134" s="55" t="str">
        <f>IF($A1134=0,"",VLOOKUP($A1134,'BASE EQUIPO'!$A:$D,4))</f>
        <v/>
      </c>
      <c r="F1134" s="55" t="str">
        <f t="shared" si="100"/>
        <v/>
      </c>
      <c r="G1134" s="106"/>
      <c r="H1134" s="56" t="str">
        <f t="shared" si="101"/>
        <v/>
      </c>
      <c r="I1134" s="2"/>
    </row>
    <row r="1135" spans="1:15" x14ac:dyDescent="0.25">
      <c r="B1135" s="57" t="str">
        <f>IF($A1135=0,"",VLOOKUP($A1135,'BASE EQUIPO'!$A:$D,2))</f>
        <v/>
      </c>
      <c r="C1135" s="58"/>
      <c r="D1135" s="59"/>
      <c r="E1135" s="59" t="str">
        <f>IF($A1135=0,"",VLOOKUP($A1135,'BASE EQUIPO'!$A:$D,4))</f>
        <v/>
      </c>
      <c r="F1135" s="59" t="str">
        <f t="shared" si="100"/>
        <v/>
      </c>
      <c r="G1135" s="107"/>
      <c r="H1135" s="60" t="str">
        <f t="shared" si="101"/>
        <v/>
      </c>
      <c r="I1135" s="2"/>
    </row>
    <row r="1136" spans="1:15" x14ac:dyDescent="0.25">
      <c r="B1136" s="57" t="s">
        <v>1692</v>
      </c>
      <c r="C1136" s="58"/>
      <c r="D1136" s="61"/>
      <c r="E1136" s="61"/>
      <c r="F1136" s="61"/>
      <c r="G1136" s="62"/>
      <c r="H1136" s="60">
        <f>ROUND(SUM(H1129:H1135),2)</f>
        <v>0</v>
      </c>
      <c r="I1136" s="2"/>
    </row>
    <row r="1137" spans="1:16" x14ac:dyDescent="0.25">
      <c r="B1137" s="38" t="s">
        <v>1503</v>
      </c>
      <c r="C1137" s="2"/>
      <c r="D1137" s="3"/>
      <c r="E1137" s="3"/>
      <c r="F1137" s="3"/>
      <c r="G1137" s="63"/>
      <c r="H1137" s="56"/>
      <c r="I1137" s="2"/>
    </row>
    <row r="1138" spans="1:16" ht="25.5" x14ac:dyDescent="0.25">
      <c r="B1138" s="64" t="s">
        <v>1691</v>
      </c>
      <c r="C1138" s="65"/>
      <c r="D1138" s="66" t="s">
        <v>1690</v>
      </c>
      <c r="E1138" s="66" t="s">
        <v>1689</v>
      </c>
      <c r="F1138" s="66" t="s">
        <v>1688</v>
      </c>
      <c r="G1138" s="67" t="s">
        <v>1687</v>
      </c>
      <c r="H1138" s="68" t="s">
        <v>1686</v>
      </c>
      <c r="I1138" s="2"/>
    </row>
    <row r="1139" spans="1:16" x14ac:dyDescent="0.25">
      <c r="B1139" s="69" t="str">
        <f>IF($A1139=0,"",VLOOKUP($A1139,'BASE M-OBRA'!$A:$D,2))</f>
        <v/>
      </c>
      <c r="C1139" s="2"/>
      <c r="D1139" s="108"/>
      <c r="E1139" s="70" t="str">
        <f>IF($A1139=0,"",VLOOKUP($A1139,'BASE M-OBRA'!$A:$D,4))</f>
        <v/>
      </c>
      <c r="F1139" s="55" t="str">
        <f t="shared" ref="F1139:F1145" si="102">IF($A1139=0,"",ROUND(D1139*E1139,2))</f>
        <v/>
      </c>
      <c r="G1139" s="106" t="str">
        <f>IF($A1139=0,"",ROUND(H1139/F1139,2))</f>
        <v/>
      </c>
      <c r="H1139" s="56" t="str">
        <f>IF($A1139=0,"",ROUND(SUM(H1140:H1145)*'BASE M-OBRA'!$D$23,2))</f>
        <v/>
      </c>
      <c r="I1139" s="2"/>
    </row>
    <row r="1140" spans="1:16" x14ac:dyDescent="0.25">
      <c r="B1140" s="69" t="str">
        <f>IF($A1140=0,"",VLOOKUP($A1140,'BASE M-OBRA'!$A:$D,2))</f>
        <v/>
      </c>
      <c r="C1140" s="2"/>
      <c r="D1140" s="108"/>
      <c r="E1140" s="70" t="str">
        <f>IF($A1140=0,"",VLOOKUP($A1140,'BASE M-OBRA'!$A:$D,4))</f>
        <v/>
      </c>
      <c r="F1140" s="55" t="str">
        <f t="shared" si="102"/>
        <v/>
      </c>
      <c r="G1140" s="106"/>
      <c r="H1140" s="56" t="str">
        <f t="shared" ref="H1140:H1145" si="103">IF($A1140=0,"",ROUND(G1140*F1140,2))</f>
        <v/>
      </c>
      <c r="I1140" s="2"/>
    </row>
    <row r="1141" spans="1:16" x14ac:dyDescent="0.25">
      <c r="B1141" s="69" t="str">
        <f>IF($A1141=0,"",VLOOKUP($A1141,'BASE M-OBRA'!$A:$D,2))</f>
        <v/>
      </c>
      <c r="C1141" s="2"/>
      <c r="D1141" s="108"/>
      <c r="E1141" s="70" t="str">
        <f>IF($A1141=0,"",VLOOKUP($A1141,'BASE M-OBRA'!$A:$D,4))</f>
        <v/>
      </c>
      <c r="F1141" s="55" t="str">
        <f t="shared" si="102"/>
        <v/>
      </c>
      <c r="G1141" s="106"/>
      <c r="H1141" s="56" t="str">
        <f t="shared" si="103"/>
        <v/>
      </c>
      <c r="I1141" s="2"/>
    </row>
    <row r="1142" spans="1:16" x14ac:dyDescent="0.25">
      <c r="B1142" s="71" t="str">
        <f>IF($A1142=0,"",VLOOKUP($A1142,'BASE M-OBRA'!$A:$D,2))</f>
        <v/>
      </c>
      <c r="C1142" s="2"/>
      <c r="D1142" s="108"/>
      <c r="E1142" s="70" t="str">
        <f>IF($A1142=0,"",VLOOKUP($A1142,'BASE M-OBRA'!$A:$D,4))</f>
        <v/>
      </c>
      <c r="F1142" s="55" t="str">
        <f t="shared" si="102"/>
        <v/>
      </c>
      <c r="G1142" s="106"/>
      <c r="H1142" s="56" t="str">
        <f t="shared" si="103"/>
        <v/>
      </c>
      <c r="I1142" s="2"/>
    </row>
    <row r="1143" spans="1:16" x14ac:dyDescent="0.25">
      <c r="B1143" s="72" t="str">
        <f>IF($A1143=0,"",VLOOKUP($A1143,'BASE M-OBRA'!$A:$D,2))</f>
        <v/>
      </c>
      <c r="C1143" s="2"/>
      <c r="D1143" s="108"/>
      <c r="E1143" s="70" t="str">
        <f>IF($A1143=0,"",VLOOKUP($A1143,'BASE M-OBRA'!$A:$D,4))</f>
        <v/>
      </c>
      <c r="F1143" s="55" t="str">
        <f t="shared" si="102"/>
        <v/>
      </c>
      <c r="G1143" s="106"/>
      <c r="H1143" s="56" t="str">
        <f t="shared" si="103"/>
        <v/>
      </c>
      <c r="I1143" s="2"/>
    </row>
    <row r="1144" spans="1:16" x14ac:dyDescent="0.25">
      <c r="B1144" s="38" t="str">
        <f>IF($A1144=0,"",VLOOKUP($A1144,'BASE M-OBRA'!$A:$D,2))</f>
        <v/>
      </c>
      <c r="C1144" s="2"/>
      <c r="D1144" s="55"/>
      <c r="E1144" s="55" t="str">
        <f>IF($A1144=0,"",VLOOKUP($A1144,'BASE M-OBRA'!$A:$D,4))</f>
        <v/>
      </c>
      <c r="F1144" s="55" t="str">
        <f t="shared" si="102"/>
        <v/>
      </c>
      <c r="G1144" s="106"/>
      <c r="H1144" s="56" t="str">
        <f t="shared" si="103"/>
        <v/>
      </c>
      <c r="I1144" s="2"/>
    </row>
    <row r="1145" spans="1:16" x14ac:dyDescent="0.25">
      <c r="B1145" s="57" t="str">
        <f>IF($A1145=0,"",VLOOKUP($A1145,'BASE M-OBRA'!$A:$D,2))</f>
        <v/>
      </c>
      <c r="C1145" s="58"/>
      <c r="D1145" s="59"/>
      <c r="E1145" s="59" t="str">
        <f>IF($A1145=0,"",VLOOKUP($A1145,'BASE M-OBRA'!$A:$D,4))</f>
        <v/>
      </c>
      <c r="F1145" s="59" t="str">
        <f t="shared" si="102"/>
        <v/>
      </c>
      <c r="G1145" s="107"/>
      <c r="H1145" s="60" t="str">
        <f t="shared" si="103"/>
        <v/>
      </c>
      <c r="I1145" s="2"/>
    </row>
    <row r="1146" spans="1:16" x14ac:dyDescent="0.25">
      <c r="B1146" s="73" t="s">
        <v>1685</v>
      </c>
      <c r="C1146" s="65"/>
      <c r="D1146" s="74"/>
      <c r="E1146" s="74"/>
      <c r="F1146" s="74"/>
      <c r="G1146" s="74"/>
      <c r="H1146" s="75">
        <f>ROUND(SUM(H1138:H1145),2)</f>
        <v>0</v>
      </c>
      <c r="I1146" s="2"/>
    </row>
    <row r="1147" spans="1:16" x14ac:dyDescent="0.25">
      <c r="B1147" s="38" t="s">
        <v>1684</v>
      </c>
      <c r="C1147" s="2"/>
      <c r="D1147" s="3"/>
      <c r="E1147" s="3"/>
      <c r="F1147" s="3"/>
      <c r="G1147" s="3"/>
      <c r="H1147" s="56"/>
      <c r="I1147" s="2"/>
    </row>
    <row r="1148" spans="1:16" ht="25.5" x14ac:dyDescent="0.25">
      <c r="B1148" s="64" t="s">
        <v>1409</v>
      </c>
      <c r="C1148" s="65"/>
      <c r="D1148" s="76"/>
      <c r="E1148" s="66" t="s">
        <v>1408</v>
      </c>
      <c r="F1148" s="66" t="s">
        <v>1679</v>
      </c>
      <c r="G1148" s="66" t="s">
        <v>1683</v>
      </c>
      <c r="H1148" s="68" t="s">
        <v>1675</v>
      </c>
      <c r="I1148" s="2"/>
    </row>
    <row r="1149" spans="1:16" x14ac:dyDescent="0.25">
      <c r="A1149" s="103">
        <v>1</v>
      </c>
      <c r="B1149" s="102" t="s">
        <v>153</v>
      </c>
      <c r="C1149" s="2"/>
      <c r="D1149" s="77"/>
      <c r="E1149" s="78" t="s">
        <v>145</v>
      </c>
      <c r="F1149" s="55">
        <v>1</v>
      </c>
      <c r="G1149" s="55">
        <v>3.55</v>
      </c>
      <c r="H1149" s="56">
        <f t="shared" ref="H1149:H1163" si="104">IF($A1149=0,"",ROUND(F1149*G1149,2))</f>
        <v>3.55</v>
      </c>
      <c r="I1149" s="2"/>
      <c r="J1149" s="1">
        <v>4.05</v>
      </c>
      <c r="L1149" s="2"/>
      <c r="M1149" s="2"/>
      <c r="N1149" s="39"/>
      <c r="O1149" s="2"/>
      <c r="P1149" s="2"/>
    </row>
    <row r="1150" spans="1:16" x14ac:dyDescent="0.25">
      <c r="B1150" s="102"/>
      <c r="C1150" s="2"/>
      <c r="D1150" s="77"/>
      <c r="E1150" s="78" t="str">
        <f>IF($A1150=0,"",VLOOKUP($A1150,'BASE MATERIAL'!$A:$D,3))</f>
        <v/>
      </c>
      <c r="F1150" s="55"/>
      <c r="G1150" s="55" t="str">
        <f>IF($A1150=0,"",VLOOKUP($A1150,'BASE MATERIAL'!$A:$D,4))</f>
        <v/>
      </c>
      <c r="H1150" s="56" t="str">
        <f t="shared" si="104"/>
        <v/>
      </c>
      <c r="I1150" s="2"/>
      <c r="L1150" s="2"/>
      <c r="M1150" s="2"/>
      <c r="N1150" s="39"/>
      <c r="O1150" s="2"/>
      <c r="P1150" s="2"/>
    </row>
    <row r="1151" spans="1:16" x14ac:dyDescent="0.25">
      <c r="B1151" s="38" t="str">
        <f>IF($A1151=0,"",VLOOKUP($A1151,'BASE MATERIAL'!$A:$D,2))</f>
        <v/>
      </c>
      <c r="C1151" s="2"/>
      <c r="D1151" s="77"/>
      <c r="E1151" s="78" t="str">
        <f>IF($A1151=0,"",VLOOKUP($A1151,'BASE MATERIAL'!$A:$D,3))</f>
        <v/>
      </c>
      <c r="F1151" s="55"/>
      <c r="G1151" s="55" t="str">
        <f>IF($A1151=0,"",VLOOKUP($A1151,'BASE MATERIAL'!$A:$D,4))</f>
        <v/>
      </c>
      <c r="H1151" s="56" t="str">
        <f t="shared" si="104"/>
        <v/>
      </c>
      <c r="I1151" s="2"/>
      <c r="L1151" s="2"/>
      <c r="M1151" s="2"/>
      <c r="N1151" s="39"/>
      <c r="O1151" s="2"/>
      <c r="P1151" s="2"/>
    </row>
    <row r="1152" spans="1:16" x14ac:dyDescent="0.25">
      <c r="B1152" s="38" t="str">
        <f>IF($A1152=0,"",VLOOKUP($A1152,'BASE MATERIAL'!$A:$D,2))</f>
        <v/>
      </c>
      <c r="C1152" s="2"/>
      <c r="D1152" s="77"/>
      <c r="E1152" s="78" t="str">
        <f>IF($A1152=0,"",VLOOKUP($A1152,'BASE MATERIAL'!$A:$D,3))</f>
        <v/>
      </c>
      <c r="F1152" s="55"/>
      <c r="G1152" s="55" t="str">
        <f>IF($A1152=0,"",VLOOKUP($A1152,'BASE MATERIAL'!$A:$D,4))</f>
        <v/>
      </c>
      <c r="H1152" s="56" t="str">
        <f t="shared" si="104"/>
        <v/>
      </c>
      <c r="I1152" s="2"/>
      <c r="L1152" s="2"/>
      <c r="M1152" s="2"/>
      <c r="N1152" s="39"/>
      <c r="O1152" s="2"/>
      <c r="P1152" s="2"/>
    </row>
    <row r="1153" spans="1:16" x14ac:dyDescent="0.25">
      <c r="B1153" s="38" t="str">
        <f>IF($A1153=0,"",VLOOKUP($A1153,'BASE MATERIAL'!$A:$D,2))</f>
        <v/>
      </c>
      <c r="C1153" s="2"/>
      <c r="D1153" s="77"/>
      <c r="E1153" s="78" t="str">
        <f>IF($A1153=0,"",VLOOKUP($A1153,'BASE MATERIAL'!$A:$D,3))</f>
        <v/>
      </c>
      <c r="F1153" s="55"/>
      <c r="G1153" s="55" t="str">
        <f>IF($A1153=0,"",VLOOKUP($A1153,'BASE MATERIAL'!$A:$D,4))</f>
        <v/>
      </c>
      <c r="H1153" s="56" t="str">
        <f t="shared" si="104"/>
        <v/>
      </c>
      <c r="I1153" s="2"/>
      <c r="L1153" s="2"/>
      <c r="M1153" s="2"/>
      <c r="N1153" s="39"/>
      <c r="O1153" s="2"/>
      <c r="P1153" s="2"/>
    </row>
    <row r="1154" spans="1:16" x14ac:dyDescent="0.25">
      <c r="B1154" s="38" t="str">
        <f>IF($A1154=0,"",VLOOKUP($A1154,'BASE MATERIAL'!$A:$D,2))</f>
        <v/>
      </c>
      <c r="C1154" s="2"/>
      <c r="D1154" s="77"/>
      <c r="E1154" s="78" t="str">
        <f>IF($A1154=0,"",VLOOKUP($A1154,'BASE MATERIAL'!$A:$D,3))</f>
        <v/>
      </c>
      <c r="F1154" s="55"/>
      <c r="G1154" s="55" t="str">
        <f>IF($A1154=0,"",VLOOKUP($A1154,'BASE MATERIAL'!$A:$D,4))</f>
        <v/>
      </c>
      <c r="H1154" s="56" t="str">
        <f t="shared" si="104"/>
        <v/>
      </c>
      <c r="I1154" s="2"/>
      <c r="L1154" s="2"/>
      <c r="M1154" s="2"/>
      <c r="N1154" s="39"/>
      <c r="O1154" s="2"/>
      <c r="P1154" s="2"/>
    </row>
    <row r="1155" spans="1:16" x14ac:dyDescent="0.25">
      <c r="B1155" s="38" t="str">
        <f>IF($A1155=0,"",VLOOKUP($A1155,'BASE MATERIAL'!$A:$D,2))</f>
        <v/>
      </c>
      <c r="C1155" s="2"/>
      <c r="D1155" s="77"/>
      <c r="E1155" s="78" t="str">
        <f>IF($A1155=0,"",VLOOKUP($A1155,'BASE MATERIAL'!$A:$D,3))</f>
        <v/>
      </c>
      <c r="F1155" s="55"/>
      <c r="G1155" s="55" t="str">
        <f>IF($A1155=0,"",VLOOKUP($A1155,'BASE MATERIAL'!$A:$D,4))</f>
        <v/>
      </c>
      <c r="H1155" s="56" t="str">
        <f t="shared" si="104"/>
        <v/>
      </c>
      <c r="I1155" s="2"/>
      <c r="L1155" s="2"/>
      <c r="M1155" s="2"/>
      <c r="N1155" s="39"/>
      <c r="O1155" s="2"/>
      <c r="P1155" s="2"/>
    </row>
    <row r="1156" spans="1:16" x14ac:dyDescent="0.25">
      <c r="B1156" s="38" t="str">
        <f>IF($A1156=0,"",VLOOKUP($A1156,'BASE MATERIAL'!$A:$D,2))</f>
        <v/>
      </c>
      <c r="C1156" s="2"/>
      <c r="D1156" s="77"/>
      <c r="E1156" s="78" t="str">
        <f>IF($A1156=0,"",VLOOKUP($A1156,'BASE MATERIAL'!$A:$D,3))</f>
        <v/>
      </c>
      <c r="F1156" s="55"/>
      <c r="G1156" s="55" t="str">
        <f>IF($A1156=0,"",VLOOKUP($A1156,'BASE MATERIAL'!$A:$D,4))</f>
        <v/>
      </c>
      <c r="H1156" s="56" t="str">
        <f t="shared" si="104"/>
        <v/>
      </c>
      <c r="I1156" s="2"/>
      <c r="L1156" s="2"/>
      <c r="M1156" s="2"/>
      <c r="N1156" s="39"/>
      <c r="O1156" s="2"/>
      <c r="P1156" s="2"/>
    </row>
    <row r="1157" spans="1:16" x14ac:dyDescent="0.25">
      <c r="B1157" s="38" t="str">
        <f>IF($A1157=0,"",VLOOKUP($A1157,'BASE MATERIAL'!$A:$D,2))</f>
        <v/>
      </c>
      <c r="C1157" s="2"/>
      <c r="D1157" s="77"/>
      <c r="E1157" s="78" t="str">
        <f>IF($A1157=0,"",VLOOKUP($A1157,'BASE MATERIAL'!$A:$D,3))</f>
        <v/>
      </c>
      <c r="F1157" s="55"/>
      <c r="G1157" s="55" t="str">
        <f>IF($A1157=0,"",VLOOKUP($A1157,'BASE MATERIAL'!$A:$D,4))</f>
        <v/>
      </c>
      <c r="H1157" s="56" t="str">
        <f t="shared" si="104"/>
        <v/>
      </c>
      <c r="I1157" s="2"/>
    </row>
    <row r="1158" spans="1:16" x14ac:dyDescent="0.25">
      <c r="B1158" s="38" t="str">
        <f>IF($A1158=0,"",VLOOKUP($A1158,'BASE MATERIAL'!$A:$D,2))</f>
        <v/>
      </c>
      <c r="C1158" s="2"/>
      <c r="D1158" s="77"/>
      <c r="E1158" s="78" t="str">
        <f>IF($A1158=0,"",VLOOKUP($A1158,'BASE MATERIAL'!$A:$D,3))</f>
        <v/>
      </c>
      <c r="F1158" s="55"/>
      <c r="G1158" s="55" t="str">
        <f>IF($A1158=0,"",VLOOKUP($A1158,'BASE MATERIAL'!$A:$D,4))</f>
        <v/>
      </c>
      <c r="H1158" s="56" t="str">
        <f t="shared" si="104"/>
        <v/>
      </c>
      <c r="I1158" s="2"/>
      <c r="L1158" s="2"/>
      <c r="M1158" s="2"/>
      <c r="N1158" s="39"/>
      <c r="O1158" s="2"/>
      <c r="P1158" s="2"/>
    </row>
    <row r="1159" spans="1:16" x14ac:dyDescent="0.25">
      <c r="B1159" s="38" t="str">
        <f>IF($A1159=0,"",VLOOKUP($A1159,'BASE MATERIAL'!$A:$D,2))</f>
        <v/>
      </c>
      <c r="C1159" s="2"/>
      <c r="D1159" s="77"/>
      <c r="E1159" s="78" t="str">
        <f>IF($A1159=0,"",VLOOKUP($A1159,'BASE MATERIAL'!$A:$D,3))</f>
        <v/>
      </c>
      <c r="F1159" s="55"/>
      <c r="G1159" s="55" t="str">
        <f>IF($A1159=0,"",VLOOKUP($A1159,'BASE MATERIAL'!$A:$D,4))</f>
        <v/>
      </c>
      <c r="H1159" s="56" t="str">
        <f t="shared" si="104"/>
        <v/>
      </c>
      <c r="I1159" s="2"/>
      <c r="L1159" s="2"/>
      <c r="M1159" s="2"/>
      <c r="N1159" s="39"/>
      <c r="O1159" s="2"/>
      <c r="P1159" s="2"/>
    </row>
    <row r="1160" spans="1:16" x14ac:dyDescent="0.25">
      <c r="B1160" s="38" t="str">
        <f>IF($A1160=0,"",VLOOKUP($A1160,'BASE MATERIAL'!$A:$D,2))</f>
        <v/>
      </c>
      <c r="C1160" s="2"/>
      <c r="D1160" s="77"/>
      <c r="E1160" s="78" t="str">
        <f>IF($A1160=0,"",VLOOKUP($A1160,'BASE MATERIAL'!$A:$D,3))</f>
        <v/>
      </c>
      <c r="F1160" s="55"/>
      <c r="G1160" s="55" t="str">
        <f>IF($A1160=0,"",VLOOKUP($A1160,'BASE MATERIAL'!$A:$D,4))</f>
        <v/>
      </c>
      <c r="H1160" s="56" t="str">
        <f t="shared" si="104"/>
        <v/>
      </c>
      <c r="I1160" s="2"/>
    </row>
    <row r="1161" spans="1:16" x14ac:dyDescent="0.25">
      <c r="B1161" s="38" t="str">
        <f>IF($A1161=0,"",VLOOKUP($A1161,'BASE MATERIAL'!$A:$D,2))</f>
        <v/>
      </c>
      <c r="C1161" s="2"/>
      <c r="D1161" s="77"/>
      <c r="E1161" s="78" t="str">
        <f>IF($A1161=0,"",VLOOKUP($A1161,'BASE MATERIAL'!$A:$D,3))</f>
        <v/>
      </c>
      <c r="F1161" s="55"/>
      <c r="G1161" s="55" t="str">
        <f>IF($A1161=0,"",VLOOKUP($A1161,'BASE MATERIAL'!$A:$D,4))</f>
        <v/>
      </c>
      <c r="H1161" s="56" t="str">
        <f t="shared" si="104"/>
        <v/>
      </c>
      <c r="I1161" s="2"/>
    </row>
    <row r="1162" spans="1:16" x14ac:dyDescent="0.25">
      <c r="B1162" s="38" t="str">
        <f>IF($A1162=0,"",VLOOKUP($A1162,'BASE MATERIAL'!$A:$D,2))</f>
        <v/>
      </c>
      <c r="C1162" s="2"/>
      <c r="D1162" s="77"/>
      <c r="E1162" s="78" t="str">
        <f>IF($A1162=0,"",VLOOKUP($A1162,'BASE MATERIAL'!$A:$D,3))</f>
        <v/>
      </c>
      <c r="F1162" s="55"/>
      <c r="G1162" s="55" t="str">
        <f>IF($A1162=0,"",VLOOKUP($A1162,'BASE MATERIAL'!$A:$D,4))</f>
        <v/>
      </c>
      <c r="H1162" s="56" t="str">
        <f t="shared" si="104"/>
        <v/>
      </c>
      <c r="I1162" s="2"/>
    </row>
    <row r="1163" spans="1:16" x14ac:dyDescent="0.25">
      <c r="B1163" s="38" t="str">
        <f>IF($A1163=0,"",VLOOKUP($A1163,'BASE MATERIAL'!$A:$D,2))</f>
        <v/>
      </c>
      <c r="C1163" s="2"/>
      <c r="D1163" s="77"/>
      <c r="E1163" s="78" t="str">
        <f>IF($A1163=0,"",VLOOKUP($A1163,'BASE MATERIAL'!$A:$D,3))</f>
        <v/>
      </c>
      <c r="F1163" s="55"/>
      <c r="G1163" s="55" t="str">
        <f>IF($A1163=0,"",VLOOKUP($A1163,'BASE MATERIAL'!$A:$D,4))</f>
        <v/>
      </c>
      <c r="H1163" s="56" t="str">
        <f t="shared" si="104"/>
        <v/>
      </c>
      <c r="I1163" s="2"/>
    </row>
    <row r="1164" spans="1:16" x14ac:dyDescent="0.25">
      <c r="B1164" s="38" t="str">
        <f>IF($A1164=0,"",VLOOKUP($A1164,'BASE MATERIAL'!$A:$D,2))</f>
        <v/>
      </c>
      <c r="C1164" s="2"/>
      <c r="D1164" s="81" t="s">
        <v>1682</v>
      </c>
      <c r="E1164" s="55" t="str">
        <f>IF($A1164=0,"",VLOOKUP($A1164,'BASE MATERIAL'!$A:$D,3))</f>
        <v/>
      </c>
      <c r="F1164" s="55" t="s">
        <v>1682</v>
      </c>
      <c r="G1164" s="55" t="str">
        <f>IF($A1164=0,"",VLOOKUP($A1164,'BASE MATERIAL'!$A:$D,4))</f>
        <v/>
      </c>
      <c r="H1164" s="56" t="str">
        <f>IF($A1164=0,"",ROUND(E1164*F1164,2))</f>
        <v/>
      </c>
      <c r="I1164" s="2"/>
    </row>
    <row r="1165" spans="1:16" x14ac:dyDescent="0.25">
      <c r="B1165" s="73" t="s">
        <v>1681</v>
      </c>
      <c r="C1165" s="65"/>
      <c r="D1165" s="74"/>
      <c r="E1165" s="74"/>
      <c r="F1165" s="74"/>
      <c r="G1165" s="74"/>
      <c r="H1165" s="75">
        <f>ROUND(SUM(H1148:H1164),2)</f>
        <v>3.55</v>
      </c>
      <c r="I1165" s="2"/>
    </row>
    <row r="1166" spans="1:16" x14ac:dyDescent="0.25">
      <c r="B1166" s="38" t="s">
        <v>1680</v>
      </c>
      <c r="C1166" s="2"/>
      <c r="D1166" s="3"/>
      <c r="E1166" s="3"/>
      <c r="F1166" s="3"/>
      <c r="G1166" s="3"/>
      <c r="H1166" s="56"/>
      <c r="I1166" s="2"/>
    </row>
    <row r="1167" spans="1:16" ht="25.5" x14ac:dyDescent="0.25">
      <c r="B1167" s="64" t="s">
        <v>1409</v>
      </c>
      <c r="C1167" s="65"/>
      <c r="D1167" s="76"/>
      <c r="E1167" s="66" t="s">
        <v>1408</v>
      </c>
      <c r="F1167" s="66" t="s">
        <v>1679</v>
      </c>
      <c r="G1167" s="66" t="s">
        <v>1676</v>
      </c>
      <c r="H1167" s="68" t="s">
        <v>1675</v>
      </c>
      <c r="I1167" s="2"/>
    </row>
    <row r="1168" spans="1:16" x14ac:dyDescent="0.25">
      <c r="A1168" s="103">
        <v>19019</v>
      </c>
      <c r="B1168" s="51" t="str">
        <f>IF($A1168=0,"",VLOOKUP($A1168,'BASE EQUIPO'!$A:$D,2))</f>
        <v>TRANSPORTE DE MATERIAL</v>
      </c>
      <c r="C1168" s="52"/>
      <c r="D1168" s="82"/>
      <c r="E1168" s="78" t="str">
        <f>IF($A1168=0,"",VLOOKUP($A1168,'BASE EQUIPO'!$A:$D,3))</f>
        <v>GLOBAL</v>
      </c>
      <c r="F1168" s="55">
        <v>1</v>
      </c>
      <c r="G1168" s="83">
        <f>IF($A1168=0,"",VLOOKUP($A1168,'BASE EQUIPO'!$A:$D,4)*H1165)</f>
        <v>0.1065</v>
      </c>
      <c r="H1168" s="56">
        <f>IF($A1168=0,"",ROUND(F1168*G1168,2))</f>
        <v>0.11</v>
      </c>
      <c r="I1168" s="2"/>
    </row>
    <row r="1169" spans="1:15" x14ac:dyDescent="0.25">
      <c r="B1169" s="38" t="str">
        <f>IF($A1169=0,"",VLOOKUP($A1169,'BASE EQUIPO'!$A:$D,2))</f>
        <v/>
      </c>
      <c r="C1169" s="2"/>
      <c r="D1169" s="84"/>
      <c r="E1169" s="78" t="str">
        <f>IF($A1169=0,"",VLOOKUP($A1169,'BASE EQUIPO'!$A:$D,3))</f>
        <v/>
      </c>
      <c r="F1169" s="55"/>
      <c r="G1169" s="55" t="str">
        <f>IF($A1169=0,"",VLOOKUP($A1169,'BASE EQUIPO'!$A:$D,4)*H1166)</f>
        <v/>
      </c>
      <c r="H1169" s="56" t="str">
        <f>IF($A1169=0,"",ROUND(F1169*G1169,2))</f>
        <v/>
      </c>
      <c r="I1169" s="2"/>
    </row>
    <row r="1170" spans="1:15" x14ac:dyDescent="0.25">
      <c r="B1170" s="57" t="str">
        <f>IF($A1170=0,"",VLOOKUP($A1170,'BASE EQUIPO'!$A:$D,2))</f>
        <v/>
      </c>
      <c r="C1170" s="58"/>
      <c r="D1170" s="85"/>
      <c r="E1170" s="86" t="str">
        <f>IF($A1170=0,"",VLOOKUP($A1170,'BASE EQUIPO'!$A:$D,3))</f>
        <v/>
      </c>
      <c r="F1170" s="59"/>
      <c r="G1170" s="59" t="str">
        <f>IF($A1170=0,"",VLOOKUP($A1170,'BASE EQUIPO'!$A:$D,4)*H1167)</f>
        <v/>
      </c>
      <c r="H1170" s="60" t="str">
        <f>IF($A1170=0,"",ROUND(F1170*G1170,2))</f>
        <v/>
      </c>
      <c r="I1170" s="2"/>
    </row>
    <row r="1171" spans="1:15" ht="15.75" thickBot="1" x14ac:dyDescent="0.3">
      <c r="B1171" s="87" t="s">
        <v>1674</v>
      </c>
      <c r="C1171" s="88"/>
      <c r="D1171" s="89"/>
      <c r="E1171" s="89"/>
      <c r="F1171" s="89"/>
      <c r="G1171" s="89"/>
      <c r="H1171" s="90">
        <f>ROUND(SUM(H1167:H1170),2)</f>
        <v>0.11</v>
      </c>
      <c r="I1171" s="2"/>
    </row>
    <row r="1172" spans="1:15" ht="15.75" x14ac:dyDescent="0.25">
      <c r="B1172" s="2"/>
      <c r="C1172" s="2"/>
      <c r="D1172" s="91" t="s">
        <v>1673</v>
      </c>
      <c r="E1172" s="47"/>
      <c r="F1172" s="47"/>
      <c r="G1172" s="47"/>
      <c r="H1172" s="92">
        <f>ROUND(SUM(H1171,H1165,H1146,H1136),2)</f>
        <v>3.66</v>
      </c>
      <c r="I1172" s="2"/>
    </row>
    <row r="1173" spans="1:15" ht="15.75" x14ac:dyDescent="0.25">
      <c r="A1173" s="103">
        <v>40002</v>
      </c>
      <c r="B1173" s="2"/>
      <c r="C1173" s="2"/>
      <c r="D1173" s="93" t="s">
        <v>1672</v>
      </c>
      <c r="E1173" s="65"/>
      <c r="F1173" s="65"/>
      <c r="G1173" s="94">
        <f>IF($A1173=0,"",VLOOKUP($A1173,'BASE MATERIAL'!$M:$P,4))</f>
        <v>0</v>
      </c>
      <c r="H1173" s="95">
        <f>IF($A1173=0,"",ROUND(G1173*H1172,2))</f>
        <v>0</v>
      </c>
      <c r="I1173" s="2"/>
    </row>
    <row r="1174" spans="1:15" ht="15.75" x14ac:dyDescent="0.25">
      <c r="A1174" s="103">
        <v>40003</v>
      </c>
      <c r="B1174" s="2"/>
      <c r="C1174" s="2"/>
      <c r="D1174" s="93" t="s">
        <v>1671</v>
      </c>
      <c r="E1174" s="65"/>
      <c r="F1174" s="65"/>
      <c r="G1174" s="94">
        <f>IF($A1174=0,"",VLOOKUP($A1174,'BASE MATERIAL'!$M:$P,4))</f>
        <v>0</v>
      </c>
      <c r="H1174" s="95">
        <f>IF($A1174=0,"",ROUND(G1174*H1172,2))</f>
        <v>0</v>
      </c>
      <c r="I1174" s="2"/>
    </row>
    <row r="1175" spans="1:15" ht="15.75" x14ac:dyDescent="0.25">
      <c r="B1175" s="2"/>
      <c r="C1175" s="2"/>
      <c r="D1175" s="93" t="s">
        <v>1670</v>
      </c>
      <c r="E1175" s="65"/>
      <c r="F1175" s="65"/>
      <c r="G1175" s="65"/>
      <c r="H1175" s="96">
        <f>ROUND(SUM(H1172:H1174),2)</f>
        <v>3.66</v>
      </c>
      <c r="I1175" s="2"/>
    </row>
    <row r="1176" spans="1:15" ht="16.5" thickBot="1" x14ac:dyDescent="0.3">
      <c r="B1176" s="25"/>
      <c r="C1176" s="2"/>
      <c r="D1176" s="97" t="s">
        <v>1650</v>
      </c>
      <c r="E1176" s="88"/>
      <c r="F1176" s="88"/>
      <c r="G1176" s="88"/>
      <c r="H1176" s="98">
        <f>ROUND(H1175,2)</f>
        <v>3.66</v>
      </c>
      <c r="I1176" s="2"/>
    </row>
    <row r="1177" spans="1:15" ht="15.75" x14ac:dyDescent="0.25">
      <c r="B1177" s="34" t="s">
        <v>1701</v>
      </c>
      <c r="C1177" s="2"/>
      <c r="D1177" s="3" t="str">
        <f>$D$1</f>
        <v>ESPOL</v>
      </c>
      <c r="E1177" s="2"/>
      <c r="F1177" s="2"/>
      <c r="H1177" s="2" t="s">
        <v>108</v>
      </c>
      <c r="I1177" s="2"/>
      <c r="L1177" s="40">
        <f>A1181</f>
        <v>2</v>
      </c>
      <c r="M1177" s="1" t="str">
        <f>C1182</f>
        <v>Aislante rubatex 5/8</v>
      </c>
      <c r="N1177" s="2" t="str">
        <f>H1181</f>
        <v>metros</v>
      </c>
      <c r="O1177" s="2">
        <f>H1232</f>
        <v>3.97</v>
      </c>
    </row>
    <row r="1178" spans="1:15" ht="15.75" x14ac:dyDescent="0.25">
      <c r="B1178" s="34" t="s">
        <v>1700</v>
      </c>
      <c r="C1178" s="3">
        <f>'1.1'!$C$2</f>
        <v>0</v>
      </c>
      <c r="D1178" s="2"/>
      <c r="E1178" s="2"/>
      <c r="F1178" s="2"/>
      <c r="G1178" s="41" t="s">
        <v>1699</v>
      </c>
      <c r="H1178" s="42"/>
      <c r="I1178" s="2" t="s">
        <v>1698</v>
      </c>
    </row>
    <row r="1179" spans="1:15" ht="15.75" x14ac:dyDescent="0.25">
      <c r="B1179" s="34"/>
      <c r="C1179" s="3">
        <f>'1.1'!$C$3</f>
        <v>0</v>
      </c>
      <c r="D1179" s="2"/>
      <c r="E1179" s="2"/>
      <c r="F1179" s="2"/>
      <c r="G1179" s="2"/>
      <c r="H1179" s="2"/>
      <c r="I1179" s="2"/>
    </row>
    <row r="1180" spans="1:15" ht="15.75" x14ac:dyDescent="0.25">
      <c r="B1180" s="34" t="s">
        <v>1697</v>
      </c>
      <c r="C1180" s="3"/>
      <c r="D1180" s="2"/>
      <c r="E1180" s="2"/>
      <c r="F1180" s="2"/>
      <c r="G1180" s="2"/>
      <c r="H1180" s="2"/>
      <c r="I1180" s="2"/>
    </row>
    <row r="1181" spans="1:15" x14ac:dyDescent="0.25">
      <c r="A1181" s="104">
        <v>2</v>
      </c>
      <c r="B1181" s="2" t="s">
        <v>1586</v>
      </c>
      <c r="C1181" s="101" t="s">
        <v>172</v>
      </c>
      <c r="D1181" s="2"/>
      <c r="G1181" s="2" t="s">
        <v>1696</v>
      </c>
      <c r="H1181" s="3" t="s">
        <v>145</v>
      </c>
      <c r="I1181" s="2"/>
    </row>
    <row r="1182" spans="1:15" x14ac:dyDescent="0.25">
      <c r="B1182" s="1" t="s">
        <v>1585</v>
      </c>
      <c r="C1182" s="36" t="s">
        <v>154</v>
      </c>
      <c r="D1182" s="2"/>
      <c r="E1182" s="2"/>
      <c r="F1182" s="2"/>
      <c r="G1182" s="2"/>
      <c r="H1182" s="2"/>
      <c r="I1182" s="2"/>
    </row>
    <row r="1183" spans="1:15" ht="15.75" thickBot="1" x14ac:dyDescent="0.3">
      <c r="D1183" s="2"/>
      <c r="E1183" s="2"/>
      <c r="F1183" s="2"/>
      <c r="G1183" s="2"/>
      <c r="H1183" s="2"/>
      <c r="I1183" s="2"/>
    </row>
    <row r="1184" spans="1:15" ht="15.75" thickBot="1" x14ac:dyDescent="0.3">
      <c r="B1184" s="43" t="s">
        <v>1695</v>
      </c>
      <c r="C1184" s="44"/>
      <c r="D1184" s="44"/>
      <c r="E1184" s="44"/>
      <c r="F1184" s="44"/>
      <c r="G1184" s="44"/>
      <c r="H1184" s="45"/>
      <c r="I1184" s="2"/>
    </row>
    <row r="1185" spans="2:9" ht="25.5" x14ac:dyDescent="0.25">
      <c r="B1185" s="46" t="s">
        <v>1409</v>
      </c>
      <c r="C1185" s="47"/>
      <c r="D1185" s="48" t="s">
        <v>1690</v>
      </c>
      <c r="E1185" s="48" t="s">
        <v>1694</v>
      </c>
      <c r="F1185" s="48" t="s">
        <v>1693</v>
      </c>
      <c r="G1185" s="49" t="s">
        <v>1687</v>
      </c>
      <c r="H1185" s="50" t="s">
        <v>1686</v>
      </c>
      <c r="I1185" s="2"/>
    </row>
    <row r="1186" spans="2:9" x14ac:dyDescent="0.25">
      <c r="B1186" s="51" t="str">
        <f>IF($A1186=0,"",VLOOKUP($A1186,'BASE EQUIPO'!$A:$D,2))</f>
        <v/>
      </c>
      <c r="C1186" s="52"/>
      <c r="D1186" s="53"/>
      <c r="E1186" s="53" t="str">
        <f>IF($A1186=0,"",VLOOKUP($A1186,'BASE EQUIPO'!$A:$D,4)*H1202)</f>
        <v/>
      </c>
      <c r="F1186" s="53" t="str">
        <f t="shared" ref="F1186:F1191" si="105">IF($A1186=0,"",ROUND(D1186*E1186,2))</f>
        <v/>
      </c>
      <c r="G1186" s="105"/>
      <c r="H1186" s="54" t="str">
        <f t="shared" ref="H1186:H1191" si="106">IF($A1186=0,"",ROUND(G1186*F1186,2))</f>
        <v/>
      </c>
      <c r="I1186" s="2"/>
    </row>
    <row r="1187" spans="2:9" x14ac:dyDescent="0.25">
      <c r="B1187" s="38" t="str">
        <f>IF($A1187=0,"",VLOOKUP($A1187,'BASE EQUIPO'!$A:$D,2))</f>
        <v/>
      </c>
      <c r="C1187" s="2"/>
      <c r="D1187" s="55"/>
      <c r="E1187" s="55" t="str">
        <f>IF($A1187=0,"",VLOOKUP($A1187,'BASE EQUIPO'!$A:$D,4))</f>
        <v/>
      </c>
      <c r="F1187" s="55" t="str">
        <f t="shared" si="105"/>
        <v/>
      </c>
      <c r="G1187" s="106"/>
      <c r="H1187" s="56" t="str">
        <f t="shared" si="106"/>
        <v/>
      </c>
      <c r="I1187" s="2"/>
    </row>
    <row r="1188" spans="2:9" x14ac:dyDescent="0.25">
      <c r="B1188" s="38" t="str">
        <f>IF($A1188=0,"",VLOOKUP($A1188,'BASE EQUIPO'!$A:$D,2))</f>
        <v/>
      </c>
      <c r="C1188" s="2"/>
      <c r="D1188" s="55"/>
      <c r="E1188" s="55" t="str">
        <f>IF($A1188=0,"",VLOOKUP($A1188,'BASE EQUIPO'!$A:$D,4))</f>
        <v/>
      </c>
      <c r="F1188" s="55" t="str">
        <f t="shared" si="105"/>
        <v/>
      </c>
      <c r="G1188" s="106"/>
      <c r="H1188" s="56" t="str">
        <f t="shared" si="106"/>
        <v/>
      </c>
      <c r="I1188" s="2"/>
    </row>
    <row r="1189" spans="2:9" x14ac:dyDescent="0.25">
      <c r="B1189" s="38" t="str">
        <f>IF($A1189=0,"",VLOOKUP($A1189,'BASE EQUIPO'!$A:$D,2))</f>
        <v/>
      </c>
      <c r="C1189" s="2"/>
      <c r="D1189" s="55"/>
      <c r="E1189" s="55" t="str">
        <f>IF($A1189=0,"",VLOOKUP($A1189,'BASE EQUIPO'!$A:$D,4))</f>
        <v/>
      </c>
      <c r="F1189" s="55" t="str">
        <f t="shared" si="105"/>
        <v/>
      </c>
      <c r="G1189" s="106"/>
      <c r="H1189" s="56" t="str">
        <f t="shared" si="106"/>
        <v/>
      </c>
      <c r="I1189" s="2"/>
    </row>
    <row r="1190" spans="2:9" x14ac:dyDescent="0.25">
      <c r="B1190" s="38" t="str">
        <f>IF($A1190=0,"",VLOOKUP($A1190,'BASE EQUIPO'!$A:$D,2))</f>
        <v/>
      </c>
      <c r="C1190" s="2"/>
      <c r="D1190" s="55"/>
      <c r="E1190" s="55" t="str">
        <f>IF($A1190=0,"",VLOOKUP($A1190,'BASE EQUIPO'!$A:$D,4))</f>
        <v/>
      </c>
      <c r="F1190" s="55" t="str">
        <f t="shared" si="105"/>
        <v/>
      </c>
      <c r="G1190" s="106"/>
      <c r="H1190" s="56" t="str">
        <f t="shared" si="106"/>
        <v/>
      </c>
      <c r="I1190" s="2"/>
    </row>
    <row r="1191" spans="2:9" x14ac:dyDescent="0.25">
      <c r="B1191" s="57" t="str">
        <f>IF($A1191=0,"",VLOOKUP($A1191,'BASE EQUIPO'!$A:$D,2))</f>
        <v/>
      </c>
      <c r="C1191" s="58"/>
      <c r="D1191" s="59"/>
      <c r="E1191" s="59" t="str">
        <f>IF($A1191=0,"",VLOOKUP($A1191,'BASE EQUIPO'!$A:$D,4))</f>
        <v/>
      </c>
      <c r="F1191" s="59" t="str">
        <f t="shared" si="105"/>
        <v/>
      </c>
      <c r="G1191" s="107"/>
      <c r="H1191" s="60" t="str">
        <f t="shared" si="106"/>
        <v/>
      </c>
      <c r="I1191" s="2"/>
    </row>
    <row r="1192" spans="2:9" x14ac:dyDescent="0.25">
      <c r="B1192" s="57" t="s">
        <v>1692</v>
      </c>
      <c r="C1192" s="58"/>
      <c r="D1192" s="61"/>
      <c r="E1192" s="61"/>
      <c r="F1192" s="61"/>
      <c r="G1192" s="62"/>
      <c r="H1192" s="60">
        <f>ROUND(SUM(H1185:H1191),2)</f>
        <v>0</v>
      </c>
      <c r="I1192" s="2"/>
    </row>
    <row r="1193" spans="2:9" x14ac:dyDescent="0.25">
      <c r="B1193" s="38" t="s">
        <v>1503</v>
      </c>
      <c r="C1193" s="2"/>
      <c r="D1193" s="3"/>
      <c r="E1193" s="3"/>
      <c r="F1193" s="3"/>
      <c r="G1193" s="63"/>
      <c r="H1193" s="56"/>
      <c r="I1193" s="2"/>
    </row>
    <row r="1194" spans="2:9" ht="25.5" x14ac:dyDescent="0.25">
      <c r="B1194" s="64" t="s">
        <v>1691</v>
      </c>
      <c r="C1194" s="65"/>
      <c r="D1194" s="66" t="s">
        <v>1690</v>
      </c>
      <c r="E1194" s="66" t="s">
        <v>1689</v>
      </c>
      <c r="F1194" s="66" t="s">
        <v>1688</v>
      </c>
      <c r="G1194" s="67" t="s">
        <v>1687</v>
      </c>
      <c r="H1194" s="68" t="s">
        <v>1686</v>
      </c>
      <c r="I1194" s="2"/>
    </row>
    <row r="1195" spans="2:9" x14ac:dyDescent="0.25">
      <c r="B1195" s="69" t="str">
        <f>IF($A1195=0,"",VLOOKUP($A1195,'BASE M-OBRA'!$A:$D,2))</f>
        <v/>
      </c>
      <c r="C1195" s="2"/>
      <c r="D1195" s="108"/>
      <c r="E1195" s="70" t="str">
        <f>IF($A1195=0,"",VLOOKUP($A1195,'BASE M-OBRA'!$A:$D,4))</f>
        <v/>
      </c>
      <c r="F1195" s="55" t="str">
        <f t="shared" ref="F1195:F1201" si="107">IF($A1195=0,"",ROUND(D1195*E1195,2))</f>
        <v/>
      </c>
      <c r="G1195" s="106" t="str">
        <f>IF($A1195=0,"",ROUND(H1195/F1195,2))</f>
        <v/>
      </c>
      <c r="H1195" s="56" t="str">
        <f>IF($A1195=0,"",ROUND(SUM(H1196:H1201)*'BASE M-OBRA'!$D$23,2))</f>
        <v/>
      </c>
      <c r="I1195" s="2"/>
    </row>
    <row r="1196" spans="2:9" x14ac:dyDescent="0.25">
      <c r="B1196" s="69" t="str">
        <f>IF($A1196=0,"",VLOOKUP($A1196,'BASE M-OBRA'!$A:$D,2))</f>
        <v/>
      </c>
      <c r="C1196" s="2"/>
      <c r="D1196" s="108"/>
      <c r="E1196" s="70" t="str">
        <f>IF($A1196=0,"",VLOOKUP($A1196,'BASE M-OBRA'!$A:$D,4))</f>
        <v/>
      </c>
      <c r="F1196" s="55" t="str">
        <f t="shared" si="107"/>
        <v/>
      </c>
      <c r="G1196" s="106"/>
      <c r="H1196" s="56" t="str">
        <f t="shared" ref="H1196:H1201" si="108">IF($A1196=0,"",ROUND(G1196*F1196,2))</f>
        <v/>
      </c>
      <c r="I1196" s="2"/>
    </row>
    <row r="1197" spans="2:9" x14ac:dyDescent="0.25">
      <c r="B1197" s="69" t="str">
        <f>IF($A1197=0,"",VLOOKUP($A1197,'BASE M-OBRA'!$A:$D,2))</f>
        <v/>
      </c>
      <c r="C1197" s="2"/>
      <c r="D1197" s="108"/>
      <c r="E1197" s="70" t="str">
        <f>IF($A1197=0,"",VLOOKUP($A1197,'BASE M-OBRA'!$A:$D,4))</f>
        <v/>
      </c>
      <c r="F1197" s="55" t="str">
        <f t="shared" si="107"/>
        <v/>
      </c>
      <c r="G1197" s="106"/>
      <c r="H1197" s="56" t="str">
        <f t="shared" si="108"/>
        <v/>
      </c>
      <c r="I1197" s="2"/>
    </row>
    <row r="1198" spans="2:9" x14ac:dyDescent="0.25">
      <c r="B1198" s="71" t="str">
        <f>IF($A1198=0,"",VLOOKUP($A1198,'BASE M-OBRA'!$A:$D,2))</f>
        <v/>
      </c>
      <c r="C1198" s="2"/>
      <c r="D1198" s="108"/>
      <c r="E1198" s="70" t="str">
        <f>IF($A1198=0,"",VLOOKUP($A1198,'BASE M-OBRA'!$A:$D,4))</f>
        <v/>
      </c>
      <c r="F1198" s="55" t="str">
        <f t="shared" si="107"/>
        <v/>
      </c>
      <c r="G1198" s="106"/>
      <c r="H1198" s="56" t="str">
        <f t="shared" si="108"/>
        <v/>
      </c>
      <c r="I1198" s="2"/>
    </row>
    <row r="1199" spans="2:9" x14ac:dyDescent="0.25">
      <c r="B1199" s="72" t="str">
        <f>IF($A1199=0,"",VLOOKUP($A1199,'BASE M-OBRA'!$A:$D,2))</f>
        <v/>
      </c>
      <c r="C1199" s="2"/>
      <c r="D1199" s="108"/>
      <c r="E1199" s="70" t="str">
        <f>IF($A1199=0,"",VLOOKUP($A1199,'BASE M-OBRA'!$A:$D,4))</f>
        <v/>
      </c>
      <c r="F1199" s="55" t="str">
        <f t="shared" si="107"/>
        <v/>
      </c>
      <c r="G1199" s="106"/>
      <c r="H1199" s="56" t="str">
        <f t="shared" si="108"/>
        <v/>
      </c>
      <c r="I1199" s="2"/>
    </row>
    <row r="1200" spans="2:9" x14ac:dyDescent="0.25">
      <c r="B1200" s="38" t="str">
        <f>IF($A1200=0,"",VLOOKUP($A1200,'BASE M-OBRA'!$A:$D,2))</f>
        <v/>
      </c>
      <c r="C1200" s="2"/>
      <c r="D1200" s="55"/>
      <c r="E1200" s="55" t="str">
        <f>IF($A1200=0,"",VLOOKUP($A1200,'BASE M-OBRA'!$A:$D,4))</f>
        <v/>
      </c>
      <c r="F1200" s="55" t="str">
        <f t="shared" si="107"/>
        <v/>
      </c>
      <c r="G1200" s="106"/>
      <c r="H1200" s="56" t="str">
        <f t="shared" si="108"/>
        <v/>
      </c>
      <c r="I1200" s="2"/>
    </row>
    <row r="1201" spans="1:16" x14ac:dyDescent="0.25">
      <c r="B1201" s="57" t="str">
        <f>IF($A1201=0,"",VLOOKUP($A1201,'BASE M-OBRA'!$A:$D,2))</f>
        <v/>
      </c>
      <c r="C1201" s="58"/>
      <c r="D1201" s="59"/>
      <c r="E1201" s="59" t="str">
        <f>IF($A1201=0,"",VLOOKUP($A1201,'BASE M-OBRA'!$A:$D,4))</f>
        <v/>
      </c>
      <c r="F1201" s="59" t="str">
        <f t="shared" si="107"/>
        <v/>
      </c>
      <c r="G1201" s="107"/>
      <c r="H1201" s="60" t="str">
        <f t="shared" si="108"/>
        <v/>
      </c>
      <c r="I1201" s="2"/>
    </row>
    <row r="1202" spans="1:16" x14ac:dyDescent="0.25">
      <c r="B1202" s="73" t="s">
        <v>1685</v>
      </c>
      <c r="C1202" s="65"/>
      <c r="D1202" s="74"/>
      <c r="E1202" s="74"/>
      <c r="F1202" s="74"/>
      <c r="G1202" s="74"/>
      <c r="H1202" s="75">
        <f>ROUND(SUM(H1194:H1201),2)</f>
        <v>0</v>
      </c>
      <c r="I1202" s="2"/>
    </row>
    <row r="1203" spans="1:16" x14ac:dyDescent="0.25">
      <c r="B1203" s="38" t="s">
        <v>1684</v>
      </c>
      <c r="C1203" s="2"/>
      <c r="D1203" s="3"/>
      <c r="E1203" s="3"/>
      <c r="F1203" s="3"/>
      <c r="G1203" s="3"/>
      <c r="H1203" s="56"/>
      <c r="I1203" s="2"/>
    </row>
    <row r="1204" spans="1:16" ht="25.5" x14ac:dyDescent="0.25">
      <c r="B1204" s="64" t="s">
        <v>1409</v>
      </c>
      <c r="C1204" s="65"/>
      <c r="D1204" s="76"/>
      <c r="E1204" s="66" t="s">
        <v>1408</v>
      </c>
      <c r="F1204" s="66" t="s">
        <v>1679</v>
      </c>
      <c r="G1204" s="66" t="s">
        <v>1683</v>
      </c>
      <c r="H1204" s="68" t="s">
        <v>1675</v>
      </c>
      <c r="I1204" s="2"/>
    </row>
    <row r="1205" spans="1:16" x14ac:dyDescent="0.25">
      <c r="A1205" s="103">
        <v>1</v>
      </c>
      <c r="B1205" s="102" t="s">
        <v>154</v>
      </c>
      <c r="C1205" s="2"/>
      <c r="D1205" s="77"/>
      <c r="E1205" s="78" t="s">
        <v>145</v>
      </c>
      <c r="F1205" s="55">
        <v>1</v>
      </c>
      <c r="G1205" s="55">
        <v>3.85</v>
      </c>
      <c r="H1205" s="56">
        <f t="shared" ref="H1205:H1219" si="109">IF($A1205=0,"",ROUND(F1205*G1205,2))</f>
        <v>3.85</v>
      </c>
      <c r="I1205" s="2"/>
      <c r="J1205" s="1">
        <v>3.7</v>
      </c>
      <c r="L1205" s="2"/>
      <c r="M1205" s="2"/>
      <c r="N1205" s="39"/>
      <c r="O1205" s="2"/>
      <c r="P1205" s="2"/>
    </row>
    <row r="1206" spans="1:16" x14ac:dyDescent="0.25">
      <c r="B1206" s="102"/>
      <c r="C1206" s="2"/>
      <c r="D1206" s="77"/>
      <c r="E1206" s="78" t="str">
        <f>IF($A1206=0,"",VLOOKUP($A1206,'BASE MATERIAL'!$A:$D,3))</f>
        <v/>
      </c>
      <c r="F1206" s="55"/>
      <c r="G1206" s="55" t="str">
        <f>IF($A1206=0,"",VLOOKUP($A1206,'BASE MATERIAL'!$A:$D,4))</f>
        <v/>
      </c>
      <c r="H1206" s="56" t="str">
        <f t="shared" si="109"/>
        <v/>
      </c>
      <c r="I1206" s="2"/>
      <c r="L1206" s="2"/>
      <c r="M1206" s="2"/>
      <c r="N1206" s="39"/>
      <c r="O1206" s="2"/>
      <c r="P1206" s="2"/>
    </row>
    <row r="1207" spans="1:16" x14ac:dyDescent="0.25">
      <c r="B1207" s="38" t="str">
        <f>IF($A1207=0,"",VLOOKUP($A1207,'BASE MATERIAL'!$A:$D,2))</f>
        <v/>
      </c>
      <c r="C1207" s="2"/>
      <c r="D1207" s="77"/>
      <c r="E1207" s="78" t="str">
        <f>IF($A1207=0,"",VLOOKUP($A1207,'BASE MATERIAL'!$A:$D,3))</f>
        <v/>
      </c>
      <c r="F1207" s="55"/>
      <c r="G1207" s="55" t="str">
        <f>IF($A1207=0,"",VLOOKUP($A1207,'BASE MATERIAL'!$A:$D,4))</f>
        <v/>
      </c>
      <c r="H1207" s="56" t="str">
        <f t="shared" si="109"/>
        <v/>
      </c>
      <c r="I1207" s="2"/>
      <c r="L1207" s="2"/>
      <c r="M1207" s="2"/>
      <c r="N1207" s="39"/>
      <c r="O1207" s="2"/>
      <c r="P1207" s="2"/>
    </row>
    <row r="1208" spans="1:16" x14ac:dyDescent="0.25">
      <c r="B1208" s="38" t="str">
        <f>IF($A1208=0,"",VLOOKUP($A1208,'BASE MATERIAL'!$A:$D,2))</f>
        <v/>
      </c>
      <c r="C1208" s="2"/>
      <c r="D1208" s="77"/>
      <c r="E1208" s="78" t="str">
        <f>IF($A1208=0,"",VLOOKUP($A1208,'BASE MATERIAL'!$A:$D,3))</f>
        <v/>
      </c>
      <c r="F1208" s="55"/>
      <c r="G1208" s="55" t="str">
        <f>IF($A1208=0,"",VLOOKUP($A1208,'BASE MATERIAL'!$A:$D,4))</f>
        <v/>
      </c>
      <c r="H1208" s="56" t="str">
        <f t="shared" si="109"/>
        <v/>
      </c>
      <c r="I1208" s="2"/>
      <c r="L1208" s="2"/>
      <c r="M1208" s="2"/>
      <c r="N1208" s="39"/>
      <c r="O1208" s="2"/>
      <c r="P1208" s="2"/>
    </row>
    <row r="1209" spans="1:16" x14ac:dyDescent="0.25">
      <c r="B1209" s="38" t="str">
        <f>IF($A1209=0,"",VLOOKUP($A1209,'BASE MATERIAL'!$A:$D,2))</f>
        <v/>
      </c>
      <c r="C1209" s="2"/>
      <c r="D1209" s="77"/>
      <c r="E1209" s="78" t="str">
        <f>IF($A1209=0,"",VLOOKUP($A1209,'BASE MATERIAL'!$A:$D,3))</f>
        <v/>
      </c>
      <c r="F1209" s="55"/>
      <c r="G1209" s="55" t="str">
        <f>IF($A1209=0,"",VLOOKUP($A1209,'BASE MATERIAL'!$A:$D,4))</f>
        <v/>
      </c>
      <c r="H1209" s="56" t="str">
        <f t="shared" si="109"/>
        <v/>
      </c>
      <c r="I1209" s="2"/>
      <c r="L1209" s="2"/>
      <c r="M1209" s="2"/>
      <c r="N1209" s="39"/>
      <c r="O1209" s="2"/>
      <c r="P1209" s="2"/>
    </row>
    <row r="1210" spans="1:16" x14ac:dyDescent="0.25">
      <c r="B1210" s="38" t="str">
        <f>IF($A1210=0,"",VLOOKUP($A1210,'BASE MATERIAL'!$A:$D,2))</f>
        <v/>
      </c>
      <c r="C1210" s="2"/>
      <c r="D1210" s="77"/>
      <c r="E1210" s="78" t="str">
        <f>IF($A1210=0,"",VLOOKUP($A1210,'BASE MATERIAL'!$A:$D,3))</f>
        <v/>
      </c>
      <c r="F1210" s="55"/>
      <c r="G1210" s="55" t="str">
        <f>IF($A1210=0,"",VLOOKUP($A1210,'BASE MATERIAL'!$A:$D,4))</f>
        <v/>
      </c>
      <c r="H1210" s="56" t="str">
        <f t="shared" si="109"/>
        <v/>
      </c>
      <c r="I1210" s="2"/>
      <c r="L1210" s="2"/>
      <c r="M1210" s="2"/>
      <c r="N1210" s="39"/>
      <c r="O1210" s="2"/>
      <c r="P1210" s="2"/>
    </row>
    <row r="1211" spans="1:16" x14ac:dyDescent="0.25">
      <c r="B1211" s="38" t="str">
        <f>IF($A1211=0,"",VLOOKUP($A1211,'BASE MATERIAL'!$A:$D,2))</f>
        <v/>
      </c>
      <c r="C1211" s="2"/>
      <c r="D1211" s="77"/>
      <c r="E1211" s="78" t="str">
        <f>IF($A1211=0,"",VLOOKUP($A1211,'BASE MATERIAL'!$A:$D,3))</f>
        <v/>
      </c>
      <c r="F1211" s="55"/>
      <c r="G1211" s="55" t="str">
        <f>IF($A1211=0,"",VLOOKUP($A1211,'BASE MATERIAL'!$A:$D,4))</f>
        <v/>
      </c>
      <c r="H1211" s="56" t="str">
        <f t="shared" si="109"/>
        <v/>
      </c>
      <c r="I1211" s="2"/>
      <c r="L1211" s="2"/>
      <c r="M1211" s="2"/>
      <c r="N1211" s="39"/>
      <c r="O1211" s="2"/>
      <c r="P1211" s="2"/>
    </row>
    <row r="1212" spans="1:16" x14ac:dyDescent="0.25">
      <c r="B1212" s="38" t="str">
        <f>IF($A1212=0,"",VLOOKUP($A1212,'BASE MATERIAL'!$A:$D,2))</f>
        <v/>
      </c>
      <c r="C1212" s="2"/>
      <c r="D1212" s="77"/>
      <c r="E1212" s="78" t="str">
        <f>IF($A1212=0,"",VLOOKUP($A1212,'BASE MATERIAL'!$A:$D,3))</f>
        <v/>
      </c>
      <c r="F1212" s="55"/>
      <c r="G1212" s="55" t="str">
        <f>IF($A1212=0,"",VLOOKUP($A1212,'BASE MATERIAL'!$A:$D,4))</f>
        <v/>
      </c>
      <c r="H1212" s="56" t="str">
        <f t="shared" si="109"/>
        <v/>
      </c>
      <c r="I1212" s="2"/>
      <c r="L1212" s="2"/>
      <c r="M1212" s="2"/>
      <c r="N1212" s="39"/>
      <c r="O1212" s="2"/>
      <c r="P1212" s="2"/>
    </row>
    <row r="1213" spans="1:16" x14ac:dyDescent="0.25">
      <c r="B1213" s="38" t="str">
        <f>IF($A1213=0,"",VLOOKUP($A1213,'BASE MATERIAL'!$A:$D,2))</f>
        <v/>
      </c>
      <c r="C1213" s="2"/>
      <c r="D1213" s="77"/>
      <c r="E1213" s="78" t="str">
        <f>IF($A1213=0,"",VLOOKUP($A1213,'BASE MATERIAL'!$A:$D,3))</f>
        <v/>
      </c>
      <c r="F1213" s="55"/>
      <c r="G1213" s="55" t="str">
        <f>IF($A1213=0,"",VLOOKUP($A1213,'BASE MATERIAL'!$A:$D,4))</f>
        <v/>
      </c>
      <c r="H1213" s="56" t="str">
        <f t="shared" si="109"/>
        <v/>
      </c>
      <c r="I1213" s="2"/>
    </row>
    <row r="1214" spans="1:16" x14ac:dyDescent="0.25">
      <c r="B1214" s="38" t="str">
        <f>IF($A1214=0,"",VLOOKUP($A1214,'BASE MATERIAL'!$A:$D,2))</f>
        <v/>
      </c>
      <c r="C1214" s="2"/>
      <c r="D1214" s="77"/>
      <c r="E1214" s="78" t="str">
        <f>IF($A1214=0,"",VLOOKUP($A1214,'BASE MATERIAL'!$A:$D,3))</f>
        <v/>
      </c>
      <c r="F1214" s="55"/>
      <c r="G1214" s="55" t="str">
        <f>IF($A1214=0,"",VLOOKUP($A1214,'BASE MATERIAL'!$A:$D,4))</f>
        <v/>
      </c>
      <c r="H1214" s="56" t="str">
        <f t="shared" si="109"/>
        <v/>
      </c>
      <c r="I1214" s="2"/>
      <c r="L1214" s="2"/>
      <c r="M1214" s="2"/>
      <c r="N1214" s="39"/>
      <c r="O1214" s="2"/>
      <c r="P1214" s="2"/>
    </row>
    <row r="1215" spans="1:16" x14ac:dyDescent="0.25">
      <c r="B1215" s="38" t="str">
        <f>IF($A1215=0,"",VLOOKUP($A1215,'BASE MATERIAL'!$A:$D,2))</f>
        <v/>
      </c>
      <c r="C1215" s="2"/>
      <c r="D1215" s="77"/>
      <c r="E1215" s="78" t="str">
        <f>IF($A1215=0,"",VLOOKUP($A1215,'BASE MATERIAL'!$A:$D,3))</f>
        <v/>
      </c>
      <c r="F1215" s="55"/>
      <c r="G1215" s="55" t="str">
        <f>IF($A1215=0,"",VLOOKUP($A1215,'BASE MATERIAL'!$A:$D,4))</f>
        <v/>
      </c>
      <c r="H1215" s="56" t="str">
        <f t="shared" si="109"/>
        <v/>
      </c>
      <c r="I1215" s="2"/>
      <c r="L1215" s="2"/>
      <c r="M1215" s="2"/>
      <c r="N1215" s="39"/>
      <c r="O1215" s="2"/>
      <c r="P1215" s="2"/>
    </row>
    <row r="1216" spans="1:16" x14ac:dyDescent="0.25">
      <c r="B1216" s="38" t="str">
        <f>IF($A1216=0,"",VLOOKUP($A1216,'BASE MATERIAL'!$A:$D,2))</f>
        <v/>
      </c>
      <c r="C1216" s="2"/>
      <c r="D1216" s="77"/>
      <c r="E1216" s="78" t="str">
        <f>IF($A1216=0,"",VLOOKUP($A1216,'BASE MATERIAL'!$A:$D,3))</f>
        <v/>
      </c>
      <c r="F1216" s="55"/>
      <c r="G1216" s="55" t="str">
        <f>IF($A1216=0,"",VLOOKUP($A1216,'BASE MATERIAL'!$A:$D,4))</f>
        <v/>
      </c>
      <c r="H1216" s="56" t="str">
        <f t="shared" si="109"/>
        <v/>
      </c>
      <c r="I1216" s="2"/>
    </row>
    <row r="1217" spans="1:9" x14ac:dyDescent="0.25">
      <c r="B1217" s="38" t="str">
        <f>IF($A1217=0,"",VLOOKUP($A1217,'BASE MATERIAL'!$A:$D,2))</f>
        <v/>
      </c>
      <c r="C1217" s="2"/>
      <c r="D1217" s="77"/>
      <c r="E1217" s="78" t="str">
        <f>IF($A1217=0,"",VLOOKUP($A1217,'BASE MATERIAL'!$A:$D,3))</f>
        <v/>
      </c>
      <c r="F1217" s="55"/>
      <c r="G1217" s="55" t="str">
        <f>IF($A1217=0,"",VLOOKUP($A1217,'BASE MATERIAL'!$A:$D,4))</f>
        <v/>
      </c>
      <c r="H1217" s="56" t="str">
        <f t="shared" si="109"/>
        <v/>
      </c>
      <c r="I1217" s="2"/>
    </row>
    <row r="1218" spans="1:9" x14ac:dyDescent="0.25">
      <c r="B1218" s="38" t="str">
        <f>IF($A1218=0,"",VLOOKUP($A1218,'BASE MATERIAL'!$A:$D,2))</f>
        <v/>
      </c>
      <c r="C1218" s="2"/>
      <c r="D1218" s="77"/>
      <c r="E1218" s="78" t="str">
        <f>IF($A1218=0,"",VLOOKUP($A1218,'BASE MATERIAL'!$A:$D,3))</f>
        <v/>
      </c>
      <c r="F1218" s="55"/>
      <c r="G1218" s="55" t="str">
        <f>IF($A1218=0,"",VLOOKUP($A1218,'BASE MATERIAL'!$A:$D,4))</f>
        <v/>
      </c>
      <c r="H1218" s="56" t="str">
        <f t="shared" si="109"/>
        <v/>
      </c>
      <c r="I1218" s="2"/>
    </row>
    <row r="1219" spans="1:9" x14ac:dyDescent="0.25">
      <c r="B1219" s="38" t="str">
        <f>IF($A1219=0,"",VLOOKUP($A1219,'BASE MATERIAL'!$A:$D,2))</f>
        <v/>
      </c>
      <c r="C1219" s="2"/>
      <c r="D1219" s="77"/>
      <c r="E1219" s="78" t="str">
        <f>IF($A1219=0,"",VLOOKUP($A1219,'BASE MATERIAL'!$A:$D,3))</f>
        <v/>
      </c>
      <c r="F1219" s="55"/>
      <c r="G1219" s="55" t="str">
        <f>IF($A1219=0,"",VLOOKUP($A1219,'BASE MATERIAL'!$A:$D,4))</f>
        <v/>
      </c>
      <c r="H1219" s="56" t="str">
        <f t="shared" si="109"/>
        <v/>
      </c>
      <c r="I1219" s="2"/>
    </row>
    <row r="1220" spans="1:9" x14ac:dyDescent="0.25">
      <c r="B1220" s="38" t="str">
        <f>IF($A1220=0,"",VLOOKUP($A1220,'BASE MATERIAL'!$A:$D,2))</f>
        <v/>
      </c>
      <c r="C1220" s="2"/>
      <c r="D1220" s="81" t="s">
        <v>1682</v>
      </c>
      <c r="E1220" s="55" t="str">
        <f>IF($A1220=0,"",VLOOKUP($A1220,'BASE MATERIAL'!$A:$D,3))</f>
        <v/>
      </c>
      <c r="F1220" s="55" t="s">
        <v>1682</v>
      </c>
      <c r="G1220" s="55" t="str">
        <f>IF($A1220=0,"",VLOOKUP($A1220,'BASE MATERIAL'!$A:$D,4))</f>
        <v/>
      </c>
      <c r="H1220" s="56" t="str">
        <f>IF($A1220=0,"",ROUND(E1220*F1220,2))</f>
        <v/>
      </c>
      <c r="I1220" s="2"/>
    </row>
    <row r="1221" spans="1:9" x14ac:dyDescent="0.25">
      <c r="B1221" s="73" t="s">
        <v>1681</v>
      </c>
      <c r="C1221" s="65"/>
      <c r="D1221" s="74"/>
      <c r="E1221" s="74"/>
      <c r="F1221" s="74"/>
      <c r="G1221" s="74"/>
      <c r="H1221" s="75">
        <f>ROUND(SUM(H1204:H1220),2)</f>
        <v>3.85</v>
      </c>
      <c r="I1221" s="2"/>
    </row>
    <row r="1222" spans="1:9" x14ac:dyDescent="0.25">
      <c r="B1222" s="38" t="s">
        <v>1680</v>
      </c>
      <c r="C1222" s="2"/>
      <c r="D1222" s="3"/>
      <c r="E1222" s="3"/>
      <c r="F1222" s="3"/>
      <c r="G1222" s="3"/>
      <c r="H1222" s="56"/>
      <c r="I1222" s="2"/>
    </row>
    <row r="1223" spans="1:9" ht="25.5" x14ac:dyDescent="0.25">
      <c r="B1223" s="64" t="s">
        <v>1409</v>
      </c>
      <c r="C1223" s="65"/>
      <c r="D1223" s="76"/>
      <c r="E1223" s="66" t="s">
        <v>1408</v>
      </c>
      <c r="F1223" s="66" t="s">
        <v>1679</v>
      </c>
      <c r="G1223" s="66" t="s">
        <v>1676</v>
      </c>
      <c r="H1223" s="68" t="s">
        <v>1675</v>
      </c>
      <c r="I1223" s="2"/>
    </row>
    <row r="1224" spans="1:9" x14ac:dyDescent="0.25">
      <c r="A1224" s="103">
        <v>19019</v>
      </c>
      <c r="B1224" s="51" t="str">
        <f>IF($A1224=0,"",VLOOKUP($A1224,'BASE EQUIPO'!$A:$D,2))</f>
        <v>TRANSPORTE DE MATERIAL</v>
      </c>
      <c r="C1224" s="52"/>
      <c r="D1224" s="82"/>
      <c r="E1224" s="78" t="str">
        <f>IF($A1224=0,"",VLOOKUP($A1224,'BASE EQUIPO'!$A:$D,3))</f>
        <v>GLOBAL</v>
      </c>
      <c r="F1224" s="55">
        <v>1</v>
      </c>
      <c r="G1224" s="83">
        <f>IF($A1224=0,"",VLOOKUP($A1224,'BASE EQUIPO'!$A:$D,4)*H1221)</f>
        <v>0.11549999999999999</v>
      </c>
      <c r="H1224" s="56">
        <f>IF($A1224=0,"",ROUND(F1224*G1224,2))</f>
        <v>0.12</v>
      </c>
      <c r="I1224" s="2"/>
    </row>
    <row r="1225" spans="1:9" x14ac:dyDescent="0.25">
      <c r="B1225" s="38" t="str">
        <f>IF($A1225=0,"",VLOOKUP($A1225,'BASE EQUIPO'!$A:$D,2))</f>
        <v/>
      </c>
      <c r="C1225" s="2"/>
      <c r="D1225" s="84"/>
      <c r="E1225" s="78" t="str">
        <f>IF($A1225=0,"",VLOOKUP($A1225,'BASE EQUIPO'!$A:$D,3))</f>
        <v/>
      </c>
      <c r="F1225" s="55"/>
      <c r="G1225" s="55" t="str">
        <f>IF($A1225=0,"",VLOOKUP($A1225,'BASE EQUIPO'!$A:$D,4)*H1222)</f>
        <v/>
      </c>
      <c r="H1225" s="56" t="str">
        <f>IF($A1225=0,"",ROUND(F1225*G1225,2))</f>
        <v/>
      </c>
      <c r="I1225" s="2"/>
    </row>
    <row r="1226" spans="1:9" x14ac:dyDescent="0.25">
      <c r="B1226" s="57" t="str">
        <f>IF($A1226=0,"",VLOOKUP($A1226,'BASE EQUIPO'!$A:$D,2))</f>
        <v/>
      </c>
      <c r="C1226" s="58"/>
      <c r="D1226" s="85"/>
      <c r="E1226" s="86" t="str">
        <f>IF($A1226=0,"",VLOOKUP($A1226,'BASE EQUIPO'!$A:$D,3))</f>
        <v/>
      </c>
      <c r="F1226" s="59"/>
      <c r="G1226" s="59" t="str">
        <f>IF($A1226=0,"",VLOOKUP($A1226,'BASE EQUIPO'!$A:$D,4)*H1223)</f>
        <v/>
      </c>
      <c r="H1226" s="60" t="str">
        <f>IF($A1226=0,"",ROUND(F1226*G1226,2))</f>
        <v/>
      </c>
      <c r="I1226" s="2"/>
    </row>
    <row r="1227" spans="1:9" ht="15.75" thickBot="1" x14ac:dyDescent="0.3">
      <c r="B1227" s="87" t="s">
        <v>1674</v>
      </c>
      <c r="C1227" s="88"/>
      <c r="D1227" s="89"/>
      <c r="E1227" s="89"/>
      <c r="F1227" s="89"/>
      <c r="G1227" s="89"/>
      <c r="H1227" s="90">
        <f>ROUND(SUM(H1223:H1226),2)</f>
        <v>0.12</v>
      </c>
      <c r="I1227" s="2"/>
    </row>
    <row r="1228" spans="1:9" ht="15.75" x14ac:dyDescent="0.25">
      <c r="B1228" s="2"/>
      <c r="C1228" s="2"/>
      <c r="D1228" s="91" t="s">
        <v>1673</v>
      </c>
      <c r="E1228" s="47"/>
      <c r="F1228" s="47"/>
      <c r="G1228" s="47"/>
      <c r="H1228" s="92">
        <f>ROUND(SUM(H1227,H1221,H1202,H1192),2)</f>
        <v>3.97</v>
      </c>
      <c r="I1228" s="2"/>
    </row>
    <row r="1229" spans="1:9" ht="15.75" x14ac:dyDescent="0.25">
      <c r="A1229" s="103">
        <v>40002</v>
      </c>
      <c r="B1229" s="2"/>
      <c r="C1229" s="2"/>
      <c r="D1229" s="93" t="s">
        <v>1672</v>
      </c>
      <c r="E1229" s="65"/>
      <c r="F1229" s="65"/>
      <c r="G1229" s="94">
        <f>IF($A1229=0,"",VLOOKUP($A1229,'BASE MATERIAL'!$M:$P,4))</f>
        <v>0</v>
      </c>
      <c r="H1229" s="95">
        <f>IF($A1229=0,"",ROUND(G1229*H1228,2))</f>
        <v>0</v>
      </c>
      <c r="I1229" s="2"/>
    </row>
    <row r="1230" spans="1:9" ht="15.75" x14ac:dyDescent="0.25">
      <c r="A1230" s="103">
        <v>40003</v>
      </c>
      <c r="B1230" s="2"/>
      <c r="C1230" s="2"/>
      <c r="D1230" s="93" t="s">
        <v>1671</v>
      </c>
      <c r="E1230" s="65"/>
      <c r="F1230" s="65"/>
      <c r="G1230" s="94">
        <f>IF($A1230=0,"",VLOOKUP($A1230,'BASE MATERIAL'!$M:$P,4))</f>
        <v>0</v>
      </c>
      <c r="H1230" s="95">
        <f>IF($A1230=0,"",ROUND(G1230*H1228,2))</f>
        <v>0</v>
      </c>
      <c r="I1230" s="2"/>
    </row>
    <row r="1231" spans="1:9" ht="15.75" x14ac:dyDescent="0.25">
      <c r="B1231" s="2"/>
      <c r="C1231" s="2"/>
      <c r="D1231" s="93" t="s">
        <v>1670</v>
      </c>
      <c r="E1231" s="65"/>
      <c r="F1231" s="65"/>
      <c r="G1231" s="65"/>
      <c r="H1231" s="96">
        <f>ROUND(SUM(H1228:H1230),2)</f>
        <v>3.97</v>
      </c>
      <c r="I1231" s="2"/>
    </row>
    <row r="1232" spans="1:9" ht="16.5" thickBot="1" x14ac:dyDescent="0.3">
      <c r="B1232" s="25"/>
      <c r="C1232" s="2"/>
      <c r="D1232" s="97" t="s">
        <v>1650</v>
      </c>
      <c r="E1232" s="88"/>
      <c r="F1232" s="88"/>
      <c r="G1232" s="88"/>
      <c r="H1232" s="98">
        <f>ROUND(H1231,2)</f>
        <v>3.97</v>
      </c>
      <c r="I1232" s="2"/>
    </row>
    <row r="1233" spans="1:15" ht="15.75" x14ac:dyDescent="0.25">
      <c r="B1233" s="34" t="s">
        <v>1701</v>
      </c>
      <c r="C1233" s="2"/>
      <c r="D1233" s="3" t="str">
        <f>$D$1</f>
        <v>ESPOL</v>
      </c>
      <c r="E1233" s="2"/>
      <c r="F1233" s="2"/>
      <c r="H1233" s="2" t="s">
        <v>108</v>
      </c>
      <c r="I1233" s="2"/>
      <c r="L1233" s="40">
        <f>A1237</f>
        <v>2</v>
      </c>
      <c r="M1233" s="1" t="str">
        <f>C1238</f>
        <v>Aislante rubatex 7/8</v>
      </c>
      <c r="N1233" s="2" t="str">
        <f>H1237</f>
        <v>metros</v>
      </c>
      <c r="O1233" s="2">
        <f>H1288</f>
        <v>5.36</v>
      </c>
    </row>
    <row r="1234" spans="1:15" ht="15.75" x14ac:dyDescent="0.25">
      <c r="B1234" s="34" t="s">
        <v>1700</v>
      </c>
      <c r="C1234" s="3">
        <f>'1.1'!$C$2</f>
        <v>0</v>
      </c>
      <c r="D1234" s="2"/>
      <c r="E1234" s="2"/>
      <c r="F1234" s="2"/>
      <c r="G1234" s="41" t="s">
        <v>1699</v>
      </c>
      <c r="H1234" s="42"/>
      <c r="I1234" s="2" t="s">
        <v>1698</v>
      </c>
    </row>
    <row r="1235" spans="1:15" ht="15.75" x14ac:dyDescent="0.25">
      <c r="B1235" s="34"/>
      <c r="C1235" s="3">
        <f>'1.1'!$C$3</f>
        <v>0</v>
      </c>
      <c r="D1235" s="2"/>
      <c r="E1235" s="2"/>
      <c r="F1235" s="2"/>
      <c r="G1235" s="2"/>
      <c r="H1235" s="2"/>
      <c r="I1235" s="2"/>
    </row>
    <row r="1236" spans="1:15" ht="15.75" x14ac:dyDescent="0.25">
      <c r="B1236" s="34" t="s">
        <v>1697</v>
      </c>
      <c r="C1236" s="3"/>
      <c r="D1236" s="2"/>
      <c r="E1236" s="2"/>
      <c r="F1236" s="2"/>
      <c r="G1236" s="2"/>
      <c r="H1236" s="2"/>
      <c r="I1236" s="2"/>
    </row>
    <row r="1237" spans="1:15" x14ac:dyDescent="0.25">
      <c r="A1237" s="104">
        <v>2</v>
      </c>
      <c r="B1237" s="2" t="s">
        <v>1586</v>
      </c>
      <c r="C1237" s="101" t="s">
        <v>173</v>
      </c>
      <c r="D1237" s="2"/>
      <c r="G1237" s="2" t="s">
        <v>1696</v>
      </c>
      <c r="H1237" s="3" t="s">
        <v>145</v>
      </c>
      <c r="I1237" s="2"/>
    </row>
    <row r="1238" spans="1:15" x14ac:dyDescent="0.25">
      <c r="B1238" s="1" t="s">
        <v>1585</v>
      </c>
      <c r="C1238" s="36" t="s">
        <v>155</v>
      </c>
      <c r="D1238" s="2"/>
      <c r="E1238" s="2"/>
      <c r="F1238" s="2"/>
      <c r="G1238" s="2"/>
      <c r="H1238" s="2"/>
      <c r="I1238" s="2"/>
    </row>
    <row r="1239" spans="1:15" ht="15.75" thickBot="1" x14ac:dyDescent="0.3">
      <c r="D1239" s="2"/>
      <c r="E1239" s="2"/>
      <c r="F1239" s="2"/>
      <c r="G1239" s="2"/>
      <c r="H1239" s="2"/>
      <c r="I1239" s="2"/>
    </row>
    <row r="1240" spans="1:15" ht="15.75" thickBot="1" x14ac:dyDescent="0.3">
      <c r="B1240" s="43" t="s">
        <v>1695</v>
      </c>
      <c r="C1240" s="44"/>
      <c r="D1240" s="44"/>
      <c r="E1240" s="44"/>
      <c r="F1240" s="44"/>
      <c r="G1240" s="44"/>
      <c r="H1240" s="45"/>
      <c r="I1240" s="2"/>
    </row>
    <row r="1241" spans="1:15" ht="25.5" x14ac:dyDescent="0.25">
      <c r="B1241" s="46" t="s">
        <v>1409</v>
      </c>
      <c r="C1241" s="47"/>
      <c r="D1241" s="48" t="s">
        <v>1690</v>
      </c>
      <c r="E1241" s="48" t="s">
        <v>1694</v>
      </c>
      <c r="F1241" s="48" t="s">
        <v>1693</v>
      </c>
      <c r="G1241" s="49" t="s">
        <v>1687</v>
      </c>
      <c r="H1241" s="50" t="s">
        <v>1686</v>
      </c>
      <c r="I1241" s="2"/>
    </row>
    <row r="1242" spans="1:15" x14ac:dyDescent="0.25">
      <c r="B1242" s="51" t="str">
        <f>IF($A1242=0,"",VLOOKUP($A1242,'BASE EQUIPO'!$A:$D,2))</f>
        <v/>
      </c>
      <c r="C1242" s="52"/>
      <c r="D1242" s="53"/>
      <c r="E1242" s="53" t="str">
        <f>IF($A1242=0,"",VLOOKUP($A1242,'BASE EQUIPO'!$A:$D,4)*H1258)</f>
        <v/>
      </c>
      <c r="F1242" s="53" t="str">
        <f t="shared" ref="F1242:F1247" si="110">IF($A1242=0,"",ROUND(D1242*E1242,2))</f>
        <v/>
      </c>
      <c r="G1242" s="105"/>
      <c r="H1242" s="54" t="str">
        <f t="shared" ref="H1242:H1247" si="111">IF($A1242=0,"",ROUND(G1242*F1242,2))</f>
        <v/>
      </c>
      <c r="I1242" s="2"/>
    </row>
    <row r="1243" spans="1:15" x14ac:dyDescent="0.25">
      <c r="B1243" s="38" t="str">
        <f>IF($A1243=0,"",VLOOKUP($A1243,'BASE EQUIPO'!$A:$D,2))</f>
        <v/>
      </c>
      <c r="C1243" s="2"/>
      <c r="D1243" s="55"/>
      <c r="E1243" s="55" t="str">
        <f>IF($A1243=0,"",VLOOKUP($A1243,'BASE EQUIPO'!$A:$D,4))</f>
        <v/>
      </c>
      <c r="F1243" s="55" t="str">
        <f t="shared" si="110"/>
        <v/>
      </c>
      <c r="G1243" s="106"/>
      <c r="H1243" s="56" t="str">
        <f t="shared" si="111"/>
        <v/>
      </c>
      <c r="I1243" s="2"/>
    </row>
    <row r="1244" spans="1:15" x14ac:dyDescent="0.25">
      <c r="B1244" s="38" t="str">
        <f>IF($A1244=0,"",VLOOKUP($A1244,'BASE EQUIPO'!$A:$D,2))</f>
        <v/>
      </c>
      <c r="C1244" s="2"/>
      <c r="D1244" s="55"/>
      <c r="E1244" s="55" t="str">
        <f>IF($A1244=0,"",VLOOKUP($A1244,'BASE EQUIPO'!$A:$D,4))</f>
        <v/>
      </c>
      <c r="F1244" s="55" t="str">
        <f t="shared" si="110"/>
        <v/>
      </c>
      <c r="G1244" s="106"/>
      <c r="H1244" s="56" t="str">
        <f t="shared" si="111"/>
        <v/>
      </c>
      <c r="I1244" s="2"/>
    </row>
    <row r="1245" spans="1:15" x14ac:dyDescent="0.25">
      <c r="B1245" s="38" t="str">
        <f>IF($A1245=0,"",VLOOKUP($A1245,'BASE EQUIPO'!$A:$D,2))</f>
        <v/>
      </c>
      <c r="C1245" s="2"/>
      <c r="D1245" s="55"/>
      <c r="E1245" s="55" t="str">
        <f>IF($A1245=0,"",VLOOKUP($A1245,'BASE EQUIPO'!$A:$D,4))</f>
        <v/>
      </c>
      <c r="F1245" s="55" t="str">
        <f t="shared" si="110"/>
        <v/>
      </c>
      <c r="G1245" s="106"/>
      <c r="H1245" s="56" t="str">
        <f t="shared" si="111"/>
        <v/>
      </c>
      <c r="I1245" s="2"/>
    </row>
    <row r="1246" spans="1:15" x14ac:dyDescent="0.25">
      <c r="B1246" s="38" t="str">
        <f>IF($A1246=0,"",VLOOKUP($A1246,'BASE EQUIPO'!$A:$D,2))</f>
        <v/>
      </c>
      <c r="C1246" s="2"/>
      <c r="D1246" s="55"/>
      <c r="E1246" s="55" t="str">
        <f>IF($A1246=0,"",VLOOKUP($A1246,'BASE EQUIPO'!$A:$D,4))</f>
        <v/>
      </c>
      <c r="F1246" s="55" t="str">
        <f t="shared" si="110"/>
        <v/>
      </c>
      <c r="G1246" s="106"/>
      <c r="H1246" s="56" t="str">
        <f t="shared" si="111"/>
        <v/>
      </c>
      <c r="I1246" s="2"/>
    </row>
    <row r="1247" spans="1:15" x14ac:dyDescent="0.25">
      <c r="B1247" s="57" t="str">
        <f>IF($A1247=0,"",VLOOKUP($A1247,'BASE EQUIPO'!$A:$D,2))</f>
        <v/>
      </c>
      <c r="C1247" s="58"/>
      <c r="D1247" s="59"/>
      <c r="E1247" s="59" t="str">
        <f>IF($A1247=0,"",VLOOKUP($A1247,'BASE EQUIPO'!$A:$D,4))</f>
        <v/>
      </c>
      <c r="F1247" s="59" t="str">
        <f t="shared" si="110"/>
        <v/>
      </c>
      <c r="G1247" s="107"/>
      <c r="H1247" s="60" t="str">
        <f t="shared" si="111"/>
        <v/>
      </c>
      <c r="I1247" s="2"/>
    </row>
    <row r="1248" spans="1:15" x14ac:dyDescent="0.25">
      <c r="B1248" s="57" t="s">
        <v>1692</v>
      </c>
      <c r="C1248" s="58"/>
      <c r="D1248" s="61"/>
      <c r="E1248" s="61"/>
      <c r="F1248" s="61"/>
      <c r="G1248" s="62"/>
      <c r="H1248" s="60">
        <f>ROUND(SUM(H1241:H1247),2)</f>
        <v>0</v>
      </c>
      <c r="I1248" s="2"/>
    </row>
    <row r="1249" spans="1:16" x14ac:dyDescent="0.25">
      <c r="B1249" s="38" t="s">
        <v>1503</v>
      </c>
      <c r="C1249" s="2"/>
      <c r="D1249" s="3"/>
      <c r="E1249" s="3"/>
      <c r="F1249" s="3"/>
      <c r="G1249" s="63"/>
      <c r="H1249" s="56"/>
      <c r="I1249" s="2"/>
    </row>
    <row r="1250" spans="1:16" ht="25.5" x14ac:dyDescent="0.25">
      <c r="B1250" s="64" t="s">
        <v>1691</v>
      </c>
      <c r="C1250" s="65"/>
      <c r="D1250" s="66" t="s">
        <v>1690</v>
      </c>
      <c r="E1250" s="66" t="s">
        <v>1689</v>
      </c>
      <c r="F1250" s="66" t="s">
        <v>1688</v>
      </c>
      <c r="G1250" s="67" t="s">
        <v>1687</v>
      </c>
      <c r="H1250" s="68" t="s">
        <v>1686</v>
      </c>
      <c r="I1250" s="2"/>
    </row>
    <row r="1251" spans="1:16" x14ac:dyDescent="0.25">
      <c r="B1251" s="69" t="str">
        <f>IF($A1251=0,"",VLOOKUP($A1251,'BASE M-OBRA'!$A:$D,2))</f>
        <v/>
      </c>
      <c r="C1251" s="2"/>
      <c r="D1251" s="108"/>
      <c r="E1251" s="70" t="str">
        <f>IF($A1251=0,"",VLOOKUP($A1251,'BASE M-OBRA'!$A:$D,4))</f>
        <v/>
      </c>
      <c r="F1251" s="55" t="str">
        <f t="shared" ref="F1251:F1257" si="112">IF($A1251=0,"",ROUND(D1251*E1251,2))</f>
        <v/>
      </c>
      <c r="G1251" s="106" t="str">
        <f>IF($A1251=0,"",ROUND(H1251/F1251,2))</f>
        <v/>
      </c>
      <c r="H1251" s="56" t="str">
        <f>IF($A1251=0,"",ROUND(SUM(H1252:H1257)*'BASE M-OBRA'!$D$23,2))</f>
        <v/>
      </c>
      <c r="I1251" s="2"/>
    </row>
    <row r="1252" spans="1:16" x14ac:dyDescent="0.25">
      <c r="B1252" s="69" t="str">
        <f>IF($A1252=0,"",VLOOKUP($A1252,'BASE M-OBRA'!$A:$D,2))</f>
        <v/>
      </c>
      <c r="C1252" s="2"/>
      <c r="D1252" s="108"/>
      <c r="E1252" s="70" t="str">
        <f>IF($A1252=0,"",VLOOKUP($A1252,'BASE M-OBRA'!$A:$D,4))</f>
        <v/>
      </c>
      <c r="F1252" s="55" t="str">
        <f t="shared" si="112"/>
        <v/>
      </c>
      <c r="G1252" s="106"/>
      <c r="H1252" s="56" t="str">
        <f t="shared" ref="H1252:H1257" si="113">IF($A1252=0,"",ROUND(G1252*F1252,2))</f>
        <v/>
      </c>
      <c r="I1252" s="2"/>
    </row>
    <row r="1253" spans="1:16" x14ac:dyDescent="0.25">
      <c r="B1253" s="69" t="str">
        <f>IF($A1253=0,"",VLOOKUP($A1253,'BASE M-OBRA'!$A:$D,2))</f>
        <v/>
      </c>
      <c r="C1253" s="2"/>
      <c r="D1253" s="108"/>
      <c r="E1253" s="70" t="str">
        <f>IF($A1253=0,"",VLOOKUP($A1253,'BASE M-OBRA'!$A:$D,4))</f>
        <v/>
      </c>
      <c r="F1253" s="55" t="str">
        <f t="shared" si="112"/>
        <v/>
      </c>
      <c r="G1253" s="106"/>
      <c r="H1253" s="56" t="str">
        <f t="shared" si="113"/>
        <v/>
      </c>
      <c r="I1253" s="2"/>
    </row>
    <row r="1254" spans="1:16" x14ac:dyDescent="0.25">
      <c r="B1254" s="71" t="str">
        <f>IF($A1254=0,"",VLOOKUP($A1254,'BASE M-OBRA'!$A:$D,2))</f>
        <v/>
      </c>
      <c r="C1254" s="2"/>
      <c r="D1254" s="108"/>
      <c r="E1254" s="70" t="str">
        <f>IF($A1254=0,"",VLOOKUP($A1254,'BASE M-OBRA'!$A:$D,4))</f>
        <v/>
      </c>
      <c r="F1254" s="55" t="str">
        <f t="shared" si="112"/>
        <v/>
      </c>
      <c r="G1254" s="106"/>
      <c r="H1254" s="56" t="str">
        <f t="shared" si="113"/>
        <v/>
      </c>
      <c r="I1254" s="2"/>
    </row>
    <row r="1255" spans="1:16" x14ac:dyDescent="0.25">
      <c r="B1255" s="72" t="str">
        <f>IF($A1255=0,"",VLOOKUP($A1255,'BASE M-OBRA'!$A:$D,2))</f>
        <v/>
      </c>
      <c r="C1255" s="2"/>
      <c r="D1255" s="108"/>
      <c r="E1255" s="70" t="str">
        <f>IF($A1255=0,"",VLOOKUP($A1255,'BASE M-OBRA'!$A:$D,4))</f>
        <v/>
      </c>
      <c r="F1255" s="55" t="str">
        <f t="shared" si="112"/>
        <v/>
      </c>
      <c r="G1255" s="106"/>
      <c r="H1255" s="56" t="str">
        <f t="shared" si="113"/>
        <v/>
      </c>
      <c r="I1255" s="2"/>
    </row>
    <row r="1256" spans="1:16" x14ac:dyDescent="0.25">
      <c r="B1256" s="38" t="str">
        <f>IF($A1256=0,"",VLOOKUP($A1256,'BASE M-OBRA'!$A:$D,2))</f>
        <v/>
      </c>
      <c r="C1256" s="2"/>
      <c r="D1256" s="55"/>
      <c r="E1256" s="55" t="str">
        <f>IF($A1256=0,"",VLOOKUP($A1256,'BASE M-OBRA'!$A:$D,4))</f>
        <v/>
      </c>
      <c r="F1256" s="55" t="str">
        <f t="shared" si="112"/>
        <v/>
      </c>
      <c r="G1256" s="106"/>
      <c r="H1256" s="56" t="str">
        <f t="shared" si="113"/>
        <v/>
      </c>
      <c r="I1256" s="2"/>
    </row>
    <row r="1257" spans="1:16" x14ac:dyDescent="0.25">
      <c r="B1257" s="57" t="str">
        <f>IF($A1257=0,"",VLOOKUP($A1257,'BASE M-OBRA'!$A:$D,2))</f>
        <v/>
      </c>
      <c r="C1257" s="58"/>
      <c r="D1257" s="59"/>
      <c r="E1257" s="59" t="str">
        <f>IF($A1257=0,"",VLOOKUP($A1257,'BASE M-OBRA'!$A:$D,4))</f>
        <v/>
      </c>
      <c r="F1257" s="59" t="str">
        <f t="shared" si="112"/>
        <v/>
      </c>
      <c r="G1257" s="107"/>
      <c r="H1257" s="60" t="str">
        <f t="shared" si="113"/>
        <v/>
      </c>
      <c r="I1257" s="2"/>
    </row>
    <row r="1258" spans="1:16" x14ac:dyDescent="0.25">
      <c r="B1258" s="73" t="s">
        <v>1685</v>
      </c>
      <c r="C1258" s="65"/>
      <c r="D1258" s="74"/>
      <c r="E1258" s="74"/>
      <c r="F1258" s="74"/>
      <c r="G1258" s="74"/>
      <c r="H1258" s="75">
        <f>ROUND(SUM(H1250:H1257),2)</f>
        <v>0</v>
      </c>
      <c r="I1258" s="2"/>
    </row>
    <row r="1259" spans="1:16" x14ac:dyDescent="0.25">
      <c r="B1259" s="38" t="s">
        <v>1684</v>
      </c>
      <c r="C1259" s="2"/>
      <c r="D1259" s="3"/>
      <c r="E1259" s="3"/>
      <c r="F1259" s="3"/>
      <c r="G1259" s="3"/>
      <c r="H1259" s="56"/>
      <c r="I1259" s="2"/>
    </row>
    <row r="1260" spans="1:16" ht="25.5" x14ac:dyDescent="0.25">
      <c r="B1260" s="64" t="s">
        <v>1409</v>
      </c>
      <c r="C1260" s="65"/>
      <c r="D1260" s="76"/>
      <c r="E1260" s="66" t="s">
        <v>1408</v>
      </c>
      <c r="F1260" s="66" t="s">
        <v>1679</v>
      </c>
      <c r="G1260" s="66" t="s">
        <v>1683</v>
      </c>
      <c r="H1260" s="68" t="s">
        <v>1675</v>
      </c>
      <c r="I1260" s="2"/>
    </row>
    <row r="1261" spans="1:16" x14ac:dyDescent="0.25">
      <c r="A1261" s="103">
        <v>1</v>
      </c>
      <c r="B1261" s="102" t="s">
        <v>155</v>
      </c>
      <c r="C1261" s="2"/>
      <c r="D1261" s="77"/>
      <c r="E1261" s="78" t="s">
        <v>145</v>
      </c>
      <c r="F1261" s="55">
        <v>1</v>
      </c>
      <c r="G1261" s="55">
        <v>5.2</v>
      </c>
      <c r="H1261" s="56">
        <f t="shared" ref="H1261:H1275" si="114">IF($A1261=0,"",ROUND(F1261*G1261,2))</f>
        <v>5.2</v>
      </c>
      <c r="I1261" s="2"/>
      <c r="J1261" s="1">
        <v>4.05</v>
      </c>
      <c r="L1261" s="2"/>
      <c r="M1261" s="2"/>
      <c r="N1261" s="39"/>
      <c r="O1261" s="2"/>
      <c r="P1261" s="2"/>
    </row>
    <row r="1262" spans="1:16" x14ac:dyDescent="0.25">
      <c r="B1262" s="102"/>
      <c r="C1262" s="2"/>
      <c r="D1262" s="77"/>
      <c r="E1262" s="78" t="str">
        <f>IF($A1262=0,"",VLOOKUP($A1262,'BASE MATERIAL'!$A:$D,3))</f>
        <v/>
      </c>
      <c r="F1262" s="55"/>
      <c r="G1262" s="55" t="str">
        <f>IF($A1262=0,"",VLOOKUP($A1262,'BASE MATERIAL'!$A:$D,4))</f>
        <v/>
      </c>
      <c r="H1262" s="56" t="str">
        <f t="shared" si="114"/>
        <v/>
      </c>
      <c r="I1262" s="2"/>
      <c r="L1262" s="2"/>
      <c r="M1262" s="2"/>
      <c r="N1262" s="39"/>
      <c r="O1262" s="2"/>
      <c r="P1262" s="2"/>
    </row>
    <row r="1263" spans="1:16" x14ac:dyDescent="0.25">
      <c r="B1263" s="38" t="str">
        <f>IF($A1263=0,"",VLOOKUP($A1263,'BASE MATERIAL'!$A:$D,2))</f>
        <v/>
      </c>
      <c r="C1263" s="2"/>
      <c r="D1263" s="77"/>
      <c r="E1263" s="78" t="str">
        <f>IF($A1263=0,"",VLOOKUP($A1263,'BASE MATERIAL'!$A:$D,3))</f>
        <v/>
      </c>
      <c r="F1263" s="55"/>
      <c r="G1263" s="55" t="str">
        <f>IF($A1263=0,"",VLOOKUP($A1263,'BASE MATERIAL'!$A:$D,4))</f>
        <v/>
      </c>
      <c r="H1263" s="56" t="str">
        <f t="shared" si="114"/>
        <v/>
      </c>
      <c r="I1263" s="2"/>
      <c r="L1263" s="2"/>
      <c r="M1263" s="2"/>
      <c r="N1263" s="39"/>
      <c r="O1263" s="2"/>
      <c r="P1263" s="2"/>
    </row>
    <row r="1264" spans="1:16" x14ac:dyDescent="0.25">
      <c r="B1264" s="38" t="str">
        <f>IF($A1264=0,"",VLOOKUP($A1264,'BASE MATERIAL'!$A:$D,2))</f>
        <v/>
      </c>
      <c r="C1264" s="2"/>
      <c r="D1264" s="77"/>
      <c r="E1264" s="78" t="str">
        <f>IF($A1264=0,"",VLOOKUP($A1264,'BASE MATERIAL'!$A:$D,3))</f>
        <v/>
      </c>
      <c r="F1264" s="55"/>
      <c r="G1264" s="55" t="str">
        <f>IF($A1264=0,"",VLOOKUP($A1264,'BASE MATERIAL'!$A:$D,4))</f>
        <v/>
      </c>
      <c r="H1264" s="56" t="str">
        <f t="shared" si="114"/>
        <v/>
      </c>
      <c r="I1264" s="2"/>
      <c r="L1264" s="2"/>
      <c r="M1264" s="2"/>
      <c r="N1264" s="39"/>
      <c r="O1264" s="2"/>
      <c r="P1264" s="2"/>
    </row>
    <row r="1265" spans="1:16" x14ac:dyDescent="0.25">
      <c r="B1265" s="38" t="str">
        <f>IF($A1265=0,"",VLOOKUP($A1265,'BASE MATERIAL'!$A:$D,2))</f>
        <v/>
      </c>
      <c r="C1265" s="2"/>
      <c r="D1265" s="77"/>
      <c r="E1265" s="78" t="str">
        <f>IF($A1265=0,"",VLOOKUP($A1265,'BASE MATERIAL'!$A:$D,3))</f>
        <v/>
      </c>
      <c r="F1265" s="55"/>
      <c r="G1265" s="55" t="str">
        <f>IF($A1265=0,"",VLOOKUP($A1265,'BASE MATERIAL'!$A:$D,4))</f>
        <v/>
      </c>
      <c r="H1265" s="56" t="str">
        <f t="shared" si="114"/>
        <v/>
      </c>
      <c r="I1265" s="2"/>
      <c r="L1265" s="2"/>
      <c r="M1265" s="2"/>
      <c r="N1265" s="39"/>
      <c r="O1265" s="2"/>
      <c r="P1265" s="2"/>
    </row>
    <row r="1266" spans="1:16" x14ac:dyDescent="0.25">
      <c r="B1266" s="38" t="str">
        <f>IF($A1266=0,"",VLOOKUP($A1266,'BASE MATERIAL'!$A:$D,2))</f>
        <v/>
      </c>
      <c r="C1266" s="2"/>
      <c r="D1266" s="77"/>
      <c r="E1266" s="78" t="str">
        <f>IF($A1266=0,"",VLOOKUP($A1266,'BASE MATERIAL'!$A:$D,3))</f>
        <v/>
      </c>
      <c r="F1266" s="55"/>
      <c r="G1266" s="55" t="str">
        <f>IF($A1266=0,"",VLOOKUP($A1266,'BASE MATERIAL'!$A:$D,4))</f>
        <v/>
      </c>
      <c r="H1266" s="56" t="str">
        <f t="shared" si="114"/>
        <v/>
      </c>
      <c r="I1266" s="2"/>
      <c r="L1266" s="2"/>
      <c r="M1266" s="2"/>
      <c r="N1266" s="39"/>
      <c r="O1266" s="2"/>
      <c r="P1266" s="2"/>
    </row>
    <row r="1267" spans="1:16" x14ac:dyDescent="0.25">
      <c r="B1267" s="38" t="str">
        <f>IF($A1267=0,"",VLOOKUP($A1267,'BASE MATERIAL'!$A:$D,2))</f>
        <v/>
      </c>
      <c r="C1267" s="2"/>
      <c r="D1267" s="77"/>
      <c r="E1267" s="78" t="str">
        <f>IF($A1267=0,"",VLOOKUP($A1267,'BASE MATERIAL'!$A:$D,3))</f>
        <v/>
      </c>
      <c r="F1267" s="55"/>
      <c r="G1267" s="55" t="str">
        <f>IF($A1267=0,"",VLOOKUP($A1267,'BASE MATERIAL'!$A:$D,4))</f>
        <v/>
      </c>
      <c r="H1267" s="56" t="str">
        <f t="shared" si="114"/>
        <v/>
      </c>
      <c r="I1267" s="2"/>
      <c r="L1267" s="2"/>
      <c r="M1267" s="2"/>
      <c r="N1267" s="39"/>
      <c r="O1267" s="2"/>
      <c r="P1267" s="2"/>
    </row>
    <row r="1268" spans="1:16" x14ac:dyDescent="0.25">
      <c r="B1268" s="38" t="str">
        <f>IF($A1268=0,"",VLOOKUP($A1268,'BASE MATERIAL'!$A:$D,2))</f>
        <v/>
      </c>
      <c r="C1268" s="2"/>
      <c r="D1268" s="77"/>
      <c r="E1268" s="78" t="str">
        <f>IF($A1268=0,"",VLOOKUP($A1268,'BASE MATERIAL'!$A:$D,3))</f>
        <v/>
      </c>
      <c r="F1268" s="55"/>
      <c r="G1268" s="55" t="str">
        <f>IF($A1268=0,"",VLOOKUP($A1268,'BASE MATERIAL'!$A:$D,4))</f>
        <v/>
      </c>
      <c r="H1268" s="56" t="str">
        <f t="shared" si="114"/>
        <v/>
      </c>
      <c r="I1268" s="2"/>
      <c r="L1268" s="2"/>
      <c r="M1268" s="2"/>
      <c r="N1268" s="39"/>
      <c r="O1268" s="2"/>
      <c r="P1268" s="2"/>
    </row>
    <row r="1269" spans="1:16" x14ac:dyDescent="0.25">
      <c r="B1269" s="38" t="str">
        <f>IF($A1269=0,"",VLOOKUP($A1269,'BASE MATERIAL'!$A:$D,2))</f>
        <v/>
      </c>
      <c r="C1269" s="2"/>
      <c r="D1269" s="77"/>
      <c r="E1269" s="78" t="str">
        <f>IF($A1269=0,"",VLOOKUP($A1269,'BASE MATERIAL'!$A:$D,3))</f>
        <v/>
      </c>
      <c r="F1269" s="55"/>
      <c r="G1269" s="55" t="str">
        <f>IF($A1269=0,"",VLOOKUP($A1269,'BASE MATERIAL'!$A:$D,4))</f>
        <v/>
      </c>
      <c r="H1269" s="56" t="str">
        <f t="shared" si="114"/>
        <v/>
      </c>
      <c r="I1269" s="2"/>
    </row>
    <row r="1270" spans="1:16" x14ac:dyDescent="0.25">
      <c r="B1270" s="38" t="str">
        <f>IF($A1270=0,"",VLOOKUP($A1270,'BASE MATERIAL'!$A:$D,2))</f>
        <v/>
      </c>
      <c r="C1270" s="2"/>
      <c r="D1270" s="77"/>
      <c r="E1270" s="78" t="str">
        <f>IF($A1270=0,"",VLOOKUP($A1270,'BASE MATERIAL'!$A:$D,3))</f>
        <v/>
      </c>
      <c r="F1270" s="55"/>
      <c r="G1270" s="55" t="str">
        <f>IF($A1270=0,"",VLOOKUP($A1270,'BASE MATERIAL'!$A:$D,4))</f>
        <v/>
      </c>
      <c r="H1270" s="56" t="str">
        <f t="shared" si="114"/>
        <v/>
      </c>
      <c r="I1270" s="2"/>
      <c r="L1270" s="2"/>
      <c r="M1270" s="2"/>
      <c r="N1270" s="39"/>
      <c r="O1270" s="2"/>
      <c r="P1270" s="2"/>
    </row>
    <row r="1271" spans="1:16" x14ac:dyDescent="0.25">
      <c r="B1271" s="38" t="str">
        <f>IF($A1271=0,"",VLOOKUP($A1271,'BASE MATERIAL'!$A:$D,2))</f>
        <v/>
      </c>
      <c r="C1271" s="2"/>
      <c r="D1271" s="77"/>
      <c r="E1271" s="78" t="str">
        <f>IF($A1271=0,"",VLOOKUP($A1271,'BASE MATERIAL'!$A:$D,3))</f>
        <v/>
      </c>
      <c r="F1271" s="55"/>
      <c r="G1271" s="55" t="str">
        <f>IF($A1271=0,"",VLOOKUP($A1271,'BASE MATERIAL'!$A:$D,4))</f>
        <v/>
      </c>
      <c r="H1271" s="56" t="str">
        <f t="shared" si="114"/>
        <v/>
      </c>
      <c r="I1271" s="2"/>
      <c r="L1271" s="2"/>
      <c r="M1271" s="2"/>
      <c r="N1271" s="39"/>
      <c r="O1271" s="2"/>
      <c r="P1271" s="2"/>
    </row>
    <row r="1272" spans="1:16" x14ac:dyDescent="0.25">
      <c r="B1272" s="38" t="str">
        <f>IF($A1272=0,"",VLOOKUP($A1272,'BASE MATERIAL'!$A:$D,2))</f>
        <v/>
      </c>
      <c r="C1272" s="2"/>
      <c r="D1272" s="77"/>
      <c r="E1272" s="78" t="str">
        <f>IF($A1272=0,"",VLOOKUP($A1272,'BASE MATERIAL'!$A:$D,3))</f>
        <v/>
      </c>
      <c r="F1272" s="55"/>
      <c r="G1272" s="55" t="str">
        <f>IF($A1272=0,"",VLOOKUP($A1272,'BASE MATERIAL'!$A:$D,4))</f>
        <v/>
      </c>
      <c r="H1272" s="56" t="str">
        <f t="shared" si="114"/>
        <v/>
      </c>
      <c r="I1272" s="2"/>
    </row>
    <row r="1273" spans="1:16" x14ac:dyDescent="0.25">
      <c r="B1273" s="38" t="str">
        <f>IF($A1273=0,"",VLOOKUP($A1273,'BASE MATERIAL'!$A:$D,2))</f>
        <v/>
      </c>
      <c r="C1273" s="2"/>
      <c r="D1273" s="77"/>
      <c r="E1273" s="78" t="str">
        <f>IF($A1273=0,"",VLOOKUP($A1273,'BASE MATERIAL'!$A:$D,3))</f>
        <v/>
      </c>
      <c r="F1273" s="55"/>
      <c r="G1273" s="55" t="str">
        <f>IF($A1273=0,"",VLOOKUP($A1273,'BASE MATERIAL'!$A:$D,4))</f>
        <v/>
      </c>
      <c r="H1273" s="56" t="str">
        <f t="shared" si="114"/>
        <v/>
      </c>
      <c r="I1273" s="2"/>
    </row>
    <row r="1274" spans="1:16" x14ac:dyDescent="0.25">
      <c r="B1274" s="38" t="str">
        <f>IF($A1274=0,"",VLOOKUP($A1274,'BASE MATERIAL'!$A:$D,2))</f>
        <v/>
      </c>
      <c r="C1274" s="2"/>
      <c r="D1274" s="77"/>
      <c r="E1274" s="78" t="str">
        <f>IF($A1274=0,"",VLOOKUP($A1274,'BASE MATERIAL'!$A:$D,3))</f>
        <v/>
      </c>
      <c r="F1274" s="55"/>
      <c r="G1274" s="55" t="str">
        <f>IF($A1274=0,"",VLOOKUP($A1274,'BASE MATERIAL'!$A:$D,4))</f>
        <v/>
      </c>
      <c r="H1274" s="56" t="str">
        <f t="shared" si="114"/>
        <v/>
      </c>
      <c r="I1274" s="2"/>
    </row>
    <row r="1275" spans="1:16" x14ac:dyDescent="0.25">
      <c r="B1275" s="38" t="str">
        <f>IF($A1275=0,"",VLOOKUP($A1275,'BASE MATERIAL'!$A:$D,2))</f>
        <v/>
      </c>
      <c r="C1275" s="2"/>
      <c r="D1275" s="77"/>
      <c r="E1275" s="78" t="str">
        <f>IF($A1275=0,"",VLOOKUP($A1275,'BASE MATERIAL'!$A:$D,3))</f>
        <v/>
      </c>
      <c r="F1275" s="55"/>
      <c r="G1275" s="55" t="str">
        <f>IF($A1275=0,"",VLOOKUP($A1275,'BASE MATERIAL'!$A:$D,4))</f>
        <v/>
      </c>
      <c r="H1275" s="56" t="str">
        <f t="shared" si="114"/>
        <v/>
      </c>
      <c r="I1275" s="2"/>
    </row>
    <row r="1276" spans="1:16" x14ac:dyDescent="0.25">
      <c r="B1276" s="38" t="str">
        <f>IF($A1276=0,"",VLOOKUP($A1276,'BASE MATERIAL'!$A:$D,2))</f>
        <v/>
      </c>
      <c r="C1276" s="2"/>
      <c r="D1276" s="81" t="s">
        <v>1682</v>
      </c>
      <c r="E1276" s="55" t="str">
        <f>IF($A1276=0,"",VLOOKUP($A1276,'BASE MATERIAL'!$A:$D,3))</f>
        <v/>
      </c>
      <c r="F1276" s="55" t="s">
        <v>1682</v>
      </c>
      <c r="G1276" s="55" t="str">
        <f>IF($A1276=0,"",VLOOKUP($A1276,'BASE MATERIAL'!$A:$D,4))</f>
        <v/>
      </c>
      <c r="H1276" s="56" t="str">
        <f>IF($A1276=0,"",ROUND(E1276*F1276,2))</f>
        <v/>
      </c>
      <c r="I1276" s="2"/>
    </row>
    <row r="1277" spans="1:16" x14ac:dyDescent="0.25">
      <c r="B1277" s="73" t="s">
        <v>1681</v>
      </c>
      <c r="C1277" s="65"/>
      <c r="D1277" s="74"/>
      <c r="E1277" s="74"/>
      <c r="F1277" s="74"/>
      <c r="G1277" s="74"/>
      <c r="H1277" s="75">
        <f>ROUND(SUM(H1260:H1276),2)</f>
        <v>5.2</v>
      </c>
      <c r="I1277" s="2"/>
    </row>
    <row r="1278" spans="1:16" x14ac:dyDescent="0.25">
      <c r="B1278" s="38" t="s">
        <v>1680</v>
      </c>
      <c r="C1278" s="2"/>
      <c r="D1278" s="3"/>
      <c r="E1278" s="3"/>
      <c r="F1278" s="3"/>
      <c r="G1278" s="3"/>
      <c r="H1278" s="56"/>
      <c r="I1278" s="2"/>
    </row>
    <row r="1279" spans="1:16" ht="25.5" x14ac:dyDescent="0.25">
      <c r="B1279" s="64" t="s">
        <v>1409</v>
      </c>
      <c r="C1279" s="65"/>
      <c r="D1279" s="76"/>
      <c r="E1279" s="66" t="s">
        <v>1408</v>
      </c>
      <c r="F1279" s="66" t="s">
        <v>1679</v>
      </c>
      <c r="G1279" s="66" t="s">
        <v>1676</v>
      </c>
      <c r="H1279" s="68" t="s">
        <v>1675</v>
      </c>
      <c r="I1279" s="2"/>
    </row>
    <row r="1280" spans="1:16" x14ac:dyDescent="0.25">
      <c r="A1280" s="103">
        <v>19019</v>
      </c>
      <c r="B1280" s="51" t="str">
        <f>IF($A1280=0,"",VLOOKUP($A1280,'BASE EQUIPO'!$A:$D,2))</f>
        <v>TRANSPORTE DE MATERIAL</v>
      </c>
      <c r="C1280" s="52"/>
      <c r="D1280" s="82"/>
      <c r="E1280" s="78" t="str">
        <f>IF($A1280=0,"",VLOOKUP($A1280,'BASE EQUIPO'!$A:$D,3))</f>
        <v>GLOBAL</v>
      </c>
      <c r="F1280" s="55">
        <v>1</v>
      </c>
      <c r="G1280" s="83">
        <f>IF($A1280=0,"",VLOOKUP($A1280,'BASE EQUIPO'!$A:$D,4)*H1277)</f>
        <v>0.156</v>
      </c>
      <c r="H1280" s="56">
        <f>IF($A1280=0,"",ROUND(F1280*G1280,2))</f>
        <v>0.16</v>
      </c>
      <c r="I1280" s="2"/>
    </row>
    <row r="1281" spans="1:15" x14ac:dyDescent="0.25">
      <c r="B1281" s="38" t="str">
        <f>IF($A1281=0,"",VLOOKUP($A1281,'BASE EQUIPO'!$A:$D,2))</f>
        <v/>
      </c>
      <c r="C1281" s="2"/>
      <c r="D1281" s="84"/>
      <c r="E1281" s="78" t="str">
        <f>IF($A1281=0,"",VLOOKUP($A1281,'BASE EQUIPO'!$A:$D,3))</f>
        <v/>
      </c>
      <c r="F1281" s="55"/>
      <c r="G1281" s="55" t="str">
        <f>IF($A1281=0,"",VLOOKUP($A1281,'BASE EQUIPO'!$A:$D,4)*H1278)</f>
        <v/>
      </c>
      <c r="H1281" s="56" t="str">
        <f>IF($A1281=0,"",ROUND(F1281*G1281,2))</f>
        <v/>
      </c>
      <c r="I1281" s="2"/>
    </row>
    <row r="1282" spans="1:15" x14ac:dyDescent="0.25">
      <c r="B1282" s="57" t="str">
        <f>IF($A1282=0,"",VLOOKUP($A1282,'BASE EQUIPO'!$A:$D,2))</f>
        <v/>
      </c>
      <c r="C1282" s="58"/>
      <c r="D1282" s="85"/>
      <c r="E1282" s="86" t="str">
        <f>IF($A1282=0,"",VLOOKUP($A1282,'BASE EQUIPO'!$A:$D,3))</f>
        <v/>
      </c>
      <c r="F1282" s="59"/>
      <c r="G1282" s="59" t="str">
        <f>IF($A1282=0,"",VLOOKUP($A1282,'BASE EQUIPO'!$A:$D,4)*H1279)</f>
        <v/>
      </c>
      <c r="H1282" s="60" t="str">
        <f>IF($A1282=0,"",ROUND(F1282*G1282,2))</f>
        <v/>
      </c>
      <c r="I1282" s="2"/>
    </row>
    <row r="1283" spans="1:15" ht="15.75" thickBot="1" x14ac:dyDescent="0.3">
      <c r="B1283" s="87" t="s">
        <v>1674</v>
      </c>
      <c r="C1283" s="88"/>
      <c r="D1283" s="89"/>
      <c r="E1283" s="89"/>
      <c r="F1283" s="89"/>
      <c r="G1283" s="89"/>
      <c r="H1283" s="90">
        <f>ROUND(SUM(H1279:H1282),2)</f>
        <v>0.16</v>
      </c>
      <c r="I1283" s="2"/>
    </row>
    <row r="1284" spans="1:15" ht="15.75" x14ac:dyDescent="0.25">
      <c r="B1284" s="2"/>
      <c r="C1284" s="2"/>
      <c r="D1284" s="91" t="s">
        <v>1673</v>
      </c>
      <c r="E1284" s="47"/>
      <c r="F1284" s="47"/>
      <c r="G1284" s="47"/>
      <c r="H1284" s="92">
        <f>ROUND(SUM(H1283,H1277,H1258,H1248),2)</f>
        <v>5.36</v>
      </c>
      <c r="I1284" s="2"/>
    </row>
    <row r="1285" spans="1:15" ht="15.75" x14ac:dyDescent="0.25">
      <c r="A1285" s="103">
        <v>40002</v>
      </c>
      <c r="B1285" s="2"/>
      <c r="C1285" s="2"/>
      <c r="D1285" s="93" t="s">
        <v>1672</v>
      </c>
      <c r="E1285" s="65"/>
      <c r="F1285" s="65"/>
      <c r="G1285" s="94">
        <f>IF($A1285=0,"",VLOOKUP($A1285,'BASE MATERIAL'!$M:$P,4))</f>
        <v>0</v>
      </c>
      <c r="H1285" s="95">
        <f>IF($A1285=0,"",ROUND(G1285*H1284,2))</f>
        <v>0</v>
      </c>
      <c r="I1285" s="2"/>
    </row>
    <row r="1286" spans="1:15" ht="15.75" x14ac:dyDescent="0.25">
      <c r="A1286" s="103">
        <v>40003</v>
      </c>
      <c r="B1286" s="2"/>
      <c r="C1286" s="2"/>
      <c r="D1286" s="93" t="s">
        <v>1671</v>
      </c>
      <c r="E1286" s="65"/>
      <c r="F1286" s="65"/>
      <c r="G1286" s="94">
        <f>IF($A1286=0,"",VLOOKUP($A1286,'BASE MATERIAL'!$M:$P,4))</f>
        <v>0</v>
      </c>
      <c r="H1286" s="95">
        <f>IF($A1286=0,"",ROUND(G1286*H1284,2))</f>
        <v>0</v>
      </c>
      <c r="I1286" s="2"/>
    </row>
    <row r="1287" spans="1:15" ht="15.75" x14ac:dyDescent="0.25">
      <c r="B1287" s="2"/>
      <c r="C1287" s="2"/>
      <c r="D1287" s="93" t="s">
        <v>1670</v>
      </c>
      <c r="E1287" s="65"/>
      <c r="F1287" s="65"/>
      <c r="G1287" s="65"/>
      <c r="H1287" s="96">
        <f>ROUND(SUM(H1284:H1286),2)</f>
        <v>5.36</v>
      </c>
      <c r="I1287" s="2"/>
    </row>
    <row r="1288" spans="1:15" ht="16.5" thickBot="1" x14ac:dyDescent="0.3">
      <c r="B1288" s="25"/>
      <c r="C1288" s="2"/>
      <c r="D1288" s="97" t="s">
        <v>1650</v>
      </c>
      <c r="E1288" s="88"/>
      <c r="F1288" s="88"/>
      <c r="G1288" s="88"/>
      <c r="H1288" s="98">
        <f>ROUND(H1287,2)</f>
        <v>5.36</v>
      </c>
      <c r="I1288" s="2"/>
    </row>
    <row r="1289" spans="1:15" ht="15.75" x14ac:dyDescent="0.25">
      <c r="B1289" s="34" t="s">
        <v>1701</v>
      </c>
      <c r="C1289" s="2"/>
      <c r="D1289" s="3" t="str">
        <f>$D$1</f>
        <v>ESPOL</v>
      </c>
      <c r="E1289" s="2"/>
      <c r="F1289" s="2"/>
      <c r="H1289" s="2" t="s">
        <v>108</v>
      </c>
      <c r="I1289" s="2"/>
      <c r="L1289" s="40">
        <f>A1293</f>
        <v>2</v>
      </c>
      <c r="M1289" s="1" t="str">
        <f>C1294</f>
        <v>Aislante rubatex 1 3/8</v>
      </c>
      <c r="N1289" s="2" t="str">
        <f>H1293</f>
        <v>metros</v>
      </c>
      <c r="O1289" s="2">
        <f>H1344</f>
        <v>4.58</v>
      </c>
    </row>
    <row r="1290" spans="1:15" ht="15.75" x14ac:dyDescent="0.25">
      <c r="B1290" s="34" t="s">
        <v>1700</v>
      </c>
      <c r="C1290" s="3">
        <f>'1.1'!$C$2</f>
        <v>0</v>
      </c>
      <c r="D1290" s="2"/>
      <c r="E1290" s="2"/>
      <c r="F1290" s="2"/>
      <c r="G1290" s="41" t="s">
        <v>1699</v>
      </c>
      <c r="H1290" s="42"/>
      <c r="I1290" s="2" t="s">
        <v>1698</v>
      </c>
    </row>
    <row r="1291" spans="1:15" ht="15.75" x14ac:dyDescent="0.25">
      <c r="B1291" s="34"/>
      <c r="C1291" s="3">
        <f>'1.1'!$C$3</f>
        <v>0</v>
      </c>
      <c r="D1291" s="2"/>
      <c r="E1291" s="2"/>
      <c r="F1291" s="2"/>
      <c r="G1291" s="2"/>
      <c r="H1291" s="2"/>
      <c r="I1291" s="2"/>
    </row>
    <row r="1292" spans="1:15" ht="15.75" x14ac:dyDescent="0.25">
      <c r="B1292" s="34" t="s">
        <v>1697</v>
      </c>
      <c r="C1292" s="3"/>
      <c r="D1292" s="2"/>
      <c r="E1292" s="2"/>
      <c r="F1292" s="2"/>
      <c r="G1292" s="2"/>
      <c r="H1292" s="2"/>
      <c r="I1292" s="2"/>
    </row>
    <row r="1293" spans="1:15" x14ac:dyDescent="0.25">
      <c r="A1293" s="104">
        <v>2</v>
      </c>
      <c r="B1293" s="2" t="s">
        <v>1586</v>
      </c>
      <c r="C1293" s="101" t="s">
        <v>174</v>
      </c>
      <c r="D1293" s="2"/>
      <c r="G1293" s="2" t="s">
        <v>1696</v>
      </c>
      <c r="H1293" s="3" t="s">
        <v>145</v>
      </c>
      <c r="I1293" s="2"/>
    </row>
    <row r="1294" spans="1:15" x14ac:dyDescent="0.25">
      <c r="B1294" s="1" t="s">
        <v>1585</v>
      </c>
      <c r="C1294" s="36" t="s">
        <v>156</v>
      </c>
      <c r="D1294" s="2"/>
      <c r="E1294" s="2"/>
      <c r="F1294" s="2"/>
      <c r="G1294" s="2"/>
      <c r="H1294" s="2"/>
      <c r="I1294" s="2"/>
    </row>
    <row r="1295" spans="1:15" ht="15.75" thickBot="1" x14ac:dyDescent="0.3">
      <c r="D1295" s="2"/>
      <c r="E1295" s="2"/>
      <c r="F1295" s="2"/>
      <c r="G1295" s="2"/>
      <c r="H1295" s="2"/>
      <c r="I1295" s="2"/>
    </row>
    <row r="1296" spans="1:15" ht="15.75" thickBot="1" x14ac:dyDescent="0.3">
      <c r="B1296" s="43" t="s">
        <v>1695</v>
      </c>
      <c r="C1296" s="44"/>
      <c r="D1296" s="44"/>
      <c r="E1296" s="44"/>
      <c r="F1296" s="44"/>
      <c r="G1296" s="44"/>
      <c r="H1296" s="45"/>
      <c r="I1296" s="2"/>
    </row>
    <row r="1297" spans="2:9" ht="25.5" x14ac:dyDescent="0.25">
      <c r="B1297" s="46" t="s">
        <v>1409</v>
      </c>
      <c r="C1297" s="47"/>
      <c r="D1297" s="48" t="s">
        <v>1690</v>
      </c>
      <c r="E1297" s="48" t="s">
        <v>1694</v>
      </c>
      <c r="F1297" s="48" t="s">
        <v>1693</v>
      </c>
      <c r="G1297" s="49" t="s">
        <v>1687</v>
      </c>
      <c r="H1297" s="50" t="s">
        <v>1686</v>
      </c>
      <c r="I1297" s="2"/>
    </row>
    <row r="1298" spans="2:9" x14ac:dyDescent="0.25">
      <c r="B1298" s="51" t="str">
        <f>IF($A1298=0,"",VLOOKUP($A1298,'BASE EQUIPO'!$A:$D,2))</f>
        <v/>
      </c>
      <c r="C1298" s="52"/>
      <c r="D1298" s="53"/>
      <c r="E1298" s="53" t="str">
        <f>IF($A1298=0,"",VLOOKUP($A1298,'BASE EQUIPO'!$A:$D,4)*H1314)</f>
        <v/>
      </c>
      <c r="F1298" s="53" t="str">
        <f t="shared" ref="F1298:F1303" si="115">IF($A1298=0,"",ROUND(D1298*E1298,2))</f>
        <v/>
      </c>
      <c r="G1298" s="105"/>
      <c r="H1298" s="54" t="str">
        <f t="shared" ref="H1298:H1303" si="116">IF($A1298=0,"",ROUND(G1298*F1298,2))</f>
        <v/>
      </c>
      <c r="I1298" s="2"/>
    </row>
    <row r="1299" spans="2:9" x14ac:dyDescent="0.25">
      <c r="B1299" s="38" t="str">
        <f>IF($A1299=0,"",VLOOKUP($A1299,'BASE EQUIPO'!$A:$D,2))</f>
        <v/>
      </c>
      <c r="C1299" s="2"/>
      <c r="D1299" s="55"/>
      <c r="E1299" s="55" t="str">
        <f>IF($A1299=0,"",VLOOKUP($A1299,'BASE EQUIPO'!$A:$D,4))</f>
        <v/>
      </c>
      <c r="F1299" s="55" t="str">
        <f t="shared" si="115"/>
        <v/>
      </c>
      <c r="G1299" s="106"/>
      <c r="H1299" s="56" t="str">
        <f t="shared" si="116"/>
        <v/>
      </c>
      <c r="I1299" s="2"/>
    </row>
    <row r="1300" spans="2:9" x14ac:dyDescent="0.25">
      <c r="B1300" s="38" t="str">
        <f>IF($A1300=0,"",VLOOKUP($A1300,'BASE EQUIPO'!$A:$D,2))</f>
        <v/>
      </c>
      <c r="C1300" s="2"/>
      <c r="D1300" s="55"/>
      <c r="E1300" s="55" t="str">
        <f>IF($A1300=0,"",VLOOKUP($A1300,'BASE EQUIPO'!$A:$D,4))</f>
        <v/>
      </c>
      <c r="F1300" s="55" t="str">
        <f t="shared" si="115"/>
        <v/>
      </c>
      <c r="G1300" s="106"/>
      <c r="H1300" s="56" t="str">
        <f t="shared" si="116"/>
        <v/>
      </c>
      <c r="I1300" s="2"/>
    </row>
    <row r="1301" spans="2:9" x14ac:dyDescent="0.25">
      <c r="B1301" s="38" t="str">
        <f>IF($A1301=0,"",VLOOKUP($A1301,'BASE EQUIPO'!$A:$D,2))</f>
        <v/>
      </c>
      <c r="C1301" s="2"/>
      <c r="D1301" s="55"/>
      <c r="E1301" s="55" t="str">
        <f>IF($A1301=0,"",VLOOKUP($A1301,'BASE EQUIPO'!$A:$D,4))</f>
        <v/>
      </c>
      <c r="F1301" s="55" t="str">
        <f t="shared" si="115"/>
        <v/>
      </c>
      <c r="G1301" s="106"/>
      <c r="H1301" s="56" t="str">
        <f t="shared" si="116"/>
        <v/>
      </c>
      <c r="I1301" s="2"/>
    </row>
    <row r="1302" spans="2:9" x14ac:dyDescent="0.25">
      <c r="B1302" s="38" t="str">
        <f>IF($A1302=0,"",VLOOKUP($A1302,'BASE EQUIPO'!$A:$D,2))</f>
        <v/>
      </c>
      <c r="C1302" s="2"/>
      <c r="D1302" s="55"/>
      <c r="E1302" s="55" t="str">
        <f>IF($A1302=0,"",VLOOKUP($A1302,'BASE EQUIPO'!$A:$D,4))</f>
        <v/>
      </c>
      <c r="F1302" s="55" t="str">
        <f t="shared" si="115"/>
        <v/>
      </c>
      <c r="G1302" s="106"/>
      <c r="H1302" s="56" t="str">
        <f t="shared" si="116"/>
        <v/>
      </c>
      <c r="I1302" s="2"/>
    </row>
    <row r="1303" spans="2:9" x14ac:dyDescent="0.25">
      <c r="B1303" s="57" t="str">
        <f>IF($A1303=0,"",VLOOKUP($A1303,'BASE EQUIPO'!$A:$D,2))</f>
        <v/>
      </c>
      <c r="C1303" s="58"/>
      <c r="D1303" s="59"/>
      <c r="E1303" s="59" t="str">
        <f>IF($A1303=0,"",VLOOKUP($A1303,'BASE EQUIPO'!$A:$D,4))</f>
        <v/>
      </c>
      <c r="F1303" s="59" t="str">
        <f t="shared" si="115"/>
        <v/>
      </c>
      <c r="G1303" s="107"/>
      <c r="H1303" s="60" t="str">
        <f t="shared" si="116"/>
        <v/>
      </c>
      <c r="I1303" s="2"/>
    </row>
    <row r="1304" spans="2:9" x14ac:dyDescent="0.25">
      <c r="B1304" s="57" t="s">
        <v>1692</v>
      </c>
      <c r="C1304" s="58"/>
      <c r="D1304" s="61"/>
      <c r="E1304" s="61"/>
      <c r="F1304" s="61"/>
      <c r="G1304" s="62"/>
      <c r="H1304" s="60">
        <f>ROUND(SUM(H1297:H1303),2)</f>
        <v>0</v>
      </c>
      <c r="I1304" s="2"/>
    </row>
    <row r="1305" spans="2:9" x14ac:dyDescent="0.25">
      <c r="B1305" s="38" t="s">
        <v>1503</v>
      </c>
      <c r="C1305" s="2"/>
      <c r="D1305" s="3"/>
      <c r="E1305" s="3"/>
      <c r="F1305" s="3"/>
      <c r="G1305" s="63"/>
      <c r="H1305" s="56"/>
      <c r="I1305" s="2"/>
    </row>
    <row r="1306" spans="2:9" ht="25.5" x14ac:dyDescent="0.25">
      <c r="B1306" s="64" t="s">
        <v>1691</v>
      </c>
      <c r="C1306" s="65"/>
      <c r="D1306" s="66" t="s">
        <v>1690</v>
      </c>
      <c r="E1306" s="66" t="s">
        <v>1689</v>
      </c>
      <c r="F1306" s="66" t="s">
        <v>1688</v>
      </c>
      <c r="G1306" s="67" t="s">
        <v>1687</v>
      </c>
      <c r="H1306" s="68" t="s">
        <v>1686</v>
      </c>
      <c r="I1306" s="2"/>
    </row>
    <row r="1307" spans="2:9" x14ac:dyDescent="0.25">
      <c r="B1307" s="69" t="str">
        <f>IF($A1307=0,"",VLOOKUP($A1307,'BASE M-OBRA'!$A:$D,2))</f>
        <v/>
      </c>
      <c r="C1307" s="2"/>
      <c r="D1307" s="108"/>
      <c r="E1307" s="70" t="str">
        <f>IF($A1307=0,"",VLOOKUP($A1307,'BASE M-OBRA'!$A:$D,4))</f>
        <v/>
      </c>
      <c r="F1307" s="55" t="str">
        <f t="shared" ref="F1307:F1313" si="117">IF($A1307=0,"",ROUND(D1307*E1307,2))</f>
        <v/>
      </c>
      <c r="G1307" s="106" t="str">
        <f>IF($A1307=0,"",ROUND(H1307/F1307,2))</f>
        <v/>
      </c>
      <c r="H1307" s="56" t="str">
        <f>IF($A1307=0,"",ROUND(SUM(H1308:H1313)*'BASE M-OBRA'!$D$23,2))</f>
        <v/>
      </c>
      <c r="I1307" s="2"/>
    </row>
    <row r="1308" spans="2:9" x14ac:dyDescent="0.25">
      <c r="B1308" s="69" t="str">
        <f>IF($A1308=0,"",VLOOKUP($A1308,'BASE M-OBRA'!$A:$D,2))</f>
        <v/>
      </c>
      <c r="C1308" s="2"/>
      <c r="D1308" s="108"/>
      <c r="E1308" s="70" t="str">
        <f>IF($A1308=0,"",VLOOKUP($A1308,'BASE M-OBRA'!$A:$D,4))</f>
        <v/>
      </c>
      <c r="F1308" s="55" t="str">
        <f t="shared" si="117"/>
        <v/>
      </c>
      <c r="G1308" s="106"/>
      <c r="H1308" s="56" t="str">
        <f t="shared" ref="H1308:H1313" si="118">IF($A1308=0,"",ROUND(G1308*F1308,2))</f>
        <v/>
      </c>
      <c r="I1308" s="2"/>
    </row>
    <row r="1309" spans="2:9" x14ac:dyDescent="0.25">
      <c r="B1309" s="69" t="str">
        <f>IF($A1309=0,"",VLOOKUP($A1309,'BASE M-OBRA'!$A:$D,2))</f>
        <v/>
      </c>
      <c r="C1309" s="2"/>
      <c r="D1309" s="108"/>
      <c r="E1309" s="70" t="str">
        <f>IF($A1309=0,"",VLOOKUP($A1309,'BASE M-OBRA'!$A:$D,4))</f>
        <v/>
      </c>
      <c r="F1309" s="55" t="str">
        <f t="shared" si="117"/>
        <v/>
      </c>
      <c r="G1309" s="106"/>
      <c r="H1309" s="56" t="str">
        <f t="shared" si="118"/>
        <v/>
      </c>
      <c r="I1309" s="2"/>
    </row>
    <row r="1310" spans="2:9" x14ac:dyDescent="0.25">
      <c r="B1310" s="71" t="str">
        <f>IF($A1310=0,"",VLOOKUP($A1310,'BASE M-OBRA'!$A:$D,2))</f>
        <v/>
      </c>
      <c r="C1310" s="2"/>
      <c r="D1310" s="108"/>
      <c r="E1310" s="70" t="str">
        <f>IF($A1310=0,"",VLOOKUP($A1310,'BASE M-OBRA'!$A:$D,4))</f>
        <v/>
      </c>
      <c r="F1310" s="55" t="str">
        <f t="shared" si="117"/>
        <v/>
      </c>
      <c r="G1310" s="106"/>
      <c r="H1310" s="56" t="str">
        <f t="shared" si="118"/>
        <v/>
      </c>
      <c r="I1310" s="2"/>
    </row>
    <row r="1311" spans="2:9" x14ac:dyDescent="0.25">
      <c r="B1311" s="72" t="str">
        <f>IF($A1311=0,"",VLOOKUP($A1311,'BASE M-OBRA'!$A:$D,2))</f>
        <v/>
      </c>
      <c r="C1311" s="2"/>
      <c r="D1311" s="108"/>
      <c r="E1311" s="70" t="str">
        <f>IF($A1311=0,"",VLOOKUP($A1311,'BASE M-OBRA'!$A:$D,4))</f>
        <v/>
      </c>
      <c r="F1311" s="55" t="str">
        <f t="shared" si="117"/>
        <v/>
      </c>
      <c r="G1311" s="106"/>
      <c r="H1311" s="56" t="str">
        <f t="shared" si="118"/>
        <v/>
      </c>
      <c r="I1311" s="2"/>
    </row>
    <row r="1312" spans="2:9" x14ac:dyDescent="0.25">
      <c r="B1312" s="38" t="str">
        <f>IF($A1312=0,"",VLOOKUP($A1312,'BASE M-OBRA'!$A:$D,2))</f>
        <v/>
      </c>
      <c r="C1312" s="2"/>
      <c r="D1312" s="55"/>
      <c r="E1312" s="55" t="str">
        <f>IF($A1312=0,"",VLOOKUP($A1312,'BASE M-OBRA'!$A:$D,4))</f>
        <v/>
      </c>
      <c r="F1312" s="55" t="str">
        <f t="shared" si="117"/>
        <v/>
      </c>
      <c r="G1312" s="106"/>
      <c r="H1312" s="56" t="str">
        <f t="shared" si="118"/>
        <v/>
      </c>
      <c r="I1312" s="2"/>
    </row>
    <row r="1313" spans="1:16" x14ac:dyDescent="0.25">
      <c r="B1313" s="57" t="str">
        <f>IF($A1313=0,"",VLOOKUP($A1313,'BASE M-OBRA'!$A:$D,2))</f>
        <v/>
      </c>
      <c r="C1313" s="58"/>
      <c r="D1313" s="59"/>
      <c r="E1313" s="59" t="str">
        <f>IF($A1313=0,"",VLOOKUP($A1313,'BASE M-OBRA'!$A:$D,4))</f>
        <v/>
      </c>
      <c r="F1313" s="59" t="str">
        <f t="shared" si="117"/>
        <v/>
      </c>
      <c r="G1313" s="107"/>
      <c r="H1313" s="60" t="str">
        <f t="shared" si="118"/>
        <v/>
      </c>
      <c r="I1313" s="2"/>
    </row>
    <row r="1314" spans="1:16" x14ac:dyDescent="0.25">
      <c r="B1314" s="73" t="s">
        <v>1685</v>
      </c>
      <c r="C1314" s="65"/>
      <c r="D1314" s="74"/>
      <c r="E1314" s="74"/>
      <c r="F1314" s="74"/>
      <c r="G1314" s="74"/>
      <c r="H1314" s="75">
        <f>ROUND(SUM(H1306:H1313),2)</f>
        <v>0</v>
      </c>
      <c r="I1314" s="2"/>
    </row>
    <row r="1315" spans="1:16" x14ac:dyDescent="0.25">
      <c r="B1315" s="38" t="s">
        <v>1684</v>
      </c>
      <c r="C1315" s="2"/>
      <c r="D1315" s="3"/>
      <c r="E1315" s="3"/>
      <c r="F1315" s="3"/>
      <c r="G1315" s="3"/>
      <c r="H1315" s="56"/>
      <c r="I1315" s="2"/>
    </row>
    <row r="1316" spans="1:16" ht="25.5" x14ac:dyDescent="0.25">
      <c r="B1316" s="64" t="s">
        <v>1409</v>
      </c>
      <c r="C1316" s="65"/>
      <c r="D1316" s="76"/>
      <c r="E1316" s="66" t="s">
        <v>1408</v>
      </c>
      <c r="F1316" s="66" t="s">
        <v>1679</v>
      </c>
      <c r="G1316" s="66" t="s">
        <v>1683</v>
      </c>
      <c r="H1316" s="68" t="s">
        <v>1675</v>
      </c>
      <c r="I1316" s="2"/>
    </row>
    <row r="1317" spans="1:16" x14ac:dyDescent="0.25">
      <c r="A1317" s="103">
        <v>1</v>
      </c>
      <c r="B1317" s="102" t="s">
        <v>156</v>
      </c>
      <c r="C1317" s="2"/>
      <c r="D1317" s="77"/>
      <c r="E1317" s="78" t="s">
        <v>145</v>
      </c>
      <c r="F1317" s="55">
        <v>1</v>
      </c>
      <c r="G1317" s="55">
        <v>4.45</v>
      </c>
      <c r="H1317" s="56">
        <f t="shared" ref="H1317:H1331" si="119">IF($A1317=0,"",ROUND(F1317*G1317,2))</f>
        <v>4.45</v>
      </c>
      <c r="I1317" s="2"/>
      <c r="J1317" s="1">
        <v>4.05</v>
      </c>
      <c r="L1317" s="2"/>
      <c r="M1317" s="2"/>
      <c r="N1317" s="39"/>
      <c r="O1317" s="2"/>
      <c r="P1317" s="2"/>
    </row>
    <row r="1318" spans="1:16" x14ac:dyDescent="0.25">
      <c r="B1318" s="102"/>
      <c r="C1318" s="2"/>
      <c r="D1318" s="77"/>
      <c r="E1318" s="78" t="str">
        <f>IF($A1318=0,"",VLOOKUP($A1318,'BASE MATERIAL'!$A:$D,3))</f>
        <v/>
      </c>
      <c r="F1318" s="55"/>
      <c r="G1318" s="55" t="str">
        <f>IF($A1318=0,"",VLOOKUP($A1318,'BASE MATERIAL'!$A:$D,4))</f>
        <v/>
      </c>
      <c r="H1318" s="56" t="str">
        <f t="shared" si="119"/>
        <v/>
      </c>
      <c r="I1318" s="2"/>
      <c r="L1318" s="2"/>
      <c r="M1318" s="2"/>
      <c r="N1318" s="39"/>
      <c r="O1318" s="2"/>
      <c r="P1318" s="2"/>
    </row>
    <row r="1319" spans="1:16" x14ac:dyDescent="0.25">
      <c r="B1319" s="38" t="str">
        <f>IF($A1319=0,"",VLOOKUP($A1319,'BASE MATERIAL'!$A:$D,2))</f>
        <v/>
      </c>
      <c r="C1319" s="2"/>
      <c r="D1319" s="77"/>
      <c r="E1319" s="78" t="str">
        <f>IF($A1319=0,"",VLOOKUP($A1319,'BASE MATERIAL'!$A:$D,3))</f>
        <v/>
      </c>
      <c r="F1319" s="55"/>
      <c r="G1319" s="55" t="str">
        <f>IF($A1319=0,"",VLOOKUP($A1319,'BASE MATERIAL'!$A:$D,4))</f>
        <v/>
      </c>
      <c r="H1319" s="56" t="str">
        <f t="shared" si="119"/>
        <v/>
      </c>
      <c r="I1319" s="2"/>
      <c r="L1319" s="2"/>
      <c r="M1319" s="2"/>
      <c r="N1319" s="39"/>
      <c r="O1319" s="2"/>
      <c r="P1319" s="2"/>
    </row>
    <row r="1320" spans="1:16" x14ac:dyDescent="0.25">
      <c r="B1320" s="38" t="str">
        <f>IF($A1320=0,"",VLOOKUP($A1320,'BASE MATERIAL'!$A:$D,2))</f>
        <v/>
      </c>
      <c r="C1320" s="2"/>
      <c r="D1320" s="77"/>
      <c r="E1320" s="78" t="str">
        <f>IF($A1320=0,"",VLOOKUP($A1320,'BASE MATERIAL'!$A:$D,3))</f>
        <v/>
      </c>
      <c r="F1320" s="55"/>
      <c r="G1320" s="55" t="str">
        <f>IF($A1320=0,"",VLOOKUP($A1320,'BASE MATERIAL'!$A:$D,4))</f>
        <v/>
      </c>
      <c r="H1320" s="56" t="str">
        <f t="shared" si="119"/>
        <v/>
      </c>
      <c r="I1320" s="2"/>
      <c r="L1320" s="2"/>
      <c r="M1320" s="2"/>
      <c r="N1320" s="39"/>
      <c r="O1320" s="2"/>
      <c r="P1320" s="2"/>
    </row>
    <row r="1321" spans="1:16" x14ac:dyDescent="0.25">
      <c r="B1321" s="38" t="str">
        <f>IF($A1321=0,"",VLOOKUP($A1321,'BASE MATERIAL'!$A:$D,2))</f>
        <v/>
      </c>
      <c r="C1321" s="2"/>
      <c r="D1321" s="77"/>
      <c r="E1321" s="78" t="str">
        <f>IF($A1321=0,"",VLOOKUP($A1321,'BASE MATERIAL'!$A:$D,3))</f>
        <v/>
      </c>
      <c r="F1321" s="55"/>
      <c r="G1321" s="55" t="str">
        <f>IF($A1321=0,"",VLOOKUP($A1321,'BASE MATERIAL'!$A:$D,4))</f>
        <v/>
      </c>
      <c r="H1321" s="56" t="str">
        <f t="shared" si="119"/>
        <v/>
      </c>
      <c r="I1321" s="2"/>
      <c r="L1321" s="2"/>
      <c r="M1321" s="2"/>
      <c r="N1321" s="39"/>
      <c r="O1321" s="2"/>
      <c r="P1321" s="2"/>
    </row>
    <row r="1322" spans="1:16" x14ac:dyDescent="0.25">
      <c r="B1322" s="38" t="str">
        <f>IF($A1322=0,"",VLOOKUP($A1322,'BASE MATERIAL'!$A:$D,2))</f>
        <v/>
      </c>
      <c r="C1322" s="2"/>
      <c r="D1322" s="77"/>
      <c r="E1322" s="78" t="str">
        <f>IF($A1322=0,"",VLOOKUP($A1322,'BASE MATERIAL'!$A:$D,3))</f>
        <v/>
      </c>
      <c r="F1322" s="55"/>
      <c r="G1322" s="55" t="str">
        <f>IF($A1322=0,"",VLOOKUP($A1322,'BASE MATERIAL'!$A:$D,4))</f>
        <v/>
      </c>
      <c r="H1322" s="56" t="str">
        <f t="shared" si="119"/>
        <v/>
      </c>
      <c r="I1322" s="2"/>
      <c r="L1322" s="2"/>
      <c r="M1322" s="2"/>
      <c r="N1322" s="39"/>
      <c r="O1322" s="2"/>
      <c r="P1322" s="2"/>
    </row>
    <row r="1323" spans="1:16" x14ac:dyDescent="0.25">
      <c r="B1323" s="38" t="str">
        <f>IF($A1323=0,"",VLOOKUP($A1323,'BASE MATERIAL'!$A:$D,2))</f>
        <v/>
      </c>
      <c r="C1323" s="2"/>
      <c r="D1323" s="77"/>
      <c r="E1323" s="78" t="str">
        <f>IF($A1323=0,"",VLOOKUP($A1323,'BASE MATERIAL'!$A:$D,3))</f>
        <v/>
      </c>
      <c r="F1323" s="55"/>
      <c r="G1323" s="55" t="str">
        <f>IF($A1323=0,"",VLOOKUP($A1323,'BASE MATERIAL'!$A:$D,4))</f>
        <v/>
      </c>
      <c r="H1323" s="56" t="str">
        <f t="shared" si="119"/>
        <v/>
      </c>
      <c r="I1323" s="2"/>
      <c r="L1323" s="2"/>
      <c r="M1323" s="2"/>
      <c r="N1323" s="39"/>
      <c r="O1323" s="2"/>
      <c r="P1323" s="2"/>
    </row>
    <row r="1324" spans="1:16" x14ac:dyDescent="0.25">
      <c r="B1324" s="38" t="str">
        <f>IF($A1324=0,"",VLOOKUP($A1324,'BASE MATERIAL'!$A:$D,2))</f>
        <v/>
      </c>
      <c r="C1324" s="2"/>
      <c r="D1324" s="77"/>
      <c r="E1324" s="78" t="str">
        <f>IF($A1324=0,"",VLOOKUP($A1324,'BASE MATERIAL'!$A:$D,3))</f>
        <v/>
      </c>
      <c r="F1324" s="55"/>
      <c r="G1324" s="55" t="str">
        <f>IF($A1324=0,"",VLOOKUP($A1324,'BASE MATERIAL'!$A:$D,4))</f>
        <v/>
      </c>
      <c r="H1324" s="56" t="str">
        <f t="shared" si="119"/>
        <v/>
      </c>
      <c r="I1324" s="2"/>
      <c r="L1324" s="2"/>
      <c r="M1324" s="2"/>
      <c r="N1324" s="39"/>
      <c r="O1324" s="2"/>
      <c r="P1324" s="2"/>
    </row>
    <row r="1325" spans="1:16" x14ac:dyDescent="0.25">
      <c r="B1325" s="38" t="str">
        <f>IF($A1325=0,"",VLOOKUP($A1325,'BASE MATERIAL'!$A:$D,2))</f>
        <v/>
      </c>
      <c r="C1325" s="2"/>
      <c r="D1325" s="77"/>
      <c r="E1325" s="78" t="str">
        <f>IF($A1325=0,"",VLOOKUP($A1325,'BASE MATERIAL'!$A:$D,3))</f>
        <v/>
      </c>
      <c r="F1325" s="55"/>
      <c r="G1325" s="55" t="str">
        <f>IF($A1325=0,"",VLOOKUP($A1325,'BASE MATERIAL'!$A:$D,4))</f>
        <v/>
      </c>
      <c r="H1325" s="56" t="str">
        <f t="shared" si="119"/>
        <v/>
      </c>
      <c r="I1325" s="2"/>
    </row>
    <row r="1326" spans="1:16" x14ac:dyDescent="0.25">
      <c r="B1326" s="38" t="str">
        <f>IF($A1326=0,"",VLOOKUP($A1326,'BASE MATERIAL'!$A:$D,2))</f>
        <v/>
      </c>
      <c r="C1326" s="2"/>
      <c r="D1326" s="77"/>
      <c r="E1326" s="78" t="str">
        <f>IF($A1326=0,"",VLOOKUP($A1326,'BASE MATERIAL'!$A:$D,3))</f>
        <v/>
      </c>
      <c r="F1326" s="55"/>
      <c r="G1326" s="55" t="str">
        <f>IF($A1326=0,"",VLOOKUP($A1326,'BASE MATERIAL'!$A:$D,4))</f>
        <v/>
      </c>
      <c r="H1326" s="56" t="str">
        <f t="shared" si="119"/>
        <v/>
      </c>
      <c r="I1326" s="2"/>
      <c r="L1326" s="2"/>
      <c r="M1326" s="2"/>
      <c r="N1326" s="39"/>
      <c r="O1326" s="2"/>
      <c r="P1326" s="2"/>
    </row>
    <row r="1327" spans="1:16" x14ac:dyDescent="0.25">
      <c r="B1327" s="38" t="str">
        <f>IF($A1327=0,"",VLOOKUP($A1327,'BASE MATERIAL'!$A:$D,2))</f>
        <v/>
      </c>
      <c r="C1327" s="2"/>
      <c r="D1327" s="77"/>
      <c r="E1327" s="78" t="str">
        <f>IF($A1327=0,"",VLOOKUP($A1327,'BASE MATERIAL'!$A:$D,3))</f>
        <v/>
      </c>
      <c r="F1327" s="55"/>
      <c r="G1327" s="55" t="str">
        <f>IF($A1327=0,"",VLOOKUP($A1327,'BASE MATERIAL'!$A:$D,4))</f>
        <v/>
      </c>
      <c r="H1327" s="56" t="str">
        <f t="shared" si="119"/>
        <v/>
      </c>
      <c r="I1327" s="2"/>
      <c r="L1327" s="2"/>
      <c r="M1327" s="2"/>
      <c r="N1327" s="39"/>
      <c r="O1327" s="2"/>
      <c r="P1327" s="2"/>
    </row>
    <row r="1328" spans="1:16" x14ac:dyDescent="0.25">
      <c r="B1328" s="38" t="str">
        <f>IF($A1328=0,"",VLOOKUP($A1328,'BASE MATERIAL'!$A:$D,2))</f>
        <v/>
      </c>
      <c r="C1328" s="2"/>
      <c r="D1328" s="77"/>
      <c r="E1328" s="78" t="str">
        <f>IF($A1328=0,"",VLOOKUP($A1328,'BASE MATERIAL'!$A:$D,3))</f>
        <v/>
      </c>
      <c r="F1328" s="55"/>
      <c r="G1328" s="55" t="str">
        <f>IF($A1328=0,"",VLOOKUP($A1328,'BASE MATERIAL'!$A:$D,4))</f>
        <v/>
      </c>
      <c r="H1328" s="56" t="str">
        <f t="shared" si="119"/>
        <v/>
      </c>
      <c r="I1328" s="2"/>
    </row>
    <row r="1329" spans="1:9" x14ac:dyDescent="0.25">
      <c r="B1329" s="38" t="str">
        <f>IF($A1329=0,"",VLOOKUP($A1329,'BASE MATERIAL'!$A:$D,2))</f>
        <v/>
      </c>
      <c r="C1329" s="2"/>
      <c r="D1329" s="77"/>
      <c r="E1329" s="78" t="str">
        <f>IF($A1329=0,"",VLOOKUP($A1329,'BASE MATERIAL'!$A:$D,3))</f>
        <v/>
      </c>
      <c r="F1329" s="55"/>
      <c r="G1329" s="55" t="str">
        <f>IF($A1329=0,"",VLOOKUP($A1329,'BASE MATERIAL'!$A:$D,4))</f>
        <v/>
      </c>
      <c r="H1329" s="56" t="str">
        <f t="shared" si="119"/>
        <v/>
      </c>
      <c r="I1329" s="2"/>
    </row>
    <row r="1330" spans="1:9" x14ac:dyDescent="0.25">
      <c r="B1330" s="38" t="str">
        <f>IF($A1330=0,"",VLOOKUP($A1330,'BASE MATERIAL'!$A:$D,2))</f>
        <v/>
      </c>
      <c r="C1330" s="2"/>
      <c r="D1330" s="77"/>
      <c r="E1330" s="78" t="str">
        <f>IF($A1330=0,"",VLOOKUP($A1330,'BASE MATERIAL'!$A:$D,3))</f>
        <v/>
      </c>
      <c r="F1330" s="55"/>
      <c r="G1330" s="55" t="str">
        <f>IF($A1330=0,"",VLOOKUP($A1330,'BASE MATERIAL'!$A:$D,4))</f>
        <v/>
      </c>
      <c r="H1330" s="56" t="str">
        <f t="shared" si="119"/>
        <v/>
      </c>
      <c r="I1330" s="2"/>
    </row>
    <row r="1331" spans="1:9" x14ac:dyDescent="0.25">
      <c r="B1331" s="38" t="str">
        <f>IF($A1331=0,"",VLOOKUP($A1331,'BASE MATERIAL'!$A:$D,2))</f>
        <v/>
      </c>
      <c r="C1331" s="2"/>
      <c r="D1331" s="77"/>
      <c r="E1331" s="78" t="str">
        <f>IF($A1331=0,"",VLOOKUP($A1331,'BASE MATERIAL'!$A:$D,3))</f>
        <v/>
      </c>
      <c r="F1331" s="55"/>
      <c r="G1331" s="55" t="str">
        <f>IF($A1331=0,"",VLOOKUP($A1331,'BASE MATERIAL'!$A:$D,4))</f>
        <v/>
      </c>
      <c r="H1331" s="56" t="str">
        <f t="shared" si="119"/>
        <v/>
      </c>
      <c r="I1331" s="2"/>
    </row>
    <row r="1332" spans="1:9" x14ac:dyDescent="0.25">
      <c r="B1332" s="38" t="str">
        <f>IF($A1332=0,"",VLOOKUP($A1332,'BASE MATERIAL'!$A:$D,2))</f>
        <v/>
      </c>
      <c r="C1332" s="2"/>
      <c r="D1332" s="81" t="s">
        <v>1682</v>
      </c>
      <c r="E1332" s="55" t="str">
        <f>IF($A1332=0,"",VLOOKUP($A1332,'BASE MATERIAL'!$A:$D,3))</f>
        <v/>
      </c>
      <c r="F1332" s="55" t="s">
        <v>1682</v>
      </c>
      <c r="G1332" s="55" t="str">
        <f>IF($A1332=0,"",VLOOKUP($A1332,'BASE MATERIAL'!$A:$D,4))</f>
        <v/>
      </c>
      <c r="H1332" s="56" t="str">
        <f>IF($A1332=0,"",ROUND(E1332*F1332,2))</f>
        <v/>
      </c>
      <c r="I1332" s="2"/>
    </row>
    <row r="1333" spans="1:9" x14ac:dyDescent="0.25">
      <c r="B1333" s="73" t="s">
        <v>1681</v>
      </c>
      <c r="C1333" s="65"/>
      <c r="D1333" s="74"/>
      <c r="E1333" s="74"/>
      <c r="F1333" s="74"/>
      <c r="G1333" s="74"/>
      <c r="H1333" s="75">
        <f>ROUND(SUM(H1316:H1332),2)</f>
        <v>4.45</v>
      </c>
      <c r="I1333" s="2"/>
    </row>
    <row r="1334" spans="1:9" x14ac:dyDescent="0.25">
      <c r="B1334" s="38" t="s">
        <v>1680</v>
      </c>
      <c r="C1334" s="2"/>
      <c r="D1334" s="3"/>
      <c r="E1334" s="3"/>
      <c r="F1334" s="3"/>
      <c r="G1334" s="3"/>
      <c r="H1334" s="56"/>
      <c r="I1334" s="2"/>
    </row>
    <row r="1335" spans="1:9" ht="25.5" x14ac:dyDescent="0.25">
      <c r="B1335" s="64" t="s">
        <v>1409</v>
      </c>
      <c r="C1335" s="65"/>
      <c r="D1335" s="76"/>
      <c r="E1335" s="66" t="s">
        <v>1408</v>
      </c>
      <c r="F1335" s="66" t="s">
        <v>1679</v>
      </c>
      <c r="G1335" s="66" t="s">
        <v>1676</v>
      </c>
      <c r="H1335" s="68" t="s">
        <v>1675</v>
      </c>
      <c r="I1335" s="2"/>
    </row>
    <row r="1336" spans="1:9" x14ac:dyDescent="0.25">
      <c r="A1336" s="103">
        <v>19019</v>
      </c>
      <c r="B1336" s="51" t="str">
        <f>IF($A1336=0,"",VLOOKUP($A1336,'BASE EQUIPO'!$A:$D,2))</f>
        <v>TRANSPORTE DE MATERIAL</v>
      </c>
      <c r="C1336" s="52"/>
      <c r="D1336" s="82"/>
      <c r="E1336" s="78" t="str">
        <f>IF($A1336=0,"",VLOOKUP($A1336,'BASE EQUIPO'!$A:$D,3))</f>
        <v>GLOBAL</v>
      </c>
      <c r="F1336" s="55">
        <v>1</v>
      </c>
      <c r="G1336" s="83">
        <f>IF($A1336=0,"",VLOOKUP($A1336,'BASE EQUIPO'!$A:$D,4)*H1333)</f>
        <v>0.13350000000000001</v>
      </c>
      <c r="H1336" s="56">
        <f>IF($A1336=0,"",ROUND(F1336*G1336,2))</f>
        <v>0.13</v>
      </c>
      <c r="I1336" s="2"/>
    </row>
    <row r="1337" spans="1:9" x14ac:dyDescent="0.25">
      <c r="B1337" s="38" t="str">
        <f>IF($A1337=0,"",VLOOKUP($A1337,'BASE EQUIPO'!$A:$D,2))</f>
        <v/>
      </c>
      <c r="C1337" s="2"/>
      <c r="D1337" s="84"/>
      <c r="E1337" s="78" t="str">
        <f>IF($A1337=0,"",VLOOKUP($A1337,'BASE EQUIPO'!$A:$D,3))</f>
        <v/>
      </c>
      <c r="F1337" s="55"/>
      <c r="G1337" s="55" t="str">
        <f>IF($A1337=0,"",VLOOKUP($A1337,'BASE EQUIPO'!$A:$D,4)*H1334)</f>
        <v/>
      </c>
      <c r="H1337" s="56" t="str">
        <f>IF($A1337=0,"",ROUND(F1337*G1337,2))</f>
        <v/>
      </c>
      <c r="I1337" s="2"/>
    </row>
    <row r="1338" spans="1:9" x14ac:dyDescent="0.25">
      <c r="B1338" s="57" t="str">
        <f>IF($A1338=0,"",VLOOKUP($A1338,'BASE EQUIPO'!$A:$D,2))</f>
        <v/>
      </c>
      <c r="C1338" s="58"/>
      <c r="D1338" s="85"/>
      <c r="E1338" s="86" t="str">
        <f>IF($A1338=0,"",VLOOKUP($A1338,'BASE EQUIPO'!$A:$D,3))</f>
        <v/>
      </c>
      <c r="F1338" s="59"/>
      <c r="G1338" s="59" t="str">
        <f>IF($A1338=0,"",VLOOKUP($A1338,'BASE EQUIPO'!$A:$D,4)*H1335)</f>
        <v/>
      </c>
      <c r="H1338" s="60" t="str">
        <f>IF($A1338=0,"",ROUND(F1338*G1338,2))</f>
        <v/>
      </c>
      <c r="I1338" s="2"/>
    </row>
    <row r="1339" spans="1:9" ht="15.75" thickBot="1" x14ac:dyDescent="0.3">
      <c r="B1339" s="87" t="s">
        <v>1674</v>
      </c>
      <c r="C1339" s="88"/>
      <c r="D1339" s="89"/>
      <c r="E1339" s="89"/>
      <c r="F1339" s="89"/>
      <c r="G1339" s="89"/>
      <c r="H1339" s="90">
        <f>ROUND(SUM(H1335:H1338),2)</f>
        <v>0.13</v>
      </c>
      <c r="I1339" s="2"/>
    </row>
    <row r="1340" spans="1:9" ht="15.75" x14ac:dyDescent="0.25">
      <c r="B1340" s="2"/>
      <c r="C1340" s="2"/>
      <c r="D1340" s="91" t="s">
        <v>1673</v>
      </c>
      <c r="E1340" s="47"/>
      <c r="F1340" s="47"/>
      <c r="G1340" s="47"/>
      <c r="H1340" s="92">
        <f>ROUND(SUM(H1339,H1333,H1314,H1304),2)</f>
        <v>4.58</v>
      </c>
      <c r="I1340" s="2"/>
    </row>
    <row r="1341" spans="1:9" ht="15.75" x14ac:dyDescent="0.25">
      <c r="A1341" s="103">
        <v>40002</v>
      </c>
      <c r="B1341" s="2"/>
      <c r="C1341" s="2"/>
      <c r="D1341" s="93" t="s">
        <v>1672</v>
      </c>
      <c r="E1341" s="65"/>
      <c r="F1341" s="65"/>
      <c r="G1341" s="94">
        <f>IF($A1341=0,"",VLOOKUP($A1341,'BASE MATERIAL'!$M:$P,4))</f>
        <v>0</v>
      </c>
      <c r="H1341" s="95">
        <f>IF($A1341=0,"",ROUND(G1341*H1340,2))</f>
        <v>0</v>
      </c>
      <c r="I1341" s="2"/>
    </row>
    <row r="1342" spans="1:9" ht="15.75" x14ac:dyDescent="0.25">
      <c r="A1342" s="103">
        <v>40003</v>
      </c>
      <c r="B1342" s="2"/>
      <c r="C1342" s="2"/>
      <c r="D1342" s="93" t="s">
        <v>1671</v>
      </c>
      <c r="E1342" s="65"/>
      <c r="F1342" s="65"/>
      <c r="G1342" s="94">
        <f>IF($A1342=0,"",VLOOKUP($A1342,'BASE MATERIAL'!$M:$P,4))</f>
        <v>0</v>
      </c>
      <c r="H1342" s="95">
        <f>IF($A1342=0,"",ROUND(G1342*H1340,2))</f>
        <v>0</v>
      </c>
      <c r="I1342" s="2"/>
    </row>
    <row r="1343" spans="1:9" ht="15.75" x14ac:dyDescent="0.25">
      <c r="B1343" s="2"/>
      <c r="C1343" s="2"/>
      <c r="D1343" s="93" t="s">
        <v>1670</v>
      </c>
      <c r="E1343" s="65"/>
      <c r="F1343" s="65"/>
      <c r="G1343" s="65"/>
      <c r="H1343" s="96">
        <f>ROUND(SUM(H1340:H1342),2)</f>
        <v>4.58</v>
      </c>
      <c r="I1343" s="2"/>
    </row>
    <row r="1344" spans="1:9" ht="16.5" thickBot="1" x14ac:dyDescent="0.3">
      <c r="B1344" s="25"/>
      <c r="C1344" s="2"/>
      <c r="D1344" s="97" t="s">
        <v>1650</v>
      </c>
      <c r="E1344" s="88"/>
      <c r="F1344" s="88"/>
      <c r="G1344" s="88"/>
      <c r="H1344" s="98">
        <f>ROUND(H1343,2)</f>
        <v>4.58</v>
      </c>
      <c r="I1344" s="2"/>
    </row>
    <row r="1345" spans="1:15" ht="15.75" x14ac:dyDescent="0.25">
      <c r="B1345" s="34" t="s">
        <v>1701</v>
      </c>
      <c r="C1345" s="2"/>
      <c r="D1345" s="3" t="str">
        <f>$D$1</f>
        <v>ESPOL</v>
      </c>
      <c r="E1345" s="2"/>
      <c r="F1345" s="2"/>
      <c r="H1345" s="2" t="s">
        <v>108</v>
      </c>
      <c r="I1345" s="2"/>
      <c r="L1345" s="40">
        <f>A1349</f>
        <v>2</v>
      </c>
      <c r="M1345" s="1" t="str">
        <f>C1350</f>
        <v>Timer</v>
      </c>
      <c r="N1345" s="2" t="str">
        <f>H1349</f>
        <v>unidad</v>
      </c>
      <c r="O1345" s="2">
        <f>H1400</f>
        <v>10.51</v>
      </c>
    </row>
    <row r="1346" spans="1:15" ht="15.75" x14ac:dyDescent="0.25">
      <c r="B1346" s="34" t="s">
        <v>1700</v>
      </c>
      <c r="C1346" s="3">
        <f>'1.1'!$C$2</f>
        <v>0</v>
      </c>
      <c r="D1346" s="2"/>
      <c r="E1346" s="2"/>
      <c r="F1346" s="2"/>
      <c r="G1346" s="41" t="s">
        <v>1699</v>
      </c>
      <c r="H1346" s="42"/>
      <c r="I1346" s="2" t="s">
        <v>1698</v>
      </c>
    </row>
    <row r="1347" spans="1:15" ht="15.75" x14ac:dyDescent="0.25">
      <c r="B1347" s="34"/>
      <c r="C1347" s="3">
        <f>'1.1'!$C$3</f>
        <v>0</v>
      </c>
      <c r="D1347" s="2"/>
      <c r="E1347" s="2"/>
      <c r="F1347" s="2"/>
      <c r="G1347" s="2"/>
      <c r="H1347" s="2"/>
      <c r="I1347" s="2"/>
    </row>
    <row r="1348" spans="1:15" ht="15.75" x14ac:dyDescent="0.25">
      <c r="B1348" s="34" t="s">
        <v>1697</v>
      </c>
      <c r="C1348" s="3"/>
      <c r="D1348" s="2"/>
      <c r="E1348" s="2"/>
      <c r="F1348" s="2"/>
      <c r="G1348" s="2"/>
      <c r="H1348" s="2"/>
      <c r="I1348" s="2"/>
    </row>
    <row r="1349" spans="1:15" x14ac:dyDescent="0.25">
      <c r="A1349" s="104">
        <v>2</v>
      </c>
      <c r="B1349" s="2" t="s">
        <v>1586</v>
      </c>
      <c r="C1349" s="101" t="s">
        <v>175</v>
      </c>
      <c r="D1349" s="2"/>
      <c r="G1349" s="2" t="s">
        <v>1696</v>
      </c>
      <c r="H1349" s="3" t="s">
        <v>126</v>
      </c>
      <c r="I1349" s="2"/>
    </row>
    <row r="1350" spans="1:15" x14ac:dyDescent="0.25">
      <c r="B1350" s="1" t="s">
        <v>1585</v>
      </c>
      <c r="C1350" s="36" t="s">
        <v>157</v>
      </c>
      <c r="D1350" s="2"/>
      <c r="E1350" s="2"/>
      <c r="F1350" s="2"/>
      <c r="G1350" s="2"/>
      <c r="H1350" s="2"/>
      <c r="I1350" s="2"/>
    </row>
    <row r="1351" spans="1:15" ht="15.75" thickBot="1" x14ac:dyDescent="0.3">
      <c r="D1351" s="2"/>
      <c r="E1351" s="2"/>
      <c r="F1351" s="2"/>
      <c r="G1351" s="2"/>
      <c r="H1351" s="2"/>
      <c r="I1351" s="2"/>
    </row>
    <row r="1352" spans="1:15" ht="15.75" thickBot="1" x14ac:dyDescent="0.3">
      <c r="B1352" s="43" t="s">
        <v>1695</v>
      </c>
      <c r="C1352" s="44"/>
      <c r="D1352" s="44"/>
      <c r="E1352" s="44"/>
      <c r="F1352" s="44"/>
      <c r="G1352" s="44"/>
      <c r="H1352" s="45"/>
      <c r="I1352" s="2"/>
    </row>
    <row r="1353" spans="1:15" ht="25.5" x14ac:dyDescent="0.25">
      <c r="B1353" s="46" t="s">
        <v>1409</v>
      </c>
      <c r="C1353" s="47"/>
      <c r="D1353" s="48" t="s">
        <v>1690</v>
      </c>
      <c r="E1353" s="48" t="s">
        <v>1694</v>
      </c>
      <c r="F1353" s="48" t="s">
        <v>1693</v>
      </c>
      <c r="G1353" s="49" t="s">
        <v>1687</v>
      </c>
      <c r="H1353" s="50" t="s">
        <v>1686</v>
      </c>
      <c r="I1353" s="2"/>
    </row>
    <row r="1354" spans="1:15" x14ac:dyDescent="0.25">
      <c r="B1354" s="51" t="str">
        <f>IF($A1354=0,"",VLOOKUP($A1354,'BASE EQUIPO'!$A:$D,2))</f>
        <v/>
      </c>
      <c r="C1354" s="52"/>
      <c r="D1354" s="53"/>
      <c r="E1354" s="53" t="str">
        <f>IF($A1354=0,"",VLOOKUP($A1354,'BASE EQUIPO'!$A:$D,4)*H1370)</f>
        <v/>
      </c>
      <c r="F1354" s="53" t="str">
        <f t="shared" ref="F1354:F1359" si="120">IF($A1354=0,"",ROUND(D1354*E1354,2))</f>
        <v/>
      </c>
      <c r="G1354" s="105"/>
      <c r="H1354" s="54" t="str">
        <f t="shared" ref="H1354:H1359" si="121">IF($A1354=0,"",ROUND(G1354*F1354,2))</f>
        <v/>
      </c>
      <c r="I1354" s="2"/>
    </row>
    <row r="1355" spans="1:15" x14ac:dyDescent="0.25">
      <c r="B1355" s="38" t="str">
        <f>IF($A1355=0,"",VLOOKUP($A1355,'BASE EQUIPO'!$A:$D,2))</f>
        <v/>
      </c>
      <c r="C1355" s="2"/>
      <c r="D1355" s="55"/>
      <c r="E1355" s="55" t="str">
        <f>IF($A1355=0,"",VLOOKUP($A1355,'BASE EQUIPO'!$A:$D,4))</f>
        <v/>
      </c>
      <c r="F1355" s="55" t="str">
        <f t="shared" si="120"/>
        <v/>
      </c>
      <c r="G1355" s="106"/>
      <c r="H1355" s="56" t="str">
        <f t="shared" si="121"/>
        <v/>
      </c>
      <c r="I1355" s="2"/>
    </row>
    <row r="1356" spans="1:15" x14ac:dyDescent="0.25">
      <c r="B1356" s="38" t="str">
        <f>IF($A1356=0,"",VLOOKUP($A1356,'BASE EQUIPO'!$A:$D,2))</f>
        <v/>
      </c>
      <c r="C1356" s="2"/>
      <c r="D1356" s="55"/>
      <c r="E1356" s="55" t="str">
        <f>IF($A1356=0,"",VLOOKUP($A1356,'BASE EQUIPO'!$A:$D,4))</f>
        <v/>
      </c>
      <c r="F1356" s="55" t="str">
        <f t="shared" si="120"/>
        <v/>
      </c>
      <c r="G1356" s="106"/>
      <c r="H1356" s="56" t="str">
        <f t="shared" si="121"/>
        <v/>
      </c>
      <c r="I1356" s="2"/>
    </row>
    <row r="1357" spans="1:15" x14ac:dyDescent="0.25">
      <c r="B1357" s="38" t="str">
        <f>IF($A1357=0,"",VLOOKUP($A1357,'BASE EQUIPO'!$A:$D,2))</f>
        <v/>
      </c>
      <c r="C1357" s="2"/>
      <c r="D1357" s="55"/>
      <c r="E1357" s="55" t="str">
        <f>IF($A1357=0,"",VLOOKUP($A1357,'BASE EQUIPO'!$A:$D,4))</f>
        <v/>
      </c>
      <c r="F1357" s="55" t="str">
        <f t="shared" si="120"/>
        <v/>
      </c>
      <c r="G1357" s="106"/>
      <c r="H1357" s="56" t="str">
        <f t="shared" si="121"/>
        <v/>
      </c>
      <c r="I1357" s="2"/>
    </row>
    <row r="1358" spans="1:15" x14ac:dyDescent="0.25">
      <c r="B1358" s="38" t="str">
        <f>IF($A1358=0,"",VLOOKUP($A1358,'BASE EQUIPO'!$A:$D,2))</f>
        <v/>
      </c>
      <c r="C1358" s="2"/>
      <c r="D1358" s="55"/>
      <c r="E1358" s="55" t="str">
        <f>IF($A1358=0,"",VLOOKUP($A1358,'BASE EQUIPO'!$A:$D,4))</f>
        <v/>
      </c>
      <c r="F1358" s="55" t="str">
        <f t="shared" si="120"/>
        <v/>
      </c>
      <c r="G1358" s="106"/>
      <c r="H1358" s="56" t="str">
        <f t="shared" si="121"/>
        <v/>
      </c>
      <c r="I1358" s="2"/>
    </row>
    <row r="1359" spans="1:15" x14ac:dyDescent="0.25">
      <c r="B1359" s="57" t="str">
        <f>IF($A1359=0,"",VLOOKUP($A1359,'BASE EQUIPO'!$A:$D,2))</f>
        <v/>
      </c>
      <c r="C1359" s="58"/>
      <c r="D1359" s="59"/>
      <c r="E1359" s="59" t="str">
        <f>IF($A1359=0,"",VLOOKUP($A1359,'BASE EQUIPO'!$A:$D,4))</f>
        <v/>
      </c>
      <c r="F1359" s="59" t="str">
        <f t="shared" si="120"/>
        <v/>
      </c>
      <c r="G1359" s="107"/>
      <c r="H1359" s="60" t="str">
        <f t="shared" si="121"/>
        <v/>
      </c>
      <c r="I1359" s="2"/>
    </row>
    <row r="1360" spans="1:15" x14ac:dyDescent="0.25">
      <c r="B1360" s="57" t="s">
        <v>1692</v>
      </c>
      <c r="C1360" s="58"/>
      <c r="D1360" s="61"/>
      <c r="E1360" s="61"/>
      <c r="F1360" s="61"/>
      <c r="G1360" s="62"/>
      <c r="H1360" s="60">
        <f>ROUND(SUM(H1353:H1359),2)</f>
        <v>0</v>
      </c>
      <c r="I1360" s="2"/>
    </row>
    <row r="1361" spans="1:16" x14ac:dyDescent="0.25">
      <c r="B1361" s="38" t="s">
        <v>1503</v>
      </c>
      <c r="C1361" s="2"/>
      <c r="D1361" s="3"/>
      <c r="E1361" s="3"/>
      <c r="F1361" s="3"/>
      <c r="G1361" s="63"/>
      <c r="H1361" s="56"/>
      <c r="I1361" s="2"/>
    </row>
    <row r="1362" spans="1:16" ht="25.5" x14ac:dyDescent="0.25">
      <c r="B1362" s="64" t="s">
        <v>1691</v>
      </c>
      <c r="C1362" s="65"/>
      <c r="D1362" s="66" t="s">
        <v>1690</v>
      </c>
      <c r="E1362" s="66" t="s">
        <v>1689</v>
      </c>
      <c r="F1362" s="66" t="s">
        <v>1688</v>
      </c>
      <c r="G1362" s="67" t="s">
        <v>1687</v>
      </c>
      <c r="H1362" s="68" t="s">
        <v>1686</v>
      </c>
      <c r="I1362" s="2"/>
    </row>
    <row r="1363" spans="1:16" x14ac:dyDescent="0.25">
      <c r="B1363" s="69" t="str">
        <f>IF($A1363=0,"",VLOOKUP($A1363,'BASE M-OBRA'!$A:$D,2))</f>
        <v/>
      </c>
      <c r="C1363" s="2"/>
      <c r="D1363" s="108"/>
      <c r="E1363" s="70" t="str">
        <f>IF($A1363=0,"",VLOOKUP($A1363,'BASE M-OBRA'!$A:$D,4))</f>
        <v/>
      </c>
      <c r="F1363" s="55" t="str">
        <f t="shared" ref="F1363:F1369" si="122">IF($A1363=0,"",ROUND(D1363*E1363,2))</f>
        <v/>
      </c>
      <c r="G1363" s="106" t="str">
        <f>IF($A1363=0,"",ROUND(H1363/F1363,2))</f>
        <v/>
      </c>
      <c r="H1363" s="56" t="str">
        <f>IF($A1363=0,"",ROUND(SUM(H1364:H1369)*'BASE M-OBRA'!$D$23,2))</f>
        <v/>
      </c>
      <c r="I1363" s="2"/>
    </row>
    <row r="1364" spans="1:16" x14ac:dyDescent="0.25">
      <c r="B1364" s="69" t="str">
        <f>IF($A1364=0,"",VLOOKUP($A1364,'BASE M-OBRA'!$A:$D,2))</f>
        <v/>
      </c>
      <c r="C1364" s="2"/>
      <c r="D1364" s="108"/>
      <c r="E1364" s="70" t="str">
        <f>IF($A1364=0,"",VLOOKUP($A1364,'BASE M-OBRA'!$A:$D,4))</f>
        <v/>
      </c>
      <c r="F1364" s="55" t="str">
        <f t="shared" si="122"/>
        <v/>
      </c>
      <c r="G1364" s="106"/>
      <c r="H1364" s="56" t="str">
        <f t="shared" ref="H1364:H1369" si="123">IF($A1364=0,"",ROUND(G1364*F1364,2))</f>
        <v/>
      </c>
      <c r="I1364" s="2"/>
    </row>
    <row r="1365" spans="1:16" x14ac:dyDescent="0.25">
      <c r="B1365" s="69" t="str">
        <f>IF($A1365=0,"",VLOOKUP($A1365,'BASE M-OBRA'!$A:$D,2))</f>
        <v/>
      </c>
      <c r="C1365" s="2"/>
      <c r="D1365" s="108"/>
      <c r="E1365" s="70" t="str">
        <f>IF($A1365=0,"",VLOOKUP($A1365,'BASE M-OBRA'!$A:$D,4))</f>
        <v/>
      </c>
      <c r="F1365" s="55" t="str">
        <f t="shared" si="122"/>
        <v/>
      </c>
      <c r="G1365" s="106"/>
      <c r="H1365" s="56" t="str">
        <f t="shared" si="123"/>
        <v/>
      </c>
      <c r="I1365" s="2"/>
    </row>
    <row r="1366" spans="1:16" x14ac:dyDescent="0.25">
      <c r="B1366" s="71" t="str">
        <f>IF($A1366=0,"",VLOOKUP($A1366,'BASE M-OBRA'!$A:$D,2))</f>
        <v/>
      </c>
      <c r="C1366" s="2"/>
      <c r="D1366" s="108"/>
      <c r="E1366" s="70" t="str">
        <f>IF($A1366=0,"",VLOOKUP($A1366,'BASE M-OBRA'!$A:$D,4))</f>
        <v/>
      </c>
      <c r="F1366" s="55" t="str">
        <f t="shared" si="122"/>
        <v/>
      </c>
      <c r="G1366" s="106"/>
      <c r="H1366" s="56" t="str">
        <f t="shared" si="123"/>
        <v/>
      </c>
      <c r="I1366" s="2"/>
    </row>
    <row r="1367" spans="1:16" x14ac:dyDescent="0.25">
      <c r="B1367" s="72" t="str">
        <f>IF($A1367=0,"",VLOOKUP($A1367,'BASE M-OBRA'!$A:$D,2))</f>
        <v/>
      </c>
      <c r="C1367" s="2"/>
      <c r="D1367" s="108"/>
      <c r="E1367" s="70" t="str">
        <f>IF($A1367=0,"",VLOOKUP($A1367,'BASE M-OBRA'!$A:$D,4))</f>
        <v/>
      </c>
      <c r="F1367" s="55" t="str">
        <f t="shared" si="122"/>
        <v/>
      </c>
      <c r="G1367" s="106"/>
      <c r="H1367" s="56" t="str">
        <f t="shared" si="123"/>
        <v/>
      </c>
      <c r="I1367" s="2"/>
    </row>
    <row r="1368" spans="1:16" x14ac:dyDescent="0.25">
      <c r="B1368" s="38" t="str">
        <f>IF($A1368=0,"",VLOOKUP($A1368,'BASE M-OBRA'!$A:$D,2))</f>
        <v/>
      </c>
      <c r="C1368" s="2"/>
      <c r="D1368" s="55"/>
      <c r="E1368" s="55" t="str">
        <f>IF($A1368=0,"",VLOOKUP($A1368,'BASE M-OBRA'!$A:$D,4))</f>
        <v/>
      </c>
      <c r="F1368" s="55" t="str">
        <f t="shared" si="122"/>
        <v/>
      </c>
      <c r="G1368" s="106"/>
      <c r="H1368" s="56" t="str">
        <f t="shared" si="123"/>
        <v/>
      </c>
      <c r="I1368" s="2"/>
    </row>
    <row r="1369" spans="1:16" x14ac:dyDescent="0.25">
      <c r="B1369" s="57" t="str">
        <f>IF($A1369=0,"",VLOOKUP($A1369,'BASE M-OBRA'!$A:$D,2))</f>
        <v/>
      </c>
      <c r="C1369" s="58"/>
      <c r="D1369" s="59"/>
      <c r="E1369" s="59" t="str">
        <f>IF($A1369=0,"",VLOOKUP($A1369,'BASE M-OBRA'!$A:$D,4))</f>
        <v/>
      </c>
      <c r="F1369" s="59" t="str">
        <f t="shared" si="122"/>
        <v/>
      </c>
      <c r="G1369" s="107"/>
      <c r="H1369" s="60" t="str">
        <f t="shared" si="123"/>
        <v/>
      </c>
      <c r="I1369" s="2"/>
    </row>
    <row r="1370" spans="1:16" x14ac:dyDescent="0.25">
      <c r="B1370" s="73" t="s">
        <v>1685</v>
      </c>
      <c r="C1370" s="65"/>
      <c r="D1370" s="74"/>
      <c r="E1370" s="74"/>
      <c r="F1370" s="74"/>
      <c r="G1370" s="74"/>
      <c r="H1370" s="75">
        <f>ROUND(SUM(H1362:H1369),2)</f>
        <v>0</v>
      </c>
      <c r="I1370" s="2"/>
    </row>
    <row r="1371" spans="1:16" x14ac:dyDescent="0.25">
      <c r="B1371" s="38" t="s">
        <v>1684</v>
      </c>
      <c r="C1371" s="2"/>
      <c r="D1371" s="3"/>
      <c r="E1371" s="3"/>
      <c r="F1371" s="3"/>
      <c r="G1371" s="3"/>
      <c r="H1371" s="56"/>
      <c r="I1371" s="2"/>
    </row>
    <row r="1372" spans="1:16" ht="25.5" x14ac:dyDescent="0.25">
      <c r="B1372" s="64" t="s">
        <v>1409</v>
      </c>
      <c r="C1372" s="65"/>
      <c r="D1372" s="76"/>
      <c r="E1372" s="66" t="s">
        <v>1408</v>
      </c>
      <c r="F1372" s="66" t="s">
        <v>1679</v>
      </c>
      <c r="G1372" s="66" t="s">
        <v>1683</v>
      </c>
      <c r="H1372" s="68" t="s">
        <v>1675</v>
      </c>
      <c r="I1372" s="2"/>
    </row>
    <row r="1373" spans="1:16" x14ac:dyDescent="0.25">
      <c r="A1373" s="103">
        <v>1</v>
      </c>
      <c r="B1373" s="102" t="s">
        <v>157</v>
      </c>
      <c r="C1373" s="2"/>
      <c r="D1373" s="77"/>
      <c r="E1373" s="78" t="s">
        <v>126</v>
      </c>
      <c r="F1373" s="55">
        <v>1</v>
      </c>
      <c r="G1373" s="55">
        <v>10.199999999999999</v>
      </c>
      <c r="H1373" s="56">
        <f t="shared" ref="H1373:H1387" si="124">IF($A1373=0,"",ROUND(F1373*G1373,2))</f>
        <v>10.199999999999999</v>
      </c>
      <c r="I1373" s="2"/>
      <c r="J1373" s="1">
        <v>2.98</v>
      </c>
      <c r="L1373" s="2"/>
      <c r="M1373" s="2"/>
      <c r="N1373" s="39"/>
      <c r="O1373" s="2"/>
      <c r="P1373" s="2"/>
    </row>
    <row r="1374" spans="1:16" x14ac:dyDescent="0.25">
      <c r="B1374" s="102"/>
      <c r="C1374" s="2"/>
      <c r="D1374" s="77"/>
      <c r="E1374" s="78" t="str">
        <f>IF($A1374=0,"",VLOOKUP($A1374,'BASE MATERIAL'!$A:$D,3))</f>
        <v/>
      </c>
      <c r="F1374" s="55"/>
      <c r="G1374" s="55" t="str">
        <f>IF($A1374=0,"",VLOOKUP($A1374,'BASE MATERIAL'!$A:$D,4))</f>
        <v/>
      </c>
      <c r="H1374" s="56" t="str">
        <f t="shared" si="124"/>
        <v/>
      </c>
      <c r="I1374" s="2"/>
      <c r="L1374" s="2"/>
      <c r="M1374" s="2"/>
      <c r="N1374" s="39"/>
      <c r="O1374" s="2"/>
      <c r="P1374" s="2"/>
    </row>
    <row r="1375" spans="1:16" x14ac:dyDescent="0.25">
      <c r="B1375" s="38" t="str">
        <f>IF($A1375=0,"",VLOOKUP($A1375,'BASE MATERIAL'!$A:$D,2))</f>
        <v/>
      </c>
      <c r="C1375" s="2"/>
      <c r="D1375" s="77"/>
      <c r="E1375" s="78" t="str">
        <f>IF($A1375=0,"",VLOOKUP($A1375,'BASE MATERIAL'!$A:$D,3))</f>
        <v/>
      </c>
      <c r="F1375" s="55"/>
      <c r="G1375" s="55" t="str">
        <f>IF($A1375=0,"",VLOOKUP($A1375,'BASE MATERIAL'!$A:$D,4))</f>
        <v/>
      </c>
      <c r="H1375" s="56" t="str">
        <f t="shared" si="124"/>
        <v/>
      </c>
      <c r="I1375" s="2"/>
      <c r="L1375" s="2"/>
      <c r="M1375" s="2"/>
      <c r="N1375" s="39"/>
      <c r="O1375" s="2"/>
      <c r="P1375" s="2"/>
    </row>
    <row r="1376" spans="1:16" x14ac:dyDescent="0.25">
      <c r="B1376" s="38" t="str">
        <f>IF($A1376=0,"",VLOOKUP($A1376,'BASE MATERIAL'!$A:$D,2))</f>
        <v/>
      </c>
      <c r="C1376" s="2"/>
      <c r="D1376" s="77"/>
      <c r="E1376" s="78" t="str">
        <f>IF($A1376=0,"",VLOOKUP($A1376,'BASE MATERIAL'!$A:$D,3))</f>
        <v/>
      </c>
      <c r="F1376" s="55"/>
      <c r="G1376" s="55" t="str">
        <f>IF($A1376=0,"",VLOOKUP($A1376,'BASE MATERIAL'!$A:$D,4))</f>
        <v/>
      </c>
      <c r="H1376" s="56" t="str">
        <f t="shared" si="124"/>
        <v/>
      </c>
      <c r="I1376" s="2"/>
      <c r="L1376" s="2"/>
      <c r="M1376" s="2"/>
      <c r="N1376" s="39"/>
      <c r="O1376" s="2"/>
      <c r="P1376" s="2"/>
    </row>
    <row r="1377" spans="1:16" x14ac:dyDescent="0.25">
      <c r="B1377" s="38" t="str">
        <f>IF($A1377=0,"",VLOOKUP($A1377,'BASE MATERIAL'!$A:$D,2))</f>
        <v/>
      </c>
      <c r="C1377" s="2"/>
      <c r="D1377" s="77"/>
      <c r="E1377" s="78" t="str">
        <f>IF($A1377=0,"",VLOOKUP($A1377,'BASE MATERIAL'!$A:$D,3))</f>
        <v/>
      </c>
      <c r="F1377" s="55"/>
      <c r="G1377" s="55" t="str">
        <f>IF($A1377=0,"",VLOOKUP($A1377,'BASE MATERIAL'!$A:$D,4))</f>
        <v/>
      </c>
      <c r="H1377" s="56" t="str">
        <f t="shared" si="124"/>
        <v/>
      </c>
      <c r="I1377" s="2"/>
      <c r="L1377" s="2"/>
      <c r="M1377" s="2"/>
      <c r="N1377" s="39"/>
      <c r="O1377" s="2"/>
      <c r="P1377" s="2"/>
    </row>
    <row r="1378" spans="1:16" x14ac:dyDescent="0.25">
      <c r="B1378" s="38" t="str">
        <f>IF($A1378=0,"",VLOOKUP($A1378,'BASE MATERIAL'!$A:$D,2))</f>
        <v/>
      </c>
      <c r="C1378" s="2"/>
      <c r="D1378" s="77"/>
      <c r="E1378" s="78" t="str">
        <f>IF($A1378=0,"",VLOOKUP($A1378,'BASE MATERIAL'!$A:$D,3))</f>
        <v/>
      </c>
      <c r="F1378" s="55"/>
      <c r="G1378" s="55" t="str">
        <f>IF($A1378=0,"",VLOOKUP($A1378,'BASE MATERIAL'!$A:$D,4))</f>
        <v/>
      </c>
      <c r="H1378" s="56" t="str">
        <f t="shared" si="124"/>
        <v/>
      </c>
      <c r="I1378" s="2"/>
      <c r="L1378" s="2"/>
      <c r="M1378" s="2"/>
      <c r="N1378" s="39"/>
      <c r="O1378" s="2"/>
      <c r="P1378" s="2"/>
    </row>
    <row r="1379" spans="1:16" x14ac:dyDescent="0.25">
      <c r="B1379" s="38" t="str">
        <f>IF($A1379=0,"",VLOOKUP($A1379,'BASE MATERIAL'!$A:$D,2))</f>
        <v/>
      </c>
      <c r="C1379" s="2"/>
      <c r="D1379" s="77"/>
      <c r="E1379" s="78" t="str">
        <f>IF($A1379=0,"",VLOOKUP($A1379,'BASE MATERIAL'!$A:$D,3))</f>
        <v/>
      </c>
      <c r="F1379" s="55"/>
      <c r="G1379" s="55" t="str">
        <f>IF($A1379=0,"",VLOOKUP($A1379,'BASE MATERIAL'!$A:$D,4))</f>
        <v/>
      </c>
      <c r="H1379" s="56" t="str">
        <f t="shared" si="124"/>
        <v/>
      </c>
      <c r="I1379" s="2"/>
      <c r="L1379" s="2"/>
      <c r="M1379" s="2"/>
      <c r="N1379" s="39"/>
      <c r="O1379" s="2"/>
      <c r="P1379" s="2"/>
    </row>
    <row r="1380" spans="1:16" x14ac:dyDescent="0.25">
      <c r="B1380" s="38" t="str">
        <f>IF($A1380=0,"",VLOOKUP($A1380,'BASE MATERIAL'!$A:$D,2))</f>
        <v/>
      </c>
      <c r="C1380" s="2"/>
      <c r="D1380" s="77"/>
      <c r="E1380" s="78" t="str">
        <f>IF($A1380=0,"",VLOOKUP($A1380,'BASE MATERIAL'!$A:$D,3))</f>
        <v/>
      </c>
      <c r="F1380" s="55"/>
      <c r="G1380" s="55" t="str">
        <f>IF($A1380=0,"",VLOOKUP($A1380,'BASE MATERIAL'!$A:$D,4))</f>
        <v/>
      </c>
      <c r="H1380" s="56" t="str">
        <f t="shared" si="124"/>
        <v/>
      </c>
      <c r="I1380" s="2"/>
      <c r="L1380" s="2"/>
      <c r="M1380" s="2"/>
      <c r="N1380" s="39"/>
      <c r="O1380" s="2"/>
      <c r="P1380" s="2"/>
    </row>
    <row r="1381" spans="1:16" x14ac:dyDescent="0.25">
      <c r="B1381" s="38" t="str">
        <f>IF($A1381=0,"",VLOOKUP($A1381,'BASE MATERIAL'!$A:$D,2))</f>
        <v/>
      </c>
      <c r="C1381" s="2"/>
      <c r="D1381" s="77"/>
      <c r="E1381" s="78" t="str">
        <f>IF($A1381=0,"",VLOOKUP($A1381,'BASE MATERIAL'!$A:$D,3))</f>
        <v/>
      </c>
      <c r="F1381" s="55"/>
      <c r="G1381" s="55" t="str">
        <f>IF($A1381=0,"",VLOOKUP($A1381,'BASE MATERIAL'!$A:$D,4))</f>
        <v/>
      </c>
      <c r="H1381" s="56" t="str">
        <f t="shared" si="124"/>
        <v/>
      </c>
      <c r="I1381" s="2"/>
    </row>
    <row r="1382" spans="1:16" x14ac:dyDescent="0.25">
      <c r="B1382" s="38" t="str">
        <f>IF($A1382=0,"",VLOOKUP($A1382,'BASE MATERIAL'!$A:$D,2))</f>
        <v/>
      </c>
      <c r="C1382" s="2"/>
      <c r="D1382" s="77"/>
      <c r="E1382" s="78" t="str">
        <f>IF($A1382=0,"",VLOOKUP($A1382,'BASE MATERIAL'!$A:$D,3))</f>
        <v/>
      </c>
      <c r="F1382" s="55"/>
      <c r="G1382" s="55" t="str">
        <f>IF($A1382=0,"",VLOOKUP($A1382,'BASE MATERIAL'!$A:$D,4))</f>
        <v/>
      </c>
      <c r="H1382" s="56" t="str">
        <f t="shared" si="124"/>
        <v/>
      </c>
      <c r="I1382" s="2"/>
      <c r="L1382" s="2"/>
      <c r="M1382" s="2"/>
      <c r="N1382" s="39"/>
      <c r="O1382" s="2"/>
      <c r="P1382" s="2"/>
    </row>
    <row r="1383" spans="1:16" x14ac:dyDescent="0.25">
      <c r="B1383" s="38" t="str">
        <f>IF($A1383=0,"",VLOOKUP($A1383,'BASE MATERIAL'!$A:$D,2))</f>
        <v/>
      </c>
      <c r="C1383" s="2"/>
      <c r="D1383" s="77"/>
      <c r="E1383" s="78" t="str">
        <f>IF($A1383=0,"",VLOOKUP($A1383,'BASE MATERIAL'!$A:$D,3))</f>
        <v/>
      </c>
      <c r="F1383" s="55"/>
      <c r="G1383" s="55" t="str">
        <f>IF($A1383=0,"",VLOOKUP($A1383,'BASE MATERIAL'!$A:$D,4))</f>
        <v/>
      </c>
      <c r="H1383" s="56" t="str">
        <f t="shared" si="124"/>
        <v/>
      </c>
      <c r="I1383" s="2"/>
      <c r="L1383" s="2"/>
      <c r="M1383" s="2"/>
      <c r="N1383" s="39"/>
      <c r="O1383" s="2"/>
      <c r="P1383" s="2"/>
    </row>
    <row r="1384" spans="1:16" x14ac:dyDescent="0.25">
      <c r="B1384" s="38" t="str">
        <f>IF($A1384=0,"",VLOOKUP($A1384,'BASE MATERIAL'!$A:$D,2))</f>
        <v/>
      </c>
      <c r="C1384" s="2"/>
      <c r="D1384" s="77"/>
      <c r="E1384" s="78" t="str">
        <f>IF($A1384=0,"",VLOOKUP($A1384,'BASE MATERIAL'!$A:$D,3))</f>
        <v/>
      </c>
      <c r="F1384" s="55"/>
      <c r="G1384" s="55" t="str">
        <f>IF($A1384=0,"",VLOOKUP($A1384,'BASE MATERIAL'!$A:$D,4))</f>
        <v/>
      </c>
      <c r="H1384" s="56" t="str">
        <f t="shared" si="124"/>
        <v/>
      </c>
      <c r="I1384" s="2"/>
    </row>
    <row r="1385" spans="1:16" x14ac:dyDescent="0.25">
      <c r="B1385" s="38" t="str">
        <f>IF($A1385=0,"",VLOOKUP($A1385,'BASE MATERIAL'!$A:$D,2))</f>
        <v/>
      </c>
      <c r="C1385" s="2"/>
      <c r="D1385" s="77"/>
      <c r="E1385" s="78" t="str">
        <f>IF($A1385=0,"",VLOOKUP($A1385,'BASE MATERIAL'!$A:$D,3))</f>
        <v/>
      </c>
      <c r="F1385" s="55"/>
      <c r="G1385" s="55" t="str">
        <f>IF($A1385=0,"",VLOOKUP($A1385,'BASE MATERIAL'!$A:$D,4))</f>
        <v/>
      </c>
      <c r="H1385" s="56" t="str">
        <f t="shared" si="124"/>
        <v/>
      </c>
      <c r="I1385" s="2"/>
    </row>
    <row r="1386" spans="1:16" x14ac:dyDescent="0.25">
      <c r="B1386" s="38" t="str">
        <f>IF($A1386=0,"",VLOOKUP($A1386,'BASE MATERIAL'!$A:$D,2))</f>
        <v/>
      </c>
      <c r="C1386" s="2"/>
      <c r="D1386" s="77"/>
      <c r="E1386" s="78" t="str">
        <f>IF($A1386=0,"",VLOOKUP($A1386,'BASE MATERIAL'!$A:$D,3))</f>
        <v/>
      </c>
      <c r="F1386" s="55"/>
      <c r="G1386" s="55" t="str">
        <f>IF($A1386=0,"",VLOOKUP($A1386,'BASE MATERIAL'!$A:$D,4))</f>
        <v/>
      </c>
      <c r="H1386" s="56" t="str">
        <f t="shared" si="124"/>
        <v/>
      </c>
      <c r="I1386" s="2"/>
    </row>
    <row r="1387" spans="1:16" x14ac:dyDescent="0.25">
      <c r="B1387" s="38" t="str">
        <f>IF($A1387=0,"",VLOOKUP($A1387,'BASE MATERIAL'!$A:$D,2))</f>
        <v/>
      </c>
      <c r="C1387" s="2"/>
      <c r="D1387" s="77"/>
      <c r="E1387" s="78" t="str">
        <f>IF($A1387=0,"",VLOOKUP($A1387,'BASE MATERIAL'!$A:$D,3))</f>
        <v/>
      </c>
      <c r="F1387" s="55"/>
      <c r="G1387" s="55" t="str">
        <f>IF($A1387=0,"",VLOOKUP($A1387,'BASE MATERIAL'!$A:$D,4))</f>
        <v/>
      </c>
      <c r="H1387" s="56" t="str">
        <f t="shared" si="124"/>
        <v/>
      </c>
      <c r="I1387" s="2"/>
    </row>
    <row r="1388" spans="1:16" x14ac:dyDescent="0.25">
      <c r="B1388" s="38" t="str">
        <f>IF($A1388=0,"",VLOOKUP($A1388,'BASE MATERIAL'!$A:$D,2))</f>
        <v/>
      </c>
      <c r="C1388" s="2"/>
      <c r="D1388" s="81" t="s">
        <v>1682</v>
      </c>
      <c r="E1388" s="55" t="str">
        <f>IF($A1388=0,"",VLOOKUP($A1388,'BASE MATERIAL'!$A:$D,3))</f>
        <v/>
      </c>
      <c r="F1388" s="55" t="s">
        <v>1682</v>
      </c>
      <c r="G1388" s="55" t="str">
        <f>IF($A1388=0,"",VLOOKUP($A1388,'BASE MATERIAL'!$A:$D,4))</f>
        <v/>
      </c>
      <c r="H1388" s="56" t="str">
        <f>IF($A1388=0,"",ROUND(E1388*F1388,2))</f>
        <v/>
      </c>
      <c r="I1388" s="2"/>
    </row>
    <row r="1389" spans="1:16" x14ac:dyDescent="0.25">
      <c r="B1389" s="73" t="s">
        <v>1681</v>
      </c>
      <c r="C1389" s="65"/>
      <c r="D1389" s="74"/>
      <c r="E1389" s="74"/>
      <c r="F1389" s="74"/>
      <c r="G1389" s="74"/>
      <c r="H1389" s="75">
        <f>ROUND(SUM(H1372:H1388),2)</f>
        <v>10.199999999999999</v>
      </c>
      <c r="I1389" s="2"/>
    </row>
    <row r="1390" spans="1:16" x14ac:dyDescent="0.25">
      <c r="B1390" s="38" t="s">
        <v>1680</v>
      </c>
      <c r="C1390" s="2"/>
      <c r="D1390" s="3"/>
      <c r="E1390" s="3"/>
      <c r="F1390" s="3"/>
      <c r="G1390" s="3"/>
      <c r="H1390" s="56"/>
      <c r="I1390" s="2"/>
    </row>
    <row r="1391" spans="1:16" ht="25.5" x14ac:dyDescent="0.25">
      <c r="B1391" s="64" t="s">
        <v>1409</v>
      </c>
      <c r="C1391" s="65"/>
      <c r="D1391" s="76"/>
      <c r="E1391" s="66" t="s">
        <v>1408</v>
      </c>
      <c r="F1391" s="66" t="s">
        <v>1679</v>
      </c>
      <c r="G1391" s="66" t="s">
        <v>1676</v>
      </c>
      <c r="H1391" s="68" t="s">
        <v>1675</v>
      </c>
      <c r="I1391" s="2"/>
    </row>
    <row r="1392" spans="1:16" x14ac:dyDescent="0.25">
      <c r="A1392" s="103">
        <v>19019</v>
      </c>
      <c r="B1392" s="51" t="str">
        <f>IF($A1392=0,"",VLOOKUP($A1392,'BASE EQUIPO'!$A:$D,2))</f>
        <v>TRANSPORTE DE MATERIAL</v>
      </c>
      <c r="C1392" s="52"/>
      <c r="D1392" s="82"/>
      <c r="E1392" s="78" t="str">
        <f>IF($A1392=0,"",VLOOKUP($A1392,'BASE EQUIPO'!$A:$D,3))</f>
        <v>GLOBAL</v>
      </c>
      <c r="F1392" s="55">
        <v>1</v>
      </c>
      <c r="G1392" s="83">
        <f>IF($A1392=0,"",VLOOKUP($A1392,'BASE EQUIPO'!$A:$D,4)*H1389)</f>
        <v>0.30599999999999999</v>
      </c>
      <c r="H1392" s="56">
        <f>IF($A1392=0,"",ROUND(F1392*G1392,2))</f>
        <v>0.31</v>
      </c>
      <c r="I1392" s="2"/>
    </row>
    <row r="1393" spans="1:15" x14ac:dyDescent="0.25">
      <c r="B1393" s="38" t="str">
        <f>IF($A1393=0,"",VLOOKUP($A1393,'BASE EQUIPO'!$A:$D,2))</f>
        <v/>
      </c>
      <c r="C1393" s="2"/>
      <c r="D1393" s="84"/>
      <c r="E1393" s="78" t="str">
        <f>IF($A1393=0,"",VLOOKUP($A1393,'BASE EQUIPO'!$A:$D,3))</f>
        <v/>
      </c>
      <c r="F1393" s="55"/>
      <c r="G1393" s="55" t="str">
        <f>IF($A1393=0,"",VLOOKUP($A1393,'BASE EQUIPO'!$A:$D,4)*H1390)</f>
        <v/>
      </c>
      <c r="H1393" s="56" t="str">
        <f>IF($A1393=0,"",ROUND(F1393*G1393,2))</f>
        <v/>
      </c>
      <c r="I1393" s="2"/>
    </row>
    <row r="1394" spans="1:15" x14ac:dyDescent="0.25">
      <c r="B1394" s="57" t="str">
        <f>IF($A1394=0,"",VLOOKUP($A1394,'BASE EQUIPO'!$A:$D,2))</f>
        <v/>
      </c>
      <c r="C1394" s="58"/>
      <c r="D1394" s="85"/>
      <c r="E1394" s="86" t="str">
        <f>IF($A1394=0,"",VLOOKUP($A1394,'BASE EQUIPO'!$A:$D,3))</f>
        <v/>
      </c>
      <c r="F1394" s="59"/>
      <c r="G1394" s="59" t="str">
        <f>IF($A1394=0,"",VLOOKUP($A1394,'BASE EQUIPO'!$A:$D,4)*H1391)</f>
        <v/>
      </c>
      <c r="H1394" s="60" t="str">
        <f>IF($A1394=0,"",ROUND(F1394*G1394,2))</f>
        <v/>
      </c>
      <c r="I1394" s="2"/>
    </row>
    <row r="1395" spans="1:15" ht="15.75" thickBot="1" x14ac:dyDescent="0.3">
      <c r="B1395" s="87" t="s">
        <v>1674</v>
      </c>
      <c r="C1395" s="88"/>
      <c r="D1395" s="89"/>
      <c r="E1395" s="89"/>
      <c r="F1395" s="89"/>
      <c r="G1395" s="89"/>
      <c r="H1395" s="90">
        <f>ROUND(SUM(H1391:H1394),2)</f>
        <v>0.31</v>
      </c>
      <c r="I1395" s="2"/>
    </row>
    <row r="1396" spans="1:15" ht="15.75" x14ac:dyDescent="0.25">
      <c r="B1396" s="2"/>
      <c r="C1396" s="2"/>
      <c r="D1396" s="91" t="s">
        <v>1673</v>
      </c>
      <c r="E1396" s="47"/>
      <c r="F1396" s="47"/>
      <c r="G1396" s="47"/>
      <c r="H1396" s="92">
        <f>ROUND(SUM(H1395,H1389,H1370,H1360),2)</f>
        <v>10.51</v>
      </c>
      <c r="I1396" s="2"/>
    </row>
    <row r="1397" spans="1:15" ht="15.75" x14ac:dyDescent="0.25">
      <c r="A1397" s="103">
        <v>40002</v>
      </c>
      <c r="B1397" s="2"/>
      <c r="C1397" s="2"/>
      <c r="D1397" s="93" t="s">
        <v>1672</v>
      </c>
      <c r="E1397" s="65"/>
      <c r="F1397" s="65"/>
      <c r="G1397" s="94">
        <f>IF($A1397=0,"",VLOOKUP($A1397,'BASE MATERIAL'!$M:$P,4))</f>
        <v>0</v>
      </c>
      <c r="H1397" s="95">
        <f>IF($A1397=0,"",ROUND(G1397*H1396,2))</f>
        <v>0</v>
      </c>
      <c r="I1397" s="2"/>
    </row>
    <row r="1398" spans="1:15" ht="15.75" x14ac:dyDescent="0.25">
      <c r="A1398" s="103">
        <v>40003</v>
      </c>
      <c r="B1398" s="2"/>
      <c r="C1398" s="2"/>
      <c r="D1398" s="93" t="s">
        <v>1671</v>
      </c>
      <c r="E1398" s="65"/>
      <c r="F1398" s="65"/>
      <c r="G1398" s="94">
        <f>IF($A1398=0,"",VLOOKUP($A1398,'BASE MATERIAL'!$M:$P,4))</f>
        <v>0</v>
      </c>
      <c r="H1398" s="95">
        <f>IF($A1398=0,"",ROUND(G1398*H1396,2))</f>
        <v>0</v>
      </c>
      <c r="I1398" s="2"/>
    </row>
    <row r="1399" spans="1:15" ht="15.75" x14ac:dyDescent="0.25">
      <c r="B1399" s="2"/>
      <c r="C1399" s="2"/>
      <c r="D1399" s="93" t="s">
        <v>1670</v>
      </c>
      <c r="E1399" s="65"/>
      <c r="F1399" s="65"/>
      <c r="G1399" s="65"/>
      <c r="H1399" s="96">
        <f>ROUND(SUM(H1396:H1398),2)</f>
        <v>10.51</v>
      </c>
      <c r="I1399" s="2"/>
    </row>
    <row r="1400" spans="1:15" ht="16.5" thickBot="1" x14ac:dyDescent="0.3">
      <c r="B1400" s="25"/>
      <c r="C1400" s="2"/>
      <c r="D1400" s="97" t="s">
        <v>1650</v>
      </c>
      <c r="E1400" s="88"/>
      <c r="F1400" s="88"/>
      <c r="G1400" s="88"/>
      <c r="H1400" s="98">
        <f>ROUND(H1399,2)</f>
        <v>10.51</v>
      </c>
      <c r="I1400" s="2"/>
    </row>
    <row r="1401" spans="1:15" ht="15.75" x14ac:dyDescent="0.25">
      <c r="B1401" s="34" t="s">
        <v>1701</v>
      </c>
      <c r="C1401" s="2"/>
      <c r="D1401" s="3" t="str">
        <f>$D$1</f>
        <v>ESPOL</v>
      </c>
      <c r="E1401" s="2"/>
      <c r="F1401" s="2"/>
      <c r="H1401" s="2" t="s">
        <v>108</v>
      </c>
      <c r="I1401" s="2"/>
      <c r="L1401" s="40">
        <f>A1405</f>
        <v>2</v>
      </c>
      <c r="M1401" s="1" t="str">
        <f>C1406</f>
        <v>Presotato de Alta</v>
      </c>
      <c r="N1401" s="2" t="str">
        <f>H1405</f>
        <v>unidad</v>
      </c>
      <c r="O1401" s="2">
        <f>H1456</f>
        <v>17.510000000000002</v>
      </c>
    </row>
    <row r="1402" spans="1:15" ht="15.75" x14ac:dyDescent="0.25">
      <c r="B1402" s="34" t="s">
        <v>1700</v>
      </c>
      <c r="C1402" s="3">
        <f>'1.1'!$C$2</f>
        <v>0</v>
      </c>
      <c r="D1402" s="2"/>
      <c r="E1402" s="2"/>
      <c r="F1402" s="2"/>
      <c r="G1402" s="41" t="s">
        <v>1699</v>
      </c>
      <c r="H1402" s="42"/>
      <c r="I1402" s="2" t="s">
        <v>1698</v>
      </c>
    </row>
    <row r="1403" spans="1:15" ht="15.75" x14ac:dyDescent="0.25">
      <c r="B1403" s="34"/>
      <c r="C1403" s="3">
        <f>'1.1'!$C$3</f>
        <v>0</v>
      </c>
      <c r="D1403" s="2"/>
      <c r="E1403" s="2"/>
      <c r="F1403" s="2"/>
      <c r="G1403" s="2"/>
      <c r="H1403" s="2"/>
      <c r="I1403" s="2"/>
    </row>
    <row r="1404" spans="1:15" ht="15.75" x14ac:dyDescent="0.25">
      <c r="B1404" s="34" t="s">
        <v>1697</v>
      </c>
      <c r="C1404" s="3"/>
      <c r="D1404" s="2"/>
      <c r="E1404" s="2"/>
      <c r="F1404" s="2"/>
      <c r="G1404" s="2"/>
      <c r="H1404" s="2"/>
      <c r="I1404" s="2"/>
    </row>
    <row r="1405" spans="1:15" x14ac:dyDescent="0.25">
      <c r="A1405" s="104">
        <v>2</v>
      </c>
      <c r="B1405" s="2" t="s">
        <v>1586</v>
      </c>
      <c r="C1405" s="101" t="s">
        <v>176</v>
      </c>
      <c r="D1405" s="2"/>
      <c r="G1405" s="2" t="s">
        <v>1696</v>
      </c>
      <c r="H1405" s="3" t="s">
        <v>126</v>
      </c>
      <c r="I1405" s="2"/>
    </row>
    <row r="1406" spans="1:15" x14ac:dyDescent="0.25">
      <c r="B1406" s="1" t="s">
        <v>1585</v>
      </c>
      <c r="C1406" s="36" t="s">
        <v>158</v>
      </c>
      <c r="D1406" s="2"/>
      <c r="E1406" s="2"/>
      <c r="F1406" s="2"/>
      <c r="G1406" s="2"/>
      <c r="H1406" s="2"/>
      <c r="I1406" s="2"/>
    </row>
    <row r="1407" spans="1:15" ht="15.75" thickBot="1" x14ac:dyDescent="0.3">
      <c r="D1407" s="2"/>
      <c r="E1407" s="2"/>
      <c r="F1407" s="2"/>
      <c r="G1407" s="2"/>
      <c r="H1407" s="2"/>
      <c r="I1407" s="2"/>
    </row>
    <row r="1408" spans="1:15" ht="15.75" thickBot="1" x14ac:dyDescent="0.3">
      <c r="B1408" s="43" t="s">
        <v>1695</v>
      </c>
      <c r="C1408" s="44"/>
      <c r="D1408" s="44"/>
      <c r="E1408" s="44"/>
      <c r="F1408" s="44"/>
      <c r="G1408" s="44"/>
      <c r="H1408" s="45"/>
      <c r="I1408" s="2"/>
    </row>
    <row r="1409" spans="2:9" ht="25.5" x14ac:dyDescent="0.25">
      <c r="B1409" s="46" t="s">
        <v>1409</v>
      </c>
      <c r="C1409" s="47"/>
      <c r="D1409" s="48" t="s">
        <v>1690</v>
      </c>
      <c r="E1409" s="48" t="s">
        <v>1694</v>
      </c>
      <c r="F1409" s="48" t="s">
        <v>1693</v>
      </c>
      <c r="G1409" s="49" t="s">
        <v>1687</v>
      </c>
      <c r="H1409" s="50" t="s">
        <v>1686</v>
      </c>
      <c r="I1409" s="2"/>
    </row>
    <row r="1410" spans="2:9" x14ac:dyDescent="0.25">
      <c r="B1410" s="51" t="str">
        <f>IF($A1410=0,"",VLOOKUP($A1410,'BASE EQUIPO'!$A:$D,2))</f>
        <v/>
      </c>
      <c r="C1410" s="52"/>
      <c r="D1410" s="53"/>
      <c r="E1410" s="53" t="str">
        <f>IF($A1410=0,"",VLOOKUP($A1410,'BASE EQUIPO'!$A:$D,4)*H1426)</f>
        <v/>
      </c>
      <c r="F1410" s="53" t="str">
        <f t="shared" ref="F1410:F1415" si="125">IF($A1410=0,"",ROUND(D1410*E1410,2))</f>
        <v/>
      </c>
      <c r="G1410" s="105"/>
      <c r="H1410" s="54" t="str">
        <f t="shared" ref="H1410:H1415" si="126">IF($A1410=0,"",ROUND(G1410*F1410,2))</f>
        <v/>
      </c>
      <c r="I1410" s="2"/>
    </row>
    <row r="1411" spans="2:9" x14ac:dyDescent="0.25">
      <c r="B1411" s="38" t="str">
        <f>IF($A1411=0,"",VLOOKUP($A1411,'BASE EQUIPO'!$A:$D,2))</f>
        <v/>
      </c>
      <c r="C1411" s="2"/>
      <c r="D1411" s="55"/>
      <c r="E1411" s="55" t="str">
        <f>IF($A1411=0,"",VLOOKUP($A1411,'BASE EQUIPO'!$A:$D,4))</f>
        <v/>
      </c>
      <c r="F1411" s="55" t="str">
        <f t="shared" si="125"/>
        <v/>
      </c>
      <c r="G1411" s="106"/>
      <c r="H1411" s="56" t="str">
        <f t="shared" si="126"/>
        <v/>
      </c>
      <c r="I1411" s="2"/>
    </row>
    <row r="1412" spans="2:9" x14ac:dyDescent="0.25">
      <c r="B1412" s="38" t="str">
        <f>IF($A1412=0,"",VLOOKUP($A1412,'BASE EQUIPO'!$A:$D,2))</f>
        <v/>
      </c>
      <c r="C1412" s="2"/>
      <c r="D1412" s="55"/>
      <c r="E1412" s="55" t="str">
        <f>IF($A1412=0,"",VLOOKUP($A1412,'BASE EQUIPO'!$A:$D,4))</f>
        <v/>
      </c>
      <c r="F1412" s="55" t="str">
        <f t="shared" si="125"/>
        <v/>
      </c>
      <c r="G1412" s="106"/>
      <c r="H1412" s="56" t="str">
        <f t="shared" si="126"/>
        <v/>
      </c>
      <c r="I1412" s="2"/>
    </row>
    <row r="1413" spans="2:9" x14ac:dyDescent="0.25">
      <c r="B1413" s="38" t="str">
        <f>IF($A1413=0,"",VLOOKUP($A1413,'BASE EQUIPO'!$A:$D,2))</f>
        <v/>
      </c>
      <c r="C1413" s="2"/>
      <c r="D1413" s="55"/>
      <c r="E1413" s="55" t="str">
        <f>IF($A1413=0,"",VLOOKUP($A1413,'BASE EQUIPO'!$A:$D,4))</f>
        <v/>
      </c>
      <c r="F1413" s="55" t="str">
        <f t="shared" si="125"/>
        <v/>
      </c>
      <c r="G1413" s="106"/>
      <c r="H1413" s="56" t="str">
        <f t="shared" si="126"/>
        <v/>
      </c>
      <c r="I1413" s="2"/>
    </row>
    <row r="1414" spans="2:9" x14ac:dyDescent="0.25">
      <c r="B1414" s="38" t="str">
        <f>IF($A1414=0,"",VLOOKUP($A1414,'BASE EQUIPO'!$A:$D,2))</f>
        <v/>
      </c>
      <c r="C1414" s="2"/>
      <c r="D1414" s="55"/>
      <c r="E1414" s="55" t="str">
        <f>IF($A1414=0,"",VLOOKUP($A1414,'BASE EQUIPO'!$A:$D,4))</f>
        <v/>
      </c>
      <c r="F1414" s="55" t="str">
        <f t="shared" si="125"/>
        <v/>
      </c>
      <c r="G1414" s="106"/>
      <c r="H1414" s="56" t="str">
        <f t="shared" si="126"/>
        <v/>
      </c>
      <c r="I1414" s="2"/>
    </row>
    <row r="1415" spans="2:9" x14ac:dyDescent="0.25">
      <c r="B1415" s="57" t="str">
        <f>IF($A1415=0,"",VLOOKUP($A1415,'BASE EQUIPO'!$A:$D,2))</f>
        <v/>
      </c>
      <c r="C1415" s="58"/>
      <c r="D1415" s="59"/>
      <c r="E1415" s="59" t="str">
        <f>IF($A1415=0,"",VLOOKUP($A1415,'BASE EQUIPO'!$A:$D,4))</f>
        <v/>
      </c>
      <c r="F1415" s="59" t="str">
        <f t="shared" si="125"/>
        <v/>
      </c>
      <c r="G1415" s="107"/>
      <c r="H1415" s="60" t="str">
        <f t="shared" si="126"/>
        <v/>
      </c>
      <c r="I1415" s="2"/>
    </row>
    <row r="1416" spans="2:9" x14ac:dyDescent="0.25">
      <c r="B1416" s="57" t="s">
        <v>1692</v>
      </c>
      <c r="C1416" s="58"/>
      <c r="D1416" s="61"/>
      <c r="E1416" s="61"/>
      <c r="F1416" s="61"/>
      <c r="G1416" s="62"/>
      <c r="H1416" s="60">
        <f>ROUND(SUM(H1409:H1415),2)</f>
        <v>0</v>
      </c>
      <c r="I1416" s="2"/>
    </row>
    <row r="1417" spans="2:9" x14ac:dyDescent="0.25">
      <c r="B1417" s="38" t="s">
        <v>1503</v>
      </c>
      <c r="C1417" s="2"/>
      <c r="D1417" s="3"/>
      <c r="E1417" s="3"/>
      <c r="F1417" s="3"/>
      <c r="G1417" s="63"/>
      <c r="H1417" s="56"/>
      <c r="I1417" s="2"/>
    </row>
    <row r="1418" spans="2:9" ht="25.5" x14ac:dyDescent="0.25">
      <c r="B1418" s="64" t="s">
        <v>1691</v>
      </c>
      <c r="C1418" s="65"/>
      <c r="D1418" s="66" t="s">
        <v>1690</v>
      </c>
      <c r="E1418" s="66" t="s">
        <v>1689</v>
      </c>
      <c r="F1418" s="66" t="s">
        <v>1688</v>
      </c>
      <c r="G1418" s="67" t="s">
        <v>1687</v>
      </c>
      <c r="H1418" s="68" t="s">
        <v>1686</v>
      </c>
      <c r="I1418" s="2"/>
    </row>
    <row r="1419" spans="2:9" x14ac:dyDescent="0.25">
      <c r="B1419" s="69" t="str">
        <f>IF($A1419=0,"",VLOOKUP($A1419,'BASE M-OBRA'!$A:$D,2))</f>
        <v/>
      </c>
      <c r="C1419" s="2"/>
      <c r="D1419" s="108"/>
      <c r="E1419" s="70" t="str">
        <f>IF($A1419=0,"",VLOOKUP($A1419,'BASE M-OBRA'!$A:$D,4))</f>
        <v/>
      </c>
      <c r="F1419" s="55" t="str">
        <f t="shared" ref="F1419:F1425" si="127">IF($A1419=0,"",ROUND(D1419*E1419,2))</f>
        <v/>
      </c>
      <c r="G1419" s="106" t="str">
        <f>IF($A1419=0,"",ROUND(H1419/F1419,2))</f>
        <v/>
      </c>
      <c r="H1419" s="56" t="str">
        <f>IF($A1419=0,"",ROUND(SUM(H1420:H1425)*'BASE M-OBRA'!$D$23,2))</f>
        <v/>
      </c>
      <c r="I1419" s="2"/>
    </row>
    <row r="1420" spans="2:9" x14ac:dyDescent="0.25">
      <c r="B1420" s="69" t="str">
        <f>IF($A1420=0,"",VLOOKUP($A1420,'BASE M-OBRA'!$A:$D,2))</f>
        <v/>
      </c>
      <c r="C1420" s="2"/>
      <c r="D1420" s="108"/>
      <c r="E1420" s="70" t="str">
        <f>IF($A1420=0,"",VLOOKUP($A1420,'BASE M-OBRA'!$A:$D,4))</f>
        <v/>
      </c>
      <c r="F1420" s="55" t="str">
        <f t="shared" si="127"/>
        <v/>
      </c>
      <c r="G1420" s="106"/>
      <c r="H1420" s="56" t="str">
        <f t="shared" ref="H1420:H1425" si="128">IF($A1420=0,"",ROUND(G1420*F1420,2))</f>
        <v/>
      </c>
      <c r="I1420" s="2"/>
    </row>
    <row r="1421" spans="2:9" x14ac:dyDescent="0.25">
      <c r="B1421" s="69" t="str">
        <f>IF($A1421=0,"",VLOOKUP($A1421,'BASE M-OBRA'!$A:$D,2))</f>
        <v/>
      </c>
      <c r="C1421" s="2"/>
      <c r="D1421" s="108"/>
      <c r="E1421" s="70" t="str">
        <f>IF($A1421=0,"",VLOOKUP($A1421,'BASE M-OBRA'!$A:$D,4))</f>
        <v/>
      </c>
      <c r="F1421" s="55" t="str">
        <f t="shared" si="127"/>
        <v/>
      </c>
      <c r="G1421" s="106"/>
      <c r="H1421" s="56" t="str">
        <f t="shared" si="128"/>
        <v/>
      </c>
      <c r="I1421" s="2"/>
    </row>
    <row r="1422" spans="2:9" x14ac:dyDescent="0.25">
      <c r="B1422" s="71" t="str">
        <f>IF($A1422=0,"",VLOOKUP($A1422,'BASE M-OBRA'!$A:$D,2))</f>
        <v/>
      </c>
      <c r="C1422" s="2"/>
      <c r="D1422" s="108"/>
      <c r="E1422" s="70" t="str">
        <f>IF($A1422=0,"",VLOOKUP($A1422,'BASE M-OBRA'!$A:$D,4))</f>
        <v/>
      </c>
      <c r="F1422" s="55" t="str">
        <f t="shared" si="127"/>
        <v/>
      </c>
      <c r="G1422" s="106"/>
      <c r="H1422" s="56" t="str">
        <f t="shared" si="128"/>
        <v/>
      </c>
      <c r="I1422" s="2"/>
    </row>
    <row r="1423" spans="2:9" x14ac:dyDescent="0.25">
      <c r="B1423" s="72" t="str">
        <f>IF($A1423=0,"",VLOOKUP($A1423,'BASE M-OBRA'!$A:$D,2))</f>
        <v/>
      </c>
      <c r="C1423" s="2"/>
      <c r="D1423" s="108"/>
      <c r="E1423" s="70" t="str">
        <f>IF($A1423=0,"",VLOOKUP($A1423,'BASE M-OBRA'!$A:$D,4))</f>
        <v/>
      </c>
      <c r="F1423" s="55" t="str">
        <f t="shared" si="127"/>
        <v/>
      </c>
      <c r="G1423" s="106"/>
      <c r="H1423" s="56" t="str">
        <f t="shared" si="128"/>
        <v/>
      </c>
      <c r="I1423" s="2"/>
    </row>
    <row r="1424" spans="2:9" x14ac:dyDescent="0.25">
      <c r="B1424" s="38" t="str">
        <f>IF($A1424=0,"",VLOOKUP($A1424,'BASE M-OBRA'!$A:$D,2))</f>
        <v/>
      </c>
      <c r="C1424" s="2"/>
      <c r="D1424" s="55"/>
      <c r="E1424" s="55" t="str">
        <f>IF($A1424=0,"",VLOOKUP($A1424,'BASE M-OBRA'!$A:$D,4))</f>
        <v/>
      </c>
      <c r="F1424" s="55" t="str">
        <f t="shared" si="127"/>
        <v/>
      </c>
      <c r="G1424" s="106"/>
      <c r="H1424" s="56" t="str">
        <f t="shared" si="128"/>
        <v/>
      </c>
      <c r="I1424" s="2"/>
    </row>
    <row r="1425" spans="1:16" x14ac:dyDescent="0.25">
      <c r="B1425" s="57" t="str">
        <f>IF($A1425=0,"",VLOOKUP($A1425,'BASE M-OBRA'!$A:$D,2))</f>
        <v/>
      </c>
      <c r="C1425" s="58"/>
      <c r="D1425" s="59"/>
      <c r="E1425" s="59" t="str">
        <f>IF($A1425=0,"",VLOOKUP($A1425,'BASE M-OBRA'!$A:$D,4))</f>
        <v/>
      </c>
      <c r="F1425" s="59" t="str">
        <f t="shared" si="127"/>
        <v/>
      </c>
      <c r="G1425" s="107"/>
      <c r="H1425" s="60" t="str">
        <f t="shared" si="128"/>
        <v/>
      </c>
      <c r="I1425" s="2"/>
    </row>
    <row r="1426" spans="1:16" x14ac:dyDescent="0.25">
      <c r="B1426" s="73" t="s">
        <v>1685</v>
      </c>
      <c r="C1426" s="65"/>
      <c r="D1426" s="74"/>
      <c r="E1426" s="74"/>
      <c r="F1426" s="74"/>
      <c r="G1426" s="74"/>
      <c r="H1426" s="75">
        <f>ROUND(SUM(H1418:H1425),2)</f>
        <v>0</v>
      </c>
      <c r="I1426" s="2"/>
    </row>
    <row r="1427" spans="1:16" x14ac:dyDescent="0.25">
      <c r="B1427" s="38" t="s">
        <v>1684</v>
      </c>
      <c r="C1427" s="2"/>
      <c r="D1427" s="3"/>
      <c r="E1427" s="3"/>
      <c r="F1427" s="3"/>
      <c r="G1427" s="3"/>
      <c r="H1427" s="56"/>
      <c r="I1427" s="2"/>
    </row>
    <row r="1428" spans="1:16" ht="25.5" x14ac:dyDescent="0.25">
      <c r="B1428" s="64" t="s">
        <v>1409</v>
      </c>
      <c r="C1428" s="65"/>
      <c r="D1428" s="76"/>
      <c r="E1428" s="66" t="s">
        <v>1408</v>
      </c>
      <c r="F1428" s="66" t="s">
        <v>1679</v>
      </c>
      <c r="G1428" s="66" t="s">
        <v>1683</v>
      </c>
      <c r="H1428" s="68" t="s">
        <v>1675</v>
      </c>
      <c r="I1428" s="2"/>
    </row>
    <row r="1429" spans="1:16" x14ac:dyDescent="0.25">
      <c r="A1429" s="103">
        <v>1</v>
      </c>
      <c r="B1429" s="102" t="s">
        <v>158</v>
      </c>
      <c r="C1429" s="2"/>
      <c r="D1429" s="77"/>
      <c r="E1429" s="78" t="s">
        <v>126</v>
      </c>
      <c r="F1429" s="55">
        <v>1</v>
      </c>
      <c r="G1429" s="55">
        <v>17</v>
      </c>
      <c r="H1429" s="56">
        <f t="shared" ref="H1429:H1443" si="129">IF($A1429=0,"",ROUND(F1429*G1429,2))</f>
        <v>17</v>
      </c>
      <c r="I1429" s="2"/>
      <c r="J1429" s="1">
        <v>2.98</v>
      </c>
      <c r="L1429" s="2"/>
      <c r="M1429" s="2"/>
      <c r="N1429" s="39"/>
      <c r="O1429" s="2"/>
      <c r="P1429" s="2"/>
    </row>
    <row r="1430" spans="1:16" x14ac:dyDescent="0.25">
      <c r="B1430" s="102"/>
      <c r="C1430" s="2"/>
      <c r="D1430" s="77"/>
      <c r="E1430" s="78" t="str">
        <f>IF($A1430=0,"",VLOOKUP($A1430,'BASE MATERIAL'!$A:$D,3))</f>
        <v/>
      </c>
      <c r="F1430" s="55"/>
      <c r="G1430" s="55" t="str">
        <f>IF($A1430=0,"",VLOOKUP($A1430,'BASE MATERIAL'!$A:$D,4))</f>
        <v/>
      </c>
      <c r="H1430" s="56" t="str">
        <f t="shared" si="129"/>
        <v/>
      </c>
      <c r="I1430" s="2"/>
      <c r="L1430" s="2"/>
      <c r="M1430" s="2"/>
      <c r="N1430" s="39"/>
      <c r="O1430" s="2"/>
      <c r="P1430" s="2"/>
    </row>
    <row r="1431" spans="1:16" x14ac:dyDescent="0.25">
      <c r="B1431" s="38" t="str">
        <f>IF($A1431=0,"",VLOOKUP($A1431,'BASE MATERIAL'!$A:$D,2))</f>
        <v/>
      </c>
      <c r="C1431" s="2"/>
      <c r="D1431" s="77"/>
      <c r="E1431" s="78" t="str">
        <f>IF($A1431=0,"",VLOOKUP($A1431,'BASE MATERIAL'!$A:$D,3))</f>
        <v/>
      </c>
      <c r="F1431" s="55"/>
      <c r="G1431" s="55" t="str">
        <f>IF($A1431=0,"",VLOOKUP($A1431,'BASE MATERIAL'!$A:$D,4))</f>
        <v/>
      </c>
      <c r="H1431" s="56" t="str">
        <f t="shared" si="129"/>
        <v/>
      </c>
      <c r="I1431" s="2"/>
      <c r="L1431" s="2"/>
      <c r="M1431" s="2"/>
      <c r="N1431" s="39"/>
      <c r="O1431" s="2"/>
      <c r="P1431" s="2"/>
    </row>
    <row r="1432" spans="1:16" x14ac:dyDescent="0.25">
      <c r="B1432" s="38" t="str">
        <f>IF($A1432=0,"",VLOOKUP($A1432,'BASE MATERIAL'!$A:$D,2))</f>
        <v/>
      </c>
      <c r="C1432" s="2"/>
      <c r="D1432" s="77"/>
      <c r="E1432" s="78" t="str">
        <f>IF($A1432=0,"",VLOOKUP($A1432,'BASE MATERIAL'!$A:$D,3))</f>
        <v/>
      </c>
      <c r="F1432" s="55"/>
      <c r="G1432" s="55" t="str">
        <f>IF($A1432=0,"",VLOOKUP($A1432,'BASE MATERIAL'!$A:$D,4))</f>
        <v/>
      </c>
      <c r="H1432" s="56" t="str">
        <f t="shared" si="129"/>
        <v/>
      </c>
      <c r="I1432" s="2"/>
      <c r="L1432" s="2"/>
      <c r="M1432" s="2"/>
      <c r="N1432" s="39"/>
      <c r="O1432" s="2"/>
      <c r="P1432" s="2"/>
    </row>
    <row r="1433" spans="1:16" x14ac:dyDescent="0.25">
      <c r="B1433" s="38" t="str">
        <f>IF($A1433=0,"",VLOOKUP($A1433,'BASE MATERIAL'!$A:$D,2))</f>
        <v/>
      </c>
      <c r="C1433" s="2"/>
      <c r="D1433" s="77"/>
      <c r="E1433" s="78" t="str">
        <f>IF($A1433=0,"",VLOOKUP($A1433,'BASE MATERIAL'!$A:$D,3))</f>
        <v/>
      </c>
      <c r="F1433" s="55"/>
      <c r="G1433" s="55" t="str">
        <f>IF($A1433=0,"",VLOOKUP($A1433,'BASE MATERIAL'!$A:$D,4))</f>
        <v/>
      </c>
      <c r="H1433" s="56" t="str">
        <f t="shared" si="129"/>
        <v/>
      </c>
      <c r="I1433" s="2"/>
      <c r="L1433" s="2"/>
      <c r="M1433" s="2"/>
      <c r="N1433" s="39"/>
      <c r="O1433" s="2"/>
      <c r="P1433" s="2"/>
    </row>
    <row r="1434" spans="1:16" x14ac:dyDescent="0.25">
      <c r="B1434" s="38" t="str">
        <f>IF($A1434=0,"",VLOOKUP($A1434,'BASE MATERIAL'!$A:$D,2))</f>
        <v/>
      </c>
      <c r="C1434" s="2"/>
      <c r="D1434" s="77"/>
      <c r="E1434" s="78" t="str">
        <f>IF($A1434=0,"",VLOOKUP($A1434,'BASE MATERIAL'!$A:$D,3))</f>
        <v/>
      </c>
      <c r="F1434" s="55"/>
      <c r="G1434" s="55" t="str">
        <f>IF($A1434=0,"",VLOOKUP($A1434,'BASE MATERIAL'!$A:$D,4))</f>
        <v/>
      </c>
      <c r="H1434" s="56" t="str">
        <f t="shared" si="129"/>
        <v/>
      </c>
      <c r="I1434" s="2"/>
      <c r="L1434" s="2"/>
      <c r="M1434" s="2"/>
      <c r="N1434" s="39"/>
      <c r="O1434" s="2"/>
      <c r="P1434" s="2"/>
    </row>
    <row r="1435" spans="1:16" x14ac:dyDescent="0.25">
      <c r="B1435" s="38" t="str">
        <f>IF($A1435=0,"",VLOOKUP($A1435,'BASE MATERIAL'!$A:$D,2))</f>
        <v/>
      </c>
      <c r="C1435" s="2"/>
      <c r="D1435" s="77"/>
      <c r="E1435" s="78" t="str">
        <f>IF($A1435=0,"",VLOOKUP($A1435,'BASE MATERIAL'!$A:$D,3))</f>
        <v/>
      </c>
      <c r="F1435" s="55"/>
      <c r="G1435" s="55" t="str">
        <f>IF($A1435=0,"",VLOOKUP($A1435,'BASE MATERIAL'!$A:$D,4))</f>
        <v/>
      </c>
      <c r="H1435" s="56" t="str">
        <f t="shared" si="129"/>
        <v/>
      </c>
      <c r="I1435" s="2"/>
      <c r="L1435" s="2"/>
      <c r="M1435" s="2"/>
      <c r="N1435" s="39"/>
      <c r="O1435" s="2"/>
      <c r="P1435" s="2"/>
    </row>
    <row r="1436" spans="1:16" x14ac:dyDescent="0.25">
      <c r="B1436" s="38" t="str">
        <f>IF($A1436=0,"",VLOOKUP($A1436,'BASE MATERIAL'!$A:$D,2))</f>
        <v/>
      </c>
      <c r="C1436" s="2"/>
      <c r="D1436" s="77"/>
      <c r="E1436" s="78" t="str">
        <f>IF($A1436=0,"",VLOOKUP($A1436,'BASE MATERIAL'!$A:$D,3))</f>
        <v/>
      </c>
      <c r="F1436" s="55"/>
      <c r="G1436" s="55" t="str">
        <f>IF($A1436=0,"",VLOOKUP($A1436,'BASE MATERIAL'!$A:$D,4))</f>
        <v/>
      </c>
      <c r="H1436" s="56" t="str">
        <f t="shared" si="129"/>
        <v/>
      </c>
      <c r="I1436" s="2"/>
      <c r="L1436" s="2"/>
      <c r="M1436" s="2"/>
      <c r="N1436" s="39"/>
      <c r="O1436" s="2"/>
      <c r="P1436" s="2"/>
    </row>
    <row r="1437" spans="1:16" x14ac:dyDescent="0.25">
      <c r="B1437" s="38" t="str">
        <f>IF($A1437=0,"",VLOOKUP($A1437,'BASE MATERIAL'!$A:$D,2))</f>
        <v/>
      </c>
      <c r="C1437" s="2"/>
      <c r="D1437" s="77"/>
      <c r="E1437" s="78" t="str">
        <f>IF($A1437=0,"",VLOOKUP($A1437,'BASE MATERIAL'!$A:$D,3))</f>
        <v/>
      </c>
      <c r="F1437" s="55"/>
      <c r="G1437" s="55" t="str">
        <f>IF($A1437=0,"",VLOOKUP($A1437,'BASE MATERIAL'!$A:$D,4))</f>
        <v/>
      </c>
      <c r="H1437" s="56" t="str">
        <f t="shared" si="129"/>
        <v/>
      </c>
      <c r="I1437" s="2"/>
    </row>
    <row r="1438" spans="1:16" x14ac:dyDescent="0.25">
      <c r="B1438" s="38" t="str">
        <f>IF($A1438=0,"",VLOOKUP($A1438,'BASE MATERIAL'!$A:$D,2))</f>
        <v/>
      </c>
      <c r="C1438" s="2"/>
      <c r="D1438" s="77"/>
      <c r="E1438" s="78" t="str">
        <f>IF($A1438=0,"",VLOOKUP($A1438,'BASE MATERIAL'!$A:$D,3))</f>
        <v/>
      </c>
      <c r="F1438" s="55"/>
      <c r="G1438" s="55" t="str">
        <f>IF($A1438=0,"",VLOOKUP($A1438,'BASE MATERIAL'!$A:$D,4))</f>
        <v/>
      </c>
      <c r="H1438" s="56" t="str">
        <f t="shared" si="129"/>
        <v/>
      </c>
      <c r="I1438" s="2"/>
      <c r="L1438" s="2"/>
      <c r="M1438" s="2"/>
      <c r="N1438" s="39"/>
      <c r="O1438" s="2"/>
      <c r="P1438" s="2"/>
    </row>
    <row r="1439" spans="1:16" x14ac:dyDescent="0.25">
      <c r="B1439" s="38" t="str">
        <f>IF($A1439=0,"",VLOOKUP($A1439,'BASE MATERIAL'!$A:$D,2))</f>
        <v/>
      </c>
      <c r="C1439" s="2"/>
      <c r="D1439" s="77"/>
      <c r="E1439" s="78" t="str">
        <f>IF($A1439=0,"",VLOOKUP($A1439,'BASE MATERIAL'!$A:$D,3))</f>
        <v/>
      </c>
      <c r="F1439" s="55"/>
      <c r="G1439" s="55" t="str">
        <f>IF($A1439=0,"",VLOOKUP($A1439,'BASE MATERIAL'!$A:$D,4))</f>
        <v/>
      </c>
      <c r="H1439" s="56" t="str">
        <f t="shared" si="129"/>
        <v/>
      </c>
      <c r="I1439" s="2"/>
      <c r="L1439" s="2"/>
      <c r="M1439" s="2"/>
      <c r="N1439" s="39"/>
      <c r="O1439" s="2"/>
      <c r="P1439" s="2"/>
    </row>
    <row r="1440" spans="1:16" x14ac:dyDescent="0.25">
      <c r="B1440" s="38" t="str">
        <f>IF($A1440=0,"",VLOOKUP($A1440,'BASE MATERIAL'!$A:$D,2))</f>
        <v/>
      </c>
      <c r="C1440" s="2"/>
      <c r="D1440" s="77"/>
      <c r="E1440" s="78" t="str">
        <f>IF($A1440=0,"",VLOOKUP($A1440,'BASE MATERIAL'!$A:$D,3))</f>
        <v/>
      </c>
      <c r="F1440" s="55"/>
      <c r="G1440" s="55" t="str">
        <f>IF($A1440=0,"",VLOOKUP($A1440,'BASE MATERIAL'!$A:$D,4))</f>
        <v/>
      </c>
      <c r="H1440" s="56" t="str">
        <f t="shared" si="129"/>
        <v/>
      </c>
      <c r="I1440" s="2"/>
    </row>
    <row r="1441" spans="1:9" x14ac:dyDescent="0.25">
      <c r="B1441" s="38" t="str">
        <f>IF($A1441=0,"",VLOOKUP($A1441,'BASE MATERIAL'!$A:$D,2))</f>
        <v/>
      </c>
      <c r="C1441" s="2"/>
      <c r="D1441" s="77"/>
      <c r="E1441" s="78" t="str">
        <f>IF($A1441=0,"",VLOOKUP($A1441,'BASE MATERIAL'!$A:$D,3))</f>
        <v/>
      </c>
      <c r="F1441" s="55"/>
      <c r="G1441" s="55" t="str">
        <f>IF($A1441=0,"",VLOOKUP($A1441,'BASE MATERIAL'!$A:$D,4))</f>
        <v/>
      </c>
      <c r="H1441" s="56" t="str">
        <f t="shared" si="129"/>
        <v/>
      </c>
      <c r="I1441" s="2"/>
    </row>
    <row r="1442" spans="1:9" x14ac:dyDescent="0.25">
      <c r="B1442" s="38" t="str">
        <f>IF($A1442=0,"",VLOOKUP($A1442,'BASE MATERIAL'!$A:$D,2))</f>
        <v/>
      </c>
      <c r="C1442" s="2"/>
      <c r="D1442" s="77"/>
      <c r="E1442" s="78" t="str">
        <f>IF($A1442=0,"",VLOOKUP($A1442,'BASE MATERIAL'!$A:$D,3))</f>
        <v/>
      </c>
      <c r="F1442" s="55"/>
      <c r="G1442" s="55" t="str">
        <f>IF($A1442=0,"",VLOOKUP($A1442,'BASE MATERIAL'!$A:$D,4))</f>
        <v/>
      </c>
      <c r="H1442" s="56" t="str">
        <f t="shared" si="129"/>
        <v/>
      </c>
      <c r="I1442" s="2"/>
    </row>
    <row r="1443" spans="1:9" x14ac:dyDescent="0.25">
      <c r="B1443" s="38" t="str">
        <f>IF($A1443=0,"",VLOOKUP($A1443,'BASE MATERIAL'!$A:$D,2))</f>
        <v/>
      </c>
      <c r="C1443" s="2"/>
      <c r="D1443" s="77"/>
      <c r="E1443" s="78" t="str">
        <f>IF($A1443=0,"",VLOOKUP($A1443,'BASE MATERIAL'!$A:$D,3))</f>
        <v/>
      </c>
      <c r="F1443" s="55"/>
      <c r="G1443" s="55" t="str">
        <f>IF($A1443=0,"",VLOOKUP($A1443,'BASE MATERIAL'!$A:$D,4))</f>
        <v/>
      </c>
      <c r="H1443" s="56" t="str">
        <f t="shared" si="129"/>
        <v/>
      </c>
      <c r="I1443" s="2"/>
    </row>
    <row r="1444" spans="1:9" x14ac:dyDescent="0.25">
      <c r="B1444" s="38" t="str">
        <f>IF($A1444=0,"",VLOOKUP($A1444,'BASE MATERIAL'!$A:$D,2))</f>
        <v/>
      </c>
      <c r="C1444" s="2"/>
      <c r="D1444" s="81" t="s">
        <v>1682</v>
      </c>
      <c r="E1444" s="55" t="str">
        <f>IF($A1444=0,"",VLOOKUP($A1444,'BASE MATERIAL'!$A:$D,3))</f>
        <v/>
      </c>
      <c r="F1444" s="55" t="s">
        <v>1682</v>
      </c>
      <c r="G1444" s="55" t="str">
        <f>IF($A1444=0,"",VLOOKUP($A1444,'BASE MATERIAL'!$A:$D,4))</f>
        <v/>
      </c>
      <c r="H1444" s="56" t="str">
        <f>IF($A1444=0,"",ROUND(E1444*F1444,2))</f>
        <v/>
      </c>
      <c r="I1444" s="2"/>
    </row>
    <row r="1445" spans="1:9" x14ac:dyDescent="0.25">
      <c r="B1445" s="73" t="s">
        <v>1681</v>
      </c>
      <c r="C1445" s="65"/>
      <c r="D1445" s="74"/>
      <c r="E1445" s="74"/>
      <c r="F1445" s="74"/>
      <c r="G1445" s="74"/>
      <c r="H1445" s="75">
        <f>ROUND(SUM(H1428:H1444),2)</f>
        <v>17</v>
      </c>
      <c r="I1445" s="2"/>
    </row>
    <row r="1446" spans="1:9" x14ac:dyDescent="0.25">
      <c r="B1446" s="38" t="s">
        <v>1680</v>
      </c>
      <c r="C1446" s="2"/>
      <c r="D1446" s="3"/>
      <c r="E1446" s="3"/>
      <c r="F1446" s="3"/>
      <c r="G1446" s="3"/>
      <c r="H1446" s="56"/>
      <c r="I1446" s="2"/>
    </row>
    <row r="1447" spans="1:9" ht="25.5" x14ac:dyDescent="0.25">
      <c r="B1447" s="64" t="s">
        <v>1409</v>
      </c>
      <c r="C1447" s="65"/>
      <c r="D1447" s="76"/>
      <c r="E1447" s="66" t="s">
        <v>1408</v>
      </c>
      <c r="F1447" s="66" t="s">
        <v>1679</v>
      </c>
      <c r="G1447" s="66" t="s">
        <v>1676</v>
      </c>
      <c r="H1447" s="68" t="s">
        <v>1675</v>
      </c>
      <c r="I1447" s="2"/>
    </row>
    <row r="1448" spans="1:9" x14ac:dyDescent="0.25">
      <c r="A1448" s="103">
        <v>19019</v>
      </c>
      <c r="B1448" s="51" t="str">
        <f>IF($A1448=0,"",VLOOKUP($A1448,'BASE EQUIPO'!$A:$D,2))</f>
        <v>TRANSPORTE DE MATERIAL</v>
      </c>
      <c r="C1448" s="52"/>
      <c r="D1448" s="82"/>
      <c r="E1448" s="78" t="str">
        <f>IF($A1448=0,"",VLOOKUP($A1448,'BASE EQUIPO'!$A:$D,3))</f>
        <v>GLOBAL</v>
      </c>
      <c r="F1448" s="55">
        <v>1</v>
      </c>
      <c r="G1448" s="83">
        <f>IF($A1448=0,"",VLOOKUP($A1448,'BASE EQUIPO'!$A:$D,4)*H1445)</f>
        <v>0.51</v>
      </c>
      <c r="H1448" s="56">
        <f>IF($A1448=0,"",ROUND(F1448*G1448,2))</f>
        <v>0.51</v>
      </c>
      <c r="I1448" s="2"/>
    </row>
    <row r="1449" spans="1:9" x14ac:dyDescent="0.25">
      <c r="B1449" s="38" t="str">
        <f>IF($A1449=0,"",VLOOKUP($A1449,'BASE EQUIPO'!$A:$D,2))</f>
        <v/>
      </c>
      <c r="C1449" s="2"/>
      <c r="D1449" s="84"/>
      <c r="E1449" s="78" t="str">
        <f>IF($A1449=0,"",VLOOKUP($A1449,'BASE EQUIPO'!$A:$D,3))</f>
        <v/>
      </c>
      <c r="F1449" s="55"/>
      <c r="G1449" s="55" t="str">
        <f>IF($A1449=0,"",VLOOKUP($A1449,'BASE EQUIPO'!$A:$D,4)*H1446)</f>
        <v/>
      </c>
      <c r="H1449" s="56" t="str">
        <f>IF($A1449=0,"",ROUND(F1449*G1449,2))</f>
        <v/>
      </c>
      <c r="I1449" s="2"/>
    </row>
    <row r="1450" spans="1:9" x14ac:dyDescent="0.25">
      <c r="B1450" s="57" t="str">
        <f>IF($A1450=0,"",VLOOKUP($A1450,'BASE EQUIPO'!$A:$D,2))</f>
        <v/>
      </c>
      <c r="C1450" s="58"/>
      <c r="D1450" s="85"/>
      <c r="E1450" s="86" t="str">
        <f>IF($A1450=0,"",VLOOKUP($A1450,'BASE EQUIPO'!$A:$D,3))</f>
        <v/>
      </c>
      <c r="F1450" s="59"/>
      <c r="G1450" s="59" t="str">
        <f>IF($A1450=0,"",VLOOKUP($A1450,'BASE EQUIPO'!$A:$D,4)*H1447)</f>
        <v/>
      </c>
      <c r="H1450" s="60" t="str">
        <f>IF($A1450=0,"",ROUND(F1450*G1450,2))</f>
        <v/>
      </c>
      <c r="I1450" s="2"/>
    </row>
    <row r="1451" spans="1:9" ht="15.75" thickBot="1" x14ac:dyDescent="0.3">
      <c r="B1451" s="87" t="s">
        <v>1674</v>
      </c>
      <c r="C1451" s="88"/>
      <c r="D1451" s="89"/>
      <c r="E1451" s="89"/>
      <c r="F1451" s="89"/>
      <c r="G1451" s="89"/>
      <c r="H1451" s="90">
        <f>ROUND(SUM(H1447:H1450),2)</f>
        <v>0.51</v>
      </c>
      <c r="I1451" s="2"/>
    </row>
    <row r="1452" spans="1:9" ht="15.75" x14ac:dyDescent="0.25">
      <c r="B1452" s="2"/>
      <c r="C1452" s="2"/>
      <c r="D1452" s="91" t="s">
        <v>1673</v>
      </c>
      <c r="E1452" s="47"/>
      <c r="F1452" s="47"/>
      <c r="G1452" s="47"/>
      <c r="H1452" s="92">
        <f>ROUND(SUM(H1451,H1445,H1426,H1416),2)</f>
        <v>17.510000000000002</v>
      </c>
      <c r="I1452" s="2"/>
    </row>
    <row r="1453" spans="1:9" ht="15.75" x14ac:dyDescent="0.25">
      <c r="A1453" s="103">
        <v>40002</v>
      </c>
      <c r="B1453" s="2"/>
      <c r="C1453" s="2"/>
      <c r="D1453" s="93" t="s">
        <v>1672</v>
      </c>
      <c r="E1453" s="65"/>
      <c r="F1453" s="65"/>
      <c r="G1453" s="94">
        <f>IF($A1453=0,"",VLOOKUP($A1453,'BASE MATERIAL'!$M:$P,4))</f>
        <v>0</v>
      </c>
      <c r="H1453" s="95">
        <f>IF($A1453=0,"",ROUND(G1453*H1452,2))</f>
        <v>0</v>
      </c>
      <c r="I1453" s="2"/>
    </row>
    <row r="1454" spans="1:9" ht="15.75" x14ac:dyDescent="0.25">
      <c r="A1454" s="103">
        <v>40003</v>
      </c>
      <c r="B1454" s="2"/>
      <c r="C1454" s="2"/>
      <c r="D1454" s="93" t="s">
        <v>1671</v>
      </c>
      <c r="E1454" s="65"/>
      <c r="F1454" s="65"/>
      <c r="G1454" s="94">
        <f>IF($A1454=0,"",VLOOKUP($A1454,'BASE MATERIAL'!$M:$P,4))</f>
        <v>0</v>
      </c>
      <c r="H1454" s="95">
        <f>IF($A1454=0,"",ROUND(G1454*H1452,2))</f>
        <v>0</v>
      </c>
      <c r="I1454" s="2"/>
    </row>
    <row r="1455" spans="1:9" ht="15.75" x14ac:dyDescent="0.25">
      <c r="B1455" s="2"/>
      <c r="C1455" s="2"/>
      <c r="D1455" s="93" t="s">
        <v>1670</v>
      </c>
      <c r="E1455" s="65"/>
      <c r="F1455" s="65"/>
      <c r="G1455" s="65"/>
      <c r="H1455" s="96">
        <f>ROUND(SUM(H1452:H1454),2)</f>
        <v>17.510000000000002</v>
      </c>
      <c r="I1455" s="2"/>
    </row>
    <row r="1456" spans="1:9" ht="16.5" thickBot="1" x14ac:dyDescent="0.3">
      <c r="B1456" s="25"/>
      <c r="C1456" s="2"/>
      <c r="D1456" s="97" t="s">
        <v>1650</v>
      </c>
      <c r="E1456" s="88"/>
      <c r="F1456" s="88"/>
      <c r="G1456" s="88"/>
      <c r="H1456" s="98">
        <f>ROUND(H1455,2)</f>
        <v>17.510000000000002</v>
      </c>
      <c r="I1456" s="2"/>
    </row>
    <row r="1457" spans="1:15" ht="15.75" x14ac:dyDescent="0.25">
      <c r="B1457" s="34" t="s">
        <v>1701</v>
      </c>
      <c r="C1457" s="2"/>
      <c r="D1457" s="3" t="str">
        <f>$D$1</f>
        <v>ESPOL</v>
      </c>
      <c r="E1457" s="2"/>
      <c r="F1457" s="2"/>
      <c r="H1457" s="2" t="s">
        <v>108</v>
      </c>
      <c r="I1457" s="2"/>
      <c r="L1457" s="40">
        <f>A1461</f>
        <v>2</v>
      </c>
      <c r="M1457" s="1" t="str">
        <f>C1462</f>
        <v>Presotato de Baja</v>
      </c>
      <c r="N1457" s="2" t="str">
        <f>H1461</f>
        <v>unidad</v>
      </c>
      <c r="O1457" s="2">
        <f>H1512</f>
        <v>17.510000000000002</v>
      </c>
    </row>
    <row r="1458" spans="1:15" ht="15.75" x14ac:dyDescent="0.25">
      <c r="B1458" s="34" t="s">
        <v>1700</v>
      </c>
      <c r="C1458" s="3">
        <f>'1.1'!$C$2</f>
        <v>0</v>
      </c>
      <c r="D1458" s="2"/>
      <c r="E1458" s="2"/>
      <c r="F1458" s="2"/>
      <c r="G1458" s="41" t="s">
        <v>1699</v>
      </c>
      <c r="H1458" s="42"/>
      <c r="I1458" s="2" t="s">
        <v>1698</v>
      </c>
    </row>
    <row r="1459" spans="1:15" ht="15.75" x14ac:dyDescent="0.25">
      <c r="B1459" s="34"/>
      <c r="C1459" s="3">
        <f>'1.1'!$C$3</f>
        <v>0</v>
      </c>
      <c r="D1459" s="2"/>
      <c r="E1459" s="2"/>
      <c r="F1459" s="2"/>
      <c r="G1459" s="2"/>
      <c r="H1459" s="2"/>
      <c r="I1459" s="2"/>
    </row>
    <row r="1460" spans="1:15" ht="15.75" x14ac:dyDescent="0.25">
      <c r="B1460" s="34" t="s">
        <v>1697</v>
      </c>
      <c r="C1460" s="3"/>
      <c r="D1460" s="2"/>
      <c r="E1460" s="2"/>
      <c r="F1460" s="2"/>
      <c r="G1460" s="2"/>
      <c r="H1460" s="2"/>
      <c r="I1460" s="2"/>
    </row>
    <row r="1461" spans="1:15" x14ac:dyDescent="0.25">
      <c r="A1461" s="104">
        <v>2</v>
      </c>
      <c r="B1461" s="2" t="s">
        <v>1586</v>
      </c>
      <c r="C1461" s="101" t="s">
        <v>177</v>
      </c>
      <c r="D1461" s="2"/>
      <c r="G1461" s="2" t="s">
        <v>1696</v>
      </c>
      <c r="H1461" s="3" t="s">
        <v>126</v>
      </c>
      <c r="I1461" s="2"/>
    </row>
    <row r="1462" spans="1:15" x14ac:dyDescent="0.25">
      <c r="B1462" s="1" t="s">
        <v>1585</v>
      </c>
      <c r="C1462" s="36" t="s">
        <v>159</v>
      </c>
      <c r="D1462" s="2"/>
      <c r="E1462" s="2"/>
      <c r="F1462" s="2"/>
      <c r="G1462" s="2"/>
      <c r="H1462" s="2"/>
      <c r="I1462" s="2"/>
    </row>
    <row r="1463" spans="1:15" ht="15.75" thickBot="1" x14ac:dyDescent="0.3">
      <c r="D1463" s="2"/>
      <c r="E1463" s="2"/>
      <c r="F1463" s="2"/>
      <c r="G1463" s="2"/>
      <c r="H1463" s="2"/>
      <c r="I1463" s="2"/>
    </row>
    <row r="1464" spans="1:15" ht="15.75" thickBot="1" x14ac:dyDescent="0.3">
      <c r="B1464" s="43" t="s">
        <v>1695</v>
      </c>
      <c r="C1464" s="44"/>
      <c r="D1464" s="44"/>
      <c r="E1464" s="44"/>
      <c r="F1464" s="44"/>
      <c r="G1464" s="44"/>
      <c r="H1464" s="45"/>
      <c r="I1464" s="2"/>
    </row>
    <row r="1465" spans="1:15" ht="25.5" x14ac:dyDescent="0.25">
      <c r="B1465" s="46" t="s">
        <v>1409</v>
      </c>
      <c r="C1465" s="47"/>
      <c r="D1465" s="48" t="s">
        <v>1690</v>
      </c>
      <c r="E1465" s="48" t="s">
        <v>1694</v>
      </c>
      <c r="F1465" s="48" t="s">
        <v>1693</v>
      </c>
      <c r="G1465" s="49" t="s">
        <v>1687</v>
      </c>
      <c r="H1465" s="50" t="s">
        <v>1686</v>
      </c>
      <c r="I1465" s="2"/>
    </row>
    <row r="1466" spans="1:15" x14ac:dyDescent="0.25">
      <c r="B1466" s="51" t="str">
        <f>IF($A1466=0,"",VLOOKUP($A1466,'BASE EQUIPO'!$A:$D,2))</f>
        <v/>
      </c>
      <c r="C1466" s="52"/>
      <c r="D1466" s="53"/>
      <c r="E1466" s="53" t="str">
        <f>IF($A1466=0,"",VLOOKUP($A1466,'BASE EQUIPO'!$A:$D,4)*H1482)</f>
        <v/>
      </c>
      <c r="F1466" s="53" t="str">
        <f t="shared" ref="F1466:F1471" si="130">IF($A1466=0,"",ROUND(D1466*E1466,2))</f>
        <v/>
      </c>
      <c r="G1466" s="105"/>
      <c r="H1466" s="54" t="str">
        <f t="shared" ref="H1466:H1471" si="131">IF($A1466=0,"",ROUND(G1466*F1466,2))</f>
        <v/>
      </c>
      <c r="I1466" s="2"/>
    </row>
    <row r="1467" spans="1:15" x14ac:dyDescent="0.25">
      <c r="B1467" s="38" t="str">
        <f>IF($A1467=0,"",VLOOKUP($A1467,'BASE EQUIPO'!$A:$D,2))</f>
        <v/>
      </c>
      <c r="C1467" s="2"/>
      <c r="D1467" s="55"/>
      <c r="E1467" s="55" t="str">
        <f>IF($A1467=0,"",VLOOKUP($A1467,'BASE EQUIPO'!$A:$D,4))</f>
        <v/>
      </c>
      <c r="F1467" s="55" t="str">
        <f t="shared" si="130"/>
        <v/>
      </c>
      <c r="G1467" s="106"/>
      <c r="H1467" s="56" t="str">
        <f t="shared" si="131"/>
        <v/>
      </c>
      <c r="I1467" s="2"/>
    </row>
    <row r="1468" spans="1:15" x14ac:dyDescent="0.25">
      <c r="B1468" s="38" t="str">
        <f>IF($A1468=0,"",VLOOKUP($A1468,'BASE EQUIPO'!$A:$D,2))</f>
        <v/>
      </c>
      <c r="C1468" s="2"/>
      <c r="D1468" s="55"/>
      <c r="E1468" s="55" t="str">
        <f>IF($A1468=0,"",VLOOKUP($A1468,'BASE EQUIPO'!$A:$D,4))</f>
        <v/>
      </c>
      <c r="F1468" s="55" t="str">
        <f t="shared" si="130"/>
        <v/>
      </c>
      <c r="G1468" s="106"/>
      <c r="H1468" s="56" t="str">
        <f t="shared" si="131"/>
        <v/>
      </c>
      <c r="I1468" s="2"/>
    </row>
    <row r="1469" spans="1:15" x14ac:dyDescent="0.25">
      <c r="B1469" s="38" t="str">
        <f>IF($A1469=0,"",VLOOKUP($A1469,'BASE EQUIPO'!$A:$D,2))</f>
        <v/>
      </c>
      <c r="C1469" s="2"/>
      <c r="D1469" s="55"/>
      <c r="E1469" s="55" t="str">
        <f>IF($A1469=0,"",VLOOKUP($A1469,'BASE EQUIPO'!$A:$D,4))</f>
        <v/>
      </c>
      <c r="F1469" s="55" t="str">
        <f t="shared" si="130"/>
        <v/>
      </c>
      <c r="G1469" s="106"/>
      <c r="H1469" s="56" t="str">
        <f t="shared" si="131"/>
        <v/>
      </c>
      <c r="I1469" s="2"/>
    </row>
    <row r="1470" spans="1:15" x14ac:dyDescent="0.25">
      <c r="B1470" s="38" t="str">
        <f>IF($A1470=0,"",VLOOKUP($A1470,'BASE EQUIPO'!$A:$D,2))</f>
        <v/>
      </c>
      <c r="C1470" s="2"/>
      <c r="D1470" s="55"/>
      <c r="E1470" s="55" t="str">
        <f>IF($A1470=0,"",VLOOKUP($A1470,'BASE EQUIPO'!$A:$D,4))</f>
        <v/>
      </c>
      <c r="F1470" s="55" t="str">
        <f t="shared" si="130"/>
        <v/>
      </c>
      <c r="G1470" s="106"/>
      <c r="H1470" s="56" t="str">
        <f t="shared" si="131"/>
        <v/>
      </c>
      <c r="I1470" s="2"/>
    </row>
    <row r="1471" spans="1:15" x14ac:dyDescent="0.25">
      <c r="B1471" s="57" t="str">
        <f>IF($A1471=0,"",VLOOKUP($A1471,'BASE EQUIPO'!$A:$D,2))</f>
        <v/>
      </c>
      <c r="C1471" s="58"/>
      <c r="D1471" s="59"/>
      <c r="E1471" s="59" t="str">
        <f>IF($A1471=0,"",VLOOKUP($A1471,'BASE EQUIPO'!$A:$D,4))</f>
        <v/>
      </c>
      <c r="F1471" s="59" t="str">
        <f t="shared" si="130"/>
        <v/>
      </c>
      <c r="G1471" s="107"/>
      <c r="H1471" s="60" t="str">
        <f t="shared" si="131"/>
        <v/>
      </c>
      <c r="I1471" s="2"/>
    </row>
    <row r="1472" spans="1:15" x14ac:dyDescent="0.25">
      <c r="B1472" s="57" t="s">
        <v>1692</v>
      </c>
      <c r="C1472" s="58"/>
      <c r="D1472" s="61"/>
      <c r="E1472" s="61"/>
      <c r="F1472" s="61"/>
      <c r="G1472" s="62"/>
      <c r="H1472" s="60">
        <f>ROUND(SUM(H1465:H1471),2)</f>
        <v>0</v>
      </c>
      <c r="I1472" s="2"/>
    </row>
    <row r="1473" spans="1:16" x14ac:dyDescent="0.25">
      <c r="B1473" s="38" t="s">
        <v>1503</v>
      </c>
      <c r="C1473" s="2"/>
      <c r="D1473" s="3"/>
      <c r="E1473" s="3"/>
      <c r="F1473" s="3"/>
      <c r="G1473" s="63"/>
      <c r="H1473" s="56"/>
      <c r="I1473" s="2"/>
    </row>
    <row r="1474" spans="1:16" ht="25.5" x14ac:dyDescent="0.25">
      <c r="B1474" s="64" t="s">
        <v>1691</v>
      </c>
      <c r="C1474" s="65"/>
      <c r="D1474" s="66" t="s">
        <v>1690</v>
      </c>
      <c r="E1474" s="66" t="s">
        <v>1689</v>
      </c>
      <c r="F1474" s="66" t="s">
        <v>1688</v>
      </c>
      <c r="G1474" s="67" t="s">
        <v>1687</v>
      </c>
      <c r="H1474" s="68" t="s">
        <v>1686</v>
      </c>
      <c r="I1474" s="2"/>
    </row>
    <row r="1475" spans="1:16" x14ac:dyDescent="0.25">
      <c r="B1475" s="69" t="str">
        <f>IF($A1475=0,"",VLOOKUP($A1475,'BASE M-OBRA'!$A:$D,2))</f>
        <v/>
      </c>
      <c r="C1475" s="2"/>
      <c r="D1475" s="108"/>
      <c r="E1475" s="70" t="str">
        <f>IF($A1475=0,"",VLOOKUP($A1475,'BASE M-OBRA'!$A:$D,4))</f>
        <v/>
      </c>
      <c r="F1475" s="55" t="str">
        <f t="shared" ref="F1475:F1481" si="132">IF($A1475=0,"",ROUND(D1475*E1475,2))</f>
        <v/>
      </c>
      <c r="G1475" s="106" t="str">
        <f>IF($A1475=0,"",ROUND(H1475/F1475,2))</f>
        <v/>
      </c>
      <c r="H1475" s="56" t="str">
        <f>IF($A1475=0,"",ROUND(SUM(H1476:H1481)*'BASE M-OBRA'!$D$23,2))</f>
        <v/>
      </c>
      <c r="I1475" s="2"/>
    </row>
    <row r="1476" spans="1:16" x14ac:dyDescent="0.25">
      <c r="B1476" s="69" t="str">
        <f>IF($A1476=0,"",VLOOKUP($A1476,'BASE M-OBRA'!$A:$D,2))</f>
        <v/>
      </c>
      <c r="C1476" s="2"/>
      <c r="D1476" s="108"/>
      <c r="E1476" s="70" t="str">
        <f>IF($A1476=0,"",VLOOKUP($A1476,'BASE M-OBRA'!$A:$D,4))</f>
        <v/>
      </c>
      <c r="F1476" s="55" t="str">
        <f t="shared" si="132"/>
        <v/>
      </c>
      <c r="G1476" s="106"/>
      <c r="H1476" s="56" t="str">
        <f t="shared" ref="H1476:H1481" si="133">IF($A1476=0,"",ROUND(G1476*F1476,2))</f>
        <v/>
      </c>
      <c r="I1476" s="2"/>
    </row>
    <row r="1477" spans="1:16" x14ac:dyDescent="0.25">
      <c r="B1477" s="69" t="str">
        <f>IF($A1477=0,"",VLOOKUP($A1477,'BASE M-OBRA'!$A:$D,2))</f>
        <v/>
      </c>
      <c r="C1477" s="2"/>
      <c r="D1477" s="108"/>
      <c r="E1477" s="70" t="str">
        <f>IF($A1477=0,"",VLOOKUP($A1477,'BASE M-OBRA'!$A:$D,4))</f>
        <v/>
      </c>
      <c r="F1477" s="55" t="str">
        <f t="shared" si="132"/>
        <v/>
      </c>
      <c r="G1477" s="106"/>
      <c r="H1477" s="56" t="str">
        <f t="shared" si="133"/>
        <v/>
      </c>
      <c r="I1477" s="2"/>
    </row>
    <row r="1478" spans="1:16" x14ac:dyDescent="0.25">
      <c r="B1478" s="71" t="str">
        <f>IF($A1478=0,"",VLOOKUP($A1478,'BASE M-OBRA'!$A:$D,2))</f>
        <v/>
      </c>
      <c r="C1478" s="2"/>
      <c r="D1478" s="108"/>
      <c r="E1478" s="70" t="str">
        <f>IF($A1478=0,"",VLOOKUP($A1478,'BASE M-OBRA'!$A:$D,4))</f>
        <v/>
      </c>
      <c r="F1478" s="55" t="str">
        <f t="shared" si="132"/>
        <v/>
      </c>
      <c r="G1478" s="106"/>
      <c r="H1478" s="56" t="str">
        <f t="shared" si="133"/>
        <v/>
      </c>
      <c r="I1478" s="2"/>
    </row>
    <row r="1479" spans="1:16" x14ac:dyDescent="0.25">
      <c r="B1479" s="72" t="str">
        <f>IF($A1479=0,"",VLOOKUP($A1479,'BASE M-OBRA'!$A:$D,2))</f>
        <v/>
      </c>
      <c r="C1479" s="2"/>
      <c r="D1479" s="108"/>
      <c r="E1479" s="70" t="str">
        <f>IF($A1479=0,"",VLOOKUP($A1479,'BASE M-OBRA'!$A:$D,4))</f>
        <v/>
      </c>
      <c r="F1479" s="55" t="str">
        <f t="shared" si="132"/>
        <v/>
      </c>
      <c r="G1479" s="106"/>
      <c r="H1479" s="56" t="str">
        <f t="shared" si="133"/>
        <v/>
      </c>
      <c r="I1479" s="2"/>
    </row>
    <row r="1480" spans="1:16" x14ac:dyDescent="0.25">
      <c r="B1480" s="38" t="str">
        <f>IF($A1480=0,"",VLOOKUP($A1480,'BASE M-OBRA'!$A:$D,2))</f>
        <v/>
      </c>
      <c r="C1480" s="2"/>
      <c r="D1480" s="55"/>
      <c r="E1480" s="55" t="str">
        <f>IF($A1480=0,"",VLOOKUP($A1480,'BASE M-OBRA'!$A:$D,4))</f>
        <v/>
      </c>
      <c r="F1480" s="55" t="str">
        <f t="shared" si="132"/>
        <v/>
      </c>
      <c r="G1480" s="106"/>
      <c r="H1480" s="56" t="str">
        <f t="shared" si="133"/>
        <v/>
      </c>
      <c r="I1480" s="2"/>
    </row>
    <row r="1481" spans="1:16" x14ac:dyDescent="0.25">
      <c r="B1481" s="57" t="str">
        <f>IF($A1481=0,"",VLOOKUP($A1481,'BASE M-OBRA'!$A:$D,2))</f>
        <v/>
      </c>
      <c r="C1481" s="58"/>
      <c r="D1481" s="59"/>
      <c r="E1481" s="59" t="str">
        <f>IF($A1481=0,"",VLOOKUP($A1481,'BASE M-OBRA'!$A:$D,4))</f>
        <v/>
      </c>
      <c r="F1481" s="59" t="str">
        <f t="shared" si="132"/>
        <v/>
      </c>
      <c r="G1481" s="107"/>
      <c r="H1481" s="60" t="str">
        <f t="shared" si="133"/>
        <v/>
      </c>
      <c r="I1481" s="2"/>
    </row>
    <row r="1482" spans="1:16" x14ac:dyDescent="0.25">
      <c r="B1482" s="73" t="s">
        <v>1685</v>
      </c>
      <c r="C1482" s="65"/>
      <c r="D1482" s="74"/>
      <c r="E1482" s="74"/>
      <c r="F1482" s="74"/>
      <c r="G1482" s="74"/>
      <c r="H1482" s="75">
        <f>ROUND(SUM(H1474:H1481),2)</f>
        <v>0</v>
      </c>
      <c r="I1482" s="2"/>
    </row>
    <row r="1483" spans="1:16" x14ac:dyDescent="0.25">
      <c r="B1483" s="38" t="s">
        <v>1684</v>
      </c>
      <c r="C1483" s="2"/>
      <c r="D1483" s="3"/>
      <c r="E1483" s="3"/>
      <c r="F1483" s="3"/>
      <c r="G1483" s="3"/>
      <c r="H1483" s="56"/>
      <c r="I1483" s="2"/>
    </row>
    <row r="1484" spans="1:16" ht="25.5" x14ac:dyDescent="0.25">
      <c r="B1484" s="64" t="s">
        <v>1409</v>
      </c>
      <c r="C1484" s="65"/>
      <c r="D1484" s="76"/>
      <c r="E1484" s="66" t="s">
        <v>1408</v>
      </c>
      <c r="F1484" s="66" t="s">
        <v>1679</v>
      </c>
      <c r="G1484" s="66" t="s">
        <v>1683</v>
      </c>
      <c r="H1484" s="68" t="s">
        <v>1675</v>
      </c>
      <c r="I1484" s="2"/>
    </row>
    <row r="1485" spans="1:16" x14ac:dyDescent="0.25">
      <c r="A1485" s="103">
        <v>1</v>
      </c>
      <c r="B1485" s="102" t="s">
        <v>159</v>
      </c>
      <c r="C1485" s="2"/>
      <c r="D1485" s="77"/>
      <c r="E1485" s="78" t="s">
        <v>126</v>
      </c>
      <c r="F1485" s="55">
        <v>1</v>
      </c>
      <c r="G1485" s="55">
        <v>17</v>
      </c>
      <c r="H1485" s="56">
        <f t="shared" ref="H1485:H1499" si="134">IF($A1485=0,"",ROUND(F1485*G1485,2))</f>
        <v>17</v>
      </c>
      <c r="I1485" s="2"/>
      <c r="J1485" s="1">
        <v>2.98</v>
      </c>
      <c r="L1485" s="2"/>
      <c r="M1485" s="2"/>
      <c r="N1485" s="39"/>
      <c r="O1485" s="2"/>
      <c r="P1485" s="2"/>
    </row>
    <row r="1486" spans="1:16" x14ac:dyDescent="0.25">
      <c r="B1486" s="102"/>
      <c r="C1486" s="2"/>
      <c r="D1486" s="77"/>
      <c r="E1486" s="78" t="str">
        <f>IF($A1486=0,"",VLOOKUP($A1486,'BASE MATERIAL'!$A:$D,3))</f>
        <v/>
      </c>
      <c r="F1486" s="55"/>
      <c r="G1486" s="55" t="str">
        <f>IF($A1486=0,"",VLOOKUP($A1486,'BASE MATERIAL'!$A:$D,4))</f>
        <v/>
      </c>
      <c r="H1486" s="56" t="str">
        <f t="shared" si="134"/>
        <v/>
      </c>
      <c r="I1486" s="2"/>
      <c r="L1486" s="2"/>
      <c r="M1486" s="2"/>
      <c r="N1486" s="39"/>
      <c r="O1486" s="2"/>
      <c r="P1486" s="2"/>
    </row>
    <row r="1487" spans="1:16" x14ac:dyDescent="0.25">
      <c r="B1487" s="38" t="str">
        <f>IF($A1487=0,"",VLOOKUP($A1487,'BASE MATERIAL'!$A:$D,2))</f>
        <v/>
      </c>
      <c r="C1487" s="2"/>
      <c r="D1487" s="77"/>
      <c r="E1487" s="78" t="str">
        <f>IF($A1487=0,"",VLOOKUP($A1487,'BASE MATERIAL'!$A:$D,3))</f>
        <v/>
      </c>
      <c r="F1487" s="55"/>
      <c r="G1487" s="55" t="str">
        <f>IF($A1487=0,"",VLOOKUP($A1487,'BASE MATERIAL'!$A:$D,4))</f>
        <v/>
      </c>
      <c r="H1487" s="56" t="str">
        <f t="shared" si="134"/>
        <v/>
      </c>
      <c r="I1487" s="2"/>
      <c r="L1487" s="2"/>
      <c r="M1487" s="2"/>
      <c r="N1487" s="39"/>
      <c r="O1487" s="2"/>
      <c r="P1487" s="2"/>
    </row>
    <row r="1488" spans="1:16" x14ac:dyDescent="0.25">
      <c r="B1488" s="38" t="str">
        <f>IF($A1488=0,"",VLOOKUP($A1488,'BASE MATERIAL'!$A:$D,2))</f>
        <v/>
      </c>
      <c r="C1488" s="2"/>
      <c r="D1488" s="77"/>
      <c r="E1488" s="78" t="str">
        <f>IF($A1488=0,"",VLOOKUP($A1488,'BASE MATERIAL'!$A:$D,3))</f>
        <v/>
      </c>
      <c r="F1488" s="55"/>
      <c r="G1488" s="55" t="str">
        <f>IF($A1488=0,"",VLOOKUP($A1488,'BASE MATERIAL'!$A:$D,4))</f>
        <v/>
      </c>
      <c r="H1488" s="56" t="str">
        <f t="shared" si="134"/>
        <v/>
      </c>
      <c r="I1488" s="2"/>
      <c r="L1488" s="2"/>
      <c r="M1488" s="2"/>
      <c r="N1488" s="39"/>
      <c r="O1488" s="2"/>
      <c r="P1488" s="2"/>
    </row>
    <row r="1489" spans="1:16" x14ac:dyDescent="0.25">
      <c r="B1489" s="38" t="str">
        <f>IF($A1489=0,"",VLOOKUP($A1489,'BASE MATERIAL'!$A:$D,2))</f>
        <v/>
      </c>
      <c r="C1489" s="2"/>
      <c r="D1489" s="77"/>
      <c r="E1489" s="78" t="str">
        <f>IF($A1489=0,"",VLOOKUP($A1489,'BASE MATERIAL'!$A:$D,3))</f>
        <v/>
      </c>
      <c r="F1489" s="55"/>
      <c r="G1489" s="55" t="str">
        <f>IF($A1489=0,"",VLOOKUP($A1489,'BASE MATERIAL'!$A:$D,4))</f>
        <v/>
      </c>
      <c r="H1489" s="56" t="str">
        <f t="shared" si="134"/>
        <v/>
      </c>
      <c r="I1489" s="2"/>
      <c r="L1489" s="2"/>
      <c r="M1489" s="2"/>
      <c r="N1489" s="39"/>
      <c r="O1489" s="2"/>
      <c r="P1489" s="2"/>
    </row>
    <row r="1490" spans="1:16" x14ac:dyDescent="0.25">
      <c r="B1490" s="38" t="str">
        <f>IF($A1490=0,"",VLOOKUP($A1490,'BASE MATERIAL'!$A:$D,2))</f>
        <v/>
      </c>
      <c r="C1490" s="2"/>
      <c r="D1490" s="77"/>
      <c r="E1490" s="78" t="str">
        <f>IF($A1490=0,"",VLOOKUP($A1490,'BASE MATERIAL'!$A:$D,3))</f>
        <v/>
      </c>
      <c r="F1490" s="55"/>
      <c r="G1490" s="55" t="str">
        <f>IF($A1490=0,"",VLOOKUP($A1490,'BASE MATERIAL'!$A:$D,4))</f>
        <v/>
      </c>
      <c r="H1490" s="56" t="str">
        <f t="shared" si="134"/>
        <v/>
      </c>
      <c r="I1490" s="2"/>
      <c r="L1490" s="2"/>
      <c r="M1490" s="2"/>
      <c r="N1490" s="39"/>
      <c r="O1490" s="2"/>
      <c r="P1490" s="2"/>
    </row>
    <row r="1491" spans="1:16" x14ac:dyDescent="0.25">
      <c r="B1491" s="38" t="str">
        <f>IF($A1491=0,"",VLOOKUP($A1491,'BASE MATERIAL'!$A:$D,2))</f>
        <v/>
      </c>
      <c r="C1491" s="2"/>
      <c r="D1491" s="77"/>
      <c r="E1491" s="78" t="str">
        <f>IF($A1491=0,"",VLOOKUP($A1491,'BASE MATERIAL'!$A:$D,3))</f>
        <v/>
      </c>
      <c r="F1491" s="55"/>
      <c r="G1491" s="55" t="str">
        <f>IF($A1491=0,"",VLOOKUP($A1491,'BASE MATERIAL'!$A:$D,4))</f>
        <v/>
      </c>
      <c r="H1491" s="56" t="str">
        <f t="shared" si="134"/>
        <v/>
      </c>
      <c r="I1491" s="2"/>
      <c r="L1491" s="2"/>
      <c r="M1491" s="2"/>
      <c r="N1491" s="39"/>
      <c r="O1491" s="2"/>
      <c r="P1491" s="2"/>
    </row>
    <row r="1492" spans="1:16" x14ac:dyDescent="0.25">
      <c r="B1492" s="38" t="str">
        <f>IF($A1492=0,"",VLOOKUP($A1492,'BASE MATERIAL'!$A:$D,2))</f>
        <v/>
      </c>
      <c r="C1492" s="2"/>
      <c r="D1492" s="77"/>
      <c r="E1492" s="78" t="str">
        <f>IF($A1492=0,"",VLOOKUP($A1492,'BASE MATERIAL'!$A:$D,3))</f>
        <v/>
      </c>
      <c r="F1492" s="55"/>
      <c r="G1492" s="55" t="str">
        <f>IF($A1492=0,"",VLOOKUP($A1492,'BASE MATERIAL'!$A:$D,4))</f>
        <v/>
      </c>
      <c r="H1492" s="56" t="str">
        <f t="shared" si="134"/>
        <v/>
      </c>
      <c r="I1492" s="2"/>
      <c r="L1492" s="2"/>
      <c r="M1492" s="2"/>
      <c r="N1492" s="39"/>
      <c r="O1492" s="2"/>
      <c r="P1492" s="2"/>
    </row>
    <row r="1493" spans="1:16" x14ac:dyDescent="0.25">
      <c r="B1493" s="38" t="str">
        <f>IF($A1493=0,"",VLOOKUP($A1493,'BASE MATERIAL'!$A:$D,2))</f>
        <v/>
      </c>
      <c r="C1493" s="2"/>
      <c r="D1493" s="77"/>
      <c r="E1493" s="78" t="str">
        <f>IF($A1493=0,"",VLOOKUP($A1493,'BASE MATERIAL'!$A:$D,3))</f>
        <v/>
      </c>
      <c r="F1493" s="55"/>
      <c r="G1493" s="55" t="str">
        <f>IF($A1493=0,"",VLOOKUP($A1493,'BASE MATERIAL'!$A:$D,4))</f>
        <v/>
      </c>
      <c r="H1493" s="56" t="str">
        <f t="shared" si="134"/>
        <v/>
      </c>
      <c r="I1493" s="2"/>
    </row>
    <row r="1494" spans="1:16" x14ac:dyDescent="0.25">
      <c r="B1494" s="38" t="str">
        <f>IF($A1494=0,"",VLOOKUP($A1494,'BASE MATERIAL'!$A:$D,2))</f>
        <v/>
      </c>
      <c r="C1494" s="2"/>
      <c r="D1494" s="77"/>
      <c r="E1494" s="78" t="str">
        <f>IF($A1494=0,"",VLOOKUP($A1494,'BASE MATERIAL'!$A:$D,3))</f>
        <v/>
      </c>
      <c r="F1494" s="55"/>
      <c r="G1494" s="55" t="str">
        <f>IF($A1494=0,"",VLOOKUP($A1494,'BASE MATERIAL'!$A:$D,4))</f>
        <v/>
      </c>
      <c r="H1494" s="56" t="str">
        <f t="shared" si="134"/>
        <v/>
      </c>
      <c r="I1494" s="2"/>
      <c r="L1494" s="2"/>
      <c r="M1494" s="2"/>
      <c r="N1494" s="39"/>
      <c r="O1494" s="2"/>
      <c r="P1494" s="2"/>
    </row>
    <row r="1495" spans="1:16" x14ac:dyDescent="0.25">
      <c r="B1495" s="38" t="str">
        <f>IF($A1495=0,"",VLOOKUP($A1495,'BASE MATERIAL'!$A:$D,2))</f>
        <v/>
      </c>
      <c r="C1495" s="2"/>
      <c r="D1495" s="77"/>
      <c r="E1495" s="78" t="str">
        <f>IF($A1495=0,"",VLOOKUP($A1495,'BASE MATERIAL'!$A:$D,3))</f>
        <v/>
      </c>
      <c r="F1495" s="55"/>
      <c r="G1495" s="55" t="str">
        <f>IF($A1495=0,"",VLOOKUP($A1495,'BASE MATERIAL'!$A:$D,4))</f>
        <v/>
      </c>
      <c r="H1495" s="56" t="str">
        <f t="shared" si="134"/>
        <v/>
      </c>
      <c r="I1495" s="2"/>
      <c r="L1495" s="2"/>
      <c r="M1495" s="2"/>
      <c r="N1495" s="39"/>
      <c r="O1495" s="2"/>
      <c r="P1495" s="2"/>
    </row>
    <row r="1496" spans="1:16" x14ac:dyDescent="0.25">
      <c r="B1496" s="38" t="str">
        <f>IF($A1496=0,"",VLOOKUP($A1496,'BASE MATERIAL'!$A:$D,2))</f>
        <v/>
      </c>
      <c r="C1496" s="2"/>
      <c r="D1496" s="77"/>
      <c r="E1496" s="78" t="str">
        <f>IF($A1496=0,"",VLOOKUP($A1496,'BASE MATERIAL'!$A:$D,3))</f>
        <v/>
      </c>
      <c r="F1496" s="55"/>
      <c r="G1496" s="55" t="str">
        <f>IF($A1496=0,"",VLOOKUP($A1496,'BASE MATERIAL'!$A:$D,4))</f>
        <v/>
      </c>
      <c r="H1496" s="56" t="str">
        <f t="shared" si="134"/>
        <v/>
      </c>
      <c r="I1496" s="2"/>
    </row>
    <row r="1497" spans="1:16" x14ac:dyDescent="0.25">
      <c r="B1497" s="38" t="str">
        <f>IF($A1497=0,"",VLOOKUP($A1497,'BASE MATERIAL'!$A:$D,2))</f>
        <v/>
      </c>
      <c r="C1497" s="2"/>
      <c r="D1497" s="77"/>
      <c r="E1497" s="78" t="str">
        <f>IF($A1497=0,"",VLOOKUP($A1497,'BASE MATERIAL'!$A:$D,3))</f>
        <v/>
      </c>
      <c r="F1497" s="55"/>
      <c r="G1497" s="55" t="str">
        <f>IF($A1497=0,"",VLOOKUP($A1497,'BASE MATERIAL'!$A:$D,4))</f>
        <v/>
      </c>
      <c r="H1497" s="56" t="str">
        <f t="shared" si="134"/>
        <v/>
      </c>
      <c r="I1497" s="2"/>
    </row>
    <row r="1498" spans="1:16" x14ac:dyDescent="0.25">
      <c r="B1498" s="38" t="str">
        <f>IF($A1498=0,"",VLOOKUP($A1498,'BASE MATERIAL'!$A:$D,2))</f>
        <v/>
      </c>
      <c r="C1498" s="2"/>
      <c r="D1498" s="77"/>
      <c r="E1498" s="78" t="str">
        <f>IF($A1498=0,"",VLOOKUP($A1498,'BASE MATERIAL'!$A:$D,3))</f>
        <v/>
      </c>
      <c r="F1498" s="55"/>
      <c r="G1498" s="55" t="str">
        <f>IF($A1498=0,"",VLOOKUP($A1498,'BASE MATERIAL'!$A:$D,4))</f>
        <v/>
      </c>
      <c r="H1498" s="56" t="str">
        <f t="shared" si="134"/>
        <v/>
      </c>
      <c r="I1498" s="2"/>
    </row>
    <row r="1499" spans="1:16" x14ac:dyDescent="0.25">
      <c r="B1499" s="38" t="str">
        <f>IF($A1499=0,"",VLOOKUP($A1499,'BASE MATERIAL'!$A:$D,2))</f>
        <v/>
      </c>
      <c r="C1499" s="2"/>
      <c r="D1499" s="77"/>
      <c r="E1499" s="78" t="str">
        <f>IF($A1499=0,"",VLOOKUP($A1499,'BASE MATERIAL'!$A:$D,3))</f>
        <v/>
      </c>
      <c r="F1499" s="55"/>
      <c r="G1499" s="55" t="str">
        <f>IF($A1499=0,"",VLOOKUP($A1499,'BASE MATERIAL'!$A:$D,4))</f>
        <v/>
      </c>
      <c r="H1499" s="56" t="str">
        <f t="shared" si="134"/>
        <v/>
      </c>
      <c r="I1499" s="2"/>
    </row>
    <row r="1500" spans="1:16" x14ac:dyDescent="0.25">
      <c r="B1500" s="38" t="str">
        <f>IF($A1500=0,"",VLOOKUP($A1500,'BASE MATERIAL'!$A:$D,2))</f>
        <v/>
      </c>
      <c r="C1500" s="2"/>
      <c r="D1500" s="81" t="s">
        <v>1682</v>
      </c>
      <c r="E1500" s="55" t="str">
        <f>IF($A1500=0,"",VLOOKUP($A1500,'BASE MATERIAL'!$A:$D,3))</f>
        <v/>
      </c>
      <c r="F1500" s="55" t="s">
        <v>1682</v>
      </c>
      <c r="G1500" s="55" t="str">
        <f>IF($A1500=0,"",VLOOKUP($A1500,'BASE MATERIAL'!$A:$D,4))</f>
        <v/>
      </c>
      <c r="H1500" s="56" t="str">
        <f>IF($A1500=0,"",ROUND(E1500*F1500,2))</f>
        <v/>
      </c>
      <c r="I1500" s="2"/>
    </row>
    <row r="1501" spans="1:16" x14ac:dyDescent="0.25">
      <c r="B1501" s="73" t="s">
        <v>1681</v>
      </c>
      <c r="C1501" s="65"/>
      <c r="D1501" s="74"/>
      <c r="E1501" s="74"/>
      <c r="F1501" s="74"/>
      <c r="G1501" s="74"/>
      <c r="H1501" s="75">
        <f>ROUND(SUM(H1484:H1500),2)</f>
        <v>17</v>
      </c>
      <c r="I1501" s="2"/>
    </row>
    <row r="1502" spans="1:16" x14ac:dyDescent="0.25">
      <c r="B1502" s="38" t="s">
        <v>1680</v>
      </c>
      <c r="C1502" s="2"/>
      <c r="D1502" s="3"/>
      <c r="E1502" s="3"/>
      <c r="F1502" s="3"/>
      <c r="G1502" s="3"/>
      <c r="H1502" s="56"/>
      <c r="I1502" s="2"/>
    </row>
    <row r="1503" spans="1:16" ht="25.5" x14ac:dyDescent="0.25">
      <c r="B1503" s="64" t="s">
        <v>1409</v>
      </c>
      <c r="C1503" s="65"/>
      <c r="D1503" s="76"/>
      <c r="E1503" s="66" t="s">
        <v>1408</v>
      </c>
      <c r="F1503" s="66" t="s">
        <v>1679</v>
      </c>
      <c r="G1503" s="66" t="s">
        <v>1676</v>
      </c>
      <c r="H1503" s="68" t="s">
        <v>1675</v>
      </c>
      <c r="I1503" s="2"/>
    </row>
    <row r="1504" spans="1:16" x14ac:dyDescent="0.25">
      <c r="A1504" s="103">
        <v>19019</v>
      </c>
      <c r="B1504" s="51" t="str">
        <f>IF($A1504=0,"",VLOOKUP($A1504,'BASE EQUIPO'!$A:$D,2))</f>
        <v>TRANSPORTE DE MATERIAL</v>
      </c>
      <c r="C1504" s="52"/>
      <c r="D1504" s="82"/>
      <c r="E1504" s="78" t="str">
        <f>IF($A1504=0,"",VLOOKUP($A1504,'BASE EQUIPO'!$A:$D,3))</f>
        <v>GLOBAL</v>
      </c>
      <c r="F1504" s="55">
        <v>1</v>
      </c>
      <c r="G1504" s="83">
        <f>IF($A1504=0,"",VLOOKUP($A1504,'BASE EQUIPO'!$A:$D,4)*H1501)</f>
        <v>0.51</v>
      </c>
      <c r="H1504" s="56">
        <f>IF($A1504=0,"",ROUND(F1504*G1504,2))</f>
        <v>0.51</v>
      </c>
      <c r="I1504" s="2"/>
    </row>
    <row r="1505" spans="1:15" x14ac:dyDescent="0.25">
      <c r="B1505" s="38" t="str">
        <f>IF($A1505=0,"",VLOOKUP($A1505,'BASE EQUIPO'!$A:$D,2))</f>
        <v/>
      </c>
      <c r="C1505" s="2"/>
      <c r="D1505" s="84"/>
      <c r="E1505" s="78" t="str">
        <f>IF($A1505=0,"",VLOOKUP($A1505,'BASE EQUIPO'!$A:$D,3))</f>
        <v/>
      </c>
      <c r="F1505" s="55"/>
      <c r="G1505" s="55" t="str">
        <f>IF($A1505=0,"",VLOOKUP($A1505,'BASE EQUIPO'!$A:$D,4)*H1502)</f>
        <v/>
      </c>
      <c r="H1505" s="56" t="str">
        <f>IF($A1505=0,"",ROUND(F1505*G1505,2))</f>
        <v/>
      </c>
      <c r="I1505" s="2"/>
    </row>
    <row r="1506" spans="1:15" x14ac:dyDescent="0.25">
      <c r="B1506" s="57" t="str">
        <f>IF($A1506=0,"",VLOOKUP($A1506,'BASE EQUIPO'!$A:$D,2))</f>
        <v/>
      </c>
      <c r="C1506" s="58"/>
      <c r="D1506" s="85"/>
      <c r="E1506" s="86" t="str">
        <f>IF($A1506=0,"",VLOOKUP($A1506,'BASE EQUIPO'!$A:$D,3))</f>
        <v/>
      </c>
      <c r="F1506" s="59"/>
      <c r="G1506" s="59" t="str">
        <f>IF($A1506=0,"",VLOOKUP($A1506,'BASE EQUIPO'!$A:$D,4)*H1503)</f>
        <v/>
      </c>
      <c r="H1506" s="60" t="str">
        <f>IF($A1506=0,"",ROUND(F1506*G1506,2))</f>
        <v/>
      </c>
      <c r="I1506" s="2"/>
    </row>
    <row r="1507" spans="1:15" ht="15.75" thickBot="1" x14ac:dyDescent="0.3">
      <c r="B1507" s="87" t="s">
        <v>1674</v>
      </c>
      <c r="C1507" s="88"/>
      <c r="D1507" s="89"/>
      <c r="E1507" s="89"/>
      <c r="F1507" s="89"/>
      <c r="G1507" s="89"/>
      <c r="H1507" s="90">
        <f>ROUND(SUM(H1503:H1506),2)</f>
        <v>0.51</v>
      </c>
      <c r="I1507" s="2"/>
    </row>
    <row r="1508" spans="1:15" ht="15.75" x14ac:dyDescent="0.25">
      <c r="B1508" s="2"/>
      <c r="C1508" s="2"/>
      <c r="D1508" s="91" t="s">
        <v>1673</v>
      </c>
      <c r="E1508" s="47"/>
      <c r="F1508" s="47"/>
      <c r="G1508" s="47"/>
      <c r="H1508" s="92">
        <f>ROUND(SUM(H1507,H1501,H1482,H1472),2)</f>
        <v>17.510000000000002</v>
      </c>
      <c r="I1508" s="2"/>
    </row>
    <row r="1509" spans="1:15" ht="15.75" x14ac:dyDescent="0.25">
      <c r="A1509" s="103">
        <v>40002</v>
      </c>
      <c r="B1509" s="2"/>
      <c r="C1509" s="2"/>
      <c r="D1509" s="93" t="s">
        <v>1672</v>
      </c>
      <c r="E1509" s="65"/>
      <c r="F1509" s="65"/>
      <c r="G1509" s="94">
        <f>IF($A1509=0,"",VLOOKUP($A1509,'BASE MATERIAL'!$M:$P,4))</f>
        <v>0</v>
      </c>
      <c r="H1509" s="95">
        <f>IF($A1509=0,"",ROUND(G1509*H1508,2))</f>
        <v>0</v>
      </c>
      <c r="I1509" s="2"/>
    </row>
    <row r="1510" spans="1:15" ht="15.75" x14ac:dyDescent="0.25">
      <c r="A1510" s="103">
        <v>40003</v>
      </c>
      <c r="B1510" s="2"/>
      <c r="C1510" s="2"/>
      <c r="D1510" s="93" t="s">
        <v>1671</v>
      </c>
      <c r="E1510" s="65"/>
      <c r="F1510" s="65"/>
      <c r="G1510" s="94">
        <f>IF($A1510=0,"",VLOOKUP($A1510,'BASE MATERIAL'!$M:$P,4))</f>
        <v>0</v>
      </c>
      <c r="H1510" s="95">
        <f>IF($A1510=0,"",ROUND(G1510*H1508,2))</f>
        <v>0</v>
      </c>
      <c r="I1510" s="2"/>
    </row>
    <row r="1511" spans="1:15" ht="15.75" x14ac:dyDescent="0.25">
      <c r="B1511" s="2"/>
      <c r="C1511" s="2"/>
      <c r="D1511" s="93" t="s">
        <v>1670</v>
      </c>
      <c r="E1511" s="65"/>
      <c r="F1511" s="65"/>
      <c r="G1511" s="65"/>
      <c r="H1511" s="96">
        <f>ROUND(SUM(H1508:H1510),2)</f>
        <v>17.510000000000002</v>
      </c>
      <c r="I1511" s="2"/>
    </row>
    <row r="1512" spans="1:15" ht="16.5" thickBot="1" x14ac:dyDescent="0.3">
      <c r="B1512" s="25"/>
      <c r="C1512" s="2"/>
      <c r="D1512" s="97" t="s">
        <v>1650</v>
      </c>
      <c r="E1512" s="88"/>
      <c r="F1512" s="88"/>
      <c r="G1512" s="88"/>
      <c r="H1512" s="98">
        <f>ROUND(H1511,2)</f>
        <v>17.510000000000002</v>
      </c>
      <c r="I1512" s="2"/>
    </row>
    <row r="1513" spans="1:15" ht="15.75" x14ac:dyDescent="0.25">
      <c r="B1513" s="34" t="s">
        <v>1701</v>
      </c>
      <c r="C1513" s="2"/>
      <c r="D1513" s="3" t="str">
        <f>$D$1</f>
        <v>ESPOL</v>
      </c>
      <c r="E1513" s="2"/>
      <c r="F1513" s="2"/>
      <c r="H1513" s="2" t="s">
        <v>108</v>
      </c>
      <c r="I1513" s="2"/>
      <c r="L1513" s="40">
        <f>A1517</f>
        <v>2</v>
      </c>
      <c r="M1513" s="1" t="str">
        <f>C1518</f>
        <v xml:space="preserve">Refrigerante R22 </v>
      </c>
      <c r="N1513" s="2" t="str">
        <f>H1517</f>
        <v>libras</v>
      </c>
      <c r="O1513" s="2">
        <f>H1568</f>
        <v>3.93</v>
      </c>
    </row>
    <row r="1514" spans="1:15" ht="15.75" x14ac:dyDescent="0.25">
      <c r="B1514" s="34" t="s">
        <v>1700</v>
      </c>
      <c r="C1514" s="3">
        <f>'1.1'!$C$2</f>
        <v>0</v>
      </c>
      <c r="D1514" s="2"/>
      <c r="E1514" s="2"/>
      <c r="F1514" s="2"/>
      <c r="G1514" s="41" t="s">
        <v>1699</v>
      </c>
      <c r="H1514" s="42"/>
      <c r="I1514" s="2" t="s">
        <v>1698</v>
      </c>
    </row>
    <row r="1515" spans="1:15" ht="15.75" x14ac:dyDescent="0.25">
      <c r="B1515" s="34"/>
      <c r="C1515" s="3">
        <f>'1.1'!$C$3</f>
        <v>0</v>
      </c>
      <c r="D1515" s="2"/>
      <c r="E1515" s="2"/>
      <c r="F1515" s="2"/>
      <c r="G1515" s="2"/>
      <c r="H1515" s="2"/>
      <c r="I1515" s="2"/>
    </row>
    <row r="1516" spans="1:15" ht="15.75" x14ac:dyDescent="0.25">
      <c r="B1516" s="34" t="s">
        <v>1697</v>
      </c>
      <c r="C1516" s="3"/>
      <c r="D1516" s="2"/>
      <c r="E1516" s="2"/>
      <c r="F1516" s="2"/>
      <c r="G1516" s="2"/>
      <c r="H1516" s="2"/>
      <c r="I1516" s="2"/>
    </row>
    <row r="1517" spans="1:15" x14ac:dyDescent="0.25">
      <c r="A1517" s="104">
        <v>2</v>
      </c>
      <c r="B1517" s="2" t="s">
        <v>1586</v>
      </c>
      <c r="C1517" s="101" t="s">
        <v>178</v>
      </c>
      <c r="D1517" s="2"/>
      <c r="G1517" s="2" t="s">
        <v>1696</v>
      </c>
      <c r="H1517" s="3" t="s">
        <v>161</v>
      </c>
      <c r="I1517" s="2"/>
    </row>
    <row r="1518" spans="1:15" x14ac:dyDescent="0.25">
      <c r="B1518" s="1" t="s">
        <v>1585</v>
      </c>
      <c r="C1518" s="36" t="s">
        <v>160</v>
      </c>
      <c r="D1518" s="2"/>
      <c r="E1518" s="2"/>
      <c r="F1518" s="2"/>
      <c r="G1518" s="2"/>
      <c r="H1518" s="2"/>
      <c r="I1518" s="2"/>
    </row>
    <row r="1519" spans="1:15" ht="15.75" thickBot="1" x14ac:dyDescent="0.3">
      <c r="D1519" s="2"/>
      <c r="E1519" s="2"/>
      <c r="F1519" s="2"/>
      <c r="G1519" s="2"/>
      <c r="H1519" s="2"/>
      <c r="I1519" s="2"/>
    </row>
    <row r="1520" spans="1:15" ht="15.75" thickBot="1" x14ac:dyDescent="0.3">
      <c r="B1520" s="43" t="s">
        <v>1695</v>
      </c>
      <c r="C1520" s="44"/>
      <c r="D1520" s="44"/>
      <c r="E1520" s="44"/>
      <c r="F1520" s="44"/>
      <c r="G1520" s="44"/>
      <c r="H1520" s="45"/>
      <c r="I1520" s="2"/>
    </row>
    <row r="1521" spans="2:9" ht="25.5" x14ac:dyDescent="0.25">
      <c r="B1521" s="46" t="s">
        <v>1409</v>
      </c>
      <c r="C1521" s="47"/>
      <c r="D1521" s="48" t="s">
        <v>1690</v>
      </c>
      <c r="E1521" s="48" t="s">
        <v>1694</v>
      </c>
      <c r="F1521" s="48" t="s">
        <v>1693</v>
      </c>
      <c r="G1521" s="49" t="s">
        <v>1687</v>
      </c>
      <c r="H1521" s="50" t="s">
        <v>1686</v>
      </c>
      <c r="I1521" s="2"/>
    </row>
    <row r="1522" spans="2:9" x14ac:dyDescent="0.25">
      <c r="B1522" s="51" t="str">
        <f>IF($A1522=0,"",VLOOKUP($A1522,'BASE EQUIPO'!$A:$D,2))</f>
        <v/>
      </c>
      <c r="C1522" s="52"/>
      <c r="D1522" s="53"/>
      <c r="E1522" s="53" t="str">
        <f>IF($A1522=0,"",VLOOKUP($A1522,'BASE EQUIPO'!$A:$D,4)*H1538)</f>
        <v/>
      </c>
      <c r="F1522" s="53" t="str">
        <f t="shared" ref="F1522:F1527" si="135">IF($A1522=0,"",ROUND(D1522*E1522,2))</f>
        <v/>
      </c>
      <c r="G1522" s="105"/>
      <c r="H1522" s="54" t="str">
        <f t="shared" ref="H1522:H1527" si="136">IF($A1522=0,"",ROUND(G1522*F1522,2))</f>
        <v/>
      </c>
      <c r="I1522" s="2"/>
    </row>
    <row r="1523" spans="2:9" x14ac:dyDescent="0.25">
      <c r="B1523" s="38" t="str">
        <f>IF($A1523=0,"",VLOOKUP($A1523,'BASE EQUIPO'!$A:$D,2))</f>
        <v/>
      </c>
      <c r="C1523" s="2"/>
      <c r="D1523" s="55"/>
      <c r="E1523" s="55" t="str">
        <f>IF($A1523=0,"",VLOOKUP($A1523,'BASE EQUIPO'!$A:$D,4))</f>
        <v/>
      </c>
      <c r="F1523" s="55" t="str">
        <f t="shared" si="135"/>
        <v/>
      </c>
      <c r="G1523" s="106"/>
      <c r="H1523" s="56" t="str">
        <f t="shared" si="136"/>
        <v/>
      </c>
      <c r="I1523" s="2"/>
    </row>
    <row r="1524" spans="2:9" x14ac:dyDescent="0.25">
      <c r="B1524" s="38" t="str">
        <f>IF($A1524=0,"",VLOOKUP($A1524,'BASE EQUIPO'!$A:$D,2))</f>
        <v/>
      </c>
      <c r="C1524" s="2"/>
      <c r="D1524" s="55"/>
      <c r="E1524" s="55" t="str">
        <f>IF($A1524=0,"",VLOOKUP($A1524,'BASE EQUIPO'!$A:$D,4))</f>
        <v/>
      </c>
      <c r="F1524" s="55" t="str">
        <f t="shared" si="135"/>
        <v/>
      </c>
      <c r="G1524" s="106"/>
      <c r="H1524" s="56" t="str">
        <f t="shared" si="136"/>
        <v/>
      </c>
      <c r="I1524" s="2"/>
    </row>
    <row r="1525" spans="2:9" x14ac:dyDescent="0.25">
      <c r="B1525" s="38" t="str">
        <f>IF($A1525=0,"",VLOOKUP($A1525,'BASE EQUIPO'!$A:$D,2))</f>
        <v/>
      </c>
      <c r="C1525" s="2"/>
      <c r="D1525" s="55"/>
      <c r="E1525" s="55" t="str">
        <f>IF($A1525=0,"",VLOOKUP($A1525,'BASE EQUIPO'!$A:$D,4))</f>
        <v/>
      </c>
      <c r="F1525" s="55" t="str">
        <f t="shared" si="135"/>
        <v/>
      </c>
      <c r="G1525" s="106"/>
      <c r="H1525" s="56" t="str">
        <f t="shared" si="136"/>
        <v/>
      </c>
      <c r="I1525" s="2"/>
    </row>
    <row r="1526" spans="2:9" x14ac:dyDescent="0.25">
      <c r="B1526" s="38" t="str">
        <f>IF($A1526=0,"",VLOOKUP($A1526,'BASE EQUIPO'!$A:$D,2))</f>
        <v/>
      </c>
      <c r="C1526" s="2"/>
      <c r="D1526" s="55"/>
      <c r="E1526" s="55" t="str">
        <f>IF($A1526=0,"",VLOOKUP($A1526,'BASE EQUIPO'!$A:$D,4))</f>
        <v/>
      </c>
      <c r="F1526" s="55" t="str">
        <f t="shared" si="135"/>
        <v/>
      </c>
      <c r="G1526" s="106"/>
      <c r="H1526" s="56" t="str">
        <f t="shared" si="136"/>
        <v/>
      </c>
      <c r="I1526" s="2"/>
    </row>
    <row r="1527" spans="2:9" x14ac:dyDescent="0.25">
      <c r="B1527" s="57" t="str">
        <f>IF($A1527=0,"",VLOOKUP($A1527,'BASE EQUIPO'!$A:$D,2))</f>
        <v/>
      </c>
      <c r="C1527" s="58"/>
      <c r="D1527" s="59"/>
      <c r="E1527" s="59" t="str">
        <f>IF($A1527=0,"",VLOOKUP($A1527,'BASE EQUIPO'!$A:$D,4))</f>
        <v/>
      </c>
      <c r="F1527" s="59" t="str">
        <f t="shared" si="135"/>
        <v/>
      </c>
      <c r="G1527" s="107"/>
      <c r="H1527" s="60" t="str">
        <f t="shared" si="136"/>
        <v/>
      </c>
      <c r="I1527" s="2"/>
    </row>
    <row r="1528" spans="2:9" x14ac:dyDescent="0.25">
      <c r="B1528" s="57" t="s">
        <v>1692</v>
      </c>
      <c r="C1528" s="58"/>
      <c r="D1528" s="61"/>
      <c r="E1528" s="61"/>
      <c r="F1528" s="61"/>
      <c r="G1528" s="62"/>
      <c r="H1528" s="60">
        <f>ROUND(SUM(H1521:H1527),2)</f>
        <v>0</v>
      </c>
      <c r="I1528" s="2"/>
    </row>
    <row r="1529" spans="2:9" x14ac:dyDescent="0.25">
      <c r="B1529" s="38" t="s">
        <v>1503</v>
      </c>
      <c r="C1529" s="2"/>
      <c r="D1529" s="3"/>
      <c r="E1529" s="3"/>
      <c r="F1529" s="3"/>
      <c r="G1529" s="63"/>
      <c r="H1529" s="56"/>
      <c r="I1529" s="2"/>
    </row>
    <row r="1530" spans="2:9" ht="25.5" x14ac:dyDescent="0.25">
      <c r="B1530" s="64" t="s">
        <v>1691</v>
      </c>
      <c r="C1530" s="65"/>
      <c r="D1530" s="66" t="s">
        <v>1690</v>
      </c>
      <c r="E1530" s="66" t="s">
        <v>1689</v>
      </c>
      <c r="F1530" s="66" t="s">
        <v>1688</v>
      </c>
      <c r="G1530" s="67" t="s">
        <v>1687</v>
      </c>
      <c r="H1530" s="68" t="s">
        <v>1686</v>
      </c>
      <c r="I1530" s="2"/>
    </row>
    <row r="1531" spans="2:9" x14ac:dyDescent="0.25">
      <c r="B1531" s="69" t="str">
        <f>IF($A1531=0,"",VLOOKUP($A1531,'BASE M-OBRA'!$A:$D,2))</f>
        <v/>
      </c>
      <c r="C1531" s="2"/>
      <c r="D1531" s="108"/>
      <c r="E1531" s="70" t="str">
        <f>IF($A1531=0,"",VLOOKUP($A1531,'BASE M-OBRA'!$A:$D,4))</f>
        <v/>
      </c>
      <c r="F1531" s="55" t="str">
        <f t="shared" ref="F1531:F1537" si="137">IF($A1531=0,"",ROUND(D1531*E1531,2))</f>
        <v/>
      </c>
      <c r="G1531" s="106" t="str">
        <f>IF($A1531=0,"",ROUND(H1531/F1531,2))</f>
        <v/>
      </c>
      <c r="H1531" s="56" t="str">
        <f>IF($A1531=0,"",ROUND(SUM(H1532:H1537)*'BASE M-OBRA'!$D$23,2))</f>
        <v/>
      </c>
      <c r="I1531" s="2"/>
    </row>
    <row r="1532" spans="2:9" x14ac:dyDescent="0.25">
      <c r="B1532" s="69" t="str">
        <f>IF($A1532=0,"",VLOOKUP($A1532,'BASE M-OBRA'!$A:$D,2))</f>
        <v/>
      </c>
      <c r="C1532" s="2"/>
      <c r="D1532" s="108"/>
      <c r="E1532" s="70" t="str">
        <f>IF($A1532=0,"",VLOOKUP($A1532,'BASE M-OBRA'!$A:$D,4))</f>
        <v/>
      </c>
      <c r="F1532" s="55" t="str">
        <f t="shared" si="137"/>
        <v/>
      </c>
      <c r="G1532" s="106"/>
      <c r="H1532" s="56" t="str">
        <f t="shared" ref="H1532:H1537" si="138">IF($A1532=0,"",ROUND(G1532*F1532,2))</f>
        <v/>
      </c>
      <c r="I1532" s="2"/>
    </row>
    <row r="1533" spans="2:9" x14ac:dyDescent="0.25">
      <c r="B1533" s="69" t="str">
        <f>IF($A1533=0,"",VLOOKUP($A1533,'BASE M-OBRA'!$A:$D,2))</f>
        <v/>
      </c>
      <c r="C1533" s="2"/>
      <c r="D1533" s="108"/>
      <c r="E1533" s="70" t="str">
        <f>IF($A1533=0,"",VLOOKUP($A1533,'BASE M-OBRA'!$A:$D,4))</f>
        <v/>
      </c>
      <c r="F1533" s="55" t="str">
        <f t="shared" si="137"/>
        <v/>
      </c>
      <c r="G1533" s="106"/>
      <c r="H1533" s="56" t="str">
        <f t="shared" si="138"/>
        <v/>
      </c>
      <c r="I1533" s="2"/>
    </row>
    <row r="1534" spans="2:9" x14ac:dyDescent="0.25">
      <c r="B1534" s="71" t="str">
        <f>IF($A1534=0,"",VLOOKUP($A1534,'BASE M-OBRA'!$A:$D,2))</f>
        <v/>
      </c>
      <c r="C1534" s="2"/>
      <c r="D1534" s="108"/>
      <c r="E1534" s="70" t="str">
        <f>IF($A1534=0,"",VLOOKUP($A1534,'BASE M-OBRA'!$A:$D,4))</f>
        <v/>
      </c>
      <c r="F1534" s="55" t="str">
        <f t="shared" si="137"/>
        <v/>
      </c>
      <c r="G1534" s="106"/>
      <c r="H1534" s="56" t="str">
        <f t="shared" si="138"/>
        <v/>
      </c>
      <c r="I1534" s="2"/>
    </row>
    <row r="1535" spans="2:9" x14ac:dyDescent="0.25">
      <c r="B1535" s="72" t="str">
        <f>IF($A1535=0,"",VLOOKUP($A1535,'BASE M-OBRA'!$A:$D,2))</f>
        <v/>
      </c>
      <c r="C1535" s="2"/>
      <c r="D1535" s="108"/>
      <c r="E1535" s="70" t="str">
        <f>IF($A1535=0,"",VLOOKUP($A1535,'BASE M-OBRA'!$A:$D,4))</f>
        <v/>
      </c>
      <c r="F1535" s="55" t="str">
        <f t="shared" si="137"/>
        <v/>
      </c>
      <c r="G1535" s="106"/>
      <c r="H1535" s="56" t="str">
        <f t="shared" si="138"/>
        <v/>
      </c>
      <c r="I1535" s="2"/>
    </row>
    <row r="1536" spans="2:9" x14ac:dyDescent="0.25">
      <c r="B1536" s="38" t="str">
        <f>IF($A1536=0,"",VLOOKUP($A1536,'BASE M-OBRA'!$A:$D,2))</f>
        <v/>
      </c>
      <c r="C1536" s="2"/>
      <c r="D1536" s="55"/>
      <c r="E1536" s="55" t="str">
        <f>IF($A1536=0,"",VLOOKUP($A1536,'BASE M-OBRA'!$A:$D,4))</f>
        <v/>
      </c>
      <c r="F1536" s="55" t="str">
        <f t="shared" si="137"/>
        <v/>
      </c>
      <c r="G1536" s="106"/>
      <c r="H1536" s="56" t="str">
        <f t="shared" si="138"/>
        <v/>
      </c>
      <c r="I1536" s="2"/>
    </row>
    <row r="1537" spans="1:16" x14ac:dyDescent="0.25">
      <c r="B1537" s="57" t="str">
        <f>IF($A1537=0,"",VLOOKUP($A1537,'BASE M-OBRA'!$A:$D,2))</f>
        <v/>
      </c>
      <c r="C1537" s="58"/>
      <c r="D1537" s="59"/>
      <c r="E1537" s="59" t="str">
        <f>IF($A1537=0,"",VLOOKUP($A1537,'BASE M-OBRA'!$A:$D,4))</f>
        <v/>
      </c>
      <c r="F1537" s="59" t="str">
        <f t="shared" si="137"/>
        <v/>
      </c>
      <c r="G1537" s="107"/>
      <c r="H1537" s="60" t="str">
        <f t="shared" si="138"/>
        <v/>
      </c>
      <c r="I1537" s="2"/>
    </row>
    <row r="1538" spans="1:16" x14ac:dyDescent="0.25">
      <c r="B1538" s="73" t="s">
        <v>1685</v>
      </c>
      <c r="C1538" s="65"/>
      <c r="D1538" s="74"/>
      <c r="E1538" s="74"/>
      <c r="F1538" s="74"/>
      <c r="G1538" s="74"/>
      <c r="H1538" s="75">
        <f>ROUND(SUM(H1530:H1537),2)</f>
        <v>0</v>
      </c>
      <c r="I1538" s="2"/>
    </row>
    <row r="1539" spans="1:16" x14ac:dyDescent="0.25">
      <c r="B1539" s="38" t="s">
        <v>1684</v>
      </c>
      <c r="C1539" s="2"/>
      <c r="D1539" s="3"/>
      <c r="E1539" s="3"/>
      <c r="F1539" s="3"/>
      <c r="G1539" s="3"/>
      <c r="H1539" s="56"/>
      <c r="I1539" s="2"/>
    </row>
    <row r="1540" spans="1:16" ht="25.5" x14ac:dyDescent="0.25">
      <c r="B1540" s="64" t="s">
        <v>1409</v>
      </c>
      <c r="C1540" s="65"/>
      <c r="D1540" s="76"/>
      <c r="E1540" s="66" t="s">
        <v>1408</v>
      </c>
      <c r="F1540" s="66" t="s">
        <v>1679</v>
      </c>
      <c r="G1540" s="66" t="s">
        <v>1683</v>
      </c>
      <c r="H1540" s="68" t="s">
        <v>1675</v>
      </c>
      <c r="I1540" s="2"/>
    </row>
    <row r="1541" spans="1:16" x14ac:dyDescent="0.25">
      <c r="A1541" s="103">
        <v>1</v>
      </c>
      <c r="B1541" s="102" t="s">
        <v>160</v>
      </c>
      <c r="C1541" s="2"/>
      <c r="D1541" s="77"/>
      <c r="E1541" s="78" t="s">
        <v>707</v>
      </c>
      <c r="F1541" s="55">
        <v>1</v>
      </c>
      <c r="G1541" s="55">
        <v>3.82</v>
      </c>
      <c r="H1541" s="56">
        <f t="shared" ref="H1541:H1555" si="139">IF($A1541=0,"",ROUND(F1541*G1541,2))</f>
        <v>3.82</v>
      </c>
      <c r="I1541" s="2"/>
      <c r="J1541" s="1">
        <v>2.98</v>
      </c>
      <c r="L1541" s="2"/>
      <c r="M1541" s="2"/>
      <c r="N1541" s="39"/>
      <c r="O1541" s="2"/>
      <c r="P1541" s="2"/>
    </row>
    <row r="1542" spans="1:16" x14ac:dyDescent="0.25">
      <c r="B1542" s="102"/>
      <c r="C1542" s="2"/>
      <c r="D1542" s="77"/>
      <c r="E1542" s="78" t="str">
        <f>IF($A1542=0,"",VLOOKUP($A1542,'BASE MATERIAL'!$A:$D,3))</f>
        <v/>
      </c>
      <c r="F1542" s="55"/>
      <c r="G1542" s="55" t="str">
        <f>IF($A1542=0,"",VLOOKUP($A1542,'BASE MATERIAL'!$A:$D,4))</f>
        <v/>
      </c>
      <c r="H1542" s="56" t="str">
        <f t="shared" si="139"/>
        <v/>
      </c>
      <c r="I1542" s="2"/>
      <c r="L1542" s="2"/>
      <c r="M1542" s="2"/>
      <c r="N1542" s="39"/>
      <c r="O1542" s="2"/>
      <c r="P1542" s="2"/>
    </row>
    <row r="1543" spans="1:16" x14ac:dyDescent="0.25">
      <c r="B1543" s="38" t="str">
        <f>IF($A1543=0,"",VLOOKUP($A1543,'BASE MATERIAL'!$A:$D,2))</f>
        <v/>
      </c>
      <c r="C1543" s="2"/>
      <c r="D1543" s="77"/>
      <c r="E1543" s="78" t="str">
        <f>IF($A1543=0,"",VLOOKUP($A1543,'BASE MATERIAL'!$A:$D,3))</f>
        <v/>
      </c>
      <c r="F1543" s="55"/>
      <c r="G1543" s="55" t="str">
        <f>IF($A1543=0,"",VLOOKUP($A1543,'BASE MATERIAL'!$A:$D,4))</f>
        <v/>
      </c>
      <c r="H1543" s="56" t="str">
        <f t="shared" si="139"/>
        <v/>
      </c>
      <c r="I1543" s="2"/>
      <c r="L1543" s="2"/>
      <c r="M1543" s="2"/>
      <c r="N1543" s="39"/>
      <c r="O1543" s="2"/>
      <c r="P1543" s="2"/>
    </row>
    <row r="1544" spans="1:16" x14ac:dyDescent="0.25">
      <c r="B1544" s="38" t="str">
        <f>IF($A1544=0,"",VLOOKUP($A1544,'BASE MATERIAL'!$A:$D,2))</f>
        <v/>
      </c>
      <c r="C1544" s="2"/>
      <c r="D1544" s="77"/>
      <c r="E1544" s="78" t="str">
        <f>IF($A1544=0,"",VLOOKUP($A1544,'BASE MATERIAL'!$A:$D,3))</f>
        <v/>
      </c>
      <c r="F1544" s="55"/>
      <c r="G1544" s="55" t="str">
        <f>IF($A1544=0,"",VLOOKUP($A1544,'BASE MATERIAL'!$A:$D,4))</f>
        <v/>
      </c>
      <c r="H1544" s="56" t="str">
        <f t="shared" si="139"/>
        <v/>
      </c>
      <c r="I1544" s="2"/>
      <c r="L1544" s="2"/>
      <c r="M1544" s="2"/>
      <c r="N1544" s="39"/>
      <c r="O1544" s="2"/>
      <c r="P1544" s="2"/>
    </row>
    <row r="1545" spans="1:16" x14ac:dyDescent="0.25">
      <c r="B1545" s="38" t="str">
        <f>IF($A1545=0,"",VLOOKUP($A1545,'BASE MATERIAL'!$A:$D,2))</f>
        <v/>
      </c>
      <c r="C1545" s="2"/>
      <c r="D1545" s="77"/>
      <c r="E1545" s="78" t="str">
        <f>IF($A1545=0,"",VLOOKUP($A1545,'BASE MATERIAL'!$A:$D,3))</f>
        <v/>
      </c>
      <c r="F1545" s="55"/>
      <c r="G1545" s="55" t="str">
        <f>IF($A1545=0,"",VLOOKUP($A1545,'BASE MATERIAL'!$A:$D,4))</f>
        <v/>
      </c>
      <c r="H1545" s="56" t="str">
        <f t="shared" si="139"/>
        <v/>
      </c>
      <c r="I1545" s="2"/>
      <c r="L1545" s="2"/>
      <c r="M1545" s="2"/>
      <c r="N1545" s="39"/>
      <c r="O1545" s="2"/>
      <c r="P1545" s="2"/>
    </row>
    <row r="1546" spans="1:16" x14ac:dyDescent="0.25">
      <c r="B1546" s="38" t="str">
        <f>IF($A1546=0,"",VLOOKUP($A1546,'BASE MATERIAL'!$A:$D,2))</f>
        <v/>
      </c>
      <c r="C1546" s="2"/>
      <c r="D1546" s="77"/>
      <c r="E1546" s="78" t="str">
        <f>IF($A1546=0,"",VLOOKUP($A1546,'BASE MATERIAL'!$A:$D,3))</f>
        <v/>
      </c>
      <c r="F1546" s="55"/>
      <c r="G1546" s="55" t="str">
        <f>IF($A1546=0,"",VLOOKUP($A1546,'BASE MATERIAL'!$A:$D,4))</f>
        <v/>
      </c>
      <c r="H1546" s="56" t="str">
        <f t="shared" si="139"/>
        <v/>
      </c>
      <c r="I1546" s="2"/>
      <c r="L1546" s="2"/>
      <c r="M1546" s="2"/>
      <c r="N1546" s="39"/>
      <c r="O1546" s="2"/>
      <c r="P1546" s="2"/>
    </row>
    <row r="1547" spans="1:16" x14ac:dyDescent="0.25">
      <c r="B1547" s="38" t="str">
        <f>IF($A1547=0,"",VLOOKUP($A1547,'BASE MATERIAL'!$A:$D,2))</f>
        <v/>
      </c>
      <c r="C1547" s="2"/>
      <c r="D1547" s="77"/>
      <c r="E1547" s="78" t="str">
        <f>IF($A1547=0,"",VLOOKUP($A1547,'BASE MATERIAL'!$A:$D,3))</f>
        <v/>
      </c>
      <c r="F1547" s="55"/>
      <c r="G1547" s="55" t="str">
        <f>IF($A1547=0,"",VLOOKUP($A1547,'BASE MATERIAL'!$A:$D,4))</f>
        <v/>
      </c>
      <c r="H1547" s="56" t="str">
        <f t="shared" si="139"/>
        <v/>
      </c>
      <c r="I1547" s="2"/>
      <c r="L1547" s="2"/>
      <c r="M1547" s="2"/>
      <c r="N1547" s="39"/>
      <c r="O1547" s="2"/>
      <c r="P1547" s="2"/>
    </row>
    <row r="1548" spans="1:16" x14ac:dyDescent="0.25">
      <c r="B1548" s="38" t="str">
        <f>IF($A1548=0,"",VLOOKUP($A1548,'BASE MATERIAL'!$A:$D,2))</f>
        <v/>
      </c>
      <c r="C1548" s="2"/>
      <c r="D1548" s="77"/>
      <c r="E1548" s="78" t="str">
        <f>IF($A1548=0,"",VLOOKUP($A1548,'BASE MATERIAL'!$A:$D,3))</f>
        <v/>
      </c>
      <c r="F1548" s="55"/>
      <c r="G1548" s="55" t="str">
        <f>IF($A1548=0,"",VLOOKUP($A1548,'BASE MATERIAL'!$A:$D,4))</f>
        <v/>
      </c>
      <c r="H1548" s="56" t="str">
        <f t="shared" si="139"/>
        <v/>
      </c>
      <c r="I1548" s="2"/>
      <c r="L1548" s="2"/>
      <c r="M1548" s="2"/>
      <c r="N1548" s="39"/>
      <c r="O1548" s="2"/>
      <c r="P1548" s="2"/>
    </row>
    <row r="1549" spans="1:16" x14ac:dyDescent="0.25">
      <c r="B1549" s="38" t="str">
        <f>IF($A1549=0,"",VLOOKUP($A1549,'BASE MATERIAL'!$A:$D,2))</f>
        <v/>
      </c>
      <c r="C1549" s="2"/>
      <c r="D1549" s="77"/>
      <c r="E1549" s="78" t="str">
        <f>IF($A1549=0,"",VLOOKUP($A1549,'BASE MATERIAL'!$A:$D,3))</f>
        <v/>
      </c>
      <c r="F1549" s="55"/>
      <c r="G1549" s="55" t="str">
        <f>IF($A1549=0,"",VLOOKUP($A1549,'BASE MATERIAL'!$A:$D,4))</f>
        <v/>
      </c>
      <c r="H1549" s="56" t="str">
        <f t="shared" si="139"/>
        <v/>
      </c>
      <c r="I1549" s="2"/>
    </row>
    <row r="1550" spans="1:16" x14ac:dyDescent="0.25">
      <c r="B1550" s="38" t="str">
        <f>IF($A1550=0,"",VLOOKUP($A1550,'BASE MATERIAL'!$A:$D,2))</f>
        <v/>
      </c>
      <c r="C1550" s="2"/>
      <c r="D1550" s="77"/>
      <c r="E1550" s="78" t="str">
        <f>IF($A1550=0,"",VLOOKUP($A1550,'BASE MATERIAL'!$A:$D,3))</f>
        <v/>
      </c>
      <c r="F1550" s="55"/>
      <c r="G1550" s="55" t="str">
        <f>IF($A1550=0,"",VLOOKUP($A1550,'BASE MATERIAL'!$A:$D,4))</f>
        <v/>
      </c>
      <c r="H1550" s="56" t="str">
        <f t="shared" si="139"/>
        <v/>
      </c>
      <c r="I1550" s="2"/>
      <c r="L1550" s="2"/>
      <c r="M1550" s="2"/>
      <c r="N1550" s="39"/>
      <c r="O1550" s="2"/>
      <c r="P1550" s="2"/>
    </row>
    <row r="1551" spans="1:16" x14ac:dyDescent="0.25">
      <c r="B1551" s="38" t="str">
        <f>IF($A1551=0,"",VLOOKUP($A1551,'BASE MATERIAL'!$A:$D,2))</f>
        <v/>
      </c>
      <c r="C1551" s="2"/>
      <c r="D1551" s="77"/>
      <c r="E1551" s="78" t="str">
        <f>IF($A1551=0,"",VLOOKUP($A1551,'BASE MATERIAL'!$A:$D,3))</f>
        <v/>
      </c>
      <c r="F1551" s="55"/>
      <c r="G1551" s="55" t="str">
        <f>IF($A1551=0,"",VLOOKUP($A1551,'BASE MATERIAL'!$A:$D,4))</f>
        <v/>
      </c>
      <c r="H1551" s="56" t="str">
        <f t="shared" si="139"/>
        <v/>
      </c>
      <c r="I1551" s="2"/>
      <c r="L1551" s="2"/>
      <c r="M1551" s="2"/>
      <c r="N1551" s="39"/>
      <c r="O1551" s="2"/>
      <c r="P1551" s="2"/>
    </row>
    <row r="1552" spans="1:16" x14ac:dyDescent="0.25">
      <c r="B1552" s="38" t="str">
        <f>IF($A1552=0,"",VLOOKUP($A1552,'BASE MATERIAL'!$A:$D,2))</f>
        <v/>
      </c>
      <c r="C1552" s="2"/>
      <c r="D1552" s="77"/>
      <c r="E1552" s="78" t="str">
        <f>IF($A1552=0,"",VLOOKUP($A1552,'BASE MATERIAL'!$A:$D,3))</f>
        <v/>
      </c>
      <c r="F1552" s="55"/>
      <c r="G1552" s="55" t="str">
        <f>IF($A1552=0,"",VLOOKUP($A1552,'BASE MATERIAL'!$A:$D,4))</f>
        <v/>
      </c>
      <c r="H1552" s="56" t="str">
        <f t="shared" si="139"/>
        <v/>
      </c>
      <c r="I1552" s="2"/>
    </row>
    <row r="1553" spans="1:9" x14ac:dyDescent="0.25">
      <c r="B1553" s="38" t="str">
        <f>IF($A1553=0,"",VLOOKUP($A1553,'BASE MATERIAL'!$A:$D,2))</f>
        <v/>
      </c>
      <c r="C1553" s="2"/>
      <c r="D1553" s="77"/>
      <c r="E1553" s="78" t="str">
        <f>IF($A1553=0,"",VLOOKUP($A1553,'BASE MATERIAL'!$A:$D,3))</f>
        <v/>
      </c>
      <c r="F1553" s="55"/>
      <c r="G1553" s="55" t="str">
        <f>IF($A1553=0,"",VLOOKUP($A1553,'BASE MATERIAL'!$A:$D,4))</f>
        <v/>
      </c>
      <c r="H1553" s="56" t="str">
        <f t="shared" si="139"/>
        <v/>
      </c>
      <c r="I1553" s="2"/>
    </row>
    <row r="1554" spans="1:9" x14ac:dyDescent="0.25">
      <c r="B1554" s="38" t="str">
        <f>IF($A1554=0,"",VLOOKUP($A1554,'BASE MATERIAL'!$A:$D,2))</f>
        <v/>
      </c>
      <c r="C1554" s="2"/>
      <c r="D1554" s="77"/>
      <c r="E1554" s="78" t="str">
        <f>IF($A1554=0,"",VLOOKUP($A1554,'BASE MATERIAL'!$A:$D,3))</f>
        <v/>
      </c>
      <c r="F1554" s="55"/>
      <c r="G1554" s="55" t="str">
        <f>IF($A1554=0,"",VLOOKUP($A1554,'BASE MATERIAL'!$A:$D,4))</f>
        <v/>
      </c>
      <c r="H1554" s="56" t="str">
        <f t="shared" si="139"/>
        <v/>
      </c>
      <c r="I1554" s="2"/>
    </row>
    <row r="1555" spans="1:9" x14ac:dyDescent="0.25">
      <c r="B1555" s="38" t="str">
        <f>IF($A1555=0,"",VLOOKUP($A1555,'BASE MATERIAL'!$A:$D,2))</f>
        <v/>
      </c>
      <c r="C1555" s="2"/>
      <c r="D1555" s="77"/>
      <c r="E1555" s="78" t="str">
        <f>IF($A1555=0,"",VLOOKUP($A1555,'BASE MATERIAL'!$A:$D,3))</f>
        <v/>
      </c>
      <c r="F1555" s="55"/>
      <c r="G1555" s="55" t="str">
        <f>IF($A1555=0,"",VLOOKUP($A1555,'BASE MATERIAL'!$A:$D,4))</f>
        <v/>
      </c>
      <c r="H1555" s="56" t="str">
        <f t="shared" si="139"/>
        <v/>
      </c>
      <c r="I1555" s="2"/>
    </row>
    <row r="1556" spans="1:9" x14ac:dyDescent="0.25">
      <c r="B1556" s="38" t="str">
        <f>IF($A1556=0,"",VLOOKUP($A1556,'BASE MATERIAL'!$A:$D,2))</f>
        <v/>
      </c>
      <c r="C1556" s="2"/>
      <c r="D1556" s="81" t="s">
        <v>1682</v>
      </c>
      <c r="E1556" s="55" t="str">
        <f>IF($A1556=0,"",VLOOKUP($A1556,'BASE MATERIAL'!$A:$D,3))</f>
        <v/>
      </c>
      <c r="F1556" s="55" t="s">
        <v>1682</v>
      </c>
      <c r="G1556" s="55" t="str">
        <f>IF($A1556=0,"",VLOOKUP($A1556,'BASE MATERIAL'!$A:$D,4))</f>
        <v/>
      </c>
      <c r="H1556" s="56" t="str">
        <f>IF($A1556=0,"",ROUND(E1556*F1556,2))</f>
        <v/>
      </c>
      <c r="I1556" s="2"/>
    </row>
    <row r="1557" spans="1:9" x14ac:dyDescent="0.25">
      <c r="B1557" s="73" t="s">
        <v>1681</v>
      </c>
      <c r="C1557" s="65"/>
      <c r="D1557" s="74"/>
      <c r="E1557" s="74"/>
      <c r="F1557" s="74"/>
      <c r="G1557" s="74"/>
      <c r="H1557" s="75">
        <f>ROUND(SUM(H1540:H1556),2)</f>
        <v>3.82</v>
      </c>
      <c r="I1557" s="2"/>
    </row>
    <row r="1558" spans="1:9" x14ac:dyDescent="0.25">
      <c r="B1558" s="38" t="s">
        <v>1680</v>
      </c>
      <c r="C1558" s="2"/>
      <c r="D1558" s="3"/>
      <c r="E1558" s="3"/>
      <c r="F1558" s="3"/>
      <c r="G1558" s="3"/>
      <c r="H1558" s="56"/>
      <c r="I1558" s="2"/>
    </row>
    <row r="1559" spans="1:9" ht="25.5" x14ac:dyDescent="0.25">
      <c r="B1559" s="64" t="s">
        <v>1409</v>
      </c>
      <c r="C1559" s="65"/>
      <c r="D1559" s="76"/>
      <c r="E1559" s="66" t="s">
        <v>1408</v>
      </c>
      <c r="F1559" s="66" t="s">
        <v>1679</v>
      </c>
      <c r="G1559" s="66" t="s">
        <v>1676</v>
      </c>
      <c r="H1559" s="68" t="s">
        <v>1675</v>
      </c>
      <c r="I1559" s="2"/>
    </row>
    <row r="1560" spans="1:9" x14ac:dyDescent="0.25">
      <c r="A1560" s="103">
        <v>19019</v>
      </c>
      <c r="B1560" s="51" t="str">
        <f>IF($A1560=0,"",VLOOKUP($A1560,'BASE EQUIPO'!$A:$D,2))</f>
        <v>TRANSPORTE DE MATERIAL</v>
      </c>
      <c r="C1560" s="52"/>
      <c r="D1560" s="82"/>
      <c r="E1560" s="78" t="str">
        <f>IF($A1560=0,"",VLOOKUP($A1560,'BASE EQUIPO'!$A:$D,3))</f>
        <v>GLOBAL</v>
      </c>
      <c r="F1560" s="55">
        <v>1</v>
      </c>
      <c r="G1560" s="83">
        <f>IF($A1560=0,"",VLOOKUP($A1560,'BASE EQUIPO'!$A:$D,4)*H1557)</f>
        <v>0.11459999999999999</v>
      </c>
      <c r="H1560" s="56">
        <f>IF($A1560=0,"",ROUND(F1560*G1560,2))</f>
        <v>0.11</v>
      </c>
      <c r="I1560" s="2"/>
    </row>
    <row r="1561" spans="1:9" x14ac:dyDescent="0.25">
      <c r="B1561" s="38" t="str">
        <f>IF($A1561=0,"",VLOOKUP($A1561,'BASE EQUIPO'!$A:$D,2))</f>
        <v/>
      </c>
      <c r="C1561" s="2"/>
      <c r="D1561" s="84"/>
      <c r="E1561" s="78" t="str">
        <f>IF($A1561=0,"",VLOOKUP($A1561,'BASE EQUIPO'!$A:$D,3))</f>
        <v/>
      </c>
      <c r="F1561" s="55"/>
      <c r="G1561" s="55" t="str">
        <f>IF($A1561=0,"",VLOOKUP($A1561,'BASE EQUIPO'!$A:$D,4)*H1558)</f>
        <v/>
      </c>
      <c r="H1561" s="56" t="str">
        <f>IF($A1561=0,"",ROUND(F1561*G1561,2))</f>
        <v/>
      </c>
      <c r="I1561" s="2"/>
    </row>
    <row r="1562" spans="1:9" x14ac:dyDescent="0.25">
      <c r="B1562" s="57" t="str">
        <f>IF($A1562=0,"",VLOOKUP($A1562,'BASE EQUIPO'!$A:$D,2))</f>
        <v/>
      </c>
      <c r="C1562" s="58"/>
      <c r="D1562" s="85"/>
      <c r="E1562" s="86" t="str">
        <f>IF($A1562=0,"",VLOOKUP($A1562,'BASE EQUIPO'!$A:$D,3))</f>
        <v/>
      </c>
      <c r="F1562" s="59"/>
      <c r="G1562" s="59" t="str">
        <f>IF($A1562=0,"",VLOOKUP($A1562,'BASE EQUIPO'!$A:$D,4)*H1559)</f>
        <v/>
      </c>
      <c r="H1562" s="60" t="str">
        <f>IF($A1562=0,"",ROUND(F1562*G1562,2))</f>
        <v/>
      </c>
      <c r="I1562" s="2"/>
    </row>
    <row r="1563" spans="1:9" ht="15.75" thickBot="1" x14ac:dyDescent="0.3">
      <c r="B1563" s="87" t="s">
        <v>1674</v>
      </c>
      <c r="C1563" s="88"/>
      <c r="D1563" s="89"/>
      <c r="E1563" s="89"/>
      <c r="F1563" s="89"/>
      <c r="G1563" s="89"/>
      <c r="H1563" s="90">
        <f>ROUND(SUM(H1559:H1562),2)</f>
        <v>0.11</v>
      </c>
      <c r="I1563" s="2"/>
    </row>
    <row r="1564" spans="1:9" ht="15.75" x14ac:dyDescent="0.25">
      <c r="B1564" s="2"/>
      <c r="C1564" s="2"/>
      <c r="D1564" s="91" t="s">
        <v>1673</v>
      </c>
      <c r="E1564" s="47"/>
      <c r="F1564" s="47"/>
      <c r="G1564" s="47"/>
      <c r="H1564" s="92">
        <f>ROUND(SUM(H1563,H1557,H1538,H1528),2)</f>
        <v>3.93</v>
      </c>
      <c r="I1564" s="2"/>
    </row>
    <row r="1565" spans="1:9" ht="15.75" x14ac:dyDescent="0.25">
      <c r="A1565" s="103">
        <v>40002</v>
      </c>
      <c r="B1565" s="2"/>
      <c r="C1565" s="2"/>
      <c r="D1565" s="93" t="s">
        <v>1672</v>
      </c>
      <c r="E1565" s="65"/>
      <c r="F1565" s="65"/>
      <c r="G1565" s="94">
        <f>IF($A1565=0,"",VLOOKUP($A1565,'BASE MATERIAL'!$M:$P,4))</f>
        <v>0</v>
      </c>
      <c r="H1565" s="95">
        <f>IF($A1565=0,"",ROUND(G1565*H1564,2))</f>
        <v>0</v>
      </c>
      <c r="I1565" s="2"/>
    </row>
    <row r="1566" spans="1:9" ht="15.75" x14ac:dyDescent="0.25">
      <c r="A1566" s="103">
        <v>40003</v>
      </c>
      <c r="B1566" s="2"/>
      <c r="C1566" s="2"/>
      <c r="D1566" s="93" t="s">
        <v>1671</v>
      </c>
      <c r="E1566" s="65"/>
      <c r="F1566" s="65"/>
      <c r="G1566" s="94">
        <f>IF($A1566=0,"",VLOOKUP($A1566,'BASE MATERIAL'!$M:$P,4))</f>
        <v>0</v>
      </c>
      <c r="H1566" s="95">
        <f>IF($A1566=0,"",ROUND(G1566*H1564,2))</f>
        <v>0</v>
      </c>
      <c r="I1566" s="2"/>
    </row>
    <row r="1567" spans="1:9" ht="15.75" x14ac:dyDescent="0.25">
      <c r="B1567" s="2"/>
      <c r="C1567" s="2"/>
      <c r="D1567" s="93" t="s">
        <v>1670</v>
      </c>
      <c r="E1567" s="65"/>
      <c r="F1567" s="65"/>
      <c r="G1567" s="65"/>
      <c r="H1567" s="96">
        <f>ROUND(SUM(H1564:H1566),2)</f>
        <v>3.93</v>
      </c>
      <c r="I1567" s="2"/>
    </row>
    <row r="1568" spans="1:9" ht="16.5" thickBot="1" x14ac:dyDescent="0.3">
      <c r="B1568" s="25"/>
      <c r="C1568" s="2"/>
      <c r="D1568" s="97" t="s">
        <v>1650</v>
      </c>
      <c r="E1568" s="88"/>
      <c r="F1568" s="88"/>
      <c r="G1568" s="88"/>
      <c r="H1568" s="98">
        <f>ROUND(H1567,2)</f>
        <v>3.93</v>
      </c>
      <c r="I1568" s="2"/>
    </row>
    <row r="1569" spans="1:15" ht="15.75" x14ac:dyDescent="0.25">
      <c r="B1569" s="34" t="s">
        <v>1701</v>
      </c>
      <c r="C1569" s="2"/>
      <c r="D1569" s="3" t="str">
        <f>$D$1</f>
        <v>ESPOL</v>
      </c>
      <c r="E1569" s="2"/>
      <c r="F1569" s="2"/>
      <c r="H1569" s="2" t="s">
        <v>108</v>
      </c>
      <c r="I1569" s="2"/>
      <c r="L1569" s="40">
        <f>A1573</f>
        <v>2</v>
      </c>
      <c r="M1569" s="1" t="str">
        <f>C1574</f>
        <v>Filtro de 3/8  5 TON</v>
      </c>
      <c r="N1569" s="2" t="str">
        <f>H1573</f>
        <v>unidad</v>
      </c>
      <c r="O1569" s="2">
        <f>H1624</f>
        <v>17.77</v>
      </c>
    </row>
    <row r="1570" spans="1:15" ht="15.75" x14ac:dyDescent="0.25">
      <c r="B1570" s="34" t="s">
        <v>1700</v>
      </c>
      <c r="C1570" s="3">
        <f>'1.1'!$C$2</f>
        <v>0</v>
      </c>
      <c r="D1570" s="2"/>
      <c r="E1570" s="2"/>
      <c r="F1570" s="2"/>
      <c r="G1570" s="41" t="s">
        <v>1699</v>
      </c>
      <c r="H1570" s="42"/>
      <c r="I1570" s="2" t="s">
        <v>1698</v>
      </c>
    </row>
    <row r="1571" spans="1:15" ht="15.75" x14ac:dyDescent="0.25">
      <c r="B1571" s="34"/>
      <c r="C1571" s="3">
        <f>'1.1'!$C$3</f>
        <v>0</v>
      </c>
      <c r="D1571" s="2"/>
      <c r="E1571" s="2"/>
      <c r="F1571" s="2"/>
      <c r="G1571" s="2"/>
      <c r="H1571" s="2"/>
      <c r="I1571" s="2"/>
    </row>
    <row r="1572" spans="1:15" ht="15.75" x14ac:dyDescent="0.25">
      <c r="B1572" s="34" t="s">
        <v>1697</v>
      </c>
      <c r="C1572" s="3"/>
      <c r="D1572" s="2"/>
      <c r="E1572" s="2"/>
      <c r="F1572" s="2"/>
      <c r="G1572" s="2"/>
      <c r="H1572" s="2"/>
      <c r="I1572" s="2"/>
    </row>
    <row r="1573" spans="1:15" x14ac:dyDescent="0.25">
      <c r="A1573" s="104">
        <v>2</v>
      </c>
      <c r="B1573" s="2" t="s">
        <v>1586</v>
      </c>
      <c r="C1573" s="101" t="s">
        <v>179</v>
      </c>
      <c r="D1573" s="2"/>
      <c r="G1573" s="2" t="s">
        <v>1696</v>
      </c>
      <c r="H1573" s="3" t="s">
        <v>126</v>
      </c>
      <c r="I1573" s="2"/>
    </row>
    <row r="1574" spans="1:15" x14ac:dyDescent="0.25">
      <c r="B1574" s="1" t="s">
        <v>1585</v>
      </c>
      <c r="C1574" s="36" t="s">
        <v>162</v>
      </c>
      <c r="D1574" s="2"/>
      <c r="E1574" s="2"/>
      <c r="F1574" s="2"/>
      <c r="G1574" s="2"/>
      <c r="H1574" s="2"/>
      <c r="I1574" s="2"/>
    </row>
    <row r="1575" spans="1:15" ht="15.75" thickBot="1" x14ac:dyDescent="0.3">
      <c r="D1575" s="2"/>
      <c r="E1575" s="2"/>
      <c r="F1575" s="2"/>
      <c r="G1575" s="2"/>
      <c r="H1575" s="2"/>
      <c r="I1575" s="2"/>
    </row>
    <row r="1576" spans="1:15" ht="15.75" thickBot="1" x14ac:dyDescent="0.3">
      <c r="B1576" s="43" t="s">
        <v>1695</v>
      </c>
      <c r="C1576" s="44"/>
      <c r="D1576" s="44"/>
      <c r="E1576" s="44"/>
      <c r="F1576" s="44"/>
      <c r="G1576" s="44"/>
      <c r="H1576" s="45"/>
      <c r="I1576" s="2"/>
    </row>
    <row r="1577" spans="1:15" ht="25.5" x14ac:dyDescent="0.25">
      <c r="B1577" s="46" t="s">
        <v>1409</v>
      </c>
      <c r="C1577" s="47"/>
      <c r="D1577" s="48" t="s">
        <v>1690</v>
      </c>
      <c r="E1577" s="48" t="s">
        <v>1694</v>
      </c>
      <c r="F1577" s="48" t="s">
        <v>1693</v>
      </c>
      <c r="G1577" s="49" t="s">
        <v>1687</v>
      </c>
      <c r="H1577" s="50" t="s">
        <v>1686</v>
      </c>
      <c r="I1577" s="2"/>
    </row>
    <row r="1578" spans="1:15" x14ac:dyDescent="0.25">
      <c r="B1578" s="51" t="str">
        <f>IF($A1578=0,"",VLOOKUP($A1578,'BASE EQUIPO'!$A:$D,2))</f>
        <v/>
      </c>
      <c r="C1578" s="52"/>
      <c r="D1578" s="53"/>
      <c r="E1578" s="53" t="str">
        <f>IF($A1578=0,"",VLOOKUP($A1578,'BASE EQUIPO'!$A:$D,4)*H1594)</f>
        <v/>
      </c>
      <c r="F1578" s="53" t="str">
        <f t="shared" ref="F1578:F1583" si="140">IF($A1578=0,"",ROUND(D1578*E1578,2))</f>
        <v/>
      </c>
      <c r="G1578" s="105"/>
      <c r="H1578" s="54" t="str">
        <f t="shared" ref="H1578:H1583" si="141">IF($A1578=0,"",ROUND(G1578*F1578,2))</f>
        <v/>
      </c>
      <c r="I1578" s="2"/>
    </row>
    <row r="1579" spans="1:15" x14ac:dyDescent="0.25">
      <c r="B1579" s="38" t="str">
        <f>IF($A1579=0,"",VLOOKUP($A1579,'BASE EQUIPO'!$A:$D,2))</f>
        <v/>
      </c>
      <c r="C1579" s="2"/>
      <c r="D1579" s="55"/>
      <c r="E1579" s="55" t="str">
        <f>IF($A1579=0,"",VLOOKUP($A1579,'BASE EQUIPO'!$A:$D,4))</f>
        <v/>
      </c>
      <c r="F1579" s="55" t="str">
        <f t="shared" si="140"/>
        <v/>
      </c>
      <c r="G1579" s="106"/>
      <c r="H1579" s="56" t="str">
        <f t="shared" si="141"/>
        <v/>
      </c>
      <c r="I1579" s="2"/>
    </row>
    <row r="1580" spans="1:15" x14ac:dyDescent="0.25">
      <c r="B1580" s="38" t="str">
        <f>IF($A1580=0,"",VLOOKUP($A1580,'BASE EQUIPO'!$A:$D,2))</f>
        <v/>
      </c>
      <c r="C1580" s="2"/>
      <c r="D1580" s="55"/>
      <c r="E1580" s="55" t="str">
        <f>IF($A1580=0,"",VLOOKUP($A1580,'BASE EQUIPO'!$A:$D,4))</f>
        <v/>
      </c>
      <c r="F1580" s="55" t="str">
        <f t="shared" si="140"/>
        <v/>
      </c>
      <c r="G1580" s="106"/>
      <c r="H1580" s="56" t="str">
        <f t="shared" si="141"/>
        <v/>
      </c>
      <c r="I1580" s="2"/>
    </row>
    <row r="1581" spans="1:15" x14ac:dyDescent="0.25">
      <c r="B1581" s="38" t="str">
        <f>IF($A1581=0,"",VLOOKUP($A1581,'BASE EQUIPO'!$A:$D,2))</f>
        <v/>
      </c>
      <c r="C1581" s="2"/>
      <c r="D1581" s="55"/>
      <c r="E1581" s="55" t="str">
        <f>IF($A1581=0,"",VLOOKUP($A1581,'BASE EQUIPO'!$A:$D,4))</f>
        <v/>
      </c>
      <c r="F1581" s="55" t="str">
        <f t="shared" si="140"/>
        <v/>
      </c>
      <c r="G1581" s="106"/>
      <c r="H1581" s="56" t="str">
        <f t="shared" si="141"/>
        <v/>
      </c>
      <c r="I1581" s="2"/>
    </row>
    <row r="1582" spans="1:15" x14ac:dyDescent="0.25">
      <c r="B1582" s="38" t="str">
        <f>IF($A1582=0,"",VLOOKUP($A1582,'BASE EQUIPO'!$A:$D,2))</f>
        <v/>
      </c>
      <c r="C1582" s="2"/>
      <c r="D1582" s="55"/>
      <c r="E1582" s="55" t="str">
        <f>IF($A1582=0,"",VLOOKUP($A1582,'BASE EQUIPO'!$A:$D,4))</f>
        <v/>
      </c>
      <c r="F1582" s="55" t="str">
        <f t="shared" si="140"/>
        <v/>
      </c>
      <c r="G1582" s="106"/>
      <c r="H1582" s="56" t="str">
        <f t="shared" si="141"/>
        <v/>
      </c>
      <c r="I1582" s="2"/>
    </row>
    <row r="1583" spans="1:15" x14ac:dyDescent="0.25">
      <c r="B1583" s="57" t="str">
        <f>IF($A1583=0,"",VLOOKUP($A1583,'BASE EQUIPO'!$A:$D,2))</f>
        <v/>
      </c>
      <c r="C1583" s="58"/>
      <c r="D1583" s="59"/>
      <c r="E1583" s="59" t="str">
        <f>IF($A1583=0,"",VLOOKUP($A1583,'BASE EQUIPO'!$A:$D,4))</f>
        <v/>
      </c>
      <c r="F1583" s="59" t="str">
        <f t="shared" si="140"/>
        <v/>
      </c>
      <c r="G1583" s="107"/>
      <c r="H1583" s="60" t="str">
        <f t="shared" si="141"/>
        <v/>
      </c>
      <c r="I1583" s="2"/>
    </row>
    <row r="1584" spans="1:15" x14ac:dyDescent="0.25">
      <c r="B1584" s="57" t="s">
        <v>1692</v>
      </c>
      <c r="C1584" s="58"/>
      <c r="D1584" s="61"/>
      <c r="E1584" s="61"/>
      <c r="F1584" s="61"/>
      <c r="G1584" s="62"/>
      <c r="H1584" s="60">
        <f>ROUND(SUM(H1577:H1583),2)</f>
        <v>0</v>
      </c>
      <c r="I1584" s="2"/>
    </row>
    <row r="1585" spans="1:16" x14ac:dyDescent="0.25">
      <c r="B1585" s="38" t="s">
        <v>1503</v>
      </c>
      <c r="C1585" s="2"/>
      <c r="D1585" s="3"/>
      <c r="E1585" s="3"/>
      <c r="F1585" s="3"/>
      <c r="G1585" s="63"/>
      <c r="H1585" s="56"/>
      <c r="I1585" s="2"/>
    </row>
    <row r="1586" spans="1:16" ht="25.5" x14ac:dyDescent="0.25">
      <c r="B1586" s="64" t="s">
        <v>1691</v>
      </c>
      <c r="C1586" s="65"/>
      <c r="D1586" s="66" t="s">
        <v>1690</v>
      </c>
      <c r="E1586" s="66" t="s">
        <v>1689</v>
      </c>
      <c r="F1586" s="66" t="s">
        <v>1688</v>
      </c>
      <c r="G1586" s="67" t="s">
        <v>1687</v>
      </c>
      <c r="H1586" s="68" t="s">
        <v>1686</v>
      </c>
      <c r="I1586" s="2"/>
    </row>
    <row r="1587" spans="1:16" x14ac:dyDescent="0.25">
      <c r="B1587" s="69" t="str">
        <f>IF($A1587=0,"",VLOOKUP($A1587,'BASE M-OBRA'!$A:$D,2))</f>
        <v/>
      </c>
      <c r="C1587" s="2"/>
      <c r="D1587" s="108"/>
      <c r="E1587" s="70" t="str">
        <f>IF($A1587=0,"",VLOOKUP($A1587,'BASE M-OBRA'!$A:$D,4))</f>
        <v/>
      </c>
      <c r="F1587" s="55" t="str">
        <f t="shared" ref="F1587:F1593" si="142">IF($A1587=0,"",ROUND(D1587*E1587,2))</f>
        <v/>
      </c>
      <c r="G1587" s="106" t="str">
        <f>IF($A1587=0,"",ROUND(H1587/F1587,2))</f>
        <v/>
      </c>
      <c r="H1587" s="56" t="str">
        <f>IF($A1587=0,"",ROUND(SUM(H1588:H1593)*'BASE M-OBRA'!$D$23,2))</f>
        <v/>
      </c>
      <c r="I1587" s="2"/>
    </row>
    <row r="1588" spans="1:16" x14ac:dyDescent="0.25">
      <c r="B1588" s="69" t="str">
        <f>IF($A1588=0,"",VLOOKUP($A1588,'BASE M-OBRA'!$A:$D,2))</f>
        <v/>
      </c>
      <c r="C1588" s="2"/>
      <c r="D1588" s="108"/>
      <c r="E1588" s="70" t="str">
        <f>IF($A1588=0,"",VLOOKUP($A1588,'BASE M-OBRA'!$A:$D,4))</f>
        <v/>
      </c>
      <c r="F1588" s="55" t="str">
        <f t="shared" si="142"/>
        <v/>
      </c>
      <c r="G1588" s="106"/>
      <c r="H1588" s="56" t="str">
        <f t="shared" ref="H1588:H1593" si="143">IF($A1588=0,"",ROUND(G1588*F1588,2))</f>
        <v/>
      </c>
      <c r="I1588" s="2"/>
    </row>
    <row r="1589" spans="1:16" x14ac:dyDescent="0.25">
      <c r="B1589" s="69" t="str">
        <f>IF($A1589=0,"",VLOOKUP($A1589,'BASE M-OBRA'!$A:$D,2))</f>
        <v/>
      </c>
      <c r="C1589" s="2"/>
      <c r="D1589" s="108"/>
      <c r="E1589" s="70" t="str">
        <f>IF($A1589=0,"",VLOOKUP($A1589,'BASE M-OBRA'!$A:$D,4))</f>
        <v/>
      </c>
      <c r="F1589" s="55" t="str">
        <f t="shared" si="142"/>
        <v/>
      </c>
      <c r="G1589" s="106"/>
      <c r="H1589" s="56" t="str">
        <f t="shared" si="143"/>
        <v/>
      </c>
      <c r="I1589" s="2"/>
    </row>
    <row r="1590" spans="1:16" x14ac:dyDescent="0.25">
      <c r="B1590" s="71" t="str">
        <f>IF($A1590=0,"",VLOOKUP($A1590,'BASE M-OBRA'!$A:$D,2))</f>
        <v/>
      </c>
      <c r="C1590" s="2"/>
      <c r="D1590" s="108"/>
      <c r="E1590" s="70" t="str">
        <f>IF($A1590=0,"",VLOOKUP($A1590,'BASE M-OBRA'!$A:$D,4))</f>
        <v/>
      </c>
      <c r="F1590" s="55" t="str">
        <f t="shared" si="142"/>
        <v/>
      </c>
      <c r="G1590" s="106"/>
      <c r="H1590" s="56" t="str">
        <f t="shared" si="143"/>
        <v/>
      </c>
      <c r="I1590" s="2"/>
    </row>
    <row r="1591" spans="1:16" x14ac:dyDescent="0.25">
      <c r="B1591" s="72" t="str">
        <f>IF($A1591=0,"",VLOOKUP($A1591,'BASE M-OBRA'!$A:$D,2))</f>
        <v/>
      </c>
      <c r="C1591" s="2"/>
      <c r="D1591" s="108"/>
      <c r="E1591" s="70" t="str">
        <f>IF($A1591=0,"",VLOOKUP($A1591,'BASE M-OBRA'!$A:$D,4))</f>
        <v/>
      </c>
      <c r="F1591" s="55" t="str">
        <f t="shared" si="142"/>
        <v/>
      </c>
      <c r="G1591" s="106"/>
      <c r="H1591" s="56" t="str">
        <f t="shared" si="143"/>
        <v/>
      </c>
      <c r="I1591" s="2"/>
    </row>
    <row r="1592" spans="1:16" x14ac:dyDescent="0.25">
      <c r="B1592" s="38" t="str">
        <f>IF($A1592=0,"",VLOOKUP($A1592,'BASE M-OBRA'!$A:$D,2))</f>
        <v/>
      </c>
      <c r="C1592" s="2"/>
      <c r="D1592" s="55"/>
      <c r="E1592" s="55" t="str">
        <f>IF($A1592=0,"",VLOOKUP($A1592,'BASE M-OBRA'!$A:$D,4))</f>
        <v/>
      </c>
      <c r="F1592" s="55" t="str">
        <f t="shared" si="142"/>
        <v/>
      </c>
      <c r="G1592" s="106"/>
      <c r="H1592" s="56" t="str">
        <f t="shared" si="143"/>
        <v/>
      </c>
      <c r="I1592" s="2"/>
    </row>
    <row r="1593" spans="1:16" x14ac:dyDescent="0.25">
      <c r="B1593" s="57" t="str">
        <f>IF($A1593=0,"",VLOOKUP($A1593,'BASE M-OBRA'!$A:$D,2))</f>
        <v/>
      </c>
      <c r="C1593" s="58"/>
      <c r="D1593" s="59"/>
      <c r="E1593" s="59" t="str">
        <f>IF($A1593=0,"",VLOOKUP($A1593,'BASE M-OBRA'!$A:$D,4))</f>
        <v/>
      </c>
      <c r="F1593" s="59" t="str">
        <f t="shared" si="142"/>
        <v/>
      </c>
      <c r="G1593" s="107"/>
      <c r="H1593" s="60" t="str">
        <f t="shared" si="143"/>
        <v/>
      </c>
      <c r="I1593" s="2"/>
    </row>
    <row r="1594" spans="1:16" x14ac:dyDescent="0.25">
      <c r="B1594" s="73" t="s">
        <v>1685</v>
      </c>
      <c r="C1594" s="65"/>
      <c r="D1594" s="74"/>
      <c r="E1594" s="74"/>
      <c r="F1594" s="74"/>
      <c r="G1594" s="74"/>
      <c r="H1594" s="75">
        <f>ROUND(SUM(H1586:H1593),2)</f>
        <v>0</v>
      </c>
      <c r="I1594" s="2"/>
    </row>
    <row r="1595" spans="1:16" x14ac:dyDescent="0.25">
      <c r="B1595" s="38" t="s">
        <v>1684</v>
      </c>
      <c r="C1595" s="2"/>
      <c r="D1595" s="3"/>
      <c r="E1595" s="3"/>
      <c r="F1595" s="3"/>
      <c r="G1595" s="3"/>
      <c r="H1595" s="56"/>
      <c r="I1595" s="2"/>
    </row>
    <row r="1596" spans="1:16" ht="25.5" x14ac:dyDescent="0.25">
      <c r="B1596" s="64" t="s">
        <v>1409</v>
      </c>
      <c r="C1596" s="65"/>
      <c r="D1596" s="76"/>
      <c r="E1596" s="66" t="s">
        <v>1408</v>
      </c>
      <c r="F1596" s="66" t="s">
        <v>1679</v>
      </c>
      <c r="G1596" s="66" t="s">
        <v>1683</v>
      </c>
      <c r="H1596" s="68" t="s">
        <v>1675</v>
      </c>
      <c r="I1596" s="2"/>
    </row>
    <row r="1597" spans="1:16" x14ac:dyDescent="0.25">
      <c r="A1597" s="103">
        <v>1</v>
      </c>
      <c r="B1597" s="102" t="s">
        <v>162</v>
      </c>
      <c r="C1597" s="2"/>
      <c r="D1597" s="77"/>
      <c r="E1597" s="78" t="s">
        <v>1506</v>
      </c>
      <c r="F1597" s="55">
        <v>1</v>
      </c>
      <c r="G1597" s="55">
        <v>17.25</v>
      </c>
      <c r="H1597" s="56">
        <f t="shared" ref="H1597:H1611" si="144">IF($A1597=0,"",ROUND(F1597*G1597,2))</f>
        <v>17.25</v>
      </c>
      <c r="I1597" s="2"/>
      <c r="J1597" s="1">
        <v>17.600000000000001</v>
      </c>
      <c r="L1597" s="2"/>
      <c r="M1597" s="2"/>
      <c r="N1597" s="39"/>
      <c r="O1597" s="2"/>
      <c r="P1597" s="2"/>
    </row>
    <row r="1598" spans="1:16" x14ac:dyDescent="0.25">
      <c r="B1598" s="102"/>
      <c r="C1598" s="2"/>
      <c r="D1598" s="77"/>
      <c r="E1598" s="78" t="str">
        <f>IF($A1598=0,"",VLOOKUP($A1598,'BASE MATERIAL'!$A:$D,3))</f>
        <v/>
      </c>
      <c r="F1598" s="55"/>
      <c r="G1598" s="55" t="str">
        <f>IF($A1598=0,"",VLOOKUP($A1598,'BASE MATERIAL'!$A:$D,4))</f>
        <v/>
      </c>
      <c r="H1598" s="56" t="str">
        <f t="shared" si="144"/>
        <v/>
      </c>
      <c r="I1598" s="2"/>
      <c r="L1598" s="2"/>
      <c r="M1598" s="2"/>
      <c r="N1598" s="39"/>
      <c r="O1598" s="2"/>
      <c r="P1598" s="2"/>
    </row>
    <row r="1599" spans="1:16" x14ac:dyDescent="0.25">
      <c r="B1599" s="38" t="str">
        <f>IF($A1599=0,"",VLOOKUP($A1599,'BASE MATERIAL'!$A:$D,2))</f>
        <v/>
      </c>
      <c r="C1599" s="2"/>
      <c r="D1599" s="77"/>
      <c r="E1599" s="78" t="str">
        <f>IF($A1599=0,"",VLOOKUP($A1599,'BASE MATERIAL'!$A:$D,3))</f>
        <v/>
      </c>
      <c r="F1599" s="55"/>
      <c r="G1599" s="55" t="str">
        <f>IF($A1599=0,"",VLOOKUP($A1599,'BASE MATERIAL'!$A:$D,4))</f>
        <v/>
      </c>
      <c r="H1599" s="56" t="str">
        <f t="shared" si="144"/>
        <v/>
      </c>
      <c r="I1599" s="2"/>
      <c r="L1599" s="2"/>
      <c r="M1599" s="2"/>
      <c r="N1599" s="39"/>
      <c r="O1599" s="2"/>
      <c r="P1599" s="2"/>
    </row>
    <row r="1600" spans="1:16" x14ac:dyDescent="0.25">
      <c r="B1600" s="38" t="str">
        <f>IF($A1600=0,"",VLOOKUP($A1600,'BASE MATERIAL'!$A:$D,2))</f>
        <v/>
      </c>
      <c r="C1600" s="2"/>
      <c r="D1600" s="77"/>
      <c r="E1600" s="78" t="str">
        <f>IF($A1600=0,"",VLOOKUP($A1600,'BASE MATERIAL'!$A:$D,3))</f>
        <v/>
      </c>
      <c r="F1600" s="55"/>
      <c r="G1600" s="55" t="str">
        <f>IF($A1600=0,"",VLOOKUP($A1600,'BASE MATERIAL'!$A:$D,4))</f>
        <v/>
      </c>
      <c r="H1600" s="56" t="str">
        <f t="shared" si="144"/>
        <v/>
      </c>
      <c r="I1600" s="2"/>
      <c r="L1600" s="2"/>
      <c r="M1600" s="2"/>
      <c r="N1600" s="39"/>
      <c r="O1600" s="2"/>
      <c r="P1600" s="2"/>
    </row>
    <row r="1601" spans="1:16" x14ac:dyDescent="0.25">
      <c r="B1601" s="38" t="str">
        <f>IF($A1601=0,"",VLOOKUP($A1601,'BASE MATERIAL'!$A:$D,2))</f>
        <v/>
      </c>
      <c r="C1601" s="2"/>
      <c r="D1601" s="77"/>
      <c r="E1601" s="78" t="str">
        <f>IF($A1601=0,"",VLOOKUP($A1601,'BASE MATERIAL'!$A:$D,3))</f>
        <v/>
      </c>
      <c r="F1601" s="55"/>
      <c r="G1601" s="55" t="str">
        <f>IF($A1601=0,"",VLOOKUP($A1601,'BASE MATERIAL'!$A:$D,4))</f>
        <v/>
      </c>
      <c r="H1601" s="56" t="str">
        <f t="shared" si="144"/>
        <v/>
      </c>
      <c r="I1601" s="2"/>
      <c r="L1601" s="2"/>
      <c r="M1601" s="2"/>
      <c r="N1601" s="39"/>
      <c r="O1601" s="2"/>
      <c r="P1601" s="2"/>
    </row>
    <row r="1602" spans="1:16" x14ac:dyDescent="0.25">
      <c r="B1602" s="38" t="str">
        <f>IF($A1602=0,"",VLOOKUP($A1602,'BASE MATERIAL'!$A:$D,2))</f>
        <v/>
      </c>
      <c r="C1602" s="2"/>
      <c r="D1602" s="77"/>
      <c r="E1602" s="78" t="str">
        <f>IF($A1602=0,"",VLOOKUP($A1602,'BASE MATERIAL'!$A:$D,3))</f>
        <v/>
      </c>
      <c r="F1602" s="55"/>
      <c r="G1602" s="55" t="str">
        <f>IF($A1602=0,"",VLOOKUP($A1602,'BASE MATERIAL'!$A:$D,4))</f>
        <v/>
      </c>
      <c r="H1602" s="56" t="str">
        <f t="shared" si="144"/>
        <v/>
      </c>
      <c r="I1602" s="2"/>
      <c r="L1602" s="2"/>
      <c r="M1602" s="2"/>
      <c r="N1602" s="39"/>
      <c r="O1602" s="2"/>
      <c r="P1602" s="2"/>
    </row>
    <row r="1603" spans="1:16" x14ac:dyDescent="0.25">
      <c r="B1603" s="38" t="str">
        <f>IF($A1603=0,"",VLOOKUP($A1603,'BASE MATERIAL'!$A:$D,2))</f>
        <v/>
      </c>
      <c r="C1603" s="2"/>
      <c r="D1603" s="77"/>
      <c r="E1603" s="78" t="str">
        <f>IF($A1603=0,"",VLOOKUP($A1603,'BASE MATERIAL'!$A:$D,3))</f>
        <v/>
      </c>
      <c r="F1603" s="55"/>
      <c r="G1603" s="55" t="str">
        <f>IF($A1603=0,"",VLOOKUP($A1603,'BASE MATERIAL'!$A:$D,4))</f>
        <v/>
      </c>
      <c r="H1603" s="56" t="str">
        <f t="shared" si="144"/>
        <v/>
      </c>
      <c r="I1603" s="2"/>
      <c r="L1603" s="2"/>
      <c r="M1603" s="2"/>
      <c r="N1603" s="39"/>
      <c r="O1603" s="2"/>
      <c r="P1603" s="2"/>
    </row>
    <row r="1604" spans="1:16" x14ac:dyDescent="0.25">
      <c r="B1604" s="38" t="str">
        <f>IF($A1604=0,"",VLOOKUP($A1604,'BASE MATERIAL'!$A:$D,2))</f>
        <v/>
      </c>
      <c r="C1604" s="2"/>
      <c r="D1604" s="77"/>
      <c r="E1604" s="78" t="str">
        <f>IF($A1604=0,"",VLOOKUP($A1604,'BASE MATERIAL'!$A:$D,3))</f>
        <v/>
      </c>
      <c r="F1604" s="55"/>
      <c r="G1604" s="55" t="str">
        <f>IF($A1604=0,"",VLOOKUP($A1604,'BASE MATERIAL'!$A:$D,4))</f>
        <v/>
      </c>
      <c r="H1604" s="56" t="str">
        <f t="shared" si="144"/>
        <v/>
      </c>
      <c r="I1604" s="2"/>
      <c r="L1604" s="2"/>
      <c r="M1604" s="2"/>
      <c r="N1604" s="39"/>
      <c r="O1604" s="2"/>
      <c r="P1604" s="2"/>
    </row>
    <row r="1605" spans="1:16" x14ac:dyDescent="0.25">
      <c r="B1605" s="38" t="str">
        <f>IF($A1605=0,"",VLOOKUP($A1605,'BASE MATERIAL'!$A:$D,2))</f>
        <v/>
      </c>
      <c r="C1605" s="2"/>
      <c r="D1605" s="77"/>
      <c r="E1605" s="78" t="str">
        <f>IF($A1605=0,"",VLOOKUP($A1605,'BASE MATERIAL'!$A:$D,3))</f>
        <v/>
      </c>
      <c r="F1605" s="55"/>
      <c r="G1605" s="55" t="str">
        <f>IF($A1605=0,"",VLOOKUP($A1605,'BASE MATERIAL'!$A:$D,4))</f>
        <v/>
      </c>
      <c r="H1605" s="56" t="str">
        <f t="shared" si="144"/>
        <v/>
      </c>
      <c r="I1605" s="2"/>
    </row>
    <row r="1606" spans="1:16" x14ac:dyDescent="0.25">
      <c r="B1606" s="38" t="str">
        <f>IF($A1606=0,"",VLOOKUP($A1606,'BASE MATERIAL'!$A:$D,2))</f>
        <v/>
      </c>
      <c r="C1606" s="2"/>
      <c r="D1606" s="77"/>
      <c r="E1606" s="78" t="str">
        <f>IF($A1606=0,"",VLOOKUP($A1606,'BASE MATERIAL'!$A:$D,3))</f>
        <v/>
      </c>
      <c r="F1606" s="55"/>
      <c r="G1606" s="55" t="str">
        <f>IF($A1606=0,"",VLOOKUP($A1606,'BASE MATERIAL'!$A:$D,4))</f>
        <v/>
      </c>
      <c r="H1606" s="56" t="str">
        <f t="shared" si="144"/>
        <v/>
      </c>
      <c r="I1606" s="2"/>
      <c r="L1606" s="2"/>
      <c r="M1606" s="2"/>
      <c r="N1606" s="39"/>
      <c r="O1606" s="2"/>
      <c r="P1606" s="2"/>
    </row>
    <row r="1607" spans="1:16" x14ac:dyDescent="0.25">
      <c r="B1607" s="38" t="str">
        <f>IF($A1607=0,"",VLOOKUP($A1607,'BASE MATERIAL'!$A:$D,2))</f>
        <v/>
      </c>
      <c r="C1607" s="2"/>
      <c r="D1607" s="77"/>
      <c r="E1607" s="78" t="str">
        <f>IF($A1607=0,"",VLOOKUP($A1607,'BASE MATERIAL'!$A:$D,3))</f>
        <v/>
      </c>
      <c r="F1607" s="55"/>
      <c r="G1607" s="55" t="str">
        <f>IF($A1607=0,"",VLOOKUP($A1607,'BASE MATERIAL'!$A:$D,4))</f>
        <v/>
      </c>
      <c r="H1607" s="56" t="str">
        <f t="shared" si="144"/>
        <v/>
      </c>
      <c r="I1607" s="2"/>
      <c r="L1607" s="2"/>
      <c r="M1607" s="2"/>
      <c r="N1607" s="39"/>
      <c r="O1607" s="2"/>
      <c r="P1607" s="2"/>
    </row>
    <row r="1608" spans="1:16" x14ac:dyDescent="0.25">
      <c r="B1608" s="38" t="str">
        <f>IF($A1608=0,"",VLOOKUP($A1608,'BASE MATERIAL'!$A:$D,2))</f>
        <v/>
      </c>
      <c r="C1608" s="2"/>
      <c r="D1608" s="77"/>
      <c r="E1608" s="78" t="str">
        <f>IF($A1608=0,"",VLOOKUP($A1608,'BASE MATERIAL'!$A:$D,3))</f>
        <v/>
      </c>
      <c r="F1608" s="55"/>
      <c r="G1608" s="55" t="str">
        <f>IF($A1608=0,"",VLOOKUP($A1608,'BASE MATERIAL'!$A:$D,4))</f>
        <v/>
      </c>
      <c r="H1608" s="56" t="str">
        <f t="shared" si="144"/>
        <v/>
      </c>
      <c r="I1608" s="2"/>
    </row>
    <row r="1609" spans="1:16" x14ac:dyDescent="0.25">
      <c r="B1609" s="38" t="str">
        <f>IF($A1609=0,"",VLOOKUP($A1609,'BASE MATERIAL'!$A:$D,2))</f>
        <v/>
      </c>
      <c r="C1609" s="2"/>
      <c r="D1609" s="77"/>
      <c r="E1609" s="78" t="str">
        <f>IF($A1609=0,"",VLOOKUP($A1609,'BASE MATERIAL'!$A:$D,3))</f>
        <v/>
      </c>
      <c r="F1609" s="55"/>
      <c r="G1609" s="55" t="str">
        <f>IF($A1609=0,"",VLOOKUP($A1609,'BASE MATERIAL'!$A:$D,4))</f>
        <v/>
      </c>
      <c r="H1609" s="56" t="str">
        <f t="shared" si="144"/>
        <v/>
      </c>
      <c r="I1609" s="2"/>
    </row>
    <row r="1610" spans="1:16" x14ac:dyDescent="0.25">
      <c r="B1610" s="38" t="str">
        <f>IF($A1610=0,"",VLOOKUP($A1610,'BASE MATERIAL'!$A:$D,2))</f>
        <v/>
      </c>
      <c r="C1610" s="2"/>
      <c r="D1610" s="77"/>
      <c r="E1610" s="78" t="str">
        <f>IF($A1610=0,"",VLOOKUP($A1610,'BASE MATERIAL'!$A:$D,3))</f>
        <v/>
      </c>
      <c r="F1610" s="55"/>
      <c r="G1610" s="55" t="str">
        <f>IF($A1610=0,"",VLOOKUP($A1610,'BASE MATERIAL'!$A:$D,4))</f>
        <v/>
      </c>
      <c r="H1610" s="56" t="str">
        <f t="shared" si="144"/>
        <v/>
      </c>
      <c r="I1610" s="2"/>
    </row>
    <row r="1611" spans="1:16" x14ac:dyDescent="0.25">
      <c r="B1611" s="38" t="str">
        <f>IF($A1611=0,"",VLOOKUP($A1611,'BASE MATERIAL'!$A:$D,2))</f>
        <v/>
      </c>
      <c r="C1611" s="2"/>
      <c r="D1611" s="77"/>
      <c r="E1611" s="78" t="str">
        <f>IF($A1611=0,"",VLOOKUP($A1611,'BASE MATERIAL'!$A:$D,3))</f>
        <v/>
      </c>
      <c r="F1611" s="55"/>
      <c r="G1611" s="55" t="str">
        <f>IF($A1611=0,"",VLOOKUP($A1611,'BASE MATERIAL'!$A:$D,4))</f>
        <v/>
      </c>
      <c r="H1611" s="56" t="str">
        <f t="shared" si="144"/>
        <v/>
      </c>
      <c r="I1611" s="2"/>
    </row>
    <row r="1612" spans="1:16" x14ac:dyDescent="0.25">
      <c r="B1612" s="38" t="str">
        <f>IF($A1612=0,"",VLOOKUP($A1612,'BASE MATERIAL'!$A:$D,2))</f>
        <v/>
      </c>
      <c r="C1612" s="2"/>
      <c r="D1612" s="81" t="s">
        <v>1682</v>
      </c>
      <c r="E1612" s="55" t="str">
        <f>IF($A1612=0,"",VLOOKUP($A1612,'BASE MATERIAL'!$A:$D,3))</f>
        <v/>
      </c>
      <c r="F1612" s="55" t="s">
        <v>1682</v>
      </c>
      <c r="G1612" s="55" t="str">
        <f>IF($A1612=0,"",VLOOKUP($A1612,'BASE MATERIAL'!$A:$D,4))</f>
        <v/>
      </c>
      <c r="H1612" s="56" t="str">
        <f>IF($A1612=0,"",ROUND(E1612*F1612,2))</f>
        <v/>
      </c>
      <c r="I1612" s="2"/>
    </row>
    <row r="1613" spans="1:16" x14ac:dyDescent="0.25">
      <c r="B1613" s="73" t="s">
        <v>1681</v>
      </c>
      <c r="C1613" s="65"/>
      <c r="D1613" s="74"/>
      <c r="E1613" s="74"/>
      <c r="F1613" s="74"/>
      <c r="G1613" s="74"/>
      <c r="H1613" s="75">
        <f>ROUND(SUM(H1596:H1612),2)</f>
        <v>17.25</v>
      </c>
      <c r="I1613" s="2"/>
    </row>
    <row r="1614" spans="1:16" x14ac:dyDescent="0.25">
      <c r="B1614" s="38" t="s">
        <v>1680</v>
      </c>
      <c r="C1614" s="2"/>
      <c r="D1614" s="3"/>
      <c r="E1614" s="3"/>
      <c r="F1614" s="3"/>
      <c r="G1614" s="3"/>
      <c r="H1614" s="56"/>
      <c r="I1614" s="2"/>
    </row>
    <row r="1615" spans="1:16" ht="25.5" x14ac:dyDescent="0.25">
      <c r="B1615" s="64" t="s">
        <v>1409</v>
      </c>
      <c r="C1615" s="65"/>
      <c r="D1615" s="76"/>
      <c r="E1615" s="66" t="s">
        <v>1408</v>
      </c>
      <c r="F1615" s="66" t="s">
        <v>1679</v>
      </c>
      <c r="G1615" s="66" t="s">
        <v>1676</v>
      </c>
      <c r="H1615" s="68" t="s">
        <v>1675</v>
      </c>
      <c r="I1615" s="2"/>
    </row>
    <row r="1616" spans="1:16" x14ac:dyDescent="0.25">
      <c r="A1616" s="103">
        <v>19019</v>
      </c>
      <c r="B1616" s="51" t="str">
        <f>IF($A1616=0,"",VLOOKUP($A1616,'BASE EQUIPO'!$A:$D,2))</f>
        <v>TRANSPORTE DE MATERIAL</v>
      </c>
      <c r="C1616" s="52"/>
      <c r="D1616" s="82"/>
      <c r="E1616" s="78" t="str">
        <f>IF($A1616=0,"",VLOOKUP($A1616,'BASE EQUIPO'!$A:$D,3))</f>
        <v>GLOBAL</v>
      </c>
      <c r="F1616" s="55">
        <v>1</v>
      </c>
      <c r="G1616" s="83">
        <f>IF($A1616=0,"",VLOOKUP($A1616,'BASE EQUIPO'!$A:$D,4)*H1613)</f>
        <v>0.51749999999999996</v>
      </c>
      <c r="H1616" s="56">
        <f>IF($A1616=0,"",ROUND(F1616*G1616,2))</f>
        <v>0.52</v>
      </c>
      <c r="I1616" s="2"/>
    </row>
    <row r="1617" spans="1:15" x14ac:dyDescent="0.25">
      <c r="B1617" s="38" t="str">
        <f>IF($A1617=0,"",VLOOKUP($A1617,'BASE EQUIPO'!$A:$D,2))</f>
        <v/>
      </c>
      <c r="C1617" s="2"/>
      <c r="D1617" s="84"/>
      <c r="E1617" s="78" t="str">
        <f>IF($A1617=0,"",VLOOKUP($A1617,'BASE EQUIPO'!$A:$D,3))</f>
        <v/>
      </c>
      <c r="F1617" s="55"/>
      <c r="G1617" s="55" t="str">
        <f>IF($A1617=0,"",VLOOKUP($A1617,'BASE EQUIPO'!$A:$D,4)*H1614)</f>
        <v/>
      </c>
      <c r="H1617" s="56" t="str">
        <f>IF($A1617=0,"",ROUND(F1617*G1617,2))</f>
        <v/>
      </c>
      <c r="I1617" s="2"/>
    </row>
    <row r="1618" spans="1:15" x14ac:dyDescent="0.25">
      <c r="B1618" s="57" t="str">
        <f>IF($A1618=0,"",VLOOKUP($A1618,'BASE EQUIPO'!$A:$D,2))</f>
        <v/>
      </c>
      <c r="C1618" s="58"/>
      <c r="D1618" s="85"/>
      <c r="E1618" s="86" t="str">
        <f>IF($A1618=0,"",VLOOKUP($A1618,'BASE EQUIPO'!$A:$D,3))</f>
        <v/>
      </c>
      <c r="F1618" s="59"/>
      <c r="G1618" s="59" t="str">
        <f>IF($A1618=0,"",VLOOKUP($A1618,'BASE EQUIPO'!$A:$D,4)*H1615)</f>
        <v/>
      </c>
      <c r="H1618" s="60" t="str">
        <f>IF($A1618=0,"",ROUND(F1618*G1618,2))</f>
        <v/>
      </c>
      <c r="I1618" s="2"/>
    </row>
    <row r="1619" spans="1:15" ht="15.75" thickBot="1" x14ac:dyDescent="0.3">
      <c r="B1619" s="87" t="s">
        <v>1674</v>
      </c>
      <c r="C1619" s="88"/>
      <c r="D1619" s="89"/>
      <c r="E1619" s="89"/>
      <c r="F1619" s="89"/>
      <c r="G1619" s="89"/>
      <c r="H1619" s="90">
        <f>ROUND(SUM(H1615:H1618),2)</f>
        <v>0.52</v>
      </c>
      <c r="I1619" s="2"/>
    </row>
    <row r="1620" spans="1:15" ht="15.75" x14ac:dyDescent="0.25">
      <c r="B1620" s="2"/>
      <c r="C1620" s="2"/>
      <c r="D1620" s="91" t="s">
        <v>1673</v>
      </c>
      <c r="E1620" s="47"/>
      <c r="F1620" s="47"/>
      <c r="G1620" s="47"/>
      <c r="H1620" s="92">
        <f>ROUND(SUM(H1619,H1613,H1594,H1584),2)</f>
        <v>17.77</v>
      </c>
      <c r="I1620" s="2"/>
    </row>
    <row r="1621" spans="1:15" ht="15.75" x14ac:dyDescent="0.25">
      <c r="A1621" s="103">
        <v>40002</v>
      </c>
      <c r="B1621" s="2"/>
      <c r="C1621" s="2"/>
      <c r="D1621" s="93" t="s">
        <v>1672</v>
      </c>
      <c r="E1621" s="65"/>
      <c r="F1621" s="65"/>
      <c r="G1621" s="94">
        <f>IF($A1621=0,"",VLOOKUP($A1621,'BASE MATERIAL'!$M:$P,4))</f>
        <v>0</v>
      </c>
      <c r="H1621" s="95">
        <f>IF($A1621=0,"",ROUND(G1621*H1620,2))</f>
        <v>0</v>
      </c>
      <c r="I1621" s="2"/>
    </row>
    <row r="1622" spans="1:15" ht="15.75" x14ac:dyDescent="0.25">
      <c r="A1622" s="103">
        <v>40003</v>
      </c>
      <c r="B1622" s="2"/>
      <c r="C1622" s="2"/>
      <c r="D1622" s="93" t="s">
        <v>1671</v>
      </c>
      <c r="E1622" s="65"/>
      <c r="F1622" s="65"/>
      <c r="G1622" s="94">
        <f>IF($A1622=0,"",VLOOKUP($A1622,'BASE MATERIAL'!$M:$P,4))</f>
        <v>0</v>
      </c>
      <c r="H1622" s="95">
        <f>IF($A1622=0,"",ROUND(G1622*H1620,2))</f>
        <v>0</v>
      </c>
      <c r="I1622" s="2"/>
    </row>
    <row r="1623" spans="1:15" ht="15.75" x14ac:dyDescent="0.25">
      <c r="B1623" s="2"/>
      <c r="C1623" s="2"/>
      <c r="D1623" s="93" t="s">
        <v>1670</v>
      </c>
      <c r="E1623" s="65"/>
      <c r="F1623" s="65"/>
      <c r="G1623" s="65"/>
      <c r="H1623" s="96">
        <f>ROUND(SUM(H1620:H1622),2)</f>
        <v>17.77</v>
      </c>
      <c r="I1623" s="2"/>
    </row>
    <row r="1624" spans="1:15" ht="16.5" thickBot="1" x14ac:dyDescent="0.3">
      <c r="B1624" s="25"/>
      <c r="C1624" s="2"/>
      <c r="D1624" s="97" t="s">
        <v>1650</v>
      </c>
      <c r="E1624" s="88"/>
      <c r="F1624" s="88"/>
      <c r="G1624" s="88"/>
      <c r="H1624" s="98">
        <f>ROUND(H1623,2)</f>
        <v>17.77</v>
      </c>
      <c r="I1624" s="2"/>
    </row>
    <row r="1625" spans="1:15" ht="15.75" x14ac:dyDescent="0.25">
      <c r="B1625" s="34" t="s">
        <v>1701</v>
      </c>
      <c r="C1625" s="2"/>
      <c r="D1625" s="3" t="str">
        <f>$D$1</f>
        <v>ESPOL</v>
      </c>
      <c r="E1625" s="2"/>
      <c r="F1625" s="2"/>
      <c r="H1625" s="2" t="s">
        <v>108</v>
      </c>
      <c r="I1625" s="2"/>
      <c r="L1625" s="40">
        <f>A1629</f>
        <v>2</v>
      </c>
      <c r="M1625" s="1" t="str">
        <f>C1630</f>
        <v>Filtro de 1/2 15 TON</v>
      </c>
      <c r="N1625" s="2" t="str">
        <f>H1629</f>
        <v>unidad</v>
      </c>
      <c r="O1625" s="2">
        <f>H1680</f>
        <v>21.12</v>
      </c>
    </row>
    <row r="1626" spans="1:15" ht="15.75" x14ac:dyDescent="0.25">
      <c r="B1626" s="34" t="s">
        <v>1700</v>
      </c>
      <c r="C1626" s="3">
        <f>'1.1'!$C$2</f>
        <v>0</v>
      </c>
      <c r="D1626" s="2"/>
      <c r="E1626" s="2"/>
      <c r="F1626" s="2"/>
      <c r="G1626" s="41" t="s">
        <v>1699</v>
      </c>
      <c r="H1626" s="42"/>
      <c r="I1626" s="2" t="s">
        <v>1698</v>
      </c>
    </row>
    <row r="1627" spans="1:15" ht="15.75" x14ac:dyDescent="0.25">
      <c r="B1627" s="34"/>
      <c r="C1627" s="3">
        <f>'1.1'!$C$3</f>
        <v>0</v>
      </c>
      <c r="D1627" s="2"/>
      <c r="E1627" s="2"/>
      <c r="F1627" s="2"/>
      <c r="G1627" s="2"/>
      <c r="H1627" s="2"/>
      <c r="I1627" s="2"/>
    </row>
    <row r="1628" spans="1:15" ht="15.75" x14ac:dyDescent="0.25">
      <c r="B1628" s="34" t="s">
        <v>1697</v>
      </c>
      <c r="C1628" s="3"/>
      <c r="D1628" s="2"/>
      <c r="E1628" s="2"/>
      <c r="F1628" s="2"/>
      <c r="G1628" s="2"/>
      <c r="H1628" s="2"/>
      <c r="I1628" s="2"/>
    </row>
    <row r="1629" spans="1:15" x14ac:dyDescent="0.25">
      <c r="A1629" s="104">
        <v>2</v>
      </c>
      <c r="B1629" s="2" t="s">
        <v>1586</v>
      </c>
      <c r="C1629" s="101" t="s">
        <v>180</v>
      </c>
      <c r="D1629" s="2"/>
      <c r="G1629" s="2" t="s">
        <v>1696</v>
      </c>
      <c r="H1629" s="3" t="s">
        <v>126</v>
      </c>
      <c r="I1629" s="2"/>
    </row>
    <row r="1630" spans="1:15" x14ac:dyDescent="0.25">
      <c r="B1630" s="1" t="s">
        <v>1585</v>
      </c>
      <c r="C1630" s="36" t="s">
        <v>163</v>
      </c>
      <c r="D1630" s="2"/>
      <c r="E1630" s="2"/>
      <c r="F1630" s="2"/>
      <c r="G1630" s="2"/>
      <c r="H1630" s="2"/>
      <c r="I1630" s="2"/>
    </row>
    <row r="1631" spans="1:15" ht="15.75" thickBot="1" x14ac:dyDescent="0.3">
      <c r="D1631" s="2"/>
      <c r="E1631" s="2"/>
      <c r="F1631" s="2"/>
      <c r="G1631" s="2"/>
      <c r="H1631" s="2"/>
      <c r="I1631" s="2"/>
    </row>
    <row r="1632" spans="1:15" ht="15.75" thickBot="1" x14ac:dyDescent="0.3">
      <c r="B1632" s="43" t="s">
        <v>1695</v>
      </c>
      <c r="C1632" s="44"/>
      <c r="D1632" s="44"/>
      <c r="E1632" s="44"/>
      <c r="F1632" s="44"/>
      <c r="G1632" s="44"/>
      <c r="H1632" s="45"/>
      <c r="I1632" s="2"/>
    </row>
    <row r="1633" spans="2:9" ht="25.5" x14ac:dyDescent="0.25">
      <c r="B1633" s="46" t="s">
        <v>1409</v>
      </c>
      <c r="C1633" s="47"/>
      <c r="D1633" s="48" t="s">
        <v>1690</v>
      </c>
      <c r="E1633" s="48" t="s">
        <v>1694</v>
      </c>
      <c r="F1633" s="48" t="s">
        <v>1693</v>
      </c>
      <c r="G1633" s="49" t="s">
        <v>1687</v>
      </c>
      <c r="H1633" s="50" t="s">
        <v>1686</v>
      </c>
      <c r="I1633" s="2"/>
    </row>
    <row r="1634" spans="2:9" x14ac:dyDescent="0.25">
      <c r="B1634" s="51" t="str">
        <f>IF($A1634=0,"",VLOOKUP($A1634,'BASE EQUIPO'!$A:$D,2))</f>
        <v/>
      </c>
      <c r="C1634" s="52"/>
      <c r="D1634" s="53"/>
      <c r="E1634" s="53" t="str">
        <f>IF($A1634=0,"",VLOOKUP($A1634,'BASE EQUIPO'!$A:$D,4)*H1650)</f>
        <v/>
      </c>
      <c r="F1634" s="53" t="str">
        <f t="shared" ref="F1634:F1639" si="145">IF($A1634=0,"",ROUND(D1634*E1634,2))</f>
        <v/>
      </c>
      <c r="G1634" s="105"/>
      <c r="H1634" s="54" t="str">
        <f t="shared" ref="H1634:H1639" si="146">IF($A1634=0,"",ROUND(G1634*F1634,2))</f>
        <v/>
      </c>
      <c r="I1634" s="2"/>
    </row>
    <row r="1635" spans="2:9" x14ac:dyDescent="0.25">
      <c r="B1635" s="38" t="str">
        <f>IF($A1635=0,"",VLOOKUP($A1635,'BASE EQUIPO'!$A:$D,2))</f>
        <v/>
      </c>
      <c r="C1635" s="2"/>
      <c r="D1635" s="55"/>
      <c r="E1635" s="55" t="str">
        <f>IF($A1635=0,"",VLOOKUP($A1635,'BASE EQUIPO'!$A:$D,4))</f>
        <v/>
      </c>
      <c r="F1635" s="55" t="str">
        <f t="shared" si="145"/>
        <v/>
      </c>
      <c r="G1635" s="106"/>
      <c r="H1635" s="56" t="str">
        <f t="shared" si="146"/>
        <v/>
      </c>
      <c r="I1635" s="2"/>
    </row>
    <row r="1636" spans="2:9" x14ac:dyDescent="0.25">
      <c r="B1636" s="38" t="str">
        <f>IF($A1636=0,"",VLOOKUP($A1636,'BASE EQUIPO'!$A:$D,2))</f>
        <v/>
      </c>
      <c r="C1636" s="2"/>
      <c r="D1636" s="55"/>
      <c r="E1636" s="55" t="str">
        <f>IF($A1636=0,"",VLOOKUP($A1636,'BASE EQUIPO'!$A:$D,4))</f>
        <v/>
      </c>
      <c r="F1636" s="55" t="str">
        <f t="shared" si="145"/>
        <v/>
      </c>
      <c r="G1636" s="106"/>
      <c r="H1636" s="56" t="str">
        <f t="shared" si="146"/>
        <v/>
      </c>
      <c r="I1636" s="2"/>
    </row>
    <row r="1637" spans="2:9" x14ac:dyDescent="0.25">
      <c r="B1637" s="38" t="str">
        <f>IF($A1637=0,"",VLOOKUP($A1637,'BASE EQUIPO'!$A:$D,2))</f>
        <v/>
      </c>
      <c r="C1637" s="2"/>
      <c r="D1637" s="55"/>
      <c r="E1637" s="55" t="str">
        <f>IF($A1637=0,"",VLOOKUP($A1637,'BASE EQUIPO'!$A:$D,4))</f>
        <v/>
      </c>
      <c r="F1637" s="55" t="str">
        <f t="shared" si="145"/>
        <v/>
      </c>
      <c r="G1637" s="106"/>
      <c r="H1637" s="56" t="str">
        <f t="shared" si="146"/>
        <v/>
      </c>
      <c r="I1637" s="2"/>
    </row>
    <row r="1638" spans="2:9" x14ac:dyDescent="0.25">
      <c r="B1638" s="38" t="str">
        <f>IF($A1638=0,"",VLOOKUP($A1638,'BASE EQUIPO'!$A:$D,2))</f>
        <v/>
      </c>
      <c r="C1638" s="2"/>
      <c r="D1638" s="55"/>
      <c r="E1638" s="55" t="str">
        <f>IF($A1638=0,"",VLOOKUP($A1638,'BASE EQUIPO'!$A:$D,4))</f>
        <v/>
      </c>
      <c r="F1638" s="55" t="str">
        <f t="shared" si="145"/>
        <v/>
      </c>
      <c r="G1638" s="106"/>
      <c r="H1638" s="56" t="str">
        <f t="shared" si="146"/>
        <v/>
      </c>
      <c r="I1638" s="2"/>
    </row>
    <row r="1639" spans="2:9" x14ac:dyDescent="0.25">
      <c r="B1639" s="57" t="str">
        <f>IF($A1639=0,"",VLOOKUP($A1639,'BASE EQUIPO'!$A:$D,2))</f>
        <v/>
      </c>
      <c r="C1639" s="58"/>
      <c r="D1639" s="59"/>
      <c r="E1639" s="59" t="str">
        <f>IF($A1639=0,"",VLOOKUP($A1639,'BASE EQUIPO'!$A:$D,4))</f>
        <v/>
      </c>
      <c r="F1639" s="59" t="str">
        <f t="shared" si="145"/>
        <v/>
      </c>
      <c r="G1639" s="107"/>
      <c r="H1639" s="60" t="str">
        <f t="shared" si="146"/>
        <v/>
      </c>
      <c r="I1639" s="2"/>
    </row>
    <row r="1640" spans="2:9" x14ac:dyDescent="0.25">
      <c r="B1640" s="57" t="s">
        <v>1692</v>
      </c>
      <c r="C1640" s="58"/>
      <c r="D1640" s="61"/>
      <c r="E1640" s="61"/>
      <c r="F1640" s="61"/>
      <c r="G1640" s="62"/>
      <c r="H1640" s="60">
        <f>ROUND(SUM(H1633:H1639),2)</f>
        <v>0</v>
      </c>
      <c r="I1640" s="2"/>
    </row>
    <row r="1641" spans="2:9" x14ac:dyDescent="0.25">
      <c r="B1641" s="38" t="s">
        <v>1503</v>
      </c>
      <c r="C1641" s="2"/>
      <c r="D1641" s="3"/>
      <c r="E1641" s="3"/>
      <c r="F1641" s="3"/>
      <c r="G1641" s="63"/>
      <c r="H1641" s="56"/>
      <c r="I1641" s="2"/>
    </row>
    <row r="1642" spans="2:9" ht="25.5" x14ac:dyDescent="0.25">
      <c r="B1642" s="64" t="s">
        <v>1691</v>
      </c>
      <c r="C1642" s="65"/>
      <c r="D1642" s="66" t="s">
        <v>1690</v>
      </c>
      <c r="E1642" s="66" t="s">
        <v>1689</v>
      </c>
      <c r="F1642" s="66" t="s">
        <v>1688</v>
      </c>
      <c r="G1642" s="67" t="s">
        <v>1687</v>
      </c>
      <c r="H1642" s="68" t="s">
        <v>1686</v>
      </c>
      <c r="I1642" s="2"/>
    </row>
    <row r="1643" spans="2:9" x14ac:dyDescent="0.25">
      <c r="B1643" s="69" t="str">
        <f>IF($A1643=0,"",VLOOKUP($A1643,'BASE M-OBRA'!$A:$D,2))</f>
        <v/>
      </c>
      <c r="C1643" s="2"/>
      <c r="D1643" s="108"/>
      <c r="E1643" s="70" t="str">
        <f>IF($A1643=0,"",VLOOKUP($A1643,'BASE M-OBRA'!$A:$D,4))</f>
        <v/>
      </c>
      <c r="F1643" s="55" t="str">
        <f t="shared" ref="F1643:F1649" si="147">IF($A1643=0,"",ROUND(D1643*E1643,2))</f>
        <v/>
      </c>
      <c r="G1643" s="106" t="str">
        <f>IF($A1643=0,"",ROUND(H1643/F1643,2))</f>
        <v/>
      </c>
      <c r="H1643" s="56" t="str">
        <f>IF($A1643=0,"",ROUND(SUM(H1644:H1649)*'BASE M-OBRA'!$D$23,2))</f>
        <v/>
      </c>
      <c r="I1643" s="2"/>
    </row>
    <row r="1644" spans="2:9" x14ac:dyDescent="0.25">
      <c r="B1644" s="69" t="str">
        <f>IF($A1644=0,"",VLOOKUP($A1644,'BASE M-OBRA'!$A:$D,2))</f>
        <v/>
      </c>
      <c r="C1644" s="2"/>
      <c r="D1644" s="108"/>
      <c r="E1644" s="70" t="str">
        <f>IF($A1644=0,"",VLOOKUP($A1644,'BASE M-OBRA'!$A:$D,4))</f>
        <v/>
      </c>
      <c r="F1644" s="55" t="str">
        <f t="shared" si="147"/>
        <v/>
      </c>
      <c r="G1644" s="106"/>
      <c r="H1644" s="56" t="str">
        <f t="shared" ref="H1644:H1649" si="148">IF($A1644=0,"",ROUND(G1644*F1644,2))</f>
        <v/>
      </c>
      <c r="I1644" s="2"/>
    </row>
    <row r="1645" spans="2:9" x14ac:dyDescent="0.25">
      <c r="B1645" s="69" t="str">
        <f>IF($A1645=0,"",VLOOKUP($A1645,'BASE M-OBRA'!$A:$D,2))</f>
        <v/>
      </c>
      <c r="C1645" s="2"/>
      <c r="D1645" s="108"/>
      <c r="E1645" s="70" t="str">
        <f>IF($A1645=0,"",VLOOKUP($A1645,'BASE M-OBRA'!$A:$D,4))</f>
        <v/>
      </c>
      <c r="F1645" s="55" t="str">
        <f t="shared" si="147"/>
        <v/>
      </c>
      <c r="G1645" s="106"/>
      <c r="H1645" s="56" t="str">
        <f t="shared" si="148"/>
        <v/>
      </c>
      <c r="I1645" s="2"/>
    </row>
    <row r="1646" spans="2:9" x14ac:dyDescent="0.25">
      <c r="B1646" s="71" t="str">
        <f>IF($A1646=0,"",VLOOKUP($A1646,'BASE M-OBRA'!$A:$D,2))</f>
        <v/>
      </c>
      <c r="C1646" s="2"/>
      <c r="D1646" s="108"/>
      <c r="E1646" s="70" t="str">
        <f>IF($A1646=0,"",VLOOKUP($A1646,'BASE M-OBRA'!$A:$D,4))</f>
        <v/>
      </c>
      <c r="F1646" s="55" t="str">
        <f t="shared" si="147"/>
        <v/>
      </c>
      <c r="G1646" s="106"/>
      <c r="H1646" s="56" t="str">
        <f t="shared" si="148"/>
        <v/>
      </c>
      <c r="I1646" s="2"/>
    </row>
    <row r="1647" spans="2:9" x14ac:dyDescent="0.25">
      <c r="B1647" s="72" t="str">
        <f>IF($A1647=0,"",VLOOKUP($A1647,'BASE M-OBRA'!$A:$D,2))</f>
        <v/>
      </c>
      <c r="C1647" s="2"/>
      <c r="D1647" s="108"/>
      <c r="E1647" s="70" t="str">
        <f>IF($A1647=0,"",VLOOKUP($A1647,'BASE M-OBRA'!$A:$D,4))</f>
        <v/>
      </c>
      <c r="F1647" s="55" t="str">
        <f t="shared" si="147"/>
        <v/>
      </c>
      <c r="G1647" s="106"/>
      <c r="H1647" s="56" t="str">
        <f t="shared" si="148"/>
        <v/>
      </c>
      <c r="I1647" s="2"/>
    </row>
    <row r="1648" spans="2:9" x14ac:dyDescent="0.25">
      <c r="B1648" s="38" t="str">
        <f>IF($A1648=0,"",VLOOKUP($A1648,'BASE M-OBRA'!$A:$D,2))</f>
        <v/>
      </c>
      <c r="C1648" s="2"/>
      <c r="D1648" s="55"/>
      <c r="E1648" s="55" t="str">
        <f>IF($A1648=0,"",VLOOKUP($A1648,'BASE M-OBRA'!$A:$D,4))</f>
        <v/>
      </c>
      <c r="F1648" s="55" t="str">
        <f t="shared" si="147"/>
        <v/>
      </c>
      <c r="G1648" s="106"/>
      <c r="H1648" s="56" t="str">
        <f t="shared" si="148"/>
        <v/>
      </c>
      <c r="I1648" s="2"/>
    </row>
    <row r="1649" spans="1:16" x14ac:dyDescent="0.25">
      <c r="B1649" s="57" t="str">
        <f>IF($A1649=0,"",VLOOKUP($A1649,'BASE M-OBRA'!$A:$D,2))</f>
        <v/>
      </c>
      <c r="C1649" s="58"/>
      <c r="D1649" s="59"/>
      <c r="E1649" s="59" t="str">
        <f>IF($A1649=0,"",VLOOKUP($A1649,'BASE M-OBRA'!$A:$D,4))</f>
        <v/>
      </c>
      <c r="F1649" s="59" t="str">
        <f t="shared" si="147"/>
        <v/>
      </c>
      <c r="G1649" s="107"/>
      <c r="H1649" s="60" t="str">
        <f t="shared" si="148"/>
        <v/>
      </c>
      <c r="I1649" s="2"/>
    </row>
    <row r="1650" spans="1:16" x14ac:dyDescent="0.25">
      <c r="B1650" s="73" t="s">
        <v>1685</v>
      </c>
      <c r="C1650" s="65"/>
      <c r="D1650" s="74"/>
      <c r="E1650" s="74"/>
      <c r="F1650" s="74"/>
      <c r="G1650" s="74"/>
      <c r="H1650" s="75">
        <f>ROUND(SUM(H1642:H1649),2)</f>
        <v>0</v>
      </c>
      <c r="I1650" s="2"/>
    </row>
    <row r="1651" spans="1:16" x14ac:dyDescent="0.25">
      <c r="B1651" s="38" t="s">
        <v>1684</v>
      </c>
      <c r="C1651" s="2"/>
      <c r="D1651" s="3"/>
      <c r="E1651" s="3"/>
      <c r="F1651" s="3"/>
      <c r="G1651" s="3"/>
      <c r="H1651" s="56"/>
      <c r="I1651" s="2"/>
    </row>
    <row r="1652" spans="1:16" ht="25.5" x14ac:dyDescent="0.25">
      <c r="B1652" s="64" t="s">
        <v>1409</v>
      </c>
      <c r="C1652" s="65"/>
      <c r="D1652" s="76"/>
      <c r="E1652" s="66" t="s">
        <v>1408</v>
      </c>
      <c r="F1652" s="66" t="s">
        <v>1679</v>
      </c>
      <c r="G1652" s="66" t="s">
        <v>1683</v>
      </c>
      <c r="H1652" s="68" t="s">
        <v>1675</v>
      </c>
      <c r="I1652" s="2"/>
    </row>
    <row r="1653" spans="1:16" x14ac:dyDescent="0.25">
      <c r="A1653" s="103">
        <v>1</v>
      </c>
      <c r="B1653" s="102" t="s">
        <v>163</v>
      </c>
      <c r="C1653" s="2"/>
      <c r="D1653" s="77"/>
      <c r="E1653" s="78" t="s">
        <v>1506</v>
      </c>
      <c r="F1653" s="55">
        <v>1</v>
      </c>
      <c r="G1653" s="55">
        <v>20.5</v>
      </c>
      <c r="H1653" s="56">
        <f t="shared" ref="H1653:H1667" si="149">IF($A1653=0,"",ROUND(F1653*G1653,2))</f>
        <v>20.5</v>
      </c>
      <c r="I1653" s="2"/>
      <c r="J1653" s="1">
        <v>17.600000000000001</v>
      </c>
      <c r="L1653" s="2"/>
      <c r="M1653" s="2"/>
      <c r="N1653" s="39"/>
      <c r="O1653" s="2"/>
      <c r="P1653" s="2"/>
    </row>
    <row r="1654" spans="1:16" x14ac:dyDescent="0.25">
      <c r="B1654" s="102"/>
      <c r="C1654" s="2"/>
      <c r="D1654" s="77"/>
      <c r="E1654" s="78" t="str">
        <f>IF($A1654=0,"",VLOOKUP($A1654,'BASE MATERIAL'!$A:$D,3))</f>
        <v/>
      </c>
      <c r="F1654" s="55"/>
      <c r="G1654" s="55" t="str">
        <f>IF($A1654=0,"",VLOOKUP($A1654,'BASE MATERIAL'!$A:$D,4))</f>
        <v/>
      </c>
      <c r="H1654" s="56" t="str">
        <f t="shared" si="149"/>
        <v/>
      </c>
      <c r="I1654" s="2"/>
      <c r="L1654" s="2"/>
      <c r="M1654" s="2"/>
      <c r="N1654" s="39"/>
      <c r="O1654" s="2"/>
      <c r="P1654" s="2"/>
    </row>
    <row r="1655" spans="1:16" x14ac:dyDescent="0.25">
      <c r="B1655" s="38" t="str">
        <f>IF($A1655=0,"",VLOOKUP($A1655,'BASE MATERIAL'!$A:$D,2))</f>
        <v/>
      </c>
      <c r="C1655" s="2"/>
      <c r="D1655" s="77"/>
      <c r="E1655" s="78" t="str">
        <f>IF($A1655=0,"",VLOOKUP($A1655,'BASE MATERIAL'!$A:$D,3))</f>
        <v/>
      </c>
      <c r="F1655" s="55"/>
      <c r="G1655" s="55" t="str">
        <f>IF($A1655=0,"",VLOOKUP($A1655,'BASE MATERIAL'!$A:$D,4))</f>
        <v/>
      </c>
      <c r="H1655" s="56" t="str">
        <f t="shared" si="149"/>
        <v/>
      </c>
      <c r="I1655" s="2"/>
      <c r="L1655" s="2"/>
      <c r="M1655" s="2"/>
      <c r="N1655" s="39"/>
      <c r="O1655" s="2"/>
      <c r="P1655" s="2"/>
    </row>
    <row r="1656" spans="1:16" x14ac:dyDescent="0.25">
      <c r="B1656" s="38" t="str">
        <f>IF($A1656=0,"",VLOOKUP($A1656,'BASE MATERIAL'!$A:$D,2))</f>
        <v/>
      </c>
      <c r="C1656" s="2"/>
      <c r="D1656" s="77"/>
      <c r="E1656" s="78" t="str">
        <f>IF($A1656=0,"",VLOOKUP($A1656,'BASE MATERIAL'!$A:$D,3))</f>
        <v/>
      </c>
      <c r="F1656" s="55"/>
      <c r="G1656" s="55" t="str">
        <f>IF($A1656=0,"",VLOOKUP($A1656,'BASE MATERIAL'!$A:$D,4))</f>
        <v/>
      </c>
      <c r="H1656" s="56" t="str">
        <f t="shared" si="149"/>
        <v/>
      </c>
      <c r="I1656" s="2"/>
      <c r="L1656" s="2"/>
      <c r="M1656" s="2"/>
      <c r="N1656" s="39"/>
      <c r="O1656" s="2"/>
      <c r="P1656" s="2"/>
    </row>
    <row r="1657" spans="1:16" x14ac:dyDescent="0.25">
      <c r="B1657" s="38" t="str">
        <f>IF($A1657=0,"",VLOOKUP($A1657,'BASE MATERIAL'!$A:$D,2))</f>
        <v/>
      </c>
      <c r="C1657" s="2"/>
      <c r="D1657" s="77"/>
      <c r="E1657" s="78" t="str">
        <f>IF($A1657=0,"",VLOOKUP($A1657,'BASE MATERIAL'!$A:$D,3))</f>
        <v/>
      </c>
      <c r="F1657" s="55"/>
      <c r="G1657" s="55" t="str">
        <f>IF($A1657=0,"",VLOOKUP($A1657,'BASE MATERIAL'!$A:$D,4))</f>
        <v/>
      </c>
      <c r="H1657" s="56" t="str">
        <f t="shared" si="149"/>
        <v/>
      </c>
      <c r="I1657" s="2"/>
      <c r="L1657" s="2"/>
      <c r="M1657" s="2"/>
      <c r="N1657" s="39"/>
      <c r="O1657" s="2"/>
      <c r="P1657" s="2"/>
    </row>
    <row r="1658" spans="1:16" x14ac:dyDescent="0.25">
      <c r="B1658" s="38" t="str">
        <f>IF($A1658=0,"",VLOOKUP($A1658,'BASE MATERIAL'!$A:$D,2))</f>
        <v/>
      </c>
      <c r="C1658" s="2"/>
      <c r="D1658" s="77"/>
      <c r="E1658" s="78" t="str">
        <f>IF($A1658=0,"",VLOOKUP($A1658,'BASE MATERIAL'!$A:$D,3))</f>
        <v/>
      </c>
      <c r="F1658" s="55"/>
      <c r="G1658" s="55" t="str">
        <f>IF($A1658=0,"",VLOOKUP($A1658,'BASE MATERIAL'!$A:$D,4))</f>
        <v/>
      </c>
      <c r="H1658" s="56" t="str">
        <f t="shared" si="149"/>
        <v/>
      </c>
      <c r="I1658" s="2"/>
      <c r="L1658" s="2"/>
      <c r="M1658" s="2"/>
      <c r="N1658" s="39"/>
      <c r="O1658" s="2"/>
      <c r="P1658" s="2"/>
    </row>
    <row r="1659" spans="1:16" x14ac:dyDescent="0.25">
      <c r="B1659" s="38" t="str">
        <f>IF($A1659=0,"",VLOOKUP($A1659,'BASE MATERIAL'!$A:$D,2))</f>
        <v/>
      </c>
      <c r="C1659" s="2"/>
      <c r="D1659" s="77"/>
      <c r="E1659" s="78" t="str">
        <f>IF($A1659=0,"",VLOOKUP($A1659,'BASE MATERIAL'!$A:$D,3))</f>
        <v/>
      </c>
      <c r="F1659" s="55"/>
      <c r="G1659" s="55" t="str">
        <f>IF($A1659=0,"",VLOOKUP($A1659,'BASE MATERIAL'!$A:$D,4))</f>
        <v/>
      </c>
      <c r="H1659" s="56" t="str">
        <f t="shared" si="149"/>
        <v/>
      </c>
      <c r="I1659" s="2"/>
      <c r="L1659" s="2"/>
      <c r="M1659" s="2"/>
      <c r="N1659" s="39"/>
      <c r="O1659" s="2"/>
      <c r="P1659" s="2"/>
    </row>
    <row r="1660" spans="1:16" x14ac:dyDescent="0.25">
      <c r="B1660" s="38" t="str">
        <f>IF($A1660=0,"",VLOOKUP($A1660,'BASE MATERIAL'!$A:$D,2))</f>
        <v/>
      </c>
      <c r="C1660" s="2"/>
      <c r="D1660" s="77"/>
      <c r="E1660" s="78" t="str">
        <f>IF($A1660=0,"",VLOOKUP($A1660,'BASE MATERIAL'!$A:$D,3))</f>
        <v/>
      </c>
      <c r="F1660" s="55"/>
      <c r="G1660" s="55" t="str">
        <f>IF($A1660=0,"",VLOOKUP($A1660,'BASE MATERIAL'!$A:$D,4))</f>
        <v/>
      </c>
      <c r="H1660" s="56" t="str">
        <f t="shared" si="149"/>
        <v/>
      </c>
      <c r="I1660" s="2"/>
      <c r="L1660" s="2"/>
      <c r="M1660" s="2"/>
      <c r="N1660" s="39"/>
      <c r="O1660" s="2"/>
      <c r="P1660" s="2"/>
    </row>
    <row r="1661" spans="1:16" x14ac:dyDescent="0.25">
      <c r="B1661" s="38" t="str">
        <f>IF($A1661=0,"",VLOOKUP($A1661,'BASE MATERIAL'!$A:$D,2))</f>
        <v/>
      </c>
      <c r="C1661" s="2"/>
      <c r="D1661" s="77"/>
      <c r="E1661" s="78" t="str">
        <f>IF($A1661=0,"",VLOOKUP($A1661,'BASE MATERIAL'!$A:$D,3))</f>
        <v/>
      </c>
      <c r="F1661" s="55"/>
      <c r="G1661" s="55" t="str">
        <f>IF($A1661=0,"",VLOOKUP($A1661,'BASE MATERIAL'!$A:$D,4))</f>
        <v/>
      </c>
      <c r="H1661" s="56" t="str">
        <f t="shared" si="149"/>
        <v/>
      </c>
      <c r="I1661" s="2"/>
    </row>
    <row r="1662" spans="1:16" x14ac:dyDescent="0.25">
      <c r="B1662" s="38" t="str">
        <f>IF($A1662=0,"",VLOOKUP($A1662,'BASE MATERIAL'!$A:$D,2))</f>
        <v/>
      </c>
      <c r="C1662" s="2"/>
      <c r="D1662" s="77"/>
      <c r="E1662" s="78" t="str">
        <f>IF($A1662=0,"",VLOOKUP($A1662,'BASE MATERIAL'!$A:$D,3))</f>
        <v/>
      </c>
      <c r="F1662" s="55"/>
      <c r="G1662" s="55" t="str">
        <f>IF($A1662=0,"",VLOOKUP($A1662,'BASE MATERIAL'!$A:$D,4))</f>
        <v/>
      </c>
      <c r="H1662" s="56" t="str">
        <f t="shared" si="149"/>
        <v/>
      </c>
      <c r="I1662" s="2"/>
      <c r="L1662" s="2"/>
      <c r="M1662" s="2"/>
      <c r="N1662" s="39"/>
      <c r="O1662" s="2"/>
      <c r="P1662" s="2"/>
    </row>
    <row r="1663" spans="1:16" x14ac:dyDescent="0.25">
      <c r="B1663" s="38" t="str">
        <f>IF($A1663=0,"",VLOOKUP($A1663,'BASE MATERIAL'!$A:$D,2))</f>
        <v/>
      </c>
      <c r="C1663" s="2"/>
      <c r="D1663" s="77"/>
      <c r="E1663" s="78" t="str">
        <f>IF($A1663=0,"",VLOOKUP($A1663,'BASE MATERIAL'!$A:$D,3))</f>
        <v/>
      </c>
      <c r="F1663" s="55"/>
      <c r="G1663" s="55" t="str">
        <f>IF($A1663=0,"",VLOOKUP($A1663,'BASE MATERIAL'!$A:$D,4))</f>
        <v/>
      </c>
      <c r="H1663" s="56" t="str">
        <f t="shared" si="149"/>
        <v/>
      </c>
      <c r="I1663" s="2"/>
      <c r="L1663" s="2"/>
      <c r="M1663" s="2"/>
      <c r="N1663" s="39"/>
      <c r="O1663" s="2"/>
      <c r="P1663" s="2"/>
    </row>
    <row r="1664" spans="1:16" x14ac:dyDescent="0.25">
      <c r="B1664" s="38" t="str">
        <f>IF($A1664=0,"",VLOOKUP($A1664,'BASE MATERIAL'!$A:$D,2))</f>
        <v/>
      </c>
      <c r="C1664" s="2"/>
      <c r="D1664" s="77"/>
      <c r="E1664" s="78" t="str">
        <f>IF($A1664=0,"",VLOOKUP($A1664,'BASE MATERIAL'!$A:$D,3))</f>
        <v/>
      </c>
      <c r="F1664" s="55"/>
      <c r="G1664" s="55" t="str">
        <f>IF($A1664=0,"",VLOOKUP($A1664,'BASE MATERIAL'!$A:$D,4))</f>
        <v/>
      </c>
      <c r="H1664" s="56" t="str">
        <f t="shared" si="149"/>
        <v/>
      </c>
      <c r="I1664" s="2"/>
    </row>
    <row r="1665" spans="1:9" x14ac:dyDescent="0.25">
      <c r="B1665" s="38" t="str">
        <f>IF($A1665=0,"",VLOOKUP($A1665,'BASE MATERIAL'!$A:$D,2))</f>
        <v/>
      </c>
      <c r="C1665" s="2"/>
      <c r="D1665" s="77"/>
      <c r="E1665" s="78" t="str">
        <f>IF($A1665=0,"",VLOOKUP($A1665,'BASE MATERIAL'!$A:$D,3))</f>
        <v/>
      </c>
      <c r="F1665" s="55"/>
      <c r="G1665" s="55" t="str">
        <f>IF($A1665=0,"",VLOOKUP($A1665,'BASE MATERIAL'!$A:$D,4))</f>
        <v/>
      </c>
      <c r="H1665" s="56" t="str">
        <f t="shared" si="149"/>
        <v/>
      </c>
      <c r="I1665" s="2"/>
    </row>
    <row r="1666" spans="1:9" x14ac:dyDescent="0.25">
      <c r="B1666" s="38" t="str">
        <f>IF($A1666=0,"",VLOOKUP($A1666,'BASE MATERIAL'!$A:$D,2))</f>
        <v/>
      </c>
      <c r="C1666" s="2"/>
      <c r="D1666" s="77"/>
      <c r="E1666" s="78" t="str">
        <f>IF($A1666=0,"",VLOOKUP($A1666,'BASE MATERIAL'!$A:$D,3))</f>
        <v/>
      </c>
      <c r="F1666" s="55"/>
      <c r="G1666" s="55" t="str">
        <f>IF($A1666=0,"",VLOOKUP($A1666,'BASE MATERIAL'!$A:$D,4))</f>
        <v/>
      </c>
      <c r="H1666" s="56" t="str">
        <f t="shared" si="149"/>
        <v/>
      </c>
      <c r="I1666" s="2"/>
    </row>
    <row r="1667" spans="1:9" x14ac:dyDescent="0.25">
      <c r="B1667" s="38" t="str">
        <f>IF($A1667=0,"",VLOOKUP($A1667,'BASE MATERIAL'!$A:$D,2))</f>
        <v/>
      </c>
      <c r="C1667" s="2"/>
      <c r="D1667" s="77"/>
      <c r="E1667" s="78" t="str">
        <f>IF($A1667=0,"",VLOOKUP($A1667,'BASE MATERIAL'!$A:$D,3))</f>
        <v/>
      </c>
      <c r="F1667" s="55"/>
      <c r="G1667" s="55" t="str">
        <f>IF($A1667=0,"",VLOOKUP($A1667,'BASE MATERIAL'!$A:$D,4))</f>
        <v/>
      </c>
      <c r="H1667" s="56" t="str">
        <f t="shared" si="149"/>
        <v/>
      </c>
      <c r="I1667" s="2"/>
    </row>
    <row r="1668" spans="1:9" x14ac:dyDescent="0.25">
      <c r="B1668" s="38" t="str">
        <f>IF($A1668=0,"",VLOOKUP($A1668,'BASE MATERIAL'!$A:$D,2))</f>
        <v/>
      </c>
      <c r="C1668" s="2"/>
      <c r="D1668" s="81" t="s">
        <v>1682</v>
      </c>
      <c r="E1668" s="55" t="str">
        <f>IF($A1668=0,"",VLOOKUP($A1668,'BASE MATERIAL'!$A:$D,3))</f>
        <v/>
      </c>
      <c r="F1668" s="55" t="s">
        <v>1682</v>
      </c>
      <c r="G1668" s="55" t="str">
        <f>IF($A1668=0,"",VLOOKUP($A1668,'BASE MATERIAL'!$A:$D,4))</f>
        <v/>
      </c>
      <c r="H1668" s="56" t="str">
        <f>IF($A1668=0,"",ROUND(E1668*F1668,2))</f>
        <v/>
      </c>
      <c r="I1668" s="2"/>
    </row>
    <row r="1669" spans="1:9" x14ac:dyDescent="0.25">
      <c r="B1669" s="73" t="s">
        <v>1681</v>
      </c>
      <c r="C1669" s="65"/>
      <c r="D1669" s="74"/>
      <c r="E1669" s="74"/>
      <c r="F1669" s="74"/>
      <c r="G1669" s="74"/>
      <c r="H1669" s="75">
        <f>ROUND(SUM(H1652:H1668),2)</f>
        <v>20.5</v>
      </c>
      <c r="I1669" s="2"/>
    </row>
    <row r="1670" spans="1:9" x14ac:dyDescent="0.25">
      <c r="B1670" s="38" t="s">
        <v>1680</v>
      </c>
      <c r="C1670" s="2"/>
      <c r="D1670" s="3"/>
      <c r="E1670" s="3"/>
      <c r="F1670" s="3"/>
      <c r="G1670" s="3"/>
      <c r="H1670" s="56"/>
      <c r="I1670" s="2"/>
    </row>
    <row r="1671" spans="1:9" ht="25.5" x14ac:dyDescent="0.25">
      <c r="B1671" s="64" t="s">
        <v>1409</v>
      </c>
      <c r="C1671" s="65"/>
      <c r="D1671" s="76"/>
      <c r="E1671" s="66" t="s">
        <v>1408</v>
      </c>
      <c r="F1671" s="66" t="s">
        <v>1679</v>
      </c>
      <c r="G1671" s="66" t="s">
        <v>1676</v>
      </c>
      <c r="H1671" s="68" t="s">
        <v>1675</v>
      </c>
      <c r="I1671" s="2"/>
    </row>
    <row r="1672" spans="1:9" x14ac:dyDescent="0.25">
      <c r="A1672" s="103">
        <v>19019</v>
      </c>
      <c r="B1672" s="51" t="str">
        <f>IF($A1672=0,"",VLOOKUP($A1672,'BASE EQUIPO'!$A:$D,2))</f>
        <v>TRANSPORTE DE MATERIAL</v>
      </c>
      <c r="C1672" s="52"/>
      <c r="D1672" s="82"/>
      <c r="E1672" s="78" t="str">
        <f>IF($A1672=0,"",VLOOKUP($A1672,'BASE EQUIPO'!$A:$D,3))</f>
        <v>GLOBAL</v>
      </c>
      <c r="F1672" s="55">
        <v>1</v>
      </c>
      <c r="G1672" s="83">
        <f>IF($A1672=0,"",VLOOKUP($A1672,'BASE EQUIPO'!$A:$D,4)*H1669)</f>
        <v>0.61499999999999999</v>
      </c>
      <c r="H1672" s="56">
        <f>IF($A1672=0,"",ROUND(F1672*G1672,2))</f>
        <v>0.62</v>
      </c>
      <c r="I1672" s="2"/>
    </row>
    <row r="1673" spans="1:9" x14ac:dyDescent="0.25">
      <c r="B1673" s="38" t="str">
        <f>IF($A1673=0,"",VLOOKUP($A1673,'BASE EQUIPO'!$A:$D,2))</f>
        <v/>
      </c>
      <c r="C1673" s="2"/>
      <c r="D1673" s="84"/>
      <c r="E1673" s="78" t="str">
        <f>IF($A1673=0,"",VLOOKUP($A1673,'BASE EQUIPO'!$A:$D,3))</f>
        <v/>
      </c>
      <c r="F1673" s="55"/>
      <c r="G1673" s="55" t="str">
        <f>IF($A1673=0,"",VLOOKUP($A1673,'BASE EQUIPO'!$A:$D,4)*H1670)</f>
        <v/>
      </c>
      <c r="H1673" s="56" t="str">
        <f>IF($A1673=0,"",ROUND(F1673*G1673,2))</f>
        <v/>
      </c>
      <c r="I1673" s="2"/>
    </row>
    <row r="1674" spans="1:9" x14ac:dyDescent="0.25">
      <c r="B1674" s="57" t="str">
        <f>IF($A1674=0,"",VLOOKUP($A1674,'BASE EQUIPO'!$A:$D,2))</f>
        <v/>
      </c>
      <c r="C1674" s="58"/>
      <c r="D1674" s="85"/>
      <c r="E1674" s="86" t="str">
        <f>IF($A1674=0,"",VLOOKUP($A1674,'BASE EQUIPO'!$A:$D,3))</f>
        <v/>
      </c>
      <c r="F1674" s="59"/>
      <c r="G1674" s="59" t="str">
        <f>IF($A1674=0,"",VLOOKUP($A1674,'BASE EQUIPO'!$A:$D,4)*H1671)</f>
        <v/>
      </c>
      <c r="H1674" s="60" t="str">
        <f>IF($A1674=0,"",ROUND(F1674*G1674,2))</f>
        <v/>
      </c>
      <c r="I1674" s="2"/>
    </row>
    <row r="1675" spans="1:9" ht="15.75" thickBot="1" x14ac:dyDescent="0.3">
      <c r="B1675" s="87" t="s">
        <v>1674</v>
      </c>
      <c r="C1675" s="88"/>
      <c r="D1675" s="89"/>
      <c r="E1675" s="89"/>
      <c r="F1675" s="89"/>
      <c r="G1675" s="89"/>
      <c r="H1675" s="90">
        <f>ROUND(SUM(H1671:H1674),2)</f>
        <v>0.62</v>
      </c>
      <c r="I1675" s="2"/>
    </row>
    <row r="1676" spans="1:9" ht="15.75" x14ac:dyDescent="0.25">
      <c r="B1676" s="2"/>
      <c r="C1676" s="2"/>
      <c r="D1676" s="91" t="s">
        <v>1673</v>
      </c>
      <c r="E1676" s="47"/>
      <c r="F1676" s="47"/>
      <c r="G1676" s="47"/>
      <c r="H1676" s="92">
        <f>ROUND(SUM(H1675,H1669,H1650,H1640),2)</f>
        <v>21.12</v>
      </c>
      <c r="I1676" s="2"/>
    </row>
    <row r="1677" spans="1:9" ht="15.75" x14ac:dyDescent="0.25">
      <c r="A1677" s="103">
        <v>40002</v>
      </c>
      <c r="B1677" s="2"/>
      <c r="C1677" s="2"/>
      <c r="D1677" s="93" t="s">
        <v>1672</v>
      </c>
      <c r="E1677" s="65"/>
      <c r="F1677" s="65"/>
      <c r="G1677" s="94">
        <f>IF($A1677=0,"",VLOOKUP($A1677,'BASE MATERIAL'!$M:$P,4))</f>
        <v>0</v>
      </c>
      <c r="H1677" s="95">
        <f>IF($A1677=0,"",ROUND(G1677*H1676,2))</f>
        <v>0</v>
      </c>
      <c r="I1677" s="2"/>
    </row>
    <row r="1678" spans="1:9" ht="15.75" x14ac:dyDescent="0.25">
      <c r="A1678" s="103">
        <v>40003</v>
      </c>
      <c r="B1678" s="2"/>
      <c r="C1678" s="2"/>
      <c r="D1678" s="93" t="s">
        <v>1671</v>
      </c>
      <c r="E1678" s="65"/>
      <c r="F1678" s="65"/>
      <c r="G1678" s="94">
        <f>IF($A1678=0,"",VLOOKUP($A1678,'BASE MATERIAL'!$M:$P,4))</f>
        <v>0</v>
      </c>
      <c r="H1678" s="95">
        <f>IF($A1678=0,"",ROUND(G1678*H1676,2))</f>
        <v>0</v>
      </c>
      <c r="I1678" s="2"/>
    </row>
    <row r="1679" spans="1:9" ht="15.75" x14ac:dyDescent="0.25">
      <c r="B1679" s="2"/>
      <c r="C1679" s="2"/>
      <c r="D1679" s="93" t="s">
        <v>1670</v>
      </c>
      <c r="E1679" s="65"/>
      <c r="F1679" s="65"/>
      <c r="G1679" s="65"/>
      <c r="H1679" s="96">
        <f>ROUND(SUM(H1676:H1678),2)</f>
        <v>21.12</v>
      </c>
      <c r="I1679" s="2"/>
    </row>
    <row r="1680" spans="1:9" ht="16.5" thickBot="1" x14ac:dyDescent="0.3">
      <c r="B1680" s="25"/>
      <c r="C1680" s="2"/>
      <c r="D1680" s="97" t="s">
        <v>1650</v>
      </c>
      <c r="E1680" s="88"/>
      <c r="F1680" s="88"/>
      <c r="G1680" s="88"/>
      <c r="H1680" s="98">
        <f>ROUND(H1679,2)</f>
        <v>21.12</v>
      </c>
      <c r="I1680" s="2"/>
    </row>
    <row r="1681" spans="1:15" ht="15.75" x14ac:dyDescent="0.25">
      <c r="B1681" s="34" t="s">
        <v>1701</v>
      </c>
      <c r="C1681" s="2"/>
      <c r="D1681" s="3" t="str">
        <f>$D$1</f>
        <v>ESPOL</v>
      </c>
      <c r="E1681" s="2"/>
      <c r="F1681" s="2"/>
      <c r="H1681" s="2" t="s">
        <v>108</v>
      </c>
      <c r="I1681" s="2"/>
      <c r="L1681" s="40">
        <f>A1685</f>
        <v>2</v>
      </c>
      <c r="M1681" s="1" t="str">
        <f>C1686</f>
        <v>Soldadura de plata al 5%</v>
      </c>
      <c r="N1681" s="2" t="str">
        <f>H1685</f>
        <v>palillos</v>
      </c>
      <c r="O1681" s="2">
        <f>H1736</f>
        <v>3.04</v>
      </c>
    </row>
    <row r="1682" spans="1:15" ht="15.75" x14ac:dyDescent="0.25">
      <c r="B1682" s="34" t="s">
        <v>1700</v>
      </c>
      <c r="C1682" s="3">
        <f>'1.1'!$C$2</f>
        <v>0</v>
      </c>
      <c r="D1682" s="2"/>
      <c r="E1682" s="2"/>
      <c r="F1682" s="2"/>
      <c r="G1682" s="41" t="s">
        <v>1699</v>
      </c>
      <c r="H1682" s="42"/>
      <c r="I1682" s="2" t="s">
        <v>1698</v>
      </c>
    </row>
    <row r="1683" spans="1:15" ht="15.75" x14ac:dyDescent="0.25">
      <c r="B1683" s="34"/>
      <c r="C1683" s="3">
        <f>'1.1'!$C$3</f>
        <v>0</v>
      </c>
      <c r="D1683" s="2"/>
      <c r="E1683" s="2"/>
      <c r="F1683" s="2"/>
      <c r="G1683" s="2"/>
      <c r="H1683" s="2"/>
      <c r="I1683" s="2"/>
    </row>
    <row r="1684" spans="1:15" ht="15.75" x14ac:dyDescent="0.25">
      <c r="B1684" s="34" t="s">
        <v>1697</v>
      </c>
      <c r="C1684" s="3"/>
      <c r="D1684" s="2"/>
      <c r="E1684" s="2"/>
      <c r="F1684" s="2"/>
      <c r="G1684" s="2"/>
      <c r="H1684" s="2"/>
      <c r="I1684" s="2"/>
    </row>
    <row r="1685" spans="1:15" x14ac:dyDescent="0.25">
      <c r="A1685" s="104">
        <v>2</v>
      </c>
      <c r="B1685" s="2" t="s">
        <v>1586</v>
      </c>
      <c r="C1685" s="101" t="s">
        <v>181</v>
      </c>
      <c r="D1685" s="2"/>
      <c r="G1685" s="2" t="s">
        <v>1696</v>
      </c>
      <c r="H1685" s="3" t="s">
        <v>164</v>
      </c>
      <c r="I1685" s="2"/>
    </row>
    <row r="1686" spans="1:15" x14ac:dyDescent="0.25">
      <c r="B1686" s="1" t="s">
        <v>1585</v>
      </c>
      <c r="C1686" s="36" t="s">
        <v>706</v>
      </c>
      <c r="D1686" s="2"/>
      <c r="E1686" s="2"/>
      <c r="F1686" s="2"/>
      <c r="G1686" s="2"/>
      <c r="H1686" s="2"/>
      <c r="I1686" s="2"/>
    </row>
    <row r="1687" spans="1:15" ht="15.75" thickBot="1" x14ac:dyDescent="0.3">
      <c r="D1687" s="2"/>
      <c r="E1687" s="2"/>
      <c r="F1687" s="2"/>
      <c r="G1687" s="2"/>
      <c r="H1687" s="2"/>
      <c r="I1687" s="2"/>
    </row>
    <row r="1688" spans="1:15" ht="15.75" thickBot="1" x14ac:dyDescent="0.3">
      <c r="B1688" s="43" t="s">
        <v>1695</v>
      </c>
      <c r="C1688" s="44"/>
      <c r="D1688" s="44"/>
      <c r="E1688" s="44"/>
      <c r="F1688" s="44"/>
      <c r="G1688" s="44"/>
      <c r="H1688" s="45"/>
      <c r="I1688" s="2"/>
    </row>
    <row r="1689" spans="1:15" ht="25.5" x14ac:dyDescent="0.25">
      <c r="B1689" s="46" t="s">
        <v>1409</v>
      </c>
      <c r="C1689" s="47"/>
      <c r="D1689" s="48" t="s">
        <v>1690</v>
      </c>
      <c r="E1689" s="48" t="s">
        <v>1694</v>
      </c>
      <c r="F1689" s="48" t="s">
        <v>1693</v>
      </c>
      <c r="G1689" s="49" t="s">
        <v>1687</v>
      </c>
      <c r="H1689" s="50" t="s">
        <v>1686</v>
      </c>
      <c r="I1689" s="2"/>
    </row>
    <row r="1690" spans="1:15" x14ac:dyDescent="0.25">
      <c r="B1690" s="51" t="str">
        <f>IF($A1690=0,"",VLOOKUP($A1690,'BASE EQUIPO'!$A:$D,2))</f>
        <v/>
      </c>
      <c r="C1690" s="52"/>
      <c r="D1690" s="53"/>
      <c r="E1690" s="53" t="str">
        <f>IF($A1690=0,"",VLOOKUP($A1690,'BASE EQUIPO'!$A:$D,4)*H1706)</f>
        <v/>
      </c>
      <c r="F1690" s="53" t="str">
        <f t="shared" ref="F1690:F1695" si="150">IF($A1690=0,"",ROUND(D1690*E1690,2))</f>
        <v/>
      </c>
      <c r="G1690" s="105"/>
      <c r="H1690" s="54" t="str">
        <f t="shared" ref="H1690:H1695" si="151">IF($A1690=0,"",ROUND(G1690*F1690,2))</f>
        <v/>
      </c>
      <c r="I1690" s="2"/>
    </row>
    <row r="1691" spans="1:15" x14ac:dyDescent="0.25">
      <c r="B1691" s="38" t="str">
        <f>IF($A1691=0,"",VLOOKUP($A1691,'BASE EQUIPO'!$A:$D,2))</f>
        <v/>
      </c>
      <c r="C1691" s="2"/>
      <c r="D1691" s="55"/>
      <c r="E1691" s="55" t="str">
        <f>IF($A1691=0,"",VLOOKUP($A1691,'BASE EQUIPO'!$A:$D,4))</f>
        <v/>
      </c>
      <c r="F1691" s="55" t="str">
        <f t="shared" si="150"/>
        <v/>
      </c>
      <c r="G1691" s="106"/>
      <c r="H1691" s="56" t="str">
        <f t="shared" si="151"/>
        <v/>
      </c>
      <c r="I1691" s="2"/>
    </row>
    <row r="1692" spans="1:15" x14ac:dyDescent="0.25">
      <c r="B1692" s="38" t="str">
        <f>IF($A1692=0,"",VLOOKUP($A1692,'BASE EQUIPO'!$A:$D,2))</f>
        <v/>
      </c>
      <c r="C1692" s="2"/>
      <c r="D1692" s="55"/>
      <c r="E1692" s="55" t="str">
        <f>IF($A1692=0,"",VLOOKUP($A1692,'BASE EQUIPO'!$A:$D,4))</f>
        <v/>
      </c>
      <c r="F1692" s="55" t="str">
        <f t="shared" si="150"/>
        <v/>
      </c>
      <c r="G1692" s="106"/>
      <c r="H1692" s="56" t="str">
        <f t="shared" si="151"/>
        <v/>
      </c>
      <c r="I1692" s="2"/>
    </row>
    <row r="1693" spans="1:15" x14ac:dyDescent="0.25">
      <c r="B1693" s="38" t="str">
        <f>IF($A1693=0,"",VLOOKUP($A1693,'BASE EQUIPO'!$A:$D,2))</f>
        <v/>
      </c>
      <c r="C1693" s="2"/>
      <c r="D1693" s="55"/>
      <c r="E1693" s="55" t="str">
        <f>IF($A1693=0,"",VLOOKUP($A1693,'BASE EQUIPO'!$A:$D,4))</f>
        <v/>
      </c>
      <c r="F1693" s="55" t="str">
        <f t="shared" si="150"/>
        <v/>
      </c>
      <c r="G1693" s="106"/>
      <c r="H1693" s="56" t="str">
        <f t="shared" si="151"/>
        <v/>
      </c>
      <c r="I1693" s="2"/>
    </row>
    <row r="1694" spans="1:15" x14ac:dyDescent="0.25">
      <c r="B1694" s="38" t="str">
        <f>IF($A1694=0,"",VLOOKUP($A1694,'BASE EQUIPO'!$A:$D,2))</f>
        <v/>
      </c>
      <c r="C1694" s="2"/>
      <c r="D1694" s="55"/>
      <c r="E1694" s="55" t="str">
        <f>IF($A1694=0,"",VLOOKUP($A1694,'BASE EQUIPO'!$A:$D,4))</f>
        <v/>
      </c>
      <c r="F1694" s="55" t="str">
        <f t="shared" si="150"/>
        <v/>
      </c>
      <c r="G1694" s="106"/>
      <c r="H1694" s="56" t="str">
        <f t="shared" si="151"/>
        <v/>
      </c>
      <c r="I1694" s="2"/>
    </row>
    <row r="1695" spans="1:15" x14ac:dyDescent="0.25">
      <c r="B1695" s="57" t="str">
        <f>IF($A1695=0,"",VLOOKUP($A1695,'BASE EQUIPO'!$A:$D,2))</f>
        <v/>
      </c>
      <c r="C1695" s="58"/>
      <c r="D1695" s="59"/>
      <c r="E1695" s="59" t="str">
        <f>IF($A1695=0,"",VLOOKUP($A1695,'BASE EQUIPO'!$A:$D,4))</f>
        <v/>
      </c>
      <c r="F1695" s="59" t="str">
        <f t="shared" si="150"/>
        <v/>
      </c>
      <c r="G1695" s="107"/>
      <c r="H1695" s="60" t="str">
        <f t="shared" si="151"/>
        <v/>
      </c>
      <c r="I1695" s="2"/>
    </row>
    <row r="1696" spans="1:15" x14ac:dyDescent="0.25">
      <c r="B1696" s="57" t="s">
        <v>1692</v>
      </c>
      <c r="C1696" s="58"/>
      <c r="D1696" s="61"/>
      <c r="E1696" s="61"/>
      <c r="F1696" s="61"/>
      <c r="G1696" s="62"/>
      <c r="H1696" s="60">
        <f>ROUND(SUM(H1689:H1695),2)</f>
        <v>0</v>
      </c>
      <c r="I1696" s="2"/>
    </row>
    <row r="1697" spans="1:16" x14ac:dyDescent="0.25">
      <c r="B1697" s="38" t="s">
        <v>1503</v>
      </c>
      <c r="C1697" s="2"/>
      <c r="D1697" s="3"/>
      <c r="E1697" s="3"/>
      <c r="F1697" s="3"/>
      <c r="G1697" s="63"/>
      <c r="H1697" s="56"/>
      <c r="I1697" s="2"/>
    </row>
    <row r="1698" spans="1:16" ht="25.5" x14ac:dyDescent="0.25">
      <c r="B1698" s="64" t="s">
        <v>1691</v>
      </c>
      <c r="C1698" s="65"/>
      <c r="D1698" s="66" t="s">
        <v>1690</v>
      </c>
      <c r="E1698" s="66" t="s">
        <v>1689</v>
      </c>
      <c r="F1698" s="66" t="s">
        <v>1688</v>
      </c>
      <c r="G1698" s="67" t="s">
        <v>1687</v>
      </c>
      <c r="H1698" s="68" t="s">
        <v>1686</v>
      </c>
      <c r="I1698" s="2"/>
    </row>
    <row r="1699" spans="1:16" x14ac:dyDescent="0.25">
      <c r="B1699" s="69" t="str">
        <f>IF($A1699=0,"",VLOOKUP($A1699,'BASE M-OBRA'!$A:$D,2))</f>
        <v/>
      </c>
      <c r="C1699" s="2"/>
      <c r="D1699" s="108"/>
      <c r="E1699" s="70" t="str">
        <f>IF($A1699=0,"",VLOOKUP($A1699,'BASE M-OBRA'!$A:$D,4))</f>
        <v/>
      </c>
      <c r="F1699" s="55" t="str">
        <f t="shared" ref="F1699:F1705" si="152">IF($A1699=0,"",ROUND(D1699*E1699,2))</f>
        <v/>
      </c>
      <c r="G1699" s="106" t="str">
        <f>IF($A1699=0,"",ROUND(H1699/F1699,2))</f>
        <v/>
      </c>
      <c r="H1699" s="56" t="str">
        <f>IF($A1699=0,"",ROUND(SUM(H1700:H1705)*'BASE M-OBRA'!$D$23,2))</f>
        <v/>
      </c>
      <c r="I1699" s="2"/>
    </row>
    <row r="1700" spans="1:16" x14ac:dyDescent="0.25">
      <c r="B1700" s="69" t="str">
        <f>IF($A1700=0,"",VLOOKUP($A1700,'BASE M-OBRA'!$A:$D,2))</f>
        <v/>
      </c>
      <c r="C1700" s="2"/>
      <c r="D1700" s="108"/>
      <c r="E1700" s="70" t="str">
        <f>IF($A1700=0,"",VLOOKUP($A1700,'BASE M-OBRA'!$A:$D,4))</f>
        <v/>
      </c>
      <c r="F1700" s="55" t="str">
        <f t="shared" si="152"/>
        <v/>
      </c>
      <c r="G1700" s="106"/>
      <c r="H1700" s="56" t="str">
        <f t="shared" ref="H1700:H1705" si="153">IF($A1700=0,"",ROUND(G1700*F1700,2))</f>
        <v/>
      </c>
      <c r="I1700" s="2"/>
    </row>
    <row r="1701" spans="1:16" x14ac:dyDescent="0.25">
      <c r="B1701" s="69" t="str">
        <f>IF($A1701=0,"",VLOOKUP($A1701,'BASE M-OBRA'!$A:$D,2))</f>
        <v/>
      </c>
      <c r="C1701" s="2"/>
      <c r="D1701" s="108"/>
      <c r="E1701" s="70" t="str">
        <f>IF($A1701=0,"",VLOOKUP($A1701,'BASE M-OBRA'!$A:$D,4))</f>
        <v/>
      </c>
      <c r="F1701" s="55" t="str">
        <f t="shared" si="152"/>
        <v/>
      </c>
      <c r="G1701" s="106"/>
      <c r="H1701" s="56" t="str">
        <f t="shared" si="153"/>
        <v/>
      </c>
      <c r="I1701" s="2"/>
    </row>
    <row r="1702" spans="1:16" x14ac:dyDescent="0.25">
      <c r="B1702" s="71" t="str">
        <f>IF($A1702=0,"",VLOOKUP($A1702,'BASE M-OBRA'!$A:$D,2))</f>
        <v/>
      </c>
      <c r="C1702" s="2"/>
      <c r="D1702" s="108"/>
      <c r="E1702" s="70" t="str">
        <f>IF($A1702=0,"",VLOOKUP($A1702,'BASE M-OBRA'!$A:$D,4))</f>
        <v/>
      </c>
      <c r="F1702" s="55" t="str">
        <f t="shared" si="152"/>
        <v/>
      </c>
      <c r="G1702" s="106"/>
      <c r="H1702" s="56" t="str">
        <f t="shared" si="153"/>
        <v/>
      </c>
      <c r="I1702" s="2"/>
    </row>
    <row r="1703" spans="1:16" x14ac:dyDescent="0.25">
      <c r="B1703" s="72" t="str">
        <f>IF($A1703=0,"",VLOOKUP($A1703,'BASE M-OBRA'!$A:$D,2))</f>
        <v/>
      </c>
      <c r="C1703" s="2"/>
      <c r="D1703" s="108"/>
      <c r="E1703" s="70" t="str">
        <f>IF($A1703=0,"",VLOOKUP($A1703,'BASE M-OBRA'!$A:$D,4))</f>
        <v/>
      </c>
      <c r="F1703" s="55" t="str">
        <f t="shared" si="152"/>
        <v/>
      </c>
      <c r="G1703" s="106"/>
      <c r="H1703" s="56" t="str">
        <f t="shared" si="153"/>
        <v/>
      </c>
      <c r="I1703" s="2"/>
    </row>
    <row r="1704" spans="1:16" x14ac:dyDescent="0.25">
      <c r="B1704" s="38" t="str">
        <f>IF($A1704=0,"",VLOOKUP($A1704,'BASE M-OBRA'!$A:$D,2))</f>
        <v/>
      </c>
      <c r="C1704" s="2"/>
      <c r="D1704" s="55"/>
      <c r="E1704" s="55" t="str">
        <f>IF($A1704=0,"",VLOOKUP($A1704,'BASE M-OBRA'!$A:$D,4))</f>
        <v/>
      </c>
      <c r="F1704" s="55" t="str">
        <f t="shared" si="152"/>
        <v/>
      </c>
      <c r="G1704" s="106"/>
      <c r="H1704" s="56" t="str">
        <f t="shared" si="153"/>
        <v/>
      </c>
      <c r="I1704" s="2"/>
    </row>
    <row r="1705" spans="1:16" x14ac:dyDescent="0.25">
      <c r="B1705" s="57" t="str">
        <f>IF($A1705=0,"",VLOOKUP($A1705,'BASE M-OBRA'!$A:$D,2))</f>
        <v/>
      </c>
      <c r="C1705" s="58"/>
      <c r="D1705" s="59"/>
      <c r="E1705" s="59" t="str">
        <f>IF($A1705=0,"",VLOOKUP($A1705,'BASE M-OBRA'!$A:$D,4))</f>
        <v/>
      </c>
      <c r="F1705" s="59" t="str">
        <f t="shared" si="152"/>
        <v/>
      </c>
      <c r="G1705" s="107"/>
      <c r="H1705" s="60" t="str">
        <f t="shared" si="153"/>
        <v/>
      </c>
      <c r="I1705" s="2"/>
    </row>
    <row r="1706" spans="1:16" x14ac:dyDescent="0.25">
      <c r="B1706" s="73" t="s">
        <v>1685</v>
      </c>
      <c r="C1706" s="65"/>
      <c r="D1706" s="74"/>
      <c r="E1706" s="74"/>
      <c r="F1706" s="74"/>
      <c r="G1706" s="74"/>
      <c r="H1706" s="75">
        <f>ROUND(SUM(H1698:H1705),2)</f>
        <v>0</v>
      </c>
      <c r="I1706" s="2"/>
    </row>
    <row r="1707" spans="1:16" x14ac:dyDescent="0.25">
      <c r="B1707" s="38" t="s">
        <v>1684</v>
      </c>
      <c r="C1707" s="2"/>
      <c r="D1707" s="3"/>
      <c r="E1707" s="3"/>
      <c r="F1707" s="3"/>
      <c r="G1707" s="3"/>
      <c r="H1707" s="56"/>
      <c r="I1707" s="2"/>
    </row>
    <row r="1708" spans="1:16" ht="25.5" x14ac:dyDescent="0.25">
      <c r="B1708" s="64" t="s">
        <v>1409</v>
      </c>
      <c r="C1708" s="65"/>
      <c r="D1708" s="76"/>
      <c r="E1708" s="66" t="s">
        <v>1408</v>
      </c>
      <c r="F1708" s="66" t="s">
        <v>1679</v>
      </c>
      <c r="G1708" s="66" t="s">
        <v>1683</v>
      </c>
      <c r="H1708" s="68" t="s">
        <v>1675</v>
      </c>
      <c r="I1708" s="2"/>
    </row>
    <row r="1709" spans="1:16" x14ac:dyDescent="0.25">
      <c r="A1709" s="103">
        <v>1</v>
      </c>
      <c r="B1709" s="102" t="s">
        <v>706</v>
      </c>
      <c r="C1709" s="2"/>
      <c r="D1709" s="77"/>
      <c r="E1709" s="78" t="s">
        <v>164</v>
      </c>
      <c r="F1709" s="55">
        <v>1</v>
      </c>
      <c r="G1709" s="55">
        <v>2.95</v>
      </c>
      <c r="H1709" s="56">
        <f t="shared" ref="H1709:H1723" si="154">IF($A1709=0,"",ROUND(F1709*G1709,2))</f>
        <v>2.95</v>
      </c>
      <c r="I1709" s="2"/>
      <c r="J1709" s="1">
        <v>2.98</v>
      </c>
      <c r="L1709" s="2"/>
      <c r="M1709" s="2"/>
      <c r="N1709" s="39"/>
      <c r="O1709" s="2"/>
      <c r="P1709" s="2"/>
    </row>
    <row r="1710" spans="1:16" x14ac:dyDescent="0.25">
      <c r="B1710" s="102"/>
      <c r="C1710" s="2"/>
      <c r="D1710" s="77"/>
      <c r="E1710" s="78" t="str">
        <f>IF($A1710=0,"",VLOOKUP($A1710,'BASE MATERIAL'!$A:$D,3))</f>
        <v/>
      </c>
      <c r="F1710" s="55"/>
      <c r="G1710" s="55" t="str">
        <f>IF($A1710=0,"",VLOOKUP($A1710,'BASE MATERIAL'!$A:$D,4))</f>
        <v/>
      </c>
      <c r="H1710" s="56" t="str">
        <f t="shared" si="154"/>
        <v/>
      </c>
      <c r="I1710" s="2"/>
      <c r="L1710" s="2"/>
      <c r="M1710" s="2"/>
      <c r="N1710" s="39"/>
      <c r="O1710" s="2"/>
      <c r="P1710" s="2"/>
    </row>
    <row r="1711" spans="1:16" x14ac:dyDescent="0.25">
      <c r="B1711" s="38" t="str">
        <f>IF($A1711=0,"",VLOOKUP($A1711,'BASE MATERIAL'!$A:$D,2))</f>
        <v/>
      </c>
      <c r="C1711" s="2"/>
      <c r="D1711" s="77"/>
      <c r="E1711" s="78" t="str">
        <f>IF($A1711=0,"",VLOOKUP($A1711,'BASE MATERIAL'!$A:$D,3))</f>
        <v/>
      </c>
      <c r="F1711" s="55"/>
      <c r="G1711" s="55" t="str">
        <f>IF($A1711=0,"",VLOOKUP($A1711,'BASE MATERIAL'!$A:$D,4))</f>
        <v/>
      </c>
      <c r="H1711" s="56" t="str">
        <f t="shared" si="154"/>
        <v/>
      </c>
      <c r="I1711" s="2"/>
      <c r="L1711" s="2"/>
      <c r="M1711" s="2"/>
      <c r="N1711" s="39"/>
      <c r="O1711" s="2"/>
      <c r="P1711" s="2"/>
    </row>
    <row r="1712" spans="1:16" x14ac:dyDescent="0.25">
      <c r="B1712" s="38" t="str">
        <f>IF($A1712=0,"",VLOOKUP($A1712,'BASE MATERIAL'!$A:$D,2))</f>
        <v/>
      </c>
      <c r="C1712" s="2"/>
      <c r="D1712" s="77"/>
      <c r="E1712" s="78" t="str">
        <f>IF($A1712=0,"",VLOOKUP($A1712,'BASE MATERIAL'!$A:$D,3))</f>
        <v/>
      </c>
      <c r="F1712" s="55"/>
      <c r="G1712" s="55" t="str">
        <f>IF($A1712=0,"",VLOOKUP($A1712,'BASE MATERIAL'!$A:$D,4))</f>
        <v/>
      </c>
      <c r="H1712" s="56" t="str">
        <f t="shared" si="154"/>
        <v/>
      </c>
      <c r="I1712" s="2"/>
      <c r="L1712" s="2"/>
      <c r="M1712" s="2"/>
      <c r="N1712" s="39"/>
      <c r="O1712" s="2"/>
      <c r="P1712" s="2"/>
    </row>
    <row r="1713" spans="1:16" x14ac:dyDescent="0.25">
      <c r="B1713" s="38" t="str">
        <f>IF($A1713=0,"",VLOOKUP($A1713,'BASE MATERIAL'!$A:$D,2))</f>
        <v/>
      </c>
      <c r="C1713" s="2"/>
      <c r="D1713" s="77"/>
      <c r="E1713" s="78" t="str">
        <f>IF($A1713=0,"",VLOOKUP($A1713,'BASE MATERIAL'!$A:$D,3))</f>
        <v/>
      </c>
      <c r="F1713" s="55"/>
      <c r="G1713" s="55" t="str">
        <f>IF($A1713=0,"",VLOOKUP($A1713,'BASE MATERIAL'!$A:$D,4))</f>
        <v/>
      </c>
      <c r="H1713" s="56" t="str">
        <f t="shared" si="154"/>
        <v/>
      </c>
      <c r="I1713" s="2"/>
      <c r="L1713" s="2"/>
      <c r="M1713" s="2"/>
      <c r="N1713" s="39"/>
      <c r="O1713" s="2"/>
      <c r="P1713" s="2"/>
    </row>
    <row r="1714" spans="1:16" x14ac:dyDescent="0.25">
      <c r="B1714" s="38" t="str">
        <f>IF($A1714=0,"",VLOOKUP($A1714,'BASE MATERIAL'!$A:$D,2))</f>
        <v/>
      </c>
      <c r="C1714" s="2"/>
      <c r="D1714" s="77"/>
      <c r="E1714" s="78" t="str">
        <f>IF($A1714=0,"",VLOOKUP($A1714,'BASE MATERIAL'!$A:$D,3))</f>
        <v/>
      </c>
      <c r="F1714" s="55"/>
      <c r="G1714" s="55" t="str">
        <f>IF($A1714=0,"",VLOOKUP($A1714,'BASE MATERIAL'!$A:$D,4))</f>
        <v/>
      </c>
      <c r="H1714" s="56" t="str">
        <f t="shared" si="154"/>
        <v/>
      </c>
      <c r="I1714" s="2"/>
      <c r="L1714" s="2"/>
      <c r="M1714" s="2"/>
      <c r="N1714" s="39"/>
      <c r="O1714" s="2"/>
      <c r="P1714" s="2"/>
    </row>
    <row r="1715" spans="1:16" x14ac:dyDescent="0.25">
      <c r="B1715" s="38" t="str">
        <f>IF($A1715=0,"",VLOOKUP($A1715,'BASE MATERIAL'!$A:$D,2))</f>
        <v/>
      </c>
      <c r="C1715" s="2"/>
      <c r="D1715" s="77"/>
      <c r="E1715" s="78" t="str">
        <f>IF($A1715=0,"",VLOOKUP($A1715,'BASE MATERIAL'!$A:$D,3))</f>
        <v/>
      </c>
      <c r="F1715" s="55"/>
      <c r="G1715" s="55" t="str">
        <f>IF($A1715=0,"",VLOOKUP($A1715,'BASE MATERIAL'!$A:$D,4))</f>
        <v/>
      </c>
      <c r="H1715" s="56" t="str">
        <f t="shared" si="154"/>
        <v/>
      </c>
      <c r="I1715" s="2"/>
      <c r="L1715" s="2"/>
      <c r="M1715" s="2"/>
      <c r="N1715" s="39"/>
      <c r="O1715" s="2"/>
      <c r="P1715" s="2"/>
    </row>
    <row r="1716" spans="1:16" x14ac:dyDescent="0.25">
      <c r="B1716" s="38" t="str">
        <f>IF($A1716=0,"",VLOOKUP($A1716,'BASE MATERIAL'!$A:$D,2))</f>
        <v/>
      </c>
      <c r="C1716" s="2"/>
      <c r="D1716" s="77"/>
      <c r="E1716" s="78" t="str">
        <f>IF($A1716=0,"",VLOOKUP($A1716,'BASE MATERIAL'!$A:$D,3))</f>
        <v/>
      </c>
      <c r="F1716" s="55"/>
      <c r="G1716" s="55" t="str">
        <f>IF($A1716=0,"",VLOOKUP($A1716,'BASE MATERIAL'!$A:$D,4))</f>
        <v/>
      </c>
      <c r="H1716" s="56" t="str">
        <f t="shared" si="154"/>
        <v/>
      </c>
      <c r="I1716" s="2"/>
      <c r="L1716" s="2"/>
      <c r="M1716" s="2"/>
      <c r="N1716" s="39"/>
      <c r="O1716" s="2"/>
      <c r="P1716" s="2"/>
    </row>
    <row r="1717" spans="1:16" x14ac:dyDescent="0.25">
      <c r="B1717" s="38" t="str">
        <f>IF($A1717=0,"",VLOOKUP($A1717,'BASE MATERIAL'!$A:$D,2))</f>
        <v/>
      </c>
      <c r="C1717" s="2"/>
      <c r="D1717" s="77"/>
      <c r="E1717" s="78" t="str">
        <f>IF($A1717=0,"",VLOOKUP($A1717,'BASE MATERIAL'!$A:$D,3))</f>
        <v/>
      </c>
      <c r="F1717" s="55"/>
      <c r="G1717" s="55" t="str">
        <f>IF($A1717=0,"",VLOOKUP($A1717,'BASE MATERIAL'!$A:$D,4))</f>
        <v/>
      </c>
      <c r="H1717" s="56" t="str">
        <f t="shared" si="154"/>
        <v/>
      </c>
      <c r="I1717" s="2"/>
    </row>
    <row r="1718" spans="1:16" x14ac:dyDescent="0.25">
      <c r="B1718" s="38" t="str">
        <f>IF($A1718=0,"",VLOOKUP($A1718,'BASE MATERIAL'!$A:$D,2))</f>
        <v/>
      </c>
      <c r="C1718" s="2"/>
      <c r="D1718" s="77"/>
      <c r="E1718" s="78" t="str">
        <f>IF($A1718=0,"",VLOOKUP($A1718,'BASE MATERIAL'!$A:$D,3))</f>
        <v/>
      </c>
      <c r="F1718" s="55"/>
      <c r="G1718" s="55" t="str">
        <f>IF($A1718=0,"",VLOOKUP($A1718,'BASE MATERIAL'!$A:$D,4))</f>
        <v/>
      </c>
      <c r="H1718" s="56" t="str">
        <f t="shared" si="154"/>
        <v/>
      </c>
      <c r="I1718" s="2"/>
      <c r="L1718" s="2"/>
      <c r="M1718" s="2"/>
      <c r="N1718" s="39"/>
      <c r="O1718" s="2"/>
      <c r="P1718" s="2"/>
    </row>
    <row r="1719" spans="1:16" x14ac:dyDescent="0.25">
      <c r="B1719" s="38" t="str">
        <f>IF($A1719=0,"",VLOOKUP($A1719,'BASE MATERIAL'!$A:$D,2))</f>
        <v/>
      </c>
      <c r="C1719" s="2"/>
      <c r="D1719" s="77"/>
      <c r="E1719" s="78" t="str">
        <f>IF($A1719=0,"",VLOOKUP($A1719,'BASE MATERIAL'!$A:$D,3))</f>
        <v/>
      </c>
      <c r="F1719" s="55"/>
      <c r="G1719" s="55" t="str">
        <f>IF($A1719=0,"",VLOOKUP($A1719,'BASE MATERIAL'!$A:$D,4))</f>
        <v/>
      </c>
      <c r="H1719" s="56" t="str">
        <f t="shared" si="154"/>
        <v/>
      </c>
      <c r="I1719" s="2"/>
      <c r="L1719" s="2"/>
      <c r="M1719" s="2"/>
      <c r="N1719" s="39"/>
      <c r="O1719" s="2"/>
      <c r="P1719" s="2"/>
    </row>
    <row r="1720" spans="1:16" x14ac:dyDescent="0.25">
      <c r="B1720" s="38" t="str">
        <f>IF($A1720=0,"",VLOOKUP($A1720,'BASE MATERIAL'!$A:$D,2))</f>
        <v/>
      </c>
      <c r="C1720" s="2"/>
      <c r="D1720" s="77"/>
      <c r="E1720" s="78" t="str">
        <f>IF($A1720=0,"",VLOOKUP($A1720,'BASE MATERIAL'!$A:$D,3))</f>
        <v/>
      </c>
      <c r="F1720" s="55"/>
      <c r="G1720" s="55" t="str">
        <f>IF($A1720=0,"",VLOOKUP($A1720,'BASE MATERIAL'!$A:$D,4))</f>
        <v/>
      </c>
      <c r="H1720" s="56" t="str">
        <f t="shared" si="154"/>
        <v/>
      </c>
      <c r="I1720" s="2"/>
    </row>
    <row r="1721" spans="1:16" x14ac:dyDescent="0.25">
      <c r="B1721" s="38" t="str">
        <f>IF($A1721=0,"",VLOOKUP($A1721,'BASE MATERIAL'!$A:$D,2))</f>
        <v/>
      </c>
      <c r="C1721" s="2"/>
      <c r="D1721" s="77"/>
      <c r="E1721" s="78" t="str">
        <f>IF($A1721=0,"",VLOOKUP($A1721,'BASE MATERIAL'!$A:$D,3))</f>
        <v/>
      </c>
      <c r="F1721" s="55"/>
      <c r="G1721" s="55" t="str">
        <f>IF($A1721=0,"",VLOOKUP($A1721,'BASE MATERIAL'!$A:$D,4))</f>
        <v/>
      </c>
      <c r="H1721" s="56" t="str">
        <f t="shared" si="154"/>
        <v/>
      </c>
      <c r="I1721" s="2"/>
    </row>
    <row r="1722" spans="1:16" x14ac:dyDescent="0.25">
      <c r="B1722" s="38" t="str">
        <f>IF($A1722=0,"",VLOOKUP($A1722,'BASE MATERIAL'!$A:$D,2))</f>
        <v/>
      </c>
      <c r="C1722" s="2"/>
      <c r="D1722" s="77"/>
      <c r="E1722" s="78" t="str">
        <f>IF($A1722=0,"",VLOOKUP($A1722,'BASE MATERIAL'!$A:$D,3))</f>
        <v/>
      </c>
      <c r="F1722" s="55"/>
      <c r="G1722" s="55" t="str">
        <f>IF($A1722=0,"",VLOOKUP($A1722,'BASE MATERIAL'!$A:$D,4))</f>
        <v/>
      </c>
      <c r="H1722" s="56" t="str">
        <f t="shared" si="154"/>
        <v/>
      </c>
      <c r="I1722" s="2"/>
    </row>
    <row r="1723" spans="1:16" x14ac:dyDescent="0.25">
      <c r="B1723" s="38" t="str">
        <f>IF($A1723=0,"",VLOOKUP($A1723,'BASE MATERIAL'!$A:$D,2))</f>
        <v/>
      </c>
      <c r="C1723" s="2"/>
      <c r="D1723" s="77"/>
      <c r="E1723" s="78" t="str">
        <f>IF($A1723=0,"",VLOOKUP($A1723,'BASE MATERIAL'!$A:$D,3))</f>
        <v/>
      </c>
      <c r="F1723" s="55"/>
      <c r="G1723" s="55" t="str">
        <f>IF($A1723=0,"",VLOOKUP($A1723,'BASE MATERIAL'!$A:$D,4))</f>
        <v/>
      </c>
      <c r="H1723" s="56" t="str">
        <f t="shared" si="154"/>
        <v/>
      </c>
      <c r="I1723" s="2"/>
    </row>
    <row r="1724" spans="1:16" x14ac:dyDescent="0.25">
      <c r="B1724" s="38" t="str">
        <f>IF($A1724=0,"",VLOOKUP($A1724,'BASE MATERIAL'!$A:$D,2))</f>
        <v/>
      </c>
      <c r="C1724" s="2"/>
      <c r="D1724" s="81" t="s">
        <v>1682</v>
      </c>
      <c r="E1724" s="55" t="str">
        <f>IF($A1724=0,"",VLOOKUP($A1724,'BASE MATERIAL'!$A:$D,3))</f>
        <v/>
      </c>
      <c r="F1724" s="55" t="s">
        <v>1682</v>
      </c>
      <c r="G1724" s="55" t="str">
        <f>IF($A1724=0,"",VLOOKUP($A1724,'BASE MATERIAL'!$A:$D,4))</f>
        <v/>
      </c>
      <c r="H1724" s="56" t="str">
        <f>IF($A1724=0,"",ROUND(E1724*F1724,2))</f>
        <v/>
      </c>
      <c r="I1724" s="2"/>
    </row>
    <row r="1725" spans="1:16" x14ac:dyDescent="0.25">
      <c r="B1725" s="73" t="s">
        <v>1681</v>
      </c>
      <c r="C1725" s="65"/>
      <c r="D1725" s="74"/>
      <c r="E1725" s="74"/>
      <c r="F1725" s="74"/>
      <c r="G1725" s="74"/>
      <c r="H1725" s="75">
        <f>ROUND(SUM(H1708:H1724),2)</f>
        <v>2.95</v>
      </c>
      <c r="I1725" s="2"/>
    </row>
    <row r="1726" spans="1:16" x14ac:dyDescent="0.25">
      <c r="B1726" s="38" t="s">
        <v>1680</v>
      </c>
      <c r="C1726" s="2"/>
      <c r="D1726" s="3"/>
      <c r="E1726" s="3"/>
      <c r="F1726" s="3"/>
      <c r="G1726" s="3"/>
      <c r="H1726" s="56"/>
      <c r="I1726" s="2"/>
    </row>
    <row r="1727" spans="1:16" ht="25.5" x14ac:dyDescent="0.25">
      <c r="B1727" s="64" t="s">
        <v>1409</v>
      </c>
      <c r="C1727" s="65"/>
      <c r="D1727" s="76"/>
      <c r="E1727" s="66" t="s">
        <v>1408</v>
      </c>
      <c r="F1727" s="66" t="s">
        <v>1679</v>
      </c>
      <c r="G1727" s="66" t="s">
        <v>1676</v>
      </c>
      <c r="H1727" s="68" t="s">
        <v>1675</v>
      </c>
      <c r="I1727" s="2"/>
    </row>
    <row r="1728" spans="1:16" x14ac:dyDescent="0.25">
      <c r="A1728" s="103">
        <v>19019</v>
      </c>
      <c r="B1728" s="51" t="str">
        <f>IF($A1728=0,"",VLOOKUP($A1728,'BASE EQUIPO'!$A:$D,2))</f>
        <v>TRANSPORTE DE MATERIAL</v>
      </c>
      <c r="C1728" s="52"/>
      <c r="D1728" s="82"/>
      <c r="E1728" s="78" t="str">
        <f>IF($A1728=0,"",VLOOKUP($A1728,'BASE EQUIPO'!$A:$D,3))</f>
        <v>GLOBAL</v>
      </c>
      <c r="F1728" s="55">
        <v>1</v>
      </c>
      <c r="G1728" s="83">
        <f>IF($A1728=0,"",VLOOKUP($A1728,'BASE EQUIPO'!$A:$D,4)*H1725)</f>
        <v>8.8499999999999995E-2</v>
      </c>
      <c r="H1728" s="56">
        <f>IF($A1728=0,"",ROUND(F1728*G1728,2))</f>
        <v>0.09</v>
      </c>
      <c r="I1728" s="2"/>
    </row>
    <row r="1729" spans="1:15" x14ac:dyDescent="0.25">
      <c r="B1729" s="38" t="str">
        <f>IF($A1729=0,"",VLOOKUP($A1729,'BASE EQUIPO'!$A:$D,2))</f>
        <v/>
      </c>
      <c r="C1729" s="2"/>
      <c r="D1729" s="84"/>
      <c r="E1729" s="78" t="str">
        <f>IF($A1729=0,"",VLOOKUP($A1729,'BASE EQUIPO'!$A:$D,3))</f>
        <v/>
      </c>
      <c r="F1729" s="55"/>
      <c r="G1729" s="55" t="str">
        <f>IF($A1729=0,"",VLOOKUP($A1729,'BASE EQUIPO'!$A:$D,4)*H1726)</f>
        <v/>
      </c>
      <c r="H1729" s="56" t="str">
        <f>IF($A1729=0,"",ROUND(F1729*G1729,2))</f>
        <v/>
      </c>
      <c r="I1729" s="2"/>
    </row>
    <row r="1730" spans="1:15" x14ac:dyDescent="0.25">
      <c r="B1730" s="57" t="str">
        <f>IF($A1730=0,"",VLOOKUP($A1730,'BASE EQUIPO'!$A:$D,2))</f>
        <v/>
      </c>
      <c r="C1730" s="58"/>
      <c r="D1730" s="85"/>
      <c r="E1730" s="86" t="str">
        <f>IF($A1730=0,"",VLOOKUP($A1730,'BASE EQUIPO'!$A:$D,3))</f>
        <v/>
      </c>
      <c r="F1730" s="59"/>
      <c r="G1730" s="59" t="str">
        <f>IF($A1730=0,"",VLOOKUP($A1730,'BASE EQUIPO'!$A:$D,4)*H1727)</f>
        <v/>
      </c>
      <c r="H1730" s="60" t="str">
        <f>IF($A1730=0,"",ROUND(F1730*G1730,2))</f>
        <v/>
      </c>
      <c r="I1730" s="2"/>
    </row>
    <row r="1731" spans="1:15" ht="15.75" thickBot="1" x14ac:dyDescent="0.3">
      <c r="B1731" s="87" t="s">
        <v>1674</v>
      </c>
      <c r="C1731" s="88"/>
      <c r="D1731" s="89"/>
      <c r="E1731" s="89"/>
      <c r="F1731" s="89"/>
      <c r="G1731" s="89"/>
      <c r="H1731" s="90">
        <f>ROUND(SUM(H1727:H1730),2)</f>
        <v>0.09</v>
      </c>
      <c r="I1731" s="2"/>
    </row>
    <row r="1732" spans="1:15" ht="15.75" x14ac:dyDescent="0.25">
      <c r="B1732" s="2"/>
      <c r="C1732" s="2"/>
      <c r="D1732" s="91" t="s">
        <v>1673</v>
      </c>
      <c r="E1732" s="47"/>
      <c r="F1732" s="47"/>
      <c r="G1732" s="47"/>
      <c r="H1732" s="92">
        <f>ROUND(SUM(H1731,H1725,H1706,H1696),2)</f>
        <v>3.04</v>
      </c>
      <c r="I1732" s="2"/>
    </row>
    <row r="1733" spans="1:15" ht="15.75" x14ac:dyDescent="0.25">
      <c r="A1733" s="103">
        <v>40002</v>
      </c>
      <c r="B1733" s="2"/>
      <c r="C1733" s="2"/>
      <c r="D1733" s="93" t="s">
        <v>1672</v>
      </c>
      <c r="E1733" s="65"/>
      <c r="F1733" s="65"/>
      <c r="G1733" s="94">
        <f>IF($A1733=0,"",VLOOKUP($A1733,'BASE MATERIAL'!$M:$P,4))</f>
        <v>0</v>
      </c>
      <c r="H1733" s="95">
        <f>IF($A1733=0,"",ROUND(G1733*H1732,2))</f>
        <v>0</v>
      </c>
      <c r="I1733" s="2"/>
    </row>
    <row r="1734" spans="1:15" ht="15.75" x14ac:dyDescent="0.25">
      <c r="A1734" s="103">
        <v>40003</v>
      </c>
      <c r="B1734" s="2"/>
      <c r="C1734" s="2"/>
      <c r="D1734" s="93" t="s">
        <v>1671</v>
      </c>
      <c r="E1734" s="65"/>
      <c r="F1734" s="65"/>
      <c r="G1734" s="94">
        <f>IF($A1734=0,"",VLOOKUP($A1734,'BASE MATERIAL'!$M:$P,4))</f>
        <v>0</v>
      </c>
      <c r="H1734" s="95">
        <f>IF($A1734=0,"",ROUND(G1734*H1732,2))</f>
        <v>0</v>
      </c>
      <c r="I1734" s="2"/>
    </row>
    <row r="1735" spans="1:15" ht="15.75" x14ac:dyDescent="0.25">
      <c r="B1735" s="2"/>
      <c r="C1735" s="2"/>
      <c r="D1735" s="93" t="s">
        <v>1670</v>
      </c>
      <c r="E1735" s="65"/>
      <c r="F1735" s="65"/>
      <c r="G1735" s="65"/>
      <c r="H1735" s="96">
        <f>ROUND(SUM(H1732:H1734),2)</f>
        <v>3.04</v>
      </c>
      <c r="I1735" s="2"/>
    </row>
    <row r="1736" spans="1:15" ht="16.5" thickBot="1" x14ac:dyDescent="0.3">
      <c r="B1736" s="25"/>
      <c r="C1736" s="2"/>
      <c r="D1736" s="97" t="s">
        <v>1650</v>
      </c>
      <c r="E1736" s="88"/>
      <c r="F1736" s="88"/>
      <c r="G1736" s="88"/>
      <c r="H1736" s="98">
        <f>ROUND(H1735,2)</f>
        <v>3.04</v>
      </c>
      <c r="I1736" s="2"/>
    </row>
    <row r="1737" spans="1:15" ht="15.75" x14ac:dyDescent="0.25">
      <c r="B1737" s="34" t="s">
        <v>1701</v>
      </c>
      <c r="C1737" s="2"/>
      <c r="D1737" s="3" t="str">
        <f>$D$1</f>
        <v>ESPOL</v>
      </c>
      <c r="E1737" s="2"/>
      <c r="F1737" s="2"/>
      <c r="H1737" s="2" t="s">
        <v>108</v>
      </c>
      <c r="I1737" s="2"/>
      <c r="L1737" s="40">
        <f>A1741</f>
        <v>2</v>
      </c>
      <c r="M1737" s="1" t="str">
        <f>C1742</f>
        <v>Base metálica para unidad hasta 24,000 btuh</v>
      </c>
      <c r="N1737" s="2" t="str">
        <f>H1741</f>
        <v>unidad</v>
      </c>
      <c r="O1737" s="2">
        <f>H1792</f>
        <v>36.049999999999997</v>
      </c>
    </row>
    <row r="1738" spans="1:15" ht="15.75" x14ac:dyDescent="0.25">
      <c r="B1738" s="34" t="s">
        <v>1700</v>
      </c>
      <c r="C1738" s="3">
        <f>'1.1'!$C$2</f>
        <v>0</v>
      </c>
      <c r="D1738" s="2"/>
      <c r="E1738" s="2"/>
      <c r="F1738" s="2"/>
      <c r="G1738" s="41" t="s">
        <v>1699</v>
      </c>
      <c r="H1738" s="42"/>
      <c r="I1738" s="2" t="s">
        <v>1698</v>
      </c>
    </row>
    <row r="1739" spans="1:15" ht="15.75" x14ac:dyDescent="0.25">
      <c r="B1739" s="34"/>
      <c r="C1739" s="3">
        <f>'1.1'!$C$3</f>
        <v>0</v>
      </c>
      <c r="D1739" s="2"/>
      <c r="E1739" s="2"/>
      <c r="F1739" s="2"/>
      <c r="G1739" s="2"/>
      <c r="H1739" s="2"/>
      <c r="I1739" s="2"/>
    </row>
    <row r="1740" spans="1:15" ht="15.75" x14ac:dyDescent="0.25">
      <c r="B1740" s="34" t="s">
        <v>1697</v>
      </c>
      <c r="C1740" s="3"/>
      <c r="D1740" s="2"/>
      <c r="E1740" s="2"/>
      <c r="F1740" s="2"/>
      <c r="G1740" s="2"/>
      <c r="H1740" s="2"/>
      <c r="I1740" s="2"/>
    </row>
    <row r="1741" spans="1:15" x14ac:dyDescent="0.25">
      <c r="A1741" s="104">
        <v>2</v>
      </c>
      <c r="B1741" s="2" t="s">
        <v>1586</v>
      </c>
      <c r="C1741" s="101" t="s">
        <v>182</v>
      </c>
      <c r="D1741" s="2"/>
      <c r="G1741" s="2" t="s">
        <v>1696</v>
      </c>
      <c r="H1741" s="3" t="s">
        <v>126</v>
      </c>
      <c r="I1741" s="2"/>
    </row>
    <row r="1742" spans="1:15" x14ac:dyDescent="0.25">
      <c r="B1742" s="1" t="s">
        <v>1585</v>
      </c>
      <c r="C1742" s="36" t="s">
        <v>165</v>
      </c>
      <c r="D1742" s="2"/>
      <c r="E1742" s="2"/>
      <c r="F1742" s="2"/>
      <c r="G1742" s="2"/>
      <c r="H1742" s="2"/>
      <c r="I1742" s="2"/>
    </row>
    <row r="1743" spans="1:15" ht="15.75" thickBot="1" x14ac:dyDescent="0.3">
      <c r="D1743" s="2"/>
      <c r="E1743" s="2"/>
      <c r="F1743" s="2"/>
      <c r="G1743" s="2"/>
      <c r="H1743" s="2"/>
      <c r="I1743" s="2"/>
    </row>
    <row r="1744" spans="1:15" ht="15.75" thickBot="1" x14ac:dyDescent="0.3">
      <c r="B1744" s="43" t="s">
        <v>1695</v>
      </c>
      <c r="C1744" s="44"/>
      <c r="D1744" s="44"/>
      <c r="E1744" s="44"/>
      <c r="F1744" s="44"/>
      <c r="G1744" s="44"/>
      <c r="H1744" s="45"/>
      <c r="I1744" s="2"/>
    </row>
    <row r="1745" spans="2:9" ht="25.5" x14ac:dyDescent="0.25">
      <c r="B1745" s="46" t="s">
        <v>1409</v>
      </c>
      <c r="C1745" s="47"/>
      <c r="D1745" s="48" t="s">
        <v>1690</v>
      </c>
      <c r="E1745" s="48" t="s">
        <v>1694</v>
      </c>
      <c r="F1745" s="48" t="s">
        <v>1693</v>
      </c>
      <c r="G1745" s="49" t="s">
        <v>1687</v>
      </c>
      <c r="H1745" s="50" t="s">
        <v>1686</v>
      </c>
      <c r="I1745" s="2"/>
    </row>
    <row r="1746" spans="2:9" x14ac:dyDescent="0.25">
      <c r="B1746" s="51" t="str">
        <f>IF($A1746=0,"",VLOOKUP($A1746,'BASE EQUIPO'!$A:$D,2))</f>
        <v/>
      </c>
      <c r="C1746" s="52"/>
      <c r="D1746" s="53"/>
      <c r="E1746" s="53" t="str">
        <f>IF($A1746=0,"",VLOOKUP($A1746,'BASE EQUIPO'!$A:$D,4)*H1762)</f>
        <v/>
      </c>
      <c r="F1746" s="53" t="str">
        <f t="shared" ref="F1746:F1751" si="155">IF($A1746=0,"",ROUND(D1746*E1746,2))</f>
        <v/>
      </c>
      <c r="G1746" s="105"/>
      <c r="H1746" s="54" t="str">
        <f t="shared" ref="H1746:H1751" si="156">IF($A1746=0,"",ROUND(G1746*F1746,2))</f>
        <v/>
      </c>
      <c r="I1746" s="2"/>
    </row>
    <row r="1747" spans="2:9" x14ac:dyDescent="0.25">
      <c r="B1747" s="38" t="str">
        <f>IF($A1747=0,"",VLOOKUP($A1747,'BASE EQUIPO'!$A:$D,2))</f>
        <v/>
      </c>
      <c r="C1747" s="2"/>
      <c r="D1747" s="55"/>
      <c r="E1747" s="55" t="str">
        <f>IF($A1747=0,"",VLOOKUP($A1747,'BASE EQUIPO'!$A:$D,4))</f>
        <v/>
      </c>
      <c r="F1747" s="55" t="str">
        <f t="shared" si="155"/>
        <v/>
      </c>
      <c r="G1747" s="106"/>
      <c r="H1747" s="56" t="str">
        <f t="shared" si="156"/>
        <v/>
      </c>
      <c r="I1747" s="2"/>
    </row>
    <row r="1748" spans="2:9" x14ac:dyDescent="0.25">
      <c r="B1748" s="38" t="str">
        <f>IF($A1748=0,"",VLOOKUP($A1748,'BASE EQUIPO'!$A:$D,2))</f>
        <v/>
      </c>
      <c r="C1748" s="2"/>
      <c r="D1748" s="55"/>
      <c r="E1748" s="55" t="str">
        <f>IF($A1748=0,"",VLOOKUP($A1748,'BASE EQUIPO'!$A:$D,4))</f>
        <v/>
      </c>
      <c r="F1748" s="55" t="str">
        <f t="shared" si="155"/>
        <v/>
      </c>
      <c r="G1748" s="106"/>
      <c r="H1748" s="56" t="str">
        <f t="shared" si="156"/>
        <v/>
      </c>
      <c r="I1748" s="2"/>
    </row>
    <row r="1749" spans="2:9" x14ac:dyDescent="0.25">
      <c r="B1749" s="38" t="str">
        <f>IF($A1749=0,"",VLOOKUP($A1749,'BASE EQUIPO'!$A:$D,2))</f>
        <v/>
      </c>
      <c r="C1749" s="2"/>
      <c r="D1749" s="55"/>
      <c r="E1749" s="55" t="str">
        <f>IF($A1749=0,"",VLOOKUP($A1749,'BASE EQUIPO'!$A:$D,4))</f>
        <v/>
      </c>
      <c r="F1749" s="55" t="str">
        <f t="shared" si="155"/>
        <v/>
      </c>
      <c r="G1749" s="106"/>
      <c r="H1749" s="56" t="str">
        <f t="shared" si="156"/>
        <v/>
      </c>
      <c r="I1749" s="2"/>
    </row>
    <row r="1750" spans="2:9" x14ac:dyDescent="0.25">
      <c r="B1750" s="38" t="str">
        <f>IF($A1750=0,"",VLOOKUP($A1750,'BASE EQUIPO'!$A:$D,2))</f>
        <v/>
      </c>
      <c r="C1750" s="2"/>
      <c r="D1750" s="55"/>
      <c r="E1750" s="55" t="str">
        <f>IF($A1750=0,"",VLOOKUP($A1750,'BASE EQUIPO'!$A:$D,4))</f>
        <v/>
      </c>
      <c r="F1750" s="55" t="str">
        <f t="shared" si="155"/>
        <v/>
      </c>
      <c r="G1750" s="106"/>
      <c r="H1750" s="56" t="str">
        <f t="shared" si="156"/>
        <v/>
      </c>
      <c r="I1750" s="2"/>
    </row>
    <row r="1751" spans="2:9" x14ac:dyDescent="0.25">
      <c r="B1751" s="57" t="str">
        <f>IF($A1751=0,"",VLOOKUP($A1751,'BASE EQUIPO'!$A:$D,2))</f>
        <v/>
      </c>
      <c r="C1751" s="58"/>
      <c r="D1751" s="59"/>
      <c r="E1751" s="59" t="str">
        <f>IF($A1751=0,"",VLOOKUP($A1751,'BASE EQUIPO'!$A:$D,4))</f>
        <v/>
      </c>
      <c r="F1751" s="59" t="str">
        <f t="shared" si="155"/>
        <v/>
      </c>
      <c r="G1751" s="107"/>
      <c r="H1751" s="60" t="str">
        <f t="shared" si="156"/>
        <v/>
      </c>
      <c r="I1751" s="2"/>
    </row>
    <row r="1752" spans="2:9" x14ac:dyDescent="0.25">
      <c r="B1752" s="57" t="s">
        <v>1692</v>
      </c>
      <c r="C1752" s="58"/>
      <c r="D1752" s="61"/>
      <c r="E1752" s="61"/>
      <c r="F1752" s="61"/>
      <c r="G1752" s="62"/>
      <c r="H1752" s="60">
        <f>ROUND(SUM(H1745:H1751),2)</f>
        <v>0</v>
      </c>
      <c r="I1752" s="2"/>
    </row>
    <row r="1753" spans="2:9" x14ac:dyDescent="0.25">
      <c r="B1753" s="38" t="s">
        <v>1503</v>
      </c>
      <c r="C1753" s="2"/>
      <c r="D1753" s="3"/>
      <c r="E1753" s="3"/>
      <c r="F1753" s="3"/>
      <c r="G1753" s="63"/>
      <c r="H1753" s="56"/>
      <c r="I1753" s="2"/>
    </row>
    <row r="1754" spans="2:9" ht="25.5" x14ac:dyDescent="0.25">
      <c r="B1754" s="64" t="s">
        <v>1691</v>
      </c>
      <c r="C1754" s="65"/>
      <c r="D1754" s="66" t="s">
        <v>1690</v>
      </c>
      <c r="E1754" s="66" t="s">
        <v>1689</v>
      </c>
      <c r="F1754" s="66" t="s">
        <v>1688</v>
      </c>
      <c r="G1754" s="67" t="s">
        <v>1687</v>
      </c>
      <c r="H1754" s="68" t="s">
        <v>1686</v>
      </c>
      <c r="I1754" s="2"/>
    </row>
    <row r="1755" spans="2:9" x14ac:dyDescent="0.25">
      <c r="B1755" s="69" t="str">
        <f>IF($A1755=0,"",VLOOKUP($A1755,'BASE M-OBRA'!$A:$D,2))</f>
        <v/>
      </c>
      <c r="C1755" s="2"/>
      <c r="D1755" s="108"/>
      <c r="E1755" s="70" t="str">
        <f>IF($A1755=0,"",VLOOKUP($A1755,'BASE M-OBRA'!$A:$D,4))</f>
        <v/>
      </c>
      <c r="F1755" s="55" t="str">
        <f t="shared" ref="F1755:F1761" si="157">IF($A1755=0,"",ROUND(D1755*E1755,2))</f>
        <v/>
      </c>
      <c r="G1755" s="106" t="str">
        <f>IF($A1755=0,"",ROUND(H1755/F1755,2))</f>
        <v/>
      </c>
      <c r="H1755" s="56" t="str">
        <f>IF($A1755=0,"",ROUND(SUM(H1756:H1761)*'BASE M-OBRA'!$D$23,2))</f>
        <v/>
      </c>
      <c r="I1755" s="2"/>
    </row>
    <row r="1756" spans="2:9" x14ac:dyDescent="0.25">
      <c r="B1756" s="69" t="str">
        <f>IF($A1756=0,"",VLOOKUP($A1756,'BASE M-OBRA'!$A:$D,2))</f>
        <v/>
      </c>
      <c r="C1756" s="2"/>
      <c r="D1756" s="108"/>
      <c r="E1756" s="70" t="str">
        <f>IF($A1756=0,"",VLOOKUP($A1756,'BASE M-OBRA'!$A:$D,4))</f>
        <v/>
      </c>
      <c r="F1756" s="55" t="str">
        <f t="shared" si="157"/>
        <v/>
      </c>
      <c r="G1756" s="106"/>
      <c r="H1756" s="56" t="str">
        <f t="shared" ref="H1756:H1761" si="158">IF($A1756=0,"",ROUND(G1756*F1756,2))</f>
        <v/>
      </c>
      <c r="I1756" s="2"/>
    </row>
    <row r="1757" spans="2:9" x14ac:dyDescent="0.25">
      <c r="B1757" s="69" t="str">
        <f>IF($A1757=0,"",VLOOKUP($A1757,'BASE M-OBRA'!$A:$D,2))</f>
        <v/>
      </c>
      <c r="C1757" s="2"/>
      <c r="D1757" s="108"/>
      <c r="E1757" s="70" t="str">
        <f>IF($A1757=0,"",VLOOKUP($A1757,'BASE M-OBRA'!$A:$D,4))</f>
        <v/>
      </c>
      <c r="F1757" s="55" t="str">
        <f t="shared" si="157"/>
        <v/>
      </c>
      <c r="G1757" s="106"/>
      <c r="H1757" s="56" t="str">
        <f t="shared" si="158"/>
        <v/>
      </c>
      <c r="I1757" s="2"/>
    </row>
    <row r="1758" spans="2:9" x14ac:dyDescent="0.25">
      <c r="B1758" s="71" t="str">
        <f>IF($A1758=0,"",VLOOKUP($A1758,'BASE M-OBRA'!$A:$D,2))</f>
        <v/>
      </c>
      <c r="C1758" s="2"/>
      <c r="D1758" s="108"/>
      <c r="E1758" s="70" t="str">
        <f>IF($A1758=0,"",VLOOKUP($A1758,'BASE M-OBRA'!$A:$D,4))</f>
        <v/>
      </c>
      <c r="F1758" s="55" t="str">
        <f t="shared" si="157"/>
        <v/>
      </c>
      <c r="G1758" s="106"/>
      <c r="H1758" s="56" t="str">
        <f t="shared" si="158"/>
        <v/>
      </c>
      <c r="I1758" s="2"/>
    </row>
    <row r="1759" spans="2:9" x14ac:dyDescent="0.25">
      <c r="B1759" s="72" t="str">
        <f>IF($A1759=0,"",VLOOKUP($A1759,'BASE M-OBRA'!$A:$D,2))</f>
        <v/>
      </c>
      <c r="C1759" s="2"/>
      <c r="D1759" s="108"/>
      <c r="E1759" s="70" t="str">
        <f>IF($A1759=0,"",VLOOKUP($A1759,'BASE M-OBRA'!$A:$D,4))</f>
        <v/>
      </c>
      <c r="F1759" s="55" t="str">
        <f t="shared" si="157"/>
        <v/>
      </c>
      <c r="G1759" s="106"/>
      <c r="H1759" s="56" t="str">
        <f t="shared" si="158"/>
        <v/>
      </c>
      <c r="I1759" s="2"/>
    </row>
    <row r="1760" spans="2:9" x14ac:dyDescent="0.25">
      <c r="B1760" s="38" t="str">
        <f>IF($A1760=0,"",VLOOKUP($A1760,'BASE M-OBRA'!$A:$D,2))</f>
        <v/>
      </c>
      <c r="C1760" s="2"/>
      <c r="D1760" s="55"/>
      <c r="E1760" s="55" t="str">
        <f>IF($A1760=0,"",VLOOKUP($A1760,'BASE M-OBRA'!$A:$D,4))</f>
        <v/>
      </c>
      <c r="F1760" s="55" t="str">
        <f t="shared" si="157"/>
        <v/>
      </c>
      <c r="G1760" s="106"/>
      <c r="H1760" s="56" t="str">
        <f t="shared" si="158"/>
        <v/>
      </c>
      <c r="I1760" s="2"/>
    </row>
    <row r="1761" spans="1:16" x14ac:dyDescent="0.25">
      <c r="B1761" s="57" t="str">
        <f>IF($A1761=0,"",VLOOKUP($A1761,'BASE M-OBRA'!$A:$D,2))</f>
        <v/>
      </c>
      <c r="C1761" s="58"/>
      <c r="D1761" s="59"/>
      <c r="E1761" s="59" t="str">
        <f>IF($A1761=0,"",VLOOKUP($A1761,'BASE M-OBRA'!$A:$D,4))</f>
        <v/>
      </c>
      <c r="F1761" s="59" t="str">
        <f t="shared" si="157"/>
        <v/>
      </c>
      <c r="G1761" s="107"/>
      <c r="H1761" s="60" t="str">
        <f t="shared" si="158"/>
        <v/>
      </c>
      <c r="I1761" s="2"/>
    </row>
    <row r="1762" spans="1:16" x14ac:dyDescent="0.25">
      <c r="B1762" s="73" t="s">
        <v>1685</v>
      </c>
      <c r="C1762" s="65"/>
      <c r="D1762" s="74"/>
      <c r="E1762" s="74"/>
      <c r="F1762" s="74"/>
      <c r="G1762" s="74"/>
      <c r="H1762" s="75">
        <f>ROUND(SUM(H1754:H1761),2)</f>
        <v>0</v>
      </c>
      <c r="I1762" s="2"/>
    </row>
    <row r="1763" spans="1:16" x14ac:dyDescent="0.25">
      <c r="B1763" s="38" t="s">
        <v>1684</v>
      </c>
      <c r="C1763" s="2"/>
      <c r="D1763" s="3"/>
      <c r="E1763" s="3"/>
      <c r="F1763" s="3"/>
      <c r="G1763" s="3"/>
      <c r="H1763" s="56"/>
      <c r="I1763" s="2"/>
    </row>
    <row r="1764" spans="1:16" ht="25.5" x14ac:dyDescent="0.25">
      <c r="B1764" s="64" t="s">
        <v>1409</v>
      </c>
      <c r="C1764" s="65"/>
      <c r="D1764" s="76"/>
      <c r="E1764" s="66" t="s">
        <v>1408</v>
      </c>
      <c r="F1764" s="66" t="s">
        <v>1679</v>
      </c>
      <c r="G1764" s="66" t="s">
        <v>1683</v>
      </c>
      <c r="H1764" s="68" t="s">
        <v>1675</v>
      </c>
      <c r="I1764" s="2"/>
    </row>
    <row r="1765" spans="1:16" x14ac:dyDescent="0.25">
      <c r="A1765" s="103">
        <v>1</v>
      </c>
      <c r="B1765" s="102" t="s">
        <v>119</v>
      </c>
      <c r="C1765" s="2"/>
      <c r="D1765" s="77"/>
      <c r="E1765" s="78" t="s">
        <v>1506</v>
      </c>
      <c r="F1765" s="55">
        <v>1</v>
      </c>
      <c r="G1765" s="55">
        <v>35</v>
      </c>
      <c r="H1765" s="56">
        <f t="shared" ref="H1765:H1779" si="159">IF($A1765=0,"",ROUND(F1765*G1765,2))</f>
        <v>35</v>
      </c>
      <c r="I1765" s="2"/>
      <c r="J1765" s="1">
        <v>100.5</v>
      </c>
      <c r="L1765" s="2"/>
      <c r="M1765" s="2"/>
      <c r="N1765" s="39"/>
      <c r="O1765" s="2"/>
      <c r="P1765" s="2"/>
    </row>
    <row r="1766" spans="1:16" x14ac:dyDescent="0.25">
      <c r="B1766" s="102"/>
      <c r="C1766" s="2"/>
      <c r="D1766" s="77"/>
      <c r="E1766" s="78" t="str">
        <f>IF($A1766=0,"",VLOOKUP($A1766,'BASE MATERIAL'!$A:$D,3))</f>
        <v/>
      </c>
      <c r="F1766" s="55"/>
      <c r="G1766" s="55" t="str">
        <f>IF($A1766=0,"",VLOOKUP($A1766,'BASE MATERIAL'!$A:$D,4))</f>
        <v/>
      </c>
      <c r="H1766" s="56" t="str">
        <f t="shared" si="159"/>
        <v/>
      </c>
      <c r="I1766" s="2"/>
      <c r="L1766" s="2"/>
      <c r="M1766" s="2"/>
      <c r="N1766" s="39"/>
      <c r="O1766" s="2"/>
      <c r="P1766" s="2"/>
    </row>
    <row r="1767" spans="1:16" x14ac:dyDescent="0.25">
      <c r="B1767" s="38" t="str">
        <f>IF($A1767=0,"",VLOOKUP($A1767,'BASE MATERIAL'!$A:$D,2))</f>
        <v/>
      </c>
      <c r="C1767" s="2"/>
      <c r="D1767" s="77"/>
      <c r="E1767" s="78" t="str">
        <f>IF($A1767=0,"",VLOOKUP($A1767,'BASE MATERIAL'!$A:$D,3))</f>
        <v/>
      </c>
      <c r="F1767" s="55"/>
      <c r="G1767" s="55" t="str">
        <f>IF($A1767=0,"",VLOOKUP($A1767,'BASE MATERIAL'!$A:$D,4))</f>
        <v/>
      </c>
      <c r="H1767" s="56" t="str">
        <f t="shared" si="159"/>
        <v/>
      </c>
      <c r="I1767" s="2"/>
      <c r="L1767" s="2"/>
      <c r="M1767" s="2"/>
      <c r="N1767" s="39"/>
      <c r="O1767" s="2"/>
      <c r="P1767" s="2"/>
    </row>
    <row r="1768" spans="1:16" x14ac:dyDescent="0.25">
      <c r="B1768" s="38" t="str">
        <f>IF($A1768=0,"",VLOOKUP($A1768,'BASE MATERIAL'!$A:$D,2))</f>
        <v/>
      </c>
      <c r="C1768" s="2"/>
      <c r="D1768" s="77"/>
      <c r="E1768" s="78" t="str">
        <f>IF($A1768=0,"",VLOOKUP($A1768,'BASE MATERIAL'!$A:$D,3))</f>
        <v/>
      </c>
      <c r="F1768" s="55"/>
      <c r="G1768" s="55" t="str">
        <f>IF($A1768=0,"",VLOOKUP($A1768,'BASE MATERIAL'!$A:$D,4))</f>
        <v/>
      </c>
      <c r="H1768" s="56" t="str">
        <f t="shared" si="159"/>
        <v/>
      </c>
      <c r="I1768" s="2"/>
      <c r="L1768" s="2"/>
      <c r="M1768" s="2"/>
      <c r="N1768" s="39"/>
      <c r="O1768" s="2"/>
      <c r="P1768" s="2"/>
    </row>
    <row r="1769" spans="1:16" x14ac:dyDescent="0.25">
      <c r="B1769" s="38" t="str">
        <f>IF($A1769=0,"",VLOOKUP($A1769,'BASE MATERIAL'!$A:$D,2))</f>
        <v/>
      </c>
      <c r="C1769" s="2"/>
      <c r="D1769" s="77"/>
      <c r="E1769" s="78" t="str">
        <f>IF($A1769=0,"",VLOOKUP($A1769,'BASE MATERIAL'!$A:$D,3))</f>
        <v/>
      </c>
      <c r="F1769" s="55"/>
      <c r="G1769" s="55" t="str">
        <f>IF($A1769=0,"",VLOOKUP($A1769,'BASE MATERIAL'!$A:$D,4))</f>
        <v/>
      </c>
      <c r="H1769" s="56" t="str">
        <f t="shared" si="159"/>
        <v/>
      </c>
      <c r="I1769" s="2"/>
      <c r="L1769" s="2"/>
      <c r="M1769" s="2"/>
      <c r="N1769" s="39"/>
      <c r="O1769" s="2"/>
      <c r="P1769" s="2"/>
    </row>
    <row r="1770" spans="1:16" x14ac:dyDescent="0.25">
      <c r="B1770" s="38" t="str">
        <f>IF($A1770=0,"",VLOOKUP($A1770,'BASE MATERIAL'!$A:$D,2))</f>
        <v/>
      </c>
      <c r="C1770" s="2"/>
      <c r="D1770" s="77"/>
      <c r="E1770" s="78" t="str">
        <f>IF($A1770=0,"",VLOOKUP($A1770,'BASE MATERIAL'!$A:$D,3))</f>
        <v/>
      </c>
      <c r="F1770" s="55"/>
      <c r="G1770" s="55" t="str">
        <f>IF($A1770=0,"",VLOOKUP($A1770,'BASE MATERIAL'!$A:$D,4))</f>
        <v/>
      </c>
      <c r="H1770" s="56" t="str">
        <f t="shared" si="159"/>
        <v/>
      </c>
      <c r="I1770" s="2"/>
      <c r="L1770" s="2"/>
      <c r="M1770" s="2"/>
      <c r="N1770" s="39"/>
      <c r="O1770" s="2"/>
      <c r="P1770" s="2"/>
    </row>
    <row r="1771" spans="1:16" x14ac:dyDescent="0.25">
      <c r="B1771" s="38" t="str">
        <f>IF($A1771=0,"",VLOOKUP($A1771,'BASE MATERIAL'!$A:$D,2))</f>
        <v/>
      </c>
      <c r="C1771" s="2"/>
      <c r="D1771" s="77"/>
      <c r="E1771" s="78" t="str">
        <f>IF($A1771=0,"",VLOOKUP($A1771,'BASE MATERIAL'!$A:$D,3))</f>
        <v/>
      </c>
      <c r="F1771" s="55"/>
      <c r="G1771" s="55" t="str">
        <f>IF($A1771=0,"",VLOOKUP($A1771,'BASE MATERIAL'!$A:$D,4))</f>
        <v/>
      </c>
      <c r="H1771" s="56" t="str">
        <f t="shared" si="159"/>
        <v/>
      </c>
      <c r="I1771" s="2"/>
      <c r="L1771" s="2"/>
      <c r="M1771" s="2"/>
      <c r="N1771" s="39"/>
      <c r="O1771" s="2"/>
      <c r="P1771" s="2"/>
    </row>
    <row r="1772" spans="1:16" x14ac:dyDescent="0.25">
      <c r="B1772" s="38" t="str">
        <f>IF($A1772=0,"",VLOOKUP($A1772,'BASE MATERIAL'!$A:$D,2))</f>
        <v/>
      </c>
      <c r="C1772" s="2"/>
      <c r="D1772" s="77"/>
      <c r="E1772" s="78" t="str">
        <f>IF($A1772=0,"",VLOOKUP($A1772,'BASE MATERIAL'!$A:$D,3))</f>
        <v/>
      </c>
      <c r="F1772" s="55"/>
      <c r="G1772" s="55" t="str">
        <f>IF($A1772=0,"",VLOOKUP($A1772,'BASE MATERIAL'!$A:$D,4))</f>
        <v/>
      </c>
      <c r="H1772" s="56" t="str">
        <f t="shared" si="159"/>
        <v/>
      </c>
      <c r="I1772" s="2"/>
      <c r="L1772" s="2"/>
      <c r="M1772" s="2"/>
      <c r="N1772" s="39"/>
      <c r="O1772" s="2"/>
      <c r="P1772" s="2"/>
    </row>
    <row r="1773" spans="1:16" x14ac:dyDescent="0.25">
      <c r="B1773" s="38" t="str">
        <f>IF($A1773=0,"",VLOOKUP($A1773,'BASE MATERIAL'!$A:$D,2))</f>
        <v/>
      </c>
      <c r="C1773" s="2"/>
      <c r="D1773" s="77"/>
      <c r="E1773" s="78" t="str">
        <f>IF($A1773=0,"",VLOOKUP($A1773,'BASE MATERIAL'!$A:$D,3))</f>
        <v/>
      </c>
      <c r="F1773" s="55"/>
      <c r="G1773" s="55" t="str">
        <f>IF($A1773=0,"",VLOOKUP($A1773,'BASE MATERIAL'!$A:$D,4))</f>
        <v/>
      </c>
      <c r="H1773" s="56" t="str">
        <f t="shared" si="159"/>
        <v/>
      </c>
      <c r="I1773" s="2"/>
    </row>
    <row r="1774" spans="1:16" x14ac:dyDescent="0.25">
      <c r="B1774" s="38" t="str">
        <f>IF($A1774=0,"",VLOOKUP($A1774,'BASE MATERIAL'!$A:$D,2))</f>
        <v/>
      </c>
      <c r="C1774" s="2"/>
      <c r="D1774" s="77"/>
      <c r="E1774" s="78" t="str">
        <f>IF($A1774=0,"",VLOOKUP($A1774,'BASE MATERIAL'!$A:$D,3))</f>
        <v/>
      </c>
      <c r="F1774" s="55"/>
      <c r="G1774" s="55" t="str">
        <f>IF($A1774=0,"",VLOOKUP($A1774,'BASE MATERIAL'!$A:$D,4))</f>
        <v/>
      </c>
      <c r="H1774" s="56" t="str">
        <f t="shared" si="159"/>
        <v/>
      </c>
      <c r="I1774" s="2"/>
      <c r="L1774" s="2"/>
      <c r="M1774" s="2"/>
      <c r="N1774" s="39"/>
      <c r="O1774" s="2"/>
      <c r="P1774" s="2"/>
    </row>
    <row r="1775" spans="1:16" x14ac:dyDescent="0.25">
      <c r="B1775" s="38" t="str">
        <f>IF($A1775=0,"",VLOOKUP($A1775,'BASE MATERIAL'!$A:$D,2))</f>
        <v/>
      </c>
      <c r="C1775" s="2"/>
      <c r="D1775" s="77"/>
      <c r="E1775" s="78" t="str">
        <f>IF($A1775=0,"",VLOOKUP($A1775,'BASE MATERIAL'!$A:$D,3))</f>
        <v/>
      </c>
      <c r="F1775" s="55"/>
      <c r="G1775" s="55" t="str">
        <f>IF($A1775=0,"",VLOOKUP($A1775,'BASE MATERIAL'!$A:$D,4))</f>
        <v/>
      </c>
      <c r="H1775" s="56" t="str">
        <f t="shared" si="159"/>
        <v/>
      </c>
      <c r="I1775" s="2"/>
      <c r="L1775" s="2"/>
      <c r="M1775" s="2"/>
      <c r="N1775" s="39"/>
      <c r="O1775" s="2"/>
      <c r="P1775" s="2"/>
    </row>
    <row r="1776" spans="1:16" x14ac:dyDescent="0.25">
      <c r="B1776" s="38" t="str">
        <f>IF($A1776=0,"",VLOOKUP($A1776,'BASE MATERIAL'!$A:$D,2))</f>
        <v/>
      </c>
      <c r="C1776" s="2"/>
      <c r="D1776" s="77"/>
      <c r="E1776" s="78" t="str">
        <f>IF($A1776=0,"",VLOOKUP($A1776,'BASE MATERIAL'!$A:$D,3))</f>
        <v/>
      </c>
      <c r="F1776" s="55"/>
      <c r="G1776" s="55" t="str">
        <f>IF($A1776=0,"",VLOOKUP($A1776,'BASE MATERIAL'!$A:$D,4))</f>
        <v/>
      </c>
      <c r="H1776" s="56" t="str">
        <f t="shared" si="159"/>
        <v/>
      </c>
      <c r="I1776" s="2"/>
    </row>
    <row r="1777" spans="1:9" x14ac:dyDescent="0.25">
      <c r="B1777" s="38" t="str">
        <f>IF($A1777=0,"",VLOOKUP($A1777,'BASE MATERIAL'!$A:$D,2))</f>
        <v/>
      </c>
      <c r="C1777" s="2"/>
      <c r="D1777" s="77"/>
      <c r="E1777" s="78" t="str">
        <f>IF($A1777=0,"",VLOOKUP($A1777,'BASE MATERIAL'!$A:$D,3))</f>
        <v/>
      </c>
      <c r="F1777" s="55"/>
      <c r="G1777" s="55" t="str">
        <f>IF($A1777=0,"",VLOOKUP($A1777,'BASE MATERIAL'!$A:$D,4))</f>
        <v/>
      </c>
      <c r="H1777" s="56" t="str">
        <f t="shared" si="159"/>
        <v/>
      </c>
      <c r="I1777" s="2"/>
    </row>
    <row r="1778" spans="1:9" x14ac:dyDescent="0.25">
      <c r="B1778" s="38" t="str">
        <f>IF($A1778=0,"",VLOOKUP($A1778,'BASE MATERIAL'!$A:$D,2))</f>
        <v/>
      </c>
      <c r="C1778" s="2"/>
      <c r="D1778" s="77"/>
      <c r="E1778" s="78" t="str">
        <f>IF($A1778=0,"",VLOOKUP($A1778,'BASE MATERIAL'!$A:$D,3))</f>
        <v/>
      </c>
      <c r="F1778" s="55"/>
      <c r="G1778" s="55" t="str">
        <f>IF($A1778=0,"",VLOOKUP($A1778,'BASE MATERIAL'!$A:$D,4))</f>
        <v/>
      </c>
      <c r="H1778" s="56" t="str">
        <f t="shared" si="159"/>
        <v/>
      </c>
      <c r="I1778" s="2"/>
    </row>
    <row r="1779" spans="1:9" x14ac:dyDescent="0.25">
      <c r="B1779" s="38" t="str">
        <f>IF($A1779=0,"",VLOOKUP($A1779,'BASE MATERIAL'!$A:$D,2))</f>
        <v/>
      </c>
      <c r="C1779" s="2"/>
      <c r="D1779" s="77"/>
      <c r="E1779" s="78" t="str">
        <f>IF($A1779=0,"",VLOOKUP($A1779,'BASE MATERIAL'!$A:$D,3))</f>
        <v/>
      </c>
      <c r="F1779" s="55"/>
      <c r="G1779" s="55" t="str">
        <f>IF($A1779=0,"",VLOOKUP($A1779,'BASE MATERIAL'!$A:$D,4))</f>
        <v/>
      </c>
      <c r="H1779" s="56" t="str">
        <f t="shared" si="159"/>
        <v/>
      </c>
      <c r="I1779" s="2"/>
    </row>
    <row r="1780" spans="1:9" x14ac:dyDescent="0.25">
      <c r="B1780" s="38" t="str">
        <f>IF($A1780=0,"",VLOOKUP($A1780,'BASE MATERIAL'!$A:$D,2))</f>
        <v/>
      </c>
      <c r="C1780" s="2"/>
      <c r="D1780" s="81" t="s">
        <v>1682</v>
      </c>
      <c r="E1780" s="55" t="str">
        <f>IF($A1780=0,"",VLOOKUP($A1780,'BASE MATERIAL'!$A:$D,3))</f>
        <v/>
      </c>
      <c r="F1780" s="55" t="s">
        <v>1682</v>
      </c>
      <c r="G1780" s="55" t="str">
        <f>IF($A1780=0,"",VLOOKUP($A1780,'BASE MATERIAL'!$A:$D,4))</f>
        <v/>
      </c>
      <c r="H1780" s="56" t="str">
        <f>IF($A1780=0,"",ROUND(E1780*F1780,2))</f>
        <v/>
      </c>
      <c r="I1780" s="2"/>
    </row>
    <row r="1781" spans="1:9" x14ac:dyDescent="0.25">
      <c r="B1781" s="73" t="s">
        <v>1681</v>
      </c>
      <c r="C1781" s="65"/>
      <c r="D1781" s="74"/>
      <c r="E1781" s="74"/>
      <c r="F1781" s="74"/>
      <c r="G1781" s="74"/>
      <c r="H1781" s="75">
        <f>ROUND(SUM(H1764:H1780),2)</f>
        <v>35</v>
      </c>
      <c r="I1781" s="2"/>
    </row>
    <row r="1782" spans="1:9" x14ac:dyDescent="0.25">
      <c r="B1782" s="38" t="s">
        <v>1680</v>
      </c>
      <c r="C1782" s="2"/>
      <c r="D1782" s="3"/>
      <c r="E1782" s="3"/>
      <c r="F1782" s="3"/>
      <c r="G1782" s="3"/>
      <c r="H1782" s="56"/>
      <c r="I1782" s="2"/>
    </row>
    <row r="1783" spans="1:9" ht="25.5" x14ac:dyDescent="0.25">
      <c r="B1783" s="64" t="s">
        <v>1409</v>
      </c>
      <c r="C1783" s="65"/>
      <c r="D1783" s="76"/>
      <c r="E1783" s="66" t="s">
        <v>1408</v>
      </c>
      <c r="F1783" s="66" t="s">
        <v>1679</v>
      </c>
      <c r="G1783" s="66" t="s">
        <v>1676</v>
      </c>
      <c r="H1783" s="68" t="s">
        <v>1675</v>
      </c>
      <c r="I1783" s="2"/>
    </row>
    <row r="1784" spans="1:9" x14ac:dyDescent="0.25">
      <c r="A1784" s="103">
        <v>19019</v>
      </c>
      <c r="B1784" s="51" t="str">
        <f>IF($A1784=0,"",VLOOKUP($A1784,'BASE EQUIPO'!$A:$D,2))</f>
        <v>TRANSPORTE DE MATERIAL</v>
      </c>
      <c r="C1784" s="52"/>
      <c r="D1784" s="82"/>
      <c r="E1784" s="78" t="str">
        <f>IF($A1784=0,"",VLOOKUP($A1784,'BASE EQUIPO'!$A:$D,3))</f>
        <v>GLOBAL</v>
      </c>
      <c r="F1784" s="55">
        <v>1</v>
      </c>
      <c r="G1784" s="83">
        <f>IF($A1784=0,"",VLOOKUP($A1784,'BASE EQUIPO'!$A:$D,4)*H1781)</f>
        <v>1.05</v>
      </c>
      <c r="H1784" s="56">
        <f>IF($A1784=0,"",ROUND(F1784*G1784,2))</f>
        <v>1.05</v>
      </c>
      <c r="I1784" s="2"/>
    </row>
    <row r="1785" spans="1:9" x14ac:dyDescent="0.25">
      <c r="B1785" s="38" t="str">
        <f>IF($A1785=0,"",VLOOKUP($A1785,'BASE EQUIPO'!$A:$D,2))</f>
        <v/>
      </c>
      <c r="C1785" s="2"/>
      <c r="D1785" s="84"/>
      <c r="E1785" s="78" t="str">
        <f>IF($A1785=0,"",VLOOKUP($A1785,'BASE EQUIPO'!$A:$D,3))</f>
        <v/>
      </c>
      <c r="F1785" s="55"/>
      <c r="G1785" s="55" t="str">
        <f>IF($A1785=0,"",VLOOKUP($A1785,'BASE EQUIPO'!$A:$D,4)*H1782)</f>
        <v/>
      </c>
      <c r="H1785" s="56" t="str">
        <f>IF($A1785=0,"",ROUND(F1785*G1785,2))</f>
        <v/>
      </c>
      <c r="I1785" s="2"/>
    </row>
    <row r="1786" spans="1:9" x14ac:dyDescent="0.25">
      <c r="B1786" s="57" t="str">
        <f>IF($A1786=0,"",VLOOKUP($A1786,'BASE EQUIPO'!$A:$D,2))</f>
        <v/>
      </c>
      <c r="C1786" s="58"/>
      <c r="D1786" s="85"/>
      <c r="E1786" s="86" t="str">
        <f>IF($A1786=0,"",VLOOKUP($A1786,'BASE EQUIPO'!$A:$D,3))</f>
        <v/>
      </c>
      <c r="F1786" s="59"/>
      <c r="G1786" s="59" t="str">
        <f>IF($A1786=0,"",VLOOKUP($A1786,'BASE EQUIPO'!$A:$D,4)*H1783)</f>
        <v/>
      </c>
      <c r="H1786" s="60" t="str">
        <f>IF($A1786=0,"",ROUND(F1786*G1786,2))</f>
        <v/>
      </c>
      <c r="I1786" s="2"/>
    </row>
    <row r="1787" spans="1:9" ht="15.75" thickBot="1" x14ac:dyDescent="0.3">
      <c r="B1787" s="87" t="s">
        <v>1674</v>
      </c>
      <c r="C1787" s="88"/>
      <c r="D1787" s="89"/>
      <c r="E1787" s="89"/>
      <c r="F1787" s="89"/>
      <c r="G1787" s="89"/>
      <c r="H1787" s="90">
        <f>ROUND(SUM(H1783:H1786),2)</f>
        <v>1.05</v>
      </c>
      <c r="I1787" s="2"/>
    </row>
    <row r="1788" spans="1:9" ht="15.75" x14ac:dyDescent="0.25">
      <c r="B1788" s="2"/>
      <c r="C1788" s="2"/>
      <c r="D1788" s="91" t="s">
        <v>1673</v>
      </c>
      <c r="E1788" s="47"/>
      <c r="F1788" s="47"/>
      <c r="G1788" s="47"/>
      <c r="H1788" s="92">
        <f>ROUND(SUM(H1787,H1781,H1762,H1752),2)</f>
        <v>36.049999999999997</v>
      </c>
      <c r="I1788" s="2"/>
    </row>
    <row r="1789" spans="1:9" ht="15.75" x14ac:dyDescent="0.25">
      <c r="A1789" s="103">
        <v>40002</v>
      </c>
      <c r="B1789" s="2"/>
      <c r="C1789" s="2"/>
      <c r="D1789" s="93" t="s">
        <v>1672</v>
      </c>
      <c r="E1789" s="65"/>
      <c r="F1789" s="65"/>
      <c r="G1789" s="94">
        <f>IF($A1789=0,"",VLOOKUP($A1789,'BASE MATERIAL'!$M:$P,4))</f>
        <v>0</v>
      </c>
      <c r="H1789" s="95">
        <f>IF($A1789=0,"",ROUND(G1789*H1788,2))</f>
        <v>0</v>
      </c>
      <c r="I1789" s="2"/>
    </row>
    <row r="1790" spans="1:9" ht="15.75" x14ac:dyDescent="0.25">
      <c r="A1790" s="103">
        <v>40003</v>
      </c>
      <c r="B1790" s="2"/>
      <c r="C1790" s="2"/>
      <c r="D1790" s="93" t="s">
        <v>1671</v>
      </c>
      <c r="E1790" s="65"/>
      <c r="F1790" s="65"/>
      <c r="G1790" s="94">
        <f>IF($A1790=0,"",VLOOKUP($A1790,'BASE MATERIAL'!$M:$P,4))</f>
        <v>0</v>
      </c>
      <c r="H1790" s="95">
        <f>IF($A1790=0,"",ROUND(G1790*H1788,2))</f>
        <v>0</v>
      </c>
      <c r="I1790" s="2"/>
    </row>
    <row r="1791" spans="1:9" ht="15.75" x14ac:dyDescent="0.25">
      <c r="B1791" s="2"/>
      <c r="C1791" s="2"/>
      <c r="D1791" s="93" t="s">
        <v>1670</v>
      </c>
      <c r="E1791" s="65"/>
      <c r="F1791" s="65"/>
      <c r="G1791" s="65"/>
      <c r="H1791" s="96">
        <f>ROUND(SUM(H1788:H1790),2)</f>
        <v>36.049999999999997</v>
      </c>
      <c r="I1791" s="2"/>
    </row>
    <row r="1792" spans="1:9" ht="16.5" thickBot="1" x14ac:dyDescent="0.3">
      <c r="B1792" s="25"/>
      <c r="C1792" s="2"/>
      <c r="D1792" s="97" t="s">
        <v>1650</v>
      </c>
      <c r="E1792" s="88"/>
      <c r="F1792" s="88"/>
      <c r="G1792" s="88"/>
      <c r="H1792" s="98">
        <f>ROUND(H1791,2)</f>
        <v>36.049999999999997</v>
      </c>
      <c r="I1792" s="2"/>
    </row>
    <row r="1793" spans="1:15" ht="15.75" x14ac:dyDescent="0.25">
      <c r="B1793" s="34" t="s">
        <v>1701</v>
      </c>
      <c r="C1793" s="2"/>
      <c r="D1793" s="3" t="str">
        <f>$D$1</f>
        <v>ESPOL</v>
      </c>
      <c r="E1793" s="2"/>
      <c r="F1793" s="2"/>
      <c r="H1793" s="2" t="s">
        <v>108</v>
      </c>
      <c r="I1793" s="2"/>
      <c r="L1793" s="40">
        <f>A1797</f>
        <v>2</v>
      </c>
      <c r="M1793" s="1" t="str">
        <f>C1798</f>
        <v>Base metálica para unidad de 36,000 btuh hasta 60,000 btuh</v>
      </c>
      <c r="N1793" s="2" t="str">
        <f>H1797</f>
        <v>unidad</v>
      </c>
      <c r="O1793" s="2">
        <f>H1848</f>
        <v>53.11</v>
      </c>
    </row>
    <row r="1794" spans="1:15" ht="15.75" x14ac:dyDescent="0.25">
      <c r="B1794" s="34" t="s">
        <v>1700</v>
      </c>
      <c r="C1794" s="3">
        <f>'1.1'!$C$2</f>
        <v>0</v>
      </c>
      <c r="D1794" s="2"/>
      <c r="E1794" s="2"/>
      <c r="F1794" s="2"/>
      <c r="G1794" s="41" t="s">
        <v>1699</v>
      </c>
      <c r="H1794" s="42"/>
      <c r="I1794" s="2" t="s">
        <v>1698</v>
      </c>
    </row>
    <row r="1795" spans="1:15" ht="15.75" x14ac:dyDescent="0.25">
      <c r="B1795" s="34"/>
      <c r="C1795" s="3">
        <f>'1.1'!$C$3</f>
        <v>0</v>
      </c>
      <c r="D1795" s="2"/>
      <c r="E1795" s="2"/>
      <c r="F1795" s="2"/>
      <c r="G1795" s="2"/>
      <c r="H1795" s="2"/>
      <c r="I1795" s="2"/>
    </row>
    <row r="1796" spans="1:15" ht="15.75" x14ac:dyDescent="0.25">
      <c r="B1796" s="34" t="s">
        <v>1697</v>
      </c>
      <c r="C1796" s="3"/>
      <c r="D1796" s="2"/>
      <c r="E1796" s="2"/>
      <c r="F1796" s="2"/>
      <c r="G1796" s="2"/>
      <c r="H1796" s="2"/>
      <c r="I1796" s="2"/>
    </row>
    <row r="1797" spans="1:15" x14ac:dyDescent="0.25">
      <c r="A1797" s="104">
        <v>2</v>
      </c>
      <c r="B1797" s="2" t="s">
        <v>1586</v>
      </c>
      <c r="C1797" s="101" t="s">
        <v>183</v>
      </c>
      <c r="D1797" s="2"/>
      <c r="G1797" s="2" t="s">
        <v>1696</v>
      </c>
      <c r="H1797" s="3" t="s">
        <v>126</v>
      </c>
      <c r="I1797" s="2"/>
    </row>
    <row r="1798" spans="1:15" x14ac:dyDescent="0.25">
      <c r="B1798" s="1" t="s">
        <v>1585</v>
      </c>
      <c r="C1798" s="36" t="s">
        <v>166</v>
      </c>
      <c r="D1798" s="2"/>
      <c r="E1798" s="2"/>
      <c r="F1798" s="2"/>
      <c r="G1798" s="2"/>
      <c r="H1798" s="2"/>
      <c r="I1798" s="2"/>
    </row>
    <row r="1799" spans="1:15" ht="15.75" thickBot="1" x14ac:dyDescent="0.3">
      <c r="D1799" s="2"/>
      <c r="E1799" s="2"/>
      <c r="F1799" s="2"/>
      <c r="G1799" s="2"/>
      <c r="H1799" s="2"/>
      <c r="I1799" s="2"/>
    </row>
    <row r="1800" spans="1:15" ht="15.75" thickBot="1" x14ac:dyDescent="0.3">
      <c r="B1800" s="43" t="s">
        <v>1695</v>
      </c>
      <c r="C1800" s="44"/>
      <c r="D1800" s="44"/>
      <c r="E1800" s="44"/>
      <c r="F1800" s="44"/>
      <c r="G1800" s="44"/>
      <c r="H1800" s="45"/>
      <c r="I1800" s="2"/>
    </row>
    <row r="1801" spans="1:15" ht="25.5" x14ac:dyDescent="0.25">
      <c r="B1801" s="46" t="s">
        <v>1409</v>
      </c>
      <c r="C1801" s="47"/>
      <c r="D1801" s="48" t="s">
        <v>1690</v>
      </c>
      <c r="E1801" s="48" t="s">
        <v>1694</v>
      </c>
      <c r="F1801" s="48" t="s">
        <v>1693</v>
      </c>
      <c r="G1801" s="49" t="s">
        <v>1687</v>
      </c>
      <c r="H1801" s="50" t="s">
        <v>1686</v>
      </c>
      <c r="I1801" s="2"/>
    </row>
    <row r="1802" spans="1:15" x14ac:dyDescent="0.25">
      <c r="A1802" s="103">
        <v>19015</v>
      </c>
      <c r="B1802" s="51" t="str">
        <f>IF($A1802=0,"",VLOOKUP($A1802,'BASE EQUIPO'!$A:$D,2))</f>
        <v>HERRAMIENTA MENOR</v>
      </c>
      <c r="C1802" s="52"/>
      <c r="D1802" s="53">
        <v>1</v>
      </c>
      <c r="E1802" s="53">
        <f>IF($A1802=0,"",VLOOKUP($A1802,'BASE EQUIPO'!$A:$D,4)*H1818)</f>
        <v>0.49110000000000004</v>
      </c>
      <c r="F1802" s="53">
        <f t="shared" ref="F1802:F1807" si="160">IF($A1802=0,"",ROUND(D1802*E1802,2))</f>
        <v>0.49</v>
      </c>
      <c r="G1802" s="105">
        <v>1</v>
      </c>
      <c r="H1802" s="54">
        <f t="shared" ref="H1802:H1807" si="161">IF($A1802=0,"",ROUND(G1802*F1802,2))</f>
        <v>0.49</v>
      </c>
      <c r="I1802" s="2"/>
    </row>
    <row r="1803" spans="1:15" x14ac:dyDescent="0.25">
      <c r="A1803" s="103">
        <v>19011</v>
      </c>
      <c r="B1803" s="38" t="str">
        <f>IF($A1803=0,"",VLOOKUP($A1803,'BASE EQUIPO'!$A:$D,2))</f>
        <v>SOLDADORA</v>
      </c>
      <c r="C1803" s="2"/>
      <c r="D1803" s="55">
        <v>1</v>
      </c>
      <c r="E1803" s="55">
        <f>IF($A1803=0,"",VLOOKUP($A1803,'BASE EQUIPO'!$A:$D,4))</f>
        <v>2.5</v>
      </c>
      <c r="F1803" s="55">
        <f t="shared" si="160"/>
        <v>2.5</v>
      </c>
      <c r="G1803" s="106">
        <f>ROUND(G1812*0.25,3)</f>
        <v>0.28799999999999998</v>
      </c>
      <c r="H1803" s="56">
        <f t="shared" si="161"/>
        <v>0.72</v>
      </c>
      <c r="I1803" s="2"/>
    </row>
    <row r="1804" spans="1:15" x14ac:dyDescent="0.25">
      <c r="A1804" s="103">
        <v>19023</v>
      </c>
      <c r="B1804" s="38" t="str">
        <f>IF($A1804=0,"",VLOOKUP($A1804,'BASE EQUIPO'!$A:$D,2))</f>
        <v>COMPRESOR Y PISTOLA</v>
      </c>
      <c r="C1804" s="2"/>
      <c r="D1804" s="55">
        <v>1</v>
      </c>
      <c r="E1804" s="55">
        <f>IF($A1804=0,"",VLOOKUP($A1804,'BASE EQUIPO'!$A:$D,4))</f>
        <v>1.875</v>
      </c>
      <c r="F1804" s="55">
        <f t="shared" si="160"/>
        <v>1.88</v>
      </c>
      <c r="G1804" s="106">
        <f>+G1803</f>
        <v>0.28799999999999998</v>
      </c>
      <c r="H1804" s="56">
        <f t="shared" si="161"/>
        <v>0.54</v>
      </c>
      <c r="I1804" s="2"/>
    </row>
    <row r="1805" spans="1:15" x14ac:dyDescent="0.25">
      <c r="B1805" s="38" t="str">
        <f>IF($A1805=0,"",VLOOKUP($A1805,'BASE EQUIPO'!$A:$D,2))</f>
        <v/>
      </c>
      <c r="C1805" s="2"/>
      <c r="D1805" s="55"/>
      <c r="E1805" s="55" t="str">
        <f>IF($A1805=0,"",VLOOKUP($A1805,'BASE EQUIPO'!$A:$D,4))</f>
        <v/>
      </c>
      <c r="F1805" s="55" t="str">
        <f t="shared" si="160"/>
        <v/>
      </c>
      <c r="G1805" s="106"/>
      <c r="H1805" s="56" t="str">
        <f t="shared" si="161"/>
        <v/>
      </c>
      <c r="I1805" s="2"/>
    </row>
    <row r="1806" spans="1:15" x14ac:dyDescent="0.25">
      <c r="B1806" s="38" t="str">
        <f>IF($A1806=0,"",VLOOKUP($A1806,'BASE EQUIPO'!$A:$D,2))</f>
        <v/>
      </c>
      <c r="C1806" s="2"/>
      <c r="D1806" s="55"/>
      <c r="E1806" s="55" t="str">
        <f>IF($A1806=0,"",VLOOKUP($A1806,'BASE EQUIPO'!$A:$D,4))</f>
        <v/>
      </c>
      <c r="F1806" s="55" t="str">
        <f t="shared" si="160"/>
        <v/>
      </c>
      <c r="G1806" s="106"/>
      <c r="H1806" s="56" t="str">
        <f t="shared" si="161"/>
        <v/>
      </c>
      <c r="I1806" s="2"/>
    </row>
    <row r="1807" spans="1:15" x14ac:dyDescent="0.25">
      <c r="B1807" s="57" t="str">
        <f>IF($A1807=0,"",VLOOKUP($A1807,'BASE EQUIPO'!$A:$D,2))</f>
        <v/>
      </c>
      <c r="C1807" s="58"/>
      <c r="D1807" s="59"/>
      <c r="E1807" s="59" t="str">
        <f>IF($A1807=0,"",VLOOKUP($A1807,'BASE EQUIPO'!$A:$D,4))</f>
        <v/>
      </c>
      <c r="F1807" s="59" t="str">
        <f t="shared" si="160"/>
        <v/>
      </c>
      <c r="G1807" s="107"/>
      <c r="H1807" s="60" t="str">
        <f t="shared" si="161"/>
        <v/>
      </c>
      <c r="I1807" s="2"/>
    </row>
    <row r="1808" spans="1:15" x14ac:dyDescent="0.25">
      <c r="B1808" s="57" t="s">
        <v>1692</v>
      </c>
      <c r="C1808" s="58"/>
      <c r="D1808" s="61"/>
      <c r="E1808" s="61"/>
      <c r="F1808" s="61"/>
      <c r="G1808" s="62"/>
      <c r="H1808" s="60">
        <f>ROUND(SUM(H1801:H1807),2)</f>
        <v>1.75</v>
      </c>
      <c r="I1808" s="2"/>
    </row>
    <row r="1809" spans="1:16" x14ac:dyDescent="0.25">
      <c r="B1809" s="38" t="s">
        <v>1503</v>
      </c>
      <c r="C1809" s="2"/>
      <c r="D1809" s="3"/>
      <c r="E1809" s="3"/>
      <c r="F1809" s="3"/>
      <c r="G1809" s="63"/>
      <c r="H1809" s="56"/>
      <c r="I1809" s="2"/>
    </row>
    <row r="1810" spans="1:16" ht="25.5" x14ac:dyDescent="0.25">
      <c r="B1810" s="64" t="s">
        <v>1691</v>
      </c>
      <c r="C1810" s="65"/>
      <c r="D1810" s="66" t="s">
        <v>1690</v>
      </c>
      <c r="E1810" s="66" t="s">
        <v>1689</v>
      </c>
      <c r="F1810" s="66" t="s">
        <v>1688</v>
      </c>
      <c r="G1810" s="67" t="s">
        <v>1687</v>
      </c>
      <c r="H1810" s="68" t="s">
        <v>1686</v>
      </c>
      <c r="I1810" s="2"/>
    </row>
    <row r="1811" spans="1:16" x14ac:dyDescent="0.25">
      <c r="B1811" s="69" t="str">
        <f>IF($A1811=0,"",VLOOKUP($A1811,'BASE M-OBRA'!$A:$D,2))</f>
        <v/>
      </c>
      <c r="C1811" s="2"/>
      <c r="D1811" s="108"/>
      <c r="E1811" s="70" t="str">
        <f>IF($A1811=0,"",VLOOKUP($A1811,'BASE M-OBRA'!$A:$D,4))</f>
        <v/>
      </c>
      <c r="F1811" s="55" t="str">
        <f t="shared" ref="F1811:F1817" si="162">IF($A1811=0,"",ROUND(D1811*E1811,2))</f>
        <v/>
      </c>
      <c r="G1811" s="106" t="str">
        <f>IF($A1811=0,"",ROUND(H1811/F1811,2))</f>
        <v/>
      </c>
      <c r="H1811" s="56" t="str">
        <f>IF($A1811=0,"",ROUND(SUM(H1812:H1817)*'BASE M-OBRA'!$D$23,2))</f>
        <v/>
      </c>
      <c r="I1811" s="2"/>
    </row>
    <row r="1812" spans="1:16" x14ac:dyDescent="0.25">
      <c r="A1812" s="103">
        <v>20006</v>
      </c>
      <c r="B1812" s="69" t="str">
        <f>IF($A1812=0,"",VLOOKUP($A1812,'BASE M-OBRA'!$A:$D,2))</f>
        <v>MAESTRO  SOLDADOR</v>
      </c>
      <c r="C1812" s="2"/>
      <c r="D1812" s="108">
        <v>1</v>
      </c>
      <c r="E1812" s="70">
        <f>IF($A1812=0,"",VLOOKUP($A1812,'BASE M-OBRA'!$A:$D,4))</f>
        <v>3.02</v>
      </c>
      <c r="F1812" s="55">
        <f t="shared" si="162"/>
        <v>3.02</v>
      </c>
      <c r="G1812" s="106">
        <f>0.06*F1822</f>
        <v>1.1519999999999999</v>
      </c>
      <c r="H1812" s="56">
        <f t="shared" ref="H1812:H1817" si="163">IF($A1812=0,"",ROUND(G1812*F1812,2))</f>
        <v>3.48</v>
      </c>
      <c r="I1812" s="2"/>
    </row>
    <row r="1813" spans="1:16" x14ac:dyDescent="0.25">
      <c r="A1813" s="103">
        <v>20011</v>
      </c>
      <c r="B1813" s="69" t="str">
        <f>IF($A1813=0,"",VLOOKUP($A1813,'BASE M-OBRA'!$A:$D,2))</f>
        <v>AYUDANTE ESPECIALISTA</v>
      </c>
      <c r="C1813" s="2"/>
      <c r="D1813" s="108">
        <v>2</v>
      </c>
      <c r="E1813" s="70">
        <f>IF($A1813=0,"",VLOOKUP($A1813,'BASE M-OBRA'!$A:$D,4))</f>
        <v>2.79</v>
      </c>
      <c r="F1813" s="55">
        <f t="shared" si="162"/>
        <v>5.58</v>
      </c>
      <c r="G1813" s="106">
        <f>+G1812</f>
        <v>1.1519999999999999</v>
      </c>
      <c r="H1813" s="56">
        <f t="shared" si="163"/>
        <v>6.43</v>
      </c>
      <c r="I1813" s="2"/>
    </row>
    <row r="1814" spans="1:16" x14ac:dyDescent="0.25">
      <c r="A1814" s="103">
        <v>20018</v>
      </c>
      <c r="B1814" s="71" t="str">
        <f>IF($A1814=0,"",VLOOKUP($A1814,'BASE M-OBRA'!$A:$D,2))</f>
        <v>PINTOR</v>
      </c>
      <c r="C1814" s="2"/>
      <c r="D1814" s="108">
        <v>1</v>
      </c>
      <c r="E1814" s="70">
        <f>IF($A1814=0,"",VLOOKUP($A1814,'BASE M-OBRA'!$A:$D,4))</f>
        <v>2.82</v>
      </c>
      <c r="F1814" s="55">
        <f t="shared" si="162"/>
        <v>2.82</v>
      </c>
      <c r="G1814" s="106">
        <f>+G1813</f>
        <v>1.1519999999999999</v>
      </c>
      <c r="H1814" s="56">
        <f t="shared" si="163"/>
        <v>3.25</v>
      </c>
      <c r="I1814" s="2"/>
      <c r="K1814" s="1">
        <f>3*2.9</f>
        <v>8.6999999999999993</v>
      </c>
    </row>
    <row r="1815" spans="1:16" x14ac:dyDescent="0.25">
      <c r="A1815" s="103">
        <v>20011</v>
      </c>
      <c r="B1815" s="72" t="str">
        <f>IF($A1815=0,"",VLOOKUP($A1815,'BASE M-OBRA'!$A:$D,2))</f>
        <v>AYUDANTE ESPECIALISTA</v>
      </c>
      <c r="C1815" s="2"/>
      <c r="D1815" s="108">
        <v>1</v>
      </c>
      <c r="E1815" s="70">
        <f>IF($A1815=0,"",VLOOKUP($A1815,'BASE M-OBRA'!$A:$D,4))</f>
        <v>2.79</v>
      </c>
      <c r="F1815" s="55">
        <f t="shared" si="162"/>
        <v>2.79</v>
      </c>
      <c r="G1815" s="106">
        <f>+G1814</f>
        <v>1.1519999999999999</v>
      </c>
      <c r="H1815" s="56">
        <f t="shared" si="163"/>
        <v>3.21</v>
      </c>
      <c r="I1815" s="2"/>
      <c r="K1815" s="1">
        <f>70*0.15</f>
        <v>10.5</v>
      </c>
    </row>
    <row r="1816" spans="1:16" x14ac:dyDescent="0.25">
      <c r="B1816" s="38" t="str">
        <f>IF($A1816=0,"",VLOOKUP($A1816,'BASE M-OBRA'!$A:$D,2))</f>
        <v/>
      </c>
      <c r="C1816" s="2"/>
      <c r="D1816" s="55"/>
      <c r="E1816" s="55" t="str">
        <f>IF($A1816=0,"",VLOOKUP($A1816,'BASE M-OBRA'!$A:$D,4))</f>
        <v/>
      </c>
      <c r="F1816" s="55" t="str">
        <f t="shared" si="162"/>
        <v/>
      </c>
      <c r="G1816" s="106"/>
      <c r="H1816" s="56" t="str">
        <f t="shared" si="163"/>
        <v/>
      </c>
      <c r="I1816" s="2"/>
    </row>
    <row r="1817" spans="1:16" x14ac:dyDescent="0.25">
      <c r="B1817" s="57" t="str">
        <f>IF($A1817=0,"",VLOOKUP($A1817,'BASE M-OBRA'!$A:$D,2))</f>
        <v/>
      </c>
      <c r="C1817" s="58"/>
      <c r="D1817" s="59"/>
      <c r="E1817" s="59" t="str">
        <f>IF($A1817=0,"",VLOOKUP($A1817,'BASE M-OBRA'!$A:$D,4))</f>
        <v/>
      </c>
      <c r="F1817" s="59" t="str">
        <f t="shared" si="162"/>
        <v/>
      </c>
      <c r="G1817" s="107"/>
      <c r="H1817" s="60" t="str">
        <f t="shared" si="163"/>
        <v/>
      </c>
      <c r="I1817" s="2"/>
    </row>
    <row r="1818" spans="1:16" x14ac:dyDescent="0.25">
      <c r="B1818" s="73" t="s">
        <v>1685</v>
      </c>
      <c r="C1818" s="65"/>
      <c r="D1818" s="74"/>
      <c r="E1818" s="74"/>
      <c r="F1818" s="74"/>
      <c r="G1818" s="74"/>
      <c r="H1818" s="75">
        <f>ROUND(SUM(H1810:H1817),2)</f>
        <v>16.37</v>
      </c>
      <c r="I1818" s="2"/>
    </row>
    <row r="1819" spans="1:16" x14ac:dyDescent="0.25">
      <c r="B1819" s="38" t="s">
        <v>1684</v>
      </c>
      <c r="C1819" s="2"/>
      <c r="D1819" s="3"/>
      <c r="E1819" s="3"/>
      <c r="F1819" s="3"/>
      <c r="G1819" s="3"/>
      <c r="H1819" s="56"/>
      <c r="I1819" s="2"/>
    </row>
    <row r="1820" spans="1:16" ht="25.5" x14ac:dyDescent="0.25">
      <c r="B1820" s="64" t="s">
        <v>1409</v>
      </c>
      <c r="C1820" s="65"/>
      <c r="D1820" s="76"/>
      <c r="E1820" s="66" t="s">
        <v>1408</v>
      </c>
      <c r="F1820" s="66" t="s">
        <v>1679</v>
      </c>
      <c r="G1820" s="66" t="s">
        <v>1683</v>
      </c>
      <c r="H1820" s="68" t="s">
        <v>1675</v>
      </c>
      <c r="I1820" s="2"/>
    </row>
    <row r="1821" spans="1:16" x14ac:dyDescent="0.25">
      <c r="A1821" s="103">
        <v>14002</v>
      </c>
      <c r="B1821" s="109" t="str">
        <f>IF($A1821=0,"",VLOOKUP($A1821,'BASE MATERIAL'!$A:$D,2))</f>
        <v>SOLDADURA aga 60/11</v>
      </c>
      <c r="C1821" s="2"/>
      <c r="D1821" s="77"/>
      <c r="E1821" s="78" t="str">
        <f>IF($A1821=0,"",VLOOKUP($A1821,'BASE MATERIAL'!$A:$D,3))</f>
        <v>KG</v>
      </c>
      <c r="F1821" s="80">
        <f>ROUND(0.044*F1822,4)</f>
        <v>0.8448</v>
      </c>
      <c r="G1821" s="55">
        <f>IF($A1821=0,"",VLOOKUP($A1821,'BASE MATERIAL'!$A:$D,4))</f>
        <v>3.65</v>
      </c>
      <c r="H1821" s="56">
        <f t="shared" ref="H1821:H1833" si="164">IF($A1821=0,"",ROUND(F1821*G1821,2))</f>
        <v>3.08</v>
      </c>
      <c r="I1821" s="2"/>
      <c r="L1821" s="2"/>
      <c r="M1821" s="2"/>
      <c r="N1821" s="39"/>
      <c r="O1821" s="2"/>
      <c r="P1821" s="2"/>
    </row>
    <row r="1822" spans="1:16" x14ac:dyDescent="0.25">
      <c r="A1822" s="103">
        <v>1004</v>
      </c>
      <c r="B1822" s="38" t="str">
        <f>IF($A1822=0,"",VLOOKUP($A1822,'BASE MATERIAL'!$A:$D,2))</f>
        <v>PERFILERIA METALICA</v>
      </c>
      <c r="C1822" s="2"/>
      <c r="D1822" s="77"/>
      <c r="E1822" s="78" t="str">
        <f>IF($A1822=0,"",VLOOKUP($A1822,'BASE MATERIAL'!$A:$D,3))</f>
        <v>KG</v>
      </c>
      <c r="F1822" s="80">
        <v>19.2</v>
      </c>
      <c r="G1822" s="55">
        <f>IF($A1822=0,"",VLOOKUP($A1822,'BASE MATERIAL'!$A:$D,4))</f>
        <v>1.27</v>
      </c>
      <c r="H1822" s="56">
        <f t="shared" si="164"/>
        <v>24.38</v>
      </c>
      <c r="I1822" s="2"/>
      <c r="L1822" s="2"/>
      <c r="M1822" s="2"/>
      <c r="N1822" s="39"/>
      <c r="O1822" s="2"/>
      <c r="P1822" s="2"/>
    </row>
    <row r="1823" spans="1:16" x14ac:dyDescent="0.25">
      <c r="A1823" s="103">
        <v>13001</v>
      </c>
      <c r="B1823" s="38" t="str">
        <f>IF($A1823=0,"",VLOOKUP($A1823,'BASE MATERIAL'!$A:$D,2))</f>
        <v>PINTURA PARA PROTECCION METALICA</v>
      </c>
      <c r="C1823" s="2"/>
      <c r="D1823" s="77"/>
      <c r="E1823" s="78" t="str">
        <f>IF($A1823=0,"",VLOOKUP($A1823,'BASE MATERIAL'!$A:$D,3))</f>
        <v>GL</v>
      </c>
      <c r="F1823" s="80">
        <f>ROUND(0.0056*F1822,4)</f>
        <v>0.1075</v>
      </c>
      <c r="G1823" s="55">
        <f>IF($A1823=0,"",VLOOKUP($A1823,'BASE MATERIAL'!$A:$D,4))</f>
        <v>37.72</v>
      </c>
      <c r="H1823" s="56">
        <f t="shared" si="164"/>
        <v>4.05</v>
      </c>
      <c r="I1823" s="2"/>
      <c r="L1823" s="2"/>
      <c r="M1823" s="2"/>
      <c r="N1823" s="39"/>
      <c r="O1823" s="2"/>
      <c r="P1823" s="2"/>
    </row>
    <row r="1824" spans="1:16" x14ac:dyDescent="0.25">
      <c r="A1824" s="103">
        <v>13002</v>
      </c>
      <c r="B1824" s="38" t="str">
        <f>IF($A1824=0,"",VLOOKUP($A1824,'BASE MATERIAL'!$A:$D,2))</f>
        <v>PINTURA PARA ACABADO METALICO</v>
      </c>
      <c r="C1824" s="2"/>
      <c r="D1824" s="77"/>
      <c r="E1824" s="78" t="str">
        <f>IF($A1824=0,"",VLOOKUP($A1824,'BASE MATERIAL'!$A:$D,3))</f>
        <v>GL</v>
      </c>
      <c r="F1824" s="80">
        <f>ROUND(0.0028*F1822,4)</f>
        <v>5.3800000000000001E-2</v>
      </c>
      <c r="G1824" s="55">
        <f>IF($A1824=0,"",VLOOKUP($A1824,'BASE MATERIAL'!$A:$D,4))</f>
        <v>38.520000000000003</v>
      </c>
      <c r="H1824" s="56">
        <f t="shared" si="164"/>
        <v>2.0699999999999998</v>
      </c>
      <c r="I1824" s="2"/>
      <c r="L1824" s="2"/>
      <c r="M1824" s="2"/>
      <c r="N1824" s="39"/>
      <c r="O1824" s="2"/>
      <c r="P1824" s="2"/>
    </row>
    <row r="1825" spans="1:16" x14ac:dyDescent="0.25">
      <c r="A1825" s="103">
        <v>13011</v>
      </c>
      <c r="B1825" s="38" t="str">
        <f>IF($A1825=0,"",VLOOKUP($A1825,'BASE MATERIAL'!$A:$D,2))</f>
        <v>DESOXIDANTE</v>
      </c>
      <c r="C1825" s="2"/>
      <c r="D1825" s="77"/>
      <c r="E1825" s="78" t="str">
        <f>IF($A1825=0,"",VLOOKUP($A1825,'BASE MATERIAL'!$A:$D,3))</f>
        <v>GL</v>
      </c>
      <c r="F1825" s="80">
        <f>ROUND(0.2*(F1823+F1824),4)</f>
        <v>3.2300000000000002E-2</v>
      </c>
      <c r="G1825" s="55">
        <f>IF($A1825=0,"",VLOOKUP($A1825,'BASE MATERIAL'!$A:$D,4))</f>
        <v>12</v>
      </c>
      <c r="H1825" s="56">
        <f t="shared" si="164"/>
        <v>0.39</v>
      </c>
      <c r="I1825" s="2"/>
      <c r="L1825" s="2"/>
      <c r="M1825" s="2"/>
      <c r="N1825" s="39"/>
      <c r="O1825" s="2"/>
      <c r="P1825" s="2"/>
    </row>
    <row r="1826" spans="1:16" x14ac:dyDescent="0.25">
      <c r="B1826" s="38" t="str">
        <f>IF($A1826=0,"",VLOOKUP($A1826,'BASE MATERIAL'!$A:$D,2))</f>
        <v/>
      </c>
      <c r="C1826" s="2"/>
      <c r="D1826" s="77"/>
      <c r="E1826" s="78" t="str">
        <f>IF($A1826=0,"",VLOOKUP($A1826,'BASE MATERIAL'!$A:$D,3))</f>
        <v/>
      </c>
      <c r="F1826" s="55"/>
      <c r="G1826" s="55" t="str">
        <f>IF($A1826=0,"",VLOOKUP($A1826,'BASE MATERIAL'!$A:$D,4))</f>
        <v/>
      </c>
      <c r="H1826" s="56" t="str">
        <f t="shared" si="164"/>
        <v/>
      </c>
      <c r="I1826" s="2"/>
      <c r="L1826" s="2"/>
      <c r="M1826" s="2"/>
      <c r="N1826" s="39"/>
      <c r="O1826" s="2"/>
      <c r="P1826" s="2"/>
    </row>
    <row r="1827" spans="1:16" x14ac:dyDescent="0.25">
      <c r="B1827" s="38" t="str">
        <f>IF($A1827=0,"",VLOOKUP($A1827,'BASE MATERIAL'!$A:$D,2))</f>
        <v/>
      </c>
      <c r="C1827" s="2"/>
      <c r="D1827" s="77"/>
      <c r="E1827" s="78" t="str">
        <f>IF($A1827=0,"",VLOOKUP($A1827,'BASE MATERIAL'!$A:$D,3))</f>
        <v/>
      </c>
      <c r="F1827" s="55"/>
      <c r="G1827" s="55" t="str">
        <f>IF($A1827=0,"",VLOOKUP($A1827,'BASE MATERIAL'!$A:$D,4))</f>
        <v/>
      </c>
      <c r="H1827" s="56" t="str">
        <f t="shared" si="164"/>
        <v/>
      </c>
      <c r="I1827" s="2"/>
      <c r="L1827" s="2"/>
      <c r="M1827" s="2"/>
      <c r="N1827" s="39"/>
      <c r="O1827" s="2"/>
      <c r="P1827" s="2"/>
    </row>
    <row r="1828" spans="1:16" x14ac:dyDescent="0.25">
      <c r="B1828" s="38" t="str">
        <f>IF($A1828=0,"",VLOOKUP($A1828,'BASE MATERIAL'!$A:$D,2))</f>
        <v/>
      </c>
      <c r="C1828" s="2"/>
      <c r="D1828" s="77"/>
      <c r="E1828" s="78" t="str">
        <f>IF($A1828=0,"",VLOOKUP($A1828,'BASE MATERIAL'!$A:$D,3))</f>
        <v/>
      </c>
      <c r="F1828" s="55"/>
      <c r="G1828" s="55" t="str">
        <f>IF($A1828=0,"",VLOOKUP($A1828,'BASE MATERIAL'!$A:$D,4))</f>
        <v/>
      </c>
      <c r="H1828" s="56" t="str">
        <f t="shared" si="164"/>
        <v/>
      </c>
      <c r="I1828" s="2"/>
      <c r="L1828" s="2"/>
      <c r="M1828" s="2"/>
      <c r="N1828" s="39"/>
      <c r="O1828" s="2"/>
      <c r="P1828" s="2"/>
    </row>
    <row r="1829" spans="1:16" x14ac:dyDescent="0.25">
      <c r="B1829" s="38" t="str">
        <f>IF($A1829=0,"",VLOOKUP($A1829,'BASE MATERIAL'!$A:$D,2))</f>
        <v/>
      </c>
      <c r="C1829" s="2"/>
      <c r="D1829" s="77"/>
      <c r="E1829" s="78" t="str">
        <f>IF($A1829=0,"",VLOOKUP($A1829,'BASE MATERIAL'!$A:$D,3))</f>
        <v/>
      </c>
      <c r="F1829" s="55"/>
      <c r="G1829" s="55" t="str">
        <f>IF($A1829=0,"",VLOOKUP($A1829,'BASE MATERIAL'!$A:$D,4))</f>
        <v/>
      </c>
      <c r="H1829" s="56" t="str">
        <f t="shared" si="164"/>
        <v/>
      </c>
      <c r="I1829" s="2"/>
    </row>
    <row r="1830" spans="1:16" x14ac:dyDescent="0.25">
      <c r="B1830" s="38" t="str">
        <f>IF($A1830=0,"",VLOOKUP($A1830,'BASE MATERIAL'!$A:$D,2))</f>
        <v/>
      </c>
      <c r="C1830" s="2"/>
      <c r="D1830" s="77"/>
      <c r="E1830" s="78" t="str">
        <f>IF($A1830=0,"",VLOOKUP($A1830,'BASE MATERIAL'!$A:$D,3))</f>
        <v/>
      </c>
      <c r="F1830" s="55"/>
      <c r="G1830" s="55" t="str">
        <f>IF($A1830=0,"",VLOOKUP($A1830,'BASE MATERIAL'!$A:$D,4))</f>
        <v/>
      </c>
      <c r="H1830" s="56" t="str">
        <f t="shared" si="164"/>
        <v/>
      </c>
      <c r="I1830" s="2"/>
      <c r="L1830" s="2"/>
      <c r="M1830" s="2"/>
      <c r="N1830" s="39"/>
      <c r="O1830" s="2"/>
      <c r="P1830" s="2"/>
    </row>
    <row r="1831" spans="1:16" x14ac:dyDescent="0.25">
      <c r="B1831" s="38" t="str">
        <f>IF($A1831=0,"",VLOOKUP($A1831,'BASE MATERIAL'!$A:$D,2))</f>
        <v/>
      </c>
      <c r="C1831" s="2"/>
      <c r="D1831" s="77"/>
      <c r="E1831" s="78" t="str">
        <f>IF($A1831=0,"",VLOOKUP($A1831,'BASE MATERIAL'!$A:$D,3))</f>
        <v/>
      </c>
      <c r="F1831" s="55"/>
      <c r="G1831" s="55" t="str">
        <f>IF($A1831=0,"",VLOOKUP($A1831,'BASE MATERIAL'!$A:$D,4))</f>
        <v/>
      </c>
      <c r="H1831" s="56" t="str">
        <f t="shared" si="164"/>
        <v/>
      </c>
      <c r="I1831" s="2"/>
      <c r="L1831" s="2"/>
      <c r="M1831" s="2"/>
      <c r="N1831" s="39"/>
      <c r="O1831" s="2"/>
      <c r="P1831" s="2"/>
    </row>
    <row r="1832" spans="1:16" x14ac:dyDescent="0.25">
      <c r="B1832" s="38" t="str">
        <f>IF($A1832=0,"",VLOOKUP($A1832,'BASE MATERIAL'!$A:$D,2))</f>
        <v/>
      </c>
      <c r="C1832" s="2"/>
      <c r="D1832" s="77"/>
      <c r="E1832" s="78" t="str">
        <f>IF($A1832=0,"",VLOOKUP($A1832,'BASE MATERIAL'!$A:$D,3))</f>
        <v/>
      </c>
      <c r="F1832" s="55"/>
      <c r="G1832" s="55" t="str">
        <f>IF($A1832=0,"",VLOOKUP($A1832,'BASE MATERIAL'!$A:$D,4))</f>
        <v/>
      </c>
      <c r="H1832" s="56" t="str">
        <f t="shared" si="164"/>
        <v/>
      </c>
      <c r="I1832" s="2"/>
    </row>
    <row r="1833" spans="1:16" x14ac:dyDescent="0.25">
      <c r="B1833" s="38" t="str">
        <f>IF($A1833=0,"",VLOOKUP($A1833,'BASE MATERIAL'!$A:$D,2))</f>
        <v/>
      </c>
      <c r="C1833" s="2"/>
      <c r="D1833" s="77"/>
      <c r="E1833" s="78" t="str">
        <f>IF($A1833=0,"",VLOOKUP($A1833,'BASE MATERIAL'!$A:$D,3))</f>
        <v/>
      </c>
      <c r="F1833" s="55"/>
      <c r="G1833" s="55" t="str">
        <f>IF($A1833=0,"",VLOOKUP($A1833,'BASE MATERIAL'!$A:$D,4))</f>
        <v/>
      </c>
      <c r="H1833" s="56" t="str">
        <f t="shared" si="164"/>
        <v/>
      </c>
      <c r="I1833" s="2"/>
    </row>
    <row r="1834" spans="1:16" x14ac:dyDescent="0.25">
      <c r="B1834" s="38" t="str">
        <f>IF($A1834=0,"",VLOOKUP($A1834,'BASE MATERIAL'!$A:$D,2))</f>
        <v/>
      </c>
      <c r="C1834" s="2"/>
      <c r="D1834" s="77"/>
      <c r="E1834" s="78" t="str">
        <f>IF($A1834=0,"",VLOOKUP($A1834,'BASE MATERIAL'!$A:$D,3))</f>
        <v/>
      </c>
      <c r="F1834" s="55"/>
      <c r="G1834" s="55" t="str">
        <f>IF($A1834=0,"",VLOOKUP($A1834,'BASE MATERIAL'!$A:$D,4))</f>
        <v/>
      </c>
      <c r="H1834" s="56" t="str">
        <f>IF($A1834=0,"",ROUND(F1834*G1834,2))</f>
        <v/>
      </c>
      <c r="I1834" s="2"/>
    </row>
    <row r="1835" spans="1:16" x14ac:dyDescent="0.25">
      <c r="B1835" s="38" t="str">
        <f>IF($A1835=0,"",VLOOKUP($A1835,'BASE MATERIAL'!$A:$D,2))</f>
        <v/>
      </c>
      <c r="C1835" s="2"/>
      <c r="D1835" s="77"/>
      <c r="E1835" s="78" t="str">
        <f>IF($A1835=0,"",VLOOKUP($A1835,'BASE MATERIAL'!$A:$D,3))</f>
        <v/>
      </c>
      <c r="F1835" s="55"/>
      <c r="G1835" s="55" t="str">
        <f>IF($A1835=0,"",VLOOKUP($A1835,'BASE MATERIAL'!$A:$D,4))</f>
        <v/>
      </c>
      <c r="H1835" s="56" t="str">
        <f>IF($A1835=0,"",ROUND(F1835*G1835,2))</f>
        <v/>
      </c>
      <c r="I1835" s="2"/>
    </row>
    <row r="1836" spans="1:16" x14ac:dyDescent="0.25">
      <c r="B1836" s="38" t="str">
        <f>IF($A1836=0,"",VLOOKUP($A1836,'BASE MATERIAL'!$A:$D,2))</f>
        <v/>
      </c>
      <c r="C1836" s="2"/>
      <c r="D1836" s="81" t="s">
        <v>1682</v>
      </c>
      <c r="E1836" s="55" t="str">
        <f>IF($A1836=0,"",VLOOKUP($A1836,'BASE MATERIAL'!$A:$D,3))</f>
        <v/>
      </c>
      <c r="F1836" s="55" t="s">
        <v>1682</v>
      </c>
      <c r="G1836" s="55" t="str">
        <f>IF($A1836=0,"",VLOOKUP($A1836,'BASE MATERIAL'!$A:$D,4))</f>
        <v/>
      </c>
      <c r="H1836" s="56" t="str">
        <f>IF($A1836=0,"",ROUND(E1836*F1836,2))</f>
        <v/>
      </c>
      <c r="I1836" s="2"/>
    </row>
    <row r="1837" spans="1:16" x14ac:dyDescent="0.25">
      <c r="B1837" s="73" t="s">
        <v>1681</v>
      </c>
      <c r="C1837" s="65"/>
      <c r="D1837" s="74"/>
      <c r="E1837" s="74"/>
      <c r="F1837" s="74"/>
      <c r="G1837" s="74"/>
      <c r="H1837" s="75">
        <f>ROUND(SUM(H1820:H1836),2)</f>
        <v>33.97</v>
      </c>
      <c r="I1837" s="2"/>
    </row>
    <row r="1838" spans="1:16" x14ac:dyDescent="0.25">
      <c r="B1838" s="38" t="s">
        <v>1680</v>
      </c>
      <c r="C1838" s="2"/>
      <c r="D1838" s="3"/>
      <c r="E1838" s="3"/>
      <c r="F1838" s="3"/>
      <c r="G1838" s="3"/>
      <c r="H1838" s="56"/>
      <c r="I1838" s="2"/>
    </row>
    <row r="1839" spans="1:16" ht="25.5" x14ac:dyDescent="0.25">
      <c r="B1839" s="64" t="s">
        <v>1409</v>
      </c>
      <c r="C1839" s="65"/>
      <c r="D1839" s="76"/>
      <c r="E1839" s="66" t="s">
        <v>1408</v>
      </c>
      <c r="F1839" s="66" t="s">
        <v>1679</v>
      </c>
      <c r="G1839" s="66" t="s">
        <v>1676</v>
      </c>
      <c r="H1839" s="68" t="s">
        <v>1675</v>
      </c>
      <c r="I1839" s="2"/>
    </row>
    <row r="1840" spans="1:16" x14ac:dyDescent="0.25">
      <c r="A1840" s="103">
        <v>19019</v>
      </c>
      <c r="B1840" s="51" t="str">
        <f>IF($A1840=0,"",VLOOKUP($A1840,'BASE EQUIPO'!$A:$D,2))</f>
        <v>TRANSPORTE DE MATERIAL</v>
      </c>
      <c r="C1840" s="52"/>
      <c r="D1840" s="82"/>
      <c r="E1840" s="78" t="str">
        <f>IF($A1840=0,"",VLOOKUP($A1840,'BASE EQUIPO'!$A:$D,3))</f>
        <v>GLOBAL</v>
      </c>
      <c r="F1840" s="55">
        <v>1</v>
      </c>
      <c r="G1840" s="83">
        <f>IF($A1840=0,"",VLOOKUP($A1840,'BASE EQUIPO'!$A:$D,4)*H1837)</f>
        <v>1.0190999999999999</v>
      </c>
      <c r="H1840" s="56">
        <f>IF($A1840=0,"",ROUND(F1840*G1840,2))</f>
        <v>1.02</v>
      </c>
      <c r="I1840" s="2"/>
    </row>
    <row r="1841" spans="1:15" x14ac:dyDescent="0.25">
      <c r="B1841" s="38" t="str">
        <f>IF($A1841=0,"",VLOOKUP($A1841,'BASE EQUIPO'!$A:$D,2))</f>
        <v/>
      </c>
      <c r="C1841" s="2"/>
      <c r="D1841" s="84"/>
      <c r="E1841" s="78" t="str">
        <f>IF($A1841=0,"",VLOOKUP($A1841,'BASE EQUIPO'!$A:$D,3))</f>
        <v/>
      </c>
      <c r="F1841" s="55"/>
      <c r="G1841" s="55" t="str">
        <f>IF($A1841=0,"",VLOOKUP($A1841,'BASE EQUIPO'!$A:$D,4)*H1838)</f>
        <v/>
      </c>
      <c r="H1841" s="56" t="str">
        <f>IF($A1841=0,"",ROUND(F1841*G1841,2))</f>
        <v/>
      </c>
      <c r="I1841" s="2"/>
    </row>
    <row r="1842" spans="1:15" x14ac:dyDescent="0.25">
      <c r="B1842" s="57" t="str">
        <f>IF($A1842=0,"",VLOOKUP($A1842,'BASE EQUIPO'!$A:$D,2))</f>
        <v/>
      </c>
      <c r="C1842" s="58"/>
      <c r="D1842" s="85"/>
      <c r="E1842" s="86" t="str">
        <f>IF($A1842=0,"",VLOOKUP($A1842,'BASE EQUIPO'!$A:$D,3))</f>
        <v/>
      </c>
      <c r="F1842" s="59"/>
      <c r="G1842" s="59" t="str">
        <f>IF($A1842=0,"",VLOOKUP($A1842,'BASE EQUIPO'!$A:$D,4)*H1839)</f>
        <v/>
      </c>
      <c r="H1842" s="60" t="str">
        <f>IF($A1842=0,"",ROUND(F1842*G1842,2))</f>
        <v/>
      </c>
      <c r="I1842" s="2"/>
    </row>
    <row r="1843" spans="1:15" ht="15.75" thickBot="1" x14ac:dyDescent="0.3">
      <c r="B1843" s="87" t="s">
        <v>1674</v>
      </c>
      <c r="C1843" s="88"/>
      <c r="D1843" s="89"/>
      <c r="E1843" s="89"/>
      <c r="F1843" s="89"/>
      <c r="G1843" s="89"/>
      <c r="H1843" s="90">
        <f>ROUND(SUM(H1839:H1842),2)</f>
        <v>1.02</v>
      </c>
      <c r="I1843" s="2"/>
    </row>
    <row r="1844" spans="1:15" ht="15.75" x14ac:dyDescent="0.25">
      <c r="B1844" s="2"/>
      <c r="C1844" s="2"/>
      <c r="D1844" s="91" t="s">
        <v>1673</v>
      </c>
      <c r="E1844" s="47"/>
      <c r="F1844" s="47"/>
      <c r="G1844" s="47"/>
      <c r="H1844" s="92">
        <f>ROUND(SUM(H1843,H1837,H1818,H1808),2)</f>
        <v>53.11</v>
      </c>
      <c r="I1844" s="2"/>
    </row>
    <row r="1845" spans="1:15" ht="15.75" x14ac:dyDescent="0.25">
      <c r="A1845" s="103">
        <v>40002</v>
      </c>
      <c r="B1845" s="2"/>
      <c r="C1845" s="2"/>
      <c r="D1845" s="93" t="s">
        <v>1672</v>
      </c>
      <c r="E1845" s="65"/>
      <c r="F1845" s="65"/>
      <c r="G1845" s="94">
        <f>IF($A1845=0,"",VLOOKUP($A1845,'BASE MATERIAL'!$M:$P,4))</f>
        <v>0</v>
      </c>
      <c r="H1845" s="95">
        <f>IF($A1845=0,"",ROUND(G1845*H1844,2))</f>
        <v>0</v>
      </c>
      <c r="I1845" s="2"/>
    </row>
    <row r="1846" spans="1:15" ht="15.75" x14ac:dyDescent="0.25">
      <c r="A1846" s="103">
        <v>40003</v>
      </c>
      <c r="B1846" s="2"/>
      <c r="C1846" s="2"/>
      <c r="D1846" s="93" t="s">
        <v>1671</v>
      </c>
      <c r="E1846" s="65"/>
      <c r="F1846" s="65"/>
      <c r="G1846" s="94">
        <f>IF($A1846=0,"",VLOOKUP($A1846,'BASE MATERIAL'!$M:$P,4))</f>
        <v>0</v>
      </c>
      <c r="H1846" s="95">
        <f>IF($A1846=0,"",ROUND(G1846*H1844,2))</f>
        <v>0</v>
      </c>
      <c r="I1846" s="2"/>
    </row>
    <row r="1847" spans="1:15" ht="15.75" x14ac:dyDescent="0.25">
      <c r="B1847" s="2"/>
      <c r="C1847" s="2"/>
      <c r="D1847" s="93" t="s">
        <v>1670</v>
      </c>
      <c r="E1847" s="65"/>
      <c r="F1847" s="65"/>
      <c r="G1847" s="65"/>
      <c r="H1847" s="96">
        <f>ROUND(SUM(H1844:H1846),2)</f>
        <v>53.11</v>
      </c>
      <c r="I1847" s="2"/>
    </row>
    <row r="1848" spans="1:15" ht="16.5" thickBot="1" x14ac:dyDescent="0.3">
      <c r="B1848" s="25"/>
      <c r="C1848" s="2"/>
      <c r="D1848" s="97" t="s">
        <v>1650</v>
      </c>
      <c r="E1848" s="88"/>
      <c r="F1848" s="88"/>
      <c r="G1848" s="88"/>
      <c r="H1848" s="98">
        <f>ROUND(H1847,2)</f>
        <v>53.11</v>
      </c>
      <c r="I1848" s="2"/>
    </row>
    <row r="1849" spans="1:15" ht="15.75" x14ac:dyDescent="0.25">
      <c r="B1849" s="34" t="s">
        <v>1701</v>
      </c>
      <c r="C1849" s="2"/>
      <c r="D1849" s="3" t="str">
        <f>$D$1</f>
        <v>ESPOL</v>
      </c>
      <c r="E1849" s="2"/>
      <c r="F1849" s="2"/>
      <c r="H1849" s="2" t="s">
        <v>108</v>
      </c>
      <c r="I1849" s="2"/>
      <c r="L1849" s="40">
        <f>A1853</f>
        <v>2</v>
      </c>
      <c r="M1849" s="1" t="str">
        <f>C1854</f>
        <v>Base para unidad más de 60,000 btuh</v>
      </c>
      <c r="N1849" s="2" t="str">
        <f>H1853</f>
        <v>unidad</v>
      </c>
      <c r="O1849" s="2">
        <f>H1904</f>
        <v>293.29000000000002</v>
      </c>
    </row>
    <row r="1850" spans="1:15" ht="15.75" x14ac:dyDescent="0.25">
      <c r="B1850" s="34" t="s">
        <v>1700</v>
      </c>
      <c r="C1850" s="3">
        <f>'1.1'!$C$2</f>
        <v>0</v>
      </c>
      <c r="D1850" s="2"/>
      <c r="E1850" s="2"/>
      <c r="F1850" s="2"/>
      <c r="G1850" s="41" t="s">
        <v>1699</v>
      </c>
      <c r="H1850" s="42"/>
      <c r="I1850" s="2" t="s">
        <v>1698</v>
      </c>
    </row>
    <row r="1851" spans="1:15" ht="15.75" x14ac:dyDescent="0.25">
      <c r="B1851" s="34"/>
      <c r="C1851" s="3">
        <f>'1.1'!$C$3</f>
        <v>0</v>
      </c>
      <c r="D1851" s="2"/>
      <c r="E1851" s="2"/>
      <c r="F1851" s="2"/>
      <c r="G1851" s="2"/>
      <c r="H1851" s="2"/>
      <c r="I1851" s="2"/>
    </row>
    <row r="1852" spans="1:15" ht="15.75" x14ac:dyDescent="0.25">
      <c r="B1852" s="34" t="s">
        <v>1697</v>
      </c>
      <c r="C1852" s="3"/>
      <c r="D1852" s="2"/>
      <c r="E1852" s="2"/>
      <c r="F1852" s="2"/>
      <c r="G1852" s="2"/>
      <c r="H1852" s="2"/>
      <c r="I1852" s="2"/>
    </row>
    <row r="1853" spans="1:15" x14ac:dyDescent="0.25">
      <c r="A1853" s="104">
        <v>2</v>
      </c>
      <c r="B1853" s="2" t="s">
        <v>1586</v>
      </c>
      <c r="C1853" s="101" t="s">
        <v>184</v>
      </c>
      <c r="D1853" s="2"/>
      <c r="G1853" s="2" t="s">
        <v>1696</v>
      </c>
      <c r="H1853" s="3" t="s">
        <v>126</v>
      </c>
      <c r="I1853" s="2"/>
    </row>
    <row r="1854" spans="1:15" x14ac:dyDescent="0.25">
      <c r="B1854" s="1" t="s">
        <v>1585</v>
      </c>
      <c r="C1854" s="36" t="s">
        <v>167</v>
      </c>
      <c r="D1854" s="2"/>
      <c r="E1854" s="2"/>
      <c r="F1854" s="2"/>
      <c r="G1854" s="2"/>
      <c r="H1854" s="2"/>
      <c r="I1854" s="2"/>
    </row>
    <row r="1855" spans="1:15" ht="15.75" thickBot="1" x14ac:dyDescent="0.3">
      <c r="D1855" s="2"/>
      <c r="E1855" s="2"/>
      <c r="F1855" s="2"/>
      <c r="G1855" s="2"/>
      <c r="H1855" s="2"/>
      <c r="I1855" s="2"/>
    </row>
    <row r="1856" spans="1:15" ht="15.75" thickBot="1" x14ac:dyDescent="0.3">
      <c r="B1856" s="43" t="s">
        <v>1695</v>
      </c>
      <c r="C1856" s="44"/>
      <c r="D1856" s="44"/>
      <c r="E1856" s="44"/>
      <c r="F1856" s="44"/>
      <c r="G1856" s="44"/>
      <c r="H1856" s="45"/>
      <c r="I1856" s="2"/>
    </row>
    <row r="1857" spans="1:11" ht="25.5" x14ac:dyDescent="0.25">
      <c r="B1857" s="46" t="s">
        <v>1409</v>
      </c>
      <c r="C1857" s="47"/>
      <c r="D1857" s="48" t="s">
        <v>1690</v>
      </c>
      <c r="E1857" s="48" t="s">
        <v>1694</v>
      </c>
      <c r="F1857" s="48" t="s">
        <v>1693</v>
      </c>
      <c r="G1857" s="49" t="s">
        <v>1687</v>
      </c>
      <c r="H1857" s="50" t="s">
        <v>1686</v>
      </c>
      <c r="I1857" s="2"/>
    </row>
    <row r="1858" spans="1:11" x14ac:dyDescent="0.25">
      <c r="A1858" s="103">
        <v>19015</v>
      </c>
      <c r="B1858" s="51" t="str">
        <f>IF($A1858=0,"",VLOOKUP($A1858,'BASE EQUIPO'!$A:$D,2))</f>
        <v>HERRAMIENTA MENOR</v>
      </c>
      <c r="C1858" s="52"/>
      <c r="D1858" s="53">
        <v>1</v>
      </c>
      <c r="E1858" s="53">
        <f>IF($A1858=0,"",VLOOKUP($A1858,'BASE EQUIPO'!$A:$D,4)*H1874)</f>
        <v>2.7113999999999998</v>
      </c>
      <c r="F1858" s="53">
        <f t="shared" ref="F1858:F1863" si="165">IF($A1858=0,"",ROUND(D1858*E1858,2))</f>
        <v>2.71</v>
      </c>
      <c r="G1858" s="105">
        <v>1</v>
      </c>
      <c r="H1858" s="54">
        <f t="shared" ref="H1858:H1863" si="166">IF($A1858=0,"",ROUND(G1858*F1858,2))</f>
        <v>2.71</v>
      </c>
      <c r="I1858" s="2"/>
    </row>
    <row r="1859" spans="1:11" x14ac:dyDescent="0.25">
      <c r="A1859" s="103">
        <v>19011</v>
      </c>
      <c r="B1859" s="38" t="str">
        <f>IF($A1859=0,"",VLOOKUP($A1859,'BASE EQUIPO'!$A:$D,2))</f>
        <v>SOLDADORA</v>
      </c>
      <c r="C1859" s="2"/>
      <c r="D1859" s="55">
        <v>1</v>
      </c>
      <c r="E1859" s="55">
        <f>IF($A1859=0,"",VLOOKUP($A1859,'BASE EQUIPO'!$A:$D,4))</f>
        <v>2.5</v>
      </c>
      <c r="F1859" s="55">
        <f t="shared" si="165"/>
        <v>2.5</v>
      </c>
      <c r="G1859" s="106">
        <f>ROUND(G1868*0.25,3)</f>
        <v>1.59</v>
      </c>
      <c r="H1859" s="56">
        <f t="shared" si="166"/>
        <v>3.98</v>
      </c>
      <c r="I1859" s="2"/>
    </row>
    <row r="1860" spans="1:11" x14ac:dyDescent="0.25">
      <c r="A1860" s="103">
        <v>19023</v>
      </c>
      <c r="B1860" s="38" t="str">
        <f>IF($A1860=0,"",VLOOKUP($A1860,'BASE EQUIPO'!$A:$D,2))</f>
        <v>COMPRESOR Y PISTOLA</v>
      </c>
      <c r="C1860" s="2"/>
      <c r="D1860" s="55">
        <v>1</v>
      </c>
      <c r="E1860" s="55">
        <f>IF($A1860=0,"",VLOOKUP($A1860,'BASE EQUIPO'!$A:$D,4))</f>
        <v>1.875</v>
      </c>
      <c r="F1860" s="55">
        <f t="shared" si="165"/>
        <v>1.88</v>
      </c>
      <c r="G1860" s="106">
        <f>+G1859</f>
        <v>1.59</v>
      </c>
      <c r="H1860" s="56">
        <f t="shared" si="166"/>
        <v>2.99</v>
      </c>
      <c r="I1860" s="2"/>
    </row>
    <row r="1861" spans="1:11" x14ac:dyDescent="0.25">
      <c r="B1861" s="38" t="str">
        <f>IF($A1861=0,"",VLOOKUP($A1861,'BASE EQUIPO'!$A:$D,2))</f>
        <v/>
      </c>
      <c r="C1861" s="2"/>
      <c r="D1861" s="55"/>
      <c r="E1861" s="55" t="str">
        <f>IF($A1861=0,"",VLOOKUP($A1861,'BASE EQUIPO'!$A:$D,4))</f>
        <v/>
      </c>
      <c r="F1861" s="55" t="str">
        <f t="shared" si="165"/>
        <v/>
      </c>
      <c r="G1861" s="106"/>
      <c r="H1861" s="56" t="str">
        <f t="shared" si="166"/>
        <v/>
      </c>
      <c r="I1861" s="2"/>
    </row>
    <row r="1862" spans="1:11" x14ac:dyDescent="0.25">
      <c r="B1862" s="38" t="str">
        <f>IF($A1862=0,"",VLOOKUP($A1862,'BASE EQUIPO'!$A:$D,2))</f>
        <v/>
      </c>
      <c r="C1862" s="2"/>
      <c r="D1862" s="55"/>
      <c r="E1862" s="55" t="str">
        <f>IF($A1862=0,"",VLOOKUP($A1862,'BASE EQUIPO'!$A:$D,4))</f>
        <v/>
      </c>
      <c r="F1862" s="55" t="str">
        <f t="shared" si="165"/>
        <v/>
      </c>
      <c r="G1862" s="106"/>
      <c r="H1862" s="56" t="str">
        <f t="shared" si="166"/>
        <v/>
      </c>
      <c r="I1862" s="2"/>
    </row>
    <row r="1863" spans="1:11" x14ac:dyDescent="0.25">
      <c r="B1863" s="57" t="str">
        <f>IF($A1863=0,"",VLOOKUP($A1863,'BASE EQUIPO'!$A:$D,2))</f>
        <v/>
      </c>
      <c r="C1863" s="58"/>
      <c r="D1863" s="59"/>
      <c r="E1863" s="59" t="str">
        <f>IF($A1863=0,"",VLOOKUP($A1863,'BASE EQUIPO'!$A:$D,4))</f>
        <v/>
      </c>
      <c r="F1863" s="59" t="str">
        <f t="shared" si="165"/>
        <v/>
      </c>
      <c r="G1863" s="107"/>
      <c r="H1863" s="60" t="str">
        <f t="shared" si="166"/>
        <v/>
      </c>
      <c r="I1863" s="2"/>
    </row>
    <row r="1864" spans="1:11" x14ac:dyDescent="0.25">
      <c r="B1864" s="57" t="s">
        <v>1692</v>
      </c>
      <c r="C1864" s="58"/>
      <c r="D1864" s="61"/>
      <c r="E1864" s="61"/>
      <c r="F1864" s="61"/>
      <c r="G1864" s="62"/>
      <c r="H1864" s="60">
        <f>ROUND(SUM(H1857:H1863),2)</f>
        <v>9.68</v>
      </c>
      <c r="I1864" s="2"/>
    </row>
    <row r="1865" spans="1:11" x14ac:dyDescent="0.25">
      <c r="B1865" s="38" t="s">
        <v>1503</v>
      </c>
      <c r="C1865" s="2"/>
      <c r="D1865" s="3"/>
      <c r="E1865" s="3"/>
      <c r="F1865" s="3"/>
      <c r="G1865" s="63"/>
      <c r="H1865" s="56"/>
      <c r="I1865" s="2"/>
    </row>
    <row r="1866" spans="1:11" ht="25.5" x14ac:dyDescent="0.25">
      <c r="B1866" s="64" t="s">
        <v>1691</v>
      </c>
      <c r="C1866" s="65"/>
      <c r="D1866" s="66" t="s">
        <v>1690</v>
      </c>
      <c r="E1866" s="66" t="s">
        <v>1689</v>
      </c>
      <c r="F1866" s="66" t="s">
        <v>1688</v>
      </c>
      <c r="G1866" s="67" t="s">
        <v>1687</v>
      </c>
      <c r="H1866" s="68" t="s">
        <v>1686</v>
      </c>
      <c r="I1866" s="2"/>
    </row>
    <row r="1867" spans="1:11" x14ac:dyDescent="0.25">
      <c r="B1867" s="69" t="str">
        <f>IF($A1867=0,"",VLOOKUP($A1867,'BASE M-OBRA'!$A:$D,2))</f>
        <v/>
      </c>
      <c r="C1867" s="2"/>
      <c r="D1867" s="108"/>
      <c r="E1867" s="70" t="str">
        <f>IF($A1867=0,"",VLOOKUP($A1867,'BASE M-OBRA'!$A:$D,4))</f>
        <v/>
      </c>
      <c r="F1867" s="55" t="str">
        <f t="shared" ref="F1867:F1873" si="167">IF($A1867=0,"",ROUND(D1867*E1867,2))</f>
        <v/>
      </c>
      <c r="G1867" s="106" t="str">
        <f>IF($A1867=0,"",ROUND(H1867/F1867,2))</f>
        <v/>
      </c>
      <c r="H1867" s="56" t="str">
        <f>IF($A1867=0,"",ROUND(SUM(H1868:H1873)*'BASE M-OBRA'!$D$23,2))</f>
        <v/>
      </c>
      <c r="I1867" s="2"/>
    </row>
    <row r="1868" spans="1:11" x14ac:dyDescent="0.25">
      <c r="A1868" s="103">
        <v>20006</v>
      </c>
      <c r="B1868" s="69" t="str">
        <f>IF($A1868=0,"",VLOOKUP($A1868,'BASE M-OBRA'!$A:$D,2))</f>
        <v>MAESTRO  SOLDADOR</v>
      </c>
      <c r="C1868" s="2"/>
      <c r="D1868" s="108">
        <v>1</v>
      </c>
      <c r="E1868" s="70">
        <f>IF($A1868=0,"",VLOOKUP($A1868,'BASE M-OBRA'!$A:$D,4))</f>
        <v>3.02</v>
      </c>
      <c r="F1868" s="55">
        <f t="shared" si="167"/>
        <v>3.02</v>
      </c>
      <c r="G1868" s="106">
        <f>0.06*F1878</f>
        <v>6.3599999999999994</v>
      </c>
      <c r="H1868" s="56">
        <f t="shared" ref="H1868:H1873" si="168">IF($A1868=0,"",ROUND(G1868*F1868,2))</f>
        <v>19.21</v>
      </c>
      <c r="I1868" s="2"/>
    </row>
    <row r="1869" spans="1:11" x14ac:dyDescent="0.25">
      <c r="A1869" s="103">
        <v>20011</v>
      </c>
      <c r="B1869" s="69" t="str">
        <f>IF($A1869=0,"",VLOOKUP($A1869,'BASE M-OBRA'!$A:$D,2))</f>
        <v>AYUDANTE ESPECIALISTA</v>
      </c>
      <c r="C1869" s="2"/>
      <c r="D1869" s="108">
        <v>2</v>
      </c>
      <c r="E1869" s="70">
        <f>IF($A1869=0,"",VLOOKUP($A1869,'BASE M-OBRA'!$A:$D,4))</f>
        <v>2.79</v>
      </c>
      <c r="F1869" s="55">
        <f t="shared" si="167"/>
        <v>5.58</v>
      </c>
      <c r="G1869" s="106">
        <f>+G1868</f>
        <v>6.3599999999999994</v>
      </c>
      <c r="H1869" s="56">
        <f t="shared" si="168"/>
        <v>35.49</v>
      </c>
      <c r="I1869" s="2"/>
    </row>
    <row r="1870" spans="1:11" x14ac:dyDescent="0.25">
      <c r="A1870" s="103">
        <v>20018</v>
      </c>
      <c r="B1870" s="71" t="str">
        <f>IF($A1870=0,"",VLOOKUP($A1870,'BASE M-OBRA'!$A:$D,2))</f>
        <v>PINTOR</v>
      </c>
      <c r="C1870" s="2"/>
      <c r="D1870" s="108">
        <v>1</v>
      </c>
      <c r="E1870" s="70">
        <f>IF($A1870=0,"",VLOOKUP($A1870,'BASE M-OBRA'!$A:$D,4))</f>
        <v>2.82</v>
      </c>
      <c r="F1870" s="55">
        <f t="shared" si="167"/>
        <v>2.82</v>
      </c>
      <c r="G1870" s="106">
        <f>+G1869</f>
        <v>6.3599999999999994</v>
      </c>
      <c r="H1870" s="56">
        <f t="shared" si="168"/>
        <v>17.940000000000001</v>
      </c>
      <c r="I1870" s="2"/>
      <c r="K1870" s="1">
        <f>3*2.9</f>
        <v>8.6999999999999993</v>
      </c>
    </row>
    <row r="1871" spans="1:11" x14ac:dyDescent="0.25">
      <c r="A1871" s="103">
        <v>20011</v>
      </c>
      <c r="B1871" s="72" t="str">
        <f>IF($A1871=0,"",VLOOKUP($A1871,'BASE M-OBRA'!$A:$D,2))</f>
        <v>AYUDANTE ESPECIALISTA</v>
      </c>
      <c r="C1871" s="2"/>
      <c r="D1871" s="108">
        <v>1</v>
      </c>
      <c r="E1871" s="70">
        <f>IF($A1871=0,"",VLOOKUP($A1871,'BASE M-OBRA'!$A:$D,4))</f>
        <v>2.79</v>
      </c>
      <c r="F1871" s="55">
        <f t="shared" si="167"/>
        <v>2.79</v>
      </c>
      <c r="G1871" s="106">
        <f>+G1870</f>
        <v>6.3599999999999994</v>
      </c>
      <c r="H1871" s="56">
        <f t="shared" si="168"/>
        <v>17.739999999999998</v>
      </c>
      <c r="I1871" s="2"/>
      <c r="K1871" s="1">
        <f>70*0.15</f>
        <v>10.5</v>
      </c>
    </row>
    <row r="1872" spans="1:11" x14ac:dyDescent="0.25">
      <c r="B1872" s="38" t="str">
        <f>IF($A1872=0,"",VLOOKUP($A1872,'BASE M-OBRA'!$A:$D,2))</f>
        <v/>
      </c>
      <c r="C1872" s="2"/>
      <c r="D1872" s="55"/>
      <c r="E1872" s="55" t="str">
        <f>IF($A1872=0,"",VLOOKUP($A1872,'BASE M-OBRA'!$A:$D,4))</f>
        <v/>
      </c>
      <c r="F1872" s="55" t="str">
        <f t="shared" si="167"/>
        <v/>
      </c>
      <c r="G1872" s="106"/>
      <c r="H1872" s="56" t="str">
        <f t="shared" si="168"/>
        <v/>
      </c>
      <c r="I1872" s="2"/>
    </row>
    <row r="1873" spans="1:16" x14ac:dyDescent="0.25">
      <c r="B1873" s="57" t="str">
        <f>IF($A1873=0,"",VLOOKUP($A1873,'BASE M-OBRA'!$A:$D,2))</f>
        <v/>
      </c>
      <c r="C1873" s="58"/>
      <c r="D1873" s="59"/>
      <c r="E1873" s="59" t="str">
        <f>IF($A1873=0,"",VLOOKUP($A1873,'BASE M-OBRA'!$A:$D,4))</f>
        <v/>
      </c>
      <c r="F1873" s="59" t="str">
        <f t="shared" si="167"/>
        <v/>
      </c>
      <c r="G1873" s="107"/>
      <c r="H1873" s="60" t="str">
        <f t="shared" si="168"/>
        <v/>
      </c>
      <c r="I1873" s="2"/>
    </row>
    <row r="1874" spans="1:16" x14ac:dyDescent="0.25">
      <c r="B1874" s="73" t="s">
        <v>1685</v>
      </c>
      <c r="C1874" s="65"/>
      <c r="D1874" s="74"/>
      <c r="E1874" s="74"/>
      <c r="F1874" s="74"/>
      <c r="G1874" s="74"/>
      <c r="H1874" s="75">
        <f>ROUND(SUM(H1866:H1873),2)</f>
        <v>90.38</v>
      </c>
      <c r="I1874" s="2"/>
    </row>
    <row r="1875" spans="1:16" x14ac:dyDescent="0.25">
      <c r="B1875" s="38" t="s">
        <v>1684</v>
      </c>
      <c r="C1875" s="2"/>
      <c r="D1875" s="3"/>
      <c r="E1875" s="3"/>
      <c r="F1875" s="3"/>
      <c r="G1875" s="3"/>
      <c r="H1875" s="56"/>
      <c r="I1875" s="2"/>
    </row>
    <row r="1876" spans="1:16" ht="25.5" x14ac:dyDescent="0.25">
      <c r="B1876" s="64" t="s">
        <v>1409</v>
      </c>
      <c r="C1876" s="65"/>
      <c r="D1876" s="76"/>
      <c r="E1876" s="66" t="s">
        <v>1408</v>
      </c>
      <c r="F1876" s="66" t="s">
        <v>1679</v>
      </c>
      <c r="G1876" s="66" t="s">
        <v>1683</v>
      </c>
      <c r="H1876" s="68" t="s">
        <v>1675</v>
      </c>
      <c r="I1876" s="2"/>
    </row>
    <row r="1877" spans="1:16" x14ac:dyDescent="0.25">
      <c r="A1877" s="103">
        <v>14002</v>
      </c>
      <c r="B1877" s="109" t="str">
        <f>IF($A1877=0,"",VLOOKUP($A1877,'BASE MATERIAL'!$A:$D,2))</f>
        <v>SOLDADURA aga 60/11</v>
      </c>
      <c r="C1877" s="2"/>
      <c r="D1877" s="77"/>
      <c r="E1877" s="78" t="str">
        <f>IF($A1877=0,"",VLOOKUP($A1877,'BASE MATERIAL'!$A:$D,3))</f>
        <v>KG</v>
      </c>
      <c r="F1877" s="80">
        <f>ROUND(0.044*F1878,4)</f>
        <v>4.6639999999999997</v>
      </c>
      <c r="G1877" s="55">
        <f>IF($A1877=0,"",VLOOKUP($A1877,'BASE MATERIAL'!$A:$D,4))</f>
        <v>3.65</v>
      </c>
      <c r="H1877" s="56">
        <f t="shared" ref="H1877:H1886" si="169">IF($A1877=0,"",ROUND(F1877*G1877,2))</f>
        <v>17.02</v>
      </c>
      <c r="I1877" s="2"/>
      <c r="L1877" s="2"/>
      <c r="M1877" s="2"/>
      <c r="N1877" s="39"/>
      <c r="O1877" s="2"/>
      <c r="P1877" s="2"/>
    </row>
    <row r="1878" spans="1:16" x14ac:dyDescent="0.25">
      <c r="A1878" s="103">
        <v>1004</v>
      </c>
      <c r="B1878" s="38" t="str">
        <f>IF($A1878=0,"",VLOOKUP($A1878,'BASE MATERIAL'!$A:$D,2))</f>
        <v>PERFILERIA METALICA</v>
      </c>
      <c r="C1878" s="2"/>
      <c r="D1878" s="77"/>
      <c r="E1878" s="78" t="str">
        <f>IF($A1878=0,"",VLOOKUP($A1878,'BASE MATERIAL'!$A:$D,3))</f>
        <v>KG</v>
      </c>
      <c r="F1878" s="80">
        <v>106</v>
      </c>
      <c r="G1878" s="55">
        <f>IF($A1878=0,"",VLOOKUP($A1878,'BASE MATERIAL'!$A:$D,4))</f>
        <v>1.27</v>
      </c>
      <c r="H1878" s="56">
        <f t="shared" si="169"/>
        <v>134.62</v>
      </c>
      <c r="I1878" s="2"/>
      <c r="L1878" s="2"/>
      <c r="M1878" s="2"/>
      <c r="N1878" s="39"/>
      <c r="O1878" s="2"/>
      <c r="P1878" s="2"/>
    </row>
    <row r="1879" spans="1:16" x14ac:dyDescent="0.25">
      <c r="A1879" s="103">
        <v>13001</v>
      </c>
      <c r="B1879" s="38" t="str">
        <f>IF($A1879=0,"",VLOOKUP($A1879,'BASE MATERIAL'!$A:$D,2))</f>
        <v>PINTURA PARA PROTECCION METALICA</v>
      </c>
      <c r="C1879" s="2"/>
      <c r="D1879" s="77"/>
      <c r="E1879" s="78" t="str">
        <f>IF($A1879=0,"",VLOOKUP($A1879,'BASE MATERIAL'!$A:$D,3))</f>
        <v>GL</v>
      </c>
      <c r="F1879" s="80">
        <f>ROUND(0.0056*F1878,4)</f>
        <v>0.59360000000000002</v>
      </c>
      <c r="G1879" s="55">
        <f>IF($A1879=0,"",VLOOKUP($A1879,'BASE MATERIAL'!$A:$D,4))</f>
        <v>37.72</v>
      </c>
      <c r="H1879" s="56">
        <f t="shared" si="169"/>
        <v>22.39</v>
      </c>
      <c r="I1879" s="2"/>
      <c r="L1879" s="2"/>
      <c r="M1879" s="2"/>
      <c r="N1879" s="39"/>
      <c r="O1879" s="2"/>
      <c r="P1879" s="2"/>
    </row>
    <row r="1880" spans="1:16" x14ac:dyDescent="0.25">
      <c r="A1880" s="103">
        <v>13002</v>
      </c>
      <c r="B1880" s="38" t="str">
        <f>IF($A1880=0,"",VLOOKUP($A1880,'BASE MATERIAL'!$A:$D,2))</f>
        <v>PINTURA PARA ACABADO METALICO</v>
      </c>
      <c r="C1880" s="2"/>
      <c r="D1880" s="77"/>
      <c r="E1880" s="78" t="str">
        <f>IF($A1880=0,"",VLOOKUP($A1880,'BASE MATERIAL'!$A:$D,3))</f>
        <v>GL</v>
      </c>
      <c r="F1880" s="80">
        <f>ROUND(0.0028*F1878,4)</f>
        <v>0.29680000000000001</v>
      </c>
      <c r="G1880" s="55">
        <f>IF($A1880=0,"",VLOOKUP($A1880,'BASE MATERIAL'!$A:$D,4))</f>
        <v>38.520000000000003</v>
      </c>
      <c r="H1880" s="56">
        <f t="shared" si="169"/>
        <v>11.43</v>
      </c>
      <c r="I1880" s="2"/>
      <c r="L1880" s="2"/>
      <c r="M1880" s="2"/>
      <c r="N1880" s="39"/>
      <c r="O1880" s="2"/>
      <c r="P1880" s="2"/>
    </row>
    <row r="1881" spans="1:16" x14ac:dyDescent="0.25">
      <c r="A1881" s="103">
        <v>13011</v>
      </c>
      <c r="B1881" s="38" t="str">
        <f>IF($A1881=0,"",VLOOKUP($A1881,'BASE MATERIAL'!$A:$D,2))</f>
        <v>DESOXIDANTE</v>
      </c>
      <c r="C1881" s="2"/>
      <c r="D1881" s="77"/>
      <c r="E1881" s="78" t="str">
        <f>IF($A1881=0,"",VLOOKUP($A1881,'BASE MATERIAL'!$A:$D,3))</f>
        <v>GL</v>
      </c>
      <c r="F1881" s="80">
        <f>ROUND(0.2*(F1879+F1880),4)</f>
        <v>0.17810000000000001</v>
      </c>
      <c r="G1881" s="55">
        <f>IF($A1881=0,"",VLOOKUP($A1881,'BASE MATERIAL'!$A:$D,4))</f>
        <v>12</v>
      </c>
      <c r="H1881" s="56">
        <f t="shared" si="169"/>
        <v>2.14</v>
      </c>
      <c r="I1881" s="2"/>
      <c r="L1881" s="2"/>
      <c r="M1881" s="2"/>
      <c r="N1881" s="39"/>
      <c r="O1881" s="2"/>
      <c r="P1881" s="2"/>
    </row>
    <row r="1882" spans="1:16" x14ac:dyDescent="0.25">
      <c r="B1882" s="38" t="str">
        <f>IF($A1882=0,"",VLOOKUP($A1882,'BASE MATERIAL'!$A:$D,2))</f>
        <v/>
      </c>
      <c r="C1882" s="2"/>
      <c r="D1882" s="77"/>
      <c r="E1882" s="78" t="str">
        <f>IF($A1882=0,"",VLOOKUP($A1882,'BASE MATERIAL'!$A:$D,3))</f>
        <v/>
      </c>
      <c r="F1882" s="55"/>
      <c r="G1882" s="55" t="str">
        <f>IF($A1882=0,"",VLOOKUP($A1882,'BASE MATERIAL'!$A:$D,4))</f>
        <v/>
      </c>
      <c r="H1882" s="56" t="str">
        <f t="shared" si="169"/>
        <v/>
      </c>
      <c r="I1882" s="2"/>
      <c r="L1882" s="2"/>
      <c r="M1882" s="2"/>
      <c r="N1882" s="39"/>
      <c r="O1882" s="2"/>
      <c r="P1882" s="2"/>
    </row>
    <row r="1883" spans="1:16" x14ac:dyDescent="0.25">
      <c r="B1883" s="38" t="str">
        <f>IF($A1883=0,"",VLOOKUP($A1883,'BASE MATERIAL'!$A:$D,2))</f>
        <v/>
      </c>
      <c r="C1883" s="2"/>
      <c r="D1883" s="77"/>
      <c r="E1883" s="78" t="str">
        <f>IF($A1883=0,"",VLOOKUP($A1883,'BASE MATERIAL'!$A:$D,3))</f>
        <v/>
      </c>
      <c r="F1883" s="55"/>
      <c r="G1883" s="55" t="str">
        <f>IF($A1883=0,"",VLOOKUP($A1883,'BASE MATERIAL'!$A:$D,4))</f>
        <v/>
      </c>
      <c r="H1883" s="56" t="str">
        <f t="shared" si="169"/>
        <v/>
      </c>
      <c r="I1883" s="2"/>
      <c r="L1883" s="2"/>
      <c r="M1883" s="2"/>
      <c r="N1883" s="39"/>
      <c r="O1883" s="2"/>
      <c r="P1883" s="2"/>
    </row>
    <row r="1884" spans="1:16" x14ac:dyDescent="0.25">
      <c r="B1884" s="38" t="str">
        <f>IF($A1884=0,"",VLOOKUP($A1884,'BASE MATERIAL'!$A:$D,2))</f>
        <v/>
      </c>
      <c r="C1884" s="2"/>
      <c r="D1884" s="77"/>
      <c r="E1884" s="78" t="str">
        <f>IF($A1884=0,"",VLOOKUP($A1884,'BASE MATERIAL'!$A:$D,3))</f>
        <v/>
      </c>
      <c r="F1884" s="55"/>
      <c r="G1884" s="55" t="str">
        <f>IF($A1884=0,"",VLOOKUP($A1884,'BASE MATERIAL'!$A:$D,4))</f>
        <v/>
      </c>
      <c r="H1884" s="56" t="str">
        <f t="shared" si="169"/>
        <v/>
      </c>
      <c r="I1884" s="2"/>
      <c r="L1884" s="2"/>
      <c r="M1884" s="2"/>
      <c r="N1884" s="39"/>
      <c r="O1884" s="2"/>
      <c r="P1884" s="2"/>
    </row>
    <row r="1885" spans="1:16" x14ac:dyDescent="0.25">
      <c r="B1885" s="38" t="str">
        <f>IF($A1885=0,"",VLOOKUP($A1885,'BASE MATERIAL'!$A:$D,2))</f>
        <v/>
      </c>
      <c r="C1885" s="2"/>
      <c r="D1885" s="77"/>
      <c r="E1885" s="78" t="str">
        <f>IF($A1885=0,"",VLOOKUP($A1885,'BASE MATERIAL'!$A:$D,3))</f>
        <v/>
      </c>
      <c r="F1885" s="55"/>
      <c r="G1885" s="55" t="str">
        <f>IF($A1885=0,"",VLOOKUP($A1885,'BASE MATERIAL'!$A:$D,4))</f>
        <v/>
      </c>
      <c r="H1885" s="56" t="str">
        <f t="shared" si="169"/>
        <v/>
      </c>
      <c r="I1885" s="2"/>
    </row>
    <row r="1886" spans="1:16" x14ac:dyDescent="0.25">
      <c r="B1886" s="38" t="str">
        <f>IF($A1886=0,"",VLOOKUP($A1886,'BASE MATERIAL'!$A:$D,2))</f>
        <v/>
      </c>
      <c r="C1886" s="2"/>
      <c r="D1886" s="77"/>
      <c r="E1886" s="78" t="str">
        <f>IF($A1886=0,"",VLOOKUP($A1886,'BASE MATERIAL'!$A:$D,3))</f>
        <v/>
      </c>
      <c r="F1886" s="55"/>
      <c r="G1886" s="55" t="str">
        <f>IF($A1886=0,"",VLOOKUP($A1886,'BASE MATERIAL'!$A:$D,4))</f>
        <v/>
      </c>
      <c r="H1886" s="56" t="str">
        <f t="shared" si="169"/>
        <v/>
      </c>
      <c r="I1886" s="2"/>
      <c r="L1886" s="2"/>
      <c r="M1886" s="2"/>
      <c r="N1886" s="39"/>
      <c r="O1886" s="2"/>
      <c r="P1886" s="2"/>
    </row>
    <row r="1887" spans="1:16" x14ac:dyDescent="0.25">
      <c r="B1887" s="38" t="str">
        <f>IF($A1887=0,"",VLOOKUP($A1887,'BASE MATERIAL'!$A:$D,2))</f>
        <v/>
      </c>
      <c r="C1887" s="2"/>
      <c r="D1887" s="77"/>
      <c r="E1887" s="78" t="str">
        <f>IF($A1887=0,"",VLOOKUP($A1887,'BASE MATERIAL'!$A:$D,3))</f>
        <v/>
      </c>
      <c r="F1887" s="55"/>
      <c r="G1887" s="55" t="str">
        <f>IF($A1887=0,"",VLOOKUP($A1887,'BASE MATERIAL'!$A:$D,4))</f>
        <v/>
      </c>
      <c r="H1887" s="56" t="str">
        <f>IF($A1887=0,"",ROUND(F1887*G1887,2))</f>
        <v/>
      </c>
      <c r="I1887" s="2"/>
      <c r="L1887" s="2"/>
      <c r="M1887" s="2"/>
      <c r="N1887" s="39"/>
      <c r="O1887" s="2"/>
      <c r="P1887" s="2"/>
    </row>
    <row r="1888" spans="1:16" x14ac:dyDescent="0.25">
      <c r="B1888" s="38" t="str">
        <f>IF($A1888=0,"",VLOOKUP($A1888,'BASE MATERIAL'!$A:$D,2))</f>
        <v/>
      </c>
      <c r="C1888" s="2"/>
      <c r="D1888" s="77"/>
      <c r="E1888" s="78" t="str">
        <f>IF($A1888=0,"",VLOOKUP($A1888,'BASE MATERIAL'!$A:$D,3))</f>
        <v/>
      </c>
      <c r="F1888" s="55"/>
      <c r="G1888" s="55" t="str">
        <f>IF($A1888=0,"",VLOOKUP($A1888,'BASE MATERIAL'!$A:$D,4))</f>
        <v/>
      </c>
      <c r="H1888" s="56" t="str">
        <f>IF($A1888=0,"",ROUND(F1888*G1888,2))</f>
        <v/>
      </c>
      <c r="I1888" s="2"/>
    </row>
    <row r="1889" spans="1:9" x14ac:dyDescent="0.25">
      <c r="B1889" s="38" t="str">
        <f>IF($A1889=0,"",VLOOKUP($A1889,'BASE MATERIAL'!$A:$D,2))</f>
        <v/>
      </c>
      <c r="C1889" s="2"/>
      <c r="D1889" s="77"/>
      <c r="E1889" s="78" t="str">
        <f>IF($A1889=0,"",VLOOKUP($A1889,'BASE MATERIAL'!$A:$D,3))</f>
        <v/>
      </c>
      <c r="F1889" s="55"/>
      <c r="G1889" s="55" t="str">
        <f>IF($A1889=0,"",VLOOKUP($A1889,'BASE MATERIAL'!$A:$D,4))</f>
        <v/>
      </c>
      <c r="H1889" s="56" t="str">
        <f>IF($A1889=0,"",ROUND(F1889*G1889,2))</f>
        <v/>
      </c>
      <c r="I1889" s="2"/>
    </row>
    <row r="1890" spans="1:9" x14ac:dyDescent="0.25">
      <c r="B1890" s="38" t="str">
        <f>IF($A1890=0,"",VLOOKUP($A1890,'BASE MATERIAL'!$A:$D,2))</f>
        <v/>
      </c>
      <c r="C1890" s="2"/>
      <c r="D1890" s="77"/>
      <c r="E1890" s="78" t="str">
        <f>IF($A1890=0,"",VLOOKUP($A1890,'BASE MATERIAL'!$A:$D,3))</f>
        <v/>
      </c>
      <c r="F1890" s="55"/>
      <c r="G1890" s="55" t="str">
        <f>IF($A1890=0,"",VLOOKUP($A1890,'BASE MATERIAL'!$A:$D,4))</f>
        <v/>
      </c>
      <c r="H1890" s="56" t="str">
        <f>IF($A1890=0,"",ROUND(F1890*G1890,2))</f>
        <v/>
      </c>
      <c r="I1890" s="2"/>
    </row>
    <row r="1891" spans="1:9" x14ac:dyDescent="0.25">
      <c r="B1891" s="38" t="str">
        <f>IF($A1891=0,"",VLOOKUP($A1891,'BASE MATERIAL'!$A:$D,2))</f>
        <v/>
      </c>
      <c r="C1891" s="2"/>
      <c r="D1891" s="77"/>
      <c r="E1891" s="78" t="str">
        <f>IF($A1891=0,"",VLOOKUP($A1891,'BASE MATERIAL'!$A:$D,3))</f>
        <v/>
      </c>
      <c r="F1891" s="55"/>
      <c r="G1891" s="55" t="str">
        <f>IF($A1891=0,"",VLOOKUP($A1891,'BASE MATERIAL'!$A:$D,4))</f>
        <v/>
      </c>
      <c r="H1891" s="56" t="str">
        <f>IF($A1891=0,"",ROUND(F1891*G1891,2))</f>
        <v/>
      </c>
      <c r="I1891" s="2"/>
    </row>
    <row r="1892" spans="1:9" x14ac:dyDescent="0.25">
      <c r="B1892" s="38" t="str">
        <f>IF($A1892=0,"",VLOOKUP($A1892,'BASE MATERIAL'!$A:$D,2))</f>
        <v/>
      </c>
      <c r="C1892" s="2"/>
      <c r="D1892" s="81" t="s">
        <v>1682</v>
      </c>
      <c r="E1892" s="55" t="str">
        <f>IF($A1892=0,"",VLOOKUP($A1892,'BASE MATERIAL'!$A:$D,3))</f>
        <v/>
      </c>
      <c r="F1892" s="55" t="s">
        <v>1682</v>
      </c>
      <c r="G1892" s="55" t="str">
        <f>IF($A1892=0,"",VLOOKUP($A1892,'BASE MATERIAL'!$A:$D,4))</f>
        <v/>
      </c>
      <c r="H1892" s="56" t="str">
        <f>IF($A1892=0,"",ROUND(E1892*F1892,2))</f>
        <v/>
      </c>
      <c r="I1892" s="2"/>
    </row>
    <row r="1893" spans="1:9" x14ac:dyDescent="0.25">
      <c r="B1893" s="73" t="s">
        <v>1681</v>
      </c>
      <c r="C1893" s="65"/>
      <c r="D1893" s="74"/>
      <c r="E1893" s="74"/>
      <c r="F1893" s="74"/>
      <c r="G1893" s="74"/>
      <c r="H1893" s="75">
        <f>ROUND(SUM(H1876:H1892),2)</f>
        <v>187.6</v>
      </c>
      <c r="I1893" s="2"/>
    </row>
    <row r="1894" spans="1:9" x14ac:dyDescent="0.25">
      <c r="B1894" s="38" t="s">
        <v>1680</v>
      </c>
      <c r="C1894" s="2"/>
      <c r="D1894" s="3"/>
      <c r="E1894" s="3"/>
      <c r="F1894" s="3"/>
      <c r="G1894" s="3"/>
      <c r="H1894" s="56"/>
      <c r="I1894" s="2"/>
    </row>
    <row r="1895" spans="1:9" ht="25.5" x14ac:dyDescent="0.25">
      <c r="B1895" s="64" t="s">
        <v>1409</v>
      </c>
      <c r="C1895" s="65"/>
      <c r="D1895" s="76"/>
      <c r="E1895" s="66" t="s">
        <v>1408</v>
      </c>
      <c r="F1895" s="66" t="s">
        <v>1679</v>
      </c>
      <c r="G1895" s="66" t="s">
        <v>1676</v>
      </c>
      <c r="H1895" s="68" t="s">
        <v>1675</v>
      </c>
      <c r="I1895" s="2"/>
    </row>
    <row r="1896" spans="1:9" x14ac:dyDescent="0.25">
      <c r="A1896" s="103">
        <v>19019</v>
      </c>
      <c r="B1896" s="51" t="str">
        <f>IF($A1896=0,"",VLOOKUP($A1896,'BASE EQUIPO'!$A:$D,2))</f>
        <v>TRANSPORTE DE MATERIAL</v>
      </c>
      <c r="C1896" s="52"/>
      <c r="D1896" s="82"/>
      <c r="E1896" s="78" t="str">
        <f>IF($A1896=0,"",VLOOKUP($A1896,'BASE EQUIPO'!$A:$D,3))</f>
        <v>GLOBAL</v>
      </c>
      <c r="F1896" s="55">
        <v>1</v>
      </c>
      <c r="G1896" s="83">
        <f>IF($A1896=0,"",VLOOKUP($A1896,'BASE EQUIPO'!$A:$D,4)*H1893)</f>
        <v>5.6279999999999992</v>
      </c>
      <c r="H1896" s="56">
        <f>IF($A1896=0,"",ROUND(F1896*G1896,2))</f>
        <v>5.63</v>
      </c>
      <c r="I1896" s="2"/>
    </row>
    <row r="1897" spans="1:9" x14ac:dyDescent="0.25">
      <c r="B1897" s="38" t="str">
        <f>IF($A1897=0,"",VLOOKUP($A1897,'BASE EQUIPO'!$A:$D,2))</f>
        <v/>
      </c>
      <c r="C1897" s="2"/>
      <c r="D1897" s="84"/>
      <c r="E1897" s="78" t="str">
        <f>IF($A1897=0,"",VLOOKUP($A1897,'BASE EQUIPO'!$A:$D,3))</f>
        <v/>
      </c>
      <c r="F1897" s="55"/>
      <c r="G1897" s="55" t="str">
        <f>IF($A1897=0,"",VLOOKUP($A1897,'BASE EQUIPO'!$A:$D,4)*H1894)</f>
        <v/>
      </c>
      <c r="H1897" s="56" t="str">
        <f>IF($A1897=0,"",ROUND(F1897*G1897,2))</f>
        <v/>
      </c>
      <c r="I1897" s="2"/>
    </row>
    <row r="1898" spans="1:9" x14ac:dyDescent="0.25">
      <c r="B1898" s="57" t="str">
        <f>IF($A1898=0,"",VLOOKUP($A1898,'BASE EQUIPO'!$A:$D,2))</f>
        <v/>
      </c>
      <c r="C1898" s="58"/>
      <c r="D1898" s="85"/>
      <c r="E1898" s="86" t="str">
        <f>IF($A1898=0,"",VLOOKUP($A1898,'BASE EQUIPO'!$A:$D,3))</f>
        <v/>
      </c>
      <c r="F1898" s="59"/>
      <c r="G1898" s="59" t="str">
        <f>IF($A1898=0,"",VLOOKUP($A1898,'BASE EQUIPO'!$A:$D,4)*H1895)</f>
        <v/>
      </c>
      <c r="H1898" s="60" t="str">
        <f>IF($A1898=0,"",ROUND(F1898*G1898,2))</f>
        <v/>
      </c>
      <c r="I1898" s="2"/>
    </row>
    <row r="1899" spans="1:9" ht="15.75" thickBot="1" x14ac:dyDescent="0.3">
      <c r="B1899" s="87" t="s">
        <v>1674</v>
      </c>
      <c r="C1899" s="88"/>
      <c r="D1899" s="89"/>
      <c r="E1899" s="89"/>
      <c r="F1899" s="89"/>
      <c r="G1899" s="89"/>
      <c r="H1899" s="90">
        <f>ROUND(SUM(H1895:H1898),2)</f>
        <v>5.63</v>
      </c>
      <c r="I1899" s="2"/>
    </row>
    <row r="1900" spans="1:9" ht="15.75" x14ac:dyDescent="0.25">
      <c r="B1900" s="2"/>
      <c r="C1900" s="2"/>
      <c r="D1900" s="91" t="s">
        <v>1673</v>
      </c>
      <c r="E1900" s="47"/>
      <c r="F1900" s="47"/>
      <c r="G1900" s="47"/>
      <c r="H1900" s="92">
        <f>ROUND(SUM(H1899,H1893,H1874,H1864),2)</f>
        <v>293.29000000000002</v>
      </c>
      <c r="I1900" s="2"/>
    </row>
    <row r="1901" spans="1:9" ht="15.75" x14ac:dyDescent="0.25">
      <c r="A1901" s="103">
        <v>40002</v>
      </c>
      <c r="B1901" s="2"/>
      <c r="C1901" s="2"/>
      <c r="D1901" s="93" t="s">
        <v>1672</v>
      </c>
      <c r="E1901" s="65"/>
      <c r="F1901" s="65"/>
      <c r="G1901" s="94">
        <f>IF($A1901=0,"",VLOOKUP($A1901,'BASE MATERIAL'!$M:$P,4))</f>
        <v>0</v>
      </c>
      <c r="H1901" s="95">
        <f>IF($A1901=0,"",ROUND(G1901*H1900,2))</f>
        <v>0</v>
      </c>
      <c r="I1901" s="2"/>
    </row>
    <row r="1902" spans="1:9" ht="15.75" x14ac:dyDescent="0.25">
      <c r="A1902" s="103">
        <v>40003</v>
      </c>
      <c r="B1902" s="2"/>
      <c r="C1902" s="2"/>
      <c r="D1902" s="93" t="s">
        <v>1671</v>
      </c>
      <c r="E1902" s="65"/>
      <c r="F1902" s="65"/>
      <c r="G1902" s="94">
        <f>IF($A1902=0,"",VLOOKUP($A1902,'BASE MATERIAL'!$M:$P,4))</f>
        <v>0</v>
      </c>
      <c r="H1902" s="95">
        <f>IF($A1902=0,"",ROUND(G1902*H1900,2))</f>
        <v>0</v>
      </c>
      <c r="I1902" s="2"/>
    </row>
    <row r="1903" spans="1:9" ht="15.75" x14ac:dyDescent="0.25">
      <c r="B1903" s="2"/>
      <c r="C1903" s="2"/>
      <c r="D1903" s="93" t="s">
        <v>1670</v>
      </c>
      <c r="E1903" s="65"/>
      <c r="F1903" s="65"/>
      <c r="G1903" s="65"/>
      <c r="H1903" s="96">
        <f>ROUND(SUM(H1900:H1902),2)</f>
        <v>293.29000000000002</v>
      </c>
      <c r="I1903" s="2"/>
    </row>
    <row r="1904" spans="1:9" ht="16.5" thickBot="1" x14ac:dyDescent="0.3">
      <c r="B1904" s="25"/>
      <c r="C1904" s="2"/>
      <c r="D1904" s="97" t="s">
        <v>1650</v>
      </c>
      <c r="E1904" s="88"/>
      <c r="F1904" s="88"/>
      <c r="G1904" s="88"/>
      <c r="H1904" s="98">
        <f>ROUND(H1903,2)</f>
        <v>293.29000000000002</v>
      </c>
      <c r="I1904" s="2"/>
    </row>
    <row r="1905" spans="1:15" ht="15.75" x14ac:dyDescent="0.25">
      <c r="B1905" s="34" t="s">
        <v>1701</v>
      </c>
      <c r="C1905" s="2"/>
      <c r="D1905" s="3" t="str">
        <f>$D$1</f>
        <v>ESPOL</v>
      </c>
      <c r="E1905" s="2"/>
      <c r="F1905" s="2"/>
      <c r="H1905" s="2" t="s">
        <v>108</v>
      </c>
      <c r="I1905" s="2"/>
      <c r="L1905" s="40">
        <f>A1909</f>
        <v>2</v>
      </c>
      <c r="M1905" s="1" t="str">
        <f>C1910</f>
        <v>Base metálica para unidad extractor</v>
      </c>
      <c r="N1905" s="2" t="str">
        <f>H1909</f>
        <v>metros</v>
      </c>
      <c r="O1905" s="2">
        <f>H1960</f>
        <v>146.63999999999999</v>
      </c>
    </row>
    <row r="1906" spans="1:15" ht="15.75" x14ac:dyDescent="0.25">
      <c r="B1906" s="34" t="s">
        <v>1700</v>
      </c>
      <c r="C1906" s="3">
        <f>'1.1'!$C$2</f>
        <v>0</v>
      </c>
      <c r="D1906" s="2"/>
      <c r="E1906" s="2"/>
      <c r="F1906" s="2"/>
      <c r="G1906" s="41" t="s">
        <v>1699</v>
      </c>
      <c r="H1906" s="42"/>
      <c r="I1906" s="2" t="s">
        <v>1698</v>
      </c>
    </row>
    <row r="1907" spans="1:15" ht="15.75" x14ac:dyDescent="0.25">
      <c r="B1907" s="34"/>
      <c r="C1907" s="3">
        <f>'1.1'!$C$3</f>
        <v>0</v>
      </c>
      <c r="D1907" s="2"/>
      <c r="E1907" s="2"/>
      <c r="F1907" s="2"/>
      <c r="G1907" s="2"/>
      <c r="H1907" s="2"/>
      <c r="I1907" s="2"/>
    </row>
    <row r="1908" spans="1:15" ht="15.75" x14ac:dyDescent="0.25">
      <c r="B1908" s="34" t="s">
        <v>1697</v>
      </c>
      <c r="C1908" s="3"/>
      <c r="D1908" s="2"/>
      <c r="E1908" s="2"/>
      <c r="F1908" s="2"/>
      <c r="G1908" s="2"/>
      <c r="H1908" s="2"/>
      <c r="I1908" s="2"/>
    </row>
    <row r="1909" spans="1:15" x14ac:dyDescent="0.25">
      <c r="A1909" s="104">
        <v>2</v>
      </c>
      <c r="B1909" s="2" t="s">
        <v>1586</v>
      </c>
      <c r="C1909" s="101" t="s">
        <v>185</v>
      </c>
      <c r="D1909" s="2"/>
      <c r="G1909" s="2" t="s">
        <v>1696</v>
      </c>
      <c r="H1909" s="3" t="s">
        <v>145</v>
      </c>
      <c r="I1909" s="2"/>
    </row>
    <row r="1910" spans="1:15" x14ac:dyDescent="0.25">
      <c r="B1910" s="1" t="s">
        <v>1585</v>
      </c>
      <c r="C1910" s="36" t="s">
        <v>168</v>
      </c>
      <c r="D1910" s="2"/>
      <c r="E1910" s="2"/>
      <c r="F1910" s="2"/>
      <c r="G1910" s="2"/>
      <c r="H1910" s="2"/>
      <c r="I1910" s="2"/>
    </row>
    <row r="1911" spans="1:15" ht="15.75" thickBot="1" x14ac:dyDescent="0.3">
      <c r="D1911" s="2"/>
      <c r="E1911" s="2"/>
      <c r="F1911" s="2"/>
      <c r="G1911" s="2"/>
      <c r="H1911" s="2"/>
      <c r="I1911" s="2"/>
    </row>
    <row r="1912" spans="1:15" ht="15.75" thickBot="1" x14ac:dyDescent="0.3">
      <c r="B1912" s="43" t="s">
        <v>1695</v>
      </c>
      <c r="C1912" s="44"/>
      <c r="D1912" s="44"/>
      <c r="E1912" s="44"/>
      <c r="F1912" s="44"/>
      <c r="G1912" s="44"/>
      <c r="H1912" s="45"/>
      <c r="I1912" s="2"/>
    </row>
    <row r="1913" spans="1:15" ht="25.5" x14ac:dyDescent="0.25">
      <c r="B1913" s="46" t="s">
        <v>1409</v>
      </c>
      <c r="C1913" s="47"/>
      <c r="D1913" s="48" t="s">
        <v>1690</v>
      </c>
      <c r="E1913" s="48" t="s">
        <v>1694</v>
      </c>
      <c r="F1913" s="48" t="s">
        <v>1693</v>
      </c>
      <c r="G1913" s="49" t="s">
        <v>1687</v>
      </c>
      <c r="H1913" s="50" t="s">
        <v>1686</v>
      </c>
      <c r="I1913" s="2"/>
    </row>
    <row r="1914" spans="1:15" x14ac:dyDescent="0.25">
      <c r="A1914" s="103">
        <v>19015</v>
      </c>
      <c r="B1914" s="51" t="str">
        <f>IF($A1914=0,"",VLOOKUP($A1914,'BASE EQUIPO'!$A:$D,2))</f>
        <v>HERRAMIENTA MENOR</v>
      </c>
      <c r="C1914" s="52"/>
      <c r="D1914" s="53">
        <v>1</v>
      </c>
      <c r="E1914" s="53">
        <f>IF($A1914=0,"",VLOOKUP($A1914,'BASE EQUIPO'!$A:$D,4)*H1930)</f>
        <v>1.3553999999999999</v>
      </c>
      <c r="F1914" s="53">
        <f t="shared" ref="F1914:F1919" si="170">IF($A1914=0,"",ROUND(D1914*E1914,2))</f>
        <v>1.36</v>
      </c>
      <c r="G1914" s="105">
        <v>1</v>
      </c>
      <c r="H1914" s="54">
        <f t="shared" ref="H1914:H1919" si="171">IF($A1914=0,"",ROUND(G1914*F1914,2))</f>
        <v>1.36</v>
      </c>
      <c r="I1914" s="2"/>
    </row>
    <row r="1915" spans="1:15" x14ac:dyDescent="0.25">
      <c r="A1915" s="103">
        <v>19011</v>
      </c>
      <c r="B1915" s="38" t="str">
        <f>IF($A1915=0,"",VLOOKUP($A1915,'BASE EQUIPO'!$A:$D,2))</f>
        <v>SOLDADORA</v>
      </c>
      <c r="C1915" s="2"/>
      <c r="D1915" s="55">
        <v>1</v>
      </c>
      <c r="E1915" s="55">
        <f>IF($A1915=0,"",VLOOKUP($A1915,'BASE EQUIPO'!$A:$D,4))</f>
        <v>2.5</v>
      </c>
      <c r="F1915" s="55">
        <f t="shared" si="170"/>
        <v>2.5</v>
      </c>
      <c r="G1915" s="106">
        <f>ROUND(G1924*0.25,3)</f>
        <v>0.79500000000000004</v>
      </c>
      <c r="H1915" s="56">
        <f t="shared" si="171"/>
        <v>1.99</v>
      </c>
      <c r="I1915" s="2"/>
    </row>
    <row r="1916" spans="1:15" x14ac:dyDescent="0.25">
      <c r="A1916" s="103">
        <v>19023</v>
      </c>
      <c r="B1916" s="38" t="str">
        <f>IF($A1916=0,"",VLOOKUP($A1916,'BASE EQUIPO'!$A:$D,2))</f>
        <v>COMPRESOR Y PISTOLA</v>
      </c>
      <c r="C1916" s="2"/>
      <c r="D1916" s="55">
        <v>1</v>
      </c>
      <c r="E1916" s="55">
        <f>IF($A1916=0,"",VLOOKUP($A1916,'BASE EQUIPO'!$A:$D,4))</f>
        <v>1.875</v>
      </c>
      <c r="F1916" s="55">
        <f t="shared" si="170"/>
        <v>1.88</v>
      </c>
      <c r="G1916" s="106">
        <f>+G1915</f>
        <v>0.79500000000000004</v>
      </c>
      <c r="H1916" s="56">
        <f t="shared" si="171"/>
        <v>1.49</v>
      </c>
      <c r="I1916" s="2"/>
    </row>
    <row r="1917" spans="1:15" x14ac:dyDescent="0.25">
      <c r="B1917" s="38" t="str">
        <f>IF($A1917=0,"",VLOOKUP($A1917,'BASE EQUIPO'!$A:$D,2))</f>
        <v/>
      </c>
      <c r="C1917" s="2"/>
      <c r="D1917" s="55"/>
      <c r="E1917" s="55" t="str">
        <f>IF($A1917=0,"",VLOOKUP($A1917,'BASE EQUIPO'!$A:$D,4))</f>
        <v/>
      </c>
      <c r="F1917" s="55" t="str">
        <f t="shared" si="170"/>
        <v/>
      </c>
      <c r="G1917" s="106"/>
      <c r="H1917" s="56" t="str">
        <f t="shared" si="171"/>
        <v/>
      </c>
      <c r="I1917" s="2"/>
    </row>
    <row r="1918" spans="1:15" x14ac:dyDescent="0.25">
      <c r="B1918" s="38" t="str">
        <f>IF($A1918=0,"",VLOOKUP($A1918,'BASE EQUIPO'!$A:$D,2))</f>
        <v/>
      </c>
      <c r="C1918" s="2"/>
      <c r="D1918" s="55"/>
      <c r="E1918" s="55" t="str">
        <f>IF($A1918=0,"",VLOOKUP($A1918,'BASE EQUIPO'!$A:$D,4))</f>
        <v/>
      </c>
      <c r="F1918" s="55" t="str">
        <f t="shared" si="170"/>
        <v/>
      </c>
      <c r="G1918" s="106"/>
      <c r="H1918" s="56" t="str">
        <f t="shared" si="171"/>
        <v/>
      </c>
      <c r="I1918" s="2"/>
    </row>
    <row r="1919" spans="1:15" x14ac:dyDescent="0.25">
      <c r="B1919" s="57" t="str">
        <f>IF($A1919=0,"",VLOOKUP($A1919,'BASE EQUIPO'!$A:$D,2))</f>
        <v/>
      </c>
      <c r="C1919" s="58"/>
      <c r="D1919" s="59"/>
      <c r="E1919" s="59" t="str">
        <f>IF($A1919=0,"",VLOOKUP($A1919,'BASE EQUIPO'!$A:$D,4))</f>
        <v/>
      </c>
      <c r="F1919" s="59" t="str">
        <f t="shared" si="170"/>
        <v/>
      </c>
      <c r="G1919" s="107"/>
      <c r="H1919" s="60" t="str">
        <f t="shared" si="171"/>
        <v/>
      </c>
      <c r="I1919" s="2"/>
    </row>
    <row r="1920" spans="1:15" x14ac:dyDescent="0.25">
      <c r="B1920" s="57" t="s">
        <v>1692</v>
      </c>
      <c r="C1920" s="58"/>
      <c r="D1920" s="61"/>
      <c r="E1920" s="61"/>
      <c r="F1920" s="61"/>
      <c r="G1920" s="62"/>
      <c r="H1920" s="60">
        <f>ROUND(SUM(H1913:H1919),2)</f>
        <v>4.84</v>
      </c>
      <c r="I1920" s="2"/>
    </row>
    <row r="1921" spans="1:16" x14ac:dyDescent="0.25">
      <c r="B1921" s="38" t="s">
        <v>1503</v>
      </c>
      <c r="C1921" s="2"/>
      <c r="D1921" s="3"/>
      <c r="E1921" s="3"/>
      <c r="F1921" s="3"/>
      <c r="G1921" s="63"/>
      <c r="H1921" s="56"/>
      <c r="I1921" s="2"/>
    </row>
    <row r="1922" spans="1:16" ht="25.5" x14ac:dyDescent="0.25">
      <c r="B1922" s="64" t="s">
        <v>1691</v>
      </c>
      <c r="C1922" s="65"/>
      <c r="D1922" s="66" t="s">
        <v>1690</v>
      </c>
      <c r="E1922" s="66" t="s">
        <v>1689</v>
      </c>
      <c r="F1922" s="66" t="s">
        <v>1688</v>
      </c>
      <c r="G1922" s="67" t="s">
        <v>1687</v>
      </c>
      <c r="H1922" s="68" t="s">
        <v>1686</v>
      </c>
      <c r="I1922" s="2"/>
    </row>
    <row r="1923" spans="1:16" x14ac:dyDescent="0.25">
      <c r="B1923" s="69" t="str">
        <f>IF($A1923=0,"",VLOOKUP($A1923,'BASE M-OBRA'!$A:$D,2))</f>
        <v/>
      </c>
      <c r="C1923" s="2"/>
      <c r="D1923" s="108"/>
      <c r="E1923" s="70" t="str">
        <f>IF($A1923=0,"",VLOOKUP($A1923,'BASE M-OBRA'!$A:$D,4))</f>
        <v/>
      </c>
      <c r="F1923" s="55" t="str">
        <f t="shared" ref="F1923:F1929" si="172">IF($A1923=0,"",ROUND(D1923*E1923,2))</f>
        <v/>
      </c>
      <c r="G1923" s="106" t="str">
        <f>IF($A1923=0,"",ROUND(H1923/F1923,2))</f>
        <v/>
      </c>
      <c r="H1923" s="56" t="str">
        <f>IF($A1923=0,"",ROUND(SUM(H1924:H1929)*'BASE M-OBRA'!$D$23,2))</f>
        <v/>
      </c>
      <c r="I1923" s="2"/>
    </row>
    <row r="1924" spans="1:16" x14ac:dyDescent="0.25">
      <c r="A1924" s="103">
        <v>20006</v>
      </c>
      <c r="B1924" s="69" t="str">
        <f>IF($A1924=0,"",VLOOKUP($A1924,'BASE M-OBRA'!$A:$D,2))</f>
        <v>MAESTRO  SOLDADOR</v>
      </c>
      <c r="C1924" s="2"/>
      <c r="D1924" s="108">
        <v>1</v>
      </c>
      <c r="E1924" s="70">
        <f>IF($A1924=0,"",VLOOKUP($A1924,'BASE M-OBRA'!$A:$D,4))</f>
        <v>3.02</v>
      </c>
      <c r="F1924" s="55">
        <f t="shared" si="172"/>
        <v>3.02</v>
      </c>
      <c r="G1924" s="106">
        <f>0.06*F1934</f>
        <v>3.1799999999999997</v>
      </c>
      <c r="H1924" s="56">
        <f t="shared" ref="H1924:H1929" si="173">IF($A1924=0,"",ROUND(G1924*F1924,2))</f>
        <v>9.6</v>
      </c>
      <c r="I1924" s="2"/>
    </row>
    <row r="1925" spans="1:16" x14ac:dyDescent="0.25">
      <c r="A1925" s="103">
        <v>20011</v>
      </c>
      <c r="B1925" s="69" t="str">
        <f>IF($A1925=0,"",VLOOKUP($A1925,'BASE M-OBRA'!$A:$D,2))</f>
        <v>AYUDANTE ESPECIALISTA</v>
      </c>
      <c r="C1925" s="2"/>
      <c r="D1925" s="108">
        <v>2</v>
      </c>
      <c r="E1925" s="70">
        <f>IF($A1925=0,"",VLOOKUP($A1925,'BASE M-OBRA'!$A:$D,4))</f>
        <v>2.79</v>
      </c>
      <c r="F1925" s="55">
        <f t="shared" si="172"/>
        <v>5.58</v>
      </c>
      <c r="G1925" s="106">
        <f>+G1924</f>
        <v>3.1799999999999997</v>
      </c>
      <c r="H1925" s="56">
        <f t="shared" si="173"/>
        <v>17.739999999999998</v>
      </c>
      <c r="I1925" s="2"/>
    </row>
    <row r="1926" spans="1:16" x14ac:dyDescent="0.25">
      <c r="A1926" s="103">
        <v>20018</v>
      </c>
      <c r="B1926" s="71" t="str">
        <f>IF($A1926=0,"",VLOOKUP($A1926,'BASE M-OBRA'!$A:$D,2))</f>
        <v>PINTOR</v>
      </c>
      <c r="C1926" s="2"/>
      <c r="D1926" s="108">
        <v>1</v>
      </c>
      <c r="E1926" s="70">
        <f>IF($A1926=0,"",VLOOKUP($A1926,'BASE M-OBRA'!$A:$D,4))</f>
        <v>2.82</v>
      </c>
      <c r="F1926" s="55">
        <f t="shared" si="172"/>
        <v>2.82</v>
      </c>
      <c r="G1926" s="106">
        <f>+G1925</f>
        <v>3.1799999999999997</v>
      </c>
      <c r="H1926" s="56">
        <f t="shared" si="173"/>
        <v>8.9700000000000006</v>
      </c>
      <c r="I1926" s="2"/>
      <c r="K1926" s="1">
        <f>3*2.9</f>
        <v>8.6999999999999993</v>
      </c>
    </row>
    <row r="1927" spans="1:16" x14ac:dyDescent="0.25">
      <c r="A1927" s="103">
        <v>20011</v>
      </c>
      <c r="B1927" s="72" t="str">
        <f>IF($A1927=0,"",VLOOKUP($A1927,'BASE M-OBRA'!$A:$D,2))</f>
        <v>AYUDANTE ESPECIALISTA</v>
      </c>
      <c r="C1927" s="2"/>
      <c r="D1927" s="108">
        <v>1</v>
      </c>
      <c r="E1927" s="70">
        <f>IF($A1927=0,"",VLOOKUP($A1927,'BASE M-OBRA'!$A:$D,4))</f>
        <v>2.79</v>
      </c>
      <c r="F1927" s="55">
        <f t="shared" si="172"/>
        <v>2.79</v>
      </c>
      <c r="G1927" s="106">
        <f>+G1926</f>
        <v>3.1799999999999997</v>
      </c>
      <c r="H1927" s="56">
        <f t="shared" si="173"/>
        <v>8.8699999999999992</v>
      </c>
      <c r="I1927" s="2"/>
      <c r="K1927" s="1">
        <f>70*0.15</f>
        <v>10.5</v>
      </c>
    </row>
    <row r="1928" spans="1:16" x14ac:dyDescent="0.25">
      <c r="B1928" s="38" t="str">
        <f>IF($A1928=0,"",VLOOKUP($A1928,'BASE M-OBRA'!$A:$D,2))</f>
        <v/>
      </c>
      <c r="C1928" s="2"/>
      <c r="D1928" s="55"/>
      <c r="E1928" s="55" t="str">
        <f>IF($A1928=0,"",VLOOKUP($A1928,'BASE M-OBRA'!$A:$D,4))</f>
        <v/>
      </c>
      <c r="F1928" s="55" t="str">
        <f t="shared" si="172"/>
        <v/>
      </c>
      <c r="G1928" s="106"/>
      <c r="H1928" s="56" t="str">
        <f t="shared" si="173"/>
        <v/>
      </c>
      <c r="I1928" s="2"/>
    </row>
    <row r="1929" spans="1:16" x14ac:dyDescent="0.25">
      <c r="B1929" s="57" t="str">
        <f>IF($A1929=0,"",VLOOKUP($A1929,'BASE M-OBRA'!$A:$D,2))</f>
        <v/>
      </c>
      <c r="C1929" s="58"/>
      <c r="D1929" s="59"/>
      <c r="E1929" s="59" t="str">
        <f>IF($A1929=0,"",VLOOKUP($A1929,'BASE M-OBRA'!$A:$D,4))</f>
        <v/>
      </c>
      <c r="F1929" s="59" t="str">
        <f t="shared" si="172"/>
        <v/>
      </c>
      <c r="G1929" s="107"/>
      <c r="H1929" s="60" t="str">
        <f t="shared" si="173"/>
        <v/>
      </c>
      <c r="I1929" s="2"/>
    </row>
    <row r="1930" spans="1:16" x14ac:dyDescent="0.25">
      <c r="B1930" s="73" t="s">
        <v>1685</v>
      </c>
      <c r="C1930" s="65"/>
      <c r="D1930" s="74"/>
      <c r="E1930" s="74"/>
      <c r="F1930" s="74"/>
      <c r="G1930" s="74"/>
      <c r="H1930" s="75">
        <f>ROUND(SUM(H1922:H1929),2)</f>
        <v>45.18</v>
      </c>
      <c r="I1930" s="2"/>
    </row>
    <row r="1931" spans="1:16" x14ac:dyDescent="0.25">
      <c r="B1931" s="38" t="s">
        <v>1684</v>
      </c>
      <c r="C1931" s="2"/>
      <c r="D1931" s="3"/>
      <c r="E1931" s="3"/>
      <c r="F1931" s="3"/>
      <c r="G1931" s="3"/>
      <c r="H1931" s="56"/>
      <c r="I1931" s="2"/>
    </row>
    <row r="1932" spans="1:16" ht="25.5" x14ac:dyDescent="0.25">
      <c r="B1932" s="64" t="s">
        <v>1409</v>
      </c>
      <c r="C1932" s="65"/>
      <c r="D1932" s="76"/>
      <c r="E1932" s="66" t="s">
        <v>1408</v>
      </c>
      <c r="F1932" s="66" t="s">
        <v>1679</v>
      </c>
      <c r="G1932" s="66" t="s">
        <v>1683</v>
      </c>
      <c r="H1932" s="68" t="s">
        <v>1675</v>
      </c>
      <c r="I1932" s="2"/>
    </row>
    <row r="1933" spans="1:16" x14ac:dyDescent="0.25">
      <c r="A1933" s="103">
        <v>14002</v>
      </c>
      <c r="B1933" s="109" t="str">
        <f>IF($A1933=0,"",VLOOKUP($A1933,'BASE MATERIAL'!$A:$D,2))</f>
        <v>SOLDADURA aga 60/11</v>
      </c>
      <c r="C1933" s="2"/>
      <c r="D1933" s="77"/>
      <c r="E1933" s="78" t="str">
        <f>IF($A1933=0,"",VLOOKUP($A1933,'BASE MATERIAL'!$A:$D,3))</f>
        <v>KG</v>
      </c>
      <c r="F1933" s="80">
        <f>ROUND(0.044*F1934,4)</f>
        <v>2.3319999999999999</v>
      </c>
      <c r="G1933" s="55">
        <f>IF($A1933=0,"",VLOOKUP($A1933,'BASE MATERIAL'!$A:$D,4))</f>
        <v>3.65</v>
      </c>
      <c r="H1933" s="56">
        <f t="shared" ref="H1933:H1940" si="174">IF($A1933=0,"",ROUND(F1933*G1933,2))</f>
        <v>8.51</v>
      </c>
      <c r="I1933" s="2"/>
      <c r="L1933" s="2"/>
      <c r="M1933" s="2"/>
      <c r="N1933" s="39"/>
      <c r="O1933" s="2"/>
      <c r="P1933" s="2"/>
    </row>
    <row r="1934" spans="1:16" x14ac:dyDescent="0.25">
      <c r="A1934" s="103">
        <v>1004</v>
      </c>
      <c r="B1934" s="38" t="str">
        <f>IF($A1934=0,"",VLOOKUP($A1934,'BASE MATERIAL'!$A:$D,2))</f>
        <v>PERFILERIA METALICA</v>
      </c>
      <c r="C1934" s="2"/>
      <c r="D1934" s="77"/>
      <c r="E1934" s="78" t="str">
        <f>IF($A1934=0,"",VLOOKUP($A1934,'BASE MATERIAL'!$A:$D,3))</f>
        <v>KG</v>
      </c>
      <c r="F1934" s="80">
        <v>53</v>
      </c>
      <c r="G1934" s="55">
        <f>IF($A1934=0,"",VLOOKUP($A1934,'BASE MATERIAL'!$A:$D,4))</f>
        <v>1.27</v>
      </c>
      <c r="H1934" s="56">
        <f t="shared" si="174"/>
        <v>67.31</v>
      </c>
      <c r="I1934" s="2"/>
      <c r="L1934" s="2"/>
      <c r="M1934" s="2"/>
      <c r="N1934" s="39"/>
      <c r="O1934" s="2"/>
      <c r="P1934" s="2"/>
    </row>
    <row r="1935" spans="1:16" x14ac:dyDescent="0.25">
      <c r="A1935" s="103">
        <v>13001</v>
      </c>
      <c r="B1935" s="38" t="str">
        <f>IF($A1935=0,"",VLOOKUP($A1935,'BASE MATERIAL'!$A:$D,2))</f>
        <v>PINTURA PARA PROTECCION METALICA</v>
      </c>
      <c r="C1935" s="2"/>
      <c r="D1935" s="77"/>
      <c r="E1935" s="78" t="str">
        <f>IF($A1935=0,"",VLOOKUP($A1935,'BASE MATERIAL'!$A:$D,3))</f>
        <v>GL</v>
      </c>
      <c r="F1935" s="80">
        <f>ROUND(0.0056*F1934,4)</f>
        <v>0.29680000000000001</v>
      </c>
      <c r="G1935" s="55">
        <f>IF($A1935=0,"",VLOOKUP($A1935,'BASE MATERIAL'!$A:$D,4))</f>
        <v>37.72</v>
      </c>
      <c r="H1935" s="56">
        <f t="shared" si="174"/>
        <v>11.2</v>
      </c>
      <c r="I1935" s="2"/>
      <c r="L1935" s="2"/>
      <c r="M1935" s="2"/>
      <c r="N1935" s="39"/>
      <c r="O1935" s="2"/>
      <c r="P1935" s="2"/>
    </row>
    <row r="1936" spans="1:16" x14ac:dyDescent="0.25">
      <c r="A1936" s="103">
        <v>13002</v>
      </c>
      <c r="B1936" s="38" t="str">
        <f>IF($A1936=0,"",VLOOKUP($A1936,'BASE MATERIAL'!$A:$D,2))</f>
        <v>PINTURA PARA ACABADO METALICO</v>
      </c>
      <c r="C1936" s="2"/>
      <c r="D1936" s="77"/>
      <c r="E1936" s="78" t="str">
        <f>IF($A1936=0,"",VLOOKUP($A1936,'BASE MATERIAL'!$A:$D,3))</f>
        <v>GL</v>
      </c>
      <c r="F1936" s="80">
        <f>ROUND(0.0028*F1934,4)</f>
        <v>0.1484</v>
      </c>
      <c r="G1936" s="55">
        <f>IF($A1936=0,"",VLOOKUP($A1936,'BASE MATERIAL'!$A:$D,4))</f>
        <v>38.520000000000003</v>
      </c>
      <c r="H1936" s="56">
        <f t="shared" si="174"/>
        <v>5.72</v>
      </c>
      <c r="I1936" s="2"/>
      <c r="L1936" s="2"/>
      <c r="M1936" s="2"/>
      <c r="N1936" s="39"/>
      <c r="O1936" s="2"/>
      <c r="P1936" s="2"/>
    </row>
    <row r="1937" spans="1:16" x14ac:dyDescent="0.25">
      <c r="A1937" s="103">
        <v>13011</v>
      </c>
      <c r="B1937" s="38" t="str">
        <f>IF($A1937=0,"",VLOOKUP($A1937,'BASE MATERIAL'!$A:$D,2))</f>
        <v>DESOXIDANTE</v>
      </c>
      <c r="C1937" s="2"/>
      <c r="D1937" s="77"/>
      <c r="E1937" s="78" t="str">
        <f>IF($A1937=0,"",VLOOKUP($A1937,'BASE MATERIAL'!$A:$D,3))</f>
        <v>GL</v>
      </c>
      <c r="F1937" s="80">
        <f>ROUND(0.2*(F1935+F1936),4)</f>
        <v>8.8999999999999996E-2</v>
      </c>
      <c r="G1937" s="55">
        <f>IF($A1937=0,"",VLOOKUP($A1937,'BASE MATERIAL'!$A:$D,4))</f>
        <v>12</v>
      </c>
      <c r="H1937" s="56">
        <f t="shared" si="174"/>
        <v>1.07</v>
      </c>
      <c r="I1937" s="2"/>
      <c r="L1937" s="2"/>
      <c r="M1937" s="2"/>
      <c r="N1937" s="39"/>
      <c r="O1937" s="2"/>
      <c r="P1937" s="2"/>
    </row>
    <row r="1938" spans="1:16" x14ac:dyDescent="0.25">
      <c r="B1938" s="38" t="str">
        <f>IF($A1938=0,"",VLOOKUP($A1938,'BASE MATERIAL'!$A:$D,2))</f>
        <v/>
      </c>
      <c r="C1938" s="2"/>
      <c r="D1938" s="77"/>
      <c r="E1938" s="78" t="str">
        <f>IF($A1938=0,"",VLOOKUP($A1938,'BASE MATERIAL'!$A:$D,3))</f>
        <v/>
      </c>
      <c r="F1938" s="55"/>
      <c r="G1938" s="55" t="str">
        <f>IF($A1938=0,"",VLOOKUP($A1938,'BASE MATERIAL'!$A:$D,4))</f>
        <v/>
      </c>
      <c r="H1938" s="56" t="str">
        <f t="shared" si="174"/>
        <v/>
      </c>
      <c r="I1938" s="2"/>
      <c r="L1938" s="2"/>
      <c r="M1938" s="2"/>
      <c r="N1938" s="39"/>
      <c r="O1938" s="2"/>
      <c r="P1938" s="2"/>
    </row>
    <row r="1939" spans="1:16" x14ac:dyDescent="0.25">
      <c r="B1939" s="38" t="str">
        <f>IF($A1939=0,"",VLOOKUP($A1939,'BASE MATERIAL'!$A:$D,2))</f>
        <v/>
      </c>
      <c r="C1939" s="2"/>
      <c r="D1939" s="77"/>
      <c r="E1939" s="78" t="str">
        <f>IF($A1939=0,"",VLOOKUP($A1939,'BASE MATERIAL'!$A:$D,3))</f>
        <v/>
      </c>
      <c r="F1939" s="55"/>
      <c r="G1939" s="55" t="str">
        <f>IF($A1939=0,"",VLOOKUP($A1939,'BASE MATERIAL'!$A:$D,4))</f>
        <v/>
      </c>
      <c r="H1939" s="56" t="str">
        <f t="shared" si="174"/>
        <v/>
      </c>
      <c r="I1939" s="2"/>
      <c r="L1939" s="2"/>
      <c r="M1939" s="2"/>
      <c r="N1939" s="39"/>
      <c r="O1939" s="2"/>
      <c r="P1939" s="2"/>
    </row>
    <row r="1940" spans="1:16" x14ac:dyDescent="0.25">
      <c r="B1940" s="38" t="str">
        <f>IF($A1940=0,"",VLOOKUP($A1940,'BASE MATERIAL'!$A:$D,2))</f>
        <v/>
      </c>
      <c r="C1940" s="2"/>
      <c r="D1940" s="77"/>
      <c r="E1940" s="78" t="str">
        <f>IF($A1940=0,"",VLOOKUP($A1940,'BASE MATERIAL'!$A:$D,3))</f>
        <v/>
      </c>
      <c r="F1940" s="55"/>
      <c r="G1940" s="55" t="str">
        <f>IF($A1940=0,"",VLOOKUP($A1940,'BASE MATERIAL'!$A:$D,4))</f>
        <v/>
      </c>
      <c r="H1940" s="56" t="str">
        <f t="shared" si="174"/>
        <v/>
      </c>
      <c r="I1940" s="2"/>
      <c r="L1940" s="2"/>
      <c r="M1940" s="2"/>
      <c r="N1940" s="39"/>
      <c r="O1940" s="2"/>
      <c r="P1940" s="2"/>
    </row>
    <row r="1941" spans="1:16" x14ac:dyDescent="0.25">
      <c r="B1941" s="38" t="str">
        <f>IF($A1941=0,"",VLOOKUP($A1941,'BASE MATERIAL'!$A:$D,2))</f>
        <v/>
      </c>
      <c r="C1941" s="2"/>
      <c r="D1941" s="77"/>
      <c r="E1941" s="78" t="str">
        <f>IF($A1941=0,"",VLOOKUP($A1941,'BASE MATERIAL'!$A:$D,3))</f>
        <v/>
      </c>
      <c r="F1941" s="55"/>
      <c r="G1941" s="55" t="str">
        <f>IF($A1941=0,"",VLOOKUP($A1941,'BASE MATERIAL'!$A:$D,4))</f>
        <v/>
      </c>
      <c r="H1941" s="56" t="str">
        <f t="shared" ref="H1941:H1947" si="175">IF($A1941=0,"",ROUND(F1941*G1941,2))</f>
        <v/>
      </c>
      <c r="I1941" s="2"/>
    </row>
    <row r="1942" spans="1:16" x14ac:dyDescent="0.25">
      <c r="B1942" s="38" t="str">
        <f>IF($A1942=0,"",VLOOKUP($A1942,'BASE MATERIAL'!$A:$D,2))</f>
        <v/>
      </c>
      <c r="C1942" s="2"/>
      <c r="D1942" s="77"/>
      <c r="E1942" s="78" t="str">
        <f>IF($A1942=0,"",VLOOKUP($A1942,'BASE MATERIAL'!$A:$D,3))</f>
        <v/>
      </c>
      <c r="F1942" s="55"/>
      <c r="G1942" s="55" t="str">
        <f>IF($A1942=0,"",VLOOKUP($A1942,'BASE MATERIAL'!$A:$D,4))</f>
        <v/>
      </c>
      <c r="H1942" s="56" t="str">
        <f t="shared" si="175"/>
        <v/>
      </c>
      <c r="I1942" s="2"/>
      <c r="L1942" s="2"/>
      <c r="M1942" s="2"/>
      <c r="N1942" s="39"/>
      <c r="O1942" s="2"/>
      <c r="P1942" s="2"/>
    </row>
    <row r="1943" spans="1:16" x14ac:dyDescent="0.25">
      <c r="B1943" s="38" t="str">
        <f>IF($A1943=0,"",VLOOKUP($A1943,'BASE MATERIAL'!$A:$D,2))</f>
        <v/>
      </c>
      <c r="C1943" s="2"/>
      <c r="D1943" s="77"/>
      <c r="E1943" s="78" t="str">
        <f>IF($A1943=0,"",VLOOKUP($A1943,'BASE MATERIAL'!$A:$D,3))</f>
        <v/>
      </c>
      <c r="F1943" s="55"/>
      <c r="G1943" s="55" t="str">
        <f>IF($A1943=0,"",VLOOKUP($A1943,'BASE MATERIAL'!$A:$D,4))</f>
        <v/>
      </c>
      <c r="H1943" s="56" t="str">
        <f t="shared" si="175"/>
        <v/>
      </c>
      <c r="I1943" s="2"/>
      <c r="L1943" s="2"/>
      <c r="M1943" s="2"/>
      <c r="N1943" s="39"/>
      <c r="O1943" s="2"/>
      <c r="P1943" s="2"/>
    </row>
    <row r="1944" spans="1:16" x14ac:dyDescent="0.25">
      <c r="B1944" s="38" t="str">
        <f>IF($A1944=0,"",VLOOKUP($A1944,'BASE MATERIAL'!$A:$D,2))</f>
        <v/>
      </c>
      <c r="C1944" s="2"/>
      <c r="D1944" s="77"/>
      <c r="E1944" s="78" t="str">
        <f>IF($A1944=0,"",VLOOKUP($A1944,'BASE MATERIAL'!$A:$D,3))</f>
        <v/>
      </c>
      <c r="F1944" s="55"/>
      <c r="G1944" s="55" t="str">
        <f>IF($A1944=0,"",VLOOKUP($A1944,'BASE MATERIAL'!$A:$D,4))</f>
        <v/>
      </c>
      <c r="H1944" s="56" t="str">
        <f t="shared" si="175"/>
        <v/>
      </c>
      <c r="I1944" s="2"/>
    </row>
    <row r="1945" spans="1:16" x14ac:dyDescent="0.25">
      <c r="B1945" s="38" t="str">
        <f>IF($A1945=0,"",VLOOKUP($A1945,'BASE MATERIAL'!$A:$D,2))</f>
        <v/>
      </c>
      <c r="C1945" s="2"/>
      <c r="D1945" s="77"/>
      <c r="E1945" s="78" t="str">
        <f>IF($A1945=0,"",VLOOKUP($A1945,'BASE MATERIAL'!$A:$D,3))</f>
        <v/>
      </c>
      <c r="F1945" s="55"/>
      <c r="G1945" s="55" t="str">
        <f>IF($A1945=0,"",VLOOKUP($A1945,'BASE MATERIAL'!$A:$D,4))</f>
        <v/>
      </c>
      <c r="H1945" s="56" t="str">
        <f t="shared" si="175"/>
        <v/>
      </c>
      <c r="I1945" s="2"/>
    </row>
    <row r="1946" spans="1:16" x14ac:dyDescent="0.25">
      <c r="B1946" s="38" t="str">
        <f>IF($A1946=0,"",VLOOKUP($A1946,'BASE MATERIAL'!$A:$D,2))</f>
        <v/>
      </c>
      <c r="C1946" s="2"/>
      <c r="D1946" s="77"/>
      <c r="E1946" s="78" t="str">
        <f>IF($A1946=0,"",VLOOKUP($A1946,'BASE MATERIAL'!$A:$D,3))</f>
        <v/>
      </c>
      <c r="F1946" s="55"/>
      <c r="G1946" s="55" t="str">
        <f>IF($A1946=0,"",VLOOKUP($A1946,'BASE MATERIAL'!$A:$D,4))</f>
        <v/>
      </c>
      <c r="H1946" s="56" t="str">
        <f t="shared" si="175"/>
        <v/>
      </c>
      <c r="I1946" s="2"/>
    </row>
    <row r="1947" spans="1:16" x14ac:dyDescent="0.25">
      <c r="B1947" s="38" t="str">
        <f>IF($A1947=0,"",VLOOKUP($A1947,'BASE MATERIAL'!$A:$D,2))</f>
        <v/>
      </c>
      <c r="C1947" s="2"/>
      <c r="D1947" s="77"/>
      <c r="E1947" s="78" t="str">
        <f>IF($A1947=0,"",VLOOKUP($A1947,'BASE MATERIAL'!$A:$D,3))</f>
        <v/>
      </c>
      <c r="F1947" s="55"/>
      <c r="G1947" s="55" t="str">
        <f>IF($A1947=0,"",VLOOKUP($A1947,'BASE MATERIAL'!$A:$D,4))</f>
        <v/>
      </c>
      <c r="H1947" s="56" t="str">
        <f t="shared" si="175"/>
        <v/>
      </c>
      <c r="I1947" s="2"/>
    </row>
    <row r="1948" spans="1:16" x14ac:dyDescent="0.25">
      <c r="B1948" s="38" t="str">
        <f>IF($A1948=0,"",VLOOKUP($A1948,'BASE MATERIAL'!$A:$D,2))</f>
        <v/>
      </c>
      <c r="C1948" s="2"/>
      <c r="D1948" s="81" t="s">
        <v>1682</v>
      </c>
      <c r="E1948" s="55" t="str">
        <f>IF($A1948=0,"",VLOOKUP($A1948,'BASE MATERIAL'!$A:$D,3))</f>
        <v/>
      </c>
      <c r="F1948" s="55" t="s">
        <v>1682</v>
      </c>
      <c r="G1948" s="55" t="str">
        <f>IF($A1948=0,"",VLOOKUP($A1948,'BASE MATERIAL'!$A:$D,4))</f>
        <v/>
      </c>
      <c r="H1948" s="56" t="str">
        <f>IF($A1948=0,"",ROUND(E1948*F1948,2))</f>
        <v/>
      </c>
      <c r="I1948" s="2"/>
    </row>
    <row r="1949" spans="1:16" x14ac:dyDescent="0.25">
      <c r="B1949" s="73" t="s">
        <v>1681</v>
      </c>
      <c r="C1949" s="65"/>
      <c r="D1949" s="74"/>
      <c r="E1949" s="74"/>
      <c r="F1949" s="74"/>
      <c r="G1949" s="74"/>
      <c r="H1949" s="75">
        <f>ROUND(SUM(H1932:H1948),2)</f>
        <v>93.81</v>
      </c>
      <c r="I1949" s="2"/>
    </row>
    <row r="1950" spans="1:16" x14ac:dyDescent="0.25">
      <c r="B1950" s="38" t="s">
        <v>1680</v>
      </c>
      <c r="C1950" s="2"/>
      <c r="D1950" s="3"/>
      <c r="E1950" s="3"/>
      <c r="F1950" s="3"/>
      <c r="G1950" s="3"/>
      <c r="H1950" s="56"/>
      <c r="I1950" s="2"/>
    </row>
    <row r="1951" spans="1:16" ht="25.5" x14ac:dyDescent="0.25">
      <c r="B1951" s="64" t="s">
        <v>1409</v>
      </c>
      <c r="C1951" s="65"/>
      <c r="D1951" s="76"/>
      <c r="E1951" s="66" t="s">
        <v>1408</v>
      </c>
      <c r="F1951" s="66" t="s">
        <v>1679</v>
      </c>
      <c r="G1951" s="66" t="s">
        <v>1676</v>
      </c>
      <c r="H1951" s="68" t="s">
        <v>1675</v>
      </c>
      <c r="I1951" s="2"/>
    </row>
    <row r="1952" spans="1:16" x14ac:dyDescent="0.25">
      <c r="A1952" s="103">
        <v>19019</v>
      </c>
      <c r="B1952" s="51" t="str">
        <f>IF($A1952=0,"",VLOOKUP($A1952,'BASE EQUIPO'!$A:$D,2))</f>
        <v>TRANSPORTE DE MATERIAL</v>
      </c>
      <c r="C1952" s="52"/>
      <c r="D1952" s="82"/>
      <c r="E1952" s="78" t="str">
        <f>IF($A1952=0,"",VLOOKUP($A1952,'BASE EQUIPO'!$A:$D,3))</f>
        <v>GLOBAL</v>
      </c>
      <c r="F1952" s="55">
        <v>1</v>
      </c>
      <c r="G1952" s="83">
        <f>IF($A1952=0,"",VLOOKUP($A1952,'BASE EQUIPO'!$A:$D,4)*H1949)</f>
        <v>2.8142999999999998</v>
      </c>
      <c r="H1952" s="56">
        <f>IF($A1952=0,"",ROUND(F1952*G1952,2))</f>
        <v>2.81</v>
      </c>
      <c r="I1952" s="2"/>
    </row>
    <row r="1953" spans="1:15" x14ac:dyDescent="0.25">
      <c r="B1953" s="38" t="str">
        <f>IF($A1953=0,"",VLOOKUP($A1953,'BASE EQUIPO'!$A:$D,2))</f>
        <v/>
      </c>
      <c r="C1953" s="2"/>
      <c r="D1953" s="84"/>
      <c r="E1953" s="78" t="str">
        <f>IF($A1953=0,"",VLOOKUP($A1953,'BASE EQUIPO'!$A:$D,3))</f>
        <v/>
      </c>
      <c r="F1953" s="55"/>
      <c r="G1953" s="55" t="str">
        <f>IF($A1953=0,"",VLOOKUP($A1953,'BASE EQUIPO'!$A:$D,4)*H1950)</f>
        <v/>
      </c>
      <c r="H1953" s="56" t="str">
        <f>IF($A1953=0,"",ROUND(F1953*G1953,2))</f>
        <v/>
      </c>
      <c r="I1953" s="2"/>
    </row>
    <row r="1954" spans="1:15" x14ac:dyDescent="0.25">
      <c r="B1954" s="57" t="str">
        <f>IF($A1954=0,"",VLOOKUP($A1954,'BASE EQUIPO'!$A:$D,2))</f>
        <v/>
      </c>
      <c r="C1954" s="58"/>
      <c r="D1954" s="85"/>
      <c r="E1954" s="86" t="str">
        <f>IF($A1954=0,"",VLOOKUP($A1954,'BASE EQUIPO'!$A:$D,3))</f>
        <v/>
      </c>
      <c r="F1954" s="59"/>
      <c r="G1954" s="59" t="str">
        <f>IF($A1954=0,"",VLOOKUP($A1954,'BASE EQUIPO'!$A:$D,4)*H1951)</f>
        <v/>
      </c>
      <c r="H1954" s="60" t="str">
        <f>IF($A1954=0,"",ROUND(F1954*G1954,2))</f>
        <v/>
      </c>
      <c r="I1954" s="2"/>
    </row>
    <row r="1955" spans="1:15" ht="15.75" thickBot="1" x14ac:dyDescent="0.3">
      <c r="B1955" s="87" t="s">
        <v>1674</v>
      </c>
      <c r="C1955" s="88"/>
      <c r="D1955" s="89"/>
      <c r="E1955" s="89"/>
      <c r="F1955" s="89"/>
      <c r="G1955" s="89"/>
      <c r="H1955" s="90">
        <f>ROUND(SUM(H1951:H1954),2)</f>
        <v>2.81</v>
      </c>
      <c r="I1955" s="2"/>
    </row>
    <row r="1956" spans="1:15" ht="15.75" x14ac:dyDescent="0.25">
      <c r="B1956" s="2"/>
      <c r="C1956" s="2"/>
      <c r="D1956" s="91" t="s">
        <v>1673</v>
      </c>
      <c r="E1956" s="47"/>
      <c r="F1956" s="47"/>
      <c r="G1956" s="47"/>
      <c r="H1956" s="92">
        <f>ROUND(SUM(H1955,H1949,H1930,H1920),2)</f>
        <v>146.63999999999999</v>
      </c>
      <c r="I1956" s="2"/>
    </row>
    <row r="1957" spans="1:15" ht="15.75" x14ac:dyDescent="0.25">
      <c r="A1957" s="103">
        <v>40002</v>
      </c>
      <c r="B1957" s="2"/>
      <c r="C1957" s="2"/>
      <c r="D1957" s="93" t="s">
        <v>1672</v>
      </c>
      <c r="E1957" s="65"/>
      <c r="F1957" s="65"/>
      <c r="G1957" s="94">
        <f>IF($A1957=0,"",VLOOKUP($A1957,'BASE MATERIAL'!$M:$P,4))</f>
        <v>0</v>
      </c>
      <c r="H1957" s="95">
        <f>IF($A1957=0,"",ROUND(G1957*H1956,2))</f>
        <v>0</v>
      </c>
      <c r="I1957" s="2"/>
    </row>
    <row r="1958" spans="1:15" ht="15.75" x14ac:dyDescent="0.25">
      <c r="A1958" s="103">
        <v>40003</v>
      </c>
      <c r="B1958" s="2"/>
      <c r="C1958" s="2"/>
      <c r="D1958" s="93" t="s">
        <v>1671</v>
      </c>
      <c r="E1958" s="65"/>
      <c r="F1958" s="65"/>
      <c r="G1958" s="94">
        <f>IF($A1958=0,"",VLOOKUP($A1958,'BASE MATERIAL'!$M:$P,4))</f>
        <v>0</v>
      </c>
      <c r="H1958" s="95">
        <f>IF($A1958=0,"",ROUND(G1958*H1956,2))</f>
        <v>0</v>
      </c>
      <c r="I1958" s="2"/>
    </row>
    <row r="1959" spans="1:15" ht="15.75" x14ac:dyDescent="0.25">
      <c r="B1959" s="2"/>
      <c r="C1959" s="2"/>
      <c r="D1959" s="93" t="s">
        <v>1670</v>
      </c>
      <c r="E1959" s="65"/>
      <c r="F1959" s="65"/>
      <c r="G1959" s="65"/>
      <c r="H1959" s="96">
        <f>ROUND(SUM(H1956:H1958),2)</f>
        <v>146.63999999999999</v>
      </c>
      <c r="I1959" s="2"/>
    </row>
    <row r="1960" spans="1:15" ht="16.5" thickBot="1" x14ac:dyDescent="0.3">
      <c r="B1960" s="25"/>
      <c r="C1960" s="2"/>
      <c r="D1960" s="97" t="s">
        <v>1650</v>
      </c>
      <c r="E1960" s="88"/>
      <c r="F1960" s="88"/>
      <c r="G1960" s="88"/>
      <c r="H1960" s="98">
        <f>ROUND(H1959,2)</f>
        <v>146.63999999999999</v>
      </c>
      <c r="I1960" s="2"/>
    </row>
    <row r="1961" spans="1:15" ht="15.75" x14ac:dyDescent="0.25">
      <c r="B1961" s="34" t="s">
        <v>1701</v>
      </c>
      <c r="C1961" s="2"/>
      <c r="D1961" s="3" t="str">
        <f>$D$1</f>
        <v>ESPOL</v>
      </c>
      <c r="E1961" s="2"/>
      <c r="F1961" s="2"/>
      <c r="H1961" s="2" t="s">
        <v>108</v>
      </c>
      <c r="I1961" s="2"/>
      <c r="L1961" s="40">
        <f>A1965</f>
        <v>2</v>
      </c>
      <c r="M1961" s="1" t="str">
        <f>C1966</f>
        <v>Drenaje corto para empate de equipo</v>
      </c>
      <c r="N1961" s="2" t="str">
        <f>H1965</f>
        <v>unidad</v>
      </c>
      <c r="O1961" s="2">
        <f>H2016</f>
        <v>25.75</v>
      </c>
    </row>
    <row r="1962" spans="1:15" ht="15.75" x14ac:dyDescent="0.25">
      <c r="B1962" s="34" t="s">
        <v>1700</v>
      </c>
      <c r="C1962" s="3">
        <f>'1.1'!$C$2</f>
        <v>0</v>
      </c>
      <c r="D1962" s="2"/>
      <c r="E1962" s="2"/>
      <c r="F1962" s="2"/>
      <c r="G1962" s="41" t="s">
        <v>1699</v>
      </c>
      <c r="H1962" s="42"/>
      <c r="I1962" s="2" t="s">
        <v>1698</v>
      </c>
    </row>
    <row r="1963" spans="1:15" ht="15.75" x14ac:dyDescent="0.25">
      <c r="B1963" s="34"/>
      <c r="C1963" s="3">
        <f>'1.1'!$C$3</f>
        <v>0</v>
      </c>
      <c r="D1963" s="2"/>
      <c r="E1963" s="2"/>
      <c r="F1963" s="2"/>
      <c r="G1963" s="2"/>
      <c r="H1963" s="2"/>
      <c r="I1963" s="2"/>
    </row>
    <row r="1964" spans="1:15" ht="15.75" x14ac:dyDescent="0.25">
      <c r="B1964" s="34" t="s">
        <v>1697</v>
      </c>
      <c r="C1964" s="3"/>
      <c r="D1964" s="2"/>
      <c r="E1964" s="2"/>
      <c r="F1964" s="2"/>
      <c r="G1964" s="2"/>
      <c r="H1964" s="2"/>
      <c r="I1964" s="2"/>
    </row>
    <row r="1965" spans="1:15" x14ac:dyDescent="0.25">
      <c r="A1965" s="104">
        <v>2</v>
      </c>
      <c r="B1965" s="2" t="s">
        <v>1586</v>
      </c>
      <c r="C1965" s="101" t="s">
        <v>186</v>
      </c>
      <c r="D1965" s="2"/>
      <c r="G1965" s="2" t="s">
        <v>1696</v>
      </c>
      <c r="H1965" s="3" t="s">
        <v>126</v>
      </c>
      <c r="I1965" s="2"/>
    </row>
    <row r="1966" spans="1:15" x14ac:dyDescent="0.25">
      <c r="B1966" s="1" t="s">
        <v>1585</v>
      </c>
      <c r="C1966" s="36" t="s">
        <v>169</v>
      </c>
      <c r="D1966" s="2"/>
      <c r="E1966" s="2"/>
      <c r="F1966" s="2"/>
      <c r="G1966" s="2"/>
      <c r="H1966" s="2"/>
      <c r="I1966" s="2"/>
    </row>
    <row r="1967" spans="1:15" ht="15.75" thickBot="1" x14ac:dyDescent="0.3">
      <c r="D1967" s="2"/>
      <c r="E1967" s="2"/>
      <c r="F1967" s="2"/>
      <c r="G1967" s="2"/>
      <c r="H1967" s="2"/>
      <c r="I1967" s="2"/>
    </row>
    <row r="1968" spans="1:15" ht="15.75" thickBot="1" x14ac:dyDescent="0.3">
      <c r="B1968" s="43" t="s">
        <v>1695</v>
      </c>
      <c r="C1968" s="44"/>
      <c r="D1968" s="44"/>
      <c r="E1968" s="44"/>
      <c r="F1968" s="44"/>
      <c r="G1968" s="44"/>
      <c r="H1968" s="45"/>
      <c r="I1968" s="2"/>
    </row>
    <row r="1969" spans="2:9" ht="25.5" x14ac:dyDescent="0.25">
      <c r="B1969" s="46" t="s">
        <v>1409</v>
      </c>
      <c r="C1969" s="47"/>
      <c r="D1969" s="48" t="s">
        <v>1690</v>
      </c>
      <c r="E1969" s="48" t="s">
        <v>1694</v>
      </c>
      <c r="F1969" s="48" t="s">
        <v>1693</v>
      </c>
      <c r="G1969" s="49" t="s">
        <v>1687</v>
      </c>
      <c r="H1969" s="50" t="s">
        <v>1686</v>
      </c>
      <c r="I1969" s="2"/>
    </row>
    <row r="1970" spans="2:9" x14ac:dyDescent="0.25">
      <c r="B1970" s="51" t="str">
        <f>IF($A1970=0,"",VLOOKUP($A1970,'BASE EQUIPO'!$A:$D,2))</f>
        <v/>
      </c>
      <c r="C1970" s="52"/>
      <c r="D1970" s="53"/>
      <c r="E1970" s="53" t="str">
        <f>IF($A1970=0,"",VLOOKUP($A1970,'BASE EQUIPO'!$A:$D,4)*H1986)</f>
        <v/>
      </c>
      <c r="F1970" s="53" t="str">
        <f t="shared" ref="F1970:F1975" si="176">IF($A1970=0,"",ROUND(D1970*E1970,2))</f>
        <v/>
      </c>
      <c r="G1970" s="105"/>
      <c r="H1970" s="54" t="str">
        <f t="shared" ref="H1970:H1975" si="177">IF($A1970=0,"",ROUND(G1970*F1970,2))</f>
        <v/>
      </c>
      <c r="I1970" s="2"/>
    </row>
    <row r="1971" spans="2:9" x14ac:dyDescent="0.25">
      <c r="B1971" s="38" t="str">
        <f>IF($A1971=0,"",VLOOKUP($A1971,'BASE EQUIPO'!$A:$D,2))</f>
        <v/>
      </c>
      <c r="C1971" s="2"/>
      <c r="D1971" s="55"/>
      <c r="E1971" s="55" t="str">
        <f>IF($A1971=0,"",VLOOKUP($A1971,'BASE EQUIPO'!$A:$D,4))</f>
        <v/>
      </c>
      <c r="F1971" s="55" t="str">
        <f t="shared" si="176"/>
        <v/>
      </c>
      <c r="G1971" s="106"/>
      <c r="H1971" s="56" t="str">
        <f t="shared" si="177"/>
        <v/>
      </c>
      <c r="I1971" s="2"/>
    </row>
    <row r="1972" spans="2:9" x14ac:dyDescent="0.25">
      <c r="B1972" s="38" t="str">
        <f>IF($A1972=0,"",VLOOKUP($A1972,'BASE EQUIPO'!$A:$D,2))</f>
        <v/>
      </c>
      <c r="C1972" s="2"/>
      <c r="D1972" s="55"/>
      <c r="E1972" s="55" t="str">
        <f>IF($A1972=0,"",VLOOKUP($A1972,'BASE EQUIPO'!$A:$D,4))</f>
        <v/>
      </c>
      <c r="F1972" s="55" t="str">
        <f t="shared" si="176"/>
        <v/>
      </c>
      <c r="G1972" s="106"/>
      <c r="H1972" s="56" t="str">
        <f t="shared" si="177"/>
        <v/>
      </c>
      <c r="I1972" s="2"/>
    </row>
    <row r="1973" spans="2:9" x14ac:dyDescent="0.25">
      <c r="B1973" s="38" t="str">
        <f>IF($A1973=0,"",VLOOKUP($A1973,'BASE EQUIPO'!$A:$D,2))</f>
        <v/>
      </c>
      <c r="C1973" s="2"/>
      <c r="D1973" s="55"/>
      <c r="E1973" s="55" t="str">
        <f>IF($A1973=0,"",VLOOKUP($A1973,'BASE EQUIPO'!$A:$D,4))</f>
        <v/>
      </c>
      <c r="F1973" s="55" t="str">
        <f t="shared" si="176"/>
        <v/>
      </c>
      <c r="G1973" s="106"/>
      <c r="H1973" s="56" t="str">
        <f t="shared" si="177"/>
        <v/>
      </c>
      <c r="I1973" s="2"/>
    </row>
    <row r="1974" spans="2:9" x14ac:dyDescent="0.25">
      <c r="B1974" s="38" t="str">
        <f>IF($A1974=0,"",VLOOKUP($A1974,'BASE EQUIPO'!$A:$D,2))</f>
        <v/>
      </c>
      <c r="C1974" s="2"/>
      <c r="D1974" s="55"/>
      <c r="E1974" s="55" t="str">
        <f>IF($A1974=0,"",VLOOKUP($A1974,'BASE EQUIPO'!$A:$D,4))</f>
        <v/>
      </c>
      <c r="F1974" s="55" t="str">
        <f t="shared" si="176"/>
        <v/>
      </c>
      <c r="G1974" s="106"/>
      <c r="H1974" s="56" t="str">
        <f t="shared" si="177"/>
        <v/>
      </c>
      <c r="I1974" s="2"/>
    </row>
    <row r="1975" spans="2:9" x14ac:dyDescent="0.25">
      <c r="B1975" s="57" t="str">
        <f>IF($A1975=0,"",VLOOKUP($A1975,'BASE EQUIPO'!$A:$D,2))</f>
        <v/>
      </c>
      <c r="C1975" s="58"/>
      <c r="D1975" s="59"/>
      <c r="E1975" s="59" t="str">
        <f>IF($A1975=0,"",VLOOKUP($A1975,'BASE EQUIPO'!$A:$D,4))</f>
        <v/>
      </c>
      <c r="F1975" s="59" t="str">
        <f t="shared" si="176"/>
        <v/>
      </c>
      <c r="G1975" s="107"/>
      <c r="H1975" s="60" t="str">
        <f t="shared" si="177"/>
        <v/>
      </c>
      <c r="I1975" s="2"/>
    </row>
    <row r="1976" spans="2:9" x14ac:dyDescent="0.25">
      <c r="B1976" s="57" t="s">
        <v>1692</v>
      </c>
      <c r="C1976" s="58"/>
      <c r="D1976" s="61"/>
      <c r="E1976" s="61"/>
      <c r="F1976" s="61"/>
      <c r="G1976" s="62"/>
      <c r="H1976" s="60">
        <f>ROUND(SUM(H1969:H1975),2)</f>
        <v>0</v>
      </c>
      <c r="I1976" s="2"/>
    </row>
    <row r="1977" spans="2:9" x14ac:dyDescent="0.25">
      <c r="B1977" s="38" t="s">
        <v>1503</v>
      </c>
      <c r="C1977" s="2"/>
      <c r="D1977" s="3"/>
      <c r="E1977" s="3"/>
      <c r="F1977" s="3"/>
      <c r="G1977" s="63"/>
      <c r="H1977" s="56"/>
      <c r="I1977" s="2"/>
    </row>
    <row r="1978" spans="2:9" ht="25.5" x14ac:dyDescent="0.25">
      <c r="B1978" s="64" t="s">
        <v>1691</v>
      </c>
      <c r="C1978" s="65"/>
      <c r="D1978" s="66" t="s">
        <v>1690</v>
      </c>
      <c r="E1978" s="66" t="s">
        <v>1689</v>
      </c>
      <c r="F1978" s="66" t="s">
        <v>1688</v>
      </c>
      <c r="G1978" s="67" t="s">
        <v>1687</v>
      </c>
      <c r="H1978" s="68" t="s">
        <v>1686</v>
      </c>
      <c r="I1978" s="2"/>
    </row>
    <row r="1979" spans="2:9" x14ac:dyDescent="0.25">
      <c r="B1979" s="69" t="str">
        <f>IF($A1979=0,"",VLOOKUP($A1979,'BASE M-OBRA'!$A:$D,2))</f>
        <v/>
      </c>
      <c r="C1979" s="2"/>
      <c r="D1979" s="108"/>
      <c r="E1979" s="70" t="str">
        <f>IF($A1979=0,"",VLOOKUP($A1979,'BASE M-OBRA'!$A:$D,4))</f>
        <v/>
      </c>
      <c r="F1979" s="55" t="str">
        <f t="shared" ref="F1979:F1985" si="178">IF($A1979=0,"",ROUND(D1979*E1979,2))</f>
        <v/>
      </c>
      <c r="G1979" s="106" t="str">
        <f>IF($A1979=0,"",ROUND(H1979/F1979,2))</f>
        <v/>
      </c>
      <c r="H1979" s="56" t="str">
        <f>IF($A1979=0,"",ROUND(SUM(H1980:H1985)*'BASE M-OBRA'!$D$23,2))</f>
        <v/>
      </c>
      <c r="I1979" s="2"/>
    </row>
    <row r="1980" spans="2:9" x14ac:dyDescent="0.25">
      <c r="B1980" s="69" t="str">
        <f>IF($A1980=0,"",VLOOKUP($A1980,'BASE M-OBRA'!$A:$D,2))</f>
        <v/>
      </c>
      <c r="C1980" s="2"/>
      <c r="D1980" s="108"/>
      <c r="E1980" s="70" t="str">
        <f>IF($A1980=0,"",VLOOKUP($A1980,'BASE M-OBRA'!$A:$D,4))</f>
        <v/>
      </c>
      <c r="F1980" s="55" t="str">
        <f t="shared" si="178"/>
        <v/>
      </c>
      <c r="G1980" s="106"/>
      <c r="H1980" s="56" t="str">
        <f t="shared" ref="H1980:H1985" si="179">IF($A1980=0,"",ROUND(G1980*F1980,2))</f>
        <v/>
      </c>
      <c r="I1980" s="2"/>
    </row>
    <row r="1981" spans="2:9" x14ac:dyDescent="0.25">
      <c r="B1981" s="69" t="str">
        <f>IF($A1981=0,"",VLOOKUP($A1981,'BASE M-OBRA'!$A:$D,2))</f>
        <v/>
      </c>
      <c r="C1981" s="2"/>
      <c r="D1981" s="108"/>
      <c r="E1981" s="70" t="str">
        <f>IF($A1981=0,"",VLOOKUP($A1981,'BASE M-OBRA'!$A:$D,4))</f>
        <v/>
      </c>
      <c r="F1981" s="55" t="str">
        <f t="shared" si="178"/>
        <v/>
      </c>
      <c r="G1981" s="106"/>
      <c r="H1981" s="56" t="str">
        <f t="shared" si="179"/>
        <v/>
      </c>
      <c r="I1981" s="2"/>
    </row>
    <row r="1982" spans="2:9" x14ac:dyDescent="0.25">
      <c r="B1982" s="71" t="str">
        <f>IF($A1982=0,"",VLOOKUP($A1982,'BASE M-OBRA'!$A:$D,2))</f>
        <v/>
      </c>
      <c r="C1982" s="2"/>
      <c r="D1982" s="108"/>
      <c r="E1982" s="70" t="str">
        <f>IF($A1982=0,"",VLOOKUP($A1982,'BASE M-OBRA'!$A:$D,4))</f>
        <v/>
      </c>
      <c r="F1982" s="55" t="str">
        <f t="shared" si="178"/>
        <v/>
      </c>
      <c r="G1982" s="106"/>
      <c r="H1982" s="56" t="str">
        <f t="shared" si="179"/>
        <v/>
      </c>
      <c r="I1982" s="2"/>
    </row>
    <row r="1983" spans="2:9" x14ac:dyDescent="0.25">
      <c r="B1983" s="72" t="str">
        <f>IF($A1983=0,"",VLOOKUP($A1983,'BASE M-OBRA'!$A:$D,2))</f>
        <v/>
      </c>
      <c r="C1983" s="2"/>
      <c r="D1983" s="108"/>
      <c r="E1983" s="70" t="str">
        <f>IF($A1983=0,"",VLOOKUP($A1983,'BASE M-OBRA'!$A:$D,4))</f>
        <v/>
      </c>
      <c r="F1983" s="55" t="str">
        <f t="shared" si="178"/>
        <v/>
      </c>
      <c r="G1983" s="106"/>
      <c r="H1983" s="56" t="str">
        <f t="shared" si="179"/>
        <v/>
      </c>
      <c r="I1983" s="2"/>
    </row>
    <row r="1984" spans="2:9" x14ac:dyDescent="0.25">
      <c r="B1984" s="38" t="str">
        <f>IF($A1984=0,"",VLOOKUP($A1984,'BASE M-OBRA'!$A:$D,2))</f>
        <v/>
      </c>
      <c r="C1984" s="2"/>
      <c r="D1984" s="55"/>
      <c r="E1984" s="55" t="str">
        <f>IF($A1984=0,"",VLOOKUP($A1984,'BASE M-OBRA'!$A:$D,4))</f>
        <v/>
      </c>
      <c r="F1984" s="55" t="str">
        <f t="shared" si="178"/>
        <v/>
      </c>
      <c r="G1984" s="106"/>
      <c r="H1984" s="56" t="str">
        <f t="shared" si="179"/>
        <v/>
      </c>
      <c r="I1984" s="2"/>
    </row>
    <row r="1985" spans="1:16" x14ac:dyDescent="0.25">
      <c r="B1985" s="57" t="str">
        <f>IF($A1985=0,"",VLOOKUP($A1985,'BASE M-OBRA'!$A:$D,2))</f>
        <v/>
      </c>
      <c r="C1985" s="58"/>
      <c r="D1985" s="59"/>
      <c r="E1985" s="59" t="str">
        <f>IF($A1985=0,"",VLOOKUP($A1985,'BASE M-OBRA'!$A:$D,4))</f>
        <v/>
      </c>
      <c r="F1985" s="59" t="str">
        <f t="shared" si="178"/>
        <v/>
      </c>
      <c r="G1985" s="107"/>
      <c r="H1985" s="60" t="str">
        <f t="shared" si="179"/>
        <v/>
      </c>
      <c r="I1985" s="2"/>
    </row>
    <row r="1986" spans="1:16" x14ac:dyDescent="0.25">
      <c r="B1986" s="73" t="s">
        <v>1685</v>
      </c>
      <c r="C1986" s="65"/>
      <c r="D1986" s="74"/>
      <c r="E1986" s="74"/>
      <c r="F1986" s="74"/>
      <c r="G1986" s="74"/>
      <c r="H1986" s="75">
        <f>ROUND(SUM(H1978:H1985),2)</f>
        <v>0</v>
      </c>
      <c r="I1986" s="2"/>
    </row>
    <row r="1987" spans="1:16" x14ac:dyDescent="0.25">
      <c r="B1987" s="38" t="s">
        <v>1684</v>
      </c>
      <c r="C1987" s="2"/>
      <c r="D1987" s="3"/>
      <c r="E1987" s="3"/>
      <c r="F1987" s="3"/>
      <c r="G1987" s="3"/>
      <c r="H1987" s="56"/>
      <c r="I1987" s="2"/>
    </row>
    <row r="1988" spans="1:16" ht="25.5" x14ac:dyDescent="0.25">
      <c r="B1988" s="64" t="s">
        <v>1409</v>
      </c>
      <c r="C1988" s="65"/>
      <c r="D1988" s="76"/>
      <c r="E1988" s="66" t="s">
        <v>1408</v>
      </c>
      <c r="F1988" s="66" t="s">
        <v>1679</v>
      </c>
      <c r="G1988" s="66" t="s">
        <v>1683</v>
      </c>
      <c r="H1988" s="68" t="s">
        <v>1675</v>
      </c>
      <c r="I1988" s="2"/>
    </row>
    <row r="1989" spans="1:16" x14ac:dyDescent="0.25">
      <c r="A1989" s="103">
        <v>1</v>
      </c>
      <c r="B1989" s="102" t="s">
        <v>708</v>
      </c>
      <c r="C1989" s="2"/>
      <c r="D1989" s="77"/>
      <c r="E1989" s="78" t="s">
        <v>1506</v>
      </c>
      <c r="F1989" s="55">
        <v>1</v>
      </c>
      <c r="G1989" s="55">
        <v>25</v>
      </c>
      <c r="H1989" s="56">
        <f t="shared" ref="H1989:H2003" si="180">IF($A1989=0,"",ROUND(F1989*G1989,2))</f>
        <v>25</v>
      </c>
      <c r="I1989" s="2"/>
      <c r="J1989" s="1">
        <v>49</v>
      </c>
      <c r="L1989" s="2"/>
      <c r="M1989" s="2"/>
      <c r="N1989" s="39"/>
      <c r="O1989" s="2"/>
      <c r="P1989" s="2"/>
    </row>
    <row r="1990" spans="1:16" x14ac:dyDescent="0.25">
      <c r="B1990" s="102"/>
      <c r="C1990" s="2"/>
      <c r="D1990" s="77"/>
      <c r="E1990" s="78" t="str">
        <f>IF($A1990=0,"",VLOOKUP($A1990,'BASE MATERIAL'!$A:$D,3))</f>
        <v/>
      </c>
      <c r="F1990" s="55"/>
      <c r="G1990" s="55" t="str">
        <f>IF($A1990=0,"",VLOOKUP($A1990,'BASE MATERIAL'!$A:$D,4))</f>
        <v/>
      </c>
      <c r="H1990" s="56" t="str">
        <f t="shared" si="180"/>
        <v/>
      </c>
      <c r="I1990" s="2"/>
      <c r="L1990" s="2"/>
      <c r="M1990" s="2"/>
      <c r="N1990" s="39"/>
      <c r="O1990" s="2"/>
      <c r="P1990" s="2"/>
    </row>
    <row r="1991" spans="1:16" x14ac:dyDescent="0.25">
      <c r="B1991" s="38" t="str">
        <f>IF($A1991=0,"",VLOOKUP($A1991,'BASE MATERIAL'!$A:$D,2))</f>
        <v/>
      </c>
      <c r="C1991" s="2"/>
      <c r="D1991" s="77"/>
      <c r="E1991" s="78" t="str">
        <f>IF($A1991=0,"",VLOOKUP($A1991,'BASE MATERIAL'!$A:$D,3))</f>
        <v/>
      </c>
      <c r="F1991" s="55"/>
      <c r="G1991" s="55" t="str">
        <f>IF($A1991=0,"",VLOOKUP($A1991,'BASE MATERIAL'!$A:$D,4))</f>
        <v/>
      </c>
      <c r="H1991" s="56" t="str">
        <f t="shared" si="180"/>
        <v/>
      </c>
      <c r="I1991" s="2"/>
      <c r="L1991" s="2"/>
      <c r="M1991" s="2"/>
      <c r="N1991" s="39"/>
      <c r="O1991" s="2"/>
      <c r="P1991" s="2"/>
    </row>
    <row r="1992" spans="1:16" x14ac:dyDescent="0.25">
      <c r="B1992" s="38" t="str">
        <f>IF($A1992=0,"",VLOOKUP($A1992,'BASE MATERIAL'!$A:$D,2))</f>
        <v/>
      </c>
      <c r="C1992" s="2"/>
      <c r="D1992" s="77"/>
      <c r="E1992" s="78" t="str">
        <f>IF($A1992=0,"",VLOOKUP($A1992,'BASE MATERIAL'!$A:$D,3))</f>
        <v/>
      </c>
      <c r="F1992" s="55"/>
      <c r="G1992" s="55" t="str">
        <f>IF($A1992=0,"",VLOOKUP($A1992,'BASE MATERIAL'!$A:$D,4))</f>
        <v/>
      </c>
      <c r="H1992" s="56" t="str">
        <f t="shared" si="180"/>
        <v/>
      </c>
      <c r="I1992" s="2"/>
      <c r="L1992" s="2"/>
      <c r="M1992" s="2"/>
      <c r="N1992" s="39"/>
      <c r="O1992" s="2"/>
      <c r="P1992" s="2"/>
    </row>
    <row r="1993" spans="1:16" x14ac:dyDescent="0.25">
      <c r="B1993" s="38" t="str">
        <f>IF($A1993=0,"",VLOOKUP($A1993,'BASE MATERIAL'!$A:$D,2))</f>
        <v/>
      </c>
      <c r="C1993" s="2"/>
      <c r="D1993" s="77"/>
      <c r="E1993" s="78" t="str">
        <f>IF($A1993=0,"",VLOOKUP($A1993,'BASE MATERIAL'!$A:$D,3))</f>
        <v/>
      </c>
      <c r="F1993" s="55"/>
      <c r="G1993" s="55" t="str">
        <f>IF($A1993=0,"",VLOOKUP($A1993,'BASE MATERIAL'!$A:$D,4))</f>
        <v/>
      </c>
      <c r="H1993" s="56" t="str">
        <f t="shared" si="180"/>
        <v/>
      </c>
      <c r="I1993" s="2"/>
      <c r="L1993" s="2"/>
      <c r="M1993" s="2"/>
      <c r="N1993" s="39"/>
      <c r="O1993" s="2"/>
      <c r="P1993" s="2"/>
    </row>
    <row r="1994" spans="1:16" x14ac:dyDescent="0.25">
      <c r="B1994" s="38" t="str">
        <f>IF($A1994=0,"",VLOOKUP($A1994,'BASE MATERIAL'!$A:$D,2))</f>
        <v/>
      </c>
      <c r="C1994" s="2"/>
      <c r="D1994" s="77"/>
      <c r="E1994" s="78" t="str">
        <f>IF($A1994=0,"",VLOOKUP($A1994,'BASE MATERIAL'!$A:$D,3))</f>
        <v/>
      </c>
      <c r="F1994" s="55"/>
      <c r="G1994" s="55" t="str">
        <f>IF($A1994=0,"",VLOOKUP($A1994,'BASE MATERIAL'!$A:$D,4))</f>
        <v/>
      </c>
      <c r="H1994" s="56" t="str">
        <f t="shared" si="180"/>
        <v/>
      </c>
      <c r="I1994" s="2"/>
      <c r="L1994" s="2"/>
      <c r="M1994" s="2"/>
      <c r="N1994" s="39"/>
      <c r="O1994" s="2"/>
      <c r="P1994" s="2"/>
    </row>
    <row r="1995" spans="1:16" x14ac:dyDescent="0.25">
      <c r="B1995" s="38" t="str">
        <f>IF($A1995=0,"",VLOOKUP($A1995,'BASE MATERIAL'!$A:$D,2))</f>
        <v/>
      </c>
      <c r="C1995" s="2"/>
      <c r="D1995" s="77"/>
      <c r="E1995" s="78" t="str">
        <f>IF($A1995=0,"",VLOOKUP($A1995,'BASE MATERIAL'!$A:$D,3))</f>
        <v/>
      </c>
      <c r="F1995" s="55"/>
      <c r="G1995" s="55" t="str">
        <f>IF($A1995=0,"",VLOOKUP($A1995,'BASE MATERIAL'!$A:$D,4))</f>
        <v/>
      </c>
      <c r="H1995" s="56" t="str">
        <f t="shared" si="180"/>
        <v/>
      </c>
      <c r="I1995" s="2"/>
      <c r="L1995" s="2"/>
      <c r="M1995" s="2"/>
      <c r="N1995" s="39"/>
      <c r="O1995" s="2"/>
      <c r="P1995" s="2"/>
    </row>
    <row r="1996" spans="1:16" x14ac:dyDescent="0.25">
      <c r="B1996" s="38" t="str">
        <f>IF($A1996=0,"",VLOOKUP($A1996,'BASE MATERIAL'!$A:$D,2))</f>
        <v/>
      </c>
      <c r="C1996" s="2"/>
      <c r="D1996" s="77"/>
      <c r="E1996" s="78" t="str">
        <f>IF($A1996=0,"",VLOOKUP($A1996,'BASE MATERIAL'!$A:$D,3))</f>
        <v/>
      </c>
      <c r="F1996" s="55"/>
      <c r="G1996" s="55" t="str">
        <f>IF($A1996=0,"",VLOOKUP($A1996,'BASE MATERIAL'!$A:$D,4))</f>
        <v/>
      </c>
      <c r="H1996" s="56" t="str">
        <f t="shared" si="180"/>
        <v/>
      </c>
      <c r="I1996" s="2"/>
      <c r="L1996" s="2"/>
      <c r="M1996" s="2"/>
      <c r="N1996" s="39"/>
      <c r="O1996" s="2"/>
      <c r="P1996" s="2"/>
    </row>
    <row r="1997" spans="1:16" x14ac:dyDescent="0.25">
      <c r="B1997" s="38" t="str">
        <f>IF($A1997=0,"",VLOOKUP($A1997,'BASE MATERIAL'!$A:$D,2))</f>
        <v/>
      </c>
      <c r="C1997" s="2"/>
      <c r="D1997" s="77"/>
      <c r="E1997" s="78" t="str">
        <f>IF($A1997=0,"",VLOOKUP($A1997,'BASE MATERIAL'!$A:$D,3))</f>
        <v/>
      </c>
      <c r="F1997" s="55"/>
      <c r="G1997" s="55" t="str">
        <f>IF($A1997=0,"",VLOOKUP($A1997,'BASE MATERIAL'!$A:$D,4))</f>
        <v/>
      </c>
      <c r="H1997" s="56" t="str">
        <f t="shared" si="180"/>
        <v/>
      </c>
      <c r="I1997" s="2"/>
    </row>
    <row r="1998" spans="1:16" x14ac:dyDescent="0.25">
      <c r="B1998" s="38" t="str">
        <f>IF($A1998=0,"",VLOOKUP($A1998,'BASE MATERIAL'!$A:$D,2))</f>
        <v/>
      </c>
      <c r="C1998" s="2"/>
      <c r="D1998" s="77"/>
      <c r="E1998" s="78" t="str">
        <f>IF($A1998=0,"",VLOOKUP($A1998,'BASE MATERIAL'!$A:$D,3))</f>
        <v/>
      </c>
      <c r="F1998" s="55"/>
      <c r="G1998" s="55" t="str">
        <f>IF($A1998=0,"",VLOOKUP($A1998,'BASE MATERIAL'!$A:$D,4))</f>
        <v/>
      </c>
      <c r="H1998" s="56" t="str">
        <f t="shared" si="180"/>
        <v/>
      </c>
      <c r="I1998" s="2"/>
      <c r="L1998" s="2"/>
      <c r="M1998" s="2"/>
      <c r="N1998" s="39"/>
      <c r="O1998" s="2"/>
      <c r="P1998" s="2"/>
    </row>
    <row r="1999" spans="1:16" x14ac:dyDescent="0.25">
      <c r="B1999" s="38" t="str">
        <f>IF($A1999=0,"",VLOOKUP($A1999,'BASE MATERIAL'!$A:$D,2))</f>
        <v/>
      </c>
      <c r="C1999" s="2"/>
      <c r="D1999" s="77"/>
      <c r="E1999" s="78" t="str">
        <f>IF($A1999=0,"",VLOOKUP($A1999,'BASE MATERIAL'!$A:$D,3))</f>
        <v/>
      </c>
      <c r="F1999" s="55"/>
      <c r="G1999" s="55" t="str">
        <f>IF($A1999=0,"",VLOOKUP($A1999,'BASE MATERIAL'!$A:$D,4))</f>
        <v/>
      </c>
      <c r="H1999" s="56" t="str">
        <f t="shared" si="180"/>
        <v/>
      </c>
      <c r="I1999" s="2"/>
      <c r="L1999" s="2"/>
      <c r="M1999" s="2"/>
      <c r="N1999" s="39"/>
      <c r="O1999" s="2"/>
      <c r="P1999" s="2"/>
    </row>
    <row r="2000" spans="1:16" x14ac:dyDescent="0.25">
      <c r="B2000" s="38" t="str">
        <f>IF($A2000=0,"",VLOOKUP($A2000,'BASE MATERIAL'!$A:$D,2))</f>
        <v/>
      </c>
      <c r="C2000" s="2"/>
      <c r="D2000" s="77"/>
      <c r="E2000" s="78" t="str">
        <f>IF($A2000=0,"",VLOOKUP($A2000,'BASE MATERIAL'!$A:$D,3))</f>
        <v/>
      </c>
      <c r="F2000" s="55"/>
      <c r="G2000" s="55" t="str">
        <f>IF($A2000=0,"",VLOOKUP($A2000,'BASE MATERIAL'!$A:$D,4))</f>
        <v/>
      </c>
      <c r="H2000" s="56" t="str">
        <f t="shared" si="180"/>
        <v/>
      </c>
      <c r="I2000" s="2"/>
    </row>
    <row r="2001" spans="1:9" x14ac:dyDescent="0.25">
      <c r="B2001" s="38" t="str">
        <f>IF($A2001=0,"",VLOOKUP($A2001,'BASE MATERIAL'!$A:$D,2))</f>
        <v/>
      </c>
      <c r="C2001" s="2"/>
      <c r="D2001" s="77"/>
      <c r="E2001" s="78" t="str">
        <f>IF($A2001=0,"",VLOOKUP($A2001,'BASE MATERIAL'!$A:$D,3))</f>
        <v/>
      </c>
      <c r="F2001" s="55"/>
      <c r="G2001" s="55" t="str">
        <f>IF($A2001=0,"",VLOOKUP($A2001,'BASE MATERIAL'!$A:$D,4))</f>
        <v/>
      </c>
      <c r="H2001" s="56" t="str">
        <f t="shared" si="180"/>
        <v/>
      </c>
      <c r="I2001" s="2"/>
    </row>
    <row r="2002" spans="1:9" x14ac:dyDescent="0.25">
      <c r="B2002" s="38" t="str">
        <f>IF($A2002=0,"",VLOOKUP($A2002,'BASE MATERIAL'!$A:$D,2))</f>
        <v/>
      </c>
      <c r="C2002" s="2"/>
      <c r="D2002" s="77"/>
      <c r="E2002" s="78" t="str">
        <f>IF($A2002=0,"",VLOOKUP($A2002,'BASE MATERIAL'!$A:$D,3))</f>
        <v/>
      </c>
      <c r="F2002" s="55"/>
      <c r="G2002" s="55" t="str">
        <f>IF($A2002=0,"",VLOOKUP($A2002,'BASE MATERIAL'!$A:$D,4))</f>
        <v/>
      </c>
      <c r="H2002" s="56" t="str">
        <f t="shared" si="180"/>
        <v/>
      </c>
      <c r="I2002" s="2"/>
    </row>
    <row r="2003" spans="1:9" x14ac:dyDescent="0.25">
      <c r="B2003" s="38" t="str">
        <f>IF($A2003=0,"",VLOOKUP($A2003,'BASE MATERIAL'!$A:$D,2))</f>
        <v/>
      </c>
      <c r="C2003" s="2"/>
      <c r="D2003" s="77"/>
      <c r="E2003" s="78" t="str">
        <f>IF($A2003=0,"",VLOOKUP($A2003,'BASE MATERIAL'!$A:$D,3))</f>
        <v/>
      </c>
      <c r="F2003" s="55"/>
      <c r="G2003" s="55" t="str">
        <f>IF($A2003=0,"",VLOOKUP($A2003,'BASE MATERIAL'!$A:$D,4))</f>
        <v/>
      </c>
      <c r="H2003" s="56" t="str">
        <f t="shared" si="180"/>
        <v/>
      </c>
      <c r="I2003" s="2"/>
    </row>
    <row r="2004" spans="1:9" x14ac:dyDescent="0.25">
      <c r="B2004" s="38" t="str">
        <f>IF($A2004=0,"",VLOOKUP($A2004,'BASE MATERIAL'!$A:$D,2))</f>
        <v/>
      </c>
      <c r="C2004" s="2"/>
      <c r="D2004" s="81" t="s">
        <v>1682</v>
      </c>
      <c r="E2004" s="55" t="str">
        <f>IF($A2004=0,"",VLOOKUP($A2004,'BASE MATERIAL'!$A:$D,3))</f>
        <v/>
      </c>
      <c r="F2004" s="55" t="s">
        <v>1682</v>
      </c>
      <c r="G2004" s="55" t="str">
        <f>IF($A2004=0,"",VLOOKUP($A2004,'BASE MATERIAL'!$A:$D,4))</f>
        <v/>
      </c>
      <c r="H2004" s="56" t="str">
        <f>IF($A2004=0,"",ROUND(E2004*F2004,2))</f>
        <v/>
      </c>
      <c r="I2004" s="2"/>
    </row>
    <row r="2005" spans="1:9" x14ac:dyDescent="0.25">
      <c r="B2005" s="73" t="s">
        <v>1681</v>
      </c>
      <c r="C2005" s="65"/>
      <c r="D2005" s="74"/>
      <c r="E2005" s="74"/>
      <c r="F2005" s="74"/>
      <c r="G2005" s="74"/>
      <c r="H2005" s="75">
        <f>ROUND(SUM(H1988:H2004),2)</f>
        <v>25</v>
      </c>
      <c r="I2005" s="2"/>
    </row>
    <row r="2006" spans="1:9" x14ac:dyDescent="0.25">
      <c r="B2006" s="38" t="s">
        <v>1680</v>
      </c>
      <c r="C2006" s="2"/>
      <c r="D2006" s="3"/>
      <c r="E2006" s="3"/>
      <c r="F2006" s="3"/>
      <c r="G2006" s="3"/>
      <c r="H2006" s="56"/>
      <c r="I2006" s="2"/>
    </row>
    <row r="2007" spans="1:9" ht="25.5" x14ac:dyDescent="0.25">
      <c r="B2007" s="64" t="s">
        <v>1409</v>
      </c>
      <c r="C2007" s="65"/>
      <c r="D2007" s="76"/>
      <c r="E2007" s="66" t="s">
        <v>1408</v>
      </c>
      <c r="F2007" s="66" t="s">
        <v>1679</v>
      </c>
      <c r="G2007" s="66" t="s">
        <v>1676</v>
      </c>
      <c r="H2007" s="68" t="s">
        <v>1675</v>
      </c>
      <c r="I2007" s="2"/>
    </row>
    <row r="2008" spans="1:9" x14ac:dyDescent="0.25">
      <c r="A2008" s="103">
        <v>19019</v>
      </c>
      <c r="B2008" s="51" t="str">
        <f>IF($A2008=0,"",VLOOKUP($A2008,'BASE EQUIPO'!$A:$D,2))</f>
        <v>TRANSPORTE DE MATERIAL</v>
      </c>
      <c r="C2008" s="52"/>
      <c r="D2008" s="82"/>
      <c r="E2008" s="78" t="str">
        <f>IF($A2008=0,"",VLOOKUP($A2008,'BASE EQUIPO'!$A:$D,3))</f>
        <v>GLOBAL</v>
      </c>
      <c r="F2008" s="55">
        <v>1</v>
      </c>
      <c r="G2008" s="83">
        <f>IF($A2008=0,"",VLOOKUP($A2008,'BASE EQUIPO'!$A:$D,4)*H2005)</f>
        <v>0.75</v>
      </c>
      <c r="H2008" s="56">
        <f>IF($A2008=0,"",ROUND(F2008*G2008,2))</f>
        <v>0.75</v>
      </c>
      <c r="I2008" s="2"/>
    </row>
    <row r="2009" spans="1:9" x14ac:dyDescent="0.25">
      <c r="B2009" s="38" t="str">
        <f>IF($A2009=0,"",VLOOKUP($A2009,'BASE EQUIPO'!$A:$D,2))</f>
        <v/>
      </c>
      <c r="C2009" s="2"/>
      <c r="D2009" s="84"/>
      <c r="E2009" s="78" t="str">
        <f>IF($A2009=0,"",VLOOKUP($A2009,'BASE EQUIPO'!$A:$D,3))</f>
        <v/>
      </c>
      <c r="F2009" s="55"/>
      <c r="G2009" s="55" t="str">
        <f>IF($A2009=0,"",VLOOKUP($A2009,'BASE EQUIPO'!$A:$D,4)*H2006)</f>
        <v/>
      </c>
      <c r="H2009" s="56" t="str">
        <f>IF($A2009=0,"",ROUND(F2009*G2009,2))</f>
        <v/>
      </c>
      <c r="I2009" s="2"/>
    </row>
    <row r="2010" spans="1:9" x14ac:dyDescent="0.25">
      <c r="B2010" s="57" t="str">
        <f>IF($A2010=0,"",VLOOKUP($A2010,'BASE EQUIPO'!$A:$D,2))</f>
        <v/>
      </c>
      <c r="C2010" s="58"/>
      <c r="D2010" s="85"/>
      <c r="E2010" s="86" t="str">
        <f>IF($A2010=0,"",VLOOKUP($A2010,'BASE EQUIPO'!$A:$D,3))</f>
        <v/>
      </c>
      <c r="F2010" s="59"/>
      <c r="G2010" s="59" t="str">
        <f>IF($A2010=0,"",VLOOKUP($A2010,'BASE EQUIPO'!$A:$D,4)*H2007)</f>
        <v/>
      </c>
      <c r="H2010" s="60" t="str">
        <f>IF($A2010=0,"",ROUND(F2010*G2010,2))</f>
        <v/>
      </c>
      <c r="I2010" s="2"/>
    </row>
    <row r="2011" spans="1:9" ht="15.75" thickBot="1" x14ac:dyDescent="0.3">
      <c r="B2011" s="87" t="s">
        <v>1674</v>
      </c>
      <c r="C2011" s="88"/>
      <c r="D2011" s="89"/>
      <c r="E2011" s="89"/>
      <c r="F2011" s="89"/>
      <c r="G2011" s="89"/>
      <c r="H2011" s="90">
        <f>ROUND(SUM(H2007:H2010),2)</f>
        <v>0.75</v>
      </c>
      <c r="I2011" s="2"/>
    </row>
    <row r="2012" spans="1:9" ht="15.75" x14ac:dyDescent="0.25">
      <c r="B2012" s="2"/>
      <c r="C2012" s="2"/>
      <c r="D2012" s="91" t="s">
        <v>1673</v>
      </c>
      <c r="E2012" s="47"/>
      <c r="F2012" s="47"/>
      <c r="G2012" s="47"/>
      <c r="H2012" s="92">
        <f>ROUND(SUM(H2011,H2005,H1986,H1976),2)</f>
        <v>25.75</v>
      </c>
      <c r="I2012" s="2"/>
    </row>
    <row r="2013" spans="1:9" ht="15.75" x14ac:dyDescent="0.25">
      <c r="A2013" s="103">
        <v>40002</v>
      </c>
      <c r="B2013" s="2"/>
      <c r="C2013" s="2"/>
      <c r="D2013" s="93" t="s">
        <v>1672</v>
      </c>
      <c r="E2013" s="65"/>
      <c r="F2013" s="65"/>
      <c r="G2013" s="94">
        <f>IF($A2013=0,"",VLOOKUP($A2013,'BASE MATERIAL'!$M:$P,4))</f>
        <v>0</v>
      </c>
      <c r="H2013" s="95">
        <f>IF($A2013=0,"",ROUND(G2013*H2012,2))</f>
        <v>0</v>
      </c>
      <c r="I2013" s="2"/>
    </row>
    <row r="2014" spans="1:9" ht="15.75" x14ac:dyDescent="0.25">
      <c r="A2014" s="103">
        <v>40003</v>
      </c>
      <c r="B2014" s="2"/>
      <c r="C2014" s="2"/>
      <c r="D2014" s="93" t="s">
        <v>1671</v>
      </c>
      <c r="E2014" s="65"/>
      <c r="F2014" s="65"/>
      <c r="G2014" s="94">
        <f>IF($A2014=0,"",VLOOKUP($A2014,'BASE MATERIAL'!$M:$P,4))</f>
        <v>0</v>
      </c>
      <c r="H2014" s="95">
        <f>IF($A2014=0,"",ROUND(G2014*H2012,2))</f>
        <v>0</v>
      </c>
      <c r="I2014" s="2"/>
    </row>
    <row r="2015" spans="1:9" ht="15.75" x14ac:dyDescent="0.25">
      <c r="B2015" s="2"/>
      <c r="C2015" s="2"/>
      <c r="D2015" s="93" t="s">
        <v>1670</v>
      </c>
      <c r="E2015" s="65"/>
      <c r="F2015" s="65"/>
      <c r="G2015" s="65"/>
      <c r="H2015" s="96">
        <f>ROUND(SUM(H2012:H2014),2)</f>
        <v>25.75</v>
      </c>
      <c r="I2015" s="2"/>
    </row>
    <row r="2016" spans="1:9" ht="16.5" thickBot="1" x14ac:dyDescent="0.3">
      <c r="B2016" s="25"/>
      <c r="C2016" s="2"/>
      <c r="D2016" s="97" t="s">
        <v>1650</v>
      </c>
      <c r="E2016" s="88"/>
      <c r="F2016" s="88"/>
      <c r="G2016" s="88"/>
      <c r="H2016" s="98">
        <f>ROUND(H2015,2)</f>
        <v>25.75</v>
      </c>
      <c r="I2016" s="2"/>
    </row>
    <row r="2017" spans="1:15" ht="15.75" x14ac:dyDescent="0.25">
      <c r="B2017" s="34" t="s">
        <v>1701</v>
      </c>
      <c r="C2017" s="2"/>
      <c r="D2017" s="3" t="str">
        <f>$D$1</f>
        <v>ESPOL</v>
      </c>
      <c r="E2017" s="2"/>
      <c r="F2017" s="2"/>
      <c r="H2017" s="2" t="s">
        <v>108</v>
      </c>
      <c r="I2017" s="2"/>
      <c r="L2017" s="40">
        <f>A2021</f>
        <v>2</v>
      </c>
      <c r="M2017" s="1" t="str">
        <f>C2022</f>
        <v>Drenaje largo para empate de equipo</v>
      </c>
      <c r="N2017" s="2" t="str">
        <f>H2021</f>
        <v>unidad</v>
      </c>
      <c r="O2017" s="2">
        <f>H2072</f>
        <v>51.5</v>
      </c>
    </row>
    <row r="2018" spans="1:15" ht="15.75" x14ac:dyDescent="0.25">
      <c r="B2018" s="34" t="s">
        <v>1700</v>
      </c>
      <c r="C2018" s="3">
        <f>'1.1'!$C$2</f>
        <v>0</v>
      </c>
      <c r="D2018" s="2"/>
      <c r="E2018" s="2"/>
      <c r="F2018" s="2"/>
      <c r="G2018" s="41" t="s">
        <v>1699</v>
      </c>
      <c r="H2018" s="42"/>
      <c r="I2018" s="2" t="s">
        <v>1698</v>
      </c>
    </row>
    <row r="2019" spans="1:15" ht="15.75" x14ac:dyDescent="0.25">
      <c r="B2019" s="34"/>
      <c r="C2019" s="3">
        <f>'1.1'!$C$3</f>
        <v>0</v>
      </c>
      <c r="D2019" s="2"/>
      <c r="E2019" s="2"/>
      <c r="F2019" s="2"/>
      <c r="G2019" s="2"/>
      <c r="H2019" s="2"/>
      <c r="I2019" s="2"/>
    </row>
    <row r="2020" spans="1:15" ht="15.75" x14ac:dyDescent="0.25">
      <c r="B2020" s="34" t="s">
        <v>1697</v>
      </c>
      <c r="C2020" s="3"/>
      <c r="D2020" s="2"/>
      <c r="E2020" s="2"/>
      <c r="F2020" s="2"/>
      <c r="G2020" s="2"/>
      <c r="H2020" s="2"/>
      <c r="I2020" s="2"/>
    </row>
    <row r="2021" spans="1:15" x14ac:dyDescent="0.25">
      <c r="A2021" s="104">
        <v>2</v>
      </c>
      <c r="B2021" s="2" t="s">
        <v>1586</v>
      </c>
      <c r="C2021" s="101" t="s">
        <v>187</v>
      </c>
      <c r="D2021" s="2"/>
      <c r="G2021" s="2" t="s">
        <v>1696</v>
      </c>
      <c r="H2021" s="3" t="s">
        <v>126</v>
      </c>
      <c r="I2021" s="2"/>
    </row>
    <row r="2022" spans="1:15" x14ac:dyDescent="0.25">
      <c r="B2022" s="1" t="s">
        <v>1585</v>
      </c>
      <c r="C2022" s="36" t="s">
        <v>170</v>
      </c>
      <c r="D2022" s="2"/>
      <c r="E2022" s="2"/>
      <c r="F2022" s="2"/>
      <c r="G2022" s="2"/>
      <c r="H2022" s="2"/>
      <c r="I2022" s="2"/>
    </row>
    <row r="2023" spans="1:15" ht="15.75" thickBot="1" x14ac:dyDescent="0.3">
      <c r="D2023" s="2"/>
      <c r="E2023" s="2"/>
      <c r="F2023" s="2"/>
      <c r="G2023" s="2"/>
      <c r="H2023" s="2"/>
      <c r="I2023" s="2"/>
    </row>
    <row r="2024" spans="1:15" ht="15.75" thickBot="1" x14ac:dyDescent="0.3">
      <c r="B2024" s="43" t="s">
        <v>1695</v>
      </c>
      <c r="C2024" s="44"/>
      <c r="D2024" s="44"/>
      <c r="E2024" s="44"/>
      <c r="F2024" s="44"/>
      <c r="G2024" s="44"/>
      <c r="H2024" s="45"/>
      <c r="I2024" s="2"/>
    </row>
    <row r="2025" spans="1:15" ht="25.5" x14ac:dyDescent="0.25">
      <c r="B2025" s="46" t="s">
        <v>1409</v>
      </c>
      <c r="C2025" s="47"/>
      <c r="D2025" s="48" t="s">
        <v>1690</v>
      </c>
      <c r="E2025" s="48" t="s">
        <v>1694</v>
      </c>
      <c r="F2025" s="48" t="s">
        <v>1693</v>
      </c>
      <c r="G2025" s="49" t="s">
        <v>1687</v>
      </c>
      <c r="H2025" s="50" t="s">
        <v>1686</v>
      </c>
      <c r="I2025" s="2"/>
    </row>
    <row r="2026" spans="1:15" x14ac:dyDescent="0.25">
      <c r="B2026" s="51" t="str">
        <f>IF($A2026=0,"",VLOOKUP($A2026,'BASE EQUIPO'!$A:$D,2))</f>
        <v/>
      </c>
      <c r="C2026" s="52"/>
      <c r="D2026" s="53"/>
      <c r="E2026" s="53" t="str">
        <f>IF($A2026=0,"",VLOOKUP($A2026,'BASE EQUIPO'!$A:$D,4)*H2042)</f>
        <v/>
      </c>
      <c r="F2026" s="53" t="str">
        <f t="shared" ref="F2026:F2031" si="181">IF($A2026=0,"",ROUND(D2026*E2026,2))</f>
        <v/>
      </c>
      <c r="G2026" s="105"/>
      <c r="H2026" s="54" t="str">
        <f t="shared" ref="H2026:H2031" si="182">IF($A2026=0,"",ROUND(G2026*F2026,2))</f>
        <v/>
      </c>
      <c r="I2026" s="2"/>
    </row>
    <row r="2027" spans="1:15" x14ac:dyDescent="0.25">
      <c r="B2027" s="38" t="str">
        <f>IF($A2027=0,"",VLOOKUP($A2027,'BASE EQUIPO'!$A:$D,2))</f>
        <v/>
      </c>
      <c r="C2027" s="2"/>
      <c r="D2027" s="55"/>
      <c r="E2027" s="55" t="str">
        <f>IF($A2027=0,"",VLOOKUP($A2027,'BASE EQUIPO'!$A:$D,4))</f>
        <v/>
      </c>
      <c r="F2027" s="55" t="str">
        <f t="shared" si="181"/>
        <v/>
      </c>
      <c r="G2027" s="106"/>
      <c r="H2027" s="56" t="str">
        <f t="shared" si="182"/>
        <v/>
      </c>
      <c r="I2027" s="2"/>
    </row>
    <row r="2028" spans="1:15" x14ac:dyDescent="0.25">
      <c r="B2028" s="38" t="str">
        <f>IF($A2028=0,"",VLOOKUP($A2028,'BASE EQUIPO'!$A:$D,2))</f>
        <v/>
      </c>
      <c r="C2028" s="2"/>
      <c r="D2028" s="55"/>
      <c r="E2028" s="55" t="str">
        <f>IF($A2028=0,"",VLOOKUP($A2028,'BASE EQUIPO'!$A:$D,4))</f>
        <v/>
      </c>
      <c r="F2028" s="55" t="str">
        <f t="shared" si="181"/>
        <v/>
      </c>
      <c r="G2028" s="106"/>
      <c r="H2028" s="56" t="str">
        <f t="shared" si="182"/>
        <v/>
      </c>
      <c r="I2028" s="2"/>
    </row>
    <row r="2029" spans="1:15" x14ac:dyDescent="0.25">
      <c r="B2029" s="38" t="str">
        <f>IF($A2029=0,"",VLOOKUP($A2029,'BASE EQUIPO'!$A:$D,2))</f>
        <v/>
      </c>
      <c r="C2029" s="2"/>
      <c r="D2029" s="55"/>
      <c r="E2029" s="55" t="str">
        <f>IF($A2029=0,"",VLOOKUP($A2029,'BASE EQUIPO'!$A:$D,4))</f>
        <v/>
      </c>
      <c r="F2029" s="55" t="str">
        <f t="shared" si="181"/>
        <v/>
      </c>
      <c r="G2029" s="106"/>
      <c r="H2029" s="56" t="str">
        <f t="shared" si="182"/>
        <v/>
      </c>
      <c r="I2029" s="2"/>
    </row>
    <row r="2030" spans="1:15" x14ac:dyDescent="0.25">
      <c r="B2030" s="38" t="str">
        <f>IF($A2030=0,"",VLOOKUP($A2030,'BASE EQUIPO'!$A:$D,2))</f>
        <v/>
      </c>
      <c r="C2030" s="2"/>
      <c r="D2030" s="55"/>
      <c r="E2030" s="55" t="str">
        <f>IF($A2030=0,"",VLOOKUP($A2030,'BASE EQUIPO'!$A:$D,4))</f>
        <v/>
      </c>
      <c r="F2030" s="55" t="str">
        <f t="shared" si="181"/>
        <v/>
      </c>
      <c r="G2030" s="106"/>
      <c r="H2030" s="56" t="str">
        <f t="shared" si="182"/>
        <v/>
      </c>
      <c r="I2030" s="2"/>
    </row>
    <row r="2031" spans="1:15" x14ac:dyDescent="0.25">
      <c r="B2031" s="57" t="str">
        <f>IF($A2031=0,"",VLOOKUP($A2031,'BASE EQUIPO'!$A:$D,2))</f>
        <v/>
      </c>
      <c r="C2031" s="58"/>
      <c r="D2031" s="59"/>
      <c r="E2031" s="59" t="str">
        <f>IF($A2031=0,"",VLOOKUP($A2031,'BASE EQUIPO'!$A:$D,4))</f>
        <v/>
      </c>
      <c r="F2031" s="59" t="str">
        <f t="shared" si="181"/>
        <v/>
      </c>
      <c r="G2031" s="107"/>
      <c r="H2031" s="60" t="str">
        <f t="shared" si="182"/>
        <v/>
      </c>
      <c r="I2031" s="2"/>
    </row>
    <row r="2032" spans="1:15" x14ac:dyDescent="0.25">
      <c r="B2032" s="57" t="s">
        <v>1692</v>
      </c>
      <c r="C2032" s="58"/>
      <c r="D2032" s="61"/>
      <c r="E2032" s="61"/>
      <c r="F2032" s="61"/>
      <c r="G2032" s="62"/>
      <c r="H2032" s="60">
        <f>ROUND(SUM(H2025:H2031),2)</f>
        <v>0</v>
      </c>
      <c r="I2032" s="2"/>
    </row>
    <row r="2033" spans="1:16" x14ac:dyDescent="0.25">
      <c r="B2033" s="38" t="s">
        <v>1503</v>
      </c>
      <c r="C2033" s="2"/>
      <c r="D2033" s="3"/>
      <c r="E2033" s="3"/>
      <c r="F2033" s="3"/>
      <c r="G2033" s="63"/>
      <c r="H2033" s="56"/>
      <c r="I2033" s="2"/>
    </row>
    <row r="2034" spans="1:16" ht="25.5" x14ac:dyDescent="0.25">
      <c r="B2034" s="64" t="s">
        <v>1691</v>
      </c>
      <c r="C2034" s="65"/>
      <c r="D2034" s="66" t="s">
        <v>1690</v>
      </c>
      <c r="E2034" s="66" t="s">
        <v>1689</v>
      </c>
      <c r="F2034" s="66" t="s">
        <v>1688</v>
      </c>
      <c r="G2034" s="67" t="s">
        <v>1687</v>
      </c>
      <c r="H2034" s="68" t="s">
        <v>1686</v>
      </c>
      <c r="I2034" s="2"/>
    </row>
    <row r="2035" spans="1:16" x14ac:dyDescent="0.25">
      <c r="B2035" s="69" t="str">
        <f>IF($A2035=0,"",VLOOKUP($A2035,'BASE M-OBRA'!$A:$D,2))</f>
        <v/>
      </c>
      <c r="C2035" s="2"/>
      <c r="D2035" s="108"/>
      <c r="E2035" s="70" t="str">
        <f>IF($A2035=0,"",VLOOKUP($A2035,'BASE M-OBRA'!$A:$D,4))</f>
        <v/>
      </c>
      <c r="F2035" s="55" t="str">
        <f t="shared" ref="F2035:F2041" si="183">IF($A2035=0,"",ROUND(D2035*E2035,2))</f>
        <v/>
      </c>
      <c r="G2035" s="106" t="str">
        <f>IF($A2035=0,"",ROUND(H2035/F2035,2))</f>
        <v/>
      </c>
      <c r="H2035" s="56" t="str">
        <f>IF($A2035=0,"",ROUND(SUM(H2036:H2041)*'BASE M-OBRA'!$D$23,2))</f>
        <v/>
      </c>
      <c r="I2035" s="2"/>
    </row>
    <row r="2036" spans="1:16" x14ac:dyDescent="0.25">
      <c r="B2036" s="69" t="str">
        <f>IF($A2036=0,"",VLOOKUP($A2036,'BASE M-OBRA'!$A:$D,2))</f>
        <v/>
      </c>
      <c r="C2036" s="2"/>
      <c r="D2036" s="108"/>
      <c r="E2036" s="70" t="str">
        <f>IF($A2036=0,"",VLOOKUP($A2036,'BASE M-OBRA'!$A:$D,4))</f>
        <v/>
      </c>
      <c r="F2036" s="55" t="str">
        <f t="shared" si="183"/>
        <v/>
      </c>
      <c r="G2036" s="106"/>
      <c r="H2036" s="56" t="str">
        <f t="shared" ref="H2036:H2041" si="184">IF($A2036=0,"",ROUND(G2036*F2036,2))</f>
        <v/>
      </c>
      <c r="I2036" s="2"/>
    </row>
    <row r="2037" spans="1:16" x14ac:dyDescent="0.25">
      <c r="B2037" s="69" t="str">
        <f>IF($A2037=0,"",VLOOKUP($A2037,'BASE M-OBRA'!$A:$D,2))</f>
        <v/>
      </c>
      <c r="C2037" s="2"/>
      <c r="D2037" s="108"/>
      <c r="E2037" s="70" t="str">
        <f>IF($A2037=0,"",VLOOKUP($A2037,'BASE M-OBRA'!$A:$D,4))</f>
        <v/>
      </c>
      <c r="F2037" s="55" t="str">
        <f t="shared" si="183"/>
        <v/>
      </c>
      <c r="G2037" s="106"/>
      <c r="H2037" s="56" t="str">
        <f t="shared" si="184"/>
        <v/>
      </c>
      <c r="I2037" s="2"/>
    </row>
    <row r="2038" spans="1:16" x14ac:dyDescent="0.25">
      <c r="B2038" s="71" t="str">
        <f>IF($A2038=0,"",VLOOKUP($A2038,'BASE M-OBRA'!$A:$D,2))</f>
        <v/>
      </c>
      <c r="C2038" s="2"/>
      <c r="D2038" s="108"/>
      <c r="E2038" s="70" t="str">
        <f>IF($A2038=0,"",VLOOKUP($A2038,'BASE M-OBRA'!$A:$D,4))</f>
        <v/>
      </c>
      <c r="F2038" s="55" t="str">
        <f t="shared" si="183"/>
        <v/>
      </c>
      <c r="G2038" s="106"/>
      <c r="H2038" s="56" t="str">
        <f t="shared" si="184"/>
        <v/>
      </c>
      <c r="I2038" s="2"/>
    </row>
    <row r="2039" spans="1:16" x14ac:dyDescent="0.25">
      <c r="B2039" s="72" t="str">
        <f>IF($A2039=0,"",VLOOKUP($A2039,'BASE M-OBRA'!$A:$D,2))</f>
        <v/>
      </c>
      <c r="C2039" s="2"/>
      <c r="D2039" s="108"/>
      <c r="E2039" s="70" t="str">
        <f>IF($A2039=0,"",VLOOKUP($A2039,'BASE M-OBRA'!$A:$D,4))</f>
        <v/>
      </c>
      <c r="F2039" s="55" t="str">
        <f t="shared" si="183"/>
        <v/>
      </c>
      <c r="G2039" s="106"/>
      <c r="H2039" s="56" t="str">
        <f t="shared" si="184"/>
        <v/>
      </c>
      <c r="I2039" s="2"/>
    </row>
    <row r="2040" spans="1:16" x14ac:dyDescent="0.25">
      <c r="B2040" s="38" t="str">
        <f>IF($A2040=0,"",VLOOKUP($A2040,'BASE M-OBRA'!$A:$D,2))</f>
        <v/>
      </c>
      <c r="C2040" s="2"/>
      <c r="D2040" s="55"/>
      <c r="E2040" s="55" t="str">
        <f>IF($A2040=0,"",VLOOKUP($A2040,'BASE M-OBRA'!$A:$D,4))</f>
        <v/>
      </c>
      <c r="F2040" s="55" t="str">
        <f t="shared" si="183"/>
        <v/>
      </c>
      <c r="G2040" s="106"/>
      <c r="H2040" s="56" t="str">
        <f t="shared" si="184"/>
        <v/>
      </c>
      <c r="I2040" s="2"/>
    </row>
    <row r="2041" spans="1:16" x14ac:dyDescent="0.25">
      <c r="B2041" s="57" t="str">
        <f>IF($A2041=0,"",VLOOKUP($A2041,'BASE M-OBRA'!$A:$D,2))</f>
        <v/>
      </c>
      <c r="C2041" s="58"/>
      <c r="D2041" s="59"/>
      <c r="E2041" s="59" t="str">
        <f>IF($A2041=0,"",VLOOKUP($A2041,'BASE M-OBRA'!$A:$D,4))</f>
        <v/>
      </c>
      <c r="F2041" s="59" t="str">
        <f t="shared" si="183"/>
        <v/>
      </c>
      <c r="G2041" s="107"/>
      <c r="H2041" s="60" t="str">
        <f t="shared" si="184"/>
        <v/>
      </c>
      <c r="I2041" s="2"/>
    </row>
    <row r="2042" spans="1:16" x14ac:dyDescent="0.25">
      <c r="B2042" s="73" t="s">
        <v>1685</v>
      </c>
      <c r="C2042" s="65"/>
      <c r="D2042" s="74"/>
      <c r="E2042" s="74"/>
      <c r="F2042" s="74"/>
      <c r="G2042" s="74"/>
      <c r="H2042" s="75">
        <f>ROUND(SUM(H2034:H2041),2)</f>
        <v>0</v>
      </c>
      <c r="I2042" s="2"/>
    </row>
    <row r="2043" spans="1:16" x14ac:dyDescent="0.25">
      <c r="B2043" s="38" t="s">
        <v>1684</v>
      </c>
      <c r="C2043" s="2"/>
      <c r="D2043" s="3"/>
      <c r="E2043" s="3"/>
      <c r="F2043" s="3"/>
      <c r="G2043" s="3"/>
      <c r="H2043" s="56"/>
      <c r="I2043" s="2"/>
    </row>
    <row r="2044" spans="1:16" ht="25.5" x14ac:dyDescent="0.25">
      <c r="B2044" s="64" t="s">
        <v>1409</v>
      </c>
      <c r="C2044" s="65"/>
      <c r="D2044" s="76"/>
      <c r="E2044" s="66" t="s">
        <v>1408</v>
      </c>
      <c r="F2044" s="66" t="s">
        <v>1679</v>
      </c>
      <c r="G2044" s="66" t="s">
        <v>1683</v>
      </c>
      <c r="H2044" s="68" t="s">
        <v>1675</v>
      </c>
      <c r="I2044" s="2"/>
    </row>
    <row r="2045" spans="1:16" x14ac:dyDescent="0.25">
      <c r="A2045" s="103">
        <v>1</v>
      </c>
      <c r="B2045" s="102" t="s">
        <v>170</v>
      </c>
      <c r="C2045" s="2"/>
      <c r="D2045" s="77"/>
      <c r="E2045" s="78" t="s">
        <v>1506</v>
      </c>
      <c r="F2045" s="55">
        <v>1</v>
      </c>
      <c r="G2045" s="55">
        <v>50</v>
      </c>
      <c r="H2045" s="56">
        <f t="shared" ref="H2045:H2059" si="185">IF($A2045=0,"",ROUND(F2045*G2045,2))</f>
        <v>50</v>
      </c>
      <c r="I2045" s="2"/>
      <c r="J2045" s="1">
        <v>49</v>
      </c>
      <c r="L2045" s="2"/>
      <c r="M2045" s="2"/>
      <c r="N2045" s="39"/>
      <c r="O2045" s="2"/>
      <c r="P2045" s="2"/>
    </row>
    <row r="2046" spans="1:16" x14ac:dyDescent="0.25">
      <c r="B2046" s="102"/>
      <c r="C2046" s="2"/>
      <c r="D2046" s="77"/>
      <c r="E2046" s="78" t="str">
        <f>IF($A2046=0,"",VLOOKUP($A2046,'BASE MATERIAL'!$A:$D,3))</f>
        <v/>
      </c>
      <c r="F2046" s="55"/>
      <c r="G2046" s="55" t="str">
        <f>IF($A2046=0,"",VLOOKUP($A2046,'BASE MATERIAL'!$A:$D,4))</f>
        <v/>
      </c>
      <c r="H2046" s="56" t="str">
        <f t="shared" si="185"/>
        <v/>
      </c>
      <c r="I2046" s="2"/>
      <c r="L2046" s="2"/>
      <c r="M2046" s="2"/>
      <c r="N2046" s="39"/>
      <c r="O2046" s="2"/>
      <c r="P2046" s="2"/>
    </row>
    <row r="2047" spans="1:16" x14ac:dyDescent="0.25">
      <c r="B2047" s="38" t="str">
        <f>IF($A2047=0,"",VLOOKUP($A2047,'BASE MATERIAL'!$A:$D,2))</f>
        <v/>
      </c>
      <c r="C2047" s="2"/>
      <c r="D2047" s="77"/>
      <c r="E2047" s="78" t="str">
        <f>IF($A2047=0,"",VLOOKUP($A2047,'BASE MATERIAL'!$A:$D,3))</f>
        <v/>
      </c>
      <c r="F2047" s="55"/>
      <c r="G2047" s="55" t="str">
        <f>IF($A2047=0,"",VLOOKUP($A2047,'BASE MATERIAL'!$A:$D,4))</f>
        <v/>
      </c>
      <c r="H2047" s="56" t="str">
        <f t="shared" si="185"/>
        <v/>
      </c>
      <c r="I2047" s="2"/>
      <c r="L2047" s="2"/>
      <c r="M2047" s="2"/>
      <c r="N2047" s="39"/>
      <c r="O2047" s="2"/>
      <c r="P2047" s="2"/>
    </row>
    <row r="2048" spans="1:16" x14ac:dyDescent="0.25">
      <c r="B2048" s="38" t="str">
        <f>IF($A2048=0,"",VLOOKUP($A2048,'BASE MATERIAL'!$A:$D,2))</f>
        <v/>
      </c>
      <c r="C2048" s="2"/>
      <c r="D2048" s="77"/>
      <c r="E2048" s="78" t="str">
        <f>IF($A2048=0,"",VLOOKUP($A2048,'BASE MATERIAL'!$A:$D,3))</f>
        <v/>
      </c>
      <c r="F2048" s="55"/>
      <c r="G2048" s="55" t="str">
        <f>IF($A2048=0,"",VLOOKUP($A2048,'BASE MATERIAL'!$A:$D,4))</f>
        <v/>
      </c>
      <c r="H2048" s="56" t="str">
        <f t="shared" si="185"/>
        <v/>
      </c>
      <c r="I2048" s="2"/>
      <c r="L2048" s="2"/>
      <c r="M2048" s="2"/>
      <c r="N2048" s="39"/>
      <c r="O2048" s="2"/>
      <c r="P2048" s="2"/>
    </row>
    <row r="2049" spans="1:16" x14ac:dyDescent="0.25">
      <c r="B2049" s="38" t="str">
        <f>IF($A2049=0,"",VLOOKUP($A2049,'BASE MATERIAL'!$A:$D,2))</f>
        <v/>
      </c>
      <c r="C2049" s="2"/>
      <c r="D2049" s="77"/>
      <c r="E2049" s="78" t="str">
        <f>IF($A2049=0,"",VLOOKUP($A2049,'BASE MATERIAL'!$A:$D,3))</f>
        <v/>
      </c>
      <c r="F2049" s="55"/>
      <c r="G2049" s="55" t="str">
        <f>IF($A2049=0,"",VLOOKUP($A2049,'BASE MATERIAL'!$A:$D,4))</f>
        <v/>
      </c>
      <c r="H2049" s="56" t="str">
        <f t="shared" si="185"/>
        <v/>
      </c>
      <c r="I2049" s="2"/>
      <c r="L2049" s="2"/>
      <c r="M2049" s="2"/>
      <c r="N2049" s="39"/>
      <c r="O2049" s="2"/>
      <c r="P2049" s="2"/>
    </row>
    <row r="2050" spans="1:16" x14ac:dyDescent="0.25">
      <c r="B2050" s="38" t="str">
        <f>IF($A2050=0,"",VLOOKUP($A2050,'BASE MATERIAL'!$A:$D,2))</f>
        <v/>
      </c>
      <c r="C2050" s="2"/>
      <c r="D2050" s="77"/>
      <c r="E2050" s="78" t="str">
        <f>IF($A2050=0,"",VLOOKUP($A2050,'BASE MATERIAL'!$A:$D,3))</f>
        <v/>
      </c>
      <c r="F2050" s="55"/>
      <c r="G2050" s="55" t="str">
        <f>IF($A2050=0,"",VLOOKUP($A2050,'BASE MATERIAL'!$A:$D,4))</f>
        <v/>
      </c>
      <c r="H2050" s="56" t="str">
        <f t="shared" si="185"/>
        <v/>
      </c>
      <c r="I2050" s="2"/>
      <c r="L2050" s="2"/>
      <c r="M2050" s="2"/>
      <c r="N2050" s="39"/>
      <c r="O2050" s="2"/>
      <c r="P2050" s="2"/>
    </row>
    <row r="2051" spans="1:16" x14ac:dyDescent="0.25">
      <c r="B2051" s="38" t="str">
        <f>IF($A2051=0,"",VLOOKUP($A2051,'BASE MATERIAL'!$A:$D,2))</f>
        <v/>
      </c>
      <c r="C2051" s="2"/>
      <c r="D2051" s="77"/>
      <c r="E2051" s="78" t="str">
        <f>IF($A2051=0,"",VLOOKUP($A2051,'BASE MATERIAL'!$A:$D,3))</f>
        <v/>
      </c>
      <c r="F2051" s="55"/>
      <c r="G2051" s="55" t="str">
        <f>IF($A2051=0,"",VLOOKUP($A2051,'BASE MATERIAL'!$A:$D,4))</f>
        <v/>
      </c>
      <c r="H2051" s="56" t="str">
        <f t="shared" si="185"/>
        <v/>
      </c>
      <c r="I2051" s="2"/>
      <c r="L2051" s="2"/>
      <c r="M2051" s="2"/>
      <c r="N2051" s="39"/>
      <c r="O2051" s="2"/>
      <c r="P2051" s="2"/>
    </row>
    <row r="2052" spans="1:16" x14ac:dyDescent="0.25">
      <c r="B2052" s="38" t="str">
        <f>IF($A2052=0,"",VLOOKUP($A2052,'BASE MATERIAL'!$A:$D,2))</f>
        <v/>
      </c>
      <c r="C2052" s="2"/>
      <c r="D2052" s="77"/>
      <c r="E2052" s="78" t="str">
        <f>IF($A2052=0,"",VLOOKUP($A2052,'BASE MATERIAL'!$A:$D,3))</f>
        <v/>
      </c>
      <c r="F2052" s="55"/>
      <c r="G2052" s="55" t="str">
        <f>IF($A2052=0,"",VLOOKUP($A2052,'BASE MATERIAL'!$A:$D,4))</f>
        <v/>
      </c>
      <c r="H2052" s="56" t="str">
        <f t="shared" si="185"/>
        <v/>
      </c>
      <c r="I2052" s="2"/>
      <c r="L2052" s="2"/>
      <c r="M2052" s="2"/>
      <c r="N2052" s="39"/>
      <c r="O2052" s="2"/>
      <c r="P2052" s="2"/>
    </row>
    <row r="2053" spans="1:16" x14ac:dyDescent="0.25">
      <c r="B2053" s="38" t="str">
        <f>IF($A2053=0,"",VLOOKUP($A2053,'BASE MATERIAL'!$A:$D,2))</f>
        <v/>
      </c>
      <c r="C2053" s="2"/>
      <c r="D2053" s="77"/>
      <c r="E2053" s="78" t="str">
        <f>IF($A2053=0,"",VLOOKUP($A2053,'BASE MATERIAL'!$A:$D,3))</f>
        <v/>
      </c>
      <c r="F2053" s="55"/>
      <c r="G2053" s="55" t="str">
        <f>IF($A2053=0,"",VLOOKUP($A2053,'BASE MATERIAL'!$A:$D,4))</f>
        <v/>
      </c>
      <c r="H2053" s="56" t="str">
        <f t="shared" si="185"/>
        <v/>
      </c>
      <c r="I2053" s="2"/>
    </row>
    <row r="2054" spans="1:16" x14ac:dyDescent="0.25">
      <c r="B2054" s="38" t="str">
        <f>IF($A2054=0,"",VLOOKUP($A2054,'BASE MATERIAL'!$A:$D,2))</f>
        <v/>
      </c>
      <c r="C2054" s="2"/>
      <c r="D2054" s="77"/>
      <c r="E2054" s="78" t="str">
        <f>IF($A2054=0,"",VLOOKUP($A2054,'BASE MATERIAL'!$A:$D,3))</f>
        <v/>
      </c>
      <c r="F2054" s="55"/>
      <c r="G2054" s="55" t="str">
        <f>IF($A2054=0,"",VLOOKUP($A2054,'BASE MATERIAL'!$A:$D,4))</f>
        <v/>
      </c>
      <c r="H2054" s="56" t="str">
        <f t="shared" si="185"/>
        <v/>
      </c>
      <c r="I2054" s="2"/>
      <c r="L2054" s="2"/>
      <c r="M2054" s="2"/>
      <c r="N2054" s="39"/>
      <c r="O2054" s="2"/>
      <c r="P2054" s="2"/>
    </row>
    <row r="2055" spans="1:16" x14ac:dyDescent="0.25">
      <c r="B2055" s="38" t="str">
        <f>IF($A2055=0,"",VLOOKUP($A2055,'BASE MATERIAL'!$A:$D,2))</f>
        <v/>
      </c>
      <c r="C2055" s="2"/>
      <c r="D2055" s="77"/>
      <c r="E2055" s="78" t="str">
        <f>IF($A2055=0,"",VLOOKUP($A2055,'BASE MATERIAL'!$A:$D,3))</f>
        <v/>
      </c>
      <c r="F2055" s="55"/>
      <c r="G2055" s="55" t="str">
        <f>IF($A2055=0,"",VLOOKUP($A2055,'BASE MATERIAL'!$A:$D,4))</f>
        <v/>
      </c>
      <c r="H2055" s="56" t="str">
        <f t="shared" si="185"/>
        <v/>
      </c>
      <c r="I2055" s="2"/>
      <c r="L2055" s="2"/>
      <c r="M2055" s="2"/>
      <c r="N2055" s="39"/>
      <c r="O2055" s="2"/>
      <c r="P2055" s="2"/>
    </row>
    <row r="2056" spans="1:16" x14ac:dyDescent="0.25">
      <c r="B2056" s="38" t="str">
        <f>IF($A2056=0,"",VLOOKUP($A2056,'BASE MATERIAL'!$A:$D,2))</f>
        <v/>
      </c>
      <c r="C2056" s="2"/>
      <c r="D2056" s="77"/>
      <c r="E2056" s="78" t="str">
        <f>IF($A2056=0,"",VLOOKUP($A2056,'BASE MATERIAL'!$A:$D,3))</f>
        <v/>
      </c>
      <c r="F2056" s="55"/>
      <c r="G2056" s="55" t="str">
        <f>IF($A2056=0,"",VLOOKUP($A2056,'BASE MATERIAL'!$A:$D,4))</f>
        <v/>
      </c>
      <c r="H2056" s="56" t="str">
        <f t="shared" si="185"/>
        <v/>
      </c>
      <c r="I2056" s="2"/>
    </row>
    <row r="2057" spans="1:16" x14ac:dyDescent="0.25">
      <c r="B2057" s="38" t="str">
        <f>IF($A2057=0,"",VLOOKUP($A2057,'BASE MATERIAL'!$A:$D,2))</f>
        <v/>
      </c>
      <c r="C2057" s="2"/>
      <c r="D2057" s="77"/>
      <c r="E2057" s="78" t="str">
        <f>IF($A2057=0,"",VLOOKUP($A2057,'BASE MATERIAL'!$A:$D,3))</f>
        <v/>
      </c>
      <c r="F2057" s="55"/>
      <c r="G2057" s="55" t="str">
        <f>IF($A2057=0,"",VLOOKUP($A2057,'BASE MATERIAL'!$A:$D,4))</f>
        <v/>
      </c>
      <c r="H2057" s="56" t="str">
        <f t="shared" si="185"/>
        <v/>
      </c>
      <c r="I2057" s="2"/>
    </row>
    <row r="2058" spans="1:16" x14ac:dyDescent="0.25">
      <c r="B2058" s="38" t="str">
        <f>IF($A2058=0,"",VLOOKUP($A2058,'BASE MATERIAL'!$A:$D,2))</f>
        <v/>
      </c>
      <c r="C2058" s="2"/>
      <c r="D2058" s="77"/>
      <c r="E2058" s="78" t="str">
        <f>IF($A2058=0,"",VLOOKUP($A2058,'BASE MATERIAL'!$A:$D,3))</f>
        <v/>
      </c>
      <c r="F2058" s="55"/>
      <c r="G2058" s="55" t="str">
        <f>IF($A2058=0,"",VLOOKUP($A2058,'BASE MATERIAL'!$A:$D,4))</f>
        <v/>
      </c>
      <c r="H2058" s="56" t="str">
        <f t="shared" si="185"/>
        <v/>
      </c>
      <c r="I2058" s="2"/>
    </row>
    <row r="2059" spans="1:16" x14ac:dyDescent="0.25">
      <c r="B2059" s="38" t="str">
        <f>IF($A2059=0,"",VLOOKUP($A2059,'BASE MATERIAL'!$A:$D,2))</f>
        <v/>
      </c>
      <c r="C2059" s="2"/>
      <c r="D2059" s="77"/>
      <c r="E2059" s="78" t="str">
        <f>IF($A2059=0,"",VLOOKUP($A2059,'BASE MATERIAL'!$A:$D,3))</f>
        <v/>
      </c>
      <c r="F2059" s="55"/>
      <c r="G2059" s="55" t="str">
        <f>IF($A2059=0,"",VLOOKUP($A2059,'BASE MATERIAL'!$A:$D,4))</f>
        <v/>
      </c>
      <c r="H2059" s="56" t="str">
        <f t="shared" si="185"/>
        <v/>
      </c>
      <c r="I2059" s="2"/>
    </row>
    <row r="2060" spans="1:16" x14ac:dyDescent="0.25">
      <c r="B2060" s="38" t="str">
        <f>IF($A2060=0,"",VLOOKUP($A2060,'BASE MATERIAL'!$A:$D,2))</f>
        <v/>
      </c>
      <c r="C2060" s="2"/>
      <c r="D2060" s="81" t="s">
        <v>1682</v>
      </c>
      <c r="E2060" s="55" t="str">
        <f>IF($A2060=0,"",VLOOKUP($A2060,'BASE MATERIAL'!$A:$D,3))</f>
        <v/>
      </c>
      <c r="F2060" s="55" t="s">
        <v>1682</v>
      </c>
      <c r="G2060" s="55" t="str">
        <f>IF($A2060=0,"",VLOOKUP($A2060,'BASE MATERIAL'!$A:$D,4))</f>
        <v/>
      </c>
      <c r="H2060" s="56" t="str">
        <f>IF($A2060=0,"",ROUND(E2060*F2060,2))</f>
        <v/>
      </c>
      <c r="I2060" s="2"/>
    </row>
    <row r="2061" spans="1:16" x14ac:dyDescent="0.25">
      <c r="B2061" s="73" t="s">
        <v>1681</v>
      </c>
      <c r="C2061" s="65"/>
      <c r="D2061" s="74"/>
      <c r="E2061" s="74"/>
      <c r="F2061" s="74"/>
      <c r="G2061" s="74"/>
      <c r="H2061" s="75">
        <f>ROUND(SUM(H2044:H2060),2)</f>
        <v>50</v>
      </c>
      <c r="I2061" s="2"/>
    </row>
    <row r="2062" spans="1:16" x14ac:dyDescent="0.25">
      <c r="B2062" s="38" t="s">
        <v>1680</v>
      </c>
      <c r="C2062" s="2"/>
      <c r="D2062" s="3"/>
      <c r="E2062" s="3"/>
      <c r="F2062" s="3"/>
      <c r="G2062" s="3"/>
      <c r="H2062" s="56"/>
      <c r="I2062" s="2"/>
    </row>
    <row r="2063" spans="1:16" ht="25.5" x14ac:dyDescent="0.25">
      <c r="B2063" s="64" t="s">
        <v>1409</v>
      </c>
      <c r="C2063" s="65"/>
      <c r="D2063" s="76"/>
      <c r="E2063" s="66" t="s">
        <v>1408</v>
      </c>
      <c r="F2063" s="66" t="s">
        <v>1679</v>
      </c>
      <c r="G2063" s="66" t="s">
        <v>1676</v>
      </c>
      <c r="H2063" s="68" t="s">
        <v>1675</v>
      </c>
      <c r="I2063" s="2"/>
    </row>
    <row r="2064" spans="1:16" x14ac:dyDescent="0.25">
      <c r="A2064" s="103">
        <v>19019</v>
      </c>
      <c r="B2064" s="51" t="str">
        <f>IF($A2064=0,"",VLOOKUP($A2064,'BASE EQUIPO'!$A:$D,2))</f>
        <v>TRANSPORTE DE MATERIAL</v>
      </c>
      <c r="C2064" s="52"/>
      <c r="D2064" s="82"/>
      <c r="E2064" s="78" t="str">
        <f>IF($A2064=0,"",VLOOKUP($A2064,'BASE EQUIPO'!$A:$D,3))</f>
        <v>GLOBAL</v>
      </c>
      <c r="F2064" s="55">
        <v>1</v>
      </c>
      <c r="G2064" s="83">
        <f>IF($A2064=0,"",VLOOKUP($A2064,'BASE EQUIPO'!$A:$D,4)*H2061)</f>
        <v>1.5</v>
      </c>
      <c r="H2064" s="56">
        <f>IF($A2064=0,"",ROUND(F2064*G2064,2))</f>
        <v>1.5</v>
      </c>
      <c r="I2064" s="2"/>
    </row>
    <row r="2065" spans="1:15" x14ac:dyDescent="0.25">
      <c r="B2065" s="38" t="str">
        <f>IF($A2065=0,"",VLOOKUP($A2065,'BASE EQUIPO'!$A:$D,2))</f>
        <v/>
      </c>
      <c r="C2065" s="2"/>
      <c r="D2065" s="84"/>
      <c r="E2065" s="78" t="str">
        <f>IF($A2065=0,"",VLOOKUP($A2065,'BASE EQUIPO'!$A:$D,3))</f>
        <v/>
      </c>
      <c r="F2065" s="55"/>
      <c r="G2065" s="55" t="str">
        <f>IF($A2065=0,"",VLOOKUP($A2065,'BASE EQUIPO'!$A:$D,4)*H2062)</f>
        <v/>
      </c>
      <c r="H2065" s="56" t="str">
        <f>IF($A2065=0,"",ROUND(F2065*G2065,2))</f>
        <v/>
      </c>
      <c r="I2065" s="2"/>
    </row>
    <row r="2066" spans="1:15" x14ac:dyDescent="0.25">
      <c r="B2066" s="57" t="str">
        <f>IF($A2066=0,"",VLOOKUP($A2066,'BASE EQUIPO'!$A:$D,2))</f>
        <v/>
      </c>
      <c r="C2066" s="58"/>
      <c r="D2066" s="85"/>
      <c r="E2066" s="86" t="str">
        <f>IF($A2066=0,"",VLOOKUP($A2066,'BASE EQUIPO'!$A:$D,3))</f>
        <v/>
      </c>
      <c r="F2066" s="59"/>
      <c r="G2066" s="59" t="str">
        <f>IF($A2066=0,"",VLOOKUP($A2066,'BASE EQUIPO'!$A:$D,4)*H2063)</f>
        <v/>
      </c>
      <c r="H2066" s="60" t="str">
        <f>IF($A2066=0,"",ROUND(F2066*G2066,2))</f>
        <v/>
      </c>
      <c r="I2066" s="2"/>
    </row>
    <row r="2067" spans="1:15" ht="15.75" thickBot="1" x14ac:dyDescent="0.3">
      <c r="B2067" s="87" t="s">
        <v>1674</v>
      </c>
      <c r="C2067" s="88"/>
      <c r="D2067" s="89"/>
      <c r="E2067" s="89"/>
      <c r="F2067" s="89"/>
      <c r="G2067" s="89"/>
      <c r="H2067" s="90">
        <f>ROUND(SUM(H2063:H2066),2)</f>
        <v>1.5</v>
      </c>
      <c r="I2067" s="2"/>
    </row>
    <row r="2068" spans="1:15" ht="15.75" x14ac:dyDescent="0.25">
      <c r="B2068" s="2"/>
      <c r="C2068" s="2"/>
      <c r="D2068" s="91" t="s">
        <v>1673</v>
      </c>
      <c r="E2068" s="47"/>
      <c r="F2068" s="47"/>
      <c r="G2068" s="47"/>
      <c r="H2068" s="92">
        <f>ROUND(SUM(H2067,H2061,H2042,H2032),2)</f>
        <v>51.5</v>
      </c>
      <c r="I2068" s="2"/>
    </row>
    <row r="2069" spans="1:15" ht="15.75" x14ac:dyDescent="0.25">
      <c r="A2069" s="103">
        <v>40002</v>
      </c>
      <c r="B2069" s="2"/>
      <c r="C2069" s="2"/>
      <c r="D2069" s="93" t="s">
        <v>1672</v>
      </c>
      <c r="E2069" s="65"/>
      <c r="F2069" s="65"/>
      <c r="G2069" s="94">
        <f>IF($A2069=0,"",VLOOKUP($A2069,'BASE MATERIAL'!$M:$P,4))</f>
        <v>0</v>
      </c>
      <c r="H2069" s="95">
        <f>IF($A2069=0,"",ROUND(G2069*H2068,2))</f>
        <v>0</v>
      </c>
      <c r="I2069" s="2"/>
    </row>
    <row r="2070" spans="1:15" ht="15.75" x14ac:dyDescent="0.25">
      <c r="A2070" s="103">
        <v>40003</v>
      </c>
      <c r="B2070" s="2"/>
      <c r="C2070" s="2"/>
      <c r="D2070" s="93" t="s">
        <v>1671</v>
      </c>
      <c r="E2070" s="65"/>
      <c r="F2070" s="65"/>
      <c r="G2070" s="94">
        <f>IF($A2070=0,"",VLOOKUP($A2070,'BASE MATERIAL'!$M:$P,4))</f>
        <v>0</v>
      </c>
      <c r="H2070" s="95">
        <f>IF($A2070=0,"",ROUND(G2070*H2068,2))</f>
        <v>0</v>
      </c>
      <c r="I2070" s="2"/>
    </row>
    <row r="2071" spans="1:15" ht="15.75" x14ac:dyDescent="0.25">
      <c r="B2071" s="2"/>
      <c r="C2071" s="2"/>
      <c r="D2071" s="93" t="s">
        <v>1670</v>
      </c>
      <c r="E2071" s="65"/>
      <c r="F2071" s="65"/>
      <c r="G2071" s="65"/>
      <c r="H2071" s="96">
        <f>ROUND(SUM(H2068:H2070),2)</f>
        <v>51.5</v>
      </c>
      <c r="I2071" s="2"/>
    </row>
    <row r="2072" spans="1:15" ht="16.5" thickBot="1" x14ac:dyDescent="0.3">
      <c r="B2072" s="25"/>
      <c r="C2072" s="2"/>
      <c r="D2072" s="97" t="s">
        <v>1650</v>
      </c>
      <c r="E2072" s="88"/>
      <c r="F2072" s="88"/>
      <c r="G2072" s="88"/>
      <c r="H2072" s="98">
        <f>ROUND(H2071,2)</f>
        <v>51.5</v>
      </c>
      <c r="I2072" s="2"/>
    </row>
    <row r="2073" spans="1:15" ht="15.75" x14ac:dyDescent="0.25">
      <c r="B2073" s="34" t="s">
        <v>1701</v>
      </c>
      <c r="C2073" s="2"/>
      <c r="D2073" s="3" t="str">
        <f>$D$1</f>
        <v>ESPOL</v>
      </c>
      <c r="E2073" s="2"/>
      <c r="F2073" s="2"/>
      <c r="H2073" s="2" t="s">
        <v>108</v>
      </c>
      <c r="I2073" s="2"/>
      <c r="L2073" s="40">
        <f>A2077</f>
        <v>2</v>
      </c>
      <c r="M2073" s="1" t="str">
        <f>C2078</f>
        <v>Soportería para ductos incluye: angulos, cadena y varilla roscada.</v>
      </c>
      <c r="N2073" s="2" t="str">
        <f>H2077</f>
        <v>unidad</v>
      </c>
      <c r="O2073" s="2">
        <f>H2128</f>
        <v>6363.69</v>
      </c>
    </row>
    <row r="2074" spans="1:15" ht="15.75" x14ac:dyDescent="0.25">
      <c r="B2074" s="34" t="s">
        <v>1700</v>
      </c>
      <c r="C2074" s="3">
        <f>'1.1'!$C$2</f>
        <v>0</v>
      </c>
      <c r="D2074" s="2"/>
      <c r="E2074" s="2"/>
      <c r="F2074" s="2"/>
      <c r="G2074" s="41" t="s">
        <v>1699</v>
      </c>
      <c r="H2074" s="42"/>
      <c r="I2074" s="2" t="s">
        <v>1698</v>
      </c>
    </row>
    <row r="2075" spans="1:15" ht="15.75" x14ac:dyDescent="0.25">
      <c r="B2075" s="34"/>
      <c r="C2075" s="3">
        <f>'1.1'!$C$3</f>
        <v>0</v>
      </c>
      <c r="D2075" s="2"/>
      <c r="E2075" s="2"/>
      <c r="F2075" s="2"/>
      <c r="G2075" s="2"/>
      <c r="H2075" s="2"/>
      <c r="I2075" s="2"/>
    </row>
    <row r="2076" spans="1:15" ht="15.75" x14ac:dyDescent="0.25">
      <c r="B2076" s="34" t="s">
        <v>1697</v>
      </c>
      <c r="C2076" s="3"/>
      <c r="D2076" s="2"/>
      <c r="E2076" s="2"/>
      <c r="F2076" s="2"/>
      <c r="G2076" s="2"/>
      <c r="H2076" s="2"/>
      <c r="I2076" s="2"/>
    </row>
    <row r="2077" spans="1:15" x14ac:dyDescent="0.25">
      <c r="A2077" s="104">
        <v>2</v>
      </c>
      <c r="B2077" s="2" t="s">
        <v>1586</v>
      </c>
      <c r="C2077" s="101" t="s">
        <v>188</v>
      </c>
      <c r="D2077" s="2"/>
      <c r="G2077" s="2" t="s">
        <v>1696</v>
      </c>
      <c r="H2077" s="3" t="s">
        <v>126</v>
      </c>
      <c r="I2077" s="2"/>
    </row>
    <row r="2078" spans="1:15" x14ac:dyDescent="0.25">
      <c r="B2078" s="1" t="s">
        <v>1585</v>
      </c>
      <c r="C2078" s="36" t="s">
        <v>189</v>
      </c>
      <c r="D2078" s="2"/>
      <c r="E2078" s="2"/>
      <c r="F2078" s="2"/>
      <c r="G2078" s="2"/>
      <c r="H2078" s="2"/>
      <c r="I2078" s="2"/>
    </row>
    <row r="2079" spans="1:15" ht="15.75" thickBot="1" x14ac:dyDescent="0.3">
      <c r="D2079" s="2"/>
      <c r="E2079" s="2"/>
      <c r="F2079" s="2"/>
      <c r="G2079" s="2"/>
      <c r="H2079" s="2"/>
      <c r="I2079" s="2"/>
    </row>
    <row r="2080" spans="1:15" ht="15.75" thickBot="1" x14ac:dyDescent="0.3">
      <c r="B2080" s="43" t="s">
        <v>1695</v>
      </c>
      <c r="C2080" s="44"/>
      <c r="D2080" s="44"/>
      <c r="E2080" s="44"/>
      <c r="F2080" s="44"/>
      <c r="G2080" s="44"/>
      <c r="H2080" s="45"/>
      <c r="I2080" s="2"/>
    </row>
    <row r="2081" spans="1:11" ht="25.5" x14ac:dyDescent="0.25">
      <c r="B2081" s="46" t="s">
        <v>1409</v>
      </c>
      <c r="C2081" s="47"/>
      <c r="D2081" s="48" t="s">
        <v>1690</v>
      </c>
      <c r="E2081" s="48" t="s">
        <v>1694</v>
      </c>
      <c r="F2081" s="48" t="s">
        <v>1693</v>
      </c>
      <c r="G2081" s="49" t="s">
        <v>1687</v>
      </c>
      <c r="H2081" s="50" t="s">
        <v>1686</v>
      </c>
      <c r="I2081" s="2"/>
    </row>
    <row r="2082" spans="1:11" x14ac:dyDescent="0.25">
      <c r="A2082" s="103">
        <v>19015</v>
      </c>
      <c r="B2082" s="51" t="str">
        <f>IF($A2082=0,"",VLOOKUP($A2082,'BASE EQUIPO'!$A:$D,2))</f>
        <v>HERRAMIENTA MENOR</v>
      </c>
      <c r="C2082" s="52"/>
      <c r="D2082" s="53">
        <v>1</v>
      </c>
      <c r="E2082" s="53">
        <f>IF($A2082=0,"",VLOOKUP($A2082,'BASE EQUIPO'!$A:$D,4)*H2098)</f>
        <v>58.8294</v>
      </c>
      <c r="F2082" s="53">
        <f t="shared" ref="F2082:F2087" si="186">IF($A2082=0,"",ROUND(D2082*E2082,2))</f>
        <v>58.83</v>
      </c>
      <c r="G2082" s="105">
        <v>1</v>
      </c>
      <c r="H2082" s="54">
        <f t="shared" ref="H2082:H2087" si="187">IF($A2082=0,"",ROUND(G2082*F2082,2))</f>
        <v>58.83</v>
      </c>
      <c r="I2082" s="2"/>
    </row>
    <row r="2083" spans="1:11" x14ac:dyDescent="0.25">
      <c r="A2083" s="103">
        <v>19011</v>
      </c>
      <c r="B2083" s="38" t="str">
        <f>IF($A2083=0,"",VLOOKUP($A2083,'BASE EQUIPO'!$A:$D,2))</f>
        <v>SOLDADORA</v>
      </c>
      <c r="C2083" s="2"/>
      <c r="D2083" s="55">
        <v>1</v>
      </c>
      <c r="E2083" s="55">
        <f>IF($A2083=0,"",VLOOKUP($A2083,'BASE EQUIPO'!$A:$D,4))</f>
        <v>2.5</v>
      </c>
      <c r="F2083" s="55">
        <f t="shared" si="186"/>
        <v>2.5</v>
      </c>
      <c r="G2083" s="106">
        <f>ROUND(G2092*0.25,3)</f>
        <v>34.5</v>
      </c>
      <c r="H2083" s="56">
        <f t="shared" si="187"/>
        <v>86.25</v>
      </c>
      <c r="I2083" s="2"/>
    </row>
    <row r="2084" spans="1:11" x14ac:dyDescent="0.25">
      <c r="A2084" s="103">
        <v>19023</v>
      </c>
      <c r="B2084" s="38" t="str">
        <f>IF($A2084=0,"",VLOOKUP($A2084,'BASE EQUIPO'!$A:$D,2))</f>
        <v>COMPRESOR Y PISTOLA</v>
      </c>
      <c r="C2084" s="2"/>
      <c r="D2084" s="55">
        <v>1</v>
      </c>
      <c r="E2084" s="55">
        <f>IF($A2084=0,"",VLOOKUP($A2084,'BASE EQUIPO'!$A:$D,4))</f>
        <v>1.875</v>
      </c>
      <c r="F2084" s="55">
        <f t="shared" si="186"/>
        <v>1.88</v>
      </c>
      <c r="G2084" s="106">
        <f>+G2083</f>
        <v>34.5</v>
      </c>
      <c r="H2084" s="56">
        <f t="shared" si="187"/>
        <v>64.86</v>
      </c>
      <c r="I2084" s="2"/>
    </row>
    <row r="2085" spans="1:11" x14ac:dyDescent="0.25">
      <c r="B2085" s="38" t="str">
        <f>IF($A2085=0,"",VLOOKUP($A2085,'BASE EQUIPO'!$A:$D,2))</f>
        <v/>
      </c>
      <c r="C2085" s="2"/>
      <c r="D2085" s="55"/>
      <c r="E2085" s="55" t="str">
        <f>IF($A2085=0,"",VLOOKUP($A2085,'BASE EQUIPO'!$A:$D,4))</f>
        <v/>
      </c>
      <c r="F2085" s="55" t="str">
        <f t="shared" si="186"/>
        <v/>
      </c>
      <c r="G2085" s="106"/>
      <c r="H2085" s="56" t="str">
        <f t="shared" si="187"/>
        <v/>
      </c>
      <c r="I2085" s="2"/>
    </row>
    <row r="2086" spans="1:11" x14ac:dyDescent="0.25">
      <c r="B2086" s="38" t="str">
        <f>IF($A2086=0,"",VLOOKUP($A2086,'BASE EQUIPO'!$A:$D,2))</f>
        <v/>
      </c>
      <c r="C2086" s="2"/>
      <c r="D2086" s="55"/>
      <c r="E2086" s="55" t="str">
        <f>IF($A2086=0,"",VLOOKUP($A2086,'BASE EQUIPO'!$A:$D,4))</f>
        <v/>
      </c>
      <c r="F2086" s="55" t="str">
        <f t="shared" si="186"/>
        <v/>
      </c>
      <c r="G2086" s="106"/>
      <c r="H2086" s="56" t="str">
        <f t="shared" si="187"/>
        <v/>
      </c>
      <c r="I2086" s="2"/>
    </row>
    <row r="2087" spans="1:11" x14ac:dyDescent="0.25">
      <c r="B2087" s="57" t="str">
        <f>IF($A2087=0,"",VLOOKUP($A2087,'BASE EQUIPO'!$A:$D,2))</f>
        <v/>
      </c>
      <c r="C2087" s="58"/>
      <c r="D2087" s="59"/>
      <c r="E2087" s="59" t="str">
        <f>IF($A2087=0,"",VLOOKUP($A2087,'BASE EQUIPO'!$A:$D,4))</f>
        <v/>
      </c>
      <c r="F2087" s="59" t="str">
        <f t="shared" si="186"/>
        <v/>
      </c>
      <c r="G2087" s="107"/>
      <c r="H2087" s="60" t="str">
        <f t="shared" si="187"/>
        <v/>
      </c>
      <c r="I2087" s="2"/>
    </row>
    <row r="2088" spans="1:11" x14ac:dyDescent="0.25">
      <c r="B2088" s="57" t="s">
        <v>1692</v>
      </c>
      <c r="C2088" s="58"/>
      <c r="D2088" s="61"/>
      <c r="E2088" s="61"/>
      <c r="F2088" s="61"/>
      <c r="G2088" s="62"/>
      <c r="H2088" s="60">
        <f>ROUND(SUM(H2081:H2087),2)</f>
        <v>209.94</v>
      </c>
      <c r="I2088" s="2"/>
    </row>
    <row r="2089" spans="1:11" x14ac:dyDescent="0.25">
      <c r="B2089" s="38" t="s">
        <v>1503</v>
      </c>
      <c r="C2089" s="2"/>
      <c r="D2089" s="3"/>
      <c r="E2089" s="3"/>
      <c r="F2089" s="3"/>
      <c r="G2089" s="63"/>
      <c r="H2089" s="56"/>
      <c r="I2089" s="2"/>
    </row>
    <row r="2090" spans="1:11" ht="25.5" x14ac:dyDescent="0.25">
      <c r="B2090" s="64" t="s">
        <v>1691</v>
      </c>
      <c r="C2090" s="65"/>
      <c r="D2090" s="66" t="s">
        <v>1690</v>
      </c>
      <c r="E2090" s="66" t="s">
        <v>1689</v>
      </c>
      <c r="F2090" s="66" t="s">
        <v>1688</v>
      </c>
      <c r="G2090" s="67" t="s">
        <v>1687</v>
      </c>
      <c r="H2090" s="68" t="s">
        <v>1686</v>
      </c>
      <c r="I2090" s="2"/>
    </row>
    <row r="2091" spans="1:11" x14ac:dyDescent="0.25">
      <c r="B2091" s="69" t="str">
        <f>IF($A2091=0,"",VLOOKUP($A2091,'BASE M-OBRA'!$A:$D,2))</f>
        <v/>
      </c>
      <c r="C2091" s="2"/>
      <c r="D2091" s="108"/>
      <c r="E2091" s="70" t="str">
        <f>IF($A2091=0,"",VLOOKUP($A2091,'BASE M-OBRA'!$A:$D,4))</f>
        <v/>
      </c>
      <c r="F2091" s="55" t="str">
        <f t="shared" ref="F2091:F2096" si="188">IF($A2091=0,"",ROUND(D2091*E2091,2))</f>
        <v/>
      </c>
      <c r="G2091" s="106" t="str">
        <f>IF($A2091=0,"",ROUND(H2091/F2091,2))</f>
        <v/>
      </c>
      <c r="H2091" s="56" t="str">
        <f>IF($A2091=0,"",ROUND(SUM(H2092:H2097)*'BASE M-OBRA'!$D$23,2))</f>
        <v/>
      </c>
      <c r="I2091" s="2"/>
    </row>
    <row r="2092" spans="1:11" x14ac:dyDescent="0.25">
      <c r="A2092" s="103">
        <v>20006</v>
      </c>
      <c r="B2092" s="69" t="str">
        <f>IF($A2092=0,"",VLOOKUP($A2092,'BASE M-OBRA'!$A:$D,2))</f>
        <v>MAESTRO  SOLDADOR</v>
      </c>
      <c r="C2092" s="2"/>
      <c r="D2092" s="108">
        <v>1</v>
      </c>
      <c r="E2092" s="70">
        <f>IF($A2092=0,"",VLOOKUP($A2092,'BASE M-OBRA'!$A:$D,4))</f>
        <v>3.02</v>
      </c>
      <c r="F2092" s="55">
        <f t="shared" si="188"/>
        <v>3.02</v>
      </c>
      <c r="G2092" s="106">
        <f>0.06*F2102</f>
        <v>138</v>
      </c>
      <c r="H2092" s="56">
        <f t="shared" ref="H2092:H2097" si="189">IF($A2092=0,"",ROUND(G2092*F2092,2))</f>
        <v>416.76</v>
      </c>
      <c r="I2092" s="2"/>
    </row>
    <row r="2093" spans="1:11" x14ac:dyDescent="0.25">
      <c r="A2093" s="103">
        <v>20011</v>
      </c>
      <c r="B2093" s="69" t="str">
        <f>IF($A2093=0,"",VLOOKUP($A2093,'BASE M-OBRA'!$A:$D,2))</f>
        <v>AYUDANTE ESPECIALISTA</v>
      </c>
      <c r="C2093" s="2"/>
      <c r="D2093" s="108">
        <v>2</v>
      </c>
      <c r="E2093" s="70">
        <f>IF($A2093=0,"",VLOOKUP($A2093,'BASE M-OBRA'!$A:$D,4))</f>
        <v>2.79</v>
      </c>
      <c r="F2093" s="55">
        <f t="shared" si="188"/>
        <v>5.58</v>
      </c>
      <c r="G2093" s="106">
        <f>+G2092</f>
        <v>138</v>
      </c>
      <c r="H2093" s="56">
        <f t="shared" si="189"/>
        <v>770.04</v>
      </c>
      <c r="I2093" s="2"/>
    </row>
    <row r="2094" spans="1:11" x14ac:dyDescent="0.25">
      <c r="A2094" s="103">
        <v>20018</v>
      </c>
      <c r="B2094" s="71" t="str">
        <f>IF($A2094=0,"",VLOOKUP($A2094,'BASE M-OBRA'!$A:$D,2))</f>
        <v>PINTOR</v>
      </c>
      <c r="C2094" s="2"/>
      <c r="D2094" s="108">
        <v>1</v>
      </c>
      <c r="E2094" s="70">
        <f>IF($A2094=0,"",VLOOKUP($A2094,'BASE M-OBRA'!$A:$D,4))</f>
        <v>2.82</v>
      </c>
      <c r="F2094" s="55">
        <f t="shared" si="188"/>
        <v>2.82</v>
      </c>
      <c r="G2094" s="106">
        <f>+G2093</f>
        <v>138</v>
      </c>
      <c r="H2094" s="56">
        <f t="shared" si="189"/>
        <v>389.16</v>
      </c>
      <c r="I2094" s="2"/>
      <c r="K2094" s="1">
        <f>3*2.9</f>
        <v>8.6999999999999993</v>
      </c>
    </row>
    <row r="2095" spans="1:11" x14ac:dyDescent="0.25">
      <c r="A2095" s="103">
        <v>20011</v>
      </c>
      <c r="B2095" s="72" t="str">
        <f>IF($A2095=0,"",VLOOKUP($A2095,'BASE M-OBRA'!$A:$D,2))</f>
        <v>AYUDANTE ESPECIALISTA</v>
      </c>
      <c r="C2095" s="2"/>
      <c r="D2095" s="108">
        <v>1</v>
      </c>
      <c r="E2095" s="70">
        <f>IF($A2095=0,"",VLOOKUP($A2095,'BASE M-OBRA'!$A:$D,4))</f>
        <v>2.79</v>
      </c>
      <c r="F2095" s="55">
        <f t="shared" si="188"/>
        <v>2.79</v>
      </c>
      <c r="G2095" s="106">
        <f>+G2094</f>
        <v>138</v>
      </c>
      <c r="H2095" s="56">
        <f t="shared" si="189"/>
        <v>385.02</v>
      </c>
      <c r="I2095" s="2"/>
      <c r="K2095" s="1">
        <f>70*0.15</f>
        <v>10.5</v>
      </c>
    </row>
    <row r="2096" spans="1:11" x14ac:dyDescent="0.25">
      <c r="B2096" s="38" t="str">
        <f>IF($A2096=0,"",VLOOKUP($A2096,'BASE M-OBRA'!$A:$D,2))</f>
        <v/>
      </c>
      <c r="C2096" s="2"/>
      <c r="D2096" s="55"/>
      <c r="E2096" s="55" t="str">
        <f>IF($A2096=0,"",VLOOKUP($A2096,'BASE M-OBRA'!$A:$D,4))</f>
        <v/>
      </c>
      <c r="F2096" s="55" t="str">
        <f t="shared" si="188"/>
        <v/>
      </c>
      <c r="G2096" s="106"/>
      <c r="H2096" s="56" t="str">
        <f t="shared" si="189"/>
        <v/>
      </c>
      <c r="I2096" s="2"/>
    </row>
    <row r="2097" spans="1:16" x14ac:dyDescent="0.25">
      <c r="B2097" s="57" t="str">
        <f>IF($A2097=0,"",VLOOKUP($A2097,'BASE M-OBRA'!$A:$D,2))</f>
        <v/>
      </c>
      <c r="C2097" s="58"/>
      <c r="D2097" s="59"/>
      <c r="E2097" s="59" t="str">
        <f>IF($A2097=0,"",VLOOKUP($A2097,'BASE M-OBRA'!$A:$D,4))</f>
        <v/>
      </c>
      <c r="F2097" s="59" t="str">
        <f>IF($A2097=0,"",ROUND(D2097*E2097,2))</f>
        <v/>
      </c>
      <c r="G2097" s="107"/>
      <c r="H2097" s="60" t="str">
        <f t="shared" si="189"/>
        <v/>
      </c>
      <c r="I2097" s="2"/>
    </row>
    <row r="2098" spans="1:16" x14ac:dyDescent="0.25">
      <c r="B2098" s="73" t="s">
        <v>1685</v>
      </c>
      <c r="C2098" s="65"/>
      <c r="D2098" s="74"/>
      <c r="E2098" s="74"/>
      <c r="F2098" s="74"/>
      <c r="G2098" s="74"/>
      <c r="H2098" s="75">
        <f>ROUND(SUM(H2090:H2097),2)</f>
        <v>1960.98</v>
      </c>
      <c r="I2098" s="2"/>
    </row>
    <row r="2099" spans="1:16" x14ac:dyDescent="0.25">
      <c r="B2099" s="38" t="s">
        <v>1684</v>
      </c>
      <c r="C2099" s="2"/>
      <c r="D2099" s="3"/>
      <c r="E2099" s="3"/>
      <c r="F2099" s="3"/>
      <c r="G2099" s="3"/>
      <c r="H2099" s="56"/>
      <c r="I2099" s="2"/>
    </row>
    <row r="2100" spans="1:16" ht="25.5" x14ac:dyDescent="0.25">
      <c r="B2100" s="64" t="s">
        <v>1409</v>
      </c>
      <c r="C2100" s="65"/>
      <c r="D2100" s="76"/>
      <c r="E2100" s="66" t="s">
        <v>1408</v>
      </c>
      <c r="F2100" s="66" t="s">
        <v>1679</v>
      </c>
      <c r="G2100" s="66" t="s">
        <v>1683</v>
      </c>
      <c r="H2100" s="68" t="s">
        <v>1675</v>
      </c>
      <c r="I2100" s="2"/>
    </row>
    <row r="2101" spans="1:16" x14ac:dyDescent="0.25">
      <c r="A2101" s="103">
        <v>14002</v>
      </c>
      <c r="B2101" s="109" t="str">
        <f>IF($A2101=0,"",VLOOKUP($A2101,'BASE MATERIAL'!$A:$D,2))</f>
        <v>SOLDADURA aga 60/11</v>
      </c>
      <c r="C2101" s="2"/>
      <c r="D2101" s="77"/>
      <c r="E2101" s="78" t="str">
        <f>IF($A2101=0,"",VLOOKUP($A2101,'BASE MATERIAL'!$A:$D,3))</f>
        <v>KG</v>
      </c>
      <c r="F2101" s="80">
        <f>ROUND(0.044*F2102,4)</f>
        <v>101.2</v>
      </c>
      <c r="G2101" s="55">
        <f>IF($A2101=0,"",VLOOKUP($A2101,'BASE MATERIAL'!$A:$D,4))</f>
        <v>3.65</v>
      </c>
      <c r="H2101" s="56">
        <f>IF($A2101=0,"",ROUND(F2101*G2101,2))</f>
        <v>369.38</v>
      </c>
      <c r="I2101" s="2"/>
      <c r="L2101" s="2"/>
      <c r="M2101" s="2"/>
      <c r="N2101" s="39"/>
      <c r="O2101" s="2"/>
      <c r="P2101" s="2"/>
    </row>
    <row r="2102" spans="1:16" x14ac:dyDescent="0.25">
      <c r="A2102" s="103">
        <v>1004</v>
      </c>
      <c r="B2102" s="38" t="str">
        <f>IF($A2102=0,"",VLOOKUP($A2102,'BASE MATERIAL'!$A:$D,2))</f>
        <v>PERFILERIA METALICA</v>
      </c>
      <c r="C2102" s="2"/>
      <c r="D2102" s="77"/>
      <c r="E2102" s="78" t="str">
        <f>IF($A2102=0,"",VLOOKUP($A2102,'BASE MATERIAL'!$A:$D,3))</f>
        <v>KG</v>
      </c>
      <c r="F2102" s="80">
        <v>2300</v>
      </c>
      <c r="G2102" s="55">
        <f>IF($A2102=0,"",VLOOKUP($A2102,'BASE MATERIAL'!$A:$D,4))</f>
        <v>1.27</v>
      </c>
      <c r="H2102" s="56">
        <f>IF($A2102=0,"",ROUND(F2102*G2102,2))</f>
        <v>2921</v>
      </c>
      <c r="I2102" s="2"/>
      <c r="L2102" s="2"/>
      <c r="M2102" s="2"/>
      <c r="N2102" s="39"/>
      <c r="O2102" s="2"/>
      <c r="P2102" s="2"/>
    </row>
    <row r="2103" spans="1:16" x14ac:dyDescent="0.25">
      <c r="A2103" s="103">
        <v>13001</v>
      </c>
      <c r="B2103" s="38" t="str">
        <f>IF($A2103=0,"",VLOOKUP($A2103,'BASE MATERIAL'!$A:$D,2))</f>
        <v>PINTURA PARA PROTECCION METALICA</v>
      </c>
      <c r="C2103" s="2"/>
      <c r="D2103" s="77"/>
      <c r="E2103" s="78" t="str">
        <f>IF($A2103=0,"",VLOOKUP($A2103,'BASE MATERIAL'!$A:$D,3))</f>
        <v>GL</v>
      </c>
      <c r="F2103" s="80">
        <f>ROUND(0.0056*F2102,4)</f>
        <v>12.88</v>
      </c>
      <c r="G2103" s="55">
        <f>IF($A2103=0,"",VLOOKUP($A2103,'BASE MATERIAL'!$A:$D,4))</f>
        <v>37.72</v>
      </c>
      <c r="H2103" s="56">
        <f>IF($A2103=0,"",ROUND(F2103*G2103,2))</f>
        <v>485.83</v>
      </c>
      <c r="I2103" s="2"/>
      <c r="L2103" s="2"/>
      <c r="M2103" s="2"/>
      <c r="N2103" s="39"/>
      <c r="O2103" s="2"/>
      <c r="P2103" s="2"/>
    </row>
    <row r="2104" spans="1:16" x14ac:dyDescent="0.25">
      <c r="A2104" s="103">
        <v>13002</v>
      </c>
      <c r="B2104" s="38" t="str">
        <f>IF($A2104=0,"",VLOOKUP($A2104,'BASE MATERIAL'!$A:$D,2))</f>
        <v>PINTURA PARA ACABADO METALICO</v>
      </c>
      <c r="C2104" s="2"/>
      <c r="D2104" s="77"/>
      <c r="E2104" s="78" t="str">
        <f>IF($A2104=0,"",VLOOKUP($A2104,'BASE MATERIAL'!$A:$D,3))</f>
        <v>GL</v>
      </c>
      <c r="F2104" s="80">
        <f>ROUND(0.0028*F2102,4)</f>
        <v>6.44</v>
      </c>
      <c r="G2104" s="55">
        <f>IF($A2104=0,"",VLOOKUP($A2104,'BASE MATERIAL'!$A:$D,4))</f>
        <v>38.520000000000003</v>
      </c>
      <c r="H2104" s="56">
        <f>IF($A2104=0,"",ROUND(F2104*G2104,2))</f>
        <v>248.07</v>
      </c>
      <c r="I2104" s="2"/>
      <c r="L2104" s="2"/>
      <c r="M2104" s="2"/>
      <c r="N2104" s="39"/>
      <c r="O2104" s="2"/>
      <c r="P2104" s="2"/>
    </row>
    <row r="2105" spans="1:16" x14ac:dyDescent="0.25">
      <c r="A2105" s="103">
        <v>13011</v>
      </c>
      <c r="B2105" s="38" t="str">
        <f>IF($A2105=0,"",VLOOKUP($A2105,'BASE MATERIAL'!$A:$D,2))</f>
        <v>DESOXIDANTE</v>
      </c>
      <c r="C2105" s="2"/>
      <c r="D2105" s="77"/>
      <c r="E2105" s="78" t="str">
        <f>IF($A2105=0,"",VLOOKUP($A2105,'BASE MATERIAL'!$A:$D,3))</f>
        <v>GL</v>
      </c>
      <c r="F2105" s="80">
        <f>ROUND(0.2*(F2103+F2104),4)</f>
        <v>3.8639999999999999</v>
      </c>
      <c r="G2105" s="55">
        <f>IF($A2105=0,"",VLOOKUP($A2105,'BASE MATERIAL'!$A:$D,4))</f>
        <v>12</v>
      </c>
      <c r="H2105" s="56">
        <f>IF($A2105=0,"",ROUND(F2105*G2105,2))</f>
        <v>46.37</v>
      </c>
      <c r="I2105" s="2"/>
      <c r="L2105" s="2"/>
      <c r="M2105" s="2"/>
      <c r="N2105" s="39"/>
      <c r="O2105" s="2"/>
      <c r="P2105" s="2"/>
    </row>
    <row r="2106" spans="1:16" x14ac:dyDescent="0.25">
      <c r="B2106" s="38" t="str">
        <f>IF($A2106=0,"",VLOOKUP($A2106,'BASE MATERIAL'!$A:$D,2))</f>
        <v/>
      </c>
      <c r="C2106" s="2"/>
      <c r="D2106" s="77"/>
      <c r="E2106" s="78" t="str">
        <f>IF($A2106=0,"",VLOOKUP($A2106,'BASE MATERIAL'!$A:$D,3))</f>
        <v/>
      </c>
      <c r="F2106" s="55"/>
      <c r="G2106" s="55" t="str">
        <f>IF($A2106=0,"",VLOOKUP($A2106,'BASE MATERIAL'!$A:$D,4))</f>
        <v/>
      </c>
      <c r="H2106" s="56" t="str">
        <f t="shared" ref="H2106:H2115" si="190">IF($A2106=0,"",ROUND(F2106*G2106,2))</f>
        <v/>
      </c>
      <c r="I2106" s="2"/>
      <c r="L2106" s="2"/>
      <c r="M2106" s="2"/>
      <c r="N2106" s="39"/>
      <c r="O2106" s="2"/>
      <c r="P2106" s="2"/>
    </row>
    <row r="2107" spans="1:16" x14ac:dyDescent="0.25">
      <c r="B2107" s="38" t="str">
        <f>IF($A2107=0,"",VLOOKUP($A2107,'BASE MATERIAL'!$A:$D,2))</f>
        <v/>
      </c>
      <c r="C2107" s="2"/>
      <c r="D2107" s="77"/>
      <c r="E2107" s="78" t="str">
        <f>IF($A2107=0,"",VLOOKUP($A2107,'BASE MATERIAL'!$A:$D,3))</f>
        <v/>
      </c>
      <c r="F2107" s="55"/>
      <c r="G2107" s="55" t="str">
        <f>IF($A2107=0,"",VLOOKUP($A2107,'BASE MATERIAL'!$A:$D,4))</f>
        <v/>
      </c>
      <c r="H2107" s="56" t="str">
        <f t="shared" si="190"/>
        <v/>
      </c>
      <c r="I2107" s="2"/>
      <c r="L2107" s="2"/>
      <c r="M2107" s="2"/>
      <c r="N2107" s="39"/>
      <c r="O2107" s="2"/>
      <c r="P2107" s="2"/>
    </row>
    <row r="2108" spans="1:16" x14ac:dyDescent="0.25">
      <c r="B2108" s="38" t="str">
        <f>IF($A2108=0,"",VLOOKUP($A2108,'BASE MATERIAL'!$A:$D,2))</f>
        <v/>
      </c>
      <c r="C2108" s="2"/>
      <c r="D2108" s="77"/>
      <c r="E2108" s="78" t="str">
        <f>IF($A2108=0,"",VLOOKUP($A2108,'BASE MATERIAL'!$A:$D,3))</f>
        <v/>
      </c>
      <c r="F2108" s="55"/>
      <c r="G2108" s="55" t="str">
        <f>IF($A2108=0,"",VLOOKUP($A2108,'BASE MATERIAL'!$A:$D,4))</f>
        <v/>
      </c>
      <c r="H2108" s="56" t="str">
        <f t="shared" si="190"/>
        <v/>
      </c>
      <c r="I2108" s="2"/>
      <c r="L2108" s="2"/>
      <c r="M2108" s="2"/>
      <c r="N2108" s="39"/>
      <c r="O2108" s="2"/>
      <c r="P2108" s="2"/>
    </row>
    <row r="2109" spans="1:16" x14ac:dyDescent="0.25">
      <c r="B2109" s="38" t="str">
        <f>IF($A2109=0,"",VLOOKUP($A2109,'BASE MATERIAL'!$A:$D,2))</f>
        <v/>
      </c>
      <c r="C2109" s="2"/>
      <c r="D2109" s="77"/>
      <c r="E2109" s="78" t="str">
        <f>IF($A2109=0,"",VLOOKUP($A2109,'BASE MATERIAL'!$A:$D,3))</f>
        <v/>
      </c>
      <c r="F2109" s="55"/>
      <c r="G2109" s="55" t="str">
        <f>IF($A2109=0,"",VLOOKUP($A2109,'BASE MATERIAL'!$A:$D,4))</f>
        <v/>
      </c>
      <c r="H2109" s="56" t="str">
        <f t="shared" si="190"/>
        <v/>
      </c>
      <c r="I2109" s="2"/>
    </row>
    <row r="2110" spans="1:16" x14ac:dyDescent="0.25">
      <c r="B2110" s="38" t="str">
        <f>IF($A2110=0,"",VLOOKUP($A2110,'BASE MATERIAL'!$A:$D,2))</f>
        <v/>
      </c>
      <c r="C2110" s="2"/>
      <c r="D2110" s="77"/>
      <c r="E2110" s="78" t="str">
        <f>IF($A2110=0,"",VLOOKUP($A2110,'BASE MATERIAL'!$A:$D,3))</f>
        <v/>
      </c>
      <c r="F2110" s="55"/>
      <c r="G2110" s="55" t="str">
        <f>IF($A2110=0,"",VLOOKUP($A2110,'BASE MATERIAL'!$A:$D,4))</f>
        <v/>
      </c>
      <c r="H2110" s="56" t="str">
        <f t="shared" si="190"/>
        <v/>
      </c>
      <c r="I2110" s="2"/>
      <c r="L2110" s="2"/>
      <c r="M2110" s="2"/>
      <c r="N2110" s="39"/>
      <c r="O2110" s="2"/>
      <c r="P2110" s="2"/>
    </row>
    <row r="2111" spans="1:16" x14ac:dyDescent="0.25">
      <c r="B2111" s="38" t="str">
        <f>IF($A2111=0,"",VLOOKUP($A2111,'BASE MATERIAL'!$A:$D,2))</f>
        <v/>
      </c>
      <c r="C2111" s="2"/>
      <c r="D2111" s="77"/>
      <c r="E2111" s="78" t="str">
        <f>IF($A2111=0,"",VLOOKUP($A2111,'BASE MATERIAL'!$A:$D,3))</f>
        <v/>
      </c>
      <c r="F2111" s="55"/>
      <c r="G2111" s="55" t="str">
        <f>IF($A2111=0,"",VLOOKUP($A2111,'BASE MATERIAL'!$A:$D,4))</f>
        <v/>
      </c>
      <c r="H2111" s="56" t="str">
        <f t="shared" si="190"/>
        <v/>
      </c>
      <c r="I2111" s="2"/>
      <c r="L2111" s="2"/>
      <c r="M2111" s="2"/>
      <c r="N2111" s="39"/>
      <c r="O2111" s="2"/>
      <c r="P2111" s="2"/>
    </row>
    <row r="2112" spans="1:16" x14ac:dyDescent="0.25">
      <c r="B2112" s="38" t="str">
        <f>IF($A2112=0,"",VLOOKUP($A2112,'BASE MATERIAL'!$A:$D,2))</f>
        <v/>
      </c>
      <c r="C2112" s="2"/>
      <c r="D2112" s="77"/>
      <c r="E2112" s="78" t="str">
        <f>IF($A2112=0,"",VLOOKUP($A2112,'BASE MATERIAL'!$A:$D,3))</f>
        <v/>
      </c>
      <c r="F2112" s="55"/>
      <c r="G2112" s="55" t="str">
        <f>IF($A2112=0,"",VLOOKUP($A2112,'BASE MATERIAL'!$A:$D,4))</f>
        <v/>
      </c>
      <c r="H2112" s="56" t="str">
        <f t="shared" si="190"/>
        <v/>
      </c>
      <c r="I2112" s="2"/>
    </row>
    <row r="2113" spans="1:9" x14ac:dyDescent="0.25">
      <c r="B2113" s="38" t="str">
        <f>IF($A2113=0,"",VLOOKUP($A2113,'BASE MATERIAL'!$A:$D,2))</f>
        <v/>
      </c>
      <c r="C2113" s="2"/>
      <c r="D2113" s="77"/>
      <c r="E2113" s="78" t="str">
        <f>IF($A2113=0,"",VLOOKUP($A2113,'BASE MATERIAL'!$A:$D,3))</f>
        <v/>
      </c>
      <c r="F2113" s="55"/>
      <c r="G2113" s="55" t="str">
        <f>IF($A2113=0,"",VLOOKUP($A2113,'BASE MATERIAL'!$A:$D,4))</f>
        <v/>
      </c>
      <c r="H2113" s="56" t="str">
        <f t="shared" si="190"/>
        <v/>
      </c>
      <c r="I2113" s="2"/>
    </row>
    <row r="2114" spans="1:9" x14ac:dyDescent="0.25">
      <c r="B2114" s="38" t="str">
        <f>IF($A2114=0,"",VLOOKUP($A2114,'BASE MATERIAL'!$A:$D,2))</f>
        <v/>
      </c>
      <c r="C2114" s="2"/>
      <c r="D2114" s="77"/>
      <c r="E2114" s="78" t="str">
        <f>IF($A2114=0,"",VLOOKUP($A2114,'BASE MATERIAL'!$A:$D,3))</f>
        <v/>
      </c>
      <c r="F2114" s="55"/>
      <c r="G2114" s="55" t="str">
        <f>IF($A2114=0,"",VLOOKUP($A2114,'BASE MATERIAL'!$A:$D,4))</f>
        <v/>
      </c>
      <c r="H2114" s="56" t="str">
        <f t="shared" si="190"/>
        <v/>
      </c>
      <c r="I2114" s="2"/>
    </row>
    <row r="2115" spans="1:9" x14ac:dyDescent="0.25">
      <c r="B2115" s="38" t="str">
        <f>IF($A2115=0,"",VLOOKUP($A2115,'BASE MATERIAL'!$A:$D,2))</f>
        <v/>
      </c>
      <c r="C2115" s="2"/>
      <c r="D2115" s="77"/>
      <c r="E2115" s="78" t="str">
        <f>IF($A2115=0,"",VLOOKUP($A2115,'BASE MATERIAL'!$A:$D,3))</f>
        <v/>
      </c>
      <c r="F2115" s="55"/>
      <c r="G2115" s="55" t="str">
        <f>IF($A2115=0,"",VLOOKUP($A2115,'BASE MATERIAL'!$A:$D,4))</f>
        <v/>
      </c>
      <c r="H2115" s="56" t="str">
        <f t="shared" si="190"/>
        <v/>
      </c>
      <c r="I2115" s="2"/>
    </row>
    <row r="2116" spans="1:9" x14ac:dyDescent="0.25">
      <c r="B2116" s="38" t="str">
        <f>IF($A2116=0,"",VLOOKUP($A2116,'BASE MATERIAL'!$A:$D,2))</f>
        <v/>
      </c>
      <c r="C2116" s="2"/>
      <c r="D2116" s="81" t="s">
        <v>1682</v>
      </c>
      <c r="E2116" s="55" t="str">
        <f>IF($A2116=0,"",VLOOKUP($A2116,'BASE MATERIAL'!$A:$D,3))</f>
        <v/>
      </c>
      <c r="F2116" s="55" t="s">
        <v>1682</v>
      </c>
      <c r="G2116" s="55" t="str">
        <f>IF($A2116=0,"",VLOOKUP($A2116,'BASE MATERIAL'!$A:$D,4))</f>
        <v/>
      </c>
      <c r="H2116" s="56" t="str">
        <f>IF($A2116=0,"",ROUND(E2116*F2116,2))</f>
        <v/>
      </c>
      <c r="I2116" s="2"/>
    </row>
    <row r="2117" spans="1:9" x14ac:dyDescent="0.25">
      <c r="B2117" s="73" t="s">
        <v>1681</v>
      </c>
      <c r="C2117" s="65"/>
      <c r="D2117" s="74"/>
      <c r="E2117" s="74"/>
      <c r="F2117" s="74"/>
      <c r="G2117" s="74"/>
      <c r="H2117" s="75">
        <f>ROUND(SUM(H2100:H2116),2)</f>
        <v>4070.65</v>
      </c>
      <c r="I2117" s="2"/>
    </row>
    <row r="2118" spans="1:9" x14ac:dyDescent="0.25">
      <c r="B2118" s="38" t="s">
        <v>1680</v>
      </c>
      <c r="C2118" s="2"/>
      <c r="D2118" s="3"/>
      <c r="E2118" s="3"/>
      <c r="F2118" s="3"/>
      <c r="G2118" s="3"/>
      <c r="H2118" s="56"/>
      <c r="I2118" s="2"/>
    </row>
    <row r="2119" spans="1:9" ht="25.5" x14ac:dyDescent="0.25">
      <c r="B2119" s="64" t="s">
        <v>1409</v>
      </c>
      <c r="C2119" s="65"/>
      <c r="D2119" s="76"/>
      <c r="E2119" s="66" t="s">
        <v>1408</v>
      </c>
      <c r="F2119" s="66" t="s">
        <v>1679</v>
      </c>
      <c r="G2119" s="66" t="s">
        <v>1676</v>
      </c>
      <c r="H2119" s="68" t="s">
        <v>1675</v>
      </c>
      <c r="I2119" s="2"/>
    </row>
    <row r="2120" spans="1:9" x14ac:dyDescent="0.25">
      <c r="A2120" s="103">
        <v>19019</v>
      </c>
      <c r="B2120" s="51" t="str">
        <f>IF($A2120=0,"",VLOOKUP($A2120,'BASE EQUIPO'!$A:$D,2))</f>
        <v>TRANSPORTE DE MATERIAL</v>
      </c>
      <c r="C2120" s="52"/>
      <c r="D2120" s="82"/>
      <c r="E2120" s="78" t="str">
        <f>IF($A2120=0,"",VLOOKUP($A2120,'BASE EQUIPO'!$A:$D,3))</f>
        <v>GLOBAL</v>
      </c>
      <c r="F2120" s="55">
        <v>1</v>
      </c>
      <c r="G2120" s="83">
        <f>IF($A2120=0,"",VLOOKUP($A2120,'BASE EQUIPO'!$A:$D,4)*H2117)</f>
        <v>122.1195</v>
      </c>
      <c r="H2120" s="56">
        <f>IF($A2120=0,"",ROUND(F2120*G2120,2))</f>
        <v>122.12</v>
      </c>
      <c r="I2120" s="2"/>
    </row>
    <row r="2121" spans="1:9" x14ac:dyDescent="0.25">
      <c r="B2121" s="38" t="str">
        <f>IF($A2121=0,"",VLOOKUP($A2121,'BASE EQUIPO'!$A:$D,2))</f>
        <v/>
      </c>
      <c r="C2121" s="2"/>
      <c r="D2121" s="84"/>
      <c r="E2121" s="78" t="str">
        <f>IF($A2121=0,"",VLOOKUP($A2121,'BASE EQUIPO'!$A:$D,3))</f>
        <v/>
      </c>
      <c r="F2121" s="55"/>
      <c r="G2121" s="55" t="str">
        <f>IF($A2121=0,"",VLOOKUP($A2121,'BASE EQUIPO'!$A:$D,4)*H2118)</f>
        <v/>
      </c>
      <c r="H2121" s="56" t="str">
        <f>IF($A2121=0,"",ROUND(F2121*G2121,2))</f>
        <v/>
      </c>
      <c r="I2121" s="2"/>
    </row>
    <row r="2122" spans="1:9" x14ac:dyDescent="0.25">
      <c r="B2122" s="57" t="str">
        <f>IF($A2122=0,"",VLOOKUP($A2122,'BASE EQUIPO'!$A:$D,2))</f>
        <v/>
      </c>
      <c r="C2122" s="58"/>
      <c r="D2122" s="85"/>
      <c r="E2122" s="86" t="str">
        <f>IF($A2122=0,"",VLOOKUP($A2122,'BASE EQUIPO'!$A:$D,3))</f>
        <v/>
      </c>
      <c r="F2122" s="59"/>
      <c r="G2122" s="59" t="str">
        <f>IF($A2122=0,"",VLOOKUP($A2122,'BASE EQUIPO'!$A:$D,4)*H2119)</f>
        <v/>
      </c>
      <c r="H2122" s="60" t="str">
        <f>IF($A2122=0,"",ROUND(F2122*G2122,2))</f>
        <v/>
      </c>
      <c r="I2122" s="2"/>
    </row>
    <row r="2123" spans="1:9" ht="15.75" thickBot="1" x14ac:dyDescent="0.3">
      <c r="B2123" s="87" t="s">
        <v>1674</v>
      </c>
      <c r="C2123" s="88"/>
      <c r="D2123" s="89"/>
      <c r="E2123" s="89"/>
      <c r="F2123" s="89"/>
      <c r="G2123" s="89"/>
      <c r="H2123" s="90">
        <f>ROUND(SUM(H2119:H2122),2)</f>
        <v>122.12</v>
      </c>
      <c r="I2123" s="2"/>
    </row>
    <row r="2124" spans="1:9" ht="15.75" x14ac:dyDescent="0.25">
      <c r="B2124" s="2"/>
      <c r="C2124" s="2"/>
      <c r="D2124" s="91" t="s">
        <v>1673</v>
      </c>
      <c r="E2124" s="47"/>
      <c r="F2124" s="47"/>
      <c r="G2124" s="47"/>
      <c r="H2124" s="92">
        <f>ROUND(SUM(H2123,H2117,H2098,H2088),2)</f>
        <v>6363.69</v>
      </c>
      <c r="I2124" s="2"/>
    </row>
    <row r="2125" spans="1:9" ht="15.75" x14ac:dyDescent="0.25">
      <c r="A2125" s="103">
        <v>40002</v>
      </c>
      <c r="B2125" s="2"/>
      <c r="C2125" s="2"/>
      <c r="D2125" s="93" t="s">
        <v>1672</v>
      </c>
      <c r="E2125" s="65"/>
      <c r="F2125" s="65"/>
      <c r="G2125" s="94">
        <f>IF($A2125=0,"",VLOOKUP($A2125,'BASE MATERIAL'!$M:$P,4))</f>
        <v>0</v>
      </c>
      <c r="H2125" s="95">
        <f>IF($A2125=0,"",ROUND(G2125*H2124,2))</f>
        <v>0</v>
      </c>
      <c r="I2125" s="2"/>
    </row>
    <row r="2126" spans="1:9" ht="15.75" x14ac:dyDescent="0.25">
      <c r="A2126" s="103">
        <v>40003</v>
      </c>
      <c r="B2126" s="2"/>
      <c r="C2126" s="2"/>
      <c r="D2126" s="93" t="s">
        <v>1671</v>
      </c>
      <c r="E2126" s="65"/>
      <c r="F2126" s="65"/>
      <c r="G2126" s="94">
        <f>IF($A2126=0,"",VLOOKUP($A2126,'BASE MATERIAL'!$M:$P,4))</f>
        <v>0</v>
      </c>
      <c r="H2126" s="95">
        <f>IF($A2126=0,"",ROUND(G2126*H2124,2))</f>
        <v>0</v>
      </c>
      <c r="I2126" s="2"/>
    </row>
    <row r="2127" spans="1:9" ht="15.75" x14ac:dyDescent="0.25">
      <c r="B2127" s="2"/>
      <c r="C2127" s="2"/>
      <c r="D2127" s="93" t="s">
        <v>1670</v>
      </c>
      <c r="E2127" s="65"/>
      <c r="F2127" s="65"/>
      <c r="G2127" s="65"/>
      <c r="H2127" s="96">
        <f>ROUND(SUM(H2124:H2126),2)</f>
        <v>6363.69</v>
      </c>
      <c r="I2127" s="2"/>
    </row>
    <row r="2128" spans="1:9" ht="16.5" thickBot="1" x14ac:dyDescent="0.3">
      <c r="B2128" s="25"/>
      <c r="C2128" s="2"/>
      <c r="D2128" s="97" t="s">
        <v>1650</v>
      </c>
      <c r="E2128" s="88"/>
      <c r="F2128" s="88"/>
      <c r="G2128" s="88"/>
      <c r="H2128" s="98">
        <f>ROUND(H2127,2)</f>
        <v>6363.69</v>
      </c>
      <c r="I2128" s="2"/>
    </row>
  </sheetData>
  <phoneticPr fontId="2" type="noConversion"/>
  <pageMargins left="0.75" right="0.75" top="1" bottom="1" header="0" footer="0"/>
  <pageSetup paperSize="9" scale="80" orientation="portrait" r:id="rId1"/>
  <headerFooter alignWithMargins="0"/>
  <rowBreaks count="23" manualBreakCount="23">
    <brk id="56" min="1" max="7" man="1"/>
    <brk id="112" max="16383" man="1"/>
    <brk id="168" min="1" max="7" man="1"/>
    <brk id="224" min="1" max="7" man="1"/>
    <brk id="280" min="1" max="7" man="1"/>
    <brk id="336" min="1" max="7" man="1"/>
    <brk id="392" min="1" max="7" man="1"/>
    <brk id="448" min="1" max="7" man="1"/>
    <brk id="504" min="1" max="7" man="1"/>
    <brk id="560" min="1" max="7" man="1"/>
    <brk id="616" min="1" max="7" man="1"/>
    <brk id="672" min="1" max="7" man="1"/>
    <brk id="728" min="1" max="7" man="1"/>
    <brk id="784" max="16383" man="1"/>
    <brk id="840" min="1" max="7" man="1"/>
    <brk id="1176" max="16383" man="1"/>
    <brk id="1232" max="16383" man="1"/>
    <brk id="1344" max="16383" man="1"/>
    <brk id="1568" max="16383" man="1"/>
    <brk id="1736" max="16383" man="1"/>
    <brk id="1848" max="16383" man="1"/>
    <brk id="2072" max="16383" man="1"/>
    <brk id="2179" max="16383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BC7BD-D218-410F-9D3D-3451D5424E21}">
  <sheetPr codeName="Hoja26"/>
  <dimension ref="A1:P224"/>
  <sheetViews>
    <sheetView workbookViewId="0"/>
  </sheetViews>
  <sheetFormatPr baseColWidth="10" defaultColWidth="11.42578125" defaultRowHeight="15" x14ac:dyDescent="0.25"/>
  <cols>
    <col min="1" max="1" width="8.7109375" style="103" bestFit="1" customWidth="1"/>
    <col min="2" max="2" width="12.140625" style="1" customWidth="1"/>
    <col min="3" max="3" width="26.28515625" style="1" customWidth="1"/>
    <col min="4" max="4" width="10.7109375" style="1" customWidth="1"/>
    <col min="5" max="5" width="12.140625" style="1" customWidth="1"/>
    <col min="6" max="6" width="13.28515625" style="1" customWidth="1"/>
    <col min="7" max="7" width="13.85546875" style="1" customWidth="1"/>
    <col min="8" max="8" width="12.42578125" style="1" customWidth="1"/>
    <col min="9" max="9" width="7.140625" style="1" customWidth="1"/>
    <col min="10" max="10" width="9.140625" style="1" customWidth="1"/>
    <col min="11" max="11" width="8.42578125" style="1" customWidth="1"/>
    <col min="12" max="12" width="5.85546875" style="1" bestFit="1" customWidth="1"/>
    <col min="13" max="13" width="33.85546875" style="1" bestFit="1" customWidth="1"/>
    <col min="14" max="14" width="6" style="1" bestFit="1" customWidth="1"/>
    <col min="15" max="28" width="8.42578125" style="1" customWidth="1"/>
    <col min="29" max="16384" width="11.42578125" style="1"/>
  </cols>
  <sheetData>
    <row r="1" spans="1:15" ht="15.75" x14ac:dyDescent="0.25">
      <c r="B1" s="34" t="s">
        <v>1701</v>
      </c>
      <c r="C1" s="2"/>
      <c r="D1" s="3" t="str">
        <f>'1.1'!$D$1</f>
        <v>ESPOL</v>
      </c>
      <c r="E1" s="2"/>
      <c r="F1" s="2"/>
      <c r="H1" s="2" t="s">
        <v>108</v>
      </c>
      <c r="I1" s="2"/>
      <c r="L1" s="40">
        <f>A5</f>
        <v>1</v>
      </c>
      <c r="M1" s="1" t="str">
        <f>C6</f>
        <v>Mano de obra por instalación unidad de hasta 24,000 btuh</v>
      </c>
      <c r="N1" s="2" t="str">
        <f>H5</f>
        <v>unidad</v>
      </c>
      <c r="O1" s="2">
        <f>H56</f>
        <v>261.35000000000002</v>
      </c>
    </row>
    <row r="2" spans="1:15" ht="15.75" x14ac:dyDescent="0.25">
      <c r="B2" s="34" t="s">
        <v>1700</v>
      </c>
      <c r="C2" s="3">
        <f>'1.1'!$C$2</f>
        <v>0</v>
      </c>
      <c r="D2" s="2"/>
      <c r="E2" s="2"/>
      <c r="F2" s="2"/>
      <c r="G2" s="41" t="s">
        <v>1699</v>
      </c>
      <c r="H2" s="42"/>
      <c r="I2" s="2" t="s">
        <v>1698</v>
      </c>
    </row>
    <row r="3" spans="1:15" ht="15.75" x14ac:dyDescent="0.25">
      <c r="B3" s="34"/>
      <c r="C3" s="3">
        <f>'1.1'!$C$3</f>
        <v>0</v>
      </c>
      <c r="D3" s="2"/>
      <c r="E3" s="2"/>
      <c r="F3" s="2"/>
      <c r="G3" s="2"/>
      <c r="H3" s="2"/>
      <c r="I3" s="2"/>
    </row>
    <row r="4" spans="1:15" ht="15.75" x14ac:dyDescent="0.25">
      <c r="B4" s="34" t="s">
        <v>1697</v>
      </c>
      <c r="C4" s="3"/>
      <c r="D4" s="2"/>
      <c r="E4" s="2"/>
      <c r="F4" s="2"/>
      <c r="G4" s="2"/>
      <c r="H4" s="2"/>
      <c r="I4" s="2"/>
    </row>
    <row r="5" spans="1:15" x14ac:dyDescent="0.25">
      <c r="A5" s="104">
        <v>1</v>
      </c>
      <c r="B5" s="2" t="s">
        <v>1586</v>
      </c>
      <c r="C5" s="36" t="s">
        <v>1340</v>
      </c>
      <c r="D5" s="2"/>
      <c r="G5" s="2" t="s">
        <v>1696</v>
      </c>
      <c r="H5" s="3" t="s">
        <v>126</v>
      </c>
      <c r="I5" s="2"/>
    </row>
    <row r="6" spans="1:15" x14ac:dyDescent="0.25">
      <c r="B6" s="1" t="s">
        <v>1585</v>
      </c>
      <c r="C6" s="36" t="s">
        <v>190</v>
      </c>
      <c r="D6" s="2"/>
      <c r="E6" s="2"/>
      <c r="F6" s="2"/>
      <c r="G6" s="2"/>
      <c r="H6" s="2"/>
      <c r="I6" s="2"/>
    </row>
    <row r="7" spans="1:15" ht="15.75" thickBot="1" x14ac:dyDescent="0.3">
      <c r="D7" s="2"/>
      <c r="E7" s="2"/>
      <c r="F7" s="2"/>
      <c r="G7" s="2"/>
      <c r="H7" s="2"/>
      <c r="I7" s="2"/>
    </row>
    <row r="8" spans="1:15" ht="15.75" thickBot="1" x14ac:dyDescent="0.3">
      <c r="B8" s="43" t="s">
        <v>1695</v>
      </c>
      <c r="C8" s="44"/>
      <c r="D8" s="44"/>
      <c r="E8" s="44"/>
      <c r="F8" s="44"/>
      <c r="G8" s="44"/>
      <c r="H8" s="45"/>
      <c r="I8" s="2"/>
    </row>
    <row r="9" spans="1:15" ht="25.5" x14ac:dyDescent="0.25">
      <c r="B9" s="46" t="s">
        <v>1409</v>
      </c>
      <c r="C9" s="47"/>
      <c r="D9" s="48" t="s">
        <v>1690</v>
      </c>
      <c r="E9" s="48" t="s">
        <v>1694</v>
      </c>
      <c r="F9" s="48" t="s">
        <v>1693</v>
      </c>
      <c r="G9" s="49" t="s">
        <v>1687</v>
      </c>
      <c r="H9" s="50" t="s">
        <v>1686</v>
      </c>
      <c r="I9" s="2"/>
    </row>
    <row r="10" spans="1:15" x14ac:dyDescent="0.25">
      <c r="A10" s="103">
        <v>19015</v>
      </c>
      <c r="B10" s="51" t="str">
        <f>IF($A10=0,"",VLOOKUP($A10,'BASE EQUIPO'!$A:$D,2))</f>
        <v>HERRAMIENTA MENOR</v>
      </c>
      <c r="C10" s="52"/>
      <c r="D10" s="53">
        <v>1</v>
      </c>
      <c r="E10" s="53">
        <f>IF($A10=0,"",VLOOKUP($A10,'BASE EQUIPO'!$A:$D,4)*H26)</f>
        <v>7.6121999999999996</v>
      </c>
      <c r="F10" s="53">
        <f t="shared" ref="F10:F15" si="0">IF($A10=0,"",ROUND(D10*E10,2))</f>
        <v>7.61</v>
      </c>
      <c r="G10" s="105">
        <v>1</v>
      </c>
      <c r="H10" s="54">
        <f t="shared" ref="H10:H15" si="1">IF($A10=0,"",ROUND(G10*F10,2))</f>
        <v>7.61</v>
      </c>
      <c r="I10" s="2"/>
    </row>
    <row r="11" spans="1:15" x14ac:dyDescent="0.25">
      <c r="B11" s="38" t="str">
        <f>IF($A11=0,"",VLOOKUP($A11,'BASE EQUIPO'!$A:$D,2))</f>
        <v/>
      </c>
      <c r="C11" s="2"/>
      <c r="D11" s="55"/>
      <c r="E11" s="55" t="str">
        <f>IF($A11=0,"",VLOOKUP($A11,'BASE EQUIPO'!$A:$D,4))</f>
        <v/>
      </c>
      <c r="F11" s="55" t="str">
        <f t="shared" si="0"/>
        <v/>
      </c>
      <c r="G11" s="113"/>
      <c r="H11" s="56" t="str">
        <f t="shared" si="1"/>
        <v/>
      </c>
      <c r="I11" s="2"/>
    </row>
    <row r="12" spans="1:15" x14ac:dyDescent="0.25">
      <c r="B12" s="38" t="str">
        <f>IF($A12=0,"",VLOOKUP($A12,'BASE EQUIPO'!$A:$D,2))</f>
        <v/>
      </c>
      <c r="C12" s="2"/>
      <c r="D12" s="55"/>
      <c r="E12" s="55" t="str">
        <f>IF($A12=0,"",VLOOKUP($A12,'BASE EQUIPO'!$A:$D,4))</f>
        <v/>
      </c>
      <c r="F12" s="55" t="str">
        <f t="shared" si="0"/>
        <v/>
      </c>
      <c r="G12" s="113"/>
      <c r="H12" s="56" t="str">
        <f t="shared" si="1"/>
        <v/>
      </c>
      <c r="I12" s="2"/>
    </row>
    <row r="13" spans="1:15" x14ac:dyDescent="0.25">
      <c r="B13" s="38" t="str">
        <f>IF($A13=0,"",VLOOKUP($A13,'BASE EQUIPO'!$A:$D,2))</f>
        <v/>
      </c>
      <c r="C13" s="2"/>
      <c r="D13" s="55"/>
      <c r="E13" s="55" t="str">
        <f>IF($A13=0,"",VLOOKUP($A13,'BASE EQUIPO'!$A:$D,4))</f>
        <v/>
      </c>
      <c r="F13" s="55" t="str">
        <f t="shared" si="0"/>
        <v/>
      </c>
      <c r="G13" s="113"/>
      <c r="H13" s="56" t="str">
        <f t="shared" si="1"/>
        <v/>
      </c>
      <c r="I13" s="2"/>
    </row>
    <row r="14" spans="1:15" x14ac:dyDescent="0.25">
      <c r="B14" s="38" t="str">
        <f>IF($A14=0,"",VLOOKUP($A14,'BASE EQUIPO'!$A:$D,2))</f>
        <v/>
      </c>
      <c r="C14" s="2"/>
      <c r="D14" s="55"/>
      <c r="E14" s="55" t="str">
        <f>IF($A14=0,"",VLOOKUP($A14,'BASE EQUIPO'!$A:$D,4))</f>
        <v/>
      </c>
      <c r="F14" s="55" t="str">
        <f t="shared" si="0"/>
        <v/>
      </c>
      <c r="G14" s="106"/>
      <c r="H14" s="56" t="str">
        <f t="shared" si="1"/>
        <v/>
      </c>
      <c r="I14" s="2"/>
    </row>
    <row r="15" spans="1:15" x14ac:dyDescent="0.25">
      <c r="B15" s="57" t="str">
        <f>IF($A15=0,"",VLOOKUP($A15,'BASE EQUIPO'!$A:$D,2))</f>
        <v/>
      </c>
      <c r="C15" s="58"/>
      <c r="D15" s="59"/>
      <c r="E15" s="59" t="str">
        <f>IF($A15=0,"",VLOOKUP($A15,'BASE EQUIPO'!$A:$D,4))</f>
        <v/>
      </c>
      <c r="F15" s="59" t="str">
        <f t="shared" si="0"/>
        <v/>
      </c>
      <c r="G15" s="107"/>
      <c r="H15" s="60" t="str">
        <f t="shared" si="1"/>
        <v/>
      </c>
      <c r="I15" s="2"/>
    </row>
    <row r="16" spans="1:15" x14ac:dyDescent="0.25">
      <c r="B16" s="57" t="s">
        <v>1692</v>
      </c>
      <c r="C16" s="58"/>
      <c r="D16" s="61"/>
      <c r="E16" s="61"/>
      <c r="F16" s="61"/>
      <c r="G16" s="62"/>
      <c r="H16" s="60">
        <f>ROUND(SUM(H9:H15),2)</f>
        <v>7.61</v>
      </c>
      <c r="I16" s="2"/>
    </row>
    <row r="17" spans="1:16" x14ac:dyDescent="0.25">
      <c r="B17" s="38" t="s">
        <v>1503</v>
      </c>
      <c r="C17" s="2"/>
      <c r="D17" s="3"/>
      <c r="E17" s="3"/>
      <c r="F17" s="3"/>
      <c r="G17" s="63"/>
      <c r="H17" s="56"/>
      <c r="I17" s="2"/>
    </row>
    <row r="18" spans="1:16" ht="25.5" x14ac:dyDescent="0.25">
      <c r="B18" s="64" t="s">
        <v>1691</v>
      </c>
      <c r="C18" s="65"/>
      <c r="D18" s="66" t="s">
        <v>1690</v>
      </c>
      <c r="E18" s="66" t="s">
        <v>1689</v>
      </c>
      <c r="F18" s="66" t="s">
        <v>1688</v>
      </c>
      <c r="G18" s="67" t="s">
        <v>1687</v>
      </c>
      <c r="H18" s="68" t="s">
        <v>1686</v>
      </c>
      <c r="I18" s="2"/>
    </row>
    <row r="19" spans="1:16" x14ac:dyDescent="0.25">
      <c r="B19" s="69" t="str">
        <f>IF($A19=0,"",VLOOKUP($A19,'BASE M-OBRA'!$A:$D,2))</f>
        <v/>
      </c>
      <c r="C19" s="2"/>
      <c r="D19" s="108"/>
      <c r="E19" s="70" t="str">
        <f>IF($A19=0,"",VLOOKUP($A19,'BASE M-OBRA'!$A:$D,4))</f>
        <v/>
      </c>
      <c r="F19" s="55" t="str">
        <f t="shared" ref="F19:F25" si="2">IF($A19=0,"",ROUND(D19*E19,2))</f>
        <v/>
      </c>
      <c r="G19" s="113"/>
      <c r="H19" s="56" t="str">
        <f>IF($A19=0,"",ROUND(SUM(H20:H25)*'BASE M-OBRA'!$D$23,2))</f>
        <v/>
      </c>
      <c r="I19" s="2"/>
    </row>
    <row r="20" spans="1:16" x14ac:dyDescent="0.25">
      <c r="A20" s="103">
        <v>20019</v>
      </c>
      <c r="B20" s="69" t="str">
        <f>IF($A20=0,"",VLOOKUP($A20,'BASE M-OBRA'!$A:$D,2))</f>
        <v>INSTALADOR</v>
      </c>
      <c r="C20" s="2"/>
      <c r="D20" s="108">
        <v>2</v>
      </c>
      <c r="E20" s="70">
        <f>IF($A20=0,"",VLOOKUP($A20,'BASE M-OBRA'!$A:$D,4))</f>
        <v>2.82</v>
      </c>
      <c r="F20" s="55">
        <f t="shared" si="2"/>
        <v>5.64</v>
      </c>
      <c r="G20" s="106">
        <v>30.1</v>
      </c>
      <c r="H20" s="56">
        <f t="shared" ref="H20:H25" si="3">IF($A20=0,"",ROUND(G20*F20,2))</f>
        <v>169.76</v>
      </c>
      <c r="I20" s="2"/>
    </row>
    <row r="21" spans="1:16" x14ac:dyDescent="0.25">
      <c r="A21" s="103">
        <v>20011</v>
      </c>
      <c r="B21" s="69" t="str">
        <f>IF($A21=0,"",VLOOKUP($A21,'BASE M-OBRA'!$A:$D,2))</f>
        <v>AYUDANTE ESPECIALISTA</v>
      </c>
      <c r="C21" s="2"/>
      <c r="D21" s="108">
        <v>1</v>
      </c>
      <c r="E21" s="70">
        <f>IF($A21=0,"",VLOOKUP($A21,'BASE M-OBRA'!$A:$D,4))</f>
        <v>2.79</v>
      </c>
      <c r="F21" s="55">
        <f t="shared" si="2"/>
        <v>2.79</v>
      </c>
      <c r="G21" s="106">
        <f>+G20</f>
        <v>30.1</v>
      </c>
      <c r="H21" s="56">
        <f t="shared" si="3"/>
        <v>83.98</v>
      </c>
      <c r="I21" s="2"/>
    </row>
    <row r="22" spans="1:16" x14ac:dyDescent="0.25">
      <c r="B22" s="71" t="str">
        <f>IF($A22=0,"",VLOOKUP($A22,'BASE M-OBRA'!$A:$D,2))</f>
        <v/>
      </c>
      <c r="C22" s="2"/>
      <c r="D22" s="108"/>
      <c r="E22" s="70" t="str">
        <f>IF($A22=0,"",VLOOKUP($A22,'BASE M-OBRA'!$A:$D,4))</f>
        <v/>
      </c>
      <c r="F22" s="55" t="str">
        <f t="shared" si="2"/>
        <v/>
      </c>
      <c r="G22" s="106"/>
      <c r="H22" s="56" t="str">
        <f t="shared" si="3"/>
        <v/>
      </c>
      <c r="I22" s="2"/>
    </row>
    <row r="23" spans="1:16" x14ac:dyDescent="0.25">
      <c r="B23" s="72" t="str">
        <f>IF($A23=0,"",VLOOKUP($A23,'BASE M-OBRA'!$A:$D,2))</f>
        <v/>
      </c>
      <c r="C23" s="2"/>
      <c r="D23" s="108"/>
      <c r="E23" s="70" t="str">
        <f>IF($A23=0,"",VLOOKUP($A23,'BASE M-OBRA'!$A:$D,4))</f>
        <v/>
      </c>
      <c r="F23" s="55" t="str">
        <f t="shared" si="2"/>
        <v/>
      </c>
      <c r="G23" s="106"/>
      <c r="H23" s="56" t="str">
        <f t="shared" si="3"/>
        <v/>
      </c>
      <c r="I23" s="2"/>
    </row>
    <row r="24" spans="1:16" x14ac:dyDescent="0.25">
      <c r="B24" s="38" t="str">
        <f>IF($A24=0,"",VLOOKUP($A24,'BASE M-OBRA'!$A:$D,2))</f>
        <v/>
      </c>
      <c r="C24" s="2"/>
      <c r="D24" s="55"/>
      <c r="E24" s="55" t="str">
        <f>IF($A24=0,"",VLOOKUP($A24,'BASE M-OBRA'!$A:$D,4))</f>
        <v/>
      </c>
      <c r="F24" s="55" t="str">
        <f t="shared" si="2"/>
        <v/>
      </c>
      <c r="G24" s="106"/>
      <c r="H24" s="56" t="str">
        <f t="shared" si="3"/>
        <v/>
      </c>
      <c r="I24" s="2"/>
    </row>
    <row r="25" spans="1:16" x14ac:dyDescent="0.25">
      <c r="B25" s="57" t="str">
        <f>IF($A25=0,"",VLOOKUP($A25,'BASE M-OBRA'!$A:$D,2))</f>
        <v/>
      </c>
      <c r="C25" s="58"/>
      <c r="D25" s="59"/>
      <c r="E25" s="59" t="str">
        <f>IF($A25=0,"",VLOOKUP($A25,'BASE M-OBRA'!$A:$D,4))</f>
        <v/>
      </c>
      <c r="F25" s="59" t="str">
        <f t="shared" si="2"/>
        <v/>
      </c>
      <c r="G25" s="107"/>
      <c r="H25" s="60" t="str">
        <f t="shared" si="3"/>
        <v/>
      </c>
      <c r="I25" s="2"/>
    </row>
    <row r="26" spans="1:16" x14ac:dyDescent="0.25">
      <c r="B26" s="73" t="s">
        <v>1685</v>
      </c>
      <c r="C26" s="65"/>
      <c r="D26" s="74"/>
      <c r="E26" s="74"/>
      <c r="F26" s="74"/>
      <c r="G26" s="74"/>
      <c r="H26" s="75">
        <f>ROUND(SUM(H18:H25),2)</f>
        <v>253.74</v>
      </c>
      <c r="I26" s="2"/>
    </row>
    <row r="27" spans="1:16" x14ac:dyDescent="0.25">
      <c r="B27" s="38" t="s">
        <v>1684</v>
      </c>
      <c r="C27" s="2"/>
      <c r="D27" s="3"/>
      <c r="E27" s="3"/>
      <c r="F27" s="3"/>
      <c r="G27" s="3"/>
      <c r="H27" s="56"/>
      <c r="I27" s="2"/>
    </row>
    <row r="28" spans="1:16" ht="25.5" x14ac:dyDescent="0.25">
      <c r="B28" s="64" t="s">
        <v>1409</v>
      </c>
      <c r="C28" s="65"/>
      <c r="D28" s="76"/>
      <c r="E28" s="66" t="s">
        <v>1408</v>
      </c>
      <c r="F28" s="66" t="s">
        <v>1679</v>
      </c>
      <c r="G28" s="66" t="s">
        <v>1683</v>
      </c>
      <c r="H28" s="68" t="s">
        <v>1675</v>
      </c>
      <c r="I28" s="2"/>
    </row>
    <row r="29" spans="1:16" x14ac:dyDescent="0.25">
      <c r="B29" s="100"/>
      <c r="C29" s="2"/>
      <c r="D29" s="77"/>
      <c r="E29" s="78"/>
      <c r="F29" s="55"/>
      <c r="G29" s="55"/>
      <c r="H29" s="56" t="str">
        <f t="shared" ref="H29:H43" si="4">IF($A29=0,"",ROUND(F29*G29,2))</f>
        <v/>
      </c>
      <c r="I29" s="2"/>
      <c r="L29" s="2"/>
      <c r="M29" s="2"/>
      <c r="N29" s="39"/>
      <c r="O29" s="2"/>
      <c r="P29" s="2"/>
    </row>
    <row r="30" spans="1:16" x14ac:dyDescent="0.25">
      <c r="B30" s="38" t="str">
        <f>IF($A30=0,"",VLOOKUP($A30,'BASE MATERIAL'!$A:$D,2))</f>
        <v/>
      </c>
      <c r="C30" s="2"/>
      <c r="D30" s="77"/>
      <c r="E30" s="78" t="str">
        <f>IF($A30=0,"",VLOOKUP($A30,'BASE MATERIAL'!$A:$D,3))</f>
        <v/>
      </c>
      <c r="F30" s="55"/>
      <c r="G30" s="55" t="str">
        <f>IF($A30=0,"",VLOOKUP($A30,'BASE MATERIAL'!$A:$D,4))</f>
        <v/>
      </c>
      <c r="H30" s="56" t="str">
        <f t="shared" si="4"/>
        <v/>
      </c>
      <c r="I30" s="2"/>
      <c r="L30" s="2"/>
      <c r="M30" s="2"/>
      <c r="N30" s="39"/>
      <c r="O30" s="2"/>
      <c r="P30" s="2"/>
    </row>
    <row r="31" spans="1:16" x14ac:dyDescent="0.25">
      <c r="B31" s="38" t="str">
        <f>IF($A31=0,"",VLOOKUP($A31,'BASE MATERIAL'!$A:$D,2))</f>
        <v/>
      </c>
      <c r="C31" s="2"/>
      <c r="D31" s="77"/>
      <c r="E31" s="78" t="str">
        <f>IF($A31=0,"",VLOOKUP($A31,'BASE MATERIAL'!$A:$D,3))</f>
        <v/>
      </c>
      <c r="F31" s="112"/>
      <c r="G31" s="55" t="str">
        <f>IF($A31=0,"",VLOOKUP($A31,'BASE MATERIAL'!$A:$D,4))</f>
        <v/>
      </c>
      <c r="H31" s="56" t="str">
        <f t="shared" si="4"/>
        <v/>
      </c>
      <c r="I31" s="2"/>
      <c r="L31" s="2"/>
      <c r="M31" s="2"/>
      <c r="N31" s="39"/>
      <c r="O31" s="2"/>
      <c r="P31" s="2"/>
    </row>
    <row r="32" spans="1:16" x14ac:dyDescent="0.25">
      <c r="B32" s="38" t="str">
        <f>IF($A32=0,"",VLOOKUP($A32,'BASE MATERIAL'!$A:$D,2))</f>
        <v/>
      </c>
      <c r="C32" s="2"/>
      <c r="D32" s="77"/>
      <c r="E32" s="78" t="str">
        <f>IF($A32=0,"",VLOOKUP($A32,'BASE MATERIAL'!$A:$D,3))</f>
        <v/>
      </c>
      <c r="F32" s="55"/>
      <c r="G32" s="55" t="str">
        <f>IF($A32=0,"",VLOOKUP($A32,'BASE MATERIAL'!$A:$D,4))</f>
        <v/>
      </c>
      <c r="H32" s="56" t="str">
        <f t="shared" si="4"/>
        <v/>
      </c>
      <c r="I32" s="2"/>
      <c r="L32" s="2"/>
      <c r="M32" s="2"/>
      <c r="N32" s="39"/>
      <c r="O32" s="2"/>
      <c r="P32" s="2"/>
    </row>
    <row r="33" spans="1:16" ht="14.25" x14ac:dyDescent="0.2">
      <c r="A33" s="1"/>
      <c r="B33" s="38" t="str">
        <f>IF($A33=0,"",VLOOKUP($A33,'BASE MATERIAL'!$A:$D,2))</f>
        <v/>
      </c>
      <c r="C33" s="2"/>
      <c r="D33" s="77"/>
      <c r="E33" s="78" t="str">
        <f>IF($A33=0,"",VLOOKUP($A33,'BASE MATERIAL'!$A:$D,3))</f>
        <v/>
      </c>
      <c r="F33" s="55"/>
      <c r="G33" s="55" t="str">
        <f>IF($A33=0,"",VLOOKUP($A33,'BASE MATERIAL'!$A:$D,4))</f>
        <v/>
      </c>
      <c r="H33" s="56" t="str">
        <f t="shared" si="4"/>
        <v/>
      </c>
      <c r="I33" s="2"/>
      <c r="L33" s="2"/>
      <c r="M33" s="2"/>
      <c r="N33" s="39"/>
      <c r="O33" s="2"/>
      <c r="P33" s="2"/>
    </row>
    <row r="34" spans="1:16" ht="14.25" x14ac:dyDescent="0.2">
      <c r="A34" s="1"/>
      <c r="B34" s="38" t="str">
        <f>IF($A34=0,"",VLOOKUP($A34,'BASE MATERIAL'!$A:$D,2))</f>
        <v/>
      </c>
      <c r="C34" s="2"/>
      <c r="D34" s="77"/>
      <c r="E34" s="78" t="str">
        <f>IF($A34=0,"",VLOOKUP($A34,'BASE MATERIAL'!$A:$D,3))</f>
        <v/>
      </c>
      <c r="F34" s="55"/>
      <c r="G34" s="55" t="str">
        <f>IF($A34=0,"",VLOOKUP($A34,'BASE MATERIAL'!$A:$D,4))</f>
        <v/>
      </c>
      <c r="H34" s="56" t="str">
        <f t="shared" si="4"/>
        <v/>
      </c>
      <c r="I34" s="2"/>
      <c r="L34" s="2"/>
      <c r="M34" s="2"/>
      <c r="N34" s="39"/>
      <c r="O34" s="2"/>
      <c r="P34" s="2"/>
    </row>
    <row r="35" spans="1:16" ht="14.25" x14ac:dyDescent="0.2">
      <c r="A35" s="1"/>
      <c r="B35" s="38" t="str">
        <f>IF($A35=0,"",VLOOKUP($A35,'BASE MATERIAL'!$A:$D,2))</f>
        <v/>
      </c>
      <c r="C35" s="2"/>
      <c r="D35" s="77"/>
      <c r="E35" s="78" t="str">
        <f>IF($A35=0,"",VLOOKUP($A35,'BASE MATERIAL'!$A:$D,3))</f>
        <v/>
      </c>
      <c r="F35" s="55"/>
      <c r="G35" s="55" t="str">
        <f>IF($A35=0,"",VLOOKUP($A35,'BASE MATERIAL'!$A:$D,4))</f>
        <v/>
      </c>
      <c r="H35" s="56" t="str">
        <f t="shared" si="4"/>
        <v/>
      </c>
      <c r="I35" s="2"/>
      <c r="L35" s="2"/>
      <c r="M35" s="2"/>
      <c r="N35" s="39"/>
      <c r="O35" s="2"/>
      <c r="P35" s="2"/>
    </row>
    <row r="36" spans="1:16" ht="14.25" x14ac:dyDescent="0.2">
      <c r="A36" s="1"/>
      <c r="B36" s="38" t="str">
        <f>IF($A36=0,"",VLOOKUP($A36,'BASE MATERIAL'!$A:$D,2))</f>
        <v/>
      </c>
      <c r="C36" s="2"/>
      <c r="D36" s="77"/>
      <c r="E36" s="78" t="str">
        <f>IF($A36=0,"",VLOOKUP($A36,'BASE MATERIAL'!$A:$D,3))</f>
        <v/>
      </c>
      <c r="F36" s="55"/>
      <c r="G36" s="55" t="str">
        <f>IF($A36=0,"",VLOOKUP($A36,'BASE MATERIAL'!$A:$D,4))</f>
        <v/>
      </c>
      <c r="H36" s="56" t="str">
        <f t="shared" si="4"/>
        <v/>
      </c>
      <c r="I36" s="2"/>
      <c r="L36" s="2"/>
      <c r="M36" s="2"/>
      <c r="N36" s="39"/>
      <c r="O36" s="2"/>
      <c r="P36" s="2"/>
    </row>
    <row r="37" spans="1:16" ht="14.25" x14ac:dyDescent="0.2">
      <c r="A37" s="1"/>
      <c r="B37" s="38" t="str">
        <f>IF($A37=0,"",VLOOKUP($A37,'BASE MATERIAL'!$A:$D,2))</f>
        <v/>
      </c>
      <c r="C37" s="2"/>
      <c r="D37" s="77"/>
      <c r="E37" s="78" t="str">
        <f>IF($A37=0,"",VLOOKUP($A37,'BASE MATERIAL'!$A:$D,3))</f>
        <v/>
      </c>
      <c r="F37" s="55"/>
      <c r="G37" s="55" t="str">
        <f>IF($A37=0,"",VLOOKUP($A37,'BASE MATERIAL'!$A:$D,4))</f>
        <v/>
      </c>
      <c r="H37" s="56" t="str">
        <f t="shared" si="4"/>
        <v/>
      </c>
      <c r="I37" s="2"/>
    </row>
    <row r="38" spans="1:16" ht="14.25" x14ac:dyDescent="0.2">
      <c r="A38" s="1"/>
      <c r="B38" s="38" t="str">
        <f>IF($A38=0,"",VLOOKUP($A38,'BASE MATERIAL'!$A:$D,2))</f>
        <v/>
      </c>
      <c r="C38" s="2"/>
      <c r="D38" s="77"/>
      <c r="E38" s="78" t="str">
        <f>IF($A38=0,"",VLOOKUP($A38,'BASE MATERIAL'!$A:$D,3))</f>
        <v/>
      </c>
      <c r="F38" s="55"/>
      <c r="G38" s="55" t="str">
        <f>IF($A38=0,"",VLOOKUP($A38,'BASE MATERIAL'!$A:$D,4))</f>
        <v/>
      </c>
      <c r="H38" s="56" t="str">
        <f t="shared" si="4"/>
        <v/>
      </c>
      <c r="I38" s="2"/>
      <c r="L38" s="2"/>
      <c r="M38" s="2"/>
      <c r="N38" s="39"/>
      <c r="O38" s="2"/>
      <c r="P38" s="2"/>
    </row>
    <row r="39" spans="1:16" ht="14.25" x14ac:dyDescent="0.2">
      <c r="A39" s="1"/>
      <c r="B39" s="38" t="str">
        <f>IF($A39=0,"",VLOOKUP($A39,'BASE MATERIAL'!$A:$D,2))</f>
        <v/>
      </c>
      <c r="C39" s="2"/>
      <c r="D39" s="77"/>
      <c r="E39" s="78" t="str">
        <f>IF($A39=0,"",VLOOKUP($A39,'BASE MATERIAL'!$A:$D,3))</f>
        <v/>
      </c>
      <c r="F39" s="55"/>
      <c r="G39" s="55" t="str">
        <f>IF($A39=0,"",VLOOKUP($A39,'BASE MATERIAL'!$A:$D,4))</f>
        <v/>
      </c>
      <c r="H39" s="56" t="str">
        <f t="shared" si="4"/>
        <v/>
      </c>
      <c r="I39" s="2"/>
      <c r="L39" s="2"/>
      <c r="M39" s="2"/>
      <c r="N39" s="39"/>
      <c r="O39" s="2"/>
      <c r="P39" s="2"/>
    </row>
    <row r="40" spans="1:16" ht="14.25" x14ac:dyDescent="0.2">
      <c r="A40" s="1"/>
      <c r="B40" s="38" t="str">
        <f>IF($A40=0,"",VLOOKUP($A40,'BASE MATERIAL'!$A:$D,2))</f>
        <v/>
      </c>
      <c r="C40" s="2"/>
      <c r="D40" s="77"/>
      <c r="E40" s="78" t="str">
        <f>IF($A40=0,"",VLOOKUP($A40,'BASE MATERIAL'!$A:$D,3))</f>
        <v/>
      </c>
      <c r="F40" s="55"/>
      <c r="G40" s="55" t="str">
        <f>IF($A40=0,"",VLOOKUP($A40,'BASE MATERIAL'!$A:$D,4))</f>
        <v/>
      </c>
      <c r="H40" s="56" t="str">
        <f t="shared" si="4"/>
        <v/>
      </c>
      <c r="I40" s="2"/>
    </row>
    <row r="41" spans="1:16" ht="14.25" x14ac:dyDescent="0.2">
      <c r="A41" s="1"/>
      <c r="B41" s="38" t="str">
        <f>IF($A41=0,"",VLOOKUP($A41,'BASE MATERIAL'!$A:$D,2))</f>
        <v/>
      </c>
      <c r="C41" s="2"/>
      <c r="D41" s="77"/>
      <c r="E41" s="78" t="str">
        <f>IF($A41=0,"",VLOOKUP($A41,'BASE MATERIAL'!$A:$D,3))</f>
        <v/>
      </c>
      <c r="F41" s="55"/>
      <c r="G41" s="55" t="str">
        <f>IF($A41=0,"",VLOOKUP($A41,'BASE MATERIAL'!$A:$D,4))</f>
        <v/>
      </c>
      <c r="H41" s="56" t="str">
        <f t="shared" si="4"/>
        <v/>
      </c>
      <c r="I41" s="2"/>
    </row>
    <row r="42" spans="1:16" ht="14.25" x14ac:dyDescent="0.2">
      <c r="A42" s="1"/>
      <c r="B42" s="38" t="str">
        <f>IF($A42=0,"",VLOOKUP($A42,'BASE MATERIAL'!$A:$D,2))</f>
        <v/>
      </c>
      <c r="C42" s="2"/>
      <c r="D42" s="77"/>
      <c r="E42" s="78" t="str">
        <f>IF($A42=0,"",VLOOKUP($A42,'BASE MATERIAL'!$A:$D,3))</f>
        <v/>
      </c>
      <c r="F42" s="55"/>
      <c r="G42" s="55" t="str">
        <f>IF($A42=0,"",VLOOKUP($A42,'BASE MATERIAL'!$A:$D,4))</f>
        <v/>
      </c>
      <c r="H42" s="56" t="str">
        <f t="shared" si="4"/>
        <v/>
      </c>
      <c r="I42" s="2"/>
    </row>
    <row r="43" spans="1:16" ht="14.25" x14ac:dyDescent="0.2">
      <c r="A43" s="1"/>
      <c r="B43" s="38" t="str">
        <f>IF($A43=0,"",VLOOKUP($A43,'BASE MATERIAL'!$A:$D,2))</f>
        <v/>
      </c>
      <c r="C43" s="2"/>
      <c r="D43" s="77"/>
      <c r="E43" s="78" t="str">
        <f>IF($A43=0,"",VLOOKUP($A43,'BASE MATERIAL'!$A:$D,3))</f>
        <v/>
      </c>
      <c r="F43" s="55"/>
      <c r="G43" s="55" t="str">
        <f>IF($A43=0,"",VLOOKUP($A43,'BASE MATERIAL'!$A:$D,4))</f>
        <v/>
      </c>
      <c r="H43" s="56" t="str">
        <f t="shared" si="4"/>
        <v/>
      </c>
      <c r="I43" s="2"/>
    </row>
    <row r="44" spans="1:16" ht="14.25" x14ac:dyDescent="0.2">
      <c r="A44" s="1"/>
      <c r="B44" s="38" t="str">
        <f>IF($A44=0,"",VLOOKUP($A44,'BASE MATERIAL'!$A:$D,2))</f>
        <v/>
      </c>
      <c r="C44" s="2"/>
      <c r="D44" s="81" t="s">
        <v>1682</v>
      </c>
      <c r="E44" s="55" t="str">
        <f>IF($A44=0,"",VLOOKUP($A44,'BASE MATERIAL'!$A:$D,3))</f>
        <v/>
      </c>
      <c r="F44" s="55" t="s">
        <v>1682</v>
      </c>
      <c r="G44" s="55" t="str">
        <f>IF($A44=0,"",VLOOKUP($A44,'BASE MATERIAL'!$A:$D,4))</f>
        <v/>
      </c>
      <c r="H44" s="56" t="str">
        <f>IF($A44=0,"",ROUND(E44*F44,2))</f>
        <v/>
      </c>
      <c r="I44" s="2"/>
    </row>
    <row r="45" spans="1:16" ht="14.25" x14ac:dyDescent="0.2">
      <c r="A45" s="1"/>
      <c r="B45" s="73" t="s">
        <v>1681</v>
      </c>
      <c r="C45" s="65"/>
      <c r="D45" s="74"/>
      <c r="E45" s="74"/>
      <c r="F45" s="74"/>
      <c r="G45" s="74"/>
      <c r="H45" s="75">
        <f>ROUND(SUM(H28:H44),2)</f>
        <v>0</v>
      </c>
      <c r="I45" s="2"/>
    </row>
    <row r="46" spans="1:16" ht="14.25" x14ac:dyDescent="0.2">
      <c r="A46" s="1"/>
      <c r="B46" s="38" t="s">
        <v>1680</v>
      </c>
      <c r="C46" s="2"/>
      <c r="D46" s="3"/>
      <c r="E46" s="3"/>
      <c r="F46" s="3"/>
      <c r="G46" s="3"/>
      <c r="H46" s="56"/>
      <c r="I46" s="2"/>
    </row>
    <row r="47" spans="1:16" ht="25.5" x14ac:dyDescent="0.2">
      <c r="A47" s="1"/>
      <c r="B47" s="64" t="s">
        <v>1409</v>
      </c>
      <c r="C47" s="65"/>
      <c r="D47" s="76"/>
      <c r="E47" s="66" t="s">
        <v>1408</v>
      </c>
      <c r="F47" s="66" t="s">
        <v>1679</v>
      </c>
      <c r="G47" s="66" t="s">
        <v>1676</v>
      </c>
      <c r="H47" s="68" t="s">
        <v>1675</v>
      </c>
      <c r="I47" s="2"/>
    </row>
    <row r="48" spans="1:16" ht="14.25" x14ac:dyDescent="0.2">
      <c r="A48" s="1"/>
      <c r="B48" s="51" t="str">
        <f>IF($A48=0,"",VLOOKUP($A48,'BASE EQUIPO'!$A:$D,2))</f>
        <v/>
      </c>
      <c r="C48" s="52"/>
      <c r="D48" s="82"/>
      <c r="E48" s="78" t="str">
        <f>IF($A48=0,"",VLOOKUP($A48,'BASE EQUIPO'!$A:$D,3))</f>
        <v/>
      </c>
      <c r="F48" s="55"/>
      <c r="G48" s="83" t="str">
        <f>IF($A48=0,"",VLOOKUP($A48,'BASE EQUIPO'!$A:$D,4)*H45)</f>
        <v/>
      </c>
      <c r="H48" s="56" t="str">
        <f>IF($A48=0,"",ROUND(F48*G48,2))</f>
        <v/>
      </c>
      <c r="I48" s="2"/>
    </row>
    <row r="49" spans="1:15" x14ac:dyDescent="0.25">
      <c r="B49" s="38" t="str">
        <f>IF($A49=0,"",VLOOKUP($A49,'BASE EQUIPO'!$A:$D,2))</f>
        <v/>
      </c>
      <c r="C49" s="2"/>
      <c r="D49" s="84"/>
      <c r="E49" s="78" t="str">
        <f>IF($A49=0,"",VLOOKUP($A49,'BASE EQUIPO'!$A:$D,3))</f>
        <v/>
      </c>
      <c r="F49" s="55"/>
      <c r="G49" s="55" t="str">
        <f>IF($A49=0,"",VLOOKUP($A49,'BASE EQUIPO'!$A:$D,4)*H46)</f>
        <v/>
      </c>
      <c r="H49" s="56" t="str">
        <f>IF($A49=0,"",ROUND(F49*G49,2))</f>
        <v/>
      </c>
      <c r="I49" s="2"/>
    </row>
    <row r="50" spans="1:15" x14ac:dyDescent="0.25">
      <c r="B50" s="57" t="str">
        <f>IF($A50=0,"",VLOOKUP($A50,'BASE EQUIPO'!$A:$D,2))</f>
        <v/>
      </c>
      <c r="C50" s="58"/>
      <c r="D50" s="85"/>
      <c r="E50" s="86" t="str">
        <f>IF($A50=0,"",VLOOKUP($A50,'BASE EQUIPO'!$A:$D,3))</f>
        <v/>
      </c>
      <c r="F50" s="59"/>
      <c r="G50" s="59" t="str">
        <f>IF($A50=0,"",VLOOKUP($A50,'BASE EQUIPO'!$A:$D,4)*H47)</f>
        <v/>
      </c>
      <c r="H50" s="60" t="str">
        <f>IF($A50=0,"",ROUND(F50*G50,2))</f>
        <v/>
      </c>
      <c r="I50" s="2"/>
    </row>
    <row r="51" spans="1:15" ht="15.75" thickBot="1" x14ac:dyDescent="0.3">
      <c r="B51" s="87" t="s">
        <v>1674</v>
      </c>
      <c r="C51" s="88"/>
      <c r="D51" s="89"/>
      <c r="E51" s="89"/>
      <c r="F51" s="89"/>
      <c r="G51" s="89"/>
      <c r="H51" s="90">
        <f>ROUND(SUM(H47:H50),2)</f>
        <v>0</v>
      </c>
      <c r="I51" s="2"/>
    </row>
    <row r="52" spans="1:15" ht="15.75" x14ac:dyDescent="0.25">
      <c r="B52" s="2"/>
      <c r="C52" s="2"/>
      <c r="D52" s="91" t="s">
        <v>1673</v>
      </c>
      <c r="E52" s="47"/>
      <c r="F52" s="47"/>
      <c r="G52" s="47"/>
      <c r="H52" s="92">
        <f>ROUND(SUM(H51,H45,H26,H16),2)</f>
        <v>261.35000000000002</v>
      </c>
      <c r="I52" s="2"/>
    </row>
    <row r="53" spans="1:15" ht="15.75" x14ac:dyDescent="0.25">
      <c r="A53" s="103">
        <v>40002</v>
      </c>
      <c r="B53" s="2"/>
      <c r="C53" s="2"/>
      <c r="D53" s="93" t="s">
        <v>1672</v>
      </c>
      <c r="E53" s="65"/>
      <c r="F53" s="65"/>
      <c r="G53" s="94">
        <f>IF($A53=0,"",VLOOKUP($A53,'BASE MATERIAL'!$M:$P,4))</f>
        <v>0</v>
      </c>
      <c r="H53" s="95">
        <f>IF($A53=0,"",ROUND(G53*H52,2))</f>
        <v>0</v>
      </c>
      <c r="I53" s="2"/>
    </row>
    <row r="54" spans="1:15" ht="15.75" x14ac:dyDescent="0.25">
      <c r="A54" s="103">
        <v>40003</v>
      </c>
      <c r="B54" s="2"/>
      <c r="C54" s="2"/>
      <c r="D54" s="93" t="s">
        <v>1671</v>
      </c>
      <c r="E54" s="65"/>
      <c r="F54" s="65"/>
      <c r="G54" s="94">
        <f>IF($A54=0,"",VLOOKUP($A54,'BASE MATERIAL'!$M:$P,4))</f>
        <v>0</v>
      </c>
      <c r="H54" s="95">
        <f>IF($A54=0,"",ROUND(G54*H52,2))</f>
        <v>0</v>
      </c>
      <c r="I54" s="2"/>
    </row>
    <row r="55" spans="1:15" ht="15.75" x14ac:dyDescent="0.25">
      <c r="B55" s="2"/>
      <c r="C55" s="2"/>
      <c r="D55" s="93" t="s">
        <v>1670</v>
      </c>
      <c r="E55" s="65"/>
      <c r="F55" s="65"/>
      <c r="G55" s="65"/>
      <c r="H55" s="96">
        <f>ROUND(SUM(H52:H54),2)</f>
        <v>261.35000000000002</v>
      </c>
      <c r="I55" s="2"/>
    </row>
    <row r="56" spans="1:15" ht="16.5" thickBot="1" x14ac:dyDescent="0.3">
      <c r="B56" s="25"/>
      <c r="C56" s="2"/>
      <c r="D56" s="97" t="s">
        <v>1650</v>
      </c>
      <c r="E56" s="88"/>
      <c r="F56" s="88"/>
      <c r="G56" s="88"/>
      <c r="H56" s="98">
        <f>ROUND(H55,2)</f>
        <v>261.35000000000002</v>
      </c>
      <c r="I56" s="2">
        <v>450</v>
      </c>
      <c r="J56" s="2">
        <f>+I56-H56</f>
        <v>188.64999999999998</v>
      </c>
    </row>
    <row r="57" spans="1:15" ht="15.75" x14ac:dyDescent="0.25">
      <c r="B57" s="34" t="s">
        <v>1701</v>
      </c>
      <c r="C57" s="2"/>
      <c r="D57" s="3" t="str">
        <f>$D$1</f>
        <v>ESPOL</v>
      </c>
      <c r="E57" s="2"/>
      <c r="F57" s="2"/>
      <c r="H57" s="2" t="s">
        <v>108</v>
      </c>
      <c r="I57" s="2"/>
      <c r="L57" s="40">
        <f>A61</f>
        <v>2</v>
      </c>
      <c r="M57" s="1" t="str">
        <f>C62</f>
        <v>Mano de obra por  instalaciòn de unidad Split desde 36.000 btuh hasta 60.000 btuh</v>
      </c>
      <c r="N57" s="2" t="str">
        <f>H61</f>
        <v>U</v>
      </c>
      <c r="O57" s="2">
        <f>H112</f>
        <v>314.33</v>
      </c>
    </row>
    <row r="58" spans="1:15" ht="15.75" x14ac:dyDescent="0.25">
      <c r="B58" s="34" t="s">
        <v>1700</v>
      </c>
      <c r="C58" s="3">
        <f>'1.1'!$C$2</f>
        <v>0</v>
      </c>
      <c r="D58" s="2"/>
      <c r="E58" s="2"/>
      <c r="F58" s="2"/>
      <c r="G58" s="41" t="s">
        <v>1699</v>
      </c>
      <c r="H58" s="42"/>
      <c r="I58" s="2" t="s">
        <v>1698</v>
      </c>
    </row>
    <row r="59" spans="1:15" ht="15.75" x14ac:dyDescent="0.25">
      <c r="B59" s="34"/>
      <c r="C59" s="3">
        <f>'1.1'!$C$3</f>
        <v>0</v>
      </c>
      <c r="D59" s="2"/>
      <c r="E59" s="2"/>
      <c r="F59" s="2"/>
      <c r="G59" s="2"/>
      <c r="H59" s="2"/>
      <c r="I59" s="2"/>
    </row>
    <row r="60" spans="1:15" ht="15.75" x14ac:dyDescent="0.25">
      <c r="B60" s="34" t="s">
        <v>1697</v>
      </c>
      <c r="C60" s="3"/>
      <c r="D60" s="2"/>
      <c r="E60" s="2"/>
      <c r="F60" s="2"/>
      <c r="G60" s="2"/>
      <c r="H60" s="2"/>
      <c r="I60" s="2"/>
    </row>
    <row r="61" spans="1:15" x14ac:dyDescent="0.25">
      <c r="A61" s="104">
        <v>2</v>
      </c>
      <c r="B61" s="2" t="s">
        <v>1586</v>
      </c>
      <c r="C61" s="101" t="s">
        <v>1341</v>
      </c>
      <c r="D61" s="2"/>
      <c r="G61" s="2" t="s">
        <v>1696</v>
      </c>
      <c r="H61" s="3" t="s">
        <v>744</v>
      </c>
      <c r="I61" s="2"/>
    </row>
    <row r="62" spans="1:15" x14ac:dyDescent="0.25">
      <c r="B62" s="1" t="s">
        <v>1585</v>
      </c>
      <c r="C62" s="36" t="s">
        <v>709</v>
      </c>
      <c r="D62" s="2"/>
      <c r="E62" s="2"/>
      <c r="F62" s="2"/>
      <c r="G62" s="2"/>
      <c r="H62" s="2"/>
      <c r="I62" s="2"/>
    </row>
    <row r="63" spans="1:15" ht="15.75" thickBot="1" x14ac:dyDescent="0.3">
      <c r="D63" s="2"/>
      <c r="E63" s="2"/>
      <c r="F63" s="2"/>
      <c r="G63" s="2"/>
      <c r="H63" s="2"/>
      <c r="I63" s="2"/>
    </row>
    <row r="64" spans="1:15" ht="15.75" thickBot="1" x14ac:dyDescent="0.3">
      <c r="B64" s="43" t="s">
        <v>1695</v>
      </c>
      <c r="C64" s="44"/>
      <c r="D64" s="44"/>
      <c r="E64" s="44"/>
      <c r="F64" s="44"/>
      <c r="G64" s="44"/>
      <c r="H64" s="45"/>
      <c r="I64" s="2"/>
    </row>
    <row r="65" spans="1:9" ht="25.5" x14ac:dyDescent="0.25">
      <c r="B65" s="46" t="s">
        <v>1409</v>
      </c>
      <c r="C65" s="47"/>
      <c r="D65" s="48" t="s">
        <v>1690</v>
      </c>
      <c r="E65" s="48" t="s">
        <v>1694</v>
      </c>
      <c r="F65" s="48" t="s">
        <v>1693</v>
      </c>
      <c r="G65" s="49" t="s">
        <v>1687</v>
      </c>
      <c r="H65" s="50" t="s">
        <v>1686</v>
      </c>
      <c r="I65" s="2"/>
    </row>
    <row r="66" spans="1:9" x14ac:dyDescent="0.25">
      <c r="A66" s="103">
        <v>19015</v>
      </c>
      <c r="B66" s="51" t="str">
        <f>IF($A66=0,"",VLOOKUP($A66,'BASE EQUIPO'!$A:$D,2))</f>
        <v>HERRAMIENTA MENOR</v>
      </c>
      <c r="C66" s="52"/>
      <c r="D66" s="53">
        <v>1</v>
      </c>
      <c r="E66" s="53">
        <f>IF($A66=0,"",VLOOKUP($A66,'BASE EQUIPO'!$A:$D,4)*H82)</f>
        <v>9.1551000000000009</v>
      </c>
      <c r="F66" s="53">
        <f t="shared" ref="F66:F71" si="5">IF($A66=0,"",ROUND(D66*E66,2))</f>
        <v>9.16</v>
      </c>
      <c r="G66" s="105">
        <v>1</v>
      </c>
      <c r="H66" s="54">
        <f t="shared" ref="H66:H71" si="6">IF($A66=0,"",ROUND(G66*F66,2))</f>
        <v>9.16</v>
      </c>
      <c r="I66" s="2"/>
    </row>
    <row r="67" spans="1:9" x14ac:dyDescent="0.25">
      <c r="B67" s="38" t="str">
        <f>IF($A67=0,"",VLOOKUP($A67,'BASE EQUIPO'!$A:$D,2))</f>
        <v/>
      </c>
      <c r="C67" s="2"/>
      <c r="D67" s="55"/>
      <c r="E67" s="55" t="str">
        <f>IF($A67=0,"",VLOOKUP($A67,'BASE EQUIPO'!$A:$D,4))</f>
        <v/>
      </c>
      <c r="F67" s="55" t="str">
        <f t="shared" si="5"/>
        <v/>
      </c>
      <c r="G67" s="106"/>
      <c r="H67" s="56" t="str">
        <f t="shared" si="6"/>
        <v/>
      </c>
      <c r="I67" s="2"/>
    </row>
    <row r="68" spans="1:9" x14ac:dyDescent="0.25">
      <c r="B68" s="38" t="str">
        <f>IF($A68=0,"",VLOOKUP($A68,'BASE EQUIPO'!$A:$D,2))</f>
        <v/>
      </c>
      <c r="C68" s="2"/>
      <c r="D68" s="55"/>
      <c r="E68" s="55" t="str">
        <f>IF($A68=0,"",VLOOKUP($A68,'BASE EQUIPO'!$A:$D,4))</f>
        <v/>
      </c>
      <c r="F68" s="55" t="str">
        <f t="shared" si="5"/>
        <v/>
      </c>
      <c r="G68" s="106"/>
      <c r="H68" s="56" t="str">
        <f t="shared" si="6"/>
        <v/>
      </c>
      <c r="I68" s="2"/>
    </row>
    <row r="69" spans="1:9" x14ac:dyDescent="0.25">
      <c r="B69" s="38" t="str">
        <f>IF($A69=0,"",VLOOKUP($A69,'BASE EQUIPO'!$A:$D,2))</f>
        <v/>
      </c>
      <c r="C69" s="2"/>
      <c r="D69" s="55"/>
      <c r="E69" s="55" t="str">
        <f>IF($A69=0,"",VLOOKUP($A69,'BASE EQUIPO'!$A:$D,4))</f>
        <v/>
      </c>
      <c r="F69" s="55" t="str">
        <f t="shared" si="5"/>
        <v/>
      </c>
      <c r="G69" s="106"/>
      <c r="H69" s="56" t="str">
        <f t="shared" si="6"/>
        <v/>
      </c>
      <c r="I69" s="2"/>
    </row>
    <row r="70" spans="1:9" x14ac:dyDescent="0.25">
      <c r="B70" s="38" t="str">
        <f>IF($A70=0,"",VLOOKUP($A70,'BASE EQUIPO'!$A:$D,2))</f>
        <v/>
      </c>
      <c r="C70" s="2"/>
      <c r="D70" s="55"/>
      <c r="E70" s="55" t="str">
        <f>IF($A70=0,"",VLOOKUP($A70,'BASE EQUIPO'!$A:$D,4))</f>
        <v/>
      </c>
      <c r="F70" s="55" t="str">
        <f t="shared" si="5"/>
        <v/>
      </c>
      <c r="G70" s="106"/>
      <c r="H70" s="56" t="str">
        <f t="shared" si="6"/>
        <v/>
      </c>
      <c r="I70" s="2"/>
    </row>
    <row r="71" spans="1:9" x14ac:dyDescent="0.25">
      <c r="B71" s="57" t="str">
        <f>IF($A71=0,"",VLOOKUP($A71,'BASE EQUIPO'!$A:$D,2))</f>
        <v/>
      </c>
      <c r="C71" s="58"/>
      <c r="D71" s="59"/>
      <c r="E71" s="59" t="str">
        <f>IF($A71=0,"",VLOOKUP($A71,'BASE EQUIPO'!$A:$D,4))</f>
        <v/>
      </c>
      <c r="F71" s="59" t="str">
        <f t="shared" si="5"/>
        <v/>
      </c>
      <c r="G71" s="107"/>
      <c r="H71" s="60" t="str">
        <f t="shared" si="6"/>
        <v/>
      </c>
      <c r="I71" s="2"/>
    </row>
    <row r="72" spans="1:9" x14ac:dyDescent="0.25">
      <c r="B72" s="57" t="s">
        <v>1692</v>
      </c>
      <c r="C72" s="58"/>
      <c r="D72" s="61"/>
      <c r="E72" s="61"/>
      <c r="F72" s="61"/>
      <c r="G72" s="62"/>
      <c r="H72" s="60">
        <f>ROUND(SUM(H65:H71),2)</f>
        <v>9.16</v>
      </c>
      <c r="I72" s="2"/>
    </row>
    <row r="73" spans="1:9" x14ac:dyDescent="0.25">
      <c r="B73" s="38" t="s">
        <v>1503</v>
      </c>
      <c r="C73" s="2"/>
      <c r="D73" s="3"/>
      <c r="E73" s="3"/>
      <c r="F73" s="3"/>
      <c r="G73" s="63"/>
      <c r="H73" s="56"/>
      <c r="I73" s="2"/>
    </row>
    <row r="74" spans="1:9" ht="25.5" x14ac:dyDescent="0.25">
      <c r="B74" s="64" t="s">
        <v>1691</v>
      </c>
      <c r="C74" s="65"/>
      <c r="D74" s="66" t="s">
        <v>1690</v>
      </c>
      <c r="E74" s="66" t="s">
        <v>1689</v>
      </c>
      <c r="F74" s="66" t="s">
        <v>1688</v>
      </c>
      <c r="G74" s="67" t="s">
        <v>1687</v>
      </c>
      <c r="H74" s="68" t="s">
        <v>1686</v>
      </c>
      <c r="I74" s="2"/>
    </row>
    <row r="75" spans="1:9" x14ac:dyDescent="0.25">
      <c r="B75" s="69" t="str">
        <f>IF($A75=0,"",VLOOKUP($A75,'BASE M-OBRA'!$A:$D,2))</f>
        <v/>
      </c>
      <c r="C75" s="2"/>
      <c r="D75" s="108"/>
      <c r="E75" s="70" t="str">
        <f>IF($A75=0,"",VLOOKUP($A75,'BASE M-OBRA'!$A:$D,4))</f>
        <v/>
      </c>
      <c r="F75" s="55" t="str">
        <f t="shared" ref="F75:F81" si="7">IF($A75=0,"",ROUND(D75*E75,2))</f>
        <v/>
      </c>
      <c r="G75" s="106" t="str">
        <f>IF($A75=0,"",ROUND(H75/F75,2))</f>
        <v/>
      </c>
      <c r="H75" s="56" t="str">
        <f>IF($A75=0,"",ROUND(SUM(H76:H81)*'BASE M-OBRA'!$D$23,2))</f>
        <v/>
      </c>
      <c r="I75" s="2"/>
    </row>
    <row r="76" spans="1:9" x14ac:dyDescent="0.25">
      <c r="A76" s="103">
        <v>20019</v>
      </c>
      <c r="B76" s="69" t="str">
        <f>IF($A76=0,"",VLOOKUP($A76,'BASE M-OBRA'!$A:$D,2))</f>
        <v>INSTALADOR</v>
      </c>
      <c r="C76" s="2"/>
      <c r="D76" s="108">
        <v>2</v>
      </c>
      <c r="E76" s="70">
        <f>IF($A76=0,"",VLOOKUP($A76,'BASE M-OBRA'!$A:$D,4))</f>
        <v>2.82</v>
      </c>
      <c r="F76" s="55">
        <f t="shared" si="7"/>
        <v>5.64</v>
      </c>
      <c r="G76" s="106">
        <v>36.200000000000003</v>
      </c>
      <c r="H76" s="56">
        <f t="shared" ref="H76:H81" si="8">IF($A76=0,"",ROUND(G76*F76,2))</f>
        <v>204.17</v>
      </c>
      <c r="I76" s="2"/>
    </row>
    <row r="77" spans="1:9" x14ac:dyDescent="0.25">
      <c r="A77" s="103">
        <v>20011</v>
      </c>
      <c r="B77" s="69" t="str">
        <f>IF($A77=0,"",VLOOKUP($A77,'BASE M-OBRA'!$A:$D,2))</f>
        <v>AYUDANTE ESPECIALISTA</v>
      </c>
      <c r="C77" s="2"/>
      <c r="D77" s="108">
        <v>1</v>
      </c>
      <c r="E77" s="70">
        <f>IF($A77=0,"",VLOOKUP($A77,'BASE M-OBRA'!$A:$D,4))</f>
        <v>2.79</v>
      </c>
      <c r="F77" s="55">
        <f t="shared" si="7"/>
        <v>2.79</v>
      </c>
      <c r="G77" s="106">
        <f>+G76</f>
        <v>36.200000000000003</v>
      </c>
      <c r="H77" s="56">
        <f t="shared" si="8"/>
        <v>101</v>
      </c>
      <c r="I77" s="2"/>
    </row>
    <row r="78" spans="1:9" x14ac:dyDescent="0.25">
      <c r="B78" s="71" t="str">
        <f>IF($A78=0,"",VLOOKUP($A78,'BASE M-OBRA'!$A:$D,2))</f>
        <v/>
      </c>
      <c r="C78" s="2"/>
      <c r="D78" s="108"/>
      <c r="E78" s="70" t="str">
        <f>IF($A78=0,"",VLOOKUP($A78,'BASE M-OBRA'!$A:$D,4))</f>
        <v/>
      </c>
      <c r="F78" s="55" t="str">
        <f t="shared" si="7"/>
        <v/>
      </c>
      <c r="G78" s="106"/>
      <c r="H78" s="56" t="str">
        <f t="shared" si="8"/>
        <v/>
      </c>
      <c r="I78" s="2"/>
    </row>
    <row r="79" spans="1:9" x14ac:dyDescent="0.25">
      <c r="B79" s="72" t="str">
        <f>IF($A79=0,"",VLOOKUP($A79,'BASE M-OBRA'!$A:$D,2))</f>
        <v/>
      </c>
      <c r="C79" s="2"/>
      <c r="D79" s="108"/>
      <c r="E79" s="70" t="str">
        <f>IF($A79=0,"",VLOOKUP($A79,'BASE M-OBRA'!$A:$D,4))</f>
        <v/>
      </c>
      <c r="F79" s="55" t="str">
        <f t="shared" si="7"/>
        <v/>
      </c>
      <c r="G79" s="106"/>
      <c r="H79" s="56" t="str">
        <f t="shared" si="8"/>
        <v/>
      </c>
      <c r="I79" s="2"/>
    </row>
    <row r="80" spans="1:9" x14ac:dyDescent="0.25">
      <c r="B80" s="38" t="str">
        <f>IF($A80=0,"",VLOOKUP($A80,'BASE M-OBRA'!$A:$D,2))</f>
        <v/>
      </c>
      <c r="C80" s="2"/>
      <c r="D80" s="55"/>
      <c r="E80" s="55" t="str">
        <f>IF($A80=0,"",VLOOKUP($A80,'BASE M-OBRA'!$A:$D,4))</f>
        <v/>
      </c>
      <c r="F80" s="55" t="str">
        <f t="shared" si="7"/>
        <v/>
      </c>
      <c r="G80" s="106"/>
      <c r="H80" s="56" t="str">
        <f t="shared" si="8"/>
        <v/>
      </c>
      <c r="I80" s="2"/>
    </row>
    <row r="81" spans="1:16" ht="14.25" x14ac:dyDescent="0.2">
      <c r="A81" s="1"/>
      <c r="B81" s="57" t="str">
        <f>IF($A81=0,"",VLOOKUP($A81,'BASE M-OBRA'!$A:$D,2))</f>
        <v/>
      </c>
      <c r="C81" s="58"/>
      <c r="D81" s="59"/>
      <c r="E81" s="59" t="str">
        <f>IF($A81=0,"",VLOOKUP($A81,'BASE M-OBRA'!$A:$D,4))</f>
        <v/>
      </c>
      <c r="F81" s="59" t="str">
        <f t="shared" si="7"/>
        <v/>
      </c>
      <c r="G81" s="107"/>
      <c r="H81" s="60" t="str">
        <f t="shared" si="8"/>
        <v/>
      </c>
      <c r="I81" s="2"/>
    </row>
    <row r="82" spans="1:16" ht="14.25" x14ac:dyDescent="0.2">
      <c r="A82" s="1"/>
      <c r="B82" s="73" t="s">
        <v>1685</v>
      </c>
      <c r="C82" s="65"/>
      <c r="D82" s="74"/>
      <c r="E82" s="74"/>
      <c r="F82" s="74"/>
      <c r="G82" s="74"/>
      <c r="H82" s="75">
        <f>ROUND(SUM(H74:H81),2)</f>
        <v>305.17</v>
      </c>
      <c r="I82" s="2"/>
    </row>
    <row r="83" spans="1:16" ht="14.25" x14ac:dyDescent="0.2">
      <c r="A83" s="1"/>
      <c r="B83" s="38" t="s">
        <v>1684</v>
      </c>
      <c r="C83" s="2"/>
      <c r="D83" s="3"/>
      <c r="E83" s="3"/>
      <c r="F83" s="3"/>
      <c r="G83" s="3"/>
      <c r="H83" s="56"/>
      <c r="I83" s="2"/>
    </row>
    <row r="84" spans="1:16" ht="25.5" x14ac:dyDescent="0.2">
      <c r="A84" s="1"/>
      <c r="B84" s="64" t="s">
        <v>1409</v>
      </c>
      <c r="C84" s="65"/>
      <c r="D84" s="76"/>
      <c r="E84" s="66" t="s">
        <v>1408</v>
      </c>
      <c r="F84" s="66" t="s">
        <v>1679</v>
      </c>
      <c r="G84" s="66" t="s">
        <v>1683</v>
      </c>
      <c r="H84" s="68" t="s">
        <v>1675</v>
      </c>
      <c r="I84" s="2"/>
    </row>
    <row r="85" spans="1:16" ht="14.25" x14ac:dyDescent="0.2">
      <c r="A85" s="1"/>
      <c r="B85" s="100"/>
      <c r="C85" s="2"/>
      <c r="D85" s="77"/>
      <c r="E85" s="78"/>
      <c r="F85" s="55"/>
      <c r="G85" s="55"/>
      <c r="H85" s="56" t="str">
        <f t="shared" ref="H85:H99" si="9">IF($A85=0,"",ROUND(F85*G85,2))</f>
        <v/>
      </c>
      <c r="I85" s="2"/>
      <c r="L85" s="2"/>
      <c r="M85" s="2"/>
      <c r="N85" s="39"/>
      <c r="O85" s="2"/>
      <c r="P85" s="2"/>
    </row>
    <row r="86" spans="1:16" ht="14.25" x14ac:dyDescent="0.2">
      <c r="A86" s="1"/>
      <c r="B86" s="38" t="str">
        <f>IF($A86=0,"",VLOOKUP($A86,'BASE MATERIAL'!$A:$D,2))</f>
        <v/>
      </c>
      <c r="C86" s="2"/>
      <c r="D86" s="77"/>
      <c r="E86" s="78" t="str">
        <f>IF($A86=0,"",VLOOKUP($A86,'BASE MATERIAL'!$A:$D,3))</f>
        <v/>
      </c>
      <c r="F86" s="55"/>
      <c r="G86" s="55" t="str">
        <f>IF($A86=0,"",VLOOKUP($A86,'BASE MATERIAL'!$A:$D,4))</f>
        <v/>
      </c>
      <c r="H86" s="56" t="str">
        <f t="shared" si="9"/>
        <v/>
      </c>
      <c r="I86" s="2"/>
      <c r="L86" s="2"/>
      <c r="M86" s="2"/>
      <c r="N86" s="39"/>
      <c r="O86" s="2"/>
      <c r="P86" s="2"/>
    </row>
    <row r="87" spans="1:16" ht="14.25" x14ac:dyDescent="0.2">
      <c r="A87" s="1"/>
      <c r="B87" s="38" t="str">
        <f>IF($A87=0,"",VLOOKUP($A87,'BASE MATERIAL'!$A:$D,2))</f>
        <v/>
      </c>
      <c r="C87" s="2"/>
      <c r="D87" s="77"/>
      <c r="E87" s="78" t="str">
        <f>IF($A87=0,"",VLOOKUP($A87,'BASE MATERIAL'!$A:$D,3))</f>
        <v/>
      </c>
      <c r="F87" s="55"/>
      <c r="G87" s="55" t="str">
        <f>IF($A87=0,"",VLOOKUP($A87,'BASE MATERIAL'!$A:$D,4))</f>
        <v/>
      </c>
      <c r="H87" s="56" t="str">
        <f t="shared" si="9"/>
        <v/>
      </c>
      <c r="I87" s="2"/>
      <c r="L87" s="2"/>
      <c r="M87" s="2"/>
      <c r="N87" s="39"/>
      <c r="O87" s="2"/>
      <c r="P87" s="2"/>
    </row>
    <row r="88" spans="1:16" ht="14.25" x14ac:dyDescent="0.2">
      <c r="A88" s="1"/>
      <c r="B88" s="38" t="str">
        <f>IF($A88=0,"",VLOOKUP($A88,'BASE MATERIAL'!$A:$D,2))</f>
        <v/>
      </c>
      <c r="C88" s="2"/>
      <c r="D88" s="77"/>
      <c r="E88" s="78" t="str">
        <f>IF($A88=0,"",VLOOKUP($A88,'BASE MATERIAL'!$A:$D,3))</f>
        <v/>
      </c>
      <c r="F88" s="55"/>
      <c r="G88" s="55" t="str">
        <f>IF($A88=0,"",VLOOKUP($A88,'BASE MATERIAL'!$A:$D,4))</f>
        <v/>
      </c>
      <c r="H88" s="56" t="str">
        <f t="shared" si="9"/>
        <v/>
      </c>
      <c r="I88" s="2"/>
      <c r="L88" s="2"/>
      <c r="M88" s="2"/>
      <c r="N88" s="39"/>
      <c r="O88" s="2"/>
      <c r="P88" s="2"/>
    </row>
    <row r="89" spans="1:16" ht="14.25" x14ac:dyDescent="0.2">
      <c r="A89" s="1"/>
      <c r="B89" s="38" t="str">
        <f>IF($A89=0,"",VLOOKUP($A89,'BASE MATERIAL'!$A:$D,2))</f>
        <v/>
      </c>
      <c r="C89" s="2"/>
      <c r="D89" s="77"/>
      <c r="E89" s="78" t="str">
        <f>IF($A89=0,"",VLOOKUP($A89,'BASE MATERIAL'!$A:$D,3))</f>
        <v/>
      </c>
      <c r="F89" s="55"/>
      <c r="G89" s="55" t="str">
        <f>IF($A89=0,"",VLOOKUP($A89,'BASE MATERIAL'!$A:$D,4))</f>
        <v/>
      </c>
      <c r="H89" s="56" t="str">
        <f t="shared" si="9"/>
        <v/>
      </c>
      <c r="I89" s="2"/>
      <c r="L89" s="2"/>
      <c r="M89" s="2"/>
      <c r="N89" s="39"/>
      <c r="O89" s="2"/>
      <c r="P89" s="2"/>
    </row>
    <row r="90" spans="1:16" ht="14.25" x14ac:dyDescent="0.2">
      <c r="A90" s="1"/>
      <c r="B90" s="38" t="str">
        <f>IF($A90=0,"",VLOOKUP($A90,'BASE MATERIAL'!$A:$D,2))</f>
        <v/>
      </c>
      <c r="C90" s="2"/>
      <c r="D90" s="77"/>
      <c r="E90" s="78" t="str">
        <f>IF($A90=0,"",VLOOKUP($A90,'BASE MATERIAL'!$A:$D,3))</f>
        <v/>
      </c>
      <c r="F90" s="55"/>
      <c r="G90" s="55" t="str">
        <f>IF($A90=0,"",VLOOKUP($A90,'BASE MATERIAL'!$A:$D,4))</f>
        <v/>
      </c>
      <c r="H90" s="56" t="str">
        <f t="shared" si="9"/>
        <v/>
      </c>
      <c r="I90" s="2"/>
      <c r="L90" s="2"/>
      <c r="M90" s="2"/>
      <c r="N90" s="39"/>
      <c r="O90" s="2"/>
      <c r="P90" s="2"/>
    </row>
    <row r="91" spans="1:16" ht="14.25" x14ac:dyDescent="0.2">
      <c r="A91" s="1"/>
      <c r="B91" s="38" t="str">
        <f>IF($A91=0,"",VLOOKUP($A91,'BASE MATERIAL'!$A:$D,2))</f>
        <v/>
      </c>
      <c r="C91" s="2"/>
      <c r="D91" s="77"/>
      <c r="E91" s="78" t="str">
        <f>IF($A91=0,"",VLOOKUP($A91,'BASE MATERIAL'!$A:$D,3))</f>
        <v/>
      </c>
      <c r="F91" s="55"/>
      <c r="G91" s="55" t="str">
        <f>IF($A91=0,"",VLOOKUP($A91,'BASE MATERIAL'!$A:$D,4))</f>
        <v/>
      </c>
      <c r="H91" s="56" t="str">
        <f t="shared" si="9"/>
        <v/>
      </c>
      <c r="I91" s="2"/>
      <c r="L91" s="2"/>
      <c r="M91" s="2"/>
      <c r="N91" s="39"/>
      <c r="O91" s="2"/>
      <c r="P91" s="2"/>
    </row>
    <row r="92" spans="1:16" ht="14.25" x14ac:dyDescent="0.2">
      <c r="A92" s="1"/>
      <c r="B92" s="38" t="str">
        <f>IF($A92=0,"",VLOOKUP($A92,'BASE MATERIAL'!$A:$D,2))</f>
        <v/>
      </c>
      <c r="C92" s="2"/>
      <c r="D92" s="77"/>
      <c r="E92" s="78" t="str">
        <f>IF($A92=0,"",VLOOKUP($A92,'BASE MATERIAL'!$A:$D,3))</f>
        <v/>
      </c>
      <c r="F92" s="55"/>
      <c r="G92" s="55" t="str">
        <f>IF($A92=0,"",VLOOKUP($A92,'BASE MATERIAL'!$A:$D,4))</f>
        <v/>
      </c>
      <c r="H92" s="56" t="str">
        <f t="shared" si="9"/>
        <v/>
      </c>
      <c r="I92" s="2"/>
      <c r="L92" s="2"/>
      <c r="M92" s="2"/>
      <c r="N92" s="39"/>
      <c r="O92" s="2"/>
      <c r="P92" s="2"/>
    </row>
    <row r="93" spans="1:16" ht="14.25" x14ac:dyDescent="0.2">
      <c r="A93" s="1"/>
      <c r="B93" s="38" t="str">
        <f>IF($A93=0,"",VLOOKUP($A93,'BASE MATERIAL'!$A:$D,2))</f>
        <v/>
      </c>
      <c r="C93" s="2"/>
      <c r="D93" s="77"/>
      <c r="E93" s="78" t="str">
        <f>IF($A93=0,"",VLOOKUP($A93,'BASE MATERIAL'!$A:$D,3))</f>
        <v/>
      </c>
      <c r="F93" s="55"/>
      <c r="G93" s="55" t="str">
        <f>IF($A93=0,"",VLOOKUP($A93,'BASE MATERIAL'!$A:$D,4))</f>
        <v/>
      </c>
      <c r="H93" s="56" t="str">
        <f t="shared" si="9"/>
        <v/>
      </c>
      <c r="I93" s="2"/>
    </row>
    <row r="94" spans="1:16" ht="14.25" x14ac:dyDescent="0.2">
      <c r="A94" s="1"/>
      <c r="B94" s="38" t="str">
        <f>IF($A94=0,"",VLOOKUP($A94,'BASE MATERIAL'!$A:$D,2))</f>
        <v/>
      </c>
      <c r="C94" s="2"/>
      <c r="D94" s="77"/>
      <c r="E94" s="78" t="str">
        <f>IF($A94=0,"",VLOOKUP($A94,'BASE MATERIAL'!$A:$D,3))</f>
        <v/>
      </c>
      <c r="F94" s="55"/>
      <c r="G94" s="55" t="str">
        <f>IF($A94=0,"",VLOOKUP($A94,'BASE MATERIAL'!$A:$D,4))</f>
        <v/>
      </c>
      <c r="H94" s="56" t="str">
        <f t="shared" si="9"/>
        <v/>
      </c>
      <c r="I94" s="2"/>
      <c r="L94" s="2"/>
      <c r="M94" s="2"/>
      <c r="N94" s="39"/>
      <c r="O94" s="2"/>
      <c r="P94" s="2"/>
    </row>
    <row r="95" spans="1:16" ht="14.25" x14ac:dyDescent="0.2">
      <c r="A95" s="1"/>
      <c r="B95" s="38" t="str">
        <f>IF($A95=0,"",VLOOKUP($A95,'BASE MATERIAL'!$A:$D,2))</f>
        <v/>
      </c>
      <c r="C95" s="2"/>
      <c r="D95" s="77"/>
      <c r="E95" s="78" t="str">
        <f>IF($A95=0,"",VLOOKUP($A95,'BASE MATERIAL'!$A:$D,3))</f>
        <v/>
      </c>
      <c r="F95" s="55"/>
      <c r="G95" s="55" t="str">
        <f>IF($A95=0,"",VLOOKUP($A95,'BASE MATERIAL'!$A:$D,4))</f>
        <v/>
      </c>
      <c r="H95" s="56" t="str">
        <f t="shared" si="9"/>
        <v/>
      </c>
      <c r="I95" s="2"/>
      <c r="L95" s="2"/>
      <c r="M95" s="2"/>
      <c r="N95" s="39"/>
      <c r="O95" s="2"/>
      <c r="P95" s="2"/>
    </row>
    <row r="96" spans="1:16" ht="14.25" x14ac:dyDescent="0.2">
      <c r="A96" s="1"/>
      <c r="B96" s="38" t="str">
        <f>IF($A96=0,"",VLOOKUP($A96,'BASE MATERIAL'!$A:$D,2))</f>
        <v/>
      </c>
      <c r="C96" s="2"/>
      <c r="D96" s="77"/>
      <c r="E96" s="78" t="str">
        <f>IF($A96=0,"",VLOOKUP($A96,'BASE MATERIAL'!$A:$D,3))</f>
        <v/>
      </c>
      <c r="F96" s="55"/>
      <c r="G96" s="55" t="str">
        <f>IF($A96=0,"",VLOOKUP($A96,'BASE MATERIAL'!$A:$D,4))</f>
        <v/>
      </c>
      <c r="H96" s="56" t="str">
        <f t="shared" si="9"/>
        <v/>
      </c>
      <c r="I96" s="2"/>
    </row>
    <row r="97" spans="1:9" x14ac:dyDescent="0.25">
      <c r="B97" s="38" t="str">
        <f>IF($A97=0,"",VLOOKUP($A97,'BASE MATERIAL'!$A:$D,2))</f>
        <v/>
      </c>
      <c r="C97" s="2"/>
      <c r="D97" s="77"/>
      <c r="E97" s="78" t="str">
        <f>IF($A97=0,"",VLOOKUP($A97,'BASE MATERIAL'!$A:$D,3))</f>
        <v/>
      </c>
      <c r="F97" s="55"/>
      <c r="G97" s="55" t="str">
        <f>IF($A97=0,"",VLOOKUP($A97,'BASE MATERIAL'!$A:$D,4))</f>
        <v/>
      </c>
      <c r="H97" s="56" t="str">
        <f t="shared" si="9"/>
        <v/>
      </c>
      <c r="I97" s="2"/>
    </row>
    <row r="98" spans="1:9" x14ac:dyDescent="0.25">
      <c r="B98" s="38" t="str">
        <f>IF($A98=0,"",VLOOKUP($A98,'BASE MATERIAL'!$A:$D,2))</f>
        <v/>
      </c>
      <c r="C98" s="2"/>
      <c r="D98" s="77"/>
      <c r="E98" s="78" t="str">
        <f>IF($A98=0,"",VLOOKUP($A98,'BASE MATERIAL'!$A:$D,3))</f>
        <v/>
      </c>
      <c r="F98" s="55"/>
      <c r="G98" s="55" t="str">
        <f>IF($A98=0,"",VLOOKUP($A98,'BASE MATERIAL'!$A:$D,4))</f>
        <v/>
      </c>
      <c r="H98" s="56" t="str">
        <f t="shared" si="9"/>
        <v/>
      </c>
      <c r="I98" s="2"/>
    </row>
    <row r="99" spans="1:9" x14ac:dyDescent="0.25">
      <c r="B99" s="38" t="str">
        <f>IF($A99=0,"",VLOOKUP($A99,'BASE MATERIAL'!$A:$D,2))</f>
        <v/>
      </c>
      <c r="C99" s="2"/>
      <c r="D99" s="77"/>
      <c r="E99" s="78" t="str">
        <f>IF($A99=0,"",VLOOKUP($A99,'BASE MATERIAL'!$A:$D,3))</f>
        <v/>
      </c>
      <c r="F99" s="55"/>
      <c r="G99" s="55" t="str">
        <f>IF($A99=0,"",VLOOKUP($A99,'BASE MATERIAL'!$A:$D,4))</f>
        <v/>
      </c>
      <c r="H99" s="56" t="str">
        <f t="shared" si="9"/>
        <v/>
      </c>
      <c r="I99" s="2"/>
    </row>
    <row r="100" spans="1:9" x14ac:dyDescent="0.25">
      <c r="B100" s="38" t="str">
        <f>IF($A100=0,"",VLOOKUP($A100,'BASE MATERIAL'!$A:$D,2))</f>
        <v/>
      </c>
      <c r="C100" s="2"/>
      <c r="D100" s="81" t="s">
        <v>1682</v>
      </c>
      <c r="E100" s="55" t="str">
        <f>IF($A100=0,"",VLOOKUP($A100,'BASE MATERIAL'!$A:$D,3))</f>
        <v/>
      </c>
      <c r="F100" s="55" t="s">
        <v>1682</v>
      </c>
      <c r="G100" s="55" t="str">
        <f>IF($A100=0,"",VLOOKUP($A100,'BASE MATERIAL'!$A:$D,4))</f>
        <v/>
      </c>
      <c r="H100" s="56" t="str">
        <f>IF($A100=0,"",ROUND(E100*F100,2))</f>
        <v/>
      </c>
      <c r="I100" s="2"/>
    </row>
    <row r="101" spans="1:9" x14ac:dyDescent="0.25">
      <c r="B101" s="73" t="s">
        <v>1681</v>
      </c>
      <c r="C101" s="65"/>
      <c r="D101" s="74"/>
      <c r="E101" s="74"/>
      <c r="F101" s="74"/>
      <c r="G101" s="74"/>
      <c r="H101" s="75">
        <f>ROUND(SUM(H84:H100),2)</f>
        <v>0</v>
      </c>
      <c r="I101" s="2"/>
    </row>
    <row r="102" spans="1:9" x14ac:dyDescent="0.25">
      <c r="B102" s="38" t="s">
        <v>1680</v>
      </c>
      <c r="C102" s="2"/>
      <c r="D102" s="3"/>
      <c r="E102" s="3"/>
      <c r="F102" s="3"/>
      <c r="G102" s="3"/>
      <c r="H102" s="56"/>
      <c r="I102" s="2"/>
    </row>
    <row r="103" spans="1:9" ht="25.5" x14ac:dyDescent="0.25">
      <c r="B103" s="64" t="s">
        <v>1409</v>
      </c>
      <c r="C103" s="65"/>
      <c r="D103" s="76"/>
      <c r="E103" s="66" t="s">
        <v>1408</v>
      </c>
      <c r="F103" s="66" t="s">
        <v>1679</v>
      </c>
      <c r="G103" s="66" t="s">
        <v>1676</v>
      </c>
      <c r="H103" s="68" t="s">
        <v>1675</v>
      </c>
      <c r="I103" s="2"/>
    </row>
    <row r="104" spans="1:9" x14ac:dyDescent="0.25">
      <c r="B104" s="51" t="str">
        <f>IF($A104=0,"",VLOOKUP($A104,'BASE EQUIPO'!$A:$D,2))</f>
        <v/>
      </c>
      <c r="C104" s="52"/>
      <c r="D104" s="82"/>
      <c r="E104" s="78" t="str">
        <f>IF($A104=0,"",VLOOKUP($A104,'BASE EQUIPO'!$A:$D,3))</f>
        <v/>
      </c>
      <c r="F104" s="55"/>
      <c r="G104" s="83" t="str">
        <f>IF($A104=0,"",VLOOKUP($A104,'BASE EQUIPO'!$A:$D,4)*H101)</f>
        <v/>
      </c>
      <c r="H104" s="56" t="str">
        <f>IF($A104=0,"",ROUND(F104*G104,2))</f>
        <v/>
      </c>
      <c r="I104" s="2"/>
    </row>
    <row r="105" spans="1:9" x14ac:dyDescent="0.25">
      <c r="B105" s="38" t="str">
        <f>IF($A105=0,"",VLOOKUP($A105,'BASE EQUIPO'!$A:$D,2))</f>
        <v/>
      </c>
      <c r="C105" s="2"/>
      <c r="D105" s="84"/>
      <c r="E105" s="78" t="str">
        <f>IF($A105=0,"",VLOOKUP($A105,'BASE EQUIPO'!$A:$D,3))</f>
        <v/>
      </c>
      <c r="F105" s="55"/>
      <c r="G105" s="55" t="str">
        <f>IF($A105=0,"",VLOOKUP($A105,'BASE EQUIPO'!$A:$D,4)*H102)</f>
        <v/>
      </c>
      <c r="H105" s="56" t="str">
        <f>IF($A105=0,"",ROUND(F105*G105,2))</f>
        <v/>
      </c>
      <c r="I105" s="2"/>
    </row>
    <row r="106" spans="1:9" x14ac:dyDescent="0.25">
      <c r="B106" s="57" t="str">
        <f>IF($A106=0,"",VLOOKUP($A106,'BASE EQUIPO'!$A:$D,2))</f>
        <v/>
      </c>
      <c r="C106" s="58"/>
      <c r="D106" s="85"/>
      <c r="E106" s="86" t="str">
        <f>IF($A106=0,"",VLOOKUP($A106,'BASE EQUIPO'!$A:$D,3))</f>
        <v/>
      </c>
      <c r="F106" s="59"/>
      <c r="G106" s="59" t="str">
        <f>IF($A106=0,"",VLOOKUP($A106,'BASE EQUIPO'!$A:$D,4)*H103)</f>
        <v/>
      </c>
      <c r="H106" s="60" t="str">
        <f>IF($A106=0,"",ROUND(F106*G106,2))</f>
        <v/>
      </c>
      <c r="I106" s="2"/>
    </row>
    <row r="107" spans="1:9" ht="15.75" thickBot="1" x14ac:dyDescent="0.3">
      <c r="B107" s="87" t="s">
        <v>1674</v>
      </c>
      <c r="C107" s="88"/>
      <c r="D107" s="89"/>
      <c r="E107" s="89"/>
      <c r="F107" s="89"/>
      <c r="G107" s="89"/>
      <c r="H107" s="90">
        <f>ROUND(SUM(H103:H106),2)</f>
        <v>0</v>
      </c>
      <c r="I107" s="2"/>
    </row>
    <row r="108" spans="1:9" ht="15.75" x14ac:dyDescent="0.25">
      <c r="B108" s="2"/>
      <c r="C108" s="2"/>
      <c r="D108" s="91" t="s">
        <v>1673</v>
      </c>
      <c r="E108" s="47"/>
      <c r="F108" s="47"/>
      <c r="G108" s="47"/>
      <c r="H108" s="92">
        <f>ROUND(SUM(H107,H101,H82,H72),2)</f>
        <v>314.33</v>
      </c>
      <c r="I108" s="2"/>
    </row>
    <row r="109" spans="1:9" ht="15.75" x14ac:dyDescent="0.25">
      <c r="A109" s="103">
        <v>40002</v>
      </c>
      <c r="B109" s="2"/>
      <c r="C109" s="2"/>
      <c r="D109" s="93" t="s">
        <v>1672</v>
      </c>
      <c r="E109" s="65"/>
      <c r="F109" s="65"/>
      <c r="G109" s="94">
        <f>IF($A109=0,"",VLOOKUP($A109,'BASE MATERIAL'!$M:$P,4))</f>
        <v>0</v>
      </c>
      <c r="H109" s="95">
        <f>IF($A109=0,"",ROUND(G109*H108,2))</f>
        <v>0</v>
      </c>
      <c r="I109" s="2"/>
    </row>
    <row r="110" spans="1:9" ht="15.75" x14ac:dyDescent="0.25">
      <c r="A110" s="103">
        <v>40003</v>
      </c>
      <c r="B110" s="2"/>
      <c r="C110" s="2"/>
      <c r="D110" s="93" t="s">
        <v>1671</v>
      </c>
      <c r="E110" s="65"/>
      <c r="F110" s="65"/>
      <c r="G110" s="94">
        <f>IF($A110=0,"",VLOOKUP($A110,'BASE MATERIAL'!$M:$P,4))</f>
        <v>0</v>
      </c>
      <c r="H110" s="95">
        <f>IF($A110=0,"",ROUND(G110*H108,2))</f>
        <v>0</v>
      </c>
      <c r="I110" s="2"/>
    </row>
    <row r="111" spans="1:9" ht="15.75" x14ac:dyDescent="0.25">
      <c r="B111" s="2"/>
      <c r="C111" s="2"/>
      <c r="D111" s="93" t="s">
        <v>1670</v>
      </c>
      <c r="E111" s="65"/>
      <c r="F111" s="65"/>
      <c r="G111" s="65"/>
      <c r="H111" s="96">
        <f>ROUND(SUM(H108:H110),2)</f>
        <v>314.33</v>
      </c>
      <c r="I111" s="2"/>
    </row>
    <row r="112" spans="1:9" ht="16.5" thickBot="1" x14ac:dyDescent="0.3">
      <c r="B112" s="25"/>
      <c r="C112" s="2"/>
      <c r="D112" s="97" t="s">
        <v>1650</v>
      </c>
      <c r="E112" s="88"/>
      <c r="F112" s="88"/>
      <c r="G112" s="88"/>
      <c r="H112" s="98">
        <f>ROUND(H111,2)</f>
        <v>314.33</v>
      </c>
      <c r="I112" s="2"/>
    </row>
    <row r="113" spans="1:15" ht="15.75" x14ac:dyDescent="0.25">
      <c r="B113" s="34" t="s">
        <v>1701</v>
      </c>
      <c r="C113" s="2"/>
      <c r="D113" s="3" t="str">
        <f>$D$1</f>
        <v>ESPOL</v>
      </c>
      <c r="E113" s="2"/>
      <c r="F113" s="2"/>
      <c r="H113" s="2" t="s">
        <v>108</v>
      </c>
      <c r="I113" s="2"/>
      <c r="L113" s="40">
        <f>A117</f>
        <v>2</v>
      </c>
      <c r="M113" s="1" t="str">
        <f>C118</f>
        <v>Mano de obra por instalación unidad más de 90,000 btuh</v>
      </c>
      <c r="N113" s="2" t="str">
        <f>H117</f>
        <v>unidad</v>
      </c>
      <c r="O113" s="2">
        <f>H168</f>
        <v>408.1</v>
      </c>
    </row>
    <row r="114" spans="1:15" ht="15.75" x14ac:dyDescent="0.25">
      <c r="B114" s="34" t="s">
        <v>1700</v>
      </c>
      <c r="C114" s="3">
        <f>'1.1'!$C$2</f>
        <v>0</v>
      </c>
      <c r="D114" s="2"/>
      <c r="E114" s="2"/>
      <c r="F114" s="2"/>
      <c r="G114" s="41" t="s">
        <v>1699</v>
      </c>
      <c r="H114" s="42"/>
      <c r="I114" s="2" t="s">
        <v>1698</v>
      </c>
    </row>
    <row r="115" spans="1:15" ht="15.75" x14ac:dyDescent="0.25">
      <c r="B115" s="34"/>
      <c r="C115" s="3">
        <f>'1.1'!$C$3</f>
        <v>0</v>
      </c>
      <c r="D115" s="2"/>
      <c r="E115" s="2"/>
      <c r="F115" s="2"/>
      <c r="G115" s="2"/>
      <c r="H115" s="2"/>
      <c r="I115" s="2"/>
    </row>
    <row r="116" spans="1:15" ht="15.75" x14ac:dyDescent="0.25">
      <c r="B116" s="34" t="s">
        <v>1697</v>
      </c>
      <c r="C116" s="3"/>
      <c r="D116" s="2"/>
      <c r="E116" s="2"/>
      <c r="F116" s="2"/>
      <c r="G116" s="2"/>
      <c r="H116" s="2"/>
      <c r="I116" s="2"/>
    </row>
    <row r="117" spans="1:15" x14ac:dyDescent="0.25">
      <c r="A117" s="104">
        <v>2</v>
      </c>
      <c r="B117" s="2" t="s">
        <v>1586</v>
      </c>
      <c r="C117" s="101" t="s">
        <v>1342</v>
      </c>
      <c r="D117" s="2"/>
      <c r="G117" s="2" t="s">
        <v>1696</v>
      </c>
      <c r="H117" s="3" t="s">
        <v>126</v>
      </c>
      <c r="I117" s="2"/>
    </row>
    <row r="118" spans="1:15" x14ac:dyDescent="0.25">
      <c r="B118" s="1" t="s">
        <v>1585</v>
      </c>
      <c r="C118" s="36" t="s">
        <v>191</v>
      </c>
      <c r="D118" s="2"/>
      <c r="E118" s="2"/>
      <c r="F118" s="2"/>
      <c r="G118" s="2"/>
      <c r="H118" s="2"/>
      <c r="I118" s="2"/>
    </row>
    <row r="119" spans="1:15" ht="15.75" thickBot="1" x14ac:dyDescent="0.3">
      <c r="D119" s="2"/>
      <c r="E119" s="2"/>
      <c r="F119" s="2"/>
      <c r="G119" s="2"/>
      <c r="H119" s="2"/>
      <c r="I119" s="2"/>
    </row>
    <row r="120" spans="1:15" ht="15.75" thickBot="1" x14ac:dyDescent="0.3">
      <c r="B120" s="43" t="s">
        <v>1695</v>
      </c>
      <c r="C120" s="44"/>
      <c r="D120" s="44"/>
      <c r="E120" s="44"/>
      <c r="F120" s="44"/>
      <c r="G120" s="44"/>
      <c r="H120" s="45"/>
      <c r="I120" s="2"/>
    </row>
    <row r="121" spans="1:15" ht="25.5" x14ac:dyDescent="0.25">
      <c r="B121" s="46" t="s">
        <v>1409</v>
      </c>
      <c r="C121" s="47"/>
      <c r="D121" s="48" t="s">
        <v>1690</v>
      </c>
      <c r="E121" s="48" t="s">
        <v>1694</v>
      </c>
      <c r="F121" s="48" t="s">
        <v>1693</v>
      </c>
      <c r="G121" s="49" t="s">
        <v>1687</v>
      </c>
      <c r="H121" s="50" t="s">
        <v>1686</v>
      </c>
      <c r="I121" s="2"/>
    </row>
    <row r="122" spans="1:15" x14ac:dyDescent="0.25">
      <c r="A122" s="103">
        <v>19015</v>
      </c>
      <c r="B122" s="51" t="str">
        <f>IF($A122=0,"",VLOOKUP($A122,'BASE EQUIPO'!$A:$D,2))</f>
        <v>HERRAMIENTA MENOR</v>
      </c>
      <c r="C122" s="52"/>
      <c r="D122" s="53">
        <v>1</v>
      </c>
      <c r="E122" s="53">
        <f>IF($A122=0,"",VLOOKUP($A122,'BASE EQUIPO'!$A:$D,4)*H138)</f>
        <v>11.886299999999999</v>
      </c>
      <c r="F122" s="53">
        <f t="shared" ref="F122:F127" si="10">IF($A122=0,"",ROUND(D122*E122,2))</f>
        <v>11.89</v>
      </c>
      <c r="G122" s="105">
        <v>1</v>
      </c>
      <c r="H122" s="54">
        <f t="shared" ref="H122:H127" si="11">IF($A122=0,"",ROUND(G122*F122,2))</f>
        <v>11.89</v>
      </c>
      <c r="I122" s="2"/>
    </row>
    <row r="123" spans="1:15" x14ac:dyDescent="0.25">
      <c r="B123" s="38" t="str">
        <f>IF($A123=0,"",VLOOKUP($A123,'BASE EQUIPO'!$A:$D,2))</f>
        <v/>
      </c>
      <c r="C123" s="2"/>
      <c r="D123" s="55"/>
      <c r="E123" s="55" t="str">
        <f>IF($A123=0,"",VLOOKUP($A123,'BASE EQUIPO'!$A:$D,4))</f>
        <v/>
      </c>
      <c r="F123" s="55" t="str">
        <f t="shared" si="10"/>
        <v/>
      </c>
      <c r="G123" s="106"/>
      <c r="H123" s="56" t="str">
        <f t="shared" si="11"/>
        <v/>
      </c>
      <c r="I123" s="2"/>
    </row>
    <row r="124" spans="1:15" x14ac:dyDescent="0.25">
      <c r="B124" s="38" t="str">
        <f>IF($A124=0,"",VLOOKUP($A124,'BASE EQUIPO'!$A:$D,2))</f>
        <v/>
      </c>
      <c r="C124" s="2"/>
      <c r="D124" s="55"/>
      <c r="E124" s="55" t="str">
        <f>IF($A124=0,"",VLOOKUP($A124,'BASE EQUIPO'!$A:$D,4))</f>
        <v/>
      </c>
      <c r="F124" s="55" t="str">
        <f t="shared" si="10"/>
        <v/>
      </c>
      <c r="G124" s="106"/>
      <c r="H124" s="56" t="str">
        <f t="shared" si="11"/>
        <v/>
      </c>
      <c r="I124" s="2"/>
    </row>
    <row r="125" spans="1:15" x14ac:dyDescent="0.25">
      <c r="B125" s="38" t="str">
        <f>IF($A125=0,"",VLOOKUP($A125,'BASE EQUIPO'!$A:$D,2))</f>
        <v/>
      </c>
      <c r="C125" s="2"/>
      <c r="D125" s="55"/>
      <c r="E125" s="55" t="str">
        <f>IF($A125=0,"",VLOOKUP($A125,'BASE EQUIPO'!$A:$D,4))</f>
        <v/>
      </c>
      <c r="F125" s="55" t="str">
        <f t="shared" si="10"/>
        <v/>
      </c>
      <c r="G125" s="106"/>
      <c r="H125" s="56" t="str">
        <f t="shared" si="11"/>
        <v/>
      </c>
      <c r="I125" s="2"/>
    </row>
    <row r="126" spans="1:15" x14ac:dyDescent="0.25">
      <c r="B126" s="38" t="str">
        <f>IF($A126=0,"",VLOOKUP($A126,'BASE EQUIPO'!$A:$D,2))</f>
        <v/>
      </c>
      <c r="C126" s="2"/>
      <c r="D126" s="55"/>
      <c r="E126" s="55" t="str">
        <f>IF($A126=0,"",VLOOKUP($A126,'BASE EQUIPO'!$A:$D,4))</f>
        <v/>
      </c>
      <c r="F126" s="55" t="str">
        <f t="shared" si="10"/>
        <v/>
      </c>
      <c r="G126" s="106"/>
      <c r="H126" s="56" t="str">
        <f t="shared" si="11"/>
        <v/>
      </c>
      <c r="I126" s="2"/>
    </row>
    <row r="127" spans="1:15" x14ac:dyDescent="0.25">
      <c r="B127" s="57" t="str">
        <f>IF($A127=0,"",VLOOKUP($A127,'BASE EQUIPO'!$A:$D,2))</f>
        <v/>
      </c>
      <c r="C127" s="58"/>
      <c r="D127" s="59"/>
      <c r="E127" s="59" t="str">
        <f>IF($A127=0,"",VLOOKUP($A127,'BASE EQUIPO'!$A:$D,4))</f>
        <v/>
      </c>
      <c r="F127" s="59" t="str">
        <f t="shared" si="10"/>
        <v/>
      </c>
      <c r="G127" s="107"/>
      <c r="H127" s="60" t="str">
        <f t="shared" si="11"/>
        <v/>
      </c>
      <c r="I127" s="2"/>
    </row>
    <row r="128" spans="1:15" x14ac:dyDescent="0.25">
      <c r="B128" s="57" t="s">
        <v>1692</v>
      </c>
      <c r="C128" s="58"/>
      <c r="D128" s="61"/>
      <c r="E128" s="61"/>
      <c r="F128" s="61"/>
      <c r="G128" s="62"/>
      <c r="H128" s="60">
        <f>ROUND(SUM(H121:H127),2)</f>
        <v>11.89</v>
      </c>
      <c r="I128" s="2"/>
    </row>
    <row r="129" spans="1:16" x14ac:dyDescent="0.25">
      <c r="B129" s="38" t="s">
        <v>1503</v>
      </c>
      <c r="C129" s="2"/>
      <c r="D129" s="3"/>
      <c r="E129" s="3"/>
      <c r="F129" s="3"/>
      <c r="G129" s="63"/>
      <c r="H129" s="56"/>
      <c r="I129" s="2"/>
    </row>
    <row r="130" spans="1:16" ht="25.5" x14ac:dyDescent="0.25">
      <c r="B130" s="64" t="s">
        <v>1691</v>
      </c>
      <c r="C130" s="65"/>
      <c r="D130" s="66" t="s">
        <v>1690</v>
      </c>
      <c r="E130" s="66" t="s">
        <v>1689</v>
      </c>
      <c r="F130" s="66" t="s">
        <v>1688</v>
      </c>
      <c r="G130" s="67" t="s">
        <v>1687</v>
      </c>
      <c r="H130" s="68" t="s">
        <v>1686</v>
      </c>
      <c r="I130" s="2"/>
    </row>
    <row r="131" spans="1:16" x14ac:dyDescent="0.25">
      <c r="B131" s="69" t="str">
        <f>IF($A131=0,"",VLOOKUP($A131,'BASE M-OBRA'!$A:$D,2))</f>
        <v/>
      </c>
      <c r="C131" s="2"/>
      <c r="D131" s="108"/>
      <c r="E131" s="70" t="str">
        <f>IF($A131=0,"",VLOOKUP($A131,'BASE M-OBRA'!$A:$D,4))</f>
        <v/>
      </c>
      <c r="F131" s="55" t="str">
        <f t="shared" ref="F131:F137" si="12">IF($A131=0,"",ROUND(D131*E131,2))</f>
        <v/>
      </c>
      <c r="G131" s="106" t="str">
        <f>IF($A131=0,"",ROUND(H131/F131,2))</f>
        <v/>
      </c>
      <c r="H131" s="56" t="str">
        <f>IF($A131=0,"",ROUND(SUM(H132:H137)*'BASE M-OBRA'!$D$23,2))</f>
        <v/>
      </c>
      <c r="I131" s="2"/>
    </row>
    <row r="132" spans="1:16" x14ac:dyDescent="0.25">
      <c r="A132" s="103">
        <v>20019</v>
      </c>
      <c r="B132" s="69" t="str">
        <f>IF($A132=0,"",VLOOKUP($A132,'BASE M-OBRA'!$A:$D,2))</f>
        <v>INSTALADOR</v>
      </c>
      <c r="C132" s="2"/>
      <c r="D132" s="108">
        <v>2</v>
      </c>
      <c r="E132" s="70">
        <f>IF($A132=0,"",VLOOKUP($A132,'BASE M-OBRA'!$A:$D,4))</f>
        <v>2.82</v>
      </c>
      <c r="F132" s="55">
        <f t="shared" si="12"/>
        <v>5.64</v>
      </c>
      <c r="G132" s="106">
        <v>47</v>
      </c>
      <c r="H132" s="56">
        <f t="shared" ref="H132:H137" si="13">IF($A132=0,"",ROUND(G132*F132,2))</f>
        <v>265.08</v>
      </c>
      <c r="I132" s="2"/>
    </row>
    <row r="133" spans="1:16" x14ac:dyDescent="0.25">
      <c r="A133" s="103">
        <v>20011</v>
      </c>
      <c r="B133" s="69" t="str">
        <f>IF($A133=0,"",VLOOKUP($A133,'BASE M-OBRA'!$A:$D,2))</f>
        <v>AYUDANTE ESPECIALISTA</v>
      </c>
      <c r="C133" s="2"/>
      <c r="D133" s="108">
        <v>1</v>
      </c>
      <c r="E133" s="70">
        <f>IF($A133=0,"",VLOOKUP($A133,'BASE M-OBRA'!$A:$D,4))</f>
        <v>2.79</v>
      </c>
      <c r="F133" s="55">
        <f t="shared" si="12"/>
        <v>2.79</v>
      </c>
      <c r="G133" s="106">
        <f>+G132</f>
        <v>47</v>
      </c>
      <c r="H133" s="56">
        <f t="shared" si="13"/>
        <v>131.13</v>
      </c>
      <c r="I133" s="2"/>
    </row>
    <row r="134" spans="1:16" x14ac:dyDescent="0.25">
      <c r="B134" s="71" t="str">
        <f>IF($A134=0,"",VLOOKUP($A134,'BASE M-OBRA'!$A:$D,2))</f>
        <v/>
      </c>
      <c r="C134" s="2"/>
      <c r="D134" s="108"/>
      <c r="E134" s="70" t="str">
        <f>IF($A134=0,"",VLOOKUP($A134,'BASE M-OBRA'!$A:$D,4))</f>
        <v/>
      </c>
      <c r="F134" s="55" t="str">
        <f t="shared" si="12"/>
        <v/>
      </c>
      <c r="G134" s="106"/>
      <c r="H134" s="56" t="str">
        <f t="shared" si="13"/>
        <v/>
      </c>
      <c r="I134" s="2"/>
    </row>
    <row r="135" spans="1:16" x14ac:dyDescent="0.25">
      <c r="B135" s="72" t="str">
        <f>IF($A135=0,"",VLOOKUP($A135,'BASE M-OBRA'!$A:$D,2))</f>
        <v/>
      </c>
      <c r="C135" s="2"/>
      <c r="D135" s="108"/>
      <c r="E135" s="70" t="str">
        <f>IF($A135=0,"",VLOOKUP($A135,'BASE M-OBRA'!$A:$D,4))</f>
        <v/>
      </c>
      <c r="F135" s="55" t="str">
        <f t="shared" si="12"/>
        <v/>
      </c>
      <c r="G135" s="106"/>
      <c r="H135" s="56" t="str">
        <f t="shared" si="13"/>
        <v/>
      </c>
      <c r="I135" s="2"/>
    </row>
    <row r="136" spans="1:16" x14ac:dyDescent="0.25">
      <c r="B136" s="38" t="str">
        <f>IF($A136=0,"",VLOOKUP($A136,'BASE M-OBRA'!$A:$D,2))</f>
        <v/>
      </c>
      <c r="C136" s="2"/>
      <c r="D136" s="55"/>
      <c r="E136" s="55" t="str">
        <f>IF($A136=0,"",VLOOKUP($A136,'BASE M-OBRA'!$A:$D,4))</f>
        <v/>
      </c>
      <c r="F136" s="55" t="str">
        <f t="shared" si="12"/>
        <v/>
      </c>
      <c r="G136" s="106"/>
      <c r="H136" s="56" t="str">
        <f t="shared" si="13"/>
        <v/>
      </c>
      <c r="I136" s="2"/>
    </row>
    <row r="137" spans="1:16" x14ac:dyDescent="0.25">
      <c r="B137" s="57" t="str">
        <f>IF($A137=0,"",VLOOKUP($A137,'BASE M-OBRA'!$A:$D,2))</f>
        <v/>
      </c>
      <c r="C137" s="58"/>
      <c r="D137" s="59"/>
      <c r="E137" s="59" t="str">
        <f>IF($A137=0,"",VLOOKUP($A137,'BASE M-OBRA'!$A:$D,4))</f>
        <v/>
      </c>
      <c r="F137" s="59" t="str">
        <f t="shared" si="12"/>
        <v/>
      </c>
      <c r="G137" s="107"/>
      <c r="H137" s="60" t="str">
        <f t="shared" si="13"/>
        <v/>
      </c>
      <c r="I137" s="2"/>
    </row>
    <row r="138" spans="1:16" x14ac:dyDescent="0.25">
      <c r="B138" s="73" t="s">
        <v>1685</v>
      </c>
      <c r="C138" s="65"/>
      <c r="D138" s="74"/>
      <c r="E138" s="74"/>
      <c r="F138" s="74"/>
      <c r="G138" s="74"/>
      <c r="H138" s="75">
        <f>ROUND(SUM(H130:H137),2)</f>
        <v>396.21</v>
      </c>
      <c r="I138" s="2"/>
    </row>
    <row r="139" spans="1:16" x14ac:dyDescent="0.25">
      <c r="B139" s="38" t="s">
        <v>1684</v>
      </c>
      <c r="C139" s="2"/>
      <c r="D139" s="3"/>
      <c r="E139" s="3"/>
      <c r="F139" s="3"/>
      <c r="G139" s="3"/>
      <c r="H139" s="56"/>
      <c r="I139" s="2"/>
    </row>
    <row r="140" spans="1:16" ht="25.5" x14ac:dyDescent="0.25">
      <c r="B140" s="64" t="s">
        <v>1409</v>
      </c>
      <c r="C140" s="65"/>
      <c r="D140" s="76"/>
      <c r="E140" s="66" t="s">
        <v>1408</v>
      </c>
      <c r="F140" s="66" t="s">
        <v>1679</v>
      </c>
      <c r="G140" s="66" t="s">
        <v>1683</v>
      </c>
      <c r="H140" s="68" t="s">
        <v>1675</v>
      </c>
      <c r="I140" s="2"/>
    </row>
    <row r="141" spans="1:16" x14ac:dyDescent="0.25">
      <c r="B141" s="100"/>
      <c r="C141" s="2"/>
      <c r="D141" s="77"/>
      <c r="E141" s="78"/>
      <c r="F141" s="55"/>
      <c r="G141" s="55"/>
      <c r="H141" s="56" t="str">
        <f t="shared" ref="H141:H155" si="14">IF($A141=0,"",ROUND(F141*G141,2))</f>
        <v/>
      </c>
      <c r="I141" s="2"/>
      <c r="L141" s="2"/>
      <c r="M141" s="2"/>
      <c r="N141" s="39"/>
      <c r="O141" s="2"/>
      <c r="P141" s="2"/>
    </row>
    <row r="142" spans="1:16" x14ac:dyDescent="0.25">
      <c r="B142" s="38" t="str">
        <f>IF($A142=0,"",VLOOKUP($A142,'BASE MATERIAL'!$A:$D,2))</f>
        <v/>
      </c>
      <c r="C142" s="2"/>
      <c r="D142" s="77"/>
      <c r="E142" s="78" t="str">
        <f>IF($A142=0,"",VLOOKUP($A142,'BASE MATERIAL'!$A:$D,3))</f>
        <v/>
      </c>
      <c r="F142" s="55"/>
      <c r="G142" s="55" t="str">
        <f>IF($A142=0,"",VLOOKUP($A142,'BASE MATERIAL'!$A:$D,4))</f>
        <v/>
      </c>
      <c r="H142" s="56" t="str">
        <f t="shared" si="14"/>
        <v/>
      </c>
      <c r="I142" s="2"/>
      <c r="L142" s="2"/>
      <c r="M142" s="2"/>
      <c r="N142" s="39"/>
      <c r="O142" s="2"/>
      <c r="P142" s="2"/>
    </row>
    <row r="143" spans="1:16" x14ac:dyDescent="0.25">
      <c r="B143" s="38" t="str">
        <f>IF($A143=0,"",VLOOKUP($A143,'BASE MATERIAL'!$A:$D,2))</f>
        <v/>
      </c>
      <c r="C143" s="2"/>
      <c r="D143" s="77"/>
      <c r="E143" s="78" t="str">
        <f>IF($A143=0,"",VLOOKUP($A143,'BASE MATERIAL'!$A:$D,3))</f>
        <v/>
      </c>
      <c r="F143" s="55"/>
      <c r="G143" s="55" t="str">
        <f>IF($A143=0,"",VLOOKUP($A143,'BASE MATERIAL'!$A:$D,4))</f>
        <v/>
      </c>
      <c r="H143" s="56" t="str">
        <f t="shared" si="14"/>
        <v/>
      </c>
      <c r="I143" s="2"/>
      <c r="L143" s="2"/>
      <c r="M143" s="2"/>
      <c r="N143" s="39"/>
      <c r="O143" s="2"/>
      <c r="P143" s="2"/>
    </row>
    <row r="144" spans="1:16" x14ac:dyDescent="0.25">
      <c r="B144" s="38" t="str">
        <f>IF($A144=0,"",VLOOKUP($A144,'BASE MATERIAL'!$A:$D,2))</f>
        <v/>
      </c>
      <c r="C144" s="2"/>
      <c r="D144" s="77"/>
      <c r="E144" s="78" t="str">
        <f>IF($A144=0,"",VLOOKUP($A144,'BASE MATERIAL'!$A:$D,3))</f>
        <v/>
      </c>
      <c r="F144" s="55"/>
      <c r="G144" s="55" t="str">
        <f>IF($A144=0,"",VLOOKUP($A144,'BASE MATERIAL'!$A:$D,4))</f>
        <v/>
      </c>
      <c r="H144" s="56" t="str">
        <f t="shared" si="14"/>
        <v/>
      </c>
      <c r="I144" s="2"/>
      <c r="L144" s="2"/>
      <c r="M144" s="2"/>
      <c r="N144" s="39"/>
      <c r="O144" s="2"/>
      <c r="P144" s="2"/>
    </row>
    <row r="145" spans="1:16" ht="14.25" x14ac:dyDescent="0.2">
      <c r="A145" s="1"/>
      <c r="B145" s="38" t="str">
        <f>IF($A145=0,"",VLOOKUP($A145,'BASE MATERIAL'!$A:$D,2))</f>
        <v/>
      </c>
      <c r="C145" s="2"/>
      <c r="D145" s="77"/>
      <c r="E145" s="78" t="str">
        <f>IF($A145=0,"",VLOOKUP($A145,'BASE MATERIAL'!$A:$D,3))</f>
        <v/>
      </c>
      <c r="F145" s="55"/>
      <c r="G145" s="55" t="str">
        <f>IF($A145=0,"",VLOOKUP($A145,'BASE MATERIAL'!$A:$D,4))</f>
        <v/>
      </c>
      <c r="H145" s="56" t="str">
        <f t="shared" si="14"/>
        <v/>
      </c>
      <c r="I145" s="2"/>
      <c r="L145" s="2"/>
      <c r="M145" s="2"/>
      <c r="N145" s="39"/>
      <c r="O145" s="2"/>
      <c r="P145" s="2"/>
    </row>
    <row r="146" spans="1:16" ht="14.25" x14ac:dyDescent="0.2">
      <c r="A146" s="1"/>
      <c r="B146" s="38" t="str">
        <f>IF($A146=0,"",VLOOKUP($A146,'BASE MATERIAL'!$A:$D,2))</f>
        <v/>
      </c>
      <c r="C146" s="2"/>
      <c r="D146" s="77"/>
      <c r="E146" s="78" t="str">
        <f>IF($A146=0,"",VLOOKUP($A146,'BASE MATERIAL'!$A:$D,3))</f>
        <v/>
      </c>
      <c r="F146" s="55"/>
      <c r="G146" s="55" t="str">
        <f>IF($A146=0,"",VLOOKUP($A146,'BASE MATERIAL'!$A:$D,4))</f>
        <v/>
      </c>
      <c r="H146" s="56" t="str">
        <f t="shared" si="14"/>
        <v/>
      </c>
      <c r="I146" s="2"/>
      <c r="L146" s="2"/>
      <c r="M146" s="2"/>
      <c r="N146" s="39"/>
      <c r="O146" s="2"/>
      <c r="P146" s="2"/>
    </row>
    <row r="147" spans="1:16" ht="14.25" x14ac:dyDescent="0.2">
      <c r="A147" s="1"/>
      <c r="B147" s="38" t="str">
        <f>IF($A147=0,"",VLOOKUP($A147,'BASE MATERIAL'!$A:$D,2))</f>
        <v/>
      </c>
      <c r="C147" s="2"/>
      <c r="D147" s="77"/>
      <c r="E147" s="78" t="str">
        <f>IF($A147=0,"",VLOOKUP($A147,'BASE MATERIAL'!$A:$D,3))</f>
        <v/>
      </c>
      <c r="F147" s="55"/>
      <c r="G147" s="55" t="str">
        <f>IF($A147=0,"",VLOOKUP($A147,'BASE MATERIAL'!$A:$D,4))</f>
        <v/>
      </c>
      <c r="H147" s="56" t="str">
        <f t="shared" si="14"/>
        <v/>
      </c>
      <c r="I147" s="2"/>
      <c r="L147" s="2"/>
      <c r="M147" s="2"/>
      <c r="N147" s="39"/>
      <c r="O147" s="2"/>
      <c r="P147" s="2"/>
    </row>
    <row r="148" spans="1:16" ht="14.25" x14ac:dyDescent="0.2">
      <c r="A148" s="1"/>
      <c r="B148" s="38" t="str">
        <f>IF($A148=0,"",VLOOKUP($A148,'BASE MATERIAL'!$A:$D,2))</f>
        <v/>
      </c>
      <c r="C148" s="2"/>
      <c r="D148" s="77"/>
      <c r="E148" s="78" t="str">
        <f>IF($A148=0,"",VLOOKUP($A148,'BASE MATERIAL'!$A:$D,3))</f>
        <v/>
      </c>
      <c r="F148" s="55"/>
      <c r="G148" s="55" t="str">
        <f>IF($A148=0,"",VLOOKUP($A148,'BASE MATERIAL'!$A:$D,4))</f>
        <v/>
      </c>
      <c r="H148" s="56" t="str">
        <f t="shared" si="14"/>
        <v/>
      </c>
      <c r="I148" s="2"/>
      <c r="L148" s="2"/>
      <c r="M148" s="2"/>
      <c r="N148" s="39"/>
      <c r="O148" s="2"/>
      <c r="P148" s="2"/>
    </row>
    <row r="149" spans="1:16" ht="14.25" x14ac:dyDescent="0.2">
      <c r="A149" s="1"/>
      <c r="B149" s="38" t="str">
        <f>IF($A149=0,"",VLOOKUP($A149,'BASE MATERIAL'!$A:$D,2))</f>
        <v/>
      </c>
      <c r="C149" s="2"/>
      <c r="D149" s="77"/>
      <c r="E149" s="78" t="str">
        <f>IF($A149=0,"",VLOOKUP($A149,'BASE MATERIAL'!$A:$D,3))</f>
        <v/>
      </c>
      <c r="F149" s="55"/>
      <c r="G149" s="55" t="str">
        <f>IF($A149=0,"",VLOOKUP($A149,'BASE MATERIAL'!$A:$D,4))</f>
        <v/>
      </c>
      <c r="H149" s="56" t="str">
        <f t="shared" si="14"/>
        <v/>
      </c>
      <c r="I149" s="2"/>
    </row>
    <row r="150" spans="1:16" ht="14.25" x14ac:dyDescent="0.2">
      <c r="A150" s="1"/>
      <c r="B150" s="38" t="str">
        <f>IF($A150=0,"",VLOOKUP($A150,'BASE MATERIAL'!$A:$D,2))</f>
        <v/>
      </c>
      <c r="C150" s="2"/>
      <c r="D150" s="77"/>
      <c r="E150" s="78" t="str">
        <f>IF($A150=0,"",VLOOKUP($A150,'BASE MATERIAL'!$A:$D,3))</f>
        <v/>
      </c>
      <c r="F150" s="55"/>
      <c r="G150" s="55" t="str">
        <f>IF($A150=0,"",VLOOKUP($A150,'BASE MATERIAL'!$A:$D,4))</f>
        <v/>
      </c>
      <c r="H150" s="56" t="str">
        <f t="shared" si="14"/>
        <v/>
      </c>
      <c r="I150" s="2"/>
      <c r="L150" s="2"/>
      <c r="M150" s="2"/>
      <c r="N150" s="39"/>
      <c r="O150" s="2"/>
      <c r="P150" s="2"/>
    </row>
    <row r="151" spans="1:16" ht="14.25" x14ac:dyDescent="0.2">
      <c r="A151" s="1"/>
      <c r="B151" s="38" t="str">
        <f>IF($A151=0,"",VLOOKUP($A151,'BASE MATERIAL'!$A:$D,2))</f>
        <v/>
      </c>
      <c r="C151" s="2"/>
      <c r="D151" s="77"/>
      <c r="E151" s="78" t="str">
        <f>IF($A151=0,"",VLOOKUP($A151,'BASE MATERIAL'!$A:$D,3))</f>
        <v/>
      </c>
      <c r="F151" s="55"/>
      <c r="G151" s="55" t="str">
        <f>IF($A151=0,"",VLOOKUP($A151,'BASE MATERIAL'!$A:$D,4))</f>
        <v/>
      </c>
      <c r="H151" s="56" t="str">
        <f t="shared" si="14"/>
        <v/>
      </c>
      <c r="I151" s="2"/>
      <c r="L151" s="2"/>
      <c r="M151" s="2"/>
      <c r="N151" s="39"/>
      <c r="O151" s="2"/>
      <c r="P151" s="2"/>
    </row>
    <row r="152" spans="1:16" ht="14.25" x14ac:dyDescent="0.2">
      <c r="A152" s="1"/>
      <c r="B152" s="38" t="str">
        <f>IF($A152=0,"",VLOOKUP($A152,'BASE MATERIAL'!$A:$D,2))</f>
        <v/>
      </c>
      <c r="C152" s="2"/>
      <c r="D152" s="77"/>
      <c r="E152" s="78" t="str">
        <f>IF($A152=0,"",VLOOKUP($A152,'BASE MATERIAL'!$A:$D,3))</f>
        <v/>
      </c>
      <c r="F152" s="55"/>
      <c r="G152" s="55" t="str">
        <f>IF($A152=0,"",VLOOKUP($A152,'BASE MATERIAL'!$A:$D,4))</f>
        <v/>
      </c>
      <c r="H152" s="56" t="str">
        <f t="shared" si="14"/>
        <v/>
      </c>
      <c r="I152" s="2"/>
    </row>
    <row r="153" spans="1:16" ht="14.25" x14ac:dyDescent="0.2">
      <c r="A153" s="1"/>
      <c r="B153" s="38" t="str">
        <f>IF($A153=0,"",VLOOKUP($A153,'BASE MATERIAL'!$A:$D,2))</f>
        <v/>
      </c>
      <c r="C153" s="2"/>
      <c r="D153" s="77"/>
      <c r="E153" s="78" t="str">
        <f>IF($A153=0,"",VLOOKUP($A153,'BASE MATERIAL'!$A:$D,3))</f>
        <v/>
      </c>
      <c r="F153" s="55"/>
      <c r="G153" s="55" t="str">
        <f>IF($A153=0,"",VLOOKUP($A153,'BASE MATERIAL'!$A:$D,4))</f>
        <v/>
      </c>
      <c r="H153" s="56" t="str">
        <f t="shared" si="14"/>
        <v/>
      </c>
      <c r="I153" s="2"/>
    </row>
    <row r="154" spans="1:16" ht="14.25" x14ac:dyDescent="0.2">
      <c r="A154" s="1"/>
      <c r="B154" s="38" t="str">
        <f>IF($A154=0,"",VLOOKUP($A154,'BASE MATERIAL'!$A:$D,2))</f>
        <v/>
      </c>
      <c r="C154" s="2"/>
      <c r="D154" s="77"/>
      <c r="E154" s="78" t="str">
        <f>IF($A154=0,"",VLOOKUP($A154,'BASE MATERIAL'!$A:$D,3))</f>
        <v/>
      </c>
      <c r="F154" s="55"/>
      <c r="G154" s="55" t="str">
        <f>IF($A154=0,"",VLOOKUP($A154,'BASE MATERIAL'!$A:$D,4))</f>
        <v/>
      </c>
      <c r="H154" s="56" t="str">
        <f t="shared" si="14"/>
        <v/>
      </c>
      <c r="I154" s="2"/>
    </row>
    <row r="155" spans="1:16" ht="14.25" x14ac:dyDescent="0.2">
      <c r="A155" s="1"/>
      <c r="B155" s="38" t="str">
        <f>IF($A155=0,"",VLOOKUP($A155,'BASE MATERIAL'!$A:$D,2))</f>
        <v/>
      </c>
      <c r="C155" s="2"/>
      <c r="D155" s="77"/>
      <c r="E155" s="78" t="str">
        <f>IF($A155=0,"",VLOOKUP($A155,'BASE MATERIAL'!$A:$D,3))</f>
        <v/>
      </c>
      <c r="F155" s="55"/>
      <c r="G155" s="55" t="str">
        <f>IF($A155=0,"",VLOOKUP($A155,'BASE MATERIAL'!$A:$D,4))</f>
        <v/>
      </c>
      <c r="H155" s="56" t="str">
        <f t="shared" si="14"/>
        <v/>
      </c>
      <c r="I155" s="2"/>
    </row>
    <row r="156" spans="1:16" ht="14.25" x14ac:dyDescent="0.2">
      <c r="A156" s="1"/>
      <c r="B156" s="38" t="str">
        <f>IF($A156=0,"",VLOOKUP($A156,'BASE MATERIAL'!$A:$D,2))</f>
        <v/>
      </c>
      <c r="C156" s="2"/>
      <c r="D156" s="81" t="s">
        <v>1682</v>
      </c>
      <c r="E156" s="55" t="str">
        <f>IF($A156=0,"",VLOOKUP($A156,'BASE MATERIAL'!$A:$D,3))</f>
        <v/>
      </c>
      <c r="F156" s="55" t="s">
        <v>1682</v>
      </c>
      <c r="G156" s="55" t="str">
        <f>IF($A156=0,"",VLOOKUP($A156,'BASE MATERIAL'!$A:$D,4))</f>
        <v/>
      </c>
      <c r="H156" s="56" t="str">
        <f>IF($A156=0,"",ROUND(E156*F156,2))</f>
        <v/>
      </c>
      <c r="I156" s="2"/>
    </row>
    <row r="157" spans="1:16" ht="14.25" x14ac:dyDescent="0.2">
      <c r="A157" s="1"/>
      <c r="B157" s="73" t="s">
        <v>1681</v>
      </c>
      <c r="C157" s="65"/>
      <c r="D157" s="74"/>
      <c r="E157" s="74"/>
      <c r="F157" s="74"/>
      <c r="G157" s="74"/>
      <c r="H157" s="75">
        <f>ROUND(SUM(H140:H156),2)</f>
        <v>0</v>
      </c>
      <c r="I157" s="2"/>
    </row>
    <row r="158" spans="1:16" ht="14.25" x14ac:dyDescent="0.2">
      <c r="A158" s="1"/>
      <c r="B158" s="38" t="s">
        <v>1680</v>
      </c>
      <c r="C158" s="2"/>
      <c r="D158" s="3"/>
      <c r="E158" s="3"/>
      <c r="F158" s="3"/>
      <c r="G158" s="3"/>
      <c r="H158" s="56"/>
      <c r="I158" s="2"/>
    </row>
    <row r="159" spans="1:16" ht="25.5" x14ac:dyDescent="0.2">
      <c r="A159" s="1"/>
      <c r="B159" s="64" t="s">
        <v>1409</v>
      </c>
      <c r="C159" s="65"/>
      <c r="D159" s="76"/>
      <c r="E159" s="66" t="s">
        <v>1408</v>
      </c>
      <c r="F159" s="66" t="s">
        <v>1679</v>
      </c>
      <c r="G159" s="66" t="s">
        <v>1676</v>
      </c>
      <c r="H159" s="68" t="s">
        <v>1675</v>
      </c>
      <c r="I159" s="2"/>
    </row>
    <row r="160" spans="1:16" ht="14.25" x14ac:dyDescent="0.2">
      <c r="A160" s="1"/>
      <c r="B160" s="51" t="str">
        <f>IF($A160=0,"",VLOOKUP($A160,'BASE EQUIPO'!$A:$D,2))</f>
        <v/>
      </c>
      <c r="C160" s="52"/>
      <c r="D160" s="82"/>
      <c r="E160" s="78" t="str">
        <f>IF($A160=0,"",VLOOKUP($A160,'BASE EQUIPO'!$A:$D,3))</f>
        <v/>
      </c>
      <c r="F160" s="55"/>
      <c r="G160" s="83" t="str">
        <f>IF($A160=0,"",VLOOKUP($A160,'BASE EQUIPO'!$A:$D,4)*H157)</f>
        <v/>
      </c>
      <c r="H160" s="56" t="str">
        <f>IF($A160=0,"",ROUND(F160*G160,2))</f>
        <v/>
      </c>
      <c r="I160" s="2"/>
    </row>
    <row r="161" spans="1:15" x14ac:dyDescent="0.25">
      <c r="B161" s="38" t="str">
        <f>IF($A161=0,"",VLOOKUP($A161,'BASE EQUIPO'!$A:$D,2))</f>
        <v/>
      </c>
      <c r="C161" s="2"/>
      <c r="D161" s="84"/>
      <c r="E161" s="78" t="str">
        <f>IF($A161=0,"",VLOOKUP($A161,'BASE EQUIPO'!$A:$D,3))</f>
        <v/>
      </c>
      <c r="F161" s="55"/>
      <c r="G161" s="55" t="str">
        <f>IF($A161=0,"",VLOOKUP($A161,'BASE EQUIPO'!$A:$D,4)*H158)</f>
        <v/>
      </c>
      <c r="H161" s="56" t="str">
        <f>IF($A161=0,"",ROUND(F161*G161,2))</f>
        <v/>
      </c>
      <c r="I161" s="2"/>
    </row>
    <row r="162" spans="1:15" x14ac:dyDescent="0.25">
      <c r="B162" s="57" t="str">
        <f>IF($A162=0,"",VLOOKUP($A162,'BASE EQUIPO'!$A:$D,2))</f>
        <v/>
      </c>
      <c r="C162" s="58"/>
      <c r="D162" s="85"/>
      <c r="E162" s="86" t="str">
        <f>IF($A162=0,"",VLOOKUP($A162,'BASE EQUIPO'!$A:$D,3))</f>
        <v/>
      </c>
      <c r="F162" s="59"/>
      <c r="G162" s="59" t="str">
        <f>IF($A162=0,"",VLOOKUP($A162,'BASE EQUIPO'!$A:$D,4)*H159)</f>
        <v/>
      </c>
      <c r="H162" s="60" t="str">
        <f>IF($A162=0,"",ROUND(F162*G162,2))</f>
        <v/>
      </c>
      <c r="I162" s="2"/>
    </row>
    <row r="163" spans="1:15" ht="15.75" thickBot="1" x14ac:dyDescent="0.3">
      <c r="B163" s="87" t="s">
        <v>1674</v>
      </c>
      <c r="C163" s="88"/>
      <c r="D163" s="89"/>
      <c r="E163" s="89"/>
      <c r="F163" s="89"/>
      <c r="G163" s="89"/>
      <c r="H163" s="90">
        <f>ROUND(SUM(H159:H162),2)</f>
        <v>0</v>
      </c>
      <c r="I163" s="2"/>
    </row>
    <row r="164" spans="1:15" ht="15.75" x14ac:dyDescent="0.25">
      <c r="B164" s="2"/>
      <c r="C164" s="2"/>
      <c r="D164" s="91" t="s">
        <v>1673</v>
      </c>
      <c r="E164" s="47"/>
      <c r="F164" s="47"/>
      <c r="G164" s="47"/>
      <c r="H164" s="92">
        <f>ROUND(SUM(H163,H157,H138,H128),2)</f>
        <v>408.1</v>
      </c>
      <c r="I164" s="2"/>
    </row>
    <row r="165" spans="1:15" ht="15.75" x14ac:dyDescent="0.25">
      <c r="A165" s="103">
        <v>40002</v>
      </c>
      <c r="B165" s="2"/>
      <c r="C165" s="2"/>
      <c r="D165" s="93" t="s">
        <v>1672</v>
      </c>
      <c r="E165" s="65"/>
      <c r="F165" s="65"/>
      <c r="G165" s="94">
        <f>IF($A165=0,"",VLOOKUP($A165,'BASE MATERIAL'!$M:$P,4))</f>
        <v>0</v>
      </c>
      <c r="H165" s="95">
        <f>IF($A165=0,"",ROUND(G165*H164,2))</f>
        <v>0</v>
      </c>
      <c r="I165" s="2"/>
    </row>
    <row r="166" spans="1:15" ht="15.75" x14ac:dyDescent="0.25">
      <c r="A166" s="103">
        <v>40003</v>
      </c>
      <c r="B166" s="2"/>
      <c r="C166" s="2"/>
      <c r="D166" s="93" t="s">
        <v>1671</v>
      </c>
      <c r="E166" s="65"/>
      <c r="F166" s="65"/>
      <c r="G166" s="94">
        <f>IF($A166=0,"",VLOOKUP($A166,'BASE MATERIAL'!$M:$P,4))</f>
        <v>0</v>
      </c>
      <c r="H166" s="95">
        <f>IF($A166=0,"",ROUND(G166*H164,2))</f>
        <v>0</v>
      </c>
      <c r="I166" s="2"/>
    </row>
    <row r="167" spans="1:15" ht="15.75" x14ac:dyDescent="0.25">
      <c r="B167" s="2"/>
      <c r="C167" s="2"/>
      <c r="D167" s="93" t="s">
        <v>1670</v>
      </c>
      <c r="E167" s="65"/>
      <c r="F167" s="65"/>
      <c r="G167" s="65"/>
      <c r="H167" s="96">
        <f>ROUND(SUM(H164:H166),2)</f>
        <v>408.1</v>
      </c>
      <c r="I167" s="2"/>
    </row>
    <row r="168" spans="1:15" ht="16.5" thickBot="1" x14ac:dyDescent="0.3">
      <c r="B168" s="25"/>
      <c r="C168" s="2"/>
      <c r="D168" s="97" t="s">
        <v>1650</v>
      </c>
      <c r="E168" s="88"/>
      <c r="F168" s="88"/>
      <c r="G168" s="88"/>
      <c r="H168" s="98">
        <f>ROUND(H167,2)</f>
        <v>408.1</v>
      </c>
      <c r="I168" s="2"/>
    </row>
    <row r="169" spans="1:15" ht="15.75" x14ac:dyDescent="0.25">
      <c r="B169" s="34" t="s">
        <v>1701</v>
      </c>
      <c r="C169" s="2"/>
      <c r="D169" s="3" t="str">
        <f>$D$1</f>
        <v>ESPOL</v>
      </c>
      <c r="E169" s="2"/>
      <c r="F169" s="2"/>
      <c r="H169" s="2" t="s">
        <v>108</v>
      </c>
      <c r="I169" s="2"/>
      <c r="L169" s="40">
        <f>A173</f>
        <v>2</v>
      </c>
      <c r="M169" s="1" t="str">
        <f>C174</f>
        <v>Mano de Obra por Instalación de unidad extractor</v>
      </c>
      <c r="N169" s="2" t="str">
        <f>H173</f>
        <v>unidad</v>
      </c>
      <c r="O169" s="2">
        <f>H224</f>
        <v>234.44</v>
      </c>
    </row>
    <row r="170" spans="1:15" ht="15.75" x14ac:dyDescent="0.25">
      <c r="B170" s="34" t="s">
        <v>1700</v>
      </c>
      <c r="C170" s="3">
        <f>'1.1'!$C$2</f>
        <v>0</v>
      </c>
      <c r="D170" s="2"/>
      <c r="E170" s="2"/>
      <c r="F170" s="2"/>
      <c r="G170" s="41" t="s">
        <v>1699</v>
      </c>
      <c r="H170" s="42"/>
      <c r="I170" s="2" t="s">
        <v>1698</v>
      </c>
    </row>
    <row r="171" spans="1:15" ht="15.75" x14ac:dyDescent="0.25">
      <c r="B171" s="34"/>
      <c r="C171" s="3">
        <f>'1.1'!$C$3</f>
        <v>0</v>
      </c>
      <c r="D171" s="2"/>
      <c r="E171" s="2"/>
      <c r="F171" s="2"/>
      <c r="G171" s="2"/>
      <c r="H171" s="2"/>
      <c r="I171" s="2"/>
    </row>
    <row r="172" spans="1:15" ht="15.75" x14ac:dyDescent="0.25">
      <c r="B172" s="34" t="s">
        <v>1697</v>
      </c>
      <c r="C172" s="3"/>
      <c r="D172" s="2"/>
      <c r="E172" s="2"/>
      <c r="F172" s="2"/>
      <c r="G172" s="2"/>
      <c r="H172" s="2"/>
      <c r="I172" s="2"/>
    </row>
    <row r="173" spans="1:15" x14ac:dyDescent="0.25">
      <c r="A173" s="104">
        <v>2</v>
      </c>
      <c r="B173" s="2" t="s">
        <v>1586</v>
      </c>
      <c r="C173" s="101" t="s">
        <v>192</v>
      </c>
      <c r="D173" s="2"/>
      <c r="G173" s="2" t="s">
        <v>1696</v>
      </c>
      <c r="H173" s="3" t="s">
        <v>126</v>
      </c>
      <c r="I173" s="2"/>
    </row>
    <row r="174" spans="1:15" x14ac:dyDescent="0.25">
      <c r="B174" s="1" t="s">
        <v>1585</v>
      </c>
      <c r="C174" s="36" t="s">
        <v>710</v>
      </c>
      <c r="D174" s="2"/>
      <c r="E174" s="2"/>
      <c r="F174" s="2"/>
      <c r="G174" s="2"/>
      <c r="H174" s="2"/>
      <c r="I174" s="2"/>
    </row>
    <row r="175" spans="1:15" ht="15.75" thickBot="1" x14ac:dyDescent="0.3">
      <c r="D175" s="2"/>
      <c r="E175" s="2"/>
      <c r="F175" s="2"/>
      <c r="G175" s="2"/>
      <c r="H175" s="2"/>
      <c r="I175" s="2"/>
    </row>
    <row r="176" spans="1:15" ht="15.75" thickBot="1" x14ac:dyDescent="0.3">
      <c r="B176" s="43" t="s">
        <v>1695</v>
      </c>
      <c r="C176" s="44"/>
      <c r="D176" s="44"/>
      <c r="E176" s="44"/>
      <c r="F176" s="44"/>
      <c r="G176" s="44"/>
      <c r="H176" s="45"/>
      <c r="I176" s="2"/>
    </row>
    <row r="177" spans="1:9" ht="25.5" x14ac:dyDescent="0.25">
      <c r="B177" s="46" t="s">
        <v>1409</v>
      </c>
      <c r="C177" s="47"/>
      <c r="D177" s="48" t="s">
        <v>1690</v>
      </c>
      <c r="E177" s="48" t="s">
        <v>1694</v>
      </c>
      <c r="F177" s="48" t="s">
        <v>1693</v>
      </c>
      <c r="G177" s="49" t="s">
        <v>1687</v>
      </c>
      <c r="H177" s="50" t="s">
        <v>1686</v>
      </c>
      <c r="I177" s="2"/>
    </row>
    <row r="178" spans="1:9" x14ac:dyDescent="0.25">
      <c r="A178" s="103">
        <v>19015</v>
      </c>
      <c r="B178" s="51" t="str">
        <f>IF($A178=0,"",VLOOKUP($A178,'BASE EQUIPO'!$A:$D,2))</f>
        <v>HERRAMIENTA MENOR</v>
      </c>
      <c r="C178" s="52"/>
      <c r="D178" s="53">
        <v>1</v>
      </c>
      <c r="E178" s="53">
        <f>IF($A178=0,"",VLOOKUP($A178,'BASE EQUIPO'!$A:$D,4)*H194)</f>
        <v>6.8283000000000005</v>
      </c>
      <c r="F178" s="53">
        <f t="shared" ref="F178:F183" si="15">IF($A178=0,"",ROUND(D178*E178,2))</f>
        <v>6.83</v>
      </c>
      <c r="G178" s="105">
        <v>1</v>
      </c>
      <c r="H178" s="54">
        <f t="shared" ref="H178:H183" si="16">IF($A178=0,"",ROUND(G178*F178,2))</f>
        <v>6.83</v>
      </c>
      <c r="I178" s="2"/>
    </row>
    <row r="179" spans="1:9" x14ac:dyDescent="0.25">
      <c r="B179" s="38" t="str">
        <f>IF($A179=0,"",VLOOKUP($A179,'BASE EQUIPO'!$A:$D,2))</f>
        <v/>
      </c>
      <c r="C179" s="2"/>
      <c r="D179" s="55"/>
      <c r="E179" s="55" t="str">
        <f>IF($A179=0,"",VLOOKUP($A179,'BASE EQUIPO'!$A:$D,4))</f>
        <v/>
      </c>
      <c r="F179" s="55" t="str">
        <f t="shared" si="15"/>
        <v/>
      </c>
      <c r="G179" s="106"/>
      <c r="H179" s="56" t="str">
        <f t="shared" si="16"/>
        <v/>
      </c>
      <c r="I179" s="2"/>
    </row>
    <row r="180" spans="1:9" x14ac:dyDescent="0.25">
      <c r="B180" s="38" t="str">
        <f>IF($A180=0,"",VLOOKUP($A180,'BASE EQUIPO'!$A:$D,2))</f>
        <v/>
      </c>
      <c r="C180" s="2"/>
      <c r="D180" s="55"/>
      <c r="E180" s="55" t="str">
        <f>IF($A180=0,"",VLOOKUP($A180,'BASE EQUIPO'!$A:$D,4))</f>
        <v/>
      </c>
      <c r="F180" s="55" t="str">
        <f t="shared" si="15"/>
        <v/>
      </c>
      <c r="G180" s="106"/>
      <c r="H180" s="56" t="str">
        <f t="shared" si="16"/>
        <v/>
      </c>
      <c r="I180" s="2"/>
    </row>
    <row r="181" spans="1:9" x14ac:dyDescent="0.25">
      <c r="B181" s="38" t="str">
        <f>IF($A181=0,"",VLOOKUP($A181,'BASE EQUIPO'!$A:$D,2))</f>
        <v/>
      </c>
      <c r="C181" s="2"/>
      <c r="D181" s="55"/>
      <c r="E181" s="55" t="str">
        <f>IF($A181=0,"",VLOOKUP($A181,'BASE EQUIPO'!$A:$D,4))</f>
        <v/>
      </c>
      <c r="F181" s="55" t="str">
        <f t="shared" si="15"/>
        <v/>
      </c>
      <c r="G181" s="106"/>
      <c r="H181" s="56" t="str">
        <f t="shared" si="16"/>
        <v/>
      </c>
      <c r="I181" s="2"/>
    </row>
    <row r="182" spans="1:9" x14ac:dyDescent="0.25">
      <c r="B182" s="38" t="str">
        <f>IF($A182=0,"",VLOOKUP($A182,'BASE EQUIPO'!$A:$D,2))</f>
        <v/>
      </c>
      <c r="C182" s="2"/>
      <c r="D182" s="55"/>
      <c r="E182" s="55" t="str">
        <f>IF($A182=0,"",VLOOKUP($A182,'BASE EQUIPO'!$A:$D,4))</f>
        <v/>
      </c>
      <c r="F182" s="55" t="str">
        <f t="shared" si="15"/>
        <v/>
      </c>
      <c r="G182" s="106"/>
      <c r="H182" s="56" t="str">
        <f t="shared" si="16"/>
        <v/>
      </c>
      <c r="I182" s="2"/>
    </row>
    <row r="183" spans="1:9" x14ac:dyDescent="0.25">
      <c r="B183" s="57" t="str">
        <f>IF($A183=0,"",VLOOKUP($A183,'BASE EQUIPO'!$A:$D,2))</f>
        <v/>
      </c>
      <c r="C183" s="58"/>
      <c r="D183" s="59"/>
      <c r="E183" s="59" t="str">
        <f>IF($A183=0,"",VLOOKUP($A183,'BASE EQUIPO'!$A:$D,4))</f>
        <v/>
      </c>
      <c r="F183" s="59" t="str">
        <f t="shared" si="15"/>
        <v/>
      </c>
      <c r="G183" s="107"/>
      <c r="H183" s="60" t="str">
        <f t="shared" si="16"/>
        <v/>
      </c>
      <c r="I183" s="2"/>
    </row>
    <row r="184" spans="1:9" x14ac:dyDescent="0.25">
      <c r="B184" s="57" t="s">
        <v>1692</v>
      </c>
      <c r="C184" s="58"/>
      <c r="D184" s="61"/>
      <c r="E184" s="61"/>
      <c r="F184" s="61"/>
      <c r="G184" s="62"/>
      <c r="H184" s="60">
        <f>ROUND(SUM(H177:H183),2)</f>
        <v>6.83</v>
      </c>
      <c r="I184" s="2"/>
    </row>
    <row r="185" spans="1:9" x14ac:dyDescent="0.25">
      <c r="B185" s="38" t="s">
        <v>1503</v>
      </c>
      <c r="C185" s="2"/>
      <c r="D185" s="3"/>
      <c r="E185" s="3"/>
      <c r="F185" s="3"/>
      <c r="G185" s="63"/>
      <c r="H185" s="56"/>
      <c r="I185" s="2"/>
    </row>
    <row r="186" spans="1:9" ht="25.5" x14ac:dyDescent="0.25">
      <c r="B186" s="64" t="s">
        <v>1691</v>
      </c>
      <c r="C186" s="65"/>
      <c r="D186" s="66" t="s">
        <v>1690</v>
      </c>
      <c r="E186" s="66" t="s">
        <v>1689</v>
      </c>
      <c r="F186" s="66" t="s">
        <v>1688</v>
      </c>
      <c r="G186" s="67" t="s">
        <v>1687</v>
      </c>
      <c r="H186" s="68" t="s">
        <v>1686</v>
      </c>
      <c r="I186" s="2"/>
    </row>
    <row r="187" spans="1:9" x14ac:dyDescent="0.25">
      <c r="B187" s="69" t="str">
        <f>IF($A187=0,"",VLOOKUP($A187,'BASE M-OBRA'!$A:$D,2))</f>
        <v/>
      </c>
      <c r="C187" s="2"/>
      <c r="D187" s="108"/>
      <c r="E187" s="70" t="str">
        <f>IF($A187=0,"",VLOOKUP($A187,'BASE M-OBRA'!$A:$D,4))</f>
        <v/>
      </c>
      <c r="F187" s="55" t="str">
        <f t="shared" ref="F187:F193" si="17">IF($A187=0,"",ROUND(D187*E187,2))</f>
        <v/>
      </c>
      <c r="G187" s="106" t="str">
        <f>IF($A187=0,"",ROUND(H187/F187,2))</f>
        <v/>
      </c>
      <c r="H187" s="56" t="str">
        <f>IF($A187=0,"",ROUND(SUM(H188:H193)*'BASE M-OBRA'!$D$23,2))</f>
        <v/>
      </c>
      <c r="I187" s="2"/>
    </row>
    <row r="188" spans="1:9" x14ac:dyDescent="0.25">
      <c r="A188" s="103">
        <v>20019</v>
      </c>
      <c r="B188" s="69" t="str">
        <f>IF($A188=0,"",VLOOKUP($A188,'BASE M-OBRA'!$A:$D,2))</f>
        <v>INSTALADOR</v>
      </c>
      <c r="C188" s="2"/>
      <c r="D188" s="108">
        <v>2</v>
      </c>
      <c r="E188" s="70">
        <f>IF($A188=0,"",VLOOKUP($A188,'BASE M-OBRA'!$A:$D,4))</f>
        <v>2.82</v>
      </c>
      <c r="F188" s="55">
        <f t="shared" si="17"/>
        <v>5.64</v>
      </c>
      <c r="G188" s="106">
        <v>27</v>
      </c>
      <c r="H188" s="56">
        <f t="shared" ref="H188:H193" si="18">IF($A188=0,"",ROUND(G188*F188,2))</f>
        <v>152.28</v>
      </c>
      <c r="I188" s="2"/>
    </row>
    <row r="189" spans="1:9" x14ac:dyDescent="0.25">
      <c r="A189" s="103">
        <v>20011</v>
      </c>
      <c r="B189" s="69" t="str">
        <f>IF($A189=0,"",VLOOKUP($A189,'BASE M-OBRA'!$A:$D,2))</f>
        <v>AYUDANTE ESPECIALISTA</v>
      </c>
      <c r="C189" s="2"/>
      <c r="D189" s="108">
        <v>1</v>
      </c>
      <c r="E189" s="70">
        <f>IF($A189=0,"",VLOOKUP($A189,'BASE M-OBRA'!$A:$D,4))</f>
        <v>2.79</v>
      </c>
      <c r="F189" s="55">
        <f t="shared" si="17"/>
        <v>2.79</v>
      </c>
      <c r="G189" s="106">
        <f>+G188</f>
        <v>27</v>
      </c>
      <c r="H189" s="56">
        <f t="shared" si="18"/>
        <v>75.33</v>
      </c>
      <c r="I189" s="2"/>
    </row>
    <row r="190" spans="1:9" x14ac:dyDescent="0.25">
      <c r="B190" s="71" t="str">
        <f>IF($A190=0,"",VLOOKUP($A190,'BASE M-OBRA'!$A:$D,2))</f>
        <v/>
      </c>
      <c r="C190" s="2"/>
      <c r="D190" s="108"/>
      <c r="E190" s="70" t="str">
        <f>IF($A190=0,"",VLOOKUP($A190,'BASE M-OBRA'!$A:$D,4))</f>
        <v/>
      </c>
      <c r="F190" s="55" t="str">
        <f t="shared" si="17"/>
        <v/>
      </c>
      <c r="G190" s="106"/>
      <c r="H190" s="56" t="str">
        <f t="shared" si="18"/>
        <v/>
      </c>
      <c r="I190" s="2"/>
    </row>
    <row r="191" spans="1:9" x14ac:dyDescent="0.25">
      <c r="B191" s="72" t="str">
        <f>IF($A191=0,"",VLOOKUP($A191,'BASE M-OBRA'!$A:$D,2))</f>
        <v/>
      </c>
      <c r="C191" s="2"/>
      <c r="D191" s="108"/>
      <c r="E191" s="70" t="str">
        <f>IF($A191=0,"",VLOOKUP($A191,'BASE M-OBRA'!$A:$D,4))</f>
        <v/>
      </c>
      <c r="F191" s="55" t="str">
        <f t="shared" si="17"/>
        <v/>
      </c>
      <c r="G191" s="106"/>
      <c r="H191" s="56" t="str">
        <f t="shared" si="18"/>
        <v/>
      </c>
      <c r="I191" s="2"/>
    </row>
    <row r="192" spans="1:9" x14ac:dyDescent="0.25">
      <c r="B192" s="38" t="str">
        <f>IF($A192=0,"",VLOOKUP($A192,'BASE M-OBRA'!$A:$D,2))</f>
        <v/>
      </c>
      <c r="C192" s="2"/>
      <c r="D192" s="55"/>
      <c r="E192" s="55" t="str">
        <f>IF($A192=0,"",VLOOKUP($A192,'BASE M-OBRA'!$A:$D,4))</f>
        <v/>
      </c>
      <c r="F192" s="55" t="str">
        <f t="shared" si="17"/>
        <v/>
      </c>
      <c r="G192" s="106"/>
      <c r="H192" s="56" t="str">
        <f t="shared" si="18"/>
        <v/>
      </c>
      <c r="I192" s="2"/>
    </row>
    <row r="193" spans="1:16" x14ac:dyDescent="0.25">
      <c r="B193" s="57" t="str">
        <f>IF($A193=0,"",VLOOKUP($A193,'BASE M-OBRA'!$A:$D,2))</f>
        <v/>
      </c>
      <c r="C193" s="58"/>
      <c r="D193" s="59"/>
      <c r="E193" s="59" t="str">
        <f>IF($A193=0,"",VLOOKUP($A193,'BASE M-OBRA'!$A:$D,4))</f>
        <v/>
      </c>
      <c r="F193" s="59" t="str">
        <f t="shared" si="17"/>
        <v/>
      </c>
      <c r="G193" s="107"/>
      <c r="H193" s="60" t="str">
        <f t="shared" si="18"/>
        <v/>
      </c>
      <c r="I193" s="2"/>
    </row>
    <row r="194" spans="1:16" x14ac:dyDescent="0.25">
      <c r="B194" s="73" t="s">
        <v>1685</v>
      </c>
      <c r="C194" s="65"/>
      <c r="D194" s="74"/>
      <c r="E194" s="74"/>
      <c r="F194" s="74"/>
      <c r="G194" s="74"/>
      <c r="H194" s="75">
        <f>ROUND(SUM(H186:H193),2)</f>
        <v>227.61</v>
      </c>
      <c r="I194" s="2"/>
    </row>
    <row r="195" spans="1:16" x14ac:dyDescent="0.25">
      <c r="B195" s="38" t="s">
        <v>1684</v>
      </c>
      <c r="C195" s="2"/>
      <c r="D195" s="3"/>
      <c r="E195" s="3"/>
      <c r="F195" s="3"/>
      <c r="G195" s="3"/>
      <c r="H195" s="56"/>
      <c r="I195" s="2"/>
    </row>
    <row r="196" spans="1:16" ht="25.5" x14ac:dyDescent="0.25">
      <c r="B196" s="64" t="s">
        <v>1409</v>
      </c>
      <c r="C196" s="65"/>
      <c r="D196" s="76"/>
      <c r="E196" s="66" t="s">
        <v>1408</v>
      </c>
      <c r="F196" s="66" t="s">
        <v>1679</v>
      </c>
      <c r="G196" s="66" t="s">
        <v>1683</v>
      </c>
      <c r="H196" s="68" t="s">
        <v>1675</v>
      </c>
      <c r="I196" s="2"/>
    </row>
    <row r="197" spans="1:16" x14ac:dyDescent="0.25">
      <c r="B197" s="100"/>
      <c r="C197" s="2"/>
      <c r="D197" s="77"/>
      <c r="E197" s="78"/>
      <c r="F197" s="55"/>
      <c r="G197" s="55"/>
      <c r="H197" s="56" t="str">
        <f t="shared" ref="H197:H211" si="19">IF($A197=0,"",ROUND(F197*G197,2))</f>
        <v/>
      </c>
      <c r="I197" s="2"/>
      <c r="L197" s="2"/>
      <c r="M197" s="2"/>
      <c r="N197" s="39"/>
      <c r="O197" s="2"/>
      <c r="P197" s="2"/>
    </row>
    <row r="198" spans="1:16" x14ac:dyDescent="0.25">
      <c r="B198" s="38" t="str">
        <f>IF($A198=0,"",VLOOKUP($A198,'BASE MATERIAL'!$A:$D,2))</f>
        <v/>
      </c>
      <c r="C198" s="2"/>
      <c r="D198" s="77"/>
      <c r="E198" s="78" t="str">
        <f>IF($A198=0,"",VLOOKUP($A198,'BASE MATERIAL'!$A:$D,3))</f>
        <v/>
      </c>
      <c r="F198" s="55"/>
      <c r="G198" s="55" t="str">
        <f>IF($A198=0,"",VLOOKUP($A198,'BASE MATERIAL'!$A:$D,4))</f>
        <v/>
      </c>
      <c r="H198" s="56" t="str">
        <f t="shared" si="19"/>
        <v/>
      </c>
      <c r="I198" s="2"/>
      <c r="L198" s="2"/>
      <c r="M198" s="2"/>
      <c r="N198" s="39"/>
      <c r="O198" s="2"/>
      <c r="P198" s="2"/>
    </row>
    <row r="199" spans="1:16" x14ac:dyDescent="0.25">
      <c r="B199" s="38" t="str">
        <f>IF($A199=0,"",VLOOKUP($A199,'BASE MATERIAL'!$A:$D,2))</f>
        <v/>
      </c>
      <c r="C199" s="2"/>
      <c r="D199" s="77"/>
      <c r="E199" s="78" t="str">
        <f>IF($A199=0,"",VLOOKUP($A199,'BASE MATERIAL'!$A:$D,3))</f>
        <v/>
      </c>
      <c r="F199" s="55"/>
      <c r="G199" s="55" t="str">
        <f>IF($A199=0,"",VLOOKUP($A199,'BASE MATERIAL'!$A:$D,4))</f>
        <v/>
      </c>
      <c r="H199" s="56" t="str">
        <f t="shared" si="19"/>
        <v/>
      </c>
      <c r="I199" s="2"/>
      <c r="L199" s="2"/>
      <c r="M199" s="2"/>
      <c r="N199" s="39"/>
      <c r="O199" s="2"/>
      <c r="P199" s="2"/>
    </row>
    <row r="200" spans="1:16" x14ac:dyDescent="0.25">
      <c r="B200" s="38" t="str">
        <f>IF($A200=0,"",VLOOKUP($A200,'BASE MATERIAL'!$A:$D,2))</f>
        <v/>
      </c>
      <c r="C200" s="2"/>
      <c r="D200" s="77"/>
      <c r="E200" s="78" t="str">
        <f>IF($A200=0,"",VLOOKUP($A200,'BASE MATERIAL'!$A:$D,3))</f>
        <v/>
      </c>
      <c r="F200" s="55"/>
      <c r="G200" s="55" t="str">
        <f>IF($A200=0,"",VLOOKUP($A200,'BASE MATERIAL'!$A:$D,4))</f>
        <v/>
      </c>
      <c r="H200" s="56" t="str">
        <f t="shared" si="19"/>
        <v/>
      </c>
      <c r="I200" s="2"/>
      <c r="L200" s="2"/>
      <c r="M200" s="2"/>
      <c r="N200" s="39"/>
      <c r="O200" s="2"/>
      <c r="P200" s="2"/>
    </row>
    <row r="201" spans="1:16" ht="14.25" x14ac:dyDescent="0.2">
      <c r="A201" s="1"/>
      <c r="B201" s="38" t="str">
        <f>IF($A201=0,"",VLOOKUP($A201,'BASE MATERIAL'!$A:$D,2))</f>
        <v/>
      </c>
      <c r="C201" s="2"/>
      <c r="D201" s="77"/>
      <c r="E201" s="78" t="str">
        <f>IF($A201=0,"",VLOOKUP($A201,'BASE MATERIAL'!$A:$D,3))</f>
        <v/>
      </c>
      <c r="F201" s="55"/>
      <c r="G201" s="55" t="str">
        <f>IF($A201=0,"",VLOOKUP($A201,'BASE MATERIAL'!$A:$D,4))</f>
        <v/>
      </c>
      <c r="H201" s="56" t="str">
        <f t="shared" si="19"/>
        <v/>
      </c>
      <c r="I201" s="2"/>
      <c r="L201" s="2"/>
      <c r="M201" s="2"/>
      <c r="N201" s="39"/>
      <c r="O201" s="2"/>
      <c r="P201" s="2"/>
    </row>
    <row r="202" spans="1:16" ht="14.25" x14ac:dyDescent="0.2">
      <c r="A202" s="1"/>
      <c r="B202" s="38" t="str">
        <f>IF($A202=0,"",VLOOKUP($A202,'BASE MATERIAL'!$A:$D,2))</f>
        <v/>
      </c>
      <c r="C202" s="2"/>
      <c r="D202" s="77"/>
      <c r="E202" s="78" t="str">
        <f>IF($A202=0,"",VLOOKUP($A202,'BASE MATERIAL'!$A:$D,3))</f>
        <v/>
      </c>
      <c r="F202" s="55"/>
      <c r="G202" s="55" t="str">
        <f>IF($A202=0,"",VLOOKUP($A202,'BASE MATERIAL'!$A:$D,4))</f>
        <v/>
      </c>
      <c r="H202" s="56" t="str">
        <f t="shared" si="19"/>
        <v/>
      </c>
      <c r="I202" s="2"/>
      <c r="L202" s="2"/>
      <c r="M202" s="2"/>
      <c r="N202" s="39"/>
      <c r="O202" s="2"/>
      <c r="P202" s="2"/>
    </row>
    <row r="203" spans="1:16" ht="14.25" x14ac:dyDescent="0.2">
      <c r="A203" s="1"/>
      <c r="B203" s="38" t="str">
        <f>IF($A203=0,"",VLOOKUP($A203,'BASE MATERIAL'!$A:$D,2))</f>
        <v/>
      </c>
      <c r="C203" s="2"/>
      <c r="D203" s="77"/>
      <c r="E203" s="78" t="str">
        <f>IF($A203=0,"",VLOOKUP($A203,'BASE MATERIAL'!$A:$D,3))</f>
        <v/>
      </c>
      <c r="F203" s="55"/>
      <c r="G203" s="55" t="str">
        <f>IF($A203=0,"",VLOOKUP($A203,'BASE MATERIAL'!$A:$D,4))</f>
        <v/>
      </c>
      <c r="H203" s="56" t="str">
        <f t="shared" si="19"/>
        <v/>
      </c>
      <c r="I203" s="2"/>
      <c r="L203" s="2"/>
      <c r="M203" s="2"/>
      <c r="N203" s="39"/>
      <c r="O203" s="2"/>
      <c r="P203" s="2"/>
    </row>
    <row r="204" spans="1:16" ht="14.25" x14ac:dyDescent="0.2">
      <c r="A204" s="1"/>
      <c r="B204" s="38" t="str">
        <f>IF($A204=0,"",VLOOKUP($A204,'BASE MATERIAL'!$A:$D,2))</f>
        <v/>
      </c>
      <c r="C204" s="2"/>
      <c r="D204" s="77"/>
      <c r="E204" s="78" t="str">
        <f>IF($A204=0,"",VLOOKUP($A204,'BASE MATERIAL'!$A:$D,3))</f>
        <v/>
      </c>
      <c r="F204" s="55"/>
      <c r="G204" s="55" t="str">
        <f>IF($A204=0,"",VLOOKUP($A204,'BASE MATERIAL'!$A:$D,4))</f>
        <v/>
      </c>
      <c r="H204" s="56" t="str">
        <f t="shared" si="19"/>
        <v/>
      </c>
      <c r="I204" s="2"/>
      <c r="L204" s="2"/>
      <c r="M204" s="2"/>
      <c r="N204" s="39"/>
      <c r="O204" s="2"/>
      <c r="P204" s="2"/>
    </row>
    <row r="205" spans="1:16" ht="14.25" x14ac:dyDescent="0.2">
      <c r="A205" s="1"/>
      <c r="B205" s="38" t="str">
        <f>IF($A205=0,"",VLOOKUP($A205,'BASE MATERIAL'!$A:$D,2))</f>
        <v/>
      </c>
      <c r="C205" s="2"/>
      <c r="D205" s="77"/>
      <c r="E205" s="78" t="str">
        <f>IF($A205=0,"",VLOOKUP($A205,'BASE MATERIAL'!$A:$D,3))</f>
        <v/>
      </c>
      <c r="F205" s="55"/>
      <c r="G205" s="55" t="str">
        <f>IF($A205=0,"",VLOOKUP($A205,'BASE MATERIAL'!$A:$D,4))</f>
        <v/>
      </c>
      <c r="H205" s="56" t="str">
        <f t="shared" si="19"/>
        <v/>
      </c>
      <c r="I205" s="2"/>
    </row>
    <row r="206" spans="1:16" ht="14.25" x14ac:dyDescent="0.2">
      <c r="A206" s="1"/>
      <c r="B206" s="38" t="str">
        <f>IF($A206=0,"",VLOOKUP($A206,'BASE MATERIAL'!$A:$D,2))</f>
        <v/>
      </c>
      <c r="C206" s="2"/>
      <c r="D206" s="77"/>
      <c r="E206" s="78" t="str">
        <f>IF($A206=0,"",VLOOKUP($A206,'BASE MATERIAL'!$A:$D,3))</f>
        <v/>
      </c>
      <c r="F206" s="55"/>
      <c r="G206" s="55" t="str">
        <f>IF($A206=0,"",VLOOKUP($A206,'BASE MATERIAL'!$A:$D,4))</f>
        <v/>
      </c>
      <c r="H206" s="56" t="str">
        <f t="shared" si="19"/>
        <v/>
      </c>
      <c r="I206" s="2"/>
      <c r="L206" s="2"/>
      <c r="M206" s="2"/>
      <c r="N206" s="39"/>
      <c r="O206" s="2"/>
      <c r="P206" s="2"/>
    </row>
    <row r="207" spans="1:16" ht="14.25" x14ac:dyDescent="0.2">
      <c r="A207" s="1"/>
      <c r="B207" s="38" t="str">
        <f>IF($A207=0,"",VLOOKUP($A207,'BASE MATERIAL'!$A:$D,2))</f>
        <v/>
      </c>
      <c r="C207" s="2"/>
      <c r="D207" s="77"/>
      <c r="E207" s="78" t="str">
        <f>IF($A207=0,"",VLOOKUP($A207,'BASE MATERIAL'!$A:$D,3))</f>
        <v/>
      </c>
      <c r="F207" s="55"/>
      <c r="G207" s="55" t="str">
        <f>IF($A207=0,"",VLOOKUP($A207,'BASE MATERIAL'!$A:$D,4))</f>
        <v/>
      </c>
      <c r="H207" s="56" t="str">
        <f t="shared" si="19"/>
        <v/>
      </c>
      <c r="I207" s="2"/>
      <c r="L207" s="2"/>
      <c r="M207" s="2"/>
      <c r="N207" s="39"/>
      <c r="O207" s="2"/>
      <c r="P207" s="2"/>
    </row>
    <row r="208" spans="1:16" ht="14.25" x14ac:dyDescent="0.2">
      <c r="A208" s="1"/>
      <c r="B208" s="38" t="str">
        <f>IF($A208=0,"",VLOOKUP($A208,'BASE MATERIAL'!$A:$D,2))</f>
        <v/>
      </c>
      <c r="C208" s="2"/>
      <c r="D208" s="77"/>
      <c r="E208" s="78" t="str">
        <f>IF($A208=0,"",VLOOKUP($A208,'BASE MATERIAL'!$A:$D,3))</f>
        <v/>
      </c>
      <c r="F208" s="55"/>
      <c r="G208" s="55" t="str">
        <f>IF($A208=0,"",VLOOKUP($A208,'BASE MATERIAL'!$A:$D,4))</f>
        <v/>
      </c>
      <c r="H208" s="56" t="str">
        <f t="shared" si="19"/>
        <v/>
      </c>
      <c r="I208" s="2"/>
    </row>
    <row r="209" spans="1:9" ht="14.25" x14ac:dyDescent="0.2">
      <c r="A209" s="1"/>
      <c r="B209" s="38" t="str">
        <f>IF($A209=0,"",VLOOKUP($A209,'BASE MATERIAL'!$A:$D,2))</f>
        <v/>
      </c>
      <c r="C209" s="2"/>
      <c r="D209" s="77"/>
      <c r="E209" s="78" t="str">
        <f>IF($A209=0,"",VLOOKUP($A209,'BASE MATERIAL'!$A:$D,3))</f>
        <v/>
      </c>
      <c r="F209" s="55"/>
      <c r="G209" s="55" t="str">
        <f>IF($A209=0,"",VLOOKUP($A209,'BASE MATERIAL'!$A:$D,4))</f>
        <v/>
      </c>
      <c r="H209" s="56" t="str">
        <f t="shared" si="19"/>
        <v/>
      </c>
      <c r="I209" s="2"/>
    </row>
    <row r="210" spans="1:9" ht="14.25" x14ac:dyDescent="0.2">
      <c r="A210" s="1"/>
      <c r="B210" s="38" t="str">
        <f>IF($A210=0,"",VLOOKUP($A210,'BASE MATERIAL'!$A:$D,2))</f>
        <v/>
      </c>
      <c r="C210" s="2"/>
      <c r="D210" s="77"/>
      <c r="E210" s="78" t="str">
        <f>IF($A210=0,"",VLOOKUP($A210,'BASE MATERIAL'!$A:$D,3))</f>
        <v/>
      </c>
      <c r="F210" s="55"/>
      <c r="G210" s="55" t="str">
        <f>IF($A210=0,"",VLOOKUP($A210,'BASE MATERIAL'!$A:$D,4))</f>
        <v/>
      </c>
      <c r="H210" s="56" t="str">
        <f t="shared" si="19"/>
        <v/>
      </c>
      <c r="I210" s="2"/>
    </row>
    <row r="211" spans="1:9" ht="14.25" x14ac:dyDescent="0.2">
      <c r="A211" s="1"/>
      <c r="B211" s="38" t="str">
        <f>IF($A211=0,"",VLOOKUP($A211,'BASE MATERIAL'!$A:$D,2))</f>
        <v/>
      </c>
      <c r="C211" s="2"/>
      <c r="D211" s="77"/>
      <c r="E211" s="78" t="str">
        <f>IF($A211=0,"",VLOOKUP($A211,'BASE MATERIAL'!$A:$D,3))</f>
        <v/>
      </c>
      <c r="F211" s="55"/>
      <c r="G211" s="55" t="str">
        <f>IF($A211=0,"",VLOOKUP($A211,'BASE MATERIAL'!$A:$D,4))</f>
        <v/>
      </c>
      <c r="H211" s="56" t="str">
        <f t="shared" si="19"/>
        <v/>
      </c>
      <c r="I211" s="2"/>
    </row>
    <row r="212" spans="1:9" ht="14.25" x14ac:dyDescent="0.2">
      <c r="A212" s="1"/>
      <c r="B212" s="38" t="str">
        <f>IF($A212=0,"",VLOOKUP($A212,'BASE MATERIAL'!$A:$D,2))</f>
        <v/>
      </c>
      <c r="C212" s="2"/>
      <c r="D212" s="81" t="s">
        <v>1682</v>
      </c>
      <c r="E212" s="55" t="str">
        <f>IF($A212=0,"",VLOOKUP($A212,'BASE MATERIAL'!$A:$D,3))</f>
        <v/>
      </c>
      <c r="F212" s="55" t="s">
        <v>1682</v>
      </c>
      <c r="G212" s="55" t="str">
        <f>IF($A212=0,"",VLOOKUP($A212,'BASE MATERIAL'!$A:$D,4))</f>
        <v/>
      </c>
      <c r="H212" s="56" t="str">
        <f>IF($A212=0,"",ROUND(E212*F212,2))</f>
        <v/>
      </c>
      <c r="I212" s="2"/>
    </row>
    <row r="213" spans="1:9" ht="14.25" x14ac:dyDescent="0.2">
      <c r="A213" s="1"/>
      <c r="B213" s="73" t="s">
        <v>1681</v>
      </c>
      <c r="C213" s="65"/>
      <c r="D213" s="74"/>
      <c r="E213" s="74"/>
      <c r="F213" s="74"/>
      <c r="G213" s="74"/>
      <c r="H213" s="75">
        <f>ROUND(SUM(H196:H212),2)</f>
        <v>0</v>
      </c>
      <c r="I213" s="2"/>
    </row>
    <row r="214" spans="1:9" ht="14.25" x14ac:dyDescent="0.2">
      <c r="A214" s="1"/>
      <c r="B214" s="38" t="s">
        <v>1680</v>
      </c>
      <c r="C214" s="2"/>
      <c r="D214" s="3"/>
      <c r="E214" s="3"/>
      <c r="F214" s="3"/>
      <c r="G214" s="3"/>
      <c r="H214" s="56"/>
      <c r="I214" s="2"/>
    </row>
    <row r="215" spans="1:9" ht="25.5" x14ac:dyDescent="0.2">
      <c r="A215" s="1"/>
      <c r="B215" s="64" t="s">
        <v>1409</v>
      </c>
      <c r="C215" s="65"/>
      <c r="D215" s="76"/>
      <c r="E215" s="66" t="s">
        <v>1408</v>
      </c>
      <c r="F215" s="66" t="s">
        <v>1679</v>
      </c>
      <c r="G215" s="66" t="s">
        <v>1676</v>
      </c>
      <c r="H215" s="68" t="s">
        <v>1675</v>
      </c>
      <c r="I215" s="2"/>
    </row>
    <row r="216" spans="1:9" ht="14.25" x14ac:dyDescent="0.2">
      <c r="A216" s="1"/>
      <c r="B216" s="51" t="str">
        <f>IF($A216=0,"",VLOOKUP($A216,'BASE EQUIPO'!$A:$D,2))</f>
        <v/>
      </c>
      <c r="C216" s="52"/>
      <c r="D216" s="82"/>
      <c r="E216" s="78" t="str">
        <f>IF($A216=0,"",VLOOKUP($A216,'BASE EQUIPO'!$A:$D,3))</f>
        <v/>
      </c>
      <c r="F216" s="55"/>
      <c r="G216" s="83" t="str">
        <f>IF($A216=0,"",VLOOKUP($A216,'BASE EQUIPO'!$A:$D,4)*H213)</f>
        <v/>
      </c>
      <c r="H216" s="56" t="str">
        <f>IF($A216=0,"",ROUND(F216*G216,2))</f>
        <v/>
      </c>
      <c r="I216" s="2"/>
    </row>
    <row r="217" spans="1:9" x14ac:dyDescent="0.25">
      <c r="B217" s="38" t="str">
        <f>IF($A217=0,"",VLOOKUP($A217,'BASE EQUIPO'!$A:$D,2))</f>
        <v/>
      </c>
      <c r="C217" s="2"/>
      <c r="D217" s="84"/>
      <c r="E217" s="78" t="str">
        <f>IF($A217=0,"",VLOOKUP($A217,'BASE EQUIPO'!$A:$D,3))</f>
        <v/>
      </c>
      <c r="F217" s="55"/>
      <c r="G217" s="55" t="str">
        <f>IF($A217=0,"",VLOOKUP($A217,'BASE EQUIPO'!$A:$D,4)*H214)</f>
        <v/>
      </c>
      <c r="H217" s="56" t="str">
        <f>IF($A217=0,"",ROUND(F217*G217,2))</f>
        <v/>
      </c>
      <c r="I217" s="2"/>
    </row>
    <row r="218" spans="1:9" x14ac:dyDescent="0.25">
      <c r="B218" s="57" t="str">
        <f>IF($A218=0,"",VLOOKUP($A218,'BASE EQUIPO'!$A:$D,2))</f>
        <v/>
      </c>
      <c r="C218" s="58"/>
      <c r="D218" s="85"/>
      <c r="E218" s="86" t="str">
        <f>IF($A218=0,"",VLOOKUP($A218,'BASE EQUIPO'!$A:$D,3))</f>
        <v/>
      </c>
      <c r="F218" s="59"/>
      <c r="G218" s="59" t="str">
        <f>IF($A218=0,"",VLOOKUP($A218,'BASE EQUIPO'!$A:$D,4)*H215)</f>
        <v/>
      </c>
      <c r="H218" s="60" t="str">
        <f>IF($A218=0,"",ROUND(F218*G218,2))</f>
        <v/>
      </c>
      <c r="I218" s="2"/>
    </row>
    <row r="219" spans="1:9" ht="15.75" thickBot="1" x14ac:dyDescent="0.3">
      <c r="B219" s="87" t="s">
        <v>1674</v>
      </c>
      <c r="C219" s="88"/>
      <c r="D219" s="89"/>
      <c r="E219" s="89"/>
      <c r="F219" s="89"/>
      <c r="G219" s="89"/>
      <c r="H219" s="90">
        <f>ROUND(SUM(H215:H218),2)</f>
        <v>0</v>
      </c>
      <c r="I219" s="2"/>
    </row>
    <row r="220" spans="1:9" ht="15.75" x14ac:dyDescent="0.25">
      <c r="B220" s="2"/>
      <c r="C220" s="2"/>
      <c r="D220" s="91" t="s">
        <v>1673</v>
      </c>
      <c r="E220" s="47"/>
      <c r="F220" s="47"/>
      <c r="G220" s="47"/>
      <c r="H220" s="92">
        <f>ROUND(SUM(H219,H213,H194,H184),2)</f>
        <v>234.44</v>
      </c>
      <c r="I220" s="2"/>
    </row>
    <row r="221" spans="1:9" ht="15.75" x14ac:dyDescent="0.25">
      <c r="A221" s="103">
        <v>40002</v>
      </c>
      <c r="B221" s="2"/>
      <c r="C221" s="2"/>
      <c r="D221" s="93" t="s">
        <v>1672</v>
      </c>
      <c r="E221" s="65"/>
      <c r="F221" s="65"/>
      <c r="G221" s="94">
        <f>IF($A221=0,"",VLOOKUP($A221,'BASE MATERIAL'!$M:$P,4))</f>
        <v>0</v>
      </c>
      <c r="H221" s="95">
        <f>IF($A221=0,"",ROUND(G221*H220,2))</f>
        <v>0</v>
      </c>
      <c r="I221" s="2"/>
    </row>
    <row r="222" spans="1:9" ht="15.75" x14ac:dyDescent="0.25">
      <c r="A222" s="103">
        <v>40003</v>
      </c>
      <c r="B222" s="2"/>
      <c r="C222" s="2"/>
      <c r="D222" s="93" t="s">
        <v>1671</v>
      </c>
      <c r="E222" s="65"/>
      <c r="F222" s="65"/>
      <c r="G222" s="94">
        <f>IF($A222=0,"",VLOOKUP($A222,'BASE MATERIAL'!$M:$P,4))</f>
        <v>0</v>
      </c>
      <c r="H222" s="95">
        <f>IF($A222=0,"",ROUND(G222*H220,2))</f>
        <v>0</v>
      </c>
      <c r="I222" s="2"/>
    </row>
    <row r="223" spans="1:9" ht="15.75" x14ac:dyDescent="0.25">
      <c r="B223" s="2"/>
      <c r="C223" s="2"/>
      <c r="D223" s="93" t="s">
        <v>1670</v>
      </c>
      <c r="E223" s="65"/>
      <c r="F223" s="65"/>
      <c r="G223" s="65"/>
      <c r="H223" s="96">
        <f>ROUND(SUM(H220:H222),2)</f>
        <v>234.44</v>
      </c>
      <c r="I223" s="2"/>
    </row>
    <row r="224" spans="1:9" ht="16.5" thickBot="1" x14ac:dyDescent="0.3">
      <c r="B224" s="25"/>
      <c r="C224" s="2"/>
      <c r="D224" s="97" t="s">
        <v>1650</v>
      </c>
      <c r="E224" s="88"/>
      <c r="F224" s="88"/>
      <c r="G224" s="88"/>
      <c r="H224" s="98">
        <f>ROUND(H223,2)</f>
        <v>234.44</v>
      </c>
      <c r="I224" s="2"/>
    </row>
  </sheetData>
  <phoneticPr fontId="2" type="noConversion"/>
  <pageMargins left="0.75" right="0.75" top="1" bottom="1" header="0" footer="0"/>
  <pageSetup paperSize="9" scale="81" orientation="portrait" horizontalDpi="0" verticalDpi="0" r:id="rId1"/>
  <headerFooter alignWithMargins="0"/>
  <rowBreaks count="1" manualBreakCount="1">
    <brk id="56" min="1" max="7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73D04-AE71-4C9B-B631-0C5581A57BF6}">
  <sheetPr codeName="Hoja27"/>
  <dimension ref="A1:J2831"/>
  <sheetViews>
    <sheetView topLeftCell="A115" workbookViewId="0"/>
  </sheetViews>
  <sheetFormatPr baseColWidth="10" defaultColWidth="11.42578125" defaultRowHeight="12.75" x14ac:dyDescent="0.2"/>
  <cols>
    <col min="3" max="3" width="25.42578125" customWidth="1"/>
    <col min="4" max="8" width="13.42578125" customWidth="1"/>
  </cols>
  <sheetData>
    <row r="1" spans="2:8" ht="15.75" x14ac:dyDescent="0.2">
      <c r="B1" s="186" t="s">
        <v>1701</v>
      </c>
      <c r="C1" s="132"/>
      <c r="D1" s="187" t="s">
        <v>742</v>
      </c>
      <c r="E1" s="132"/>
      <c r="F1" s="132"/>
      <c r="G1" s="188"/>
      <c r="H1" s="132"/>
    </row>
    <row r="2" spans="2:8" ht="15.75" x14ac:dyDescent="0.2">
      <c r="B2" s="186" t="s">
        <v>1700</v>
      </c>
      <c r="C2" s="189" t="s">
        <v>963</v>
      </c>
      <c r="D2" s="188"/>
      <c r="E2" s="132"/>
      <c r="F2" s="132"/>
      <c r="G2" s="190"/>
      <c r="H2" s="191"/>
    </row>
    <row r="3" spans="2:8" ht="14.25" x14ac:dyDescent="0.2">
      <c r="B3" s="189"/>
      <c r="C3" s="189"/>
      <c r="D3" s="187"/>
      <c r="E3" s="189"/>
      <c r="F3" s="189"/>
      <c r="G3" s="189"/>
      <c r="H3" s="189"/>
    </row>
    <row r="4" spans="2:8" ht="15.75" x14ac:dyDescent="0.2">
      <c r="B4" s="186" t="s">
        <v>1697</v>
      </c>
      <c r="C4" s="189"/>
      <c r="D4" s="188"/>
      <c r="E4" s="132"/>
      <c r="F4" s="132"/>
      <c r="G4" s="132"/>
      <c r="H4" s="132"/>
    </row>
    <row r="5" spans="2:8" ht="15" x14ac:dyDescent="0.2">
      <c r="B5" s="192"/>
      <c r="C5" s="189"/>
      <c r="D5" s="187"/>
      <c r="E5" s="189"/>
      <c r="F5" s="189"/>
      <c r="G5" s="189"/>
      <c r="H5" s="189"/>
    </row>
    <row r="6" spans="2:8" ht="14.25" x14ac:dyDescent="0.2">
      <c r="B6" s="193" t="s">
        <v>594</v>
      </c>
      <c r="C6" s="194">
        <v>1</v>
      </c>
      <c r="D6" s="188"/>
      <c r="E6" s="188"/>
      <c r="F6" s="188"/>
      <c r="G6" s="195" t="s">
        <v>1696</v>
      </c>
      <c r="H6" s="189" t="s">
        <v>1708</v>
      </c>
    </row>
    <row r="7" spans="2:8" ht="14.25" x14ac:dyDescent="0.2">
      <c r="B7" s="196" t="s">
        <v>964</v>
      </c>
      <c r="C7" s="194" t="s">
        <v>241</v>
      </c>
      <c r="D7" s="188"/>
      <c r="E7" s="132"/>
      <c r="F7" s="132"/>
      <c r="G7" s="132"/>
      <c r="H7" s="132"/>
    </row>
    <row r="8" spans="2:8" ht="15" thickBot="1" x14ac:dyDescent="0.25">
      <c r="B8" s="187"/>
      <c r="C8" s="187"/>
      <c r="D8" s="187"/>
      <c r="E8" s="189"/>
      <c r="F8" s="189"/>
      <c r="G8" s="189"/>
      <c r="H8" s="189"/>
    </row>
    <row r="9" spans="2:8" ht="13.5" thickBot="1" x14ac:dyDescent="0.25">
      <c r="B9" s="264" t="s">
        <v>1695</v>
      </c>
      <c r="C9" s="265"/>
      <c r="D9" s="266"/>
      <c r="E9" s="265"/>
      <c r="F9" s="265"/>
      <c r="G9" s="265"/>
      <c r="H9" s="267"/>
    </row>
    <row r="10" spans="2:8" ht="25.5" x14ac:dyDescent="0.2">
      <c r="B10" s="197" t="s">
        <v>1409</v>
      </c>
      <c r="C10" s="268"/>
      <c r="D10" s="269" t="s">
        <v>966</v>
      </c>
      <c r="E10" s="270" t="s">
        <v>1694</v>
      </c>
      <c r="F10" s="270" t="s">
        <v>1693</v>
      </c>
      <c r="G10" s="201" t="s">
        <v>1687</v>
      </c>
      <c r="H10" s="271" t="s">
        <v>967</v>
      </c>
    </row>
    <row r="11" spans="2:8" x14ac:dyDescent="0.2">
      <c r="B11" s="208" t="s">
        <v>242</v>
      </c>
      <c r="C11" s="209"/>
      <c r="D11" s="210">
        <v>1</v>
      </c>
      <c r="E11" s="211">
        <v>2.5</v>
      </c>
      <c r="F11" s="211">
        <f>D11*E11</f>
        <v>2.5</v>
      </c>
      <c r="G11" s="212">
        <v>0.16</v>
      </c>
      <c r="H11" s="213">
        <v>0.4</v>
      </c>
    </row>
    <row r="12" spans="2:8" x14ac:dyDescent="0.2">
      <c r="B12" s="214" t="s">
        <v>1481</v>
      </c>
      <c r="C12" s="132"/>
      <c r="D12" s="215">
        <v>1</v>
      </c>
      <c r="E12" s="216">
        <v>27</v>
      </c>
      <c r="F12" s="216">
        <v>27</v>
      </c>
      <c r="G12" s="217">
        <v>0.12</v>
      </c>
      <c r="H12" s="218">
        <v>3.24</v>
      </c>
    </row>
    <row r="13" spans="2:8" x14ac:dyDescent="0.2">
      <c r="B13" s="219" t="s">
        <v>1682</v>
      </c>
      <c r="C13" s="220"/>
      <c r="D13" s="221"/>
      <c r="E13" s="222" t="s">
        <v>1682</v>
      </c>
      <c r="F13" s="222" t="s">
        <v>1682</v>
      </c>
      <c r="G13" s="223"/>
      <c r="H13" s="224" t="s">
        <v>1682</v>
      </c>
    </row>
    <row r="14" spans="2:8" x14ac:dyDescent="0.2">
      <c r="B14" s="219" t="s">
        <v>968</v>
      </c>
      <c r="C14" s="220"/>
      <c r="D14" s="225"/>
      <c r="E14" s="220"/>
      <c r="F14" s="220"/>
      <c r="G14" s="226"/>
      <c r="H14" s="224">
        <f>SUM(H11:H13)</f>
        <v>3.64</v>
      </c>
    </row>
    <row r="15" spans="2:8" x14ac:dyDescent="0.2">
      <c r="B15" s="227" t="s">
        <v>1503</v>
      </c>
      <c r="C15" s="132"/>
      <c r="D15" s="188"/>
      <c r="E15" s="132"/>
      <c r="F15" s="132"/>
      <c r="G15" s="228"/>
      <c r="H15" s="218"/>
    </row>
    <row r="16" spans="2:8" ht="25.5" x14ac:dyDescent="0.2">
      <c r="B16" s="229" t="s">
        <v>1691</v>
      </c>
      <c r="C16" s="230"/>
      <c r="D16" s="231" t="s">
        <v>969</v>
      </c>
      <c r="E16" s="232" t="s">
        <v>1689</v>
      </c>
      <c r="F16" s="232" t="s">
        <v>1688</v>
      </c>
      <c r="G16" s="233" t="s">
        <v>1687</v>
      </c>
      <c r="H16" s="234" t="s">
        <v>1686</v>
      </c>
    </row>
    <row r="17" spans="2:8" x14ac:dyDescent="0.2">
      <c r="B17" s="235" t="s">
        <v>243</v>
      </c>
      <c r="C17" s="132"/>
      <c r="D17" s="236">
        <v>1</v>
      </c>
      <c r="E17" s="237">
        <v>2.13</v>
      </c>
      <c r="F17" s="216">
        <f>D17*E17</f>
        <v>2.13</v>
      </c>
      <c r="G17" s="217">
        <v>1.27</v>
      </c>
      <c r="H17" s="218">
        <v>2.7</v>
      </c>
    </row>
    <row r="18" spans="2:8" x14ac:dyDescent="0.2">
      <c r="B18" s="235" t="s">
        <v>1488</v>
      </c>
      <c r="C18" s="132"/>
      <c r="D18" s="236">
        <v>1</v>
      </c>
      <c r="E18" s="237">
        <v>2.13</v>
      </c>
      <c r="F18" s="216">
        <f>D18*E18</f>
        <v>2.13</v>
      </c>
      <c r="G18" s="217">
        <v>0.98</v>
      </c>
      <c r="H18" s="218">
        <v>2.09</v>
      </c>
    </row>
    <row r="19" spans="2:8" x14ac:dyDescent="0.2">
      <c r="B19" s="235" t="s">
        <v>590</v>
      </c>
      <c r="C19" s="132"/>
      <c r="D19" s="236">
        <v>2</v>
      </c>
      <c r="E19" s="237">
        <v>2.13</v>
      </c>
      <c r="F19" s="216">
        <f>D19*E19</f>
        <v>4.26</v>
      </c>
      <c r="G19" s="217">
        <v>0.78</v>
      </c>
      <c r="H19" s="218">
        <v>3.33</v>
      </c>
    </row>
    <row r="20" spans="2:8" x14ac:dyDescent="0.2">
      <c r="B20" s="235"/>
      <c r="C20" s="132"/>
      <c r="D20" s="236"/>
      <c r="E20" s="237"/>
      <c r="F20" s="216"/>
      <c r="G20" s="217"/>
      <c r="H20" s="218"/>
    </row>
    <row r="21" spans="2:8" x14ac:dyDescent="0.2">
      <c r="B21" s="219" t="s">
        <v>1682</v>
      </c>
      <c r="C21" s="220"/>
      <c r="D21" s="221"/>
      <c r="E21" s="222" t="s">
        <v>1682</v>
      </c>
      <c r="F21" s="222" t="s">
        <v>1682</v>
      </c>
      <c r="G21" s="223"/>
      <c r="H21" s="224" t="s">
        <v>1682</v>
      </c>
    </row>
    <row r="22" spans="2:8" x14ac:dyDescent="0.2">
      <c r="B22" s="238" t="s">
        <v>1681</v>
      </c>
      <c r="C22" s="239"/>
      <c r="D22" s="240"/>
      <c r="E22" s="239"/>
      <c r="F22" s="239"/>
      <c r="G22" s="239"/>
      <c r="H22" s="241">
        <f>SUM(H17:H21)</f>
        <v>8.120000000000001</v>
      </c>
    </row>
    <row r="23" spans="2:8" x14ac:dyDescent="0.2">
      <c r="B23" s="227" t="s">
        <v>1684</v>
      </c>
      <c r="C23" s="132"/>
      <c r="D23" s="188"/>
      <c r="E23" s="132"/>
      <c r="F23" s="132"/>
      <c r="G23" s="132"/>
      <c r="H23" s="218"/>
    </row>
    <row r="24" spans="2:8" ht="25.5" x14ac:dyDescent="0.2">
      <c r="B24" s="229" t="s">
        <v>1409</v>
      </c>
      <c r="C24" s="242"/>
      <c r="D24" s="243"/>
      <c r="E24" s="232" t="s">
        <v>1408</v>
      </c>
      <c r="F24" s="231" t="s">
        <v>1679</v>
      </c>
      <c r="G24" s="232" t="s">
        <v>1683</v>
      </c>
      <c r="H24" s="234" t="s">
        <v>1675</v>
      </c>
    </row>
    <row r="25" spans="2:8" x14ac:dyDescent="0.2">
      <c r="B25" s="244" t="s">
        <v>244</v>
      </c>
      <c r="C25" s="132"/>
      <c r="D25" s="188"/>
      <c r="E25" s="215" t="s">
        <v>1506</v>
      </c>
      <c r="F25" s="215">
        <v>1.4E-2</v>
      </c>
      <c r="G25" s="216">
        <v>87.7</v>
      </c>
      <c r="H25" s="218">
        <v>1.23</v>
      </c>
    </row>
    <row r="26" spans="2:8" x14ac:dyDescent="0.2">
      <c r="B26" s="214" t="s">
        <v>245</v>
      </c>
      <c r="C26" s="132"/>
      <c r="D26" s="188"/>
      <c r="E26" s="215" t="s">
        <v>1506</v>
      </c>
      <c r="F26" s="215">
        <v>5.0000000000000001E-3</v>
      </c>
      <c r="G26" s="216">
        <v>66.53</v>
      </c>
      <c r="H26" s="218">
        <v>0.33</v>
      </c>
    </row>
    <row r="27" spans="2:8" x14ac:dyDescent="0.2">
      <c r="B27" s="214" t="s">
        <v>246</v>
      </c>
      <c r="C27" s="132"/>
      <c r="D27" s="188"/>
      <c r="E27" s="215" t="s">
        <v>1506</v>
      </c>
      <c r="F27" s="215">
        <v>5.0000000000000001E-3</v>
      </c>
      <c r="G27" s="216">
        <v>21.8</v>
      </c>
      <c r="H27" s="218">
        <v>0.11</v>
      </c>
    </row>
    <row r="28" spans="2:8" x14ac:dyDescent="0.2">
      <c r="B28" s="214" t="s">
        <v>247</v>
      </c>
      <c r="C28" s="132"/>
      <c r="D28" s="188"/>
      <c r="E28" s="215" t="s">
        <v>1506</v>
      </c>
      <c r="F28" s="215">
        <v>1.7999999999999999E-2</v>
      </c>
      <c r="G28" s="216">
        <v>310</v>
      </c>
      <c r="H28" s="218">
        <v>5.58</v>
      </c>
    </row>
    <row r="29" spans="2:8" x14ac:dyDescent="0.2">
      <c r="B29" s="214" t="s">
        <v>248</v>
      </c>
      <c r="C29" s="132"/>
      <c r="D29" s="188"/>
      <c r="E29" s="215" t="s">
        <v>1708</v>
      </c>
      <c r="F29" s="215">
        <v>1</v>
      </c>
      <c r="G29" s="216">
        <v>3.33</v>
      </c>
      <c r="H29" s="218">
        <v>3.33</v>
      </c>
    </row>
    <row r="30" spans="2:8" x14ac:dyDescent="0.2">
      <c r="B30" s="214" t="s">
        <v>249</v>
      </c>
      <c r="C30" s="132"/>
      <c r="D30" s="188"/>
      <c r="E30" s="215" t="s">
        <v>1708</v>
      </c>
      <c r="F30" s="215">
        <v>3</v>
      </c>
      <c r="G30" s="216">
        <v>7.1</v>
      </c>
      <c r="H30" s="218">
        <v>21.3</v>
      </c>
    </row>
    <row r="31" spans="2:8" x14ac:dyDescent="0.2">
      <c r="B31" s="214" t="s">
        <v>250</v>
      </c>
      <c r="C31" s="132"/>
      <c r="D31" s="188"/>
      <c r="E31" s="215" t="s">
        <v>1708</v>
      </c>
      <c r="F31" s="215">
        <v>1</v>
      </c>
      <c r="G31" s="216">
        <v>3.15</v>
      </c>
      <c r="H31" s="218">
        <v>3.15</v>
      </c>
    </row>
    <row r="32" spans="2:8" x14ac:dyDescent="0.2">
      <c r="B32" s="214" t="s">
        <v>251</v>
      </c>
      <c r="C32" s="132"/>
      <c r="D32" s="188"/>
      <c r="E32" s="215" t="s">
        <v>1506</v>
      </c>
      <c r="F32" s="215">
        <v>1.4E-2</v>
      </c>
      <c r="G32" s="216">
        <v>70</v>
      </c>
      <c r="H32" s="218">
        <v>0.98</v>
      </c>
    </row>
    <row r="33" spans="2:8" x14ac:dyDescent="0.2">
      <c r="B33" s="214" t="s">
        <v>252</v>
      </c>
      <c r="C33" s="132"/>
      <c r="D33" s="188"/>
      <c r="E33" s="215" t="s">
        <v>934</v>
      </c>
      <c r="F33" s="215">
        <v>1.2E-2</v>
      </c>
      <c r="G33" s="216">
        <v>5.95</v>
      </c>
      <c r="H33" s="218">
        <v>7.0000000000000007E-2</v>
      </c>
    </row>
    <row r="34" spans="2:8" x14ac:dyDescent="0.2">
      <c r="B34" s="214" t="s">
        <v>253</v>
      </c>
      <c r="C34" s="132"/>
      <c r="D34" s="188"/>
      <c r="E34" s="215" t="s">
        <v>934</v>
      </c>
      <c r="F34" s="215">
        <v>1.2E-2</v>
      </c>
      <c r="G34" s="216">
        <v>4.05</v>
      </c>
      <c r="H34" s="218">
        <v>0.05</v>
      </c>
    </row>
    <row r="35" spans="2:8" x14ac:dyDescent="0.2">
      <c r="B35" s="214" t="s">
        <v>254</v>
      </c>
      <c r="C35" s="132"/>
      <c r="D35" s="188"/>
      <c r="E35" s="215" t="s">
        <v>1506</v>
      </c>
      <c r="F35" s="215">
        <v>1.4E-2</v>
      </c>
      <c r="G35" s="216">
        <v>79</v>
      </c>
      <c r="H35" s="218">
        <v>1.1100000000000001</v>
      </c>
    </row>
    <row r="36" spans="2:8" x14ac:dyDescent="0.2">
      <c r="B36" s="214" t="s">
        <v>255</v>
      </c>
      <c r="C36" s="132"/>
      <c r="D36" s="188"/>
      <c r="E36" s="215" t="s">
        <v>1506</v>
      </c>
      <c r="F36" s="215">
        <v>1.4E-2</v>
      </c>
      <c r="G36" s="216">
        <v>31</v>
      </c>
      <c r="H36" s="218">
        <v>0.43</v>
      </c>
    </row>
    <row r="37" spans="2:8" x14ac:dyDescent="0.2">
      <c r="B37" s="214" t="s">
        <v>256</v>
      </c>
      <c r="C37" s="132"/>
      <c r="D37" s="188"/>
      <c r="E37" s="215" t="s">
        <v>1506</v>
      </c>
      <c r="F37" s="215">
        <v>1.4E-2</v>
      </c>
      <c r="G37" s="216">
        <v>64</v>
      </c>
      <c r="H37" s="218">
        <v>0.9</v>
      </c>
    </row>
    <row r="38" spans="2:8" x14ac:dyDescent="0.2">
      <c r="B38" s="214" t="s">
        <v>257</v>
      </c>
      <c r="C38" s="132"/>
      <c r="D38" s="188"/>
      <c r="E38" s="215" t="s">
        <v>1506</v>
      </c>
      <c r="F38" s="215">
        <v>1.4E-2</v>
      </c>
      <c r="G38" s="216">
        <v>76</v>
      </c>
      <c r="H38" s="218">
        <v>1.06</v>
      </c>
    </row>
    <row r="39" spans="2:8" x14ac:dyDescent="0.2">
      <c r="B39" s="214" t="s">
        <v>1378</v>
      </c>
      <c r="C39" s="132"/>
      <c r="D39" s="188"/>
      <c r="E39" s="215" t="s">
        <v>1521</v>
      </c>
      <c r="F39" s="215">
        <v>0.16</v>
      </c>
      <c r="G39" s="216">
        <v>11.2</v>
      </c>
      <c r="H39" s="218">
        <v>1.79</v>
      </c>
    </row>
    <row r="40" spans="2:8" x14ac:dyDescent="0.2">
      <c r="B40" s="214" t="s">
        <v>1385</v>
      </c>
      <c r="C40" s="132"/>
      <c r="D40" s="245" t="s">
        <v>1682</v>
      </c>
      <c r="E40" s="215" t="s">
        <v>258</v>
      </c>
      <c r="F40" s="215">
        <v>0.25</v>
      </c>
      <c r="G40" s="216">
        <v>6.3</v>
      </c>
      <c r="H40" s="218">
        <v>1.57</v>
      </c>
    </row>
    <row r="41" spans="2:8" x14ac:dyDescent="0.2">
      <c r="B41" s="214"/>
      <c r="C41" s="132"/>
      <c r="D41" s="245"/>
      <c r="E41" s="215"/>
      <c r="F41" s="215"/>
      <c r="G41" s="216"/>
      <c r="H41" s="218"/>
    </row>
    <row r="42" spans="2:8" x14ac:dyDescent="0.2">
      <c r="B42" s="238" t="s">
        <v>1692</v>
      </c>
      <c r="C42" s="239"/>
      <c r="D42" s="240"/>
      <c r="E42" s="240"/>
      <c r="F42" s="240"/>
      <c r="G42" s="239"/>
      <c r="H42" s="241">
        <f>SUM(H25:H41)</f>
        <v>42.989999999999995</v>
      </c>
    </row>
    <row r="43" spans="2:8" x14ac:dyDescent="0.2">
      <c r="B43" s="227" t="s">
        <v>1680</v>
      </c>
      <c r="C43" s="132"/>
      <c r="D43" s="188"/>
      <c r="E43" s="132"/>
      <c r="F43" s="188"/>
      <c r="G43" s="132"/>
      <c r="H43" s="218"/>
    </row>
    <row r="44" spans="2:8" ht="25.5" x14ac:dyDescent="0.2">
      <c r="B44" s="229" t="s">
        <v>1409</v>
      </c>
      <c r="C44" s="242"/>
      <c r="D44" s="243"/>
      <c r="E44" s="232" t="s">
        <v>1408</v>
      </c>
      <c r="F44" s="231" t="s">
        <v>1679</v>
      </c>
      <c r="G44" s="232" t="s">
        <v>1676</v>
      </c>
      <c r="H44" s="234" t="s">
        <v>1675</v>
      </c>
    </row>
    <row r="45" spans="2:8" x14ac:dyDescent="0.2">
      <c r="B45" s="208" t="s">
        <v>975</v>
      </c>
      <c r="C45" s="209"/>
      <c r="D45" s="246"/>
      <c r="E45" s="215" t="s">
        <v>976</v>
      </c>
      <c r="F45" s="215">
        <v>0.2</v>
      </c>
      <c r="G45" s="247">
        <v>5</v>
      </c>
      <c r="H45" s="218">
        <v>1</v>
      </c>
    </row>
    <row r="46" spans="2:8" x14ac:dyDescent="0.2">
      <c r="B46" s="214"/>
      <c r="C46" s="132"/>
      <c r="D46" s="248"/>
      <c r="E46" s="215"/>
      <c r="F46" s="215"/>
      <c r="G46" s="247"/>
      <c r="H46" s="218"/>
    </row>
    <row r="47" spans="2:8" x14ac:dyDescent="0.2">
      <c r="B47" s="219" t="s">
        <v>1682</v>
      </c>
      <c r="C47" s="220"/>
      <c r="D47" s="249"/>
      <c r="E47" s="221" t="s">
        <v>1682</v>
      </c>
      <c r="F47" s="221"/>
      <c r="G47" s="222" t="s">
        <v>1682</v>
      </c>
      <c r="H47" s="224" t="s">
        <v>1682</v>
      </c>
    </row>
    <row r="48" spans="2:8" ht="13.5" thickBot="1" x14ac:dyDescent="0.25">
      <c r="B48" s="250" t="s">
        <v>977</v>
      </c>
      <c r="C48" s="251"/>
      <c r="D48" s="252"/>
      <c r="E48" s="252"/>
      <c r="F48" s="252"/>
      <c r="G48" s="251"/>
      <c r="H48" s="253">
        <f>SUM(H45:H47)</f>
        <v>1</v>
      </c>
    </row>
    <row r="49" spans="2:8" x14ac:dyDescent="0.2">
      <c r="B49" s="132"/>
      <c r="C49" s="132"/>
      <c r="D49" s="254"/>
      <c r="E49" s="198"/>
      <c r="F49" s="198"/>
      <c r="G49" s="255" t="s">
        <v>978</v>
      </c>
      <c r="H49" s="256">
        <f>H14+H22+H42+H48</f>
        <v>55.75</v>
      </c>
    </row>
    <row r="50" spans="2:8" x14ac:dyDescent="0.2">
      <c r="B50" s="132"/>
      <c r="C50" s="132"/>
      <c r="D50" s="257"/>
      <c r="E50" s="239"/>
      <c r="F50" s="239"/>
      <c r="G50" s="258" t="s">
        <v>979</v>
      </c>
      <c r="H50" s="241"/>
    </row>
    <row r="51" spans="2:8" x14ac:dyDescent="0.2">
      <c r="B51" s="132"/>
      <c r="C51" s="132"/>
      <c r="D51" s="257"/>
      <c r="E51" s="239"/>
      <c r="F51" s="239"/>
      <c r="G51" s="258" t="s">
        <v>980</v>
      </c>
      <c r="H51" s="241"/>
    </row>
    <row r="52" spans="2:8" x14ac:dyDescent="0.2">
      <c r="B52" s="132"/>
      <c r="C52" s="132"/>
      <c r="D52" s="257"/>
      <c r="E52" s="239"/>
      <c r="F52" s="239"/>
      <c r="G52" s="259" t="s">
        <v>1670</v>
      </c>
      <c r="H52" s="260"/>
    </row>
    <row r="53" spans="2:8" ht="13.5" thickBot="1" x14ac:dyDescent="0.25">
      <c r="B53" s="193"/>
      <c r="C53" s="132"/>
      <c r="D53" s="261"/>
      <c r="E53" s="251"/>
      <c r="F53" s="251"/>
      <c r="G53" s="262" t="s">
        <v>1650</v>
      </c>
      <c r="H53" s="263"/>
    </row>
    <row r="54" spans="2:8" ht="15.75" x14ac:dyDescent="0.2">
      <c r="B54" s="186" t="s">
        <v>1701</v>
      </c>
      <c r="C54" s="132"/>
      <c r="D54" s="187" t="s">
        <v>742</v>
      </c>
      <c r="E54" s="132"/>
      <c r="F54" s="132"/>
      <c r="G54" s="188"/>
      <c r="H54" s="132"/>
    </row>
    <row r="55" spans="2:8" ht="15.75" x14ac:dyDescent="0.2">
      <c r="B55" s="186" t="s">
        <v>1700</v>
      </c>
      <c r="C55" s="189" t="s">
        <v>963</v>
      </c>
      <c r="D55" s="188"/>
      <c r="E55" s="132"/>
      <c r="F55" s="132"/>
      <c r="G55" s="190"/>
      <c r="H55" s="191"/>
    </row>
    <row r="56" spans="2:8" ht="14.25" x14ac:dyDescent="0.2">
      <c r="B56" s="189"/>
      <c r="C56" s="189"/>
      <c r="D56" s="187"/>
      <c r="E56" s="189"/>
      <c r="F56" s="189"/>
      <c r="G56" s="189"/>
      <c r="H56" s="189"/>
    </row>
    <row r="57" spans="2:8" ht="15.75" x14ac:dyDescent="0.2">
      <c r="B57" s="186" t="s">
        <v>1697</v>
      </c>
      <c r="C57" s="189"/>
      <c r="D57" s="188"/>
      <c r="E57" s="132"/>
      <c r="F57" s="132"/>
      <c r="G57" s="132"/>
      <c r="H57" s="132"/>
    </row>
    <row r="58" spans="2:8" ht="15" x14ac:dyDescent="0.2">
      <c r="B58" s="192"/>
      <c r="C58" s="189"/>
      <c r="D58" s="187"/>
      <c r="E58" s="189"/>
      <c r="F58" s="189"/>
      <c r="G58" s="189"/>
      <c r="H58" s="189"/>
    </row>
    <row r="59" spans="2:8" ht="14.25" x14ac:dyDescent="0.2">
      <c r="B59" s="193" t="s">
        <v>594</v>
      </c>
      <c r="C59" s="194">
        <v>2</v>
      </c>
      <c r="D59" s="188"/>
      <c r="E59" s="188"/>
      <c r="F59" s="188"/>
      <c r="G59" s="195" t="s">
        <v>1696</v>
      </c>
      <c r="H59" s="189" t="s">
        <v>1506</v>
      </c>
    </row>
    <row r="60" spans="2:8" ht="14.25" x14ac:dyDescent="0.2">
      <c r="B60" s="196" t="s">
        <v>964</v>
      </c>
      <c r="C60" s="194" t="s">
        <v>259</v>
      </c>
      <c r="D60" s="188"/>
      <c r="E60" s="132"/>
      <c r="F60" s="132"/>
      <c r="G60" s="132"/>
      <c r="H60" s="132"/>
    </row>
    <row r="61" spans="2:8" ht="15" thickBot="1" x14ac:dyDescent="0.25">
      <c r="B61" s="187"/>
      <c r="C61" s="187"/>
      <c r="D61" s="187"/>
      <c r="E61" s="189"/>
      <c r="F61" s="189"/>
      <c r="G61" s="189"/>
      <c r="H61" s="189"/>
    </row>
    <row r="62" spans="2:8" ht="13.5" thickBot="1" x14ac:dyDescent="0.25">
      <c r="B62" s="264" t="s">
        <v>1695</v>
      </c>
      <c r="C62" s="265"/>
      <c r="D62" s="266"/>
      <c r="E62" s="265"/>
      <c r="F62" s="265"/>
      <c r="G62" s="265"/>
      <c r="H62" s="267"/>
    </row>
    <row r="63" spans="2:8" ht="25.5" x14ac:dyDescent="0.2">
      <c r="B63" s="197" t="s">
        <v>1409</v>
      </c>
      <c r="C63" s="268"/>
      <c r="D63" s="269" t="s">
        <v>966</v>
      </c>
      <c r="E63" s="270" t="s">
        <v>1694</v>
      </c>
      <c r="F63" s="270" t="s">
        <v>1693</v>
      </c>
      <c r="G63" s="201" t="s">
        <v>1687</v>
      </c>
      <c r="H63" s="271" t="s">
        <v>967</v>
      </c>
    </row>
    <row r="64" spans="2:8" x14ac:dyDescent="0.2">
      <c r="B64" s="208" t="s">
        <v>242</v>
      </c>
      <c r="C64" s="209"/>
      <c r="D64" s="210">
        <v>1</v>
      </c>
      <c r="E64" s="211">
        <v>2.5</v>
      </c>
      <c r="F64" s="211">
        <f>D64*E64</f>
        <v>2.5</v>
      </c>
      <c r="G64" s="212">
        <v>3</v>
      </c>
      <c r="H64" s="213">
        <f>F64*G64</f>
        <v>7.5</v>
      </c>
    </row>
    <row r="65" spans="2:8" x14ac:dyDescent="0.2">
      <c r="B65" s="214" t="s">
        <v>1682</v>
      </c>
      <c r="C65" s="132"/>
      <c r="D65" s="215"/>
      <c r="E65" s="216" t="s">
        <v>1682</v>
      </c>
      <c r="F65" s="216" t="s">
        <v>1682</v>
      </c>
      <c r="G65" s="217"/>
      <c r="H65" s="218" t="s">
        <v>1682</v>
      </c>
    </row>
    <row r="66" spans="2:8" x14ac:dyDescent="0.2">
      <c r="B66" s="219" t="s">
        <v>1682</v>
      </c>
      <c r="C66" s="220"/>
      <c r="D66" s="221"/>
      <c r="E66" s="222" t="s">
        <v>1682</v>
      </c>
      <c r="F66" s="222" t="s">
        <v>1682</v>
      </c>
      <c r="G66" s="223"/>
      <c r="H66" s="224" t="s">
        <v>1682</v>
      </c>
    </row>
    <row r="67" spans="2:8" x14ac:dyDescent="0.2">
      <c r="B67" s="219" t="s">
        <v>968</v>
      </c>
      <c r="C67" s="220"/>
      <c r="D67" s="225"/>
      <c r="E67" s="220"/>
      <c r="F67" s="220"/>
      <c r="G67" s="226"/>
      <c r="H67" s="224">
        <f>SUM(H64:H66)</f>
        <v>7.5</v>
      </c>
    </row>
    <row r="68" spans="2:8" x14ac:dyDescent="0.2">
      <c r="B68" s="227" t="s">
        <v>1503</v>
      </c>
      <c r="C68" s="132"/>
      <c r="D68" s="188"/>
      <c r="E68" s="132"/>
      <c r="F68" s="132"/>
      <c r="G68" s="228"/>
      <c r="H68" s="218"/>
    </row>
    <row r="69" spans="2:8" ht="25.5" x14ac:dyDescent="0.2">
      <c r="B69" s="229" t="s">
        <v>1691</v>
      </c>
      <c r="C69" s="230"/>
      <c r="D69" s="231" t="s">
        <v>969</v>
      </c>
      <c r="E69" s="232" t="s">
        <v>1689</v>
      </c>
      <c r="F69" s="232" t="s">
        <v>1688</v>
      </c>
      <c r="G69" s="233" t="s">
        <v>1687</v>
      </c>
      <c r="H69" s="234" t="s">
        <v>1686</v>
      </c>
    </row>
    <row r="70" spans="2:8" x14ac:dyDescent="0.2">
      <c r="B70" s="235" t="s">
        <v>243</v>
      </c>
      <c r="C70" s="132"/>
      <c r="D70" s="236">
        <v>1</v>
      </c>
      <c r="E70" s="237">
        <v>2.13</v>
      </c>
      <c r="F70" s="216">
        <f>D70*E70</f>
        <v>2.13</v>
      </c>
      <c r="G70" s="217">
        <v>42.91</v>
      </c>
      <c r="H70" s="218">
        <f>F70*G70</f>
        <v>91.398299999999992</v>
      </c>
    </row>
    <row r="71" spans="2:8" x14ac:dyDescent="0.2">
      <c r="B71" s="235" t="s">
        <v>1488</v>
      </c>
      <c r="C71" s="132"/>
      <c r="D71" s="236">
        <v>1</v>
      </c>
      <c r="E71" s="237">
        <v>2.13</v>
      </c>
      <c r="F71" s="216">
        <f>D71*E71</f>
        <v>2.13</v>
      </c>
      <c r="G71" s="217">
        <v>29.7</v>
      </c>
      <c r="H71" s="218">
        <f>F71*G71</f>
        <v>63.260999999999996</v>
      </c>
    </row>
    <row r="72" spans="2:8" x14ac:dyDescent="0.2">
      <c r="B72" s="235" t="s">
        <v>590</v>
      </c>
      <c r="C72" s="132"/>
      <c r="D72" s="236">
        <v>2</v>
      </c>
      <c r="E72" s="237">
        <v>2.13</v>
      </c>
      <c r="F72" s="216">
        <f>D72*E72</f>
        <v>4.26</v>
      </c>
      <c r="G72" s="217">
        <v>12.11</v>
      </c>
      <c r="H72" s="218">
        <v>51.58</v>
      </c>
    </row>
    <row r="73" spans="2:8" x14ac:dyDescent="0.2">
      <c r="B73" s="235"/>
      <c r="C73" s="132"/>
      <c r="D73" s="236"/>
      <c r="E73" s="237"/>
      <c r="F73" s="216"/>
      <c r="G73" s="217"/>
      <c r="H73" s="218"/>
    </row>
    <row r="74" spans="2:8" x14ac:dyDescent="0.2">
      <c r="B74" s="219" t="s">
        <v>1682</v>
      </c>
      <c r="C74" s="220"/>
      <c r="D74" s="221"/>
      <c r="E74" s="222" t="s">
        <v>1682</v>
      </c>
      <c r="F74" s="222" t="s">
        <v>1682</v>
      </c>
      <c r="G74" s="223"/>
      <c r="H74" s="224" t="s">
        <v>1682</v>
      </c>
    </row>
    <row r="75" spans="2:8" x14ac:dyDescent="0.2">
      <c r="B75" s="238" t="s">
        <v>1681</v>
      </c>
      <c r="C75" s="239"/>
      <c r="D75" s="240"/>
      <c r="E75" s="239"/>
      <c r="F75" s="239"/>
      <c r="G75" s="239"/>
      <c r="H75" s="241">
        <f>SUM(H70:H74)</f>
        <v>206.23929999999996</v>
      </c>
    </row>
    <row r="76" spans="2:8" x14ac:dyDescent="0.2">
      <c r="B76" s="227" t="s">
        <v>1684</v>
      </c>
      <c r="C76" s="132"/>
      <c r="D76" s="188"/>
      <c r="E76" s="132"/>
      <c r="F76" s="132"/>
      <c r="G76" s="132"/>
      <c r="H76" s="218"/>
    </row>
    <row r="77" spans="2:8" ht="25.5" x14ac:dyDescent="0.2">
      <c r="B77" s="229" t="s">
        <v>1409</v>
      </c>
      <c r="C77" s="242"/>
      <c r="D77" s="243"/>
      <c r="E77" s="232" t="s">
        <v>1408</v>
      </c>
      <c r="F77" s="232" t="s">
        <v>1679</v>
      </c>
      <c r="G77" s="232" t="s">
        <v>1683</v>
      </c>
      <c r="H77" s="234" t="s">
        <v>1675</v>
      </c>
    </row>
    <row r="78" spans="2:8" x14ac:dyDescent="0.2">
      <c r="B78" s="208" t="s">
        <v>260</v>
      </c>
      <c r="C78" s="132"/>
      <c r="D78" s="188"/>
      <c r="E78" s="215"/>
      <c r="F78" s="215"/>
      <c r="G78" s="216"/>
      <c r="H78" s="218"/>
    </row>
    <row r="79" spans="2:8" x14ac:dyDescent="0.2">
      <c r="B79" s="214" t="s">
        <v>261</v>
      </c>
      <c r="C79" s="132"/>
      <c r="D79" s="188"/>
      <c r="E79" s="215" t="s">
        <v>1506</v>
      </c>
      <c r="F79" s="215">
        <v>1</v>
      </c>
      <c r="G79" s="216">
        <v>14367.13</v>
      </c>
      <c r="H79" s="218">
        <f>F79*G79</f>
        <v>14367.13</v>
      </c>
    </row>
    <row r="80" spans="2:8" x14ac:dyDescent="0.2">
      <c r="B80" s="214" t="s">
        <v>262</v>
      </c>
      <c r="C80" s="132"/>
      <c r="D80" s="188"/>
      <c r="E80" s="215" t="s">
        <v>1506</v>
      </c>
      <c r="F80" s="215">
        <v>1</v>
      </c>
      <c r="G80" s="216">
        <v>500</v>
      </c>
      <c r="H80" s="218">
        <f>F80*G80</f>
        <v>500</v>
      </c>
    </row>
    <row r="81" spans="2:8" x14ac:dyDescent="0.2">
      <c r="B81" s="214"/>
      <c r="C81" s="132"/>
      <c r="D81" s="188"/>
      <c r="E81" s="215" t="s">
        <v>1682</v>
      </c>
      <c r="F81" s="215"/>
      <c r="G81" s="216" t="s">
        <v>1682</v>
      </c>
      <c r="H81" s="218" t="s">
        <v>1682</v>
      </c>
    </row>
    <row r="82" spans="2:8" x14ac:dyDescent="0.2">
      <c r="B82" s="214" t="s">
        <v>1682</v>
      </c>
      <c r="C82" s="132"/>
      <c r="D82" s="245" t="s">
        <v>1682</v>
      </c>
      <c r="E82" s="272" t="s">
        <v>1682</v>
      </c>
      <c r="F82" s="215" t="s">
        <v>1682</v>
      </c>
      <c r="G82" s="216" t="s">
        <v>1682</v>
      </c>
      <c r="H82" s="218" t="s">
        <v>1682</v>
      </c>
    </row>
    <row r="83" spans="2:8" x14ac:dyDescent="0.2">
      <c r="B83" s="238" t="s">
        <v>1692</v>
      </c>
      <c r="C83" s="239"/>
      <c r="D83" s="240"/>
      <c r="E83" s="240"/>
      <c r="F83" s="273"/>
      <c r="G83" s="239"/>
      <c r="H83" s="241">
        <f>SUM(H78:H82)</f>
        <v>14867.13</v>
      </c>
    </row>
    <row r="84" spans="2:8" x14ac:dyDescent="0.2">
      <c r="B84" s="227" t="s">
        <v>1680</v>
      </c>
      <c r="C84" s="132"/>
      <c r="D84" s="188"/>
      <c r="E84" s="132"/>
      <c r="F84" s="245"/>
      <c r="G84" s="132"/>
      <c r="H84" s="218"/>
    </row>
    <row r="85" spans="2:8" ht="25.5" x14ac:dyDescent="0.2">
      <c r="B85" s="229" t="s">
        <v>1409</v>
      </c>
      <c r="C85" s="242"/>
      <c r="D85" s="243"/>
      <c r="E85" s="232" t="s">
        <v>1408</v>
      </c>
      <c r="F85" s="231" t="s">
        <v>1679</v>
      </c>
      <c r="G85" s="232" t="s">
        <v>1676</v>
      </c>
      <c r="H85" s="234" t="s">
        <v>1675</v>
      </c>
    </row>
    <row r="86" spans="2:8" x14ac:dyDescent="0.2">
      <c r="B86" s="208" t="s">
        <v>263</v>
      </c>
      <c r="C86" s="209"/>
      <c r="D86" s="246"/>
      <c r="E86" s="215" t="s">
        <v>976</v>
      </c>
      <c r="F86" s="215">
        <v>4</v>
      </c>
      <c r="G86" s="247">
        <v>15</v>
      </c>
      <c r="H86" s="218">
        <f>F86*G86</f>
        <v>60</v>
      </c>
    </row>
    <row r="87" spans="2:8" x14ac:dyDescent="0.2">
      <c r="B87" s="214"/>
      <c r="C87" s="132"/>
      <c r="D87" s="248"/>
      <c r="E87" s="215"/>
      <c r="F87" s="215"/>
      <c r="G87" s="247"/>
      <c r="H87" s="218"/>
    </row>
    <row r="88" spans="2:8" x14ac:dyDescent="0.2">
      <c r="B88" s="219" t="s">
        <v>1682</v>
      </c>
      <c r="C88" s="220"/>
      <c r="D88" s="249"/>
      <c r="E88" s="221" t="s">
        <v>1682</v>
      </c>
      <c r="F88" s="221"/>
      <c r="G88" s="222" t="s">
        <v>1682</v>
      </c>
      <c r="H88" s="224" t="s">
        <v>1682</v>
      </c>
    </row>
    <row r="89" spans="2:8" ht="13.5" thickBot="1" x14ac:dyDescent="0.25">
      <c r="B89" s="250" t="s">
        <v>977</v>
      </c>
      <c r="C89" s="251"/>
      <c r="D89" s="252"/>
      <c r="E89" s="252"/>
      <c r="F89" s="274"/>
      <c r="G89" s="251"/>
      <c r="H89" s="253">
        <f>SUM(H86:H88)</f>
        <v>60</v>
      </c>
    </row>
    <row r="90" spans="2:8" x14ac:dyDescent="0.2">
      <c r="B90" s="132"/>
      <c r="C90" s="132"/>
      <c r="D90" s="254"/>
      <c r="E90" s="198"/>
      <c r="F90" s="198"/>
      <c r="G90" s="255" t="s">
        <v>978</v>
      </c>
      <c r="H90" s="256">
        <f>H67+H75+H83+H89</f>
        <v>15140.869299999998</v>
      </c>
    </row>
    <row r="91" spans="2:8" x14ac:dyDescent="0.2">
      <c r="B91" s="132"/>
      <c r="C91" s="132"/>
      <c r="D91" s="257"/>
      <c r="E91" s="239"/>
      <c r="F91" s="239"/>
      <c r="G91" s="258" t="s">
        <v>979</v>
      </c>
      <c r="H91" s="241"/>
    </row>
    <row r="92" spans="2:8" x14ac:dyDescent="0.2">
      <c r="B92" s="132"/>
      <c r="C92" s="132"/>
      <c r="D92" s="257"/>
      <c r="E92" s="239"/>
      <c r="F92" s="239"/>
      <c r="G92" s="258" t="s">
        <v>980</v>
      </c>
      <c r="H92" s="241"/>
    </row>
    <row r="93" spans="2:8" x14ac:dyDescent="0.2">
      <c r="B93" s="132"/>
      <c r="C93" s="132"/>
      <c r="D93" s="257"/>
      <c r="E93" s="239"/>
      <c r="F93" s="239"/>
      <c r="G93" s="259" t="s">
        <v>1670</v>
      </c>
      <c r="H93" s="260"/>
    </row>
    <row r="94" spans="2:8" ht="13.5" thickBot="1" x14ac:dyDescent="0.25">
      <c r="B94" s="193"/>
      <c r="C94" s="132"/>
      <c r="D94" s="261"/>
      <c r="E94" s="251"/>
      <c r="F94" s="251"/>
      <c r="G94" s="262" t="s">
        <v>1650</v>
      </c>
      <c r="H94" s="263"/>
    </row>
    <row r="95" spans="2:8" ht="15.75" x14ac:dyDescent="0.2">
      <c r="B95" s="186" t="s">
        <v>1701</v>
      </c>
      <c r="C95" s="132"/>
      <c r="D95" s="189" t="s">
        <v>742</v>
      </c>
      <c r="E95" s="132"/>
      <c r="F95" s="132"/>
      <c r="G95" s="188"/>
      <c r="H95" s="132"/>
    </row>
    <row r="96" spans="2:8" ht="15.75" x14ac:dyDescent="0.2">
      <c r="B96" s="186" t="s">
        <v>1700</v>
      </c>
      <c r="C96" s="189" t="s">
        <v>963</v>
      </c>
      <c r="D96" s="132"/>
      <c r="E96" s="132"/>
      <c r="F96" s="132"/>
      <c r="G96" s="190"/>
      <c r="H96" s="191"/>
    </row>
    <row r="97" spans="2:8" ht="14.25" x14ac:dyDescent="0.2">
      <c r="B97" s="189"/>
      <c r="C97" s="189"/>
      <c r="D97" s="189"/>
      <c r="E97" s="189"/>
      <c r="F97" s="189"/>
      <c r="G97" s="189"/>
      <c r="H97" s="189"/>
    </row>
    <row r="98" spans="2:8" ht="15.75" x14ac:dyDescent="0.2">
      <c r="B98" s="186" t="s">
        <v>1697</v>
      </c>
      <c r="C98" s="189"/>
      <c r="D98" s="132"/>
      <c r="E98" s="132"/>
      <c r="F98" s="132"/>
      <c r="G98" s="132"/>
      <c r="H98" s="132"/>
    </row>
    <row r="99" spans="2:8" ht="15" x14ac:dyDescent="0.2">
      <c r="B99" s="192"/>
      <c r="C99" s="189"/>
      <c r="D99" s="189"/>
      <c r="E99" s="189"/>
      <c r="F99" s="189"/>
      <c r="G99" s="189"/>
      <c r="H99" s="189"/>
    </row>
    <row r="100" spans="2:8" ht="14.25" x14ac:dyDescent="0.2">
      <c r="B100" s="193" t="s">
        <v>594</v>
      </c>
      <c r="C100" s="194">
        <v>3</v>
      </c>
      <c r="D100" s="132"/>
      <c r="E100" s="188"/>
      <c r="F100" s="188"/>
      <c r="G100" s="195" t="s">
        <v>1696</v>
      </c>
      <c r="H100" s="189" t="s">
        <v>1708</v>
      </c>
    </row>
    <row r="101" spans="2:8" ht="14.25" x14ac:dyDescent="0.2">
      <c r="B101" s="196" t="s">
        <v>964</v>
      </c>
      <c r="C101" s="194" t="s">
        <v>264</v>
      </c>
      <c r="D101" s="132"/>
      <c r="E101" s="132"/>
      <c r="F101" s="132"/>
      <c r="G101" s="132"/>
      <c r="H101" s="132"/>
    </row>
    <row r="102" spans="2:8" ht="15" thickBot="1" x14ac:dyDescent="0.25">
      <c r="B102" s="187"/>
      <c r="C102" s="187"/>
      <c r="D102" s="189"/>
      <c r="E102" s="189"/>
      <c r="F102" s="189"/>
      <c r="G102" s="189"/>
      <c r="H102" s="189"/>
    </row>
    <row r="103" spans="2:8" ht="13.5" thickBot="1" x14ac:dyDescent="0.25">
      <c r="B103" s="264" t="s">
        <v>1695</v>
      </c>
      <c r="C103" s="265"/>
      <c r="D103" s="266"/>
      <c r="E103" s="265"/>
      <c r="F103" s="265"/>
      <c r="G103" s="265"/>
      <c r="H103" s="267"/>
    </row>
    <row r="104" spans="2:8" ht="25.5" x14ac:dyDescent="0.2">
      <c r="B104" s="197" t="s">
        <v>1409</v>
      </c>
      <c r="C104" s="268"/>
      <c r="D104" s="269" t="s">
        <v>966</v>
      </c>
      <c r="E104" s="270" t="s">
        <v>1694</v>
      </c>
      <c r="F104" s="270" t="s">
        <v>1693</v>
      </c>
      <c r="G104" s="201" t="s">
        <v>1687</v>
      </c>
      <c r="H104" s="271" t="s">
        <v>967</v>
      </c>
    </row>
    <row r="105" spans="2:8" x14ac:dyDescent="0.2">
      <c r="B105" s="208" t="s">
        <v>242</v>
      </c>
      <c r="C105" s="209"/>
      <c r="D105" s="210">
        <v>1</v>
      </c>
      <c r="E105" s="211">
        <v>2.5</v>
      </c>
      <c r="F105" s="211">
        <f>D105*E105</f>
        <v>2.5</v>
      </c>
      <c r="G105" s="212">
        <v>1.1200000000000001</v>
      </c>
      <c r="H105" s="213">
        <f>F105*G105</f>
        <v>2.8000000000000003</v>
      </c>
    </row>
    <row r="106" spans="2:8" x14ac:dyDescent="0.2">
      <c r="B106" s="214" t="s">
        <v>1682</v>
      </c>
      <c r="C106" s="132"/>
      <c r="D106" s="215"/>
      <c r="E106" s="216" t="s">
        <v>1682</v>
      </c>
      <c r="F106" s="216" t="s">
        <v>1682</v>
      </c>
      <c r="G106" s="217"/>
      <c r="H106" s="218" t="s">
        <v>1682</v>
      </c>
    </row>
    <row r="107" spans="2:8" x14ac:dyDescent="0.2">
      <c r="B107" s="219" t="s">
        <v>1682</v>
      </c>
      <c r="C107" s="220"/>
      <c r="D107" s="221"/>
      <c r="E107" s="222" t="s">
        <v>1682</v>
      </c>
      <c r="F107" s="222" t="s">
        <v>1682</v>
      </c>
      <c r="G107" s="223"/>
      <c r="H107" s="224" t="s">
        <v>1682</v>
      </c>
    </row>
    <row r="108" spans="2:8" x14ac:dyDescent="0.2">
      <c r="B108" s="219" t="s">
        <v>968</v>
      </c>
      <c r="C108" s="220"/>
      <c r="D108" s="225"/>
      <c r="E108" s="220"/>
      <c r="F108" s="220"/>
      <c r="G108" s="226"/>
      <c r="H108" s="224">
        <f>SUM(H105:H107)</f>
        <v>2.8000000000000003</v>
      </c>
    </row>
    <row r="109" spans="2:8" x14ac:dyDescent="0.2">
      <c r="B109" s="227" t="s">
        <v>1503</v>
      </c>
      <c r="C109" s="132"/>
      <c r="D109" s="188"/>
      <c r="E109" s="132"/>
      <c r="F109" s="132"/>
      <c r="G109" s="228"/>
      <c r="H109" s="218"/>
    </row>
    <row r="110" spans="2:8" ht="25.5" x14ac:dyDescent="0.2">
      <c r="B110" s="229" t="s">
        <v>1691</v>
      </c>
      <c r="C110" s="230"/>
      <c r="D110" s="231" t="s">
        <v>969</v>
      </c>
      <c r="E110" s="232" t="s">
        <v>1689</v>
      </c>
      <c r="F110" s="232" t="s">
        <v>1688</v>
      </c>
      <c r="G110" s="233" t="s">
        <v>1687</v>
      </c>
      <c r="H110" s="234" t="s">
        <v>1686</v>
      </c>
    </row>
    <row r="111" spans="2:8" x14ac:dyDescent="0.2">
      <c r="B111" s="235" t="s">
        <v>243</v>
      </c>
      <c r="C111" s="132"/>
      <c r="D111" s="236">
        <v>1</v>
      </c>
      <c r="E111" s="237">
        <v>2.13</v>
      </c>
      <c r="F111" s="216">
        <f>D111*E111</f>
        <v>2.13</v>
      </c>
      <c r="G111" s="217">
        <v>3.17</v>
      </c>
      <c r="H111" s="218">
        <f>F111*G111</f>
        <v>6.7520999999999995</v>
      </c>
    </row>
    <row r="112" spans="2:8" x14ac:dyDescent="0.2">
      <c r="B112" s="235" t="s">
        <v>1488</v>
      </c>
      <c r="C112" s="132"/>
      <c r="D112" s="236">
        <v>1</v>
      </c>
      <c r="E112" s="237">
        <v>2.13</v>
      </c>
      <c r="F112" s="216">
        <f>D112*E112</f>
        <v>2.13</v>
      </c>
      <c r="G112" s="217">
        <v>2.4500000000000002</v>
      </c>
      <c r="H112" s="218">
        <f>F112*G112</f>
        <v>5.2184999999999997</v>
      </c>
    </row>
    <row r="113" spans="2:8" x14ac:dyDescent="0.2">
      <c r="B113" s="235" t="s">
        <v>590</v>
      </c>
      <c r="C113" s="132"/>
      <c r="D113" s="236">
        <v>2</v>
      </c>
      <c r="E113" s="237">
        <v>2.13</v>
      </c>
      <c r="F113" s="216">
        <f>D113*E113</f>
        <v>4.26</v>
      </c>
      <c r="G113" s="217">
        <v>1.95</v>
      </c>
      <c r="H113" s="218">
        <f>F113*G113</f>
        <v>8.3069999999999986</v>
      </c>
    </row>
    <row r="114" spans="2:8" x14ac:dyDescent="0.2">
      <c r="B114" s="235"/>
      <c r="C114" s="132"/>
      <c r="D114" s="236"/>
      <c r="E114" s="237"/>
      <c r="F114" s="216"/>
      <c r="G114" s="217"/>
      <c r="H114" s="218"/>
    </row>
    <row r="115" spans="2:8" x14ac:dyDescent="0.2">
      <c r="B115" s="219" t="s">
        <v>1682</v>
      </c>
      <c r="C115" s="220"/>
      <c r="D115" s="221"/>
      <c r="E115" s="222" t="s">
        <v>1682</v>
      </c>
      <c r="F115" s="222" t="s">
        <v>1682</v>
      </c>
      <c r="G115" s="223"/>
      <c r="H115" s="224" t="s">
        <v>1682</v>
      </c>
    </row>
    <row r="116" spans="2:8" x14ac:dyDescent="0.2">
      <c r="B116" s="238" t="s">
        <v>1681</v>
      </c>
      <c r="C116" s="239"/>
      <c r="D116" s="240"/>
      <c r="E116" s="239"/>
      <c r="F116" s="239"/>
      <c r="G116" s="239"/>
      <c r="H116" s="241">
        <f>SUM(H111:H115)</f>
        <v>20.2776</v>
      </c>
    </row>
    <row r="117" spans="2:8" x14ac:dyDescent="0.2">
      <c r="B117" s="227" t="s">
        <v>1684</v>
      </c>
      <c r="C117" s="132"/>
      <c r="D117" s="188"/>
      <c r="E117" s="132"/>
      <c r="F117" s="132"/>
      <c r="G117" s="132"/>
      <c r="H117" s="218"/>
    </row>
    <row r="118" spans="2:8" ht="25.5" x14ac:dyDescent="0.2">
      <c r="B118" s="229" t="s">
        <v>1409</v>
      </c>
      <c r="C118" s="242"/>
      <c r="D118" s="243"/>
      <c r="E118" s="232" t="s">
        <v>1408</v>
      </c>
      <c r="F118" s="231" t="s">
        <v>1679</v>
      </c>
      <c r="G118" s="232" t="s">
        <v>1683</v>
      </c>
      <c r="H118" s="234" t="s">
        <v>1675</v>
      </c>
    </row>
    <row r="119" spans="2:8" x14ac:dyDescent="0.2">
      <c r="B119" s="244" t="s">
        <v>265</v>
      </c>
      <c r="C119" s="132"/>
      <c r="D119" s="188"/>
      <c r="E119" s="215" t="s">
        <v>1708</v>
      </c>
      <c r="F119" s="215">
        <v>9</v>
      </c>
      <c r="G119" s="216">
        <v>43.35</v>
      </c>
      <c r="H119" s="218">
        <f t="shared" ref="H119:H124" si="0">F119*G119</f>
        <v>390.15000000000003</v>
      </c>
    </row>
    <row r="120" spans="2:8" x14ac:dyDescent="0.2">
      <c r="B120" s="214" t="s">
        <v>266</v>
      </c>
      <c r="C120" s="132"/>
      <c r="D120" s="188"/>
      <c r="E120" s="215" t="s">
        <v>1708</v>
      </c>
      <c r="F120" s="215">
        <v>1</v>
      </c>
      <c r="G120" s="216">
        <v>4.4000000000000004</v>
      </c>
      <c r="H120" s="218">
        <f t="shared" si="0"/>
        <v>4.4000000000000004</v>
      </c>
    </row>
    <row r="121" spans="2:8" x14ac:dyDescent="0.2">
      <c r="B121" s="214" t="s">
        <v>267</v>
      </c>
      <c r="C121" s="132"/>
      <c r="D121" s="188"/>
      <c r="E121" s="215" t="s">
        <v>1506</v>
      </c>
      <c r="F121" s="215">
        <v>0.3</v>
      </c>
      <c r="G121" s="216">
        <v>1.91</v>
      </c>
      <c r="H121" s="218">
        <f t="shared" si="0"/>
        <v>0.57299999999999995</v>
      </c>
    </row>
    <row r="122" spans="2:8" x14ac:dyDescent="0.2">
      <c r="B122" s="214" t="s">
        <v>268</v>
      </c>
      <c r="C122" s="132"/>
      <c r="D122" s="188"/>
      <c r="E122" s="215" t="s">
        <v>1506</v>
      </c>
      <c r="F122" s="215">
        <v>0.1</v>
      </c>
      <c r="G122" s="216">
        <v>20.399999999999999</v>
      </c>
      <c r="H122" s="218">
        <f t="shared" si="0"/>
        <v>2.04</v>
      </c>
    </row>
    <row r="123" spans="2:8" x14ac:dyDescent="0.2">
      <c r="B123" s="214" t="s">
        <v>269</v>
      </c>
      <c r="C123" s="132"/>
      <c r="D123" s="188"/>
      <c r="E123" s="215" t="s">
        <v>1708</v>
      </c>
      <c r="F123" s="215">
        <v>3</v>
      </c>
      <c r="G123" s="216">
        <v>16.57</v>
      </c>
      <c r="H123" s="218">
        <f t="shared" si="0"/>
        <v>49.71</v>
      </c>
    </row>
    <row r="124" spans="2:8" x14ac:dyDescent="0.2">
      <c r="B124" s="214" t="s">
        <v>270</v>
      </c>
      <c r="C124" s="132"/>
      <c r="D124" s="188"/>
      <c r="E124" s="215" t="s">
        <v>1708</v>
      </c>
      <c r="F124" s="215">
        <v>3</v>
      </c>
      <c r="G124" s="216">
        <v>7.65</v>
      </c>
      <c r="H124" s="218">
        <f t="shared" si="0"/>
        <v>22.950000000000003</v>
      </c>
    </row>
    <row r="125" spans="2:8" x14ac:dyDescent="0.2">
      <c r="B125" s="214"/>
      <c r="C125" s="132"/>
      <c r="D125" s="188"/>
      <c r="E125" s="215"/>
      <c r="F125" s="215"/>
      <c r="G125" s="216"/>
      <c r="H125" s="218"/>
    </row>
    <row r="126" spans="2:8" x14ac:dyDescent="0.2">
      <c r="B126" s="214" t="s">
        <v>1682</v>
      </c>
      <c r="C126" s="132"/>
      <c r="D126" s="245" t="s">
        <v>1682</v>
      </c>
      <c r="E126" s="272" t="s">
        <v>1682</v>
      </c>
      <c r="F126" s="215" t="s">
        <v>1682</v>
      </c>
      <c r="G126" s="216" t="s">
        <v>1682</v>
      </c>
      <c r="H126" s="218" t="s">
        <v>1682</v>
      </c>
    </row>
    <row r="127" spans="2:8" x14ac:dyDescent="0.2">
      <c r="B127" s="238" t="s">
        <v>1692</v>
      </c>
      <c r="C127" s="239"/>
      <c r="D127" s="240"/>
      <c r="E127" s="240"/>
      <c r="F127" s="240"/>
      <c r="G127" s="239"/>
      <c r="H127" s="241">
        <f>SUM(H119:H126)</f>
        <v>469.82299999999998</v>
      </c>
    </row>
    <row r="128" spans="2:8" x14ac:dyDescent="0.2">
      <c r="B128" s="227" t="s">
        <v>1680</v>
      </c>
      <c r="C128" s="132"/>
      <c r="D128" s="188"/>
      <c r="E128" s="132"/>
      <c r="F128" s="188"/>
      <c r="G128" s="132"/>
      <c r="H128" s="218"/>
    </row>
    <row r="129" spans="2:8" ht="25.5" x14ac:dyDescent="0.2">
      <c r="B129" s="229" t="s">
        <v>1409</v>
      </c>
      <c r="C129" s="242"/>
      <c r="D129" s="243"/>
      <c r="E129" s="232" t="s">
        <v>1408</v>
      </c>
      <c r="F129" s="231" t="s">
        <v>1679</v>
      </c>
      <c r="G129" s="232" t="s">
        <v>1676</v>
      </c>
      <c r="H129" s="234" t="s">
        <v>1675</v>
      </c>
    </row>
    <row r="130" spans="2:8" x14ac:dyDescent="0.2">
      <c r="B130" s="208" t="s">
        <v>975</v>
      </c>
      <c r="C130" s="209"/>
      <c r="D130" s="246"/>
      <c r="E130" s="215" t="s">
        <v>976</v>
      </c>
      <c r="F130" s="215">
        <v>0.2</v>
      </c>
      <c r="G130" s="247">
        <v>5</v>
      </c>
      <c r="H130" s="218">
        <f>F130*G130</f>
        <v>1</v>
      </c>
    </row>
    <row r="131" spans="2:8" x14ac:dyDescent="0.2">
      <c r="B131" s="214"/>
      <c r="C131" s="132"/>
      <c r="D131" s="248"/>
      <c r="E131" s="215"/>
      <c r="F131" s="215"/>
      <c r="G131" s="247"/>
      <c r="H131" s="218"/>
    </row>
    <row r="132" spans="2:8" x14ac:dyDescent="0.2">
      <c r="B132" s="219" t="s">
        <v>1682</v>
      </c>
      <c r="C132" s="220"/>
      <c r="D132" s="249"/>
      <c r="E132" s="221" t="s">
        <v>1682</v>
      </c>
      <c r="F132" s="221"/>
      <c r="G132" s="222" t="s">
        <v>1682</v>
      </c>
      <c r="H132" s="224" t="s">
        <v>1682</v>
      </c>
    </row>
    <row r="133" spans="2:8" ht="13.5" thickBot="1" x14ac:dyDescent="0.25">
      <c r="B133" s="250" t="s">
        <v>977</v>
      </c>
      <c r="C133" s="251"/>
      <c r="D133" s="252"/>
      <c r="E133" s="252"/>
      <c r="F133" s="252"/>
      <c r="G133" s="251"/>
      <c r="H133" s="253">
        <f>SUM(H130:H132)</f>
        <v>1</v>
      </c>
    </row>
    <row r="134" spans="2:8" x14ac:dyDescent="0.2">
      <c r="B134" s="132"/>
      <c r="C134" s="132"/>
      <c r="D134" s="254"/>
      <c r="E134" s="198"/>
      <c r="F134" s="198"/>
      <c r="G134" s="255" t="s">
        <v>978</v>
      </c>
      <c r="H134" s="256">
        <f>H108+H116+H127+H133</f>
        <v>493.9006</v>
      </c>
    </row>
    <row r="135" spans="2:8" x14ac:dyDescent="0.2">
      <c r="B135" s="132"/>
      <c r="C135" s="132"/>
      <c r="D135" s="257"/>
      <c r="E135" s="239"/>
      <c r="F135" s="239"/>
      <c r="G135" s="258" t="s">
        <v>979</v>
      </c>
      <c r="H135" s="241"/>
    </row>
    <row r="136" spans="2:8" x14ac:dyDescent="0.2">
      <c r="B136" s="132"/>
      <c r="C136" s="132"/>
      <c r="D136" s="257"/>
      <c r="E136" s="239"/>
      <c r="F136" s="239"/>
      <c r="G136" s="258" t="s">
        <v>980</v>
      </c>
      <c r="H136" s="241"/>
    </row>
    <row r="137" spans="2:8" x14ac:dyDescent="0.2">
      <c r="B137" s="132"/>
      <c r="C137" s="132"/>
      <c r="D137" s="257"/>
      <c r="E137" s="239"/>
      <c r="F137" s="239"/>
      <c r="G137" s="259" t="s">
        <v>1670</v>
      </c>
      <c r="H137" s="260"/>
    </row>
    <row r="138" spans="2:8" ht="13.5" thickBot="1" x14ac:dyDescent="0.25">
      <c r="B138" s="193"/>
      <c r="C138" s="132"/>
      <c r="D138" s="261"/>
      <c r="E138" s="251"/>
      <c r="F138" s="251"/>
      <c r="G138" s="262" t="s">
        <v>1650</v>
      </c>
      <c r="H138" s="263"/>
    </row>
    <row r="139" spans="2:8" ht="15.75" x14ac:dyDescent="0.2">
      <c r="B139" s="186" t="s">
        <v>1701</v>
      </c>
      <c r="C139" s="132"/>
      <c r="D139" s="189" t="s">
        <v>742</v>
      </c>
      <c r="E139" s="132"/>
      <c r="F139" s="132"/>
      <c r="G139" s="188"/>
      <c r="H139" s="132"/>
    </row>
    <row r="140" spans="2:8" ht="15.75" x14ac:dyDescent="0.2">
      <c r="B140" s="186" t="s">
        <v>1700</v>
      </c>
      <c r="C140" s="189" t="s">
        <v>963</v>
      </c>
      <c r="D140" s="132"/>
      <c r="E140" s="132"/>
      <c r="F140" s="132"/>
      <c r="G140" s="190"/>
      <c r="H140" s="191"/>
    </row>
    <row r="141" spans="2:8" ht="14.25" x14ac:dyDescent="0.2">
      <c r="B141" s="189"/>
      <c r="C141" s="189"/>
      <c r="D141" s="189"/>
      <c r="E141" s="189"/>
      <c r="F141" s="189"/>
      <c r="G141" s="189"/>
      <c r="H141" s="189"/>
    </row>
    <row r="142" spans="2:8" ht="15.75" x14ac:dyDescent="0.2">
      <c r="B142" s="186" t="s">
        <v>1697</v>
      </c>
      <c r="C142" s="189"/>
      <c r="D142" s="132"/>
      <c r="E142" s="132"/>
      <c r="F142" s="132"/>
      <c r="G142" s="132"/>
      <c r="H142" s="132"/>
    </row>
    <row r="143" spans="2:8" ht="15" x14ac:dyDescent="0.2">
      <c r="B143" s="192"/>
      <c r="C143" s="189"/>
      <c r="D143" s="189"/>
      <c r="E143" s="189"/>
      <c r="F143" s="189"/>
      <c r="G143" s="189"/>
      <c r="H143" s="189"/>
    </row>
    <row r="144" spans="2:8" ht="14.25" x14ac:dyDescent="0.2">
      <c r="B144" s="193" t="s">
        <v>594</v>
      </c>
      <c r="C144" s="194">
        <v>4</v>
      </c>
      <c r="D144" s="132"/>
      <c r="E144" s="188"/>
      <c r="F144" s="188"/>
      <c r="G144" s="195" t="s">
        <v>1696</v>
      </c>
      <c r="H144" s="189" t="s">
        <v>1506</v>
      </c>
    </row>
    <row r="145" spans="2:8" ht="14.25" x14ac:dyDescent="0.2">
      <c r="B145" s="196" t="s">
        <v>964</v>
      </c>
      <c r="C145" s="194" t="s">
        <v>271</v>
      </c>
      <c r="D145" s="132"/>
      <c r="E145" s="132"/>
      <c r="F145" s="132"/>
      <c r="G145" s="132"/>
      <c r="H145" s="132"/>
    </row>
    <row r="146" spans="2:8" ht="15" thickBot="1" x14ac:dyDescent="0.25">
      <c r="B146" s="187"/>
      <c r="C146" s="187"/>
      <c r="D146" s="189"/>
      <c r="E146" s="189"/>
      <c r="F146" s="189"/>
      <c r="G146" s="189"/>
      <c r="H146" s="189"/>
    </row>
    <row r="147" spans="2:8" ht="13.5" thickBot="1" x14ac:dyDescent="0.25">
      <c r="B147" s="264" t="s">
        <v>1695</v>
      </c>
      <c r="C147" s="265"/>
      <c r="D147" s="266"/>
      <c r="E147" s="265"/>
      <c r="F147" s="265"/>
      <c r="G147" s="265"/>
      <c r="H147" s="267"/>
    </row>
    <row r="148" spans="2:8" ht="25.5" x14ac:dyDescent="0.2">
      <c r="B148" s="197" t="s">
        <v>1409</v>
      </c>
      <c r="C148" s="268"/>
      <c r="D148" s="269" t="s">
        <v>966</v>
      </c>
      <c r="E148" s="270" t="s">
        <v>1694</v>
      </c>
      <c r="F148" s="270" t="s">
        <v>1693</v>
      </c>
      <c r="G148" s="201" t="s">
        <v>1687</v>
      </c>
      <c r="H148" s="271" t="s">
        <v>967</v>
      </c>
    </row>
    <row r="149" spans="2:8" x14ac:dyDescent="0.2">
      <c r="B149" s="208" t="s">
        <v>242</v>
      </c>
      <c r="C149" s="209"/>
      <c r="D149" s="210">
        <v>1</v>
      </c>
      <c r="E149" s="211">
        <v>2.5</v>
      </c>
      <c r="F149" s="211">
        <f>D149*E149</f>
        <v>2.5</v>
      </c>
      <c r="G149" s="212">
        <v>2</v>
      </c>
      <c r="H149" s="213">
        <f>F149*G149</f>
        <v>5</v>
      </c>
    </row>
    <row r="150" spans="2:8" x14ac:dyDescent="0.2">
      <c r="B150" s="214" t="s">
        <v>1682</v>
      </c>
      <c r="C150" s="132"/>
      <c r="D150" s="215"/>
      <c r="E150" s="216" t="s">
        <v>1682</v>
      </c>
      <c r="F150" s="216" t="s">
        <v>1682</v>
      </c>
      <c r="G150" s="217"/>
      <c r="H150" s="218" t="s">
        <v>1682</v>
      </c>
    </row>
    <row r="151" spans="2:8" x14ac:dyDescent="0.2">
      <c r="B151" s="219" t="s">
        <v>1682</v>
      </c>
      <c r="C151" s="220"/>
      <c r="D151" s="221"/>
      <c r="E151" s="222" t="s">
        <v>1682</v>
      </c>
      <c r="F151" s="222" t="s">
        <v>1682</v>
      </c>
      <c r="G151" s="223"/>
      <c r="H151" s="224" t="s">
        <v>1682</v>
      </c>
    </row>
    <row r="152" spans="2:8" x14ac:dyDescent="0.2">
      <c r="B152" s="219" t="s">
        <v>968</v>
      </c>
      <c r="C152" s="220"/>
      <c r="D152" s="225"/>
      <c r="E152" s="220"/>
      <c r="F152" s="220"/>
      <c r="G152" s="226"/>
      <c r="H152" s="224">
        <f>SUM(H149:H151)</f>
        <v>5</v>
      </c>
    </row>
    <row r="153" spans="2:8" x14ac:dyDescent="0.2">
      <c r="B153" s="227" t="s">
        <v>1503</v>
      </c>
      <c r="C153" s="132"/>
      <c r="D153" s="188"/>
      <c r="E153" s="132"/>
      <c r="F153" s="132"/>
      <c r="G153" s="228"/>
      <c r="H153" s="218"/>
    </row>
    <row r="154" spans="2:8" ht="25.5" x14ac:dyDescent="0.2">
      <c r="B154" s="229" t="s">
        <v>1691</v>
      </c>
      <c r="C154" s="230"/>
      <c r="D154" s="231" t="s">
        <v>969</v>
      </c>
      <c r="E154" s="232" t="s">
        <v>1689</v>
      </c>
      <c r="F154" s="232" t="s">
        <v>1688</v>
      </c>
      <c r="G154" s="233" t="s">
        <v>1687</v>
      </c>
      <c r="H154" s="234" t="s">
        <v>1686</v>
      </c>
    </row>
    <row r="155" spans="2:8" x14ac:dyDescent="0.2">
      <c r="B155" s="235" t="s">
        <v>243</v>
      </c>
      <c r="C155" s="132"/>
      <c r="D155" s="236">
        <v>1</v>
      </c>
      <c r="E155" s="237">
        <v>2.13</v>
      </c>
      <c r="F155" s="216">
        <f>D155*E155</f>
        <v>2.13</v>
      </c>
      <c r="G155" s="217">
        <v>51.6</v>
      </c>
      <c r="H155" s="218">
        <f>F155*G155</f>
        <v>109.908</v>
      </c>
    </row>
    <row r="156" spans="2:8" x14ac:dyDescent="0.2">
      <c r="B156" s="235" t="s">
        <v>1488</v>
      </c>
      <c r="C156" s="132"/>
      <c r="D156" s="236">
        <v>1</v>
      </c>
      <c r="E156" s="237">
        <v>2.13</v>
      </c>
      <c r="F156" s="216">
        <f>D156*E156</f>
        <v>2.13</v>
      </c>
      <c r="G156" s="217">
        <v>32.86</v>
      </c>
      <c r="H156" s="218">
        <f>F156*G156</f>
        <v>69.991799999999998</v>
      </c>
    </row>
    <row r="157" spans="2:8" x14ac:dyDescent="0.2">
      <c r="B157" s="235" t="s">
        <v>590</v>
      </c>
      <c r="C157" s="132"/>
      <c r="D157" s="236">
        <v>1</v>
      </c>
      <c r="E157" s="237">
        <v>2.13</v>
      </c>
      <c r="F157" s="216">
        <f>D157*E157</f>
        <v>2.13</v>
      </c>
      <c r="G157" s="217">
        <v>23.48</v>
      </c>
      <c r="H157" s="218">
        <f>F157*G157</f>
        <v>50.0124</v>
      </c>
    </row>
    <row r="158" spans="2:8" x14ac:dyDescent="0.2">
      <c r="B158" s="235"/>
      <c r="C158" s="132"/>
      <c r="D158" s="236"/>
      <c r="E158" s="237"/>
      <c r="F158" s="216"/>
      <c r="G158" s="217"/>
      <c r="H158" s="218"/>
    </row>
    <row r="159" spans="2:8" x14ac:dyDescent="0.2">
      <c r="B159" s="219" t="s">
        <v>1682</v>
      </c>
      <c r="C159" s="220"/>
      <c r="D159" s="221"/>
      <c r="E159" s="222" t="s">
        <v>1682</v>
      </c>
      <c r="F159" s="222" t="s">
        <v>1682</v>
      </c>
      <c r="G159" s="223"/>
      <c r="H159" s="224" t="s">
        <v>1682</v>
      </c>
    </row>
    <row r="160" spans="2:8" x14ac:dyDescent="0.2">
      <c r="B160" s="238" t="s">
        <v>1681</v>
      </c>
      <c r="C160" s="239"/>
      <c r="D160" s="240"/>
      <c r="E160" s="239"/>
      <c r="F160" s="239"/>
      <c r="G160" s="239"/>
      <c r="H160" s="241">
        <f>SUM(H155:H159)</f>
        <v>229.91219999999998</v>
      </c>
    </row>
    <row r="161" spans="2:8" x14ac:dyDescent="0.2">
      <c r="B161" s="227" t="s">
        <v>1684</v>
      </c>
      <c r="C161" s="132"/>
      <c r="D161" s="188"/>
      <c r="E161" s="132"/>
      <c r="F161" s="132"/>
      <c r="G161" s="132"/>
      <c r="H161" s="218"/>
    </row>
    <row r="162" spans="2:8" ht="25.5" x14ac:dyDescent="0.2">
      <c r="B162" s="229" t="s">
        <v>1409</v>
      </c>
      <c r="C162" s="242"/>
      <c r="D162" s="243"/>
      <c r="E162" s="232" t="s">
        <v>1408</v>
      </c>
      <c r="F162" s="231" t="s">
        <v>1679</v>
      </c>
      <c r="G162" s="232" t="s">
        <v>1683</v>
      </c>
      <c r="H162" s="234" t="s">
        <v>1675</v>
      </c>
    </row>
    <row r="163" spans="2:8" ht="25.5" customHeight="1" x14ac:dyDescent="0.2">
      <c r="B163" s="735" t="s">
        <v>272</v>
      </c>
      <c r="C163" s="736"/>
      <c r="D163" s="737"/>
      <c r="E163" s="215" t="s">
        <v>1506</v>
      </c>
      <c r="F163" s="215">
        <v>1</v>
      </c>
      <c r="G163" s="216"/>
      <c r="H163" s="218">
        <v>10652.7</v>
      </c>
    </row>
    <row r="164" spans="2:8" x14ac:dyDescent="0.2">
      <c r="B164" s="214" t="s">
        <v>273</v>
      </c>
      <c r="C164" s="132"/>
      <c r="D164" s="188"/>
      <c r="E164" s="215" t="s">
        <v>1506</v>
      </c>
      <c r="F164" s="215">
        <v>1</v>
      </c>
      <c r="G164" s="216"/>
      <c r="H164" s="218"/>
    </row>
    <row r="165" spans="2:8" x14ac:dyDescent="0.2">
      <c r="B165" s="214" t="s">
        <v>301</v>
      </c>
      <c r="C165" s="132"/>
      <c r="D165" s="188"/>
      <c r="E165" s="215" t="s">
        <v>302</v>
      </c>
      <c r="F165" s="215">
        <v>1</v>
      </c>
      <c r="G165" s="216"/>
      <c r="H165" s="218"/>
    </row>
    <row r="166" spans="2:8" x14ac:dyDescent="0.2">
      <c r="B166" s="214" t="s">
        <v>303</v>
      </c>
      <c r="C166" s="132"/>
      <c r="D166" s="188"/>
      <c r="E166" s="215" t="s">
        <v>1506</v>
      </c>
      <c r="F166" s="215">
        <v>1</v>
      </c>
      <c r="G166" s="216"/>
      <c r="H166" s="218"/>
    </row>
    <row r="167" spans="2:8" x14ac:dyDescent="0.2">
      <c r="B167" s="214" t="s">
        <v>304</v>
      </c>
      <c r="C167" s="132"/>
      <c r="D167" s="188"/>
      <c r="E167" s="215" t="s">
        <v>1506</v>
      </c>
      <c r="F167" s="215">
        <v>2</v>
      </c>
      <c r="G167" s="216"/>
      <c r="H167" s="218"/>
    </row>
    <row r="168" spans="2:8" x14ac:dyDescent="0.2">
      <c r="B168" s="214" t="s">
        <v>305</v>
      </c>
      <c r="C168" s="132"/>
      <c r="D168" s="188"/>
      <c r="E168" s="215" t="s">
        <v>1506</v>
      </c>
      <c r="F168" s="215">
        <v>2</v>
      </c>
      <c r="G168" s="216"/>
      <c r="H168" s="218"/>
    </row>
    <row r="169" spans="2:8" x14ac:dyDescent="0.2">
      <c r="B169" s="214" t="s">
        <v>306</v>
      </c>
      <c r="C169" s="132"/>
      <c r="D169" s="188"/>
      <c r="E169" s="215" t="s">
        <v>1506</v>
      </c>
      <c r="F169" s="215">
        <v>1</v>
      </c>
      <c r="G169" s="216"/>
      <c r="H169" s="218"/>
    </row>
    <row r="170" spans="2:8" x14ac:dyDescent="0.2">
      <c r="B170" s="214" t="s">
        <v>307</v>
      </c>
      <c r="C170" s="132"/>
      <c r="D170" s="188"/>
      <c r="E170" s="215" t="s">
        <v>1506</v>
      </c>
      <c r="F170" s="215">
        <v>4</v>
      </c>
      <c r="G170" s="216"/>
      <c r="H170" s="218"/>
    </row>
    <row r="171" spans="2:8" x14ac:dyDescent="0.2">
      <c r="B171" s="214" t="s">
        <v>308</v>
      </c>
      <c r="C171" s="132"/>
      <c r="D171" s="188"/>
      <c r="E171" s="215" t="s">
        <v>1506</v>
      </c>
      <c r="F171" s="215">
        <v>1</v>
      </c>
      <c r="G171" s="216"/>
      <c r="H171" s="218"/>
    </row>
    <row r="172" spans="2:8" x14ac:dyDescent="0.2">
      <c r="B172" s="214" t="s">
        <v>309</v>
      </c>
      <c r="C172" s="132"/>
      <c r="D172" s="188"/>
      <c r="E172" s="215" t="s">
        <v>1506</v>
      </c>
      <c r="F172" s="215">
        <v>1</v>
      </c>
      <c r="G172" s="216"/>
      <c r="H172" s="218"/>
    </row>
    <row r="173" spans="2:8" x14ac:dyDescent="0.2">
      <c r="B173" s="214" t="s">
        <v>310</v>
      </c>
      <c r="C173" s="132"/>
      <c r="D173" s="188"/>
      <c r="E173" s="215" t="s">
        <v>1506</v>
      </c>
      <c r="F173" s="215">
        <v>1</v>
      </c>
      <c r="G173" s="216" t="s">
        <v>1682</v>
      </c>
      <c r="H173" s="218" t="s">
        <v>1682</v>
      </c>
    </row>
    <row r="174" spans="2:8" x14ac:dyDescent="0.2">
      <c r="B174" s="214" t="s">
        <v>311</v>
      </c>
      <c r="C174" s="132"/>
      <c r="D174" s="188"/>
      <c r="E174" s="215" t="s">
        <v>1506</v>
      </c>
      <c r="F174" s="215">
        <v>3</v>
      </c>
      <c r="G174" s="216"/>
      <c r="H174" s="218"/>
    </row>
    <row r="175" spans="2:8" x14ac:dyDescent="0.2">
      <c r="B175" s="214" t="s">
        <v>312</v>
      </c>
      <c r="C175" s="132"/>
      <c r="D175" s="188"/>
      <c r="E175" s="215" t="s">
        <v>302</v>
      </c>
      <c r="F175" s="215">
        <v>1</v>
      </c>
      <c r="G175" s="216"/>
      <c r="H175" s="218"/>
    </row>
    <row r="176" spans="2:8" x14ac:dyDescent="0.2">
      <c r="B176" s="214" t="s">
        <v>313</v>
      </c>
      <c r="C176" s="132"/>
      <c r="D176" s="188"/>
      <c r="E176" s="215" t="s">
        <v>1682</v>
      </c>
      <c r="F176" s="215"/>
      <c r="G176" s="216" t="s">
        <v>1682</v>
      </c>
      <c r="H176" s="218" t="s">
        <v>1682</v>
      </c>
    </row>
    <row r="177" spans="2:8" x14ac:dyDescent="0.2">
      <c r="B177" s="214" t="s">
        <v>314</v>
      </c>
      <c r="C177" s="132"/>
      <c r="D177" s="188"/>
      <c r="E177" s="215"/>
      <c r="F177" s="215"/>
      <c r="G177" s="216"/>
      <c r="H177" s="218"/>
    </row>
    <row r="178" spans="2:8" x14ac:dyDescent="0.2">
      <c r="B178" s="214" t="s">
        <v>315</v>
      </c>
      <c r="C178" s="132"/>
      <c r="D178" s="188"/>
      <c r="E178" s="215" t="s">
        <v>1506</v>
      </c>
      <c r="F178" s="215">
        <v>1</v>
      </c>
      <c r="G178" s="216"/>
      <c r="H178" s="218"/>
    </row>
    <row r="179" spans="2:8" x14ac:dyDescent="0.2">
      <c r="B179" s="214" t="s">
        <v>316</v>
      </c>
      <c r="C179" s="132"/>
      <c r="D179" s="188"/>
      <c r="E179" s="215" t="s">
        <v>1506</v>
      </c>
      <c r="F179" s="215">
        <v>1</v>
      </c>
      <c r="G179" s="216">
        <v>380</v>
      </c>
      <c r="H179" s="218">
        <f>F179*G179</f>
        <v>380</v>
      </c>
    </row>
    <row r="180" spans="2:8" x14ac:dyDescent="0.2">
      <c r="B180" s="214" t="s">
        <v>1682</v>
      </c>
      <c r="C180" s="132"/>
      <c r="D180" s="245" t="s">
        <v>1682</v>
      </c>
      <c r="E180" s="272" t="s">
        <v>1682</v>
      </c>
      <c r="F180" s="215" t="s">
        <v>1682</v>
      </c>
      <c r="G180" s="216" t="s">
        <v>1682</v>
      </c>
      <c r="H180" s="218" t="s">
        <v>1682</v>
      </c>
    </row>
    <row r="181" spans="2:8" x14ac:dyDescent="0.2">
      <c r="B181" s="238" t="s">
        <v>1692</v>
      </c>
      <c r="C181" s="239"/>
      <c r="D181" s="240"/>
      <c r="E181" s="240"/>
      <c r="F181" s="240"/>
      <c r="G181" s="239"/>
      <c r="H181" s="241">
        <f>SUM(H163:H180)</f>
        <v>11032.7</v>
      </c>
    </row>
    <row r="182" spans="2:8" x14ac:dyDescent="0.2">
      <c r="B182" s="227" t="s">
        <v>1680</v>
      </c>
      <c r="C182" s="132"/>
      <c r="D182" s="188"/>
      <c r="E182" s="132"/>
      <c r="F182" s="188"/>
      <c r="G182" s="132"/>
      <c r="H182" s="218"/>
    </row>
    <row r="183" spans="2:8" ht="25.5" x14ac:dyDescent="0.2">
      <c r="B183" s="229" t="s">
        <v>1409</v>
      </c>
      <c r="C183" s="242"/>
      <c r="D183" s="243"/>
      <c r="E183" s="232" t="s">
        <v>1408</v>
      </c>
      <c r="F183" s="231" t="s">
        <v>1679</v>
      </c>
      <c r="G183" s="232" t="s">
        <v>1676</v>
      </c>
      <c r="H183" s="234" t="s">
        <v>1675</v>
      </c>
    </row>
    <row r="184" spans="2:8" x14ac:dyDescent="0.2">
      <c r="B184" s="208" t="s">
        <v>975</v>
      </c>
      <c r="C184" s="209"/>
      <c r="D184" s="246"/>
      <c r="E184" s="215" t="s">
        <v>976</v>
      </c>
      <c r="F184" s="215">
        <v>3</v>
      </c>
      <c r="G184" s="247">
        <v>5</v>
      </c>
      <c r="H184" s="218">
        <f>F184*G184</f>
        <v>15</v>
      </c>
    </row>
    <row r="185" spans="2:8" x14ac:dyDescent="0.2">
      <c r="B185" s="214"/>
      <c r="C185" s="132"/>
      <c r="D185" s="248"/>
      <c r="E185" s="215"/>
      <c r="F185" s="215"/>
      <c r="G185" s="247"/>
      <c r="H185" s="218"/>
    </row>
    <row r="186" spans="2:8" x14ac:dyDescent="0.2">
      <c r="B186" s="219" t="s">
        <v>1682</v>
      </c>
      <c r="C186" s="220"/>
      <c r="D186" s="249"/>
      <c r="E186" s="221" t="s">
        <v>1682</v>
      </c>
      <c r="F186" s="221"/>
      <c r="G186" s="222" t="s">
        <v>1682</v>
      </c>
      <c r="H186" s="224" t="s">
        <v>1682</v>
      </c>
    </row>
    <row r="187" spans="2:8" ht="13.5" thickBot="1" x14ac:dyDescent="0.25">
      <c r="B187" s="250" t="s">
        <v>977</v>
      </c>
      <c r="C187" s="251"/>
      <c r="D187" s="252"/>
      <c r="E187" s="252"/>
      <c r="F187" s="252"/>
      <c r="G187" s="251"/>
      <c r="H187" s="253">
        <f>SUM(H184:H186)</f>
        <v>15</v>
      </c>
    </row>
    <row r="188" spans="2:8" x14ac:dyDescent="0.2">
      <c r="B188" s="132"/>
      <c r="C188" s="132"/>
      <c r="D188" s="254"/>
      <c r="E188" s="198"/>
      <c r="F188" s="198"/>
      <c r="G188" s="255" t="s">
        <v>978</v>
      </c>
      <c r="H188" s="256">
        <f>H152+H160+H181+H187</f>
        <v>11282.612200000001</v>
      </c>
    </row>
    <row r="189" spans="2:8" x14ac:dyDescent="0.2">
      <c r="B189" s="132"/>
      <c r="C189" s="132"/>
      <c r="D189" s="257"/>
      <c r="E189" s="239"/>
      <c r="F189" s="239"/>
      <c r="G189" s="258" t="s">
        <v>979</v>
      </c>
      <c r="H189" s="241"/>
    </row>
    <row r="190" spans="2:8" x14ac:dyDescent="0.2">
      <c r="B190" s="132"/>
      <c r="C190" s="132"/>
      <c r="D190" s="257"/>
      <c r="E190" s="239"/>
      <c r="F190" s="239"/>
      <c r="G190" s="258" t="s">
        <v>980</v>
      </c>
      <c r="H190" s="241"/>
    </row>
    <row r="191" spans="2:8" x14ac:dyDescent="0.2">
      <c r="B191" s="132"/>
      <c r="C191" s="132"/>
      <c r="D191" s="257"/>
      <c r="E191" s="239"/>
      <c r="F191" s="239"/>
      <c r="G191" s="259" t="s">
        <v>1670</v>
      </c>
      <c r="H191" s="260"/>
    </row>
    <row r="192" spans="2:8" ht="13.5" thickBot="1" x14ac:dyDescent="0.25">
      <c r="B192" s="193"/>
      <c r="C192" s="132"/>
      <c r="D192" s="261"/>
      <c r="E192" s="251"/>
      <c r="F192" s="251"/>
      <c r="G192" s="262" t="s">
        <v>1650</v>
      </c>
      <c r="H192" s="263"/>
    </row>
    <row r="193" spans="2:8" ht="15.75" x14ac:dyDescent="0.2">
      <c r="B193" s="186" t="s">
        <v>1701</v>
      </c>
      <c r="C193" s="132"/>
      <c r="D193" s="189" t="s">
        <v>742</v>
      </c>
      <c r="E193" s="132"/>
      <c r="F193" s="132"/>
      <c r="G193" s="188"/>
      <c r="H193" s="132"/>
    </row>
    <row r="194" spans="2:8" ht="15.75" x14ac:dyDescent="0.2">
      <c r="B194" s="186" t="s">
        <v>1700</v>
      </c>
      <c r="C194" s="189" t="s">
        <v>963</v>
      </c>
      <c r="D194" s="132"/>
      <c r="E194" s="132"/>
      <c r="F194" s="132"/>
      <c r="G194" s="190"/>
      <c r="H194" s="191"/>
    </row>
    <row r="195" spans="2:8" ht="14.25" x14ac:dyDescent="0.2">
      <c r="B195" s="189"/>
      <c r="C195" s="189"/>
      <c r="D195" s="189"/>
      <c r="E195" s="189"/>
      <c r="F195" s="189"/>
      <c r="G195" s="189"/>
      <c r="H195" s="189"/>
    </row>
    <row r="196" spans="2:8" ht="15.75" x14ac:dyDescent="0.2">
      <c r="B196" s="186" t="s">
        <v>1697</v>
      </c>
      <c r="C196" s="189"/>
      <c r="D196" s="132"/>
      <c r="E196" s="132"/>
      <c r="F196" s="132"/>
      <c r="G196" s="132"/>
      <c r="H196" s="132"/>
    </row>
    <row r="197" spans="2:8" ht="15" x14ac:dyDescent="0.2">
      <c r="B197" s="192"/>
      <c r="C197" s="189"/>
      <c r="D197" s="189"/>
      <c r="E197" s="189"/>
      <c r="F197" s="189"/>
      <c r="G197" s="189"/>
      <c r="H197" s="189"/>
    </row>
    <row r="198" spans="2:8" ht="14.25" x14ac:dyDescent="0.2">
      <c r="B198" s="193" t="s">
        <v>594</v>
      </c>
      <c r="C198" s="194">
        <v>5</v>
      </c>
      <c r="D198" s="132"/>
      <c r="E198" s="188"/>
      <c r="F198" s="188"/>
      <c r="G198" s="195" t="s">
        <v>1696</v>
      </c>
      <c r="H198" s="189" t="s">
        <v>1506</v>
      </c>
    </row>
    <row r="199" spans="2:8" ht="14.25" x14ac:dyDescent="0.2">
      <c r="B199" s="196" t="s">
        <v>964</v>
      </c>
      <c r="C199" s="194" t="s">
        <v>317</v>
      </c>
      <c r="D199" s="132"/>
      <c r="E199" s="132"/>
      <c r="F199" s="132"/>
      <c r="G199" s="132"/>
      <c r="H199" s="132"/>
    </row>
    <row r="200" spans="2:8" ht="15" thickBot="1" x14ac:dyDescent="0.25">
      <c r="B200" s="187"/>
      <c r="C200" s="187"/>
      <c r="D200" s="189"/>
      <c r="E200" s="189"/>
      <c r="F200" s="189"/>
      <c r="G200" s="189"/>
      <c r="H200" s="189"/>
    </row>
    <row r="201" spans="2:8" ht="13.5" thickBot="1" x14ac:dyDescent="0.25">
      <c r="B201" s="264" t="s">
        <v>1695</v>
      </c>
      <c r="C201" s="265"/>
      <c r="D201" s="266"/>
      <c r="E201" s="265"/>
      <c r="F201" s="265"/>
      <c r="G201" s="265"/>
      <c r="H201" s="267"/>
    </row>
    <row r="202" spans="2:8" ht="25.5" x14ac:dyDescent="0.2">
      <c r="B202" s="197" t="s">
        <v>1409</v>
      </c>
      <c r="C202" s="268"/>
      <c r="D202" s="269" t="s">
        <v>966</v>
      </c>
      <c r="E202" s="270" t="s">
        <v>1694</v>
      </c>
      <c r="F202" s="270" t="s">
        <v>1693</v>
      </c>
      <c r="G202" s="201" t="s">
        <v>1687</v>
      </c>
      <c r="H202" s="271" t="s">
        <v>967</v>
      </c>
    </row>
    <row r="203" spans="2:8" x14ac:dyDescent="0.2">
      <c r="B203" s="208" t="s">
        <v>1468</v>
      </c>
      <c r="C203" s="209"/>
      <c r="D203" s="210">
        <v>1</v>
      </c>
      <c r="E203" s="211">
        <v>2.5</v>
      </c>
      <c r="F203" s="211">
        <f>D203*E203</f>
        <v>2.5</v>
      </c>
      <c r="G203" s="212">
        <v>1.5</v>
      </c>
      <c r="H203" s="213">
        <f>F203*G203</f>
        <v>3.75</v>
      </c>
    </row>
    <row r="204" spans="2:8" x14ac:dyDescent="0.2">
      <c r="B204" s="214" t="s">
        <v>1682</v>
      </c>
      <c r="C204" s="132"/>
      <c r="D204" s="215"/>
      <c r="E204" s="216" t="s">
        <v>1682</v>
      </c>
      <c r="F204" s="216" t="s">
        <v>1682</v>
      </c>
      <c r="G204" s="217"/>
      <c r="H204" s="218" t="s">
        <v>1682</v>
      </c>
    </row>
    <row r="205" spans="2:8" x14ac:dyDescent="0.2">
      <c r="B205" s="219" t="s">
        <v>1682</v>
      </c>
      <c r="C205" s="220"/>
      <c r="D205" s="221"/>
      <c r="E205" s="222" t="s">
        <v>1682</v>
      </c>
      <c r="F205" s="222" t="s">
        <v>1682</v>
      </c>
      <c r="G205" s="223"/>
      <c r="H205" s="224" t="s">
        <v>1682</v>
      </c>
    </row>
    <row r="206" spans="2:8" x14ac:dyDescent="0.2">
      <c r="B206" s="219" t="s">
        <v>968</v>
      </c>
      <c r="C206" s="220"/>
      <c r="D206" s="225"/>
      <c r="E206" s="220"/>
      <c r="F206" s="220"/>
      <c r="G206" s="226"/>
      <c r="H206" s="224">
        <f>SUM(H203:H205)</f>
        <v>3.75</v>
      </c>
    </row>
    <row r="207" spans="2:8" x14ac:dyDescent="0.2">
      <c r="B207" s="227" t="s">
        <v>1503</v>
      </c>
      <c r="C207" s="132"/>
      <c r="D207" s="188"/>
      <c r="E207" s="132"/>
      <c r="F207" s="132"/>
      <c r="G207" s="228"/>
      <c r="H207" s="218"/>
    </row>
    <row r="208" spans="2:8" ht="25.5" x14ac:dyDescent="0.2">
      <c r="B208" s="229" t="s">
        <v>1691</v>
      </c>
      <c r="C208" s="230"/>
      <c r="D208" s="231" t="s">
        <v>969</v>
      </c>
      <c r="E208" s="232" t="s">
        <v>1689</v>
      </c>
      <c r="F208" s="232" t="s">
        <v>1688</v>
      </c>
      <c r="G208" s="233" t="s">
        <v>1687</v>
      </c>
      <c r="H208" s="234" t="s">
        <v>1686</v>
      </c>
    </row>
    <row r="209" spans="2:8" x14ac:dyDescent="0.2">
      <c r="B209" s="235" t="s">
        <v>243</v>
      </c>
      <c r="C209" s="132"/>
      <c r="D209" s="236">
        <v>1</v>
      </c>
      <c r="E209" s="237">
        <v>2.13</v>
      </c>
      <c r="F209" s="216">
        <f>D209*E209</f>
        <v>2.13</v>
      </c>
      <c r="G209" s="217">
        <v>43.8</v>
      </c>
      <c r="H209" s="218">
        <f>F209*G209</f>
        <v>93.293999999999983</v>
      </c>
    </row>
    <row r="210" spans="2:8" x14ac:dyDescent="0.2">
      <c r="B210" s="235" t="s">
        <v>1488</v>
      </c>
      <c r="C210" s="132"/>
      <c r="D210" s="236">
        <v>1</v>
      </c>
      <c r="E210" s="237">
        <v>2.13</v>
      </c>
      <c r="F210" s="216">
        <f>D210*E210</f>
        <v>2.13</v>
      </c>
      <c r="G210" s="217">
        <v>27.9</v>
      </c>
      <c r="H210" s="218">
        <f>F210*G210</f>
        <v>59.426999999999992</v>
      </c>
    </row>
    <row r="211" spans="2:8" x14ac:dyDescent="0.2">
      <c r="B211" s="235" t="s">
        <v>590</v>
      </c>
      <c r="C211" s="132"/>
      <c r="D211" s="236">
        <v>1</v>
      </c>
      <c r="E211" s="237">
        <v>2.13</v>
      </c>
      <c r="F211" s="216">
        <f>D211*E211</f>
        <v>2.13</v>
      </c>
      <c r="G211" s="217">
        <v>19.96</v>
      </c>
      <c r="H211" s="218">
        <f>F211*G211</f>
        <v>42.514800000000001</v>
      </c>
    </row>
    <row r="212" spans="2:8" x14ac:dyDescent="0.2">
      <c r="B212" s="235"/>
      <c r="C212" s="132"/>
      <c r="D212" s="236"/>
      <c r="E212" s="237"/>
      <c r="F212" s="216"/>
      <c r="G212" s="217"/>
      <c r="H212" s="218"/>
    </row>
    <row r="213" spans="2:8" x14ac:dyDescent="0.2">
      <c r="B213" s="219" t="s">
        <v>1682</v>
      </c>
      <c r="C213" s="220"/>
      <c r="D213" s="221"/>
      <c r="E213" s="222" t="s">
        <v>1682</v>
      </c>
      <c r="F213" s="222" t="s">
        <v>1682</v>
      </c>
      <c r="G213" s="223"/>
      <c r="H213" s="224" t="s">
        <v>1682</v>
      </c>
    </row>
    <row r="214" spans="2:8" x14ac:dyDescent="0.2">
      <c r="B214" s="238" t="s">
        <v>1681</v>
      </c>
      <c r="C214" s="239"/>
      <c r="D214" s="240"/>
      <c r="E214" s="239"/>
      <c r="F214" s="239"/>
      <c r="G214" s="239"/>
      <c r="H214" s="241">
        <f>SUM(H209:H213)</f>
        <v>195.23579999999998</v>
      </c>
    </row>
    <row r="215" spans="2:8" x14ac:dyDescent="0.2">
      <c r="B215" s="227" t="s">
        <v>1684</v>
      </c>
      <c r="C215" s="132"/>
      <c r="D215" s="188"/>
      <c r="E215" s="132"/>
      <c r="F215" s="132"/>
      <c r="G215" s="132"/>
      <c r="H215" s="218"/>
    </row>
    <row r="216" spans="2:8" ht="25.5" x14ac:dyDescent="0.2">
      <c r="B216" s="229" t="s">
        <v>1409</v>
      </c>
      <c r="C216" s="242"/>
      <c r="D216" s="243"/>
      <c r="E216" s="232" t="s">
        <v>1408</v>
      </c>
      <c r="F216" s="231" t="s">
        <v>1679</v>
      </c>
      <c r="G216" s="232" t="s">
        <v>1683</v>
      </c>
      <c r="H216" s="234" t="s">
        <v>1675</v>
      </c>
    </row>
    <row r="217" spans="2:8" x14ac:dyDescent="0.2">
      <c r="B217" s="244" t="s">
        <v>318</v>
      </c>
      <c r="C217" s="132"/>
      <c r="D217" s="188"/>
      <c r="E217" s="215" t="s">
        <v>302</v>
      </c>
      <c r="F217" s="215">
        <v>1</v>
      </c>
      <c r="G217" s="216"/>
      <c r="H217" s="218"/>
    </row>
    <row r="218" spans="2:8" x14ac:dyDescent="0.2">
      <c r="B218" s="214" t="s">
        <v>319</v>
      </c>
      <c r="C218" s="132"/>
      <c r="D218" s="188"/>
      <c r="E218" s="215" t="s">
        <v>1506</v>
      </c>
      <c r="F218" s="215">
        <v>1</v>
      </c>
      <c r="G218" s="216"/>
      <c r="H218" s="218"/>
    </row>
    <row r="219" spans="2:8" x14ac:dyDescent="0.2">
      <c r="B219" s="214" t="s">
        <v>320</v>
      </c>
      <c r="C219" s="132"/>
      <c r="D219" s="188"/>
      <c r="E219" s="215" t="s">
        <v>1506</v>
      </c>
      <c r="F219" s="215">
        <v>1</v>
      </c>
      <c r="G219" s="216"/>
      <c r="H219" s="218"/>
    </row>
    <row r="220" spans="2:8" x14ac:dyDescent="0.2">
      <c r="B220" s="214" t="s">
        <v>321</v>
      </c>
      <c r="C220" s="132"/>
      <c r="D220" s="188"/>
      <c r="E220" s="215" t="s">
        <v>302</v>
      </c>
      <c r="F220" s="215">
        <v>1</v>
      </c>
      <c r="G220" s="216"/>
      <c r="H220" s="218"/>
    </row>
    <row r="221" spans="2:8" x14ac:dyDescent="0.2">
      <c r="B221" s="214" t="s">
        <v>322</v>
      </c>
      <c r="C221" s="132"/>
      <c r="D221" s="188"/>
      <c r="E221" s="730" t="s">
        <v>1506</v>
      </c>
      <c r="F221" s="730">
        <v>1</v>
      </c>
      <c r="G221" s="216"/>
      <c r="H221" s="218"/>
    </row>
    <row r="222" spans="2:8" x14ac:dyDescent="0.2">
      <c r="B222" s="214" t="s">
        <v>323</v>
      </c>
      <c r="C222" s="132"/>
      <c r="D222" s="188"/>
      <c r="E222" s="730"/>
      <c r="F222" s="730"/>
      <c r="G222" s="216"/>
      <c r="H222" s="218">
        <v>3998.85</v>
      </c>
    </row>
    <row r="223" spans="2:8" x14ac:dyDescent="0.2">
      <c r="B223" s="214" t="s">
        <v>324</v>
      </c>
      <c r="C223" s="132"/>
      <c r="D223" s="188"/>
      <c r="E223" s="215" t="s">
        <v>1506</v>
      </c>
      <c r="F223" s="215">
        <v>3</v>
      </c>
      <c r="G223" s="216"/>
      <c r="H223" s="218"/>
    </row>
    <row r="224" spans="2:8" x14ac:dyDescent="0.2">
      <c r="B224" s="214" t="s">
        <v>325</v>
      </c>
      <c r="C224" s="132"/>
      <c r="D224" s="188"/>
      <c r="E224" s="215" t="s">
        <v>1506</v>
      </c>
      <c r="F224" s="215">
        <v>2</v>
      </c>
      <c r="G224" s="216"/>
      <c r="H224" s="218"/>
    </row>
    <row r="225" spans="2:8" x14ac:dyDescent="0.2">
      <c r="B225" s="214" t="s">
        <v>326</v>
      </c>
      <c r="C225" s="132"/>
      <c r="D225" s="188"/>
      <c r="E225" s="215" t="s">
        <v>1506</v>
      </c>
      <c r="F225" s="215">
        <v>16</v>
      </c>
      <c r="G225" s="216"/>
      <c r="H225" s="218"/>
    </row>
    <row r="226" spans="2:8" x14ac:dyDescent="0.2">
      <c r="B226" s="214" t="s">
        <v>327</v>
      </c>
      <c r="C226" s="132"/>
      <c r="D226" s="188"/>
      <c r="E226" s="215" t="s">
        <v>1506</v>
      </c>
      <c r="F226" s="215">
        <v>38</v>
      </c>
      <c r="G226" s="216"/>
      <c r="H226" s="218"/>
    </row>
    <row r="227" spans="2:8" x14ac:dyDescent="0.2">
      <c r="B227" s="214" t="s">
        <v>328</v>
      </c>
      <c r="C227" s="132"/>
      <c r="D227" s="188"/>
      <c r="E227" s="215" t="s">
        <v>1506</v>
      </c>
      <c r="F227" s="215">
        <v>1</v>
      </c>
      <c r="G227" s="216"/>
      <c r="H227" s="218"/>
    </row>
    <row r="228" spans="2:8" x14ac:dyDescent="0.2">
      <c r="B228" s="214" t="s">
        <v>329</v>
      </c>
      <c r="C228" s="132"/>
      <c r="D228" s="188"/>
      <c r="E228" s="215" t="s">
        <v>1506</v>
      </c>
      <c r="F228" s="215">
        <v>2</v>
      </c>
      <c r="G228" s="216" t="s">
        <v>1682</v>
      </c>
      <c r="H228" s="218" t="s">
        <v>1682</v>
      </c>
    </row>
    <row r="229" spans="2:8" x14ac:dyDescent="0.2">
      <c r="B229" s="214" t="s">
        <v>330</v>
      </c>
      <c r="C229" s="132"/>
      <c r="D229" s="188"/>
      <c r="E229" s="215" t="s">
        <v>1506</v>
      </c>
      <c r="F229" s="215">
        <v>2</v>
      </c>
      <c r="G229" s="216"/>
      <c r="H229" s="218"/>
    </row>
    <row r="230" spans="2:8" x14ac:dyDescent="0.2">
      <c r="B230" s="214" t="s">
        <v>331</v>
      </c>
      <c r="C230" s="132"/>
      <c r="D230" s="188"/>
      <c r="E230" s="215" t="s">
        <v>302</v>
      </c>
      <c r="F230" s="215">
        <v>1</v>
      </c>
      <c r="G230" s="216"/>
      <c r="H230" s="218"/>
    </row>
    <row r="231" spans="2:8" x14ac:dyDescent="0.2">
      <c r="B231" s="214" t="s">
        <v>332</v>
      </c>
      <c r="C231" s="132"/>
      <c r="D231" s="188"/>
      <c r="E231" s="215" t="s">
        <v>1506</v>
      </c>
      <c r="F231" s="215">
        <v>1</v>
      </c>
      <c r="G231" s="216">
        <v>200</v>
      </c>
      <c r="H231" s="218">
        <f>F231*G231</f>
        <v>200</v>
      </c>
    </row>
    <row r="232" spans="2:8" x14ac:dyDescent="0.2">
      <c r="B232" s="214"/>
      <c r="C232" s="132"/>
      <c r="D232" s="188"/>
      <c r="E232" s="215"/>
      <c r="F232" s="215"/>
      <c r="G232" s="216"/>
      <c r="H232" s="218"/>
    </row>
    <row r="233" spans="2:8" x14ac:dyDescent="0.2">
      <c r="B233" s="214" t="s">
        <v>1682</v>
      </c>
      <c r="C233" s="132"/>
      <c r="D233" s="245" t="s">
        <v>1682</v>
      </c>
      <c r="E233" s="272" t="s">
        <v>1682</v>
      </c>
      <c r="F233" s="215" t="s">
        <v>1682</v>
      </c>
      <c r="G233" s="216" t="s">
        <v>1682</v>
      </c>
      <c r="H233" s="218" t="s">
        <v>1682</v>
      </c>
    </row>
    <row r="234" spans="2:8" x14ac:dyDescent="0.2">
      <c r="B234" s="238" t="s">
        <v>1692</v>
      </c>
      <c r="C234" s="239"/>
      <c r="D234" s="240"/>
      <c r="E234" s="240"/>
      <c r="F234" s="240"/>
      <c r="G234" s="239"/>
      <c r="H234" s="241">
        <f>SUM(H217:H233)</f>
        <v>4198.8500000000004</v>
      </c>
    </row>
    <row r="235" spans="2:8" x14ac:dyDescent="0.2">
      <c r="B235" s="227" t="s">
        <v>1680</v>
      </c>
      <c r="C235" s="132"/>
      <c r="D235" s="188"/>
      <c r="E235" s="132"/>
      <c r="F235" s="188"/>
      <c r="G235" s="132"/>
      <c r="H235" s="218"/>
    </row>
    <row r="236" spans="2:8" ht="25.5" x14ac:dyDescent="0.2">
      <c r="B236" s="229" t="s">
        <v>1409</v>
      </c>
      <c r="C236" s="242"/>
      <c r="D236" s="243"/>
      <c r="E236" s="232" t="s">
        <v>1408</v>
      </c>
      <c r="F236" s="231" t="s">
        <v>1679</v>
      </c>
      <c r="G236" s="232" t="s">
        <v>1676</v>
      </c>
      <c r="H236" s="234" t="s">
        <v>1675</v>
      </c>
    </row>
    <row r="237" spans="2:8" x14ac:dyDescent="0.2">
      <c r="B237" s="208" t="s">
        <v>975</v>
      </c>
      <c r="C237" s="209"/>
      <c r="D237" s="246"/>
      <c r="E237" s="215" t="s">
        <v>976</v>
      </c>
      <c r="F237" s="215">
        <v>2</v>
      </c>
      <c r="G237" s="247">
        <v>5</v>
      </c>
      <c r="H237" s="218">
        <f>F237*G237</f>
        <v>10</v>
      </c>
    </row>
    <row r="238" spans="2:8" x14ac:dyDescent="0.2">
      <c r="B238" s="214"/>
      <c r="C238" s="132"/>
      <c r="D238" s="248"/>
      <c r="E238" s="215"/>
      <c r="F238" s="215"/>
      <c r="G238" s="247"/>
      <c r="H238" s="218"/>
    </row>
    <row r="239" spans="2:8" x14ac:dyDescent="0.2">
      <c r="B239" s="219" t="s">
        <v>1682</v>
      </c>
      <c r="C239" s="220"/>
      <c r="D239" s="249"/>
      <c r="E239" s="221" t="s">
        <v>1682</v>
      </c>
      <c r="F239" s="221"/>
      <c r="G239" s="222" t="s">
        <v>1682</v>
      </c>
      <c r="H239" s="224" t="s">
        <v>1682</v>
      </c>
    </row>
    <row r="240" spans="2:8" ht="13.5" thickBot="1" x14ac:dyDescent="0.25">
      <c r="B240" s="250" t="s">
        <v>977</v>
      </c>
      <c r="C240" s="251"/>
      <c r="D240" s="252"/>
      <c r="E240" s="252"/>
      <c r="F240" s="252"/>
      <c r="G240" s="251"/>
      <c r="H240" s="253">
        <f>SUM(H237:H239)</f>
        <v>10</v>
      </c>
    </row>
    <row r="241" spans="2:8" x14ac:dyDescent="0.2">
      <c r="B241" s="132"/>
      <c r="C241" s="132"/>
      <c r="D241" s="254"/>
      <c r="E241" s="198"/>
      <c r="F241" s="198"/>
      <c r="G241" s="255" t="s">
        <v>978</v>
      </c>
      <c r="H241" s="256">
        <f>H206+H214+H234+H240</f>
        <v>4407.8358000000007</v>
      </c>
    </row>
    <row r="242" spans="2:8" x14ac:dyDescent="0.2">
      <c r="B242" s="132"/>
      <c r="C242" s="132"/>
      <c r="D242" s="257"/>
      <c r="E242" s="239"/>
      <c r="F242" s="239"/>
      <c r="G242" s="258" t="s">
        <v>979</v>
      </c>
      <c r="H242" s="241"/>
    </row>
    <row r="243" spans="2:8" x14ac:dyDescent="0.2">
      <c r="B243" s="132"/>
      <c r="C243" s="132"/>
      <c r="D243" s="257"/>
      <c r="E243" s="239"/>
      <c r="F243" s="239"/>
      <c r="G243" s="258" t="s">
        <v>980</v>
      </c>
      <c r="H243" s="241"/>
    </row>
    <row r="244" spans="2:8" x14ac:dyDescent="0.2">
      <c r="B244" s="132"/>
      <c r="C244" s="132"/>
      <c r="D244" s="257"/>
      <c r="E244" s="239"/>
      <c r="F244" s="239"/>
      <c r="G244" s="259" t="s">
        <v>1670</v>
      </c>
      <c r="H244" s="260"/>
    </row>
    <row r="245" spans="2:8" ht="13.5" thickBot="1" x14ac:dyDescent="0.25">
      <c r="B245" s="193"/>
      <c r="C245" s="132"/>
      <c r="D245" s="261"/>
      <c r="E245" s="251"/>
      <c r="F245" s="251"/>
      <c r="G245" s="262" t="s">
        <v>1650</v>
      </c>
      <c r="H245" s="263"/>
    </row>
    <row r="246" spans="2:8" ht="15.75" x14ac:dyDescent="0.2">
      <c r="B246" s="186" t="s">
        <v>1701</v>
      </c>
      <c r="C246" s="132"/>
      <c r="D246" s="189" t="s">
        <v>742</v>
      </c>
      <c r="E246" s="132"/>
      <c r="F246" s="132"/>
      <c r="G246" s="188"/>
      <c r="H246" s="132"/>
    </row>
    <row r="247" spans="2:8" ht="15.75" x14ac:dyDescent="0.2">
      <c r="B247" s="186" t="s">
        <v>1700</v>
      </c>
      <c r="C247" s="189" t="s">
        <v>963</v>
      </c>
      <c r="D247" s="132"/>
      <c r="E247" s="132"/>
      <c r="F247" s="132"/>
      <c r="G247" s="190"/>
      <c r="H247" s="191"/>
    </row>
    <row r="248" spans="2:8" ht="14.25" x14ac:dyDescent="0.2">
      <c r="B248" s="189"/>
      <c r="C248" s="189"/>
      <c r="D248" s="189"/>
      <c r="E248" s="189"/>
      <c r="F248" s="189"/>
      <c r="G248" s="189"/>
      <c r="H248" s="189"/>
    </row>
    <row r="249" spans="2:8" ht="15.75" x14ac:dyDescent="0.2">
      <c r="B249" s="186" t="s">
        <v>1697</v>
      </c>
      <c r="C249" s="189"/>
      <c r="D249" s="132"/>
      <c r="E249" s="132"/>
      <c r="F249" s="132"/>
      <c r="G249" s="132"/>
      <c r="H249" s="132"/>
    </row>
    <row r="250" spans="2:8" ht="15" x14ac:dyDescent="0.2">
      <c r="B250" s="192"/>
      <c r="C250" s="189"/>
      <c r="D250" s="189"/>
      <c r="E250" s="189"/>
      <c r="F250" s="189"/>
      <c r="G250" s="189"/>
      <c r="H250" s="189"/>
    </row>
    <row r="251" spans="2:8" ht="14.25" x14ac:dyDescent="0.2">
      <c r="B251" s="193" t="s">
        <v>594</v>
      </c>
      <c r="C251" s="194">
        <v>6</v>
      </c>
      <c r="D251" s="132"/>
      <c r="E251" s="188"/>
      <c r="F251" s="188"/>
      <c r="G251" s="195" t="s">
        <v>1696</v>
      </c>
      <c r="H251" s="189" t="s">
        <v>1506</v>
      </c>
    </row>
    <row r="252" spans="2:8" ht="14.25" x14ac:dyDescent="0.2">
      <c r="B252" s="196" t="s">
        <v>964</v>
      </c>
      <c r="C252" s="194" t="s">
        <v>333</v>
      </c>
      <c r="D252" s="132"/>
      <c r="E252" s="132"/>
      <c r="F252" s="132"/>
      <c r="G252" s="132"/>
      <c r="H252" s="132"/>
    </row>
    <row r="253" spans="2:8" ht="15" thickBot="1" x14ac:dyDescent="0.25">
      <c r="B253" s="187"/>
      <c r="C253" s="187"/>
      <c r="D253" s="189"/>
      <c r="E253" s="189"/>
      <c r="F253" s="189"/>
      <c r="G253" s="189"/>
      <c r="H253" s="189"/>
    </row>
    <row r="254" spans="2:8" ht="13.5" thickBot="1" x14ac:dyDescent="0.25">
      <c r="B254" s="264" t="s">
        <v>1695</v>
      </c>
      <c r="C254" s="265"/>
      <c r="D254" s="266"/>
      <c r="E254" s="265"/>
      <c r="F254" s="265"/>
      <c r="G254" s="265"/>
      <c r="H254" s="267"/>
    </row>
    <row r="255" spans="2:8" ht="25.5" x14ac:dyDescent="0.2">
      <c r="B255" s="197" t="s">
        <v>1409</v>
      </c>
      <c r="C255" s="268"/>
      <c r="D255" s="269" t="s">
        <v>966</v>
      </c>
      <c r="E255" s="270" t="s">
        <v>1694</v>
      </c>
      <c r="F255" s="270" t="s">
        <v>1693</v>
      </c>
      <c r="G255" s="201" t="s">
        <v>1687</v>
      </c>
      <c r="H255" s="271" t="s">
        <v>967</v>
      </c>
    </row>
    <row r="256" spans="2:8" x14ac:dyDescent="0.2">
      <c r="B256" s="208" t="s">
        <v>1468</v>
      </c>
      <c r="C256" s="209"/>
      <c r="D256" s="210">
        <v>1</v>
      </c>
      <c r="E256" s="211">
        <v>2.5</v>
      </c>
      <c r="F256" s="211">
        <f>D256*E256</f>
        <v>2.5</v>
      </c>
      <c r="G256" s="212">
        <v>1.5</v>
      </c>
      <c r="H256" s="213">
        <f>F256*G256</f>
        <v>3.75</v>
      </c>
    </row>
    <row r="257" spans="2:8" x14ac:dyDescent="0.2">
      <c r="B257" s="214" t="s">
        <v>1682</v>
      </c>
      <c r="C257" s="132"/>
      <c r="D257" s="215"/>
      <c r="E257" s="216" t="s">
        <v>1682</v>
      </c>
      <c r="F257" s="216" t="s">
        <v>1682</v>
      </c>
      <c r="G257" s="217"/>
      <c r="H257" s="218" t="s">
        <v>1682</v>
      </c>
    </row>
    <row r="258" spans="2:8" x14ac:dyDescent="0.2">
      <c r="B258" s="219" t="s">
        <v>1682</v>
      </c>
      <c r="C258" s="220"/>
      <c r="D258" s="221"/>
      <c r="E258" s="222" t="s">
        <v>1682</v>
      </c>
      <c r="F258" s="222" t="s">
        <v>1682</v>
      </c>
      <c r="G258" s="223"/>
      <c r="H258" s="224" t="s">
        <v>1682</v>
      </c>
    </row>
    <row r="259" spans="2:8" x14ac:dyDescent="0.2">
      <c r="B259" s="219" t="s">
        <v>968</v>
      </c>
      <c r="C259" s="220"/>
      <c r="D259" s="225"/>
      <c r="E259" s="220"/>
      <c r="F259" s="220"/>
      <c r="G259" s="226"/>
      <c r="H259" s="224">
        <f>SUM(H256:H258)</f>
        <v>3.75</v>
      </c>
    </row>
    <row r="260" spans="2:8" x14ac:dyDescent="0.2">
      <c r="B260" s="227" t="s">
        <v>1503</v>
      </c>
      <c r="C260" s="132"/>
      <c r="D260" s="188"/>
      <c r="E260" s="132"/>
      <c r="F260" s="132"/>
      <c r="G260" s="228"/>
      <c r="H260" s="218"/>
    </row>
    <row r="261" spans="2:8" ht="25.5" x14ac:dyDescent="0.2">
      <c r="B261" s="229" t="s">
        <v>1691</v>
      </c>
      <c r="C261" s="230"/>
      <c r="D261" s="231" t="s">
        <v>969</v>
      </c>
      <c r="E261" s="232" t="s">
        <v>1689</v>
      </c>
      <c r="F261" s="232" t="s">
        <v>1688</v>
      </c>
      <c r="G261" s="233" t="s">
        <v>1687</v>
      </c>
      <c r="H261" s="234" t="s">
        <v>1686</v>
      </c>
    </row>
    <row r="262" spans="2:8" x14ac:dyDescent="0.2">
      <c r="B262" s="235" t="s">
        <v>243</v>
      </c>
      <c r="C262" s="132"/>
      <c r="D262" s="236">
        <v>1</v>
      </c>
      <c r="E262" s="237">
        <v>2.13</v>
      </c>
      <c r="F262" s="216">
        <f>D262*E262</f>
        <v>2.13</v>
      </c>
      <c r="G262" s="217">
        <v>27.35</v>
      </c>
      <c r="H262" s="218">
        <v>58.25</v>
      </c>
    </row>
    <row r="263" spans="2:8" x14ac:dyDescent="0.2">
      <c r="B263" s="235" t="s">
        <v>1488</v>
      </c>
      <c r="C263" s="132"/>
      <c r="D263" s="236">
        <v>1</v>
      </c>
      <c r="E263" s="237">
        <v>2.13</v>
      </c>
      <c r="F263" s="216">
        <f>D263*E263</f>
        <v>2.13</v>
      </c>
      <c r="G263" s="217">
        <v>18.73</v>
      </c>
      <c r="H263" s="218">
        <f>F263*G263</f>
        <v>39.8949</v>
      </c>
    </row>
    <row r="264" spans="2:8" x14ac:dyDescent="0.2">
      <c r="B264" s="235" t="s">
        <v>590</v>
      </c>
      <c r="C264" s="132"/>
      <c r="D264" s="236">
        <v>1</v>
      </c>
      <c r="E264" s="237">
        <v>2.13</v>
      </c>
      <c r="F264" s="216">
        <f>D264*E264</f>
        <v>2.13</v>
      </c>
      <c r="G264" s="217">
        <v>13.38</v>
      </c>
      <c r="H264" s="218">
        <f>F264*G264</f>
        <v>28.499400000000001</v>
      </c>
    </row>
    <row r="265" spans="2:8" x14ac:dyDescent="0.2">
      <c r="B265" s="235"/>
      <c r="C265" s="132"/>
      <c r="D265" s="236"/>
      <c r="E265" s="237"/>
      <c r="F265" s="216"/>
      <c r="G265" s="217"/>
      <c r="H265" s="218"/>
    </row>
    <row r="266" spans="2:8" x14ac:dyDescent="0.2">
      <c r="B266" s="219" t="s">
        <v>1682</v>
      </c>
      <c r="C266" s="220"/>
      <c r="D266" s="221"/>
      <c r="E266" s="222" t="s">
        <v>1682</v>
      </c>
      <c r="F266" s="222" t="s">
        <v>1682</v>
      </c>
      <c r="G266" s="223"/>
      <c r="H266" s="224" t="s">
        <v>1682</v>
      </c>
    </row>
    <row r="267" spans="2:8" x14ac:dyDescent="0.2">
      <c r="B267" s="238" t="s">
        <v>1681</v>
      </c>
      <c r="C267" s="239"/>
      <c r="D267" s="240"/>
      <c r="E267" s="239"/>
      <c r="F267" s="239"/>
      <c r="G267" s="239"/>
      <c r="H267" s="241">
        <f>SUM(H262:H266)</f>
        <v>126.64430000000002</v>
      </c>
    </row>
    <row r="268" spans="2:8" x14ac:dyDescent="0.2">
      <c r="B268" s="227" t="s">
        <v>1684</v>
      </c>
      <c r="C268" s="132"/>
      <c r="D268" s="188"/>
      <c r="E268" s="132"/>
      <c r="F268" s="132"/>
      <c r="G268" s="132"/>
      <c r="H268" s="218"/>
    </row>
    <row r="269" spans="2:8" ht="25.5" x14ac:dyDescent="0.2">
      <c r="B269" s="229" t="s">
        <v>1409</v>
      </c>
      <c r="C269" s="242"/>
      <c r="D269" s="243"/>
      <c r="E269" s="232" t="s">
        <v>1408</v>
      </c>
      <c r="F269" s="231" t="s">
        <v>1679</v>
      </c>
      <c r="G269" s="232" t="s">
        <v>1683</v>
      </c>
      <c r="H269" s="234" t="s">
        <v>1675</v>
      </c>
    </row>
    <row r="270" spans="2:8" x14ac:dyDescent="0.2">
      <c r="B270" s="244" t="s">
        <v>334</v>
      </c>
      <c r="C270" s="132"/>
      <c r="D270" s="188"/>
      <c r="E270" s="731" t="s">
        <v>1506</v>
      </c>
      <c r="F270" s="731">
        <v>1</v>
      </c>
      <c r="G270" s="216"/>
      <c r="H270" s="218"/>
    </row>
    <row r="271" spans="2:8" x14ac:dyDescent="0.2">
      <c r="B271" s="214" t="s">
        <v>323</v>
      </c>
      <c r="C271" s="132"/>
      <c r="D271" s="188"/>
      <c r="E271" s="730"/>
      <c r="F271" s="730"/>
      <c r="G271" s="216"/>
      <c r="H271" s="218">
        <v>2575.59</v>
      </c>
    </row>
    <row r="272" spans="2:8" x14ac:dyDescent="0.2">
      <c r="B272" s="214" t="s">
        <v>335</v>
      </c>
      <c r="C272" s="132"/>
      <c r="D272" s="188"/>
      <c r="E272" s="215" t="s">
        <v>302</v>
      </c>
      <c r="F272" s="215">
        <v>1</v>
      </c>
      <c r="G272" s="216"/>
      <c r="H272" s="218"/>
    </row>
    <row r="273" spans="2:8" x14ac:dyDescent="0.2">
      <c r="B273" s="214" t="s">
        <v>336</v>
      </c>
      <c r="C273" s="132"/>
      <c r="D273" s="188"/>
      <c r="E273" s="215" t="s">
        <v>1506</v>
      </c>
      <c r="F273" s="215">
        <v>2</v>
      </c>
      <c r="G273" s="216"/>
      <c r="H273" s="218"/>
    </row>
    <row r="274" spans="2:8" x14ac:dyDescent="0.2">
      <c r="B274" s="214" t="s">
        <v>337</v>
      </c>
      <c r="C274" s="132"/>
      <c r="D274" s="188"/>
      <c r="E274" s="215" t="s">
        <v>1506</v>
      </c>
      <c r="F274" s="215">
        <v>55</v>
      </c>
      <c r="G274" s="216"/>
      <c r="H274" s="218"/>
    </row>
    <row r="275" spans="2:8" x14ac:dyDescent="0.2">
      <c r="B275" s="214" t="s">
        <v>338</v>
      </c>
      <c r="C275" s="132"/>
      <c r="D275" s="188"/>
      <c r="E275" s="215" t="s">
        <v>1506</v>
      </c>
      <c r="F275" s="215">
        <v>3</v>
      </c>
      <c r="G275" s="216"/>
      <c r="H275" s="218"/>
    </row>
    <row r="276" spans="2:8" x14ac:dyDescent="0.2">
      <c r="B276" s="214" t="s">
        <v>339</v>
      </c>
      <c r="C276" s="132"/>
      <c r="D276" s="188"/>
      <c r="E276" s="215" t="s">
        <v>302</v>
      </c>
      <c r="F276" s="215">
        <v>1</v>
      </c>
      <c r="G276" s="216"/>
      <c r="H276" s="218"/>
    </row>
    <row r="277" spans="2:8" x14ac:dyDescent="0.2">
      <c r="B277" s="214" t="s">
        <v>332</v>
      </c>
      <c r="C277" s="132"/>
      <c r="D277" s="188"/>
      <c r="E277" s="215" t="s">
        <v>1506</v>
      </c>
      <c r="F277" s="215">
        <v>1</v>
      </c>
      <c r="G277" s="216"/>
      <c r="H277" s="218">
        <v>150</v>
      </c>
    </row>
    <row r="278" spans="2:8" x14ac:dyDescent="0.2">
      <c r="B278" s="214"/>
      <c r="C278" s="132"/>
      <c r="D278" s="188"/>
      <c r="E278" s="215"/>
      <c r="F278" s="215"/>
      <c r="G278" s="216"/>
      <c r="H278" s="218"/>
    </row>
    <row r="279" spans="2:8" x14ac:dyDescent="0.2">
      <c r="B279" s="214" t="s">
        <v>1682</v>
      </c>
      <c r="C279" s="132"/>
      <c r="D279" s="245" t="s">
        <v>1682</v>
      </c>
      <c r="E279" s="272" t="s">
        <v>1682</v>
      </c>
      <c r="F279" s="215" t="s">
        <v>1682</v>
      </c>
      <c r="G279" s="216" t="s">
        <v>1682</v>
      </c>
      <c r="H279" s="218" t="s">
        <v>1682</v>
      </c>
    </row>
    <row r="280" spans="2:8" x14ac:dyDescent="0.2">
      <c r="B280" s="238" t="s">
        <v>1692</v>
      </c>
      <c r="C280" s="239"/>
      <c r="D280" s="240"/>
      <c r="E280" s="240"/>
      <c r="F280" s="240"/>
      <c r="G280" s="239"/>
      <c r="H280" s="241">
        <f>SUM(H270:H279)</f>
        <v>2725.59</v>
      </c>
    </row>
    <row r="281" spans="2:8" x14ac:dyDescent="0.2">
      <c r="B281" s="227" t="s">
        <v>1680</v>
      </c>
      <c r="C281" s="132"/>
      <c r="D281" s="188"/>
      <c r="E281" s="132"/>
      <c r="F281" s="188"/>
      <c r="G281" s="132"/>
      <c r="H281" s="218"/>
    </row>
    <row r="282" spans="2:8" ht="25.5" x14ac:dyDescent="0.2">
      <c r="B282" s="229" t="s">
        <v>1409</v>
      </c>
      <c r="C282" s="242"/>
      <c r="D282" s="243"/>
      <c r="E282" s="232" t="s">
        <v>1408</v>
      </c>
      <c r="F282" s="231" t="s">
        <v>1679</v>
      </c>
      <c r="G282" s="232" t="s">
        <v>1676</v>
      </c>
      <c r="H282" s="234" t="s">
        <v>1675</v>
      </c>
    </row>
    <row r="283" spans="2:8" x14ac:dyDescent="0.2">
      <c r="B283" s="208" t="s">
        <v>975</v>
      </c>
      <c r="C283" s="209"/>
      <c r="D283" s="246"/>
      <c r="E283" s="215" t="s">
        <v>976</v>
      </c>
      <c r="F283" s="215">
        <v>1.5</v>
      </c>
      <c r="G283" s="247">
        <v>5</v>
      </c>
      <c r="H283" s="218">
        <f>F283*G283</f>
        <v>7.5</v>
      </c>
    </row>
    <row r="284" spans="2:8" x14ac:dyDescent="0.2">
      <c r="B284" s="214"/>
      <c r="C284" s="132"/>
      <c r="D284" s="248"/>
      <c r="E284" s="215"/>
      <c r="F284" s="215"/>
      <c r="G284" s="247"/>
      <c r="H284" s="218"/>
    </row>
    <row r="285" spans="2:8" x14ac:dyDescent="0.2">
      <c r="B285" s="219" t="s">
        <v>1682</v>
      </c>
      <c r="C285" s="220"/>
      <c r="D285" s="249"/>
      <c r="E285" s="221" t="s">
        <v>1682</v>
      </c>
      <c r="F285" s="221"/>
      <c r="G285" s="222" t="s">
        <v>1682</v>
      </c>
      <c r="H285" s="224" t="s">
        <v>1682</v>
      </c>
    </row>
    <row r="286" spans="2:8" ht="13.5" thickBot="1" x14ac:dyDescent="0.25">
      <c r="B286" s="250" t="s">
        <v>977</v>
      </c>
      <c r="C286" s="251"/>
      <c r="D286" s="252"/>
      <c r="E286" s="252"/>
      <c r="F286" s="252"/>
      <c r="G286" s="251"/>
      <c r="H286" s="253">
        <f>SUM(H283:H285)</f>
        <v>7.5</v>
      </c>
    </row>
    <row r="287" spans="2:8" x14ac:dyDescent="0.2">
      <c r="B287" s="132"/>
      <c r="C287" s="132"/>
      <c r="D287" s="254"/>
      <c r="E287" s="198"/>
      <c r="F287" s="198"/>
      <c r="G287" s="255" t="s">
        <v>978</v>
      </c>
      <c r="H287" s="256">
        <f>H259+H267+H280+H286</f>
        <v>2863.4843000000001</v>
      </c>
    </row>
    <row r="288" spans="2:8" x14ac:dyDescent="0.2">
      <c r="B288" s="132"/>
      <c r="C288" s="132"/>
      <c r="D288" s="257"/>
      <c r="E288" s="239"/>
      <c r="F288" s="239"/>
      <c r="G288" s="258" t="s">
        <v>979</v>
      </c>
      <c r="H288" s="241"/>
    </row>
    <row r="289" spans="2:8" x14ac:dyDescent="0.2">
      <c r="B289" s="132"/>
      <c r="C289" s="132"/>
      <c r="D289" s="257"/>
      <c r="E289" s="239"/>
      <c r="F289" s="239"/>
      <c r="G289" s="258" t="s">
        <v>980</v>
      </c>
      <c r="H289" s="241"/>
    </row>
    <row r="290" spans="2:8" x14ac:dyDescent="0.2">
      <c r="B290" s="132"/>
      <c r="C290" s="132"/>
      <c r="D290" s="257"/>
      <c r="E290" s="239"/>
      <c r="F290" s="239"/>
      <c r="G290" s="259" t="s">
        <v>1670</v>
      </c>
      <c r="H290" s="260"/>
    </row>
    <row r="291" spans="2:8" ht="13.5" thickBot="1" x14ac:dyDescent="0.25">
      <c r="B291" s="193"/>
      <c r="C291" s="132"/>
      <c r="D291" s="261"/>
      <c r="E291" s="251"/>
      <c r="F291" s="251"/>
      <c r="G291" s="262" t="s">
        <v>1650</v>
      </c>
      <c r="H291" s="263"/>
    </row>
    <row r="292" spans="2:8" ht="15.75" x14ac:dyDescent="0.2">
      <c r="B292" s="186" t="s">
        <v>1701</v>
      </c>
      <c r="C292" s="132"/>
      <c r="D292" s="189" t="s">
        <v>742</v>
      </c>
      <c r="E292" s="132"/>
      <c r="F292" s="132"/>
      <c r="G292" s="188"/>
      <c r="H292" s="132"/>
    </row>
    <row r="293" spans="2:8" ht="15.75" x14ac:dyDescent="0.2">
      <c r="B293" s="186" t="s">
        <v>1700</v>
      </c>
      <c r="C293" s="189" t="s">
        <v>963</v>
      </c>
      <c r="D293" s="132"/>
      <c r="E293" s="132"/>
      <c r="F293" s="132"/>
      <c r="G293" s="190"/>
      <c r="H293" s="191"/>
    </row>
    <row r="294" spans="2:8" ht="14.25" x14ac:dyDescent="0.2">
      <c r="B294" s="189"/>
      <c r="C294" s="189"/>
      <c r="D294" s="189"/>
      <c r="E294" s="189"/>
      <c r="F294" s="189"/>
      <c r="G294" s="189"/>
      <c r="H294" s="189"/>
    </row>
    <row r="295" spans="2:8" ht="15.75" x14ac:dyDescent="0.2">
      <c r="B295" s="186" t="s">
        <v>1697</v>
      </c>
      <c r="C295" s="189"/>
      <c r="D295" s="132"/>
      <c r="E295" s="132"/>
      <c r="F295" s="132"/>
      <c r="G295" s="132"/>
      <c r="H295" s="132"/>
    </row>
    <row r="296" spans="2:8" ht="15" x14ac:dyDescent="0.2">
      <c r="B296" s="192"/>
      <c r="C296" s="189"/>
      <c r="D296" s="189"/>
      <c r="E296" s="189"/>
      <c r="F296" s="189"/>
      <c r="G296" s="189"/>
      <c r="H296" s="189"/>
    </row>
    <row r="297" spans="2:8" ht="14.25" x14ac:dyDescent="0.2">
      <c r="B297" s="193" t="s">
        <v>594</v>
      </c>
      <c r="C297" s="194">
        <v>7</v>
      </c>
      <c r="D297" s="132"/>
      <c r="E297" s="188"/>
      <c r="F297" s="188"/>
      <c r="G297" s="195" t="s">
        <v>1696</v>
      </c>
      <c r="H297" s="189" t="s">
        <v>1506</v>
      </c>
    </row>
    <row r="298" spans="2:8" ht="14.25" x14ac:dyDescent="0.2">
      <c r="B298" s="196" t="s">
        <v>964</v>
      </c>
      <c r="C298" s="280" t="s">
        <v>40</v>
      </c>
      <c r="D298" s="132"/>
      <c r="E298" s="132"/>
      <c r="F298" s="132"/>
      <c r="G298" s="132"/>
      <c r="H298" s="132"/>
    </row>
    <row r="299" spans="2:8" ht="15" thickBot="1" x14ac:dyDescent="0.25">
      <c r="B299" s="187"/>
      <c r="C299" s="187"/>
      <c r="D299" s="189"/>
      <c r="E299" s="189"/>
      <c r="F299" s="189"/>
      <c r="G299" s="189"/>
      <c r="H299" s="189"/>
    </row>
    <row r="300" spans="2:8" ht="13.5" thickBot="1" x14ac:dyDescent="0.25">
      <c r="B300" s="264" t="s">
        <v>1695</v>
      </c>
      <c r="C300" s="265"/>
      <c r="D300" s="266"/>
      <c r="E300" s="265"/>
      <c r="F300" s="265"/>
      <c r="G300" s="265"/>
      <c r="H300" s="267"/>
    </row>
    <row r="301" spans="2:8" ht="25.5" x14ac:dyDescent="0.2">
      <c r="B301" s="197" t="s">
        <v>1409</v>
      </c>
      <c r="C301" s="268"/>
      <c r="D301" s="269" t="s">
        <v>966</v>
      </c>
      <c r="E301" s="270" t="s">
        <v>1694</v>
      </c>
      <c r="F301" s="270" t="s">
        <v>1693</v>
      </c>
      <c r="G301" s="201" t="s">
        <v>1687</v>
      </c>
      <c r="H301" s="271" t="s">
        <v>967</v>
      </c>
    </row>
    <row r="302" spans="2:8" x14ac:dyDescent="0.2">
      <c r="B302" s="208" t="s">
        <v>1468</v>
      </c>
      <c r="C302" s="209"/>
      <c r="D302" s="210">
        <v>1</v>
      </c>
      <c r="E302" s="211">
        <v>2.5</v>
      </c>
      <c r="F302" s="211">
        <f>D302*E302</f>
        <v>2.5</v>
      </c>
      <c r="G302" s="212">
        <v>0.6</v>
      </c>
      <c r="H302" s="213">
        <f>F302*G302</f>
        <v>1.5</v>
      </c>
    </row>
    <row r="303" spans="2:8" x14ac:dyDescent="0.2">
      <c r="B303" s="214" t="s">
        <v>1682</v>
      </c>
      <c r="C303" s="132"/>
      <c r="D303" s="215"/>
      <c r="E303" s="216" t="s">
        <v>1682</v>
      </c>
      <c r="F303" s="216" t="s">
        <v>1682</v>
      </c>
      <c r="G303" s="217"/>
      <c r="H303" s="218" t="s">
        <v>1682</v>
      </c>
    </row>
    <row r="304" spans="2:8" x14ac:dyDescent="0.2">
      <c r="B304" s="219" t="s">
        <v>1682</v>
      </c>
      <c r="C304" s="220"/>
      <c r="D304" s="221"/>
      <c r="E304" s="222" t="s">
        <v>1682</v>
      </c>
      <c r="F304" s="222" t="s">
        <v>1682</v>
      </c>
      <c r="G304" s="223"/>
      <c r="H304" s="224" t="s">
        <v>1682</v>
      </c>
    </row>
    <row r="305" spans="1:9" x14ac:dyDescent="0.2">
      <c r="B305" s="219" t="s">
        <v>968</v>
      </c>
      <c r="C305" s="220"/>
      <c r="D305" s="225"/>
      <c r="E305" s="220"/>
      <c r="F305" s="220"/>
      <c r="G305" s="226"/>
      <c r="H305" s="224">
        <f>SUM(H302:H304)</f>
        <v>1.5</v>
      </c>
    </row>
    <row r="306" spans="1:9" x14ac:dyDescent="0.2">
      <c r="B306" s="227" t="s">
        <v>1503</v>
      </c>
      <c r="C306" s="132"/>
      <c r="D306" s="188"/>
      <c r="E306" s="132"/>
      <c r="F306" s="132"/>
      <c r="G306" s="228"/>
      <c r="H306" s="218"/>
    </row>
    <row r="307" spans="1:9" ht="25.5" x14ac:dyDescent="0.2">
      <c r="B307" s="229" t="s">
        <v>1691</v>
      </c>
      <c r="C307" s="230"/>
      <c r="D307" s="231" t="s">
        <v>969</v>
      </c>
      <c r="E307" s="232" t="s">
        <v>1689</v>
      </c>
      <c r="F307" s="232" t="s">
        <v>1688</v>
      </c>
      <c r="G307" s="233" t="s">
        <v>1687</v>
      </c>
      <c r="H307" s="234" t="s">
        <v>1686</v>
      </c>
    </row>
    <row r="308" spans="1:9" ht="14.25" x14ac:dyDescent="0.2">
      <c r="A308">
        <v>20001</v>
      </c>
      <c r="B308" s="235" t="s">
        <v>243</v>
      </c>
      <c r="C308" s="132"/>
      <c r="D308" s="236">
        <v>1</v>
      </c>
      <c r="E308" s="237">
        <f>'BASE M-OBRA'!$D$3</f>
        <v>3.02</v>
      </c>
      <c r="F308" s="216">
        <f>D308*E308</f>
        <v>3.02</v>
      </c>
      <c r="G308" s="106">
        <f>IF($A308=0,"",ROUND(H308/F308,2))</f>
        <v>4.46</v>
      </c>
      <c r="H308" s="56">
        <f>IF($A308=0,"",ROUND(SUM(H309:H312)*'BASE M-OBRA'!$D$23,2))</f>
        <v>13.46</v>
      </c>
    </row>
    <row r="309" spans="1:9" ht="14.25" x14ac:dyDescent="0.2">
      <c r="A309">
        <v>20017</v>
      </c>
      <c r="B309" s="235" t="s">
        <v>1488</v>
      </c>
      <c r="C309" s="132"/>
      <c r="D309" s="236">
        <v>1</v>
      </c>
      <c r="E309" s="237">
        <f>'BASE M-OBRA'!$D$19</f>
        <v>2.82</v>
      </c>
      <c r="F309" s="216">
        <f>D309*E309</f>
        <v>2.82</v>
      </c>
      <c r="G309" s="106">
        <v>12</v>
      </c>
      <c r="H309" s="56">
        <f>IF($A309=0,"",ROUND(G309*F309,2))</f>
        <v>33.840000000000003</v>
      </c>
    </row>
    <row r="310" spans="1:9" ht="14.25" x14ac:dyDescent="0.2">
      <c r="A310">
        <v>20011</v>
      </c>
      <c r="B310" s="235" t="s">
        <v>590</v>
      </c>
      <c r="C310" s="132"/>
      <c r="D310" s="236">
        <v>1</v>
      </c>
      <c r="E310" s="237">
        <f>'BASE M-OBRA'!$D$13</f>
        <v>2.79</v>
      </c>
      <c r="F310" s="216">
        <f>D310*E310</f>
        <v>2.79</v>
      </c>
      <c r="G310" s="106">
        <f>+G309</f>
        <v>12</v>
      </c>
      <c r="H310" s="56">
        <f>IF($A310=0,"",ROUND(G310*F310,2))</f>
        <v>33.479999999999997</v>
      </c>
    </row>
    <row r="311" spans="1:9" x14ac:dyDescent="0.2">
      <c r="B311" s="235"/>
      <c r="C311" s="132"/>
      <c r="D311" s="236"/>
      <c r="E311" s="237"/>
      <c r="F311" s="216"/>
      <c r="G311" s="217"/>
      <c r="H311" s="218"/>
    </row>
    <row r="312" spans="1:9" x14ac:dyDescent="0.2">
      <c r="B312" s="219" t="s">
        <v>1682</v>
      </c>
      <c r="C312" s="220"/>
      <c r="D312" s="221"/>
      <c r="E312" s="222" t="s">
        <v>1682</v>
      </c>
      <c r="F312" s="222" t="s">
        <v>1682</v>
      </c>
      <c r="G312" s="223"/>
      <c r="H312" s="224" t="s">
        <v>1682</v>
      </c>
    </row>
    <row r="313" spans="1:9" x14ac:dyDescent="0.2">
      <c r="B313" s="238" t="s">
        <v>1681</v>
      </c>
      <c r="C313" s="239"/>
      <c r="D313" s="240"/>
      <c r="E313" s="239"/>
      <c r="F313" s="239"/>
      <c r="G313" s="239"/>
      <c r="H313" s="241">
        <f>SUM(H308:H312)</f>
        <v>80.78</v>
      </c>
      <c r="I313">
        <v>77.55</v>
      </c>
    </row>
    <row r="314" spans="1:9" x14ac:dyDescent="0.2">
      <c r="B314" s="227" t="s">
        <v>1684</v>
      </c>
      <c r="C314" s="132"/>
      <c r="D314" s="188"/>
      <c r="E314" s="132"/>
      <c r="F314" s="132"/>
      <c r="G314" s="132"/>
      <c r="H314" s="218"/>
    </row>
    <row r="315" spans="1:9" ht="25.5" x14ac:dyDescent="0.2">
      <c r="B315" s="229" t="s">
        <v>1409</v>
      </c>
      <c r="C315" s="242"/>
      <c r="D315" s="243"/>
      <c r="E315" s="232" t="s">
        <v>1408</v>
      </c>
      <c r="F315" s="231" t="s">
        <v>1679</v>
      </c>
      <c r="G315" s="232" t="s">
        <v>1683</v>
      </c>
      <c r="H315" s="234" t="s">
        <v>1675</v>
      </c>
    </row>
    <row r="316" spans="1:9" x14ac:dyDescent="0.2">
      <c r="B316" s="244" t="s">
        <v>41</v>
      </c>
      <c r="C316" s="132"/>
      <c r="D316" s="188"/>
      <c r="E316" s="215" t="s">
        <v>1506</v>
      </c>
      <c r="F316" s="215">
        <v>1</v>
      </c>
      <c r="G316" s="216">
        <v>60</v>
      </c>
      <c r="H316" s="218">
        <f>F316*G316</f>
        <v>60</v>
      </c>
    </row>
    <row r="317" spans="1:9" x14ac:dyDescent="0.2">
      <c r="B317" s="214" t="s">
        <v>42</v>
      </c>
      <c r="C317" s="132"/>
      <c r="D317" s="188"/>
      <c r="E317" s="215" t="s">
        <v>1506</v>
      </c>
      <c r="F317" s="215">
        <v>1</v>
      </c>
      <c r="G317" s="216">
        <v>65</v>
      </c>
      <c r="H317" s="218">
        <f>F317*G317</f>
        <v>65</v>
      </c>
    </row>
    <row r="318" spans="1:9" x14ac:dyDescent="0.2">
      <c r="B318" s="214" t="s">
        <v>43</v>
      </c>
      <c r="C318" s="132"/>
      <c r="D318" s="188"/>
      <c r="E318" s="215" t="s">
        <v>1506</v>
      </c>
      <c r="F318" s="215">
        <v>1</v>
      </c>
      <c r="G318" s="216">
        <v>25</v>
      </c>
      <c r="H318" s="218">
        <f>F318*G318</f>
        <v>25</v>
      </c>
    </row>
    <row r="319" spans="1:9" x14ac:dyDescent="0.2">
      <c r="B319" s="214" t="s">
        <v>44</v>
      </c>
      <c r="C319" s="132"/>
      <c r="D319" s="188"/>
      <c r="E319" s="215" t="s">
        <v>1506</v>
      </c>
      <c r="F319" s="215">
        <v>1</v>
      </c>
      <c r="G319" s="216">
        <v>45</v>
      </c>
      <c r="H319" s="218">
        <f>F319*G319</f>
        <v>45</v>
      </c>
    </row>
    <row r="320" spans="1:9" x14ac:dyDescent="0.2">
      <c r="B320" s="214"/>
      <c r="C320" s="132"/>
      <c r="D320" s="188"/>
      <c r="E320" s="215"/>
      <c r="F320" s="215"/>
      <c r="G320" s="216"/>
      <c r="H320" s="218"/>
    </row>
    <row r="321" spans="2:8" x14ac:dyDescent="0.2">
      <c r="B321" s="214" t="s">
        <v>1682</v>
      </c>
      <c r="C321" s="132"/>
      <c r="D321" s="245" t="s">
        <v>1682</v>
      </c>
      <c r="E321" s="272" t="s">
        <v>1682</v>
      </c>
      <c r="F321" s="215" t="s">
        <v>1682</v>
      </c>
      <c r="G321" s="216" t="s">
        <v>1682</v>
      </c>
      <c r="H321" s="218" t="s">
        <v>1682</v>
      </c>
    </row>
    <row r="322" spans="2:8" x14ac:dyDescent="0.2">
      <c r="B322" s="238" t="s">
        <v>1692</v>
      </c>
      <c r="C322" s="239"/>
      <c r="D322" s="240"/>
      <c r="E322" s="240"/>
      <c r="F322" s="240"/>
      <c r="G322" s="239"/>
      <c r="H322" s="241">
        <f>SUM(H316:H321)</f>
        <v>195</v>
      </c>
    </row>
    <row r="323" spans="2:8" x14ac:dyDescent="0.2">
      <c r="B323" s="227" t="s">
        <v>1680</v>
      </c>
      <c r="C323" s="132"/>
      <c r="D323" s="188"/>
      <c r="E323" s="132"/>
      <c r="F323" s="188"/>
      <c r="G323" s="132"/>
      <c r="H323" s="218"/>
    </row>
    <row r="324" spans="2:8" ht="25.5" x14ac:dyDescent="0.2">
      <c r="B324" s="229" t="s">
        <v>1409</v>
      </c>
      <c r="C324" s="242"/>
      <c r="D324" s="243"/>
      <c r="E324" s="232" t="s">
        <v>1408</v>
      </c>
      <c r="F324" s="231" t="s">
        <v>1679</v>
      </c>
      <c r="G324" s="232" t="s">
        <v>1676</v>
      </c>
      <c r="H324" s="234" t="s">
        <v>1675</v>
      </c>
    </row>
    <row r="325" spans="2:8" x14ac:dyDescent="0.2">
      <c r="B325" s="208" t="s">
        <v>975</v>
      </c>
      <c r="C325" s="209"/>
      <c r="D325" s="246"/>
      <c r="E325" s="215" t="s">
        <v>976</v>
      </c>
      <c r="F325" s="215">
        <v>0.15</v>
      </c>
      <c r="G325" s="247">
        <v>5</v>
      </c>
      <c r="H325" s="218">
        <f>F325*G325</f>
        <v>0.75</v>
      </c>
    </row>
    <row r="326" spans="2:8" x14ac:dyDescent="0.2">
      <c r="B326" s="214"/>
      <c r="C326" s="132"/>
      <c r="D326" s="248"/>
      <c r="E326" s="215"/>
      <c r="F326" s="215"/>
      <c r="G326" s="247"/>
      <c r="H326" s="218"/>
    </row>
    <row r="327" spans="2:8" x14ac:dyDescent="0.2">
      <c r="B327" s="219" t="s">
        <v>1682</v>
      </c>
      <c r="C327" s="220"/>
      <c r="D327" s="249"/>
      <c r="E327" s="221" t="s">
        <v>1682</v>
      </c>
      <c r="F327" s="221"/>
      <c r="G327" s="222" t="s">
        <v>1682</v>
      </c>
      <c r="H327" s="224" t="s">
        <v>1682</v>
      </c>
    </row>
    <row r="328" spans="2:8" ht="13.5" thickBot="1" x14ac:dyDescent="0.25">
      <c r="B328" s="250" t="s">
        <v>977</v>
      </c>
      <c r="C328" s="251"/>
      <c r="D328" s="252"/>
      <c r="E328" s="252"/>
      <c r="F328" s="252"/>
      <c r="G328" s="251"/>
      <c r="H328" s="253">
        <f>SUM(H325:H327)</f>
        <v>0.75</v>
      </c>
    </row>
    <row r="329" spans="2:8" x14ac:dyDescent="0.2">
      <c r="B329" s="132"/>
      <c r="C329" s="132"/>
      <c r="D329" s="254"/>
      <c r="E329" s="198"/>
      <c r="F329" s="198"/>
      <c r="G329" s="255" t="s">
        <v>978</v>
      </c>
      <c r="H329" s="256">
        <f>H305+H313+H322+H328</f>
        <v>278.02999999999997</v>
      </c>
    </row>
    <row r="330" spans="2:8" x14ac:dyDescent="0.2">
      <c r="B330" s="132"/>
      <c r="C330" s="132"/>
      <c r="D330" s="257"/>
      <c r="E330" s="239"/>
      <c r="F330" s="239"/>
      <c r="G330" s="258" t="s">
        <v>979</v>
      </c>
      <c r="H330" s="241"/>
    </row>
    <row r="331" spans="2:8" x14ac:dyDescent="0.2">
      <c r="B331" s="132"/>
      <c r="C331" s="132"/>
      <c r="D331" s="257"/>
      <c r="E331" s="239"/>
      <c r="F331" s="239"/>
      <c r="G331" s="258" t="s">
        <v>980</v>
      </c>
      <c r="H331" s="241"/>
    </row>
    <row r="332" spans="2:8" x14ac:dyDescent="0.2">
      <c r="B332" s="132"/>
      <c r="C332" s="132"/>
      <c r="D332" s="257"/>
      <c r="E332" s="239"/>
      <c r="F332" s="239"/>
      <c r="G332" s="259" t="s">
        <v>1670</v>
      </c>
      <c r="H332" s="260"/>
    </row>
    <row r="333" spans="2:8" ht="13.5" thickBot="1" x14ac:dyDescent="0.25">
      <c r="B333" s="193"/>
      <c r="C333" s="132"/>
      <c r="D333" s="261"/>
      <c r="E333" s="251"/>
      <c r="F333" s="251"/>
      <c r="G333" s="262" t="s">
        <v>1650</v>
      </c>
      <c r="H333" s="263"/>
    </row>
    <row r="334" spans="2:8" ht="15.75" x14ac:dyDescent="0.2">
      <c r="B334" s="186" t="s">
        <v>1701</v>
      </c>
      <c r="C334" s="132"/>
      <c r="D334" s="189" t="s">
        <v>742</v>
      </c>
      <c r="E334" s="132"/>
      <c r="F334" s="132"/>
      <c r="G334" s="188"/>
      <c r="H334" s="132"/>
    </row>
    <row r="335" spans="2:8" ht="15.75" x14ac:dyDescent="0.2">
      <c r="B335" s="186" t="s">
        <v>1700</v>
      </c>
      <c r="C335" s="189" t="s">
        <v>963</v>
      </c>
      <c r="D335" s="132"/>
      <c r="E335" s="132"/>
      <c r="F335" s="132"/>
      <c r="G335" s="190"/>
      <c r="H335" s="191"/>
    </row>
    <row r="336" spans="2:8" ht="14.25" x14ac:dyDescent="0.2">
      <c r="B336" s="189"/>
      <c r="C336" s="189"/>
      <c r="D336" s="189"/>
      <c r="E336" s="189"/>
      <c r="F336" s="189"/>
      <c r="G336" s="189"/>
      <c r="H336" s="189"/>
    </row>
    <row r="337" spans="1:8" ht="15.75" x14ac:dyDescent="0.2">
      <c r="B337" s="186" t="s">
        <v>1697</v>
      </c>
      <c r="C337" s="189"/>
      <c r="D337" s="132"/>
      <c r="E337" s="132"/>
      <c r="F337" s="132"/>
      <c r="G337" s="132"/>
      <c r="H337" s="132"/>
    </row>
    <row r="338" spans="1:8" ht="15" x14ac:dyDescent="0.2">
      <c r="B338" s="192"/>
      <c r="C338" s="189"/>
      <c r="D338" s="189"/>
      <c r="E338" s="189"/>
      <c r="F338" s="189"/>
      <c r="G338" s="189"/>
      <c r="H338" s="189"/>
    </row>
    <row r="339" spans="1:8" ht="14.25" x14ac:dyDescent="0.2">
      <c r="B339" s="193" t="s">
        <v>594</v>
      </c>
      <c r="C339" s="194">
        <v>7</v>
      </c>
      <c r="D339" s="132"/>
      <c r="E339" s="188"/>
      <c r="F339" s="188"/>
      <c r="G339" s="195" t="s">
        <v>1696</v>
      </c>
      <c r="H339" s="189" t="s">
        <v>1506</v>
      </c>
    </row>
    <row r="340" spans="1:8" ht="14.25" x14ac:dyDescent="0.2">
      <c r="B340" s="196" t="s">
        <v>964</v>
      </c>
      <c r="C340" s="194" t="s">
        <v>340</v>
      </c>
      <c r="D340" s="132"/>
      <c r="E340" s="132"/>
      <c r="F340" s="132"/>
      <c r="G340" s="132"/>
      <c r="H340" s="132"/>
    </row>
    <row r="341" spans="1:8" ht="15" thickBot="1" x14ac:dyDescent="0.25">
      <c r="B341" s="187"/>
      <c r="C341" s="187"/>
      <c r="D341" s="189"/>
      <c r="E341" s="189"/>
      <c r="F341" s="189"/>
      <c r="G341" s="189"/>
      <c r="H341" s="189"/>
    </row>
    <row r="342" spans="1:8" ht="13.5" thickBot="1" x14ac:dyDescent="0.25">
      <c r="B342" s="264" t="s">
        <v>1695</v>
      </c>
      <c r="C342" s="265"/>
      <c r="D342" s="266"/>
      <c r="E342" s="265"/>
      <c r="F342" s="265"/>
      <c r="G342" s="265"/>
      <c r="H342" s="267"/>
    </row>
    <row r="343" spans="1:8" ht="25.5" x14ac:dyDescent="0.2">
      <c r="B343" s="197" t="s">
        <v>1409</v>
      </c>
      <c r="C343" s="268"/>
      <c r="D343" s="269" t="s">
        <v>966</v>
      </c>
      <c r="E343" s="270" t="s">
        <v>1694</v>
      </c>
      <c r="F343" s="270" t="s">
        <v>1693</v>
      </c>
      <c r="G343" s="201" t="s">
        <v>1687</v>
      </c>
      <c r="H343" s="271" t="s">
        <v>967</v>
      </c>
    </row>
    <row r="344" spans="1:8" x14ac:dyDescent="0.2">
      <c r="B344" s="208" t="s">
        <v>1468</v>
      </c>
      <c r="C344" s="209"/>
      <c r="D344" s="210">
        <v>1</v>
      </c>
      <c r="E344" s="211">
        <v>2.5</v>
      </c>
      <c r="F344" s="211">
        <f>D344*E344</f>
        <v>2.5</v>
      </c>
      <c r="G344" s="212">
        <v>0.6</v>
      </c>
      <c r="H344" s="213">
        <f>F344*G344</f>
        <v>1.5</v>
      </c>
    </row>
    <row r="345" spans="1:8" x14ac:dyDescent="0.2">
      <c r="B345" s="214" t="s">
        <v>1682</v>
      </c>
      <c r="C345" s="132"/>
      <c r="D345" s="215"/>
      <c r="E345" s="216" t="s">
        <v>1682</v>
      </c>
      <c r="F345" s="216" t="s">
        <v>1682</v>
      </c>
      <c r="G345" s="217"/>
      <c r="H345" s="218" t="s">
        <v>1682</v>
      </c>
    </row>
    <row r="346" spans="1:8" x14ac:dyDescent="0.2">
      <c r="B346" s="219" t="s">
        <v>1682</v>
      </c>
      <c r="C346" s="220"/>
      <c r="D346" s="221"/>
      <c r="E346" s="222" t="s">
        <v>1682</v>
      </c>
      <c r="F346" s="222" t="s">
        <v>1682</v>
      </c>
      <c r="G346" s="223"/>
      <c r="H346" s="224" t="s">
        <v>1682</v>
      </c>
    </row>
    <row r="347" spans="1:8" x14ac:dyDescent="0.2">
      <c r="B347" s="219" t="s">
        <v>968</v>
      </c>
      <c r="C347" s="220"/>
      <c r="D347" s="225"/>
      <c r="E347" s="220"/>
      <c r="F347" s="220"/>
      <c r="G347" s="226"/>
      <c r="H347" s="224">
        <f>SUM(H344:H346)</f>
        <v>1.5</v>
      </c>
    </row>
    <row r="348" spans="1:8" x14ac:dyDescent="0.2">
      <c r="B348" s="227" t="s">
        <v>1503</v>
      </c>
      <c r="C348" s="132"/>
      <c r="D348" s="188"/>
      <c r="E348" s="132"/>
      <c r="F348" s="132"/>
      <c r="G348" s="228"/>
      <c r="H348" s="218"/>
    </row>
    <row r="349" spans="1:8" ht="25.5" x14ac:dyDescent="0.2">
      <c r="B349" s="229" t="s">
        <v>1691</v>
      </c>
      <c r="C349" s="230"/>
      <c r="D349" s="231" t="s">
        <v>969</v>
      </c>
      <c r="E349" s="232" t="s">
        <v>1689</v>
      </c>
      <c r="F349" s="232" t="s">
        <v>1688</v>
      </c>
      <c r="G349" s="233" t="s">
        <v>1687</v>
      </c>
      <c r="H349" s="234" t="s">
        <v>1686</v>
      </c>
    </row>
    <row r="350" spans="1:8" ht="14.25" x14ac:dyDescent="0.2">
      <c r="A350">
        <v>1</v>
      </c>
      <c r="B350" s="235" t="s">
        <v>243</v>
      </c>
      <c r="C350" s="132"/>
      <c r="D350" s="236">
        <v>1</v>
      </c>
      <c r="E350" s="237">
        <v>2.95</v>
      </c>
      <c r="F350" s="216">
        <f>D350*E350</f>
        <v>2.95</v>
      </c>
      <c r="G350" s="106">
        <f>IF($A350=0,"",ROUND(H350/F350,2))</f>
        <v>4.5599999999999996</v>
      </c>
      <c r="H350" s="56">
        <f>IF($A350=0,"",ROUND(SUM(H351:H354)*'BASE M-OBRA'!$D$23,2))</f>
        <v>13.44</v>
      </c>
    </row>
    <row r="351" spans="1:8" ht="14.25" x14ac:dyDescent="0.2">
      <c r="A351">
        <v>1</v>
      </c>
      <c r="B351" s="235" t="s">
        <v>1488</v>
      </c>
      <c r="C351" s="132"/>
      <c r="D351" s="236">
        <v>1</v>
      </c>
      <c r="E351" s="237">
        <v>2.81</v>
      </c>
      <c r="F351" s="216">
        <f>D351*E351</f>
        <v>2.81</v>
      </c>
      <c r="G351" s="106">
        <v>12</v>
      </c>
      <c r="H351" s="56">
        <f>IF($A351=0,"",ROUND(G351*F351,2))</f>
        <v>33.72</v>
      </c>
    </row>
    <row r="352" spans="1:8" ht="14.25" x14ac:dyDescent="0.2">
      <c r="A352">
        <v>1</v>
      </c>
      <c r="B352" s="235" t="s">
        <v>590</v>
      </c>
      <c r="C352" s="132"/>
      <c r="D352" s="236">
        <v>1</v>
      </c>
      <c r="E352" s="237">
        <v>2.79</v>
      </c>
      <c r="F352" s="216">
        <f>D352*E352</f>
        <v>2.79</v>
      </c>
      <c r="G352" s="106">
        <f>+G351</f>
        <v>12</v>
      </c>
      <c r="H352" s="56">
        <f>IF($A352=0,"",ROUND(G352*F352,2))</f>
        <v>33.479999999999997</v>
      </c>
    </row>
    <row r="353" spans="2:8" x14ac:dyDescent="0.2">
      <c r="B353" s="235"/>
      <c r="C353" s="132"/>
      <c r="D353" s="236"/>
      <c r="E353" s="237"/>
      <c r="F353" s="216"/>
      <c r="G353" s="217"/>
      <c r="H353" s="218"/>
    </row>
    <row r="354" spans="2:8" x14ac:dyDescent="0.2">
      <c r="B354" s="219" t="s">
        <v>1682</v>
      </c>
      <c r="C354" s="220"/>
      <c r="D354" s="221"/>
      <c r="E354" s="222" t="s">
        <v>1682</v>
      </c>
      <c r="F354" s="222" t="s">
        <v>1682</v>
      </c>
      <c r="G354" s="223"/>
      <c r="H354" s="224" t="s">
        <v>1682</v>
      </c>
    </row>
    <row r="355" spans="2:8" x14ac:dyDescent="0.2">
      <c r="B355" s="238" t="s">
        <v>1681</v>
      </c>
      <c r="C355" s="239"/>
      <c r="D355" s="240"/>
      <c r="E355" s="239"/>
      <c r="F355" s="239"/>
      <c r="G355" s="239"/>
      <c r="H355" s="241">
        <f>SUM(H350:H354)</f>
        <v>80.639999999999986</v>
      </c>
    </row>
    <row r="356" spans="2:8" x14ac:dyDescent="0.2">
      <c r="B356" s="227" t="s">
        <v>1684</v>
      </c>
      <c r="C356" s="132"/>
      <c r="D356" s="188"/>
      <c r="E356" s="132"/>
      <c r="F356" s="132"/>
      <c r="G356" s="132"/>
      <c r="H356" s="218"/>
    </row>
    <row r="357" spans="2:8" ht="25.5" x14ac:dyDescent="0.2">
      <c r="B357" s="229" t="s">
        <v>1409</v>
      </c>
      <c r="C357" s="242"/>
      <c r="D357" s="243"/>
      <c r="E357" s="232" t="s">
        <v>1408</v>
      </c>
      <c r="F357" s="231" t="s">
        <v>1679</v>
      </c>
      <c r="G357" s="232" t="s">
        <v>1683</v>
      </c>
      <c r="H357" s="234" t="s">
        <v>1675</v>
      </c>
    </row>
    <row r="358" spans="2:8" x14ac:dyDescent="0.2">
      <c r="B358" s="244" t="s">
        <v>341</v>
      </c>
      <c r="C358" s="132"/>
      <c r="D358" s="188"/>
      <c r="E358" s="215" t="s">
        <v>1506</v>
      </c>
      <c r="F358" s="215">
        <v>1</v>
      </c>
      <c r="G358" s="216">
        <v>135</v>
      </c>
      <c r="H358" s="218">
        <f>F358*G358</f>
        <v>135</v>
      </c>
    </row>
    <row r="359" spans="2:8" x14ac:dyDescent="0.2">
      <c r="B359" s="214" t="s">
        <v>342</v>
      </c>
      <c r="C359" s="132"/>
      <c r="D359" s="188"/>
      <c r="E359" s="215" t="s">
        <v>1506</v>
      </c>
      <c r="F359" s="215">
        <v>6</v>
      </c>
      <c r="G359" s="216">
        <v>4.07</v>
      </c>
      <c r="H359" s="218">
        <f>F359*G359</f>
        <v>24.42</v>
      </c>
    </row>
    <row r="360" spans="2:8" x14ac:dyDescent="0.2">
      <c r="B360" s="214" t="s">
        <v>343</v>
      </c>
      <c r="C360" s="132"/>
      <c r="D360" s="188"/>
      <c r="E360" s="215" t="s">
        <v>1506</v>
      </c>
      <c r="F360" s="215">
        <v>4</v>
      </c>
      <c r="G360" s="216">
        <v>8.3800000000000008</v>
      </c>
      <c r="H360" s="218">
        <f>F360*G360</f>
        <v>33.520000000000003</v>
      </c>
    </row>
    <row r="361" spans="2:8" x14ac:dyDescent="0.2">
      <c r="B361" s="214"/>
      <c r="C361" s="132"/>
      <c r="D361" s="188"/>
      <c r="E361" s="215"/>
      <c r="F361" s="215"/>
      <c r="G361" s="216"/>
      <c r="H361" s="218"/>
    </row>
    <row r="362" spans="2:8" x14ac:dyDescent="0.2">
      <c r="B362" s="214"/>
      <c r="C362" s="132"/>
      <c r="D362" s="188"/>
      <c r="E362" s="215"/>
      <c r="F362" s="215"/>
      <c r="G362" s="216"/>
      <c r="H362" s="218"/>
    </row>
    <row r="363" spans="2:8" x14ac:dyDescent="0.2">
      <c r="B363" s="214" t="s">
        <v>1682</v>
      </c>
      <c r="C363" s="132"/>
      <c r="D363" s="245" t="s">
        <v>1682</v>
      </c>
      <c r="E363" s="272" t="s">
        <v>1682</v>
      </c>
      <c r="F363" s="215" t="s">
        <v>1682</v>
      </c>
      <c r="G363" s="216" t="s">
        <v>1682</v>
      </c>
      <c r="H363" s="218" t="s">
        <v>1682</v>
      </c>
    </row>
    <row r="364" spans="2:8" x14ac:dyDescent="0.2">
      <c r="B364" s="238" t="s">
        <v>1692</v>
      </c>
      <c r="C364" s="239"/>
      <c r="D364" s="240"/>
      <c r="E364" s="240"/>
      <c r="F364" s="240"/>
      <c r="G364" s="239"/>
      <c r="H364" s="241">
        <f>SUM(H358:H363)</f>
        <v>192.94000000000003</v>
      </c>
    </row>
    <row r="365" spans="2:8" x14ac:dyDescent="0.2">
      <c r="B365" s="227" t="s">
        <v>1680</v>
      </c>
      <c r="C365" s="132"/>
      <c r="D365" s="188"/>
      <c r="E365" s="132"/>
      <c r="F365" s="188"/>
      <c r="G365" s="132"/>
      <c r="H365" s="218"/>
    </row>
    <row r="366" spans="2:8" ht="25.5" x14ac:dyDescent="0.2">
      <c r="B366" s="229" t="s">
        <v>1409</v>
      </c>
      <c r="C366" s="242"/>
      <c r="D366" s="243"/>
      <c r="E366" s="232" t="s">
        <v>1408</v>
      </c>
      <c r="F366" s="231" t="s">
        <v>1679</v>
      </c>
      <c r="G366" s="232" t="s">
        <v>1676</v>
      </c>
      <c r="H366" s="234" t="s">
        <v>1675</v>
      </c>
    </row>
    <row r="367" spans="2:8" x14ac:dyDescent="0.2">
      <c r="B367" s="208" t="s">
        <v>975</v>
      </c>
      <c r="C367" s="209"/>
      <c r="D367" s="246"/>
      <c r="E367" s="215" t="s">
        <v>976</v>
      </c>
      <c r="F367" s="215">
        <v>0.15</v>
      </c>
      <c r="G367" s="247">
        <v>5</v>
      </c>
      <c r="H367" s="218">
        <f>F367*G367</f>
        <v>0.75</v>
      </c>
    </row>
    <row r="368" spans="2:8" x14ac:dyDescent="0.2">
      <c r="B368" s="214"/>
      <c r="C368" s="132"/>
      <c r="D368" s="248"/>
      <c r="E368" s="215"/>
      <c r="F368" s="215"/>
      <c r="G368" s="247"/>
      <c r="H368" s="218"/>
    </row>
    <row r="369" spans="2:8" x14ac:dyDescent="0.2">
      <c r="B369" s="219" t="s">
        <v>1682</v>
      </c>
      <c r="C369" s="220"/>
      <c r="D369" s="249"/>
      <c r="E369" s="221" t="s">
        <v>1682</v>
      </c>
      <c r="F369" s="221"/>
      <c r="G369" s="222" t="s">
        <v>1682</v>
      </c>
      <c r="H369" s="224" t="s">
        <v>1682</v>
      </c>
    </row>
    <row r="370" spans="2:8" ht="13.5" thickBot="1" x14ac:dyDescent="0.25">
      <c r="B370" s="250" t="s">
        <v>977</v>
      </c>
      <c r="C370" s="251"/>
      <c r="D370" s="252"/>
      <c r="E370" s="252"/>
      <c r="F370" s="252"/>
      <c r="G370" s="251"/>
      <c r="H370" s="253">
        <f>SUM(H367:H369)</f>
        <v>0.75</v>
      </c>
    </row>
    <row r="371" spans="2:8" x14ac:dyDescent="0.2">
      <c r="B371" s="132"/>
      <c r="C371" s="132"/>
      <c r="D371" s="254"/>
      <c r="E371" s="198"/>
      <c r="F371" s="198"/>
      <c r="G371" s="255" t="s">
        <v>978</v>
      </c>
      <c r="H371" s="256">
        <f>H347+H355+H364+H370</f>
        <v>275.83000000000004</v>
      </c>
    </row>
    <row r="372" spans="2:8" x14ac:dyDescent="0.2">
      <c r="B372" s="132"/>
      <c r="C372" s="132"/>
      <c r="D372" s="257"/>
      <c r="E372" s="239"/>
      <c r="F372" s="239"/>
      <c r="G372" s="258" t="s">
        <v>979</v>
      </c>
      <c r="H372" s="241"/>
    </row>
    <row r="373" spans="2:8" x14ac:dyDescent="0.2">
      <c r="B373" s="132"/>
      <c r="C373" s="132"/>
      <c r="D373" s="257"/>
      <c r="E373" s="239"/>
      <c r="F373" s="239"/>
      <c r="G373" s="258" t="s">
        <v>980</v>
      </c>
      <c r="H373" s="241"/>
    </row>
    <row r="374" spans="2:8" x14ac:dyDescent="0.2">
      <c r="B374" s="132"/>
      <c r="C374" s="132"/>
      <c r="D374" s="257"/>
      <c r="E374" s="239"/>
      <c r="F374" s="239"/>
      <c r="G374" s="259" t="s">
        <v>1670</v>
      </c>
      <c r="H374" s="260"/>
    </row>
    <row r="375" spans="2:8" ht="13.5" thickBot="1" x14ac:dyDescent="0.25">
      <c r="B375" s="193"/>
      <c r="C375" s="132"/>
      <c r="D375" s="261"/>
      <c r="E375" s="251"/>
      <c r="F375" s="251"/>
      <c r="G375" s="262" t="s">
        <v>1650</v>
      </c>
      <c r="H375" s="263"/>
    </row>
    <row r="376" spans="2:8" ht="15.75" x14ac:dyDescent="0.2">
      <c r="B376" s="186" t="s">
        <v>1701</v>
      </c>
      <c r="C376" s="132"/>
      <c r="D376" s="189" t="s">
        <v>742</v>
      </c>
      <c r="E376" s="132"/>
      <c r="F376" s="132"/>
      <c r="G376" s="188"/>
      <c r="H376" s="132"/>
    </row>
    <row r="377" spans="2:8" ht="15.75" x14ac:dyDescent="0.2">
      <c r="B377" s="186" t="s">
        <v>1700</v>
      </c>
      <c r="C377" s="189" t="s">
        <v>963</v>
      </c>
      <c r="D377" s="132"/>
      <c r="E377" s="132"/>
      <c r="F377" s="132"/>
      <c r="G377" s="190"/>
      <c r="H377" s="191"/>
    </row>
    <row r="378" spans="2:8" ht="14.25" x14ac:dyDescent="0.2">
      <c r="B378" s="189"/>
      <c r="C378" s="189"/>
      <c r="D378" s="189"/>
      <c r="E378" s="189"/>
      <c r="F378" s="189"/>
      <c r="G378" s="189"/>
      <c r="H378" s="189"/>
    </row>
    <row r="379" spans="2:8" ht="15.75" x14ac:dyDescent="0.2">
      <c r="B379" s="186" t="s">
        <v>1697</v>
      </c>
      <c r="C379" s="189"/>
      <c r="D379" s="132"/>
      <c r="E379" s="132"/>
      <c r="F379" s="132"/>
      <c r="G379" s="132"/>
      <c r="H379" s="132"/>
    </row>
    <row r="380" spans="2:8" ht="15" x14ac:dyDescent="0.2">
      <c r="B380" s="192"/>
      <c r="C380" s="189"/>
      <c r="D380" s="189"/>
      <c r="E380" s="189"/>
      <c r="F380" s="189"/>
      <c r="G380" s="189"/>
      <c r="H380" s="189"/>
    </row>
    <row r="381" spans="2:8" ht="14.25" x14ac:dyDescent="0.2">
      <c r="B381" s="193" t="s">
        <v>594</v>
      </c>
      <c r="C381" s="194">
        <v>8</v>
      </c>
      <c r="D381" s="132"/>
      <c r="E381" s="188"/>
      <c r="F381" s="188"/>
      <c r="G381" s="195" t="s">
        <v>1696</v>
      </c>
      <c r="H381" s="189" t="s">
        <v>1506</v>
      </c>
    </row>
    <row r="382" spans="2:8" ht="14.25" x14ac:dyDescent="0.2">
      <c r="B382" s="196" t="s">
        <v>964</v>
      </c>
      <c r="C382" s="194" t="s">
        <v>344</v>
      </c>
      <c r="D382" s="132"/>
      <c r="E382" s="132"/>
      <c r="F382" s="132"/>
      <c r="G382" s="132"/>
      <c r="H382" s="132"/>
    </row>
    <row r="383" spans="2:8" ht="15" thickBot="1" x14ac:dyDescent="0.25">
      <c r="B383" s="187"/>
      <c r="C383" s="187"/>
      <c r="D383" s="189"/>
      <c r="E383" s="189"/>
      <c r="F383" s="189"/>
      <c r="G383" s="189"/>
      <c r="H383" s="189"/>
    </row>
    <row r="384" spans="2:8" ht="13.5" thickBot="1" x14ac:dyDescent="0.25">
      <c r="B384" s="264" t="s">
        <v>1695</v>
      </c>
      <c r="C384" s="265"/>
      <c r="D384" s="266"/>
      <c r="E384" s="265"/>
      <c r="F384" s="265"/>
      <c r="G384" s="265"/>
      <c r="H384" s="267"/>
    </row>
    <row r="385" spans="1:9" ht="25.5" x14ac:dyDescent="0.2">
      <c r="B385" s="197" t="s">
        <v>1409</v>
      </c>
      <c r="C385" s="268"/>
      <c r="D385" s="269" t="s">
        <v>966</v>
      </c>
      <c r="E385" s="270" t="s">
        <v>1694</v>
      </c>
      <c r="F385" s="270" t="s">
        <v>1693</v>
      </c>
      <c r="G385" s="201" t="s">
        <v>1687</v>
      </c>
      <c r="H385" s="271" t="s">
        <v>967</v>
      </c>
    </row>
    <row r="386" spans="1:9" x14ac:dyDescent="0.2">
      <c r="B386" s="208" t="s">
        <v>1468</v>
      </c>
      <c r="C386" s="209"/>
      <c r="D386" s="210">
        <v>1</v>
      </c>
      <c r="E386" s="211">
        <v>2.5</v>
      </c>
      <c r="F386" s="211">
        <f>D386*E386</f>
        <v>2.5</v>
      </c>
      <c r="G386" s="212">
        <v>0.5</v>
      </c>
      <c r="H386" s="213">
        <f>F386*G386</f>
        <v>1.25</v>
      </c>
    </row>
    <row r="387" spans="1:9" x14ac:dyDescent="0.2">
      <c r="B387" s="214" t="s">
        <v>1682</v>
      </c>
      <c r="C387" s="132"/>
      <c r="D387" s="215"/>
      <c r="E387" s="216" t="s">
        <v>1682</v>
      </c>
      <c r="F387" s="216" t="s">
        <v>1682</v>
      </c>
      <c r="G387" s="217"/>
      <c r="H387" s="218" t="s">
        <v>1682</v>
      </c>
    </row>
    <row r="388" spans="1:9" x14ac:dyDescent="0.2">
      <c r="B388" s="219" t="s">
        <v>1682</v>
      </c>
      <c r="C388" s="220"/>
      <c r="D388" s="221"/>
      <c r="E388" s="222" t="s">
        <v>1682</v>
      </c>
      <c r="F388" s="222" t="s">
        <v>1682</v>
      </c>
      <c r="G388" s="223"/>
      <c r="H388" s="224" t="s">
        <v>1682</v>
      </c>
    </row>
    <row r="389" spans="1:9" x14ac:dyDescent="0.2">
      <c r="B389" s="219" t="s">
        <v>968</v>
      </c>
      <c r="C389" s="220"/>
      <c r="D389" s="225"/>
      <c r="E389" s="220"/>
      <c r="F389" s="220"/>
      <c r="G389" s="226"/>
      <c r="H389" s="224">
        <f>SUM(H386:H388)</f>
        <v>1.25</v>
      </c>
    </row>
    <row r="390" spans="1:9" x14ac:dyDescent="0.2">
      <c r="B390" s="227" t="s">
        <v>1503</v>
      </c>
      <c r="C390" s="132"/>
      <c r="D390" s="188"/>
      <c r="E390" s="132"/>
      <c r="F390" s="132"/>
      <c r="G390" s="228"/>
      <c r="H390" s="218"/>
    </row>
    <row r="391" spans="1:9" ht="25.5" x14ac:dyDescent="0.2">
      <c r="B391" s="229" t="s">
        <v>1691</v>
      </c>
      <c r="C391" s="230"/>
      <c r="D391" s="231" t="s">
        <v>969</v>
      </c>
      <c r="E391" s="232" t="s">
        <v>1689</v>
      </c>
      <c r="F391" s="232" t="s">
        <v>1688</v>
      </c>
      <c r="G391" s="233" t="s">
        <v>1687</v>
      </c>
      <c r="H391" s="234" t="s">
        <v>1686</v>
      </c>
    </row>
    <row r="392" spans="1:9" ht="14.25" x14ac:dyDescent="0.2">
      <c r="A392">
        <v>20001</v>
      </c>
      <c r="B392" s="235" t="s">
        <v>243</v>
      </c>
      <c r="C392" s="132"/>
      <c r="D392" s="236">
        <v>1</v>
      </c>
      <c r="E392" s="237">
        <f>'BASE M-OBRA'!$D$3</f>
        <v>3.02</v>
      </c>
      <c r="F392" s="216">
        <f>D392*E392</f>
        <v>3.02</v>
      </c>
      <c r="G392" s="106">
        <f>IF($A392=0,"",ROUND(H392/F392,2))</f>
        <v>5.94</v>
      </c>
      <c r="H392" s="56">
        <f>IF($A392=0,"",ROUND(SUM(H393:H396)*'BASE M-OBRA'!$D$23,2))</f>
        <v>17.95</v>
      </c>
    </row>
    <row r="393" spans="1:9" ht="14.25" x14ac:dyDescent="0.2">
      <c r="A393">
        <v>20017</v>
      </c>
      <c r="B393" s="235" t="s">
        <v>1488</v>
      </c>
      <c r="C393" s="132"/>
      <c r="D393" s="236">
        <v>1</v>
      </c>
      <c r="E393" s="237">
        <f>'BASE M-OBRA'!$D$19</f>
        <v>2.82</v>
      </c>
      <c r="F393" s="216">
        <f>D393*E393</f>
        <v>2.82</v>
      </c>
      <c r="G393" s="106">
        <v>16</v>
      </c>
      <c r="H393" s="56">
        <f>IF($A393=0,"",ROUND(G393*F393,2))</f>
        <v>45.12</v>
      </c>
    </row>
    <row r="394" spans="1:9" ht="14.25" x14ac:dyDescent="0.2">
      <c r="A394">
        <v>20011</v>
      </c>
      <c r="B394" s="235" t="s">
        <v>590</v>
      </c>
      <c r="C394" s="132"/>
      <c r="D394" s="236">
        <v>1</v>
      </c>
      <c r="E394" s="237">
        <f>'BASE M-OBRA'!$D$13</f>
        <v>2.79</v>
      </c>
      <c r="F394" s="216">
        <f>D394*E394</f>
        <v>2.79</v>
      </c>
      <c r="G394" s="106">
        <f>+G393</f>
        <v>16</v>
      </c>
      <c r="H394" s="56">
        <f>IF($A394=0,"",ROUND(G394*F394,2))</f>
        <v>44.64</v>
      </c>
    </row>
    <row r="395" spans="1:9" x14ac:dyDescent="0.2">
      <c r="B395" s="235"/>
      <c r="C395" s="132"/>
      <c r="D395" s="236"/>
      <c r="E395" s="237"/>
      <c r="F395" s="216"/>
      <c r="G395" s="217"/>
      <c r="H395" s="218"/>
    </row>
    <row r="396" spans="1:9" x14ac:dyDescent="0.2">
      <c r="B396" s="219" t="s">
        <v>1682</v>
      </c>
      <c r="C396" s="220"/>
      <c r="D396" s="221"/>
      <c r="E396" s="222" t="s">
        <v>1682</v>
      </c>
      <c r="F396" s="222" t="s">
        <v>1682</v>
      </c>
      <c r="G396" s="223"/>
      <c r="H396" s="224" t="s">
        <v>1682</v>
      </c>
    </row>
    <row r="397" spans="1:9" x14ac:dyDescent="0.2">
      <c r="B397" s="238" t="s">
        <v>1681</v>
      </c>
      <c r="C397" s="239"/>
      <c r="D397" s="240"/>
      <c r="E397" s="239"/>
      <c r="F397" s="239"/>
      <c r="G397" s="239"/>
      <c r="H397" s="241">
        <f>SUM(H392:H396)</f>
        <v>107.71</v>
      </c>
      <c r="I397">
        <v>64.540000000000006</v>
      </c>
    </row>
    <row r="398" spans="1:9" x14ac:dyDescent="0.2">
      <c r="B398" s="227" t="s">
        <v>1684</v>
      </c>
      <c r="C398" s="132"/>
      <c r="D398" s="188"/>
      <c r="E398" s="132"/>
      <c r="F398" s="132"/>
      <c r="G398" s="132"/>
      <c r="H398" s="218"/>
    </row>
    <row r="399" spans="1:9" ht="25.5" x14ac:dyDescent="0.2">
      <c r="B399" s="229" t="s">
        <v>1409</v>
      </c>
      <c r="C399" s="242"/>
      <c r="D399" s="243"/>
      <c r="E399" s="232" t="s">
        <v>1408</v>
      </c>
      <c r="F399" s="231" t="s">
        <v>1679</v>
      </c>
      <c r="G399" s="232" t="s">
        <v>1683</v>
      </c>
      <c r="H399" s="234" t="s">
        <v>1675</v>
      </c>
    </row>
    <row r="400" spans="1:9" x14ac:dyDescent="0.2">
      <c r="B400" s="244" t="s">
        <v>341</v>
      </c>
      <c r="C400" s="132"/>
      <c r="D400" s="188"/>
      <c r="E400" s="215" t="s">
        <v>1506</v>
      </c>
      <c r="F400" s="215">
        <v>1</v>
      </c>
      <c r="G400" s="216">
        <v>135</v>
      </c>
      <c r="H400" s="218">
        <f>F400*G400</f>
        <v>135</v>
      </c>
    </row>
    <row r="401" spans="2:8" x14ac:dyDescent="0.2">
      <c r="B401" s="214" t="s">
        <v>342</v>
      </c>
      <c r="C401" s="132"/>
      <c r="D401" s="188"/>
      <c r="E401" s="215" t="s">
        <v>1506</v>
      </c>
      <c r="F401" s="215">
        <v>16</v>
      </c>
      <c r="G401" s="216">
        <v>4.07</v>
      </c>
      <c r="H401" s="218">
        <f>F401*G401</f>
        <v>65.12</v>
      </c>
    </row>
    <row r="402" spans="2:8" x14ac:dyDescent="0.2">
      <c r="B402" s="214" t="s">
        <v>343</v>
      </c>
      <c r="C402" s="132"/>
      <c r="D402" s="188"/>
      <c r="E402" s="215" t="s">
        <v>1506</v>
      </c>
      <c r="F402" s="215">
        <v>4</v>
      </c>
      <c r="G402" s="216">
        <v>8.3800000000000008</v>
      </c>
      <c r="H402" s="218">
        <f>F402*G402</f>
        <v>33.520000000000003</v>
      </c>
    </row>
    <row r="403" spans="2:8" x14ac:dyDescent="0.2">
      <c r="B403" s="214" t="s">
        <v>1682</v>
      </c>
      <c r="C403" s="132"/>
      <c r="D403" s="245" t="s">
        <v>1682</v>
      </c>
      <c r="E403" s="272" t="s">
        <v>1682</v>
      </c>
      <c r="F403" s="215" t="s">
        <v>1682</v>
      </c>
      <c r="G403" s="216" t="s">
        <v>1682</v>
      </c>
      <c r="H403" s="218" t="s">
        <v>1682</v>
      </c>
    </row>
    <row r="404" spans="2:8" x14ac:dyDescent="0.2">
      <c r="B404" s="238" t="s">
        <v>1692</v>
      </c>
      <c r="C404" s="239"/>
      <c r="D404" s="240"/>
      <c r="E404" s="240"/>
      <c r="F404" s="240"/>
      <c r="G404" s="239"/>
      <c r="H404" s="241">
        <f>SUM(H400:H403)</f>
        <v>233.64000000000001</v>
      </c>
    </row>
    <row r="405" spans="2:8" x14ac:dyDescent="0.2">
      <c r="B405" s="227" t="s">
        <v>1680</v>
      </c>
      <c r="C405" s="132"/>
      <c r="D405" s="188"/>
      <c r="E405" s="132"/>
      <c r="F405" s="188"/>
      <c r="G405" s="132"/>
      <c r="H405" s="218"/>
    </row>
    <row r="406" spans="2:8" ht="25.5" x14ac:dyDescent="0.2">
      <c r="B406" s="229" t="s">
        <v>1409</v>
      </c>
      <c r="C406" s="242"/>
      <c r="D406" s="243"/>
      <c r="E406" s="232" t="s">
        <v>1408</v>
      </c>
      <c r="F406" s="231" t="s">
        <v>1679</v>
      </c>
      <c r="G406" s="232" t="s">
        <v>1676</v>
      </c>
      <c r="H406" s="234" t="s">
        <v>1675</v>
      </c>
    </row>
    <row r="407" spans="2:8" x14ac:dyDescent="0.2">
      <c r="B407" s="208" t="s">
        <v>975</v>
      </c>
      <c r="C407" s="209"/>
      <c r="D407" s="246"/>
      <c r="E407" s="215" t="s">
        <v>976</v>
      </c>
      <c r="F407" s="215">
        <v>0.1</v>
      </c>
      <c r="G407" s="247">
        <v>5</v>
      </c>
      <c r="H407" s="218">
        <f>F407*G407</f>
        <v>0.5</v>
      </c>
    </row>
    <row r="408" spans="2:8" x14ac:dyDescent="0.2">
      <c r="B408" s="214"/>
      <c r="C408" s="132"/>
      <c r="D408" s="248"/>
      <c r="E408" s="215"/>
      <c r="F408" s="215"/>
      <c r="G408" s="247"/>
      <c r="H408" s="218"/>
    </row>
    <row r="409" spans="2:8" x14ac:dyDescent="0.2">
      <c r="B409" s="219" t="s">
        <v>1682</v>
      </c>
      <c r="C409" s="220"/>
      <c r="D409" s="249"/>
      <c r="E409" s="221" t="s">
        <v>1682</v>
      </c>
      <c r="F409" s="221"/>
      <c r="G409" s="222" t="s">
        <v>1682</v>
      </c>
      <c r="H409" s="224" t="s">
        <v>1682</v>
      </c>
    </row>
    <row r="410" spans="2:8" ht="13.5" thickBot="1" x14ac:dyDescent="0.25">
      <c r="B410" s="250" t="s">
        <v>977</v>
      </c>
      <c r="C410" s="251"/>
      <c r="D410" s="252"/>
      <c r="E410" s="252"/>
      <c r="F410" s="252"/>
      <c r="G410" s="251"/>
      <c r="H410" s="253">
        <f>SUM(H407:H409)</f>
        <v>0.5</v>
      </c>
    </row>
    <row r="411" spans="2:8" x14ac:dyDescent="0.2">
      <c r="B411" s="132"/>
      <c r="C411" s="132"/>
      <c r="D411" s="254"/>
      <c r="E411" s="198"/>
      <c r="F411" s="198"/>
      <c r="G411" s="255" t="s">
        <v>978</v>
      </c>
      <c r="H411" s="256">
        <f>H389+H397+H404+H410</f>
        <v>343.1</v>
      </c>
    </row>
    <row r="412" spans="2:8" x14ac:dyDescent="0.2">
      <c r="B412" s="132"/>
      <c r="C412" s="132"/>
      <c r="D412" s="257"/>
      <c r="E412" s="239"/>
      <c r="F412" s="239"/>
      <c r="G412" s="258" t="s">
        <v>979</v>
      </c>
      <c r="H412" s="241"/>
    </row>
    <row r="413" spans="2:8" x14ac:dyDescent="0.2">
      <c r="B413" s="132"/>
      <c r="C413" s="132"/>
      <c r="D413" s="257"/>
      <c r="E413" s="239"/>
      <c r="F413" s="239"/>
      <c r="G413" s="258" t="s">
        <v>980</v>
      </c>
      <c r="H413" s="241"/>
    </row>
    <row r="414" spans="2:8" x14ac:dyDescent="0.2">
      <c r="B414" s="132"/>
      <c r="C414" s="132"/>
      <c r="D414" s="257"/>
      <c r="E414" s="239"/>
      <c r="F414" s="239"/>
      <c r="G414" s="259" t="s">
        <v>1670</v>
      </c>
      <c r="H414" s="260"/>
    </row>
    <row r="415" spans="2:8" ht="13.5" thickBot="1" x14ac:dyDescent="0.25">
      <c r="B415" s="193"/>
      <c r="C415" s="132"/>
      <c r="D415" s="261"/>
      <c r="E415" s="251"/>
      <c r="F415" s="251"/>
      <c r="G415" s="262" t="s">
        <v>1650</v>
      </c>
      <c r="H415" s="263"/>
    </row>
    <row r="416" spans="2:8" ht="15.75" x14ac:dyDescent="0.2">
      <c r="B416" s="186" t="s">
        <v>1701</v>
      </c>
      <c r="C416" s="132"/>
      <c r="D416" s="189" t="s">
        <v>742</v>
      </c>
      <c r="E416" s="132"/>
      <c r="F416" s="132"/>
      <c r="G416" s="188"/>
      <c r="H416" s="132"/>
    </row>
    <row r="417" spans="1:8" ht="15.75" x14ac:dyDescent="0.2">
      <c r="B417" s="186" t="s">
        <v>1700</v>
      </c>
      <c r="C417" s="189" t="s">
        <v>963</v>
      </c>
      <c r="D417" s="132"/>
      <c r="E417" s="132"/>
      <c r="F417" s="132"/>
      <c r="G417" s="190"/>
      <c r="H417" s="191"/>
    </row>
    <row r="418" spans="1:8" ht="14.25" x14ac:dyDescent="0.2">
      <c r="B418" s="189"/>
      <c r="C418" s="189"/>
      <c r="D418" s="189"/>
      <c r="E418" s="189"/>
      <c r="F418" s="189"/>
      <c r="G418" s="189"/>
      <c r="H418" s="189"/>
    </row>
    <row r="419" spans="1:8" ht="15.75" x14ac:dyDescent="0.2">
      <c r="B419" s="186" t="s">
        <v>1697</v>
      </c>
      <c r="C419" s="189"/>
      <c r="D419" s="132"/>
      <c r="E419" s="132"/>
      <c r="F419" s="132"/>
      <c r="G419" s="132"/>
      <c r="H419" s="132"/>
    </row>
    <row r="420" spans="1:8" ht="15" x14ac:dyDescent="0.2">
      <c r="B420" s="192"/>
      <c r="C420" s="189"/>
      <c r="D420" s="189"/>
      <c r="E420" s="189"/>
      <c r="F420" s="189"/>
      <c r="G420" s="189"/>
      <c r="H420" s="189"/>
    </row>
    <row r="421" spans="1:8" ht="14.25" x14ac:dyDescent="0.2">
      <c r="B421" s="193" t="s">
        <v>594</v>
      </c>
      <c r="C421" s="194">
        <v>9</v>
      </c>
      <c r="D421" s="132"/>
      <c r="E421" s="188"/>
      <c r="F421" s="188"/>
      <c r="G421" s="195" t="s">
        <v>1696</v>
      </c>
      <c r="H421" s="189" t="s">
        <v>1506</v>
      </c>
    </row>
    <row r="422" spans="1:8" ht="14.25" x14ac:dyDescent="0.2">
      <c r="B422" s="196" t="s">
        <v>964</v>
      </c>
      <c r="C422" s="280" t="s">
        <v>345</v>
      </c>
      <c r="D422" s="132"/>
      <c r="E422" s="132"/>
      <c r="F422" s="132"/>
      <c r="G422" s="132"/>
      <c r="H422" s="132"/>
    </row>
    <row r="423" spans="1:8" ht="15" thickBot="1" x14ac:dyDescent="0.25">
      <c r="B423" s="187"/>
      <c r="C423" s="187"/>
      <c r="D423" s="189"/>
      <c r="E423" s="189"/>
      <c r="F423" s="189"/>
      <c r="G423" s="189"/>
      <c r="H423" s="189"/>
    </row>
    <row r="424" spans="1:8" ht="13.5" thickBot="1" x14ac:dyDescent="0.25">
      <c r="B424" s="264" t="s">
        <v>1695</v>
      </c>
      <c r="C424" s="265"/>
      <c r="D424" s="266"/>
      <c r="E424" s="265"/>
      <c r="F424" s="265"/>
      <c r="G424" s="265"/>
      <c r="H424" s="267"/>
    </row>
    <row r="425" spans="1:8" ht="25.5" x14ac:dyDescent="0.2">
      <c r="B425" s="197" t="s">
        <v>1409</v>
      </c>
      <c r="C425" s="268"/>
      <c r="D425" s="269" t="s">
        <v>966</v>
      </c>
      <c r="E425" s="270" t="s">
        <v>1694</v>
      </c>
      <c r="F425" s="270" t="s">
        <v>1693</v>
      </c>
      <c r="G425" s="201" t="s">
        <v>1687</v>
      </c>
      <c r="H425" s="271" t="s">
        <v>967</v>
      </c>
    </row>
    <row r="426" spans="1:8" x14ac:dyDescent="0.2">
      <c r="B426" s="208" t="s">
        <v>1468</v>
      </c>
      <c r="C426" s="209"/>
      <c r="D426" s="210">
        <v>1</v>
      </c>
      <c r="E426" s="211">
        <v>2.5</v>
      </c>
      <c r="F426" s="211">
        <f>D426*E426</f>
        <v>2.5</v>
      </c>
      <c r="G426" s="212">
        <v>0.5</v>
      </c>
      <c r="H426" s="213">
        <f>F426*G426</f>
        <v>1.25</v>
      </c>
    </row>
    <row r="427" spans="1:8" x14ac:dyDescent="0.2">
      <c r="B427" s="214" t="s">
        <v>1682</v>
      </c>
      <c r="C427" s="132"/>
      <c r="D427" s="215"/>
      <c r="E427" s="216" t="s">
        <v>1682</v>
      </c>
      <c r="F427" s="216" t="s">
        <v>1682</v>
      </c>
      <c r="G427" s="217"/>
      <c r="H427" s="218" t="s">
        <v>1682</v>
      </c>
    </row>
    <row r="428" spans="1:8" x14ac:dyDescent="0.2">
      <c r="B428" s="219" t="s">
        <v>1682</v>
      </c>
      <c r="C428" s="220"/>
      <c r="D428" s="221"/>
      <c r="E428" s="222" t="s">
        <v>1682</v>
      </c>
      <c r="F428" s="222" t="s">
        <v>1682</v>
      </c>
      <c r="G428" s="223"/>
      <c r="H428" s="224" t="s">
        <v>1682</v>
      </c>
    </row>
    <row r="429" spans="1:8" x14ac:dyDescent="0.2">
      <c r="B429" s="219" t="s">
        <v>968</v>
      </c>
      <c r="C429" s="220"/>
      <c r="D429" s="225"/>
      <c r="E429" s="220"/>
      <c r="F429" s="220"/>
      <c r="G429" s="226"/>
      <c r="H429" s="224">
        <f>SUM(H426:H428)</f>
        <v>1.25</v>
      </c>
    </row>
    <row r="430" spans="1:8" x14ac:dyDescent="0.2">
      <c r="B430" s="227" t="s">
        <v>1503</v>
      </c>
      <c r="C430" s="132"/>
      <c r="D430" s="188"/>
      <c r="E430" s="132"/>
      <c r="F430" s="132"/>
      <c r="G430" s="228"/>
      <c r="H430" s="218"/>
    </row>
    <row r="431" spans="1:8" ht="25.5" x14ac:dyDescent="0.2">
      <c r="B431" s="229" t="s">
        <v>1691</v>
      </c>
      <c r="C431" s="230"/>
      <c r="D431" s="231" t="s">
        <v>969</v>
      </c>
      <c r="E431" s="232" t="s">
        <v>1689</v>
      </c>
      <c r="F431" s="232" t="s">
        <v>1688</v>
      </c>
      <c r="G431" s="233" t="s">
        <v>1687</v>
      </c>
      <c r="H431" s="234" t="s">
        <v>1686</v>
      </c>
    </row>
    <row r="432" spans="1:8" ht="14.25" x14ac:dyDescent="0.2">
      <c r="A432">
        <v>20001</v>
      </c>
      <c r="B432" s="235" t="s">
        <v>243</v>
      </c>
      <c r="C432" s="132"/>
      <c r="D432" s="236">
        <v>1</v>
      </c>
      <c r="E432" s="237">
        <f>'BASE M-OBRA'!$D$3</f>
        <v>3.02</v>
      </c>
      <c r="F432" s="216">
        <f>D432*E432</f>
        <v>3.02</v>
      </c>
      <c r="G432" s="106">
        <f>IF($A432=0,"",ROUND(H432/F432,2))</f>
        <v>4.2699999999999996</v>
      </c>
      <c r="H432" s="56">
        <f>IF($A432=0,"",ROUND(SUM(H433:H436)*'BASE M-OBRA'!$D$23,2))</f>
        <v>12.9</v>
      </c>
    </row>
    <row r="433" spans="1:9" ht="14.25" x14ac:dyDescent="0.2">
      <c r="A433">
        <v>20017</v>
      </c>
      <c r="B433" s="235" t="s">
        <v>1488</v>
      </c>
      <c r="C433" s="132"/>
      <c r="D433" s="236">
        <v>1</v>
      </c>
      <c r="E433" s="237">
        <f>'BASE M-OBRA'!$D$19</f>
        <v>2.82</v>
      </c>
      <c r="F433" s="216">
        <f>D433*E433</f>
        <v>2.82</v>
      </c>
      <c r="G433" s="106">
        <v>11.5</v>
      </c>
      <c r="H433" s="56">
        <f>IF($A433=0,"",ROUND(G433*F433,2))</f>
        <v>32.43</v>
      </c>
    </row>
    <row r="434" spans="1:9" ht="14.25" x14ac:dyDescent="0.2">
      <c r="A434">
        <v>20011</v>
      </c>
      <c r="B434" s="235" t="s">
        <v>590</v>
      </c>
      <c r="C434" s="132"/>
      <c r="D434" s="236">
        <v>1</v>
      </c>
      <c r="E434" s="237">
        <f>'BASE M-OBRA'!$D$13</f>
        <v>2.79</v>
      </c>
      <c r="F434" s="216">
        <f>D434*E434</f>
        <v>2.79</v>
      </c>
      <c r="G434" s="106">
        <f>+G433</f>
        <v>11.5</v>
      </c>
      <c r="H434" s="56">
        <f>IF($A434=0,"",ROUND(G434*F434,2))</f>
        <v>32.090000000000003</v>
      </c>
    </row>
    <row r="435" spans="1:9" x14ac:dyDescent="0.2">
      <c r="B435" s="235"/>
      <c r="C435" s="132"/>
      <c r="D435" s="236"/>
      <c r="E435" s="237"/>
      <c r="F435" s="216"/>
      <c r="G435" s="217"/>
      <c r="H435" s="218"/>
    </row>
    <row r="436" spans="1:9" x14ac:dyDescent="0.2">
      <c r="B436" s="219" t="s">
        <v>1682</v>
      </c>
      <c r="C436" s="220"/>
      <c r="D436" s="221"/>
      <c r="E436" s="222" t="s">
        <v>1682</v>
      </c>
      <c r="F436" s="222" t="s">
        <v>1682</v>
      </c>
      <c r="G436" s="223"/>
      <c r="H436" s="224" t="s">
        <v>1682</v>
      </c>
    </row>
    <row r="437" spans="1:9" x14ac:dyDescent="0.2">
      <c r="B437" s="238" t="s">
        <v>1681</v>
      </c>
      <c r="C437" s="239"/>
      <c r="D437" s="240"/>
      <c r="E437" s="239"/>
      <c r="F437" s="239"/>
      <c r="G437" s="239"/>
      <c r="H437" s="241">
        <f>SUM(H432:H436)</f>
        <v>77.42</v>
      </c>
      <c r="I437">
        <v>67.23</v>
      </c>
    </row>
    <row r="438" spans="1:9" x14ac:dyDescent="0.2">
      <c r="B438" s="227" t="s">
        <v>1684</v>
      </c>
      <c r="C438" s="132"/>
      <c r="D438" s="188"/>
      <c r="E438" s="132"/>
      <c r="F438" s="132"/>
      <c r="G438" s="132"/>
      <c r="H438" s="218"/>
    </row>
    <row r="439" spans="1:9" ht="25.5" x14ac:dyDescent="0.2">
      <c r="B439" s="229" t="s">
        <v>1409</v>
      </c>
      <c r="C439" s="242"/>
      <c r="D439" s="243"/>
      <c r="E439" s="232" t="s">
        <v>1408</v>
      </c>
      <c r="F439" s="231" t="s">
        <v>1679</v>
      </c>
      <c r="G439" s="232" t="s">
        <v>1683</v>
      </c>
      <c r="H439" s="234" t="s">
        <v>1675</v>
      </c>
    </row>
    <row r="440" spans="1:9" x14ac:dyDescent="0.2">
      <c r="B440" s="244" t="s">
        <v>346</v>
      </c>
      <c r="C440" s="132"/>
      <c r="D440" s="188"/>
      <c r="E440" s="215" t="s">
        <v>1506</v>
      </c>
      <c r="F440" s="215">
        <v>1</v>
      </c>
      <c r="G440" s="216">
        <v>136.79</v>
      </c>
      <c r="H440" s="218">
        <f>F440*G440</f>
        <v>136.79</v>
      </c>
    </row>
    <row r="441" spans="1:9" x14ac:dyDescent="0.2">
      <c r="B441" s="214" t="s">
        <v>347</v>
      </c>
      <c r="C441" s="132"/>
      <c r="D441" s="188"/>
      <c r="E441" s="215" t="s">
        <v>1506</v>
      </c>
      <c r="F441" s="215">
        <v>1</v>
      </c>
      <c r="G441" s="216">
        <v>8.3800000000000008</v>
      </c>
      <c r="H441" s="218">
        <v>83.8</v>
      </c>
    </row>
    <row r="442" spans="1:9" x14ac:dyDescent="0.2">
      <c r="B442" s="214"/>
      <c r="C442" s="132"/>
      <c r="D442" s="188"/>
      <c r="E442" s="215"/>
      <c r="F442" s="215"/>
      <c r="G442" s="216"/>
      <c r="H442" s="218"/>
    </row>
    <row r="443" spans="1:9" x14ac:dyDescent="0.2">
      <c r="B443" s="214" t="s">
        <v>1682</v>
      </c>
      <c r="C443" s="132"/>
      <c r="D443" s="245" t="s">
        <v>1682</v>
      </c>
      <c r="E443" s="272" t="s">
        <v>1682</v>
      </c>
      <c r="F443" s="215" t="s">
        <v>1682</v>
      </c>
      <c r="G443" s="216" t="s">
        <v>1682</v>
      </c>
      <c r="H443" s="218" t="s">
        <v>1682</v>
      </c>
    </row>
    <row r="444" spans="1:9" x14ac:dyDescent="0.2">
      <c r="B444" s="238" t="s">
        <v>1692</v>
      </c>
      <c r="C444" s="239"/>
      <c r="D444" s="240"/>
      <c r="E444" s="240"/>
      <c r="F444" s="240"/>
      <c r="G444" s="239"/>
      <c r="H444" s="241">
        <f>SUM(H440:H443)</f>
        <v>220.58999999999997</v>
      </c>
    </row>
    <row r="445" spans="1:9" x14ac:dyDescent="0.2">
      <c r="B445" s="227" t="s">
        <v>1680</v>
      </c>
      <c r="C445" s="132"/>
      <c r="D445" s="188"/>
      <c r="E445" s="132"/>
      <c r="F445" s="188"/>
      <c r="G445" s="132"/>
      <c r="H445" s="218"/>
    </row>
    <row r="446" spans="1:9" ht="25.5" x14ac:dyDescent="0.2">
      <c r="B446" s="229" t="s">
        <v>1409</v>
      </c>
      <c r="C446" s="242"/>
      <c r="D446" s="243"/>
      <c r="E446" s="232" t="s">
        <v>1408</v>
      </c>
      <c r="F446" s="231" t="s">
        <v>1679</v>
      </c>
      <c r="G446" s="232" t="s">
        <v>1676</v>
      </c>
      <c r="H446" s="234" t="s">
        <v>1675</v>
      </c>
    </row>
    <row r="447" spans="1:9" x14ac:dyDescent="0.2">
      <c r="B447" s="208" t="s">
        <v>975</v>
      </c>
      <c r="C447" s="209"/>
      <c r="D447" s="246"/>
      <c r="E447" s="215" t="s">
        <v>976</v>
      </c>
      <c r="F447" s="215">
        <v>0.1</v>
      </c>
      <c r="G447" s="247">
        <v>5</v>
      </c>
      <c r="H447" s="218">
        <f>F447*G447</f>
        <v>0.5</v>
      </c>
    </row>
    <row r="448" spans="1:9" x14ac:dyDescent="0.2">
      <c r="B448" s="214"/>
      <c r="C448" s="132"/>
      <c r="D448" s="248"/>
      <c r="E448" s="215"/>
      <c r="F448" s="215"/>
      <c r="G448" s="247"/>
      <c r="H448" s="218"/>
    </row>
    <row r="449" spans="2:8" x14ac:dyDescent="0.2">
      <c r="B449" s="219" t="s">
        <v>1682</v>
      </c>
      <c r="C449" s="220"/>
      <c r="D449" s="249"/>
      <c r="E449" s="221" t="s">
        <v>1682</v>
      </c>
      <c r="F449" s="221"/>
      <c r="G449" s="222" t="s">
        <v>1682</v>
      </c>
      <c r="H449" s="224" t="s">
        <v>1682</v>
      </c>
    </row>
    <row r="450" spans="2:8" ht="13.5" thickBot="1" x14ac:dyDescent="0.25">
      <c r="B450" s="250" t="s">
        <v>977</v>
      </c>
      <c r="C450" s="251"/>
      <c r="D450" s="252"/>
      <c r="E450" s="252"/>
      <c r="F450" s="252"/>
      <c r="G450" s="251"/>
      <c r="H450" s="253">
        <f>SUM(H447:H449)</f>
        <v>0.5</v>
      </c>
    </row>
    <row r="451" spans="2:8" x14ac:dyDescent="0.2">
      <c r="B451" s="132"/>
      <c r="C451" s="132"/>
      <c r="D451" s="254"/>
      <c r="E451" s="198"/>
      <c r="F451" s="198"/>
      <c r="G451" s="255" t="s">
        <v>978</v>
      </c>
      <c r="H451" s="256">
        <f>H429+H437+H444+H450</f>
        <v>299.76</v>
      </c>
    </row>
    <row r="452" spans="2:8" x14ac:dyDescent="0.2">
      <c r="B452" s="132"/>
      <c r="C452" s="132"/>
      <c r="D452" s="257"/>
      <c r="E452" s="239"/>
      <c r="F452" s="239"/>
      <c r="G452" s="258" t="s">
        <v>979</v>
      </c>
      <c r="H452" s="241"/>
    </row>
    <row r="453" spans="2:8" x14ac:dyDescent="0.2">
      <c r="B453" s="132"/>
      <c r="C453" s="132"/>
      <c r="D453" s="257"/>
      <c r="E453" s="239"/>
      <c r="F453" s="239"/>
      <c r="G453" s="258" t="s">
        <v>980</v>
      </c>
      <c r="H453" s="241"/>
    </row>
    <row r="454" spans="2:8" x14ac:dyDescent="0.2">
      <c r="B454" s="132"/>
      <c r="C454" s="132"/>
      <c r="D454" s="257"/>
      <c r="E454" s="239"/>
      <c r="F454" s="239"/>
      <c r="G454" s="259" t="s">
        <v>1670</v>
      </c>
      <c r="H454" s="260"/>
    </row>
    <row r="455" spans="2:8" ht="13.5" thickBot="1" x14ac:dyDescent="0.25">
      <c r="B455" s="193"/>
      <c r="C455" s="132"/>
      <c r="D455" s="261"/>
      <c r="E455" s="251"/>
      <c r="F455" s="251"/>
      <c r="G455" s="262" t="s">
        <v>1650</v>
      </c>
      <c r="H455" s="263"/>
    </row>
    <row r="456" spans="2:8" ht="15.75" x14ac:dyDescent="0.2">
      <c r="B456" s="186" t="s">
        <v>1701</v>
      </c>
      <c r="C456" s="132"/>
      <c r="D456" s="189" t="s">
        <v>742</v>
      </c>
      <c r="E456" s="132"/>
      <c r="F456" s="132"/>
      <c r="G456" s="188"/>
      <c r="H456" s="132"/>
    </row>
    <row r="457" spans="2:8" ht="15.75" x14ac:dyDescent="0.2">
      <c r="B457" s="186" t="s">
        <v>1700</v>
      </c>
      <c r="C457" s="189" t="s">
        <v>963</v>
      </c>
      <c r="D457" s="132"/>
      <c r="E457" s="132"/>
      <c r="F457" s="132"/>
      <c r="G457" s="190"/>
      <c r="H457" s="191"/>
    </row>
    <row r="458" spans="2:8" ht="14.25" x14ac:dyDescent="0.2">
      <c r="B458" s="189"/>
      <c r="C458" s="189"/>
      <c r="D458" s="189"/>
      <c r="E458" s="189"/>
      <c r="F458" s="189"/>
      <c r="G458" s="189"/>
      <c r="H458" s="189"/>
    </row>
    <row r="459" spans="2:8" ht="15.75" x14ac:dyDescent="0.2">
      <c r="B459" s="186" t="s">
        <v>1697</v>
      </c>
      <c r="C459" s="189"/>
      <c r="D459" s="132"/>
      <c r="E459" s="132"/>
      <c r="F459" s="132"/>
      <c r="G459" s="132"/>
      <c r="H459" s="132"/>
    </row>
    <row r="460" spans="2:8" ht="15" x14ac:dyDescent="0.2">
      <c r="B460" s="192"/>
      <c r="C460" s="189"/>
      <c r="D460" s="189"/>
      <c r="E460" s="189"/>
      <c r="F460" s="189"/>
      <c r="G460" s="189"/>
      <c r="H460" s="189"/>
    </row>
    <row r="461" spans="2:8" ht="14.25" x14ac:dyDescent="0.2">
      <c r="B461" s="193" t="s">
        <v>594</v>
      </c>
      <c r="C461" s="194">
        <v>10</v>
      </c>
      <c r="D461" s="132"/>
      <c r="E461" s="188"/>
      <c r="F461" s="188"/>
      <c r="G461" s="195" t="s">
        <v>1696</v>
      </c>
      <c r="H461" s="189" t="s">
        <v>1506</v>
      </c>
    </row>
    <row r="462" spans="2:8" ht="14.25" x14ac:dyDescent="0.2">
      <c r="B462" s="196" t="s">
        <v>964</v>
      </c>
      <c r="C462" s="194" t="s">
        <v>348</v>
      </c>
      <c r="D462" s="132"/>
      <c r="E462" s="132"/>
      <c r="F462" s="132"/>
      <c r="G462" s="132"/>
      <c r="H462" s="132"/>
    </row>
    <row r="463" spans="2:8" ht="15" thickBot="1" x14ac:dyDescent="0.25">
      <c r="B463" s="187"/>
      <c r="C463" s="187"/>
      <c r="D463" s="189"/>
      <c r="E463" s="189"/>
      <c r="F463" s="189"/>
      <c r="G463" s="189"/>
      <c r="H463" s="189"/>
    </row>
    <row r="464" spans="2:8" ht="13.5" thickBot="1" x14ac:dyDescent="0.25">
      <c r="B464" s="264" t="s">
        <v>1695</v>
      </c>
      <c r="C464" s="265"/>
      <c r="D464" s="266"/>
      <c r="E464" s="265"/>
      <c r="F464" s="265"/>
      <c r="G464" s="265"/>
      <c r="H464" s="267"/>
    </row>
    <row r="465" spans="2:8" ht="25.5" x14ac:dyDescent="0.2">
      <c r="B465" s="197" t="s">
        <v>1409</v>
      </c>
      <c r="C465" s="268"/>
      <c r="D465" s="269" t="s">
        <v>966</v>
      </c>
      <c r="E465" s="270" t="s">
        <v>1694</v>
      </c>
      <c r="F465" s="270" t="s">
        <v>1693</v>
      </c>
      <c r="G465" s="201" t="s">
        <v>1687</v>
      </c>
      <c r="H465" s="271" t="s">
        <v>967</v>
      </c>
    </row>
    <row r="466" spans="2:8" x14ac:dyDescent="0.2">
      <c r="B466" s="208" t="s">
        <v>1468</v>
      </c>
      <c r="C466" s="209"/>
      <c r="D466" s="210">
        <v>1</v>
      </c>
      <c r="E466" s="211">
        <v>2.5</v>
      </c>
      <c r="F466" s="211">
        <f>D466*E466</f>
        <v>2.5</v>
      </c>
      <c r="G466" s="212">
        <v>0.5</v>
      </c>
      <c r="H466" s="213">
        <f>F466*G466</f>
        <v>1.25</v>
      </c>
    </row>
    <row r="467" spans="2:8" x14ac:dyDescent="0.2">
      <c r="B467" s="214" t="s">
        <v>1682</v>
      </c>
      <c r="C467" s="132"/>
      <c r="D467" s="215"/>
      <c r="E467" s="216" t="s">
        <v>1682</v>
      </c>
      <c r="F467" s="216" t="s">
        <v>1682</v>
      </c>
      <c r="G467" s="217"/>
      <c r="H467" s="218" t="s">
        <v>1682</v>
      </c>
    </row>
    <row r="468" spans="2:8" x14ac:dyDescent="0.2">
      <c r="B468" s="219" t="s">
        <v>1682</v>
      </c>
      <c r="C468" s="220"/>
      <c r="D468" s="221"/>
      <c r="E468" s="222" t="s">
        <v>1682</v>
      </c>
      <c r="F468" s="222" t="s">
        <v>1682</v>
      </c>
      <c r="G468" s="223"/>
      <c r="H468" s="224" t="s">
        <v>1682</v>
      </c>
    </row>
    <row r="469" spans="2:8" x14ac:dyDescent="0.2">
      <c r="B469" s="219" t="s">
        <v>968</v>
      </c>
      <c r="C469" s="220"/>
      <c r="D469" s="225"/>
      <c r="E469" s="220"/>
      <c r="F469" s="220"/>
      <c r="G469" s="226"/>
      <c r="H469" s="224">
        <f>SUM(H466:H468)</f>
        <v>1.25</v>
      </c>
    </row>
    <row r="470" spans="2:8" x14ac:dyDescent="0.2">
      <c r="B470" s="227" t="s">
        <v>1503</v>
      </c>
      <c r="C470" s="132"/>
      <c r="D470" s="188"/>
      <c r="E470" s="132"/>
      <c r="F470" s="132"/>
      <c r="G470" s="228"/>
      <c r="H470" s="218"/>
    </row>
    <row r="471" spans="2:8" ht="25.5" x14ac:dyDescent="0.2">
      <c r="B471" s="229" t="s">
        <v>1691</v>
      </c>
      <c r="C471" s="230"/>
      <c r="D471" s="231" t="s">
        <v>969</v>
      </c>
      <c r="E471" s="232" t="s">
        <v>1689</v>
      </c>
      <c r="F471" s="232" t="s">
        <v>1688</v>
      </c>
      <c r="G471" s="233" t="s">
        <v>1687</v>
      </c>
      <c r="H471" s="234" t="s">
        <v>1686</v>
      </c>
    </row>
    <row r="472" spans="2:8" x14ac:dyDescent="0.2">
      <c r="B472" s="235" t="s">
        <v>243</v>
      </c>
      <c r="C472" s="132"/>
      <c r="D472" s="236">
        <v>1</v>
      </c>
      <c r="E472" s="237">
        <v>2.13</v>
      </c>
      <c r="F472" s="216">
        <f>D472*E472</f>
        <v>2.13</v>
      </c>
      <c r="G472" s="217">
        <v>13.94</v>
      </c>
      <c r="H472" s="213">
        <f>F472*G472</f>
        <v>29.692199999999996</v>
      </c>
    </row>
    <row r="473" spans="2:8" x14ac:dyDescent="0.2">
      <c r="B473" s="235" t="s">
        <v>1488</v>
      </c>
      <c r="C473" s="132"/>
      <c r="D473" s="236">
        <v>1</v>
      </c>
      <c r="E473" s="237">
        <v>2.13</v>
      </c>
      <c r="F473" s="216">
        <f>D473*E473</f>
        <v>2.13</v>
      </c>
      <c r="G473" s="217">
        <v>9.5399999999999991</v>
      </c>
      <c r="H473" s="218">
        <f>F473*G473</f>
        <v>20.320199999999996</v>
      </c>
    </row>
    <row r="474" spans="2:8" x14ac:dyDescent="0.2">
      <c r="B474" s="235" t="s">
        <v>590</v>
      </c>
      <c r="C474" s="132"/>
      <c r="D474" s="236">
        <v>1</v>
      </c>
      <c r="E474" s="237">
        <v>2.13</v>
      </c>
      <c r="F474" s="216">
        <f>D474*E474</f>
        <v>2.13</v>
      </c>
      <c r="G474" s="217">
        <v>6.82</v>
      </c>
      <c r="H474" s="218">
        <f>F474*G474</f>
        <v>14.5266</v>
      </c>
    </row>
    <row r="475" spans="2:8" x14ac:dyDescent="0.2">
      <c r="B475" s="235"/>
      <c r="C475" s="132"/>
      <c r="D475" s="236"/>
      <c r="E475" s="237"/>
      <c r="F475" s="216"/>
      <c r="G475" s="217"/>
      <c r="H475" s="218"/>
    </row>
    <row r="476" spans="2:8" x14ac:dyDescent="0.2">
      <c r="B476" s="219" t="s">
        <v>1682</v>
      </c>
      <c r="C476" s="220"/>
      <c r="D476" s="221"/>
      <c r="E476" s="222" t="s">
        <v>1682</v>
      </c>
      <c r="F476" s="222" t="s">
        <v>1682</v>
      </c>
      <c r="G476" s="223"/>
      <c r="H476" s="224" t="s">
        <v>1682</v>
      </c>
    </row>
    <row r="477" spans="2:8" x14ac:dyDescent="0.2">
      <c r="B477" s="238" t="s">
        <v>1681</v>
      </c>
      <c r="C477" s="239"/>
      <c r="D477" s="240"/>
      <c r="E477" s="239"/>
      <c r="F477" s="239"/>
      <c r="G477" s="239"/>
      <c r="H477" s="241">
        <f>SUM(H472:H476)</f>
        <v>64.538999999999987</v>
      </c>
    </row>
    <row r="478" spans="2:8" x14ac:dyDescent="0.2">
      <c r="B478" s="227" t="s">
        <v>1684</v>
      </c>
      <c r="C478" s="132"/>
      <c r="D478" s="188"/>
      <c r="E478" s="132"/>
      <c r="F478" s="132"/>
      <c r="G478" s="132"/>
      <c r="H478" s="218"/>
    </row>
    <row r="479" spans="2:8" ht="25.5" x14ac:dyDescent="0.2">
      <c r="B479" s="229" t="s">
        <v>1409</v>
      </c>
      <c r="C479" s="242"/>
      <c r="D479" s="243"/>
      <c r="E479" s="232" t="s">
        <v>1408</v>
      </c>
      <c r="F479" s="231" t="s">
        <v>1679</v>
      </c>
      <c r="G479" s="232" t="s">
        <v>1683</v>
      </c>
      <c r="H479" s="234" t="s">
        <v>1675</v>
      </c>
    </row>
    <row r="480" spans="2:8" x14ac:dyDescent="0.2">
      <c r="B480" s="244" t="s">
        <v>349</v>
      </c>
      <c r="C480" s="132"/>
      <c r="D480" s="188"/>
      <c r="E480" s="215"/>
      <c r="F480" s="215"/>
      <c r="G480" s="216"/>
      <c r="H480" s="218"/>
    </row>
    <row r="481" spans="2:8" x14ac:dyDescent="0.2">
      <c r="B481" s="214" t="s">
        <v>323</v>
      </c>
      <c r="C481" s="132"/>
      <c r="D481" s="188"/>
      <c r="E481" s="215"/>
      <c r="F481" s="215"/>
      <c r="G481" s="216"/>
      <c r="H481" s="218"/>
    </row>
    <row r="482" spans="2:8" x14ac:dyDescent="0.2">
      <c r="B482" s="214" t="s">
        <v>350</v>
      </c>
      <c r="C482" s="132"/>
      <c r="D482" s="188"/>
      <c r="E482" s="215" t="s">
        <v>1506</v>
      </c>
      <c r="F482" s="215">
        <v>2</v>
      </c>
      <c r="G482" s="216"/>
      <c r="H482" s="218"/>
    </row>
    <row r="483" spans="2:8" x14ac:dyDescent="0.2">
      <c r="B483" s="214" t="s">
        <v>351</v>
      </c>
      <c r="C483" s="132"/>
      <c r="D483" s="188"/>
      <c r="E483" s="215" t="s">
        <v>1506</v>
      </c>
      <c r="F483" s="215">
        <v>1</v>
      </c>
      <c r="G483" s="216"/>
      <c r="H483" s="218"/>
    </row>
    <row r="484" spans="2:8" x14ac:dyDescent="0.2">
      <c r="B484" s="214" t="s">
        <v>352</v>
      </c>
      <c r="C484" s="132"/>
      <c r="D484" s="188"/>
      <c r="E484" s="215" t="s">
        <v>1506</v>
      </c>
      <c r="F484" s="215">
        <v>4</v>
      </c>
      <c r="G484" s="216"/>
      <c r="H484" s="218"/>
    </row>
    <row r="485" spans="2:8" x14ac:dyDescent="0.2">
      <c r="B485" s="214" t="s">
        <v>353</v>
      </c>
      <c r="C485" s="132"/>
      <c r="D485" s="188"/>
      <c r="E485" s="215" t="s">
        <v>1506</v>
      </c>
      <c r="F485" s="215">
        <v>4</v>
      </c>
      <c r="G485" s="216"/>
      <c r="H485" s="218"/>
    </row>
    <row r="486" spans="2:8" x14ac:dyDescent="0.2">
      <c r="B486" s="214" t="s">
        <v>354</v>
      </c>
      <c r="C486" s="132"/>
      <c r="D486" s="188"/>
      <c r="E486" s="215" t="s">
        <v>302</v>
      </c>
      <c r="F486" s="215">
        <v>1</v>
      </c>
      <c r="G486" s="216"/>
      <c r="H486" s="218"/>
    </row>
    <row r="487" spans="2:8" x14ac:dyDescent="0.2">
      <c r="B487" s="214" t="s">
        <v>355</v>
      </c>
      <c r="C487" s="132"/>
      <c r="D487" s="188"/>
      <c r="E487" s="215" t="s">
        <v>1506</v>
      </c>
      <c r="F487" s="215">
        <v>1</v>
      </c>
      <c r="G487" s="216"/>
      <c r="H487" s="218"/>
    </row>
    <row r="488" spans="2:8" x14ac:dyDescent="0.2">
      <c r="B488" s="214" t="s">
        <v>339</v>
      </c>
      <c r="C488" s="132"/>
      <c r="D488" s="188"/>
      <c r="E488" s="215" t="s">
        <v>302</v>
      </c>
      <c r="F488" s="215">
        <v>1</v>
      </c>
      <c r="G488" s="216"/>
      <c r="H488" s="218"/>
    </row>
    <row r="489" spans="2:8" x14ac:dyDescent="0.2">
      <c r="B489" s="214"/>
      <c r="C489" s="132"/>
      <c r="D489" s="188"/>
      <c r="E489" s="215"/>
      <c r="F489" s="215"/>
      <c r="G489" s="216"/>
      <c r="H489" s="218"/>
    </row>
    <row r="490" spans="2:8" x14ac:dyDescent="0.2">
      <c r="B490" s="214" t="s">
        <v>1682</v>
      </c>
      <c r="C490" s="132"/>
      <c r="D490" s="245" t="s">
        <v>1682</v>
      </c>
      <c r="E490" s="272" t="s">
        <v>1682</v>
      </c>
      <c r="F490" s="215" t="s">
        <v>1682</v>
      </c>
      <c r="G490" s="216" t="s">
        <v>1682</v>
      </c>
      <c r="H490" s="218" t="s">
        <v>1682</v>
      </c>
    </row>
    <row r="491" spans="2:8" x14ac:dyDescent="0.2">
      <c r="B491" s="238" t="s">
        <v>1692</v>
      </c>
      <c r="C491" s="239"/>
      <c r="D491" s="240"/>
      <c r="E491" s="240"/>
      <c r="F491" s="240"/>
      <c r="G491" s="239"/>
      <c r="H491" s="241">
        <v>526.75</v>
      </c>
    </row>
    <row r="492" spans="2:8" x14ac:dyDescent="0.2">
      <c r="B492" s="227" t="s">
        <v>1680</v>
      </c>
      <c r="C492" s="132"/>
      <c r="D492" s="188"/>
      <c r="E492" s="132"/>
      <c r="F492" s="188"/>
      <c r="G492" s="132"/>
      <c r="H492" s="218"/>
    </row>
    <row r="493" spans="2:8" ht="25.5" x14ac:dyDescent="0.2">
      <c r="B493" s="229" t="s">
        <v>1409</v>
      </c>
      <c r="C493" s="242"/>
      <c r="D493" s="243"/>
      <c r="E493" s="232" t="s">
        <v>1408</v>
      </c>
      <c r="F493" s="231" t="s">
        <v>1679</v>
      </c>
      <c r="G493" s="232" t="s">
        <v>1676</v>
      </c>
      <c r="H493" s="234" t="s">
        <v>1675</v>
      </c>
    </row>
    <row r="494" spans="2:8" x14ac:dyDescent="0.2">
      <c r="B494" s="208" t="s">
        <v>975</v>
      </c>
      <c r="C494" s="209"/>
      <c r="D494" s="246"/>
      <c r="E494" s="215" t="s">
        <v>976</v>
      </c>
      <c r="F494" s="215">
        <v>0.1</v>
      </c>
      <c r="G494" s="247">
        <v>5</v>
      </c>
      <c r="H494" s="218">
        <f>F494*G494</f>
        <v>0.5</v>
      </c>
    </row>
    <row r="495" spans="2:8" x14ac:dyDescent="0.2">
      <c r="B495" s="214"/>
      <c r="C495" s="132"/>
      <c r="D495" s="248"/>
      <c r="E495" s="215"/>
      <c r="F495" s="215"/>
      <c r="G495" s="247"/>
      <c r="H495" s="218"/>
    </row>
    <row r="496" spans="2:8" x14ac:dyDescent="0.2">
      <c r="B496" s="219" t="s">
        <v>1682</v>
      </c>
      <c r="C496" s="220"/>
      <c r="D496" s="249"/>
      <c r="E496" s="221" t="s">
        <v>1682</v>
      </c>
      <c r="F496" s="221"/>
      <c r="G496" s="222" t="s">
        <v>1682</v>
      </c>
      <c r="H496" s="224" t="s">
        <v>1682</v>
      </c>
    </row>
    <row r="497" spans="2:8" ht="13.5" thickBot="1" x14ac:dyDescent="0.25">
      <c r="B497" s="250" t="s">
        <v>977</v>
      </c>
      <c r="C497" s="251"/>
      <c r="D497" s="252"/>
      <c r="E497" s="252"/>
      <c r="F497" s="252"/>
      <c r="G497" s="251"/>
      <c r="H497" s="253">
        <f>SUM(H494:H496)</f>
        <v>0.5</v>
      </c>
    </row>
    <row r="498" spans="2:8" x14ac:dyDescent="0.2">
      <c r="B498" s="132"/>
      <c r="C498" s="132"/>
      <c r="D498" s="254"/>
      <c r="E498" s="198"/>
      <c r="F498" s="198"/>
      <c r="G498" s="255" t="s">
        <v>978</v>
      </c>
      <c r="H498" s="256">
        <f>H469+H477+H491+H497</f>
        <v>593.03899999999999</v>
      </c>
    </row>
    <row r="499" spans="2:8" x14ac:dyDescent="0.2">
      <c r="B499" s="132"/>
      <c r="C499" s="132"/>
      <c r="D499" s="257"/>
      <c r="E499" s="239"/>
      <c r="F499" s="239"/>
      <c r="G499" s="258" t="s">
        <v>979</v>
      </c>
      <c r="H499" s="241"/>
    </row>
    <row r="500" spans="2:8" x14ac:dyDescent="0.2">
      <c r="B500" s="132"/>
      <c r="C500" s="132"/>
      <c r="D500" s="257"/>
      <c r="E500" s="239"/>
      <c r="F500" s="239"/>
      <c r="G500" s="258" t="s">
        <v>980</v>
      </c>
      <c r="H500" s="241"/>
    </row>
    <row r="501" spans="2:8" x14ac:dyDescent="0.2">
      <c r="B501" s="132"/>
      <c r="C501" s="132"/>
      <c r="D501" s="257"/>
      <c r="E501" s="239"/>
      <c r="F501" s="239"/>
      <c r="G501" s="259" t="s">
        <v>1670</v>
      </c>
      <c r="H501" s="260"/>
    </row>
    <row r="502" spans="2:8" ht="13.5" thickBot="1" x14ac:dyDescent="0.25">
      <c r="B502" s="193"/>
      <c r="C502" s="132"/>
      <c r="D502" s="261"/>
      <c r="E502" s="251"/>
      <c r="F502" s="251"/>
      <c r="G502" s="262" t="s">
        <v>1650</v>
      </c>
      <c r="H502" s="263"/>
    </row>
    <row r="503" spans="2:8" ht="15.75" x14ac:dyDescent="0.2">
      <c r="B503" s="186" t="s">
        <v>1701</v>
      </c>
      <c r="C503" s="132"/>
      <c r="D503" s="189" t="s">
        <v>742</v>
      </c>
      <c r="E503" s="132"/>
      <c r="F503" s="132"/>
      <c r="G503" s="188"/>
      <c r="H503" s="132"/>
    </row>
    <row r="504" spans="2:8" ht="15.75" x14ac:dyDescent="0.2">
      <c r="B504" s="186" t="s">
        <v>1700</v>
      </c>
      <c r="C504" s="189" t="s">
        <v>963</v>
      </c>
      <c r="D504" s="132"/>
      <c r="E504" s="132"/>
      <c r="F504" s="132"/>
      <c r="G504" s="190"/>
      <c r="H504" s="191"/>
    </row>
    <row r="505" spans="2:8" ht="14.25" x14ac:dyDescent="0.2">
      <c r="B505" s="189"/>
      <c r="C505" s="189"/>
      <c r="D505" s="189"/>
      <c r="E505" s="189"/>
      <c r="F505" s="189"/>
      <c r="G505" s="189"/>
      <c r="H505" s="189"/>
    </row>
    <row r="506" spans="2:8" ht="15.75" x14ac:dyDescent="0.2">
      <c r="B506" s="186" t="s">
        <v>1697</v>
      </c>
      <c r="C506" s="189"/>
      <c r="D506" s="132"/>
      <c r="E506" s="132"/>
      <c r="F506" s="132"/>
      <c r="G506" s="132"/>
      <c r="H506" s="132"/>
    </row>
    <row r="507" spans="2:8" ht="15" x14ac:dyDescent="0.2">
      <c r="B507" s="192"/>
      <c r="C507" s="189"/>
      <c r="D507" s="189"/>
      <c r="E507" s="189"/>
      <c r="F507" s="189"/>
      <c r="G507" s="189"/>
      <c r="H507" s="189"/>
    </row>
    <row r="508" spans="2:8" ht="14.25" x14ac:dyDescent="0.2">
      <c r="B508" s="193" t="s">
        <v>594</v>
      </c>
      <c r="C508" s="194">
        <v>11</v>
      </c>
      <c r="D508" s="132"/>
      <c r="E508" s="188"/>
      <c r="F508" s="188"/>
      <c r="G508" s="195" t="s">
        <v>1696</v>
      </c>
      <c r="H508" s="189" t="s">
        <v>1506</v>
      </c>
    </row>
    <row r="509" spans="2:8" ht="14.25" x14ac:dyDescent="0.2">
      <c r="B509" s="196" t="s">
        <v>964</v>
      </c>
      <c r="C509" s="194" t="s">
        <v>356</v>
      </c>
      <c r="D509" s="132"/>
      <c r="E509" s="132"/>
      <c r="F509" s="132"/>
      <c r="G509" s="132"/>
      <c r="H509" s="132"/>
    </row>
    <row r="510" spans="2:8" ht="15" thickBot="1" x14ac:dyDescent="0.25">
      <c r="B510" s="187"/>
      <c r="C510" s="187"/>
      <c r="D510" s="189"/>
      <c r="E510" s="189"/>
      <c r="F510" s="189"/>
      <c r="G510" s="189"/>
      <c r="H510" s="189"/>
    </row>
    <row r="511" spans="2:8" ht="13.5" thickBot="1" x14ac:dyDescent="0.25">
      <c r="B511" s="264" t="s">
        <v>1695</v>
      </c>
      <c r="C511" s="265"/>
      <c r="D511" s="266"/>
      <c r="E511" s="265"/>
      <c r="F511" s="265"/>
      <c r="G511" s="265"/>
      <c r="H511" s="267"/>
    </row>
    <row r="512" spans="2:8" ht="25.5" x14ac:dyDescent="0.2">
      <c r="B512" s="197" t="s">
        <v>1409</v>
      </c>
      <c r="C512" s="268"/>
      <c r="D512" s="269" t="s">
        <v>966</v>
      </c>
      <c r="E512" s="270" t="s">
        <v>1694</v>
      </c>
      <c r="F512" s="270" t="s">
        <v>1693</v>
      </c>
      <c r="G512" s="201" t="s">
        <v>1687</v>
      </c>
      <c r="H512" s="271" t="s">
        <v>967</v>
      </c>
    </row>
    <row r="513" spans="2:8" x14ac:dyDescent="0.2">
      <c r="B513" s="208" t="s">
        <v>1468</v>
      </c>
      <c r="C513" s="209"/>
      <c r="D513" s="210">
        <v>1</v>
      </c>
      <c r="E513" s="211">
        <v>2.5</v>
      </c>
      <c r="F513" s="211">
        <f>D513*E513</f>
        <v>2.5</v>
      </c>
      <c r="G513" s="212">
        <v>0.3</v>
      </c>
      <c r="H513" s="213">
        <f>F513*G513</f>
        <v>0.75</v>
      </c>
    </row>
    <row r="514" spans="2:8" x14ac:dyDescent="0.2">
      <c r="B514" s="214" t="s">
        <v>1682</v>
      </c>
      <c r="C514" s="132"/>
      <c r="D514" s="215"/>
      <c r="E514" s="216" t="s">
        <v>1682</v>
      </c>
      <c r="F514" s="216" t="s">
        <v>1682</v>
      </c>
      <c r="G514" s="217"/>
      <c r="H514" s="218" t="s">
        <v>1682</v>
      </c>
    </row>
    <row r="515" spans="2:8" x14ac:dyDescent="0.2">
      <c r="B515" s="219" t="s">
        <v>1682</v>
      </c>
      <c r="C515" s="220"/>
      <c r="D515" s="221"/>
      <c r="E515" s="222" t="s">
        <v>1682</v>
      </c>
      <c r="F515" s="222" t="s">
        <v>1682</v>
      </c>
      <c r="G515" s="223"/>
      <c r="H515" s="224" t="s">
        <v>1682</v>
      </c>
    </row>
    <row r="516" spans="2:8" x14ac:dyDescent="0.2">
      <c r="B516" s="219" t="s">
        <v>968</v>
      </c>
      <c r="C516" s="220"/>
      <c r="D516" s="225"/>
      <c r="E516" s="220"/>
      <c r="F516" s="220"/>
      <c r="G516" s="226"/>
      <c r="H516" s="224">
        <f>SUM(H513:H515)</f>
        <v>0.75</v>
      </c>
    </row>
    <row r="517" spans="2:8" x14ac:dyDescent="0.2">
      <c r="B517" s="227" t="s">
        <v>1503</v>
      </c>
      <c r="C517" s="132"/>
      <c r="D517" s="188"/>
      <c r="E517" s="132"/>
      <c r="F517" s="132"/>
      <c r="G517" s="228"/>
      <c r="H517" s="218"/>
    </row>
    <row r="518" spans="2:8" ht="25.5" x14ac:dyDescent="0.2">
      <c r="B518" s="229" t="s">
        <v>1691</v>
      </c>
      <c r="C518" s="230"/>
      <c r="D518" s="231" t="s">
        <v>969</v>
      </c>
      <c r="E518" s="232" t="s">
        <v>1689</v>
      </c>
      <c r="F518" s="232" t="s">
        <v>1688</v>
      </c>
      <c r="G518" s="233" t="s">
        <v>1687</v>
      </c>
      <c r="H518" s="234" t="s">
        <v>1686</v>
      </c>
    </row>
    <row r="519" spans="2:8" x14ac:dyDescent="0.2">
      <c r="B519" s="235" t="s">
        <v>243</v>
      </c>
      <c r="C519" s="132"/>
      <c r="D519" s="236">
        <v>1</v>
      </c>
      <c r="E519" s="237">
        <v>2.13</v>
      </c>
      <c r="F519" s="216">
        <f>D519*E519</f>
        <v>2.13</v>
      </c>
      <c r="G519" s="217">
        <v>6.97</v>
      </c>
      <c r="H519" s="218">
        <f>F519*G519</f>
        <v>14.846099999999998</v>
      </c>
    </row>
    <row r="520" spans="2:8" x14ac:dyDescent="0.2">
      <c r="B520" s="235" t="s">
        <v>1488</v>
      </c>
      <c r="C520" s="132"/>
      <c r="D520" s="236">
        <v>1</v>
      </c>
      <c r="E520" s="237">
        <v>2.13</v>
      </c>
      <c r="F520" s="216">
        <f>D520*E520</f>
        <v>2.13</v>
      </c>
      <c r="G520" s="217">
        <v>4.7699999999999996</v>
      </c>
      <c r="H520" s="218">
        <f>F520*G520</f>
        <v>10.160099999999998</v>
      </c>
    </row>
    <row r="521" spans="2:8" x14ac:dyDescent="0.2">
      <c r="B521" s="235" t="s">
        <v>590</v>
      </c>
      <c r="C521" s="132"/>
      <c r="D521" s="236">
        <v>1</v>
      </c>
      <c r="E521" s="237">
        <v>2.13</v>
      </c>
      <c r="F521" s="216">
        <f>D521*E521</f>
        <v>2.13</v>
      </c>
      <c r="G521" s="217">
        <v>3.41</v>
      </c>
      <c r="H521" s="218">
        <f>F521*G521</f>
        <v>7.2633000000000001</v>
      </c>
    </row>
    <row r="522" spans="2:8" x14ac:dyDescent="0.2">
      <c r="B522" s="235"/>
      <c r="C522" s="132"/>
      <c r="D522" s="236"/>
      <c r="E522" s="237"/>
      <c r="F522" s="216"/>
      <c r="G522" s="217"/>
      <c r="H522" s="218"/>
    </row>
    <row r="523" spans="2:8" x14ac:dyDescent="0.2">
      <c r="B523" s="219" t="s">
        <v>1682</v>
      </c>
      <c r="C523" s="220"/>
      <c r="D523" s="221"/>
      <c r="E523" s="222" t="s">
        <v>1682</v>
      </c>
      <c r="F523" s="222" t="s">
        <v>1682</v>
      </c>
      <c r="G523" s="223"/>
      <c r="H523" s="224" t="s">
        <v>1682</v>
      </c>
    </row>
    <row r="524" spans="2:8" x14ac:dyDescent="0.2">
      <c r="B524" s="238" t="s">
        <v>1681</v>
      </c>
      <c r="C524" s="239"/>
      <c r="D524" s="240"/>
      <c r="E524" s="239"/>
      <c r="F524" s="239"/>
      <c r="G524" s="239"/>
      <c r="H524" s="241">
        <f>SUM(H519:H523)</f>
        <v>32.269499999999994</v>
      </c>
    </row>
    <row r="525" spans="2:8" x14ac:dyDescent="0.2">
      <c r="B525" s="227" t="s">
        <v>1684</v>
      </c>
      <c r="C525" s="132"/>
      <c r="D525" s="188"/>
      <c r="E525" s="132"/>
      <c r="F525" s="132"/>
      <c r="G525" s="132"/>
      <c r="H525" s="218"/>
    </row>
    <row r="526" spans="2:8" ht="25.5" x14ac:dyDescent="0.2">
      <c r="B526" s="229" t="s">
        <v>1409</v>
      </c>
      <c r="C526" s="242"/>
      <c r="D526" s="243"/>
      <c r="E526" s="232" t="s">
        <v>1408</v>
      </c>
      <c r="F526" s="231" t="s">
        <v>1679</v>
      </c>
      <c r="G526" s="232" t="s">
        <v>1683</v>
      </c>
      <c r="H526" s="234" t="s">
        <v>1675</v>
      </c>
    </row>
    <row r="527" spans="2:8" x14ac:dyDescent="0.2">
      <c r="B527" s="244" t="s">
        <v>357</v>
      </c>
      <c r="C527" s="132"/>
      <c r="D527" s="188"/>
      <c r="E527" s="215"/>
      <c r="F527" s="215"/>
      <c r="G527" s="216"/>
      <c r="H527" s="218"/>
    </row>
    <row r="528" spans="2:8" x14ac:dyDescent="0.2">
      <c r="B528" s="214" t="s">
        <v>323</v>
      </c>
      <c r="C528" s="132"/>
      <c r="D528" s="188"/>
      <c r="E528" s="215"/>
      <c r="F528" s="215"/>
      <c r="G528" s="216"/>
      <c r="H528" s="218"/>
    </row>
    <row r="529" spans="2:8" x14ac:dyDescent="0.2">
      <c r="B529" s="214" t="s">
        <v>358</v>
      </c>
      <c r="C529" s="132"/>
      <c r="D529" s="188"/>
      <c r="E529" s="215" t="s">
        <v>1506</v>
      </c>
      <c r="F529" s="215">
        <v>1</v>
      </c>
      <c r="G529" s="216"/>
      <c r="H529" s="218"/>
    </row>
    <row r="530" spans="2:8" x14ac:dyDescent="0.2">
      <c r="B530" s="214" t="s">
        <v>359</v>
      </c>
      <c r="C530" s="132"/>
      <c r="D530" s="188"/>
      <c r="E530" s="215" t="s">
        <v>1506</v>
      </c>
      <c r="F530" s="215">
        <v>1</v>
      </c>
      <c r="G530" s="216"/>
      <c r="H530" s="218"/>
    </row>
    <row r="531" spans="2:8" x14ac:dyDescent="0.2">
      <c r="B531" s="214"/>
      <c r="C531" s="132"/>
      <c r="D531" s="188"/>
      <c r="E531" s="215"/>
      <c r="F531" s="215"/>
      <c r="G531" s="216"/>
      <c r="H531" s="218"/>
    </row>
    <row r="532" spans="2:8" x14ac:dyDescent="0.2">
      <c r="B532" s="214" t="s">
        <v>1682</v>
      </c>
      <c r="C532" s="132"/>
      <c r="D532" s="245" t="s">
        <v>1682</v>
      </c>
      <c r="E532" s="272" t="s">
        <v>1682</v>
      </c>
      <c r="F532" s="215" t="s">
        <v>1682</v>
      </c>
      <c r="G532" s="216" t="s">
        <v>1682</v>
      </c>
      <c r="H532" s="218" t="s">
        <v>1682</v>
      </c>
    </row>
    <row r="533" spans="2:8" x14ac:dyDescent="0.2">
      <c r="B533" s="238" t="s">
        <v>1692</v>
      </c>
      <c r="C533" s="239"/>
      <c r="D533" s="240"/>
      <c r="E533" s="240"/>
      <c r="F533" s="240"/>
      <c r="G533" s="239"/>
      <c r="H533" s="241">
        <v>51.95</v>
      </c>
    </row>
    <row r="534" spans="2:8" x14ac:dyDescent="0.2">
      <c r="B534" s="227" t="s">
        <v>1680</v>
      </c>
      <c r="C534" s="132"/>
      <c r="D534" s="188"/>
      <c r="E534" s="132"/>
      <c r="F534" s="188"/>
      <c r="G534" s="132"/>
      <c r="H534" s="218"/>
    </row>
    <row r="535" spans="2:8" ht="25.5" x14ac:dyDescent="0.2">
      <c r="B535" s="229" t="s">
        <v>1409</v>
      </c>
      <c r="C535" s="242"/>
      <c r="D535" s="243"/>
      <c r="E535" s="232" t="s">
        <v>1408</v>
      </c>
      <c r="F535" s="231" t="s">
        <v>1679</v>
      </c>
      <c r="G535" s="232" t="s">
        <v>1676</v>
      </c>
      <c r="H535" s="234" t="s">
        <v>1675</v>
      </c>
    </row>
    <row r="536" spans="2:8" x14ac:dyDescent="0.2">
      <c r="B536" s="208" t="s">
        <v>975</v>
      </c>
      <c r="C536" s="209"/>
      <c r="D536" s="246"/>
      <c r="E536" s="215" t="s">
        <v>976</v>
      </c>
      <c r="F536" s="215">
        <v>0.05</v>
      </c>
      <c r="G536" s="247">
        <v>5</v>
      </c>
      <c r="H536" s="218">
        <f>F536*G536</f>
        <v>0.25</v>
      </c>
    </row>
    <row r="537" spans="2:8" x14ac:dyDescent="0.2">
      <c r="B537" s="214"/>
      <c r="C537" s="132"/>
      <c r="D537" s="248"/>
      <c r="E537" s="215"/>
      <c r="F537" s="215"/>
      <c r="G537" s="247"/>
      <c r="H537" s="218"/>
    </row>
    <row r="538" spans="2:8" x14ac:dyDescent="0.2">
      <c r="B538" s="219" t="s">
        <v>1682</v>
      </c>
      <c r="C538" s="220"/>
      <c r="D538" s="249"/>
      <c r="E538" s="221" t="s">
        <v>1682</v>
      </c>
      <c r="F538" s="221"/>
      <c r="G538" s="222" t="s">
        <v>1682</v>
      </c>
      <c r="H538" s="224" t="s">
        <v>1682</v>
      </c>
    </row>
    <row r="539" spans="2:8" ht="13.5" thickBot="1" x14ac:dyDescent="0.25">
      <c r="B539" s="250" t="s">
        <v>977</v>
      </c>
      <c r="C539" s="251"/>
      <c r="D539" s="252"/>
      <c r="E539" s="252"/>
      <c r="F539" s="252"/>
      <c r="G539" s="251"/>
      <c r="H539" s="253">
        <f>SUM(H536:H538)</f>
        <v>0.25</v>
      </c>
    </row>
    <row r="540" spans="2:8" x14ac:dyDescent="0.2">
      <c r="B540" s="132"/>
      <c r="C540" s="132"/>
      <c r="D540" s="254"/>
      <c r="E540" s="198"/>
      <c r="F540" s="198"/>
      <c r="G540" s="255" t="s">
        <v>978</v>
      </c>
      <c r="H540" s="256">
        <f>H516+H524+H533+H539</f>
        <v>85.219499999999996</v>
      </c>
    </row>
    <row r="541" spans="2:8" x14ac:dyDescent="0.2">
      <c r="B541" s="132"/>
      <c r="C541" s="132"/>
      <c r="D541" s="257"/>
      <c r="E541" s="239"/>
      <c r="F541" s="239"/>
      <c r="G541" s="258" t="s">
        <v>979</v>
      </c>
      <c r="H541" s="241"/>
    </row>
    <row r="542" spans="2:8" x14ac:dyDescent="0.2">
      <c r="B542" s="132"/>
      <c r="C542" s="132"/>
      <c r="D542" s="257"/>
      <c r="E542" s="239"/>
      <c r="F542" s="239"/>
      <c r="G542" s="258" t="s">
        <v>980</v>
      </c>
      <c r="H542" s="241"/>
    </row>
    <row r="543" spans="2:8" x14ac:dyDescent="0.2">
      <c r="B543" s="132"/>
      <c r="C543" s="132"/>
      <c r="D543" s="257"/>
      <c r="E543" s="239"/>
      <c r="F543" s="239"/>
      <c r="G543" s="259" t="s">
        <v>1670</v>
      </c>
      <c r="H543" s="260"/>
    </row>
    <row r="544" spans="2:8" ht="13.5" thickBot="1" x14ac:dyDescent="0.25">
      <c r="B544" s="193"/>
      <c r="C544" s="132"/>
      <c r="D544" s="261"/>
      <c r="E544" s="251"/>
      <c r="F544" s="251"/>
      <c r="G544" s="262" t="s">
        <v>1650</v>
      </c>
      <c r="H544" s="263"/>
    </row>
    <row r="545" spans="2:8" ht="15.75" x14ac:dyDescent="0.2">
      <c r="B545" s="186" t="s">
        <v>1701</v>
      </c>
      <c r="C545" s="132"/>
      <c r="D545" s="189" t="s">
        <v>742</v>
      </c>
      <c r="E545" s="132"/>
      <c r="F545" s="132"/>
      <c r="G545" s="188"/>
      <c r="H545" s="132"/>
    </row>
    <row r="546" spans="2:8" ht="15.75" x14ac:dyDescent="0.2">
      <c r="B546" s="186" t="s">
        <v>1700</v>
      </c>
      <c r="C546" s="189" t="s">
        <v>963</v>
      </c>
      <c r="D546" s="132"/>
      <c r="E546" s="132"/>
      <c r="F546" s="132"/>
      <c r="G546" s="190"/>
      <c r="H546" s="191"/>
    </row>
    <row r="547" spans="2:8" ht="14.25" x14ac:dyDescent="0.2">
      <c r="B547" s="189"/>
      <c r="C547" s="189"/>
      <c r="D547" s="189"/>
      <c r="E547" s="189"/>
      <c r="F547" s="189"/>
      <c r="G547" s="189"/>
      <c r="H547" s="189"/>
    </row>
    <row r="548" spans="2:8" ht="15.75" x14ac:dyDescent="0.2">
      <c r="B548" s="186" t="s">
        <v>1697</v>
      </c>
      <c r="C548" s="189"/>
      <c r="D548" s="132"/>
      <c r="E548" s="132"/>
      <c r="F548" s="132"/>
      <c r="G548" s="132"/>
      <c r="H548" s="132"/>
    </row>
    <row r="549" spans="2:8" ht="15" x14ac:dyDescent="0.2">
      <c r="B549" s="192"/>
      <c r="C549" s="189"/>
      <c r="D549" s="189"/>
      <c r="E549" s="189"/>
      <c r="F549" s="189"/>
      <c r="G549" s="189"/>
      <c r="H549" s="189"/>
    </row>
    <row r="550" spans="2:8" ht="14.25" x14ac:dyDescent="0.2">
      <c r="B550" s="193" t="s">
        <v>594</v>
      </c>
      <c r="C550" s="275" t="s">
        <v>360</v>
      </c>
      <c r="D550" s="132"/>
      <c r="E550" s="188"/>
      <c r="F550" s="188"/>
      <c r="G550" s="195" t="s">
        <v>1696</v>
      </c>
      <c r="H550" s="189" t="s">
        <v>1506</v>
      </c>
    </row>
    <row r="551" spans="2:8" ht="14.25" x14ac:dyDescent="0.2">
      <c r="B551" s="196" t="s">
        <v>964</v>
      </c>
      <c r="C551" s="194" t="s">
        <v>361</v>
      </c>
      <c r="D551" s="132"/>
      <c r="E551" s="132"/>
      <c r="F551" s="132"/>
      <c r="G551" s="132"/>
      <c r="H551" s="132"/>
    </row>
    <row r="552" spans="2:8" ht="15" thickBot="1" x14ac:dyDescent="0.25">
      <c r="B552" s="187"/>
      <c r="C552" s="187"/>
      <c r="D552" s="189"/>
      <c r="E552" s="189"/>
      <c r="F552" s="189"/>
      <c r="G552" s="189"/>
      <c r="H552" s="189"/>
    </row>
    <row r="553" spans="2:8" ht="13.5" thickBot="1" x14ac:dyDescent="0.25">
      <c r="B553" s="264" t="s">
        <v>1695</v>
      </c>
      <c r="C553" s="265"/>
      <c r="D553" s="266"/>
      <c r="E553" s="265"/>
      <c r="F553" s="265"/>
      <c r="G553" s="265"/>
      <c r="H553" s="267"/>
    </row>
    <row r="554" spans="2:8" ht="25.5" x14ac:dyDescent="0.2">
      <c r="B554" s="197" t="s">
        <v>1409</v>
      </c>
      <c r="C554" s="268"/>
      <c r="D554" s="269" t="s">
        <v>966</v>
      </c>
      <c r="E554" s="270" t="s">
        <v>1694</v>
      </c>
      <c r="F554" s="270" t="s">
        <v>1693</v>
      </c>
      <c r="G554" s="201" t="s">
        <v>1687</v>
      </c>
      <c r="H554" s="271" t="s">
        <v>967</v>
      </c>
    </row>
    <row r="555" spans="2:8" x14ac:dyDescent="0.2">
      <c r="B555" s="208" t="s">
        <v>1468</v>
      </c>
      <c r="C555" s="209"/>
      <c r="D555" s="210">
        <v>1</v>
      </c>
      <c r="E555" s="211">
        <v>2.5</v>
      </c>
      <c r="F555" s="211">
        <f>D555*E555</f>
        <v>2.5</v>
      </c>
      <c r="G555" s="212">
        <v>0.15</v>
      </c>
      <c r="H555" s="213">
        <f>F555*G555</f>
        <v>0.375</v>
      </c>
    </row>
    <row r="556" spans="2:8" x14ac:dyDescent="0.2">
      <c r="B556" s="214" t="s">
        <v>1682</v>
      </c>
      <c r="C556" s="132"/>
      <c r="D556" s="215"/>
      <c r="E556" s="216" t="s">
        <v>1682</v>
      </c>
      <c r="F556" s="216" t="s">
        <v>1682</v>
      </c>
      <c r="G556" s="217"/>
      <c r="H556" s="218" t="s">
        <v>1682</v>
      </c>
    </row>
    <row r="557" spans="2:8" x14ac:dyDescent="0.2">
      <c r="B557" s="219" t="s">
        <v>1682</v>
      </c>
      <c r="C557" s="220"/>
      <c r="D557" s="221"/>
      <c r="E557" s="222" t="s">
        <v>1682</v>
      </c>
      <c r="F557" s="222" t="s">
        <v>1682</v>
      </c>
      <c r="G557" s="223"/>
      <c r="H557" s="224" t="s">
        <v>1682</v>
      </c>
    </row>
    <row r="558" spans="2:8" x14ac:dyDescent="0.2">
      <c r="B558" s="219" t="s">
        <v>968</v>
      </c>
      <c r="C558" s="220"/>
      <c r="D558" s="225"/>
      <c r="E558" s="220"/>
      <c r="F558" s="220"/>
      <c r="G558" s="226"/>
      <c r="H558" s="224">
        <f>SUM(H555:H557)</f>
        <v>0.375</v>
      </c>
    </row>
    <row r="559" spans="2:8" x14ac:dyDescent="0.2">
      <c r="B559" s="227" t="s">
        <v>1503</v>
      </c>
      <c r="C559" s="132"/>
      <c r="D559" s="188"/>
      <c r="E559" s="132"/>
      <c r="F559" s="132"/>
      <c r="G559" s="228"/>
      <c r="H559" s="218"/>
    </row>
    <row r="560" spans="2:8" ht="25.5" x14ac:dyDescent="0.2">
      <c r="B560" s="229" t="s">
        <v>1691</v>
      </c>
      <c r="C560" s="230"/>
      <c r="D560" s="231" t="s">
        <v>969</v>
      </c>
      <c r="E560" s="232" t="s">
        <v>1689</v>
      </c>
      <c r="F560" s="232" t="s">
        <v>1688</v>
      </c>
      <c r="G560" s="233" t="s">
        <v>1687</v>
      </c>
      <c r="H560" s="234" t="s">
        <v>1686</v>
      </c>
    </row>
    <row r="561" spans="2:8" x14ac:dyDescent="0.2">
      <c r="B561" s="235" t="s">
        <v>243</v>
      </c>
      <c r="C561" s="132"/>
      <c r="D561" s="236">
        <v>1</v>
      </c>
      <c r="E561" s="237">
        <v>2.13</v>
      </c>
      <c r="F561" s="216">
        <f>D561*E561</f>
        <v>2.13</v>
      </c>
      <c r="G561" s="217">
        <v>15.2</v>
      </c>
      <c r="H561" s="218">
        <f>F561*G561</f>
        <v>32.375999999999998</v>
      </c>
    </row>
    <row r="562" spans="2:8" x14ac:dyDescent="0.2">
      <c r="B562" s="235" t="s">
        <v>1488</v>
      </c>
      <c r="C562" s="132"/>
      <c r="D562" s="236">
        <v>1</v>
      </c>
      <c r="E562" s="237">
        <v>2.13</v>
      </c>
      <c r="F562" s="216">
        <f>D562*E562</f>
        <v>2.13</v>
      </c>
      <c r="G562" s="217">
        <v>9.5399999999999991</v>
      </c>
      <c r="H562" s="218">
        <f>F562*G562</f>
        <v>20.320199999999996</v>
      </c>
    </row>
    <row r="563" spans="2:8" x14ac:dyDescent="0.2">
      <c r="B563" s="235" t="s">
        <v>590</v>
      </c>
      <c r="C563" s="132"/>
      <c r="D563" s="236">
        <v>1</v>
      </c>
      <c r="E563" s="237">
        <v>2.13</v>
      </c>
      <c r="F563" s="216">
        <f>D563*E563</f>
        <v>2.13</v>
      </c>
      <c r="G563" s="217">
        <v>6.82</v>
      </c>
      <c r="H563" s="218">
        <f>F563*G563</f>
        <v>14.5266</v>
      </c>
    </row>
    <row r="564" spans="2:8" x14ac:dyDescent="0.2">
      <c r="B564" s="235"/>
      <c r="C564" s="132"/>
      <c r="D564" s="236"/>
      <c r="E564" s="237"/>
      <c r="F564" s="216"/>
      <c r="G564" s="217"/>
      <c r="H564" s="218"/>
    </row>
    <row r="565" spans="2:8" x14ac:dyDescent="0.2">
      <c r="B565" s="219" t="s">
        <v>1682</v>
      </c>
      <c r="C565" s="220"/>
      <c r="D565" s="221"/>
      <c r="E565" s="222" t="s">
        <v>1682</v>
      </c>
      <c r="F565" s="222" t="s">
        <v>1682</v>
      </c>
      <c r="G565" s="223"/>
      <c r="H565" s="224" t="s">
        <v>1682</v>
      </c>
    </row>
    <row r="566" spans="2:8" x14ac:dyDescent="0.2">
      <c r="B566" s="238" t="s">
        <v>1681</v>
      </c>
      <c r="C566" s="239"/>
      <c r="D566" s="240"/>
      <c r="E566" s="239"/>
      <c r="F566" s="239"/>
      <c r="G566" s="239"/>
      <c r="H566" s="241">
        <f>SUM(H561:H565)</f>
        <v>67.222799999999992</v>
      </c>
    </row>
    <row r="567" spans="2:8" x14ac:dyDescent="0.2">
      <c r="B567" s="227" t="s">
        <v>1684</v>
      </c>
      <c r="C567" s="132"/>
      <c r="D567" s="188"/>
      <c r="E567" s="132"/>
      <c r="F567" s="132"/>
      <c r="G567" s="132"/>
      <c r="H567" s="218"/>
    </row>
    <row r="568" spans="2:8" ht="25.5" x14ac:dyDescent="0.2">
      <c r="B568" s="229" t="s">
        <v>1409</v>
      </c>
      <c r="C568" s="242"/>
      <c r="D568" s="243"/>
      <c r="E568" s="232" t="s">
        <v>1408</v>
      </c>
      <c r="F568" s="231" t="s">
        <v>1679</v>
      </c>
      <c r="G568" s="232" t="s">
        <v>1683</v>
      </c>
      <c r="H568" s="234" t="s">
        <v>1675</v>
      </c>
    </row>
    <row r="569" spans="2:8" x14ac:dyDescent="0.2">
      <c r="B569" s="244" t="s">
        <v>362</v>
      </c>
      <c r="C569" s="132"/>
      <c r="D569" s="188"/>
      <c r="E569" s="215"/>
      <c r="F569" s="215"/>
      <c r="G569" s="216"/>
      <c r="H569" s="218"/>
    </row>
    <row r="570" spans="2:8" x14ac:dyDescent="0.2">
      <c r="B570" s="214" t="s">
        <v>323</v>
      </c>
      <c r="C570" s="132"/>
      <c r="D570" s="188"/>
      <c r="E570" s="215"/>
      <c r="F570" s="215"/>
      <c r="G570" s="216"/>
      <c r="H570" s="218"/>
    </row>
    <row r="571" spans="2:8" x14ac:dyDescent="0.2">
      <c r="B571" s="214" t="s">
        <v>363</v>
      </c>
      <c r="C571" s="132"/>
      <c r="D571" s="188"/>
      <c r="E571" s="215" t="s">
        <v>1506</v>
      </c>
      <c r="F571" s="215">
        <v>1</v>
      </c>
      <c r="G571" s="216"/>
      <c r="H571" s="218"/>
    </row>
    <row r="572" spans="2:8" x14ac:dyDescent="0.2">
      <c r="B572" s="214" t="s">
        <v>364</v>
      </c>
      <c r="C572" s="132"/>
      <c r="D572" s="188"/>
      <c r="E572" s="215" t="s">
        <v>1506</v>
      </c>
      <c r="F572" s="215">
        <v>2</v>
      </c>
      <c r="G572" s="216"/>
      <c r="H572" s="218"/>
    </row>
    <row r="573" spans="2:8" x14ac:dyDescent="0.2">
      <c r="B573" s="214" t="s">
        <v>365</v>
      </c>
      <c r="C573" s="132"/>
      <c r="D573" s="188"/>
      <c r="E573" s="215" t="s">
        <v>1506</v>
      </c>
      <c r="F573" s="215">
        <v>9</v>
      </c>
      <c r="G573" s="216"/>
      <c r="H573" s="218"/>
    </row>
    <row r="574" spans="2:8" x14ac:dyDescent="0.2">
      <c r="B574" s="214" t="s">
        <v>366</v>
      </c>
      <c r="C574" s="132"/>
      <c r="D574" s="188"/>
      <c r="E574" s="215" t="s">
        <v>1506</v>
      </c>
      <c r="F574" s="215">
        <v>2</v>
      </c>
      <c r="G574" s="216"/>
      <c r="H574" s="218"/>
    </row>
    <row r="575" spans="2:8" x14ac:dyDescent="0.2">
      <c r="B575" s="214"/>
      <c r="C575" s="132"/>
      <c r="D575" s="188"/>
      <c r="E575" s="215"/>
      <c r="F575" s="215"/>
      <c r="G575" s="216"/>
      <c r="H575" s="218"/>
    </row>
    <row r="576" spans="2:8" x14ac:dyDescent="0.2">
      <c r="B576" s="214" t="s">
        <v>1682</v>
      </c>
      <c r="C576" s="132"/>
      <c r="D576" s="245" t="s">
        <v>1682</v>
      </c>
      <c r="E576" s="272" t="s">
        <v>1682</v>
      </c>
      <c r="F576" s="215" t="s">
        <v>1682</v>
      </c>
      <c r="G576" s="216" t="s">
        <v>1682</v>
      </c>
      <c r="H576" s="218" t="s">
        <v>1682</v>
      </c>
    </row>
    <row r="577" spans="2:8" x14ac:dyDescent="0.2">
      <c r="B577" s="238" t="s">
        <v>1692</v>
      </c>
      <c r="C577" s="239"/>
      <c r="D577" s="240"/>
      <c r="E577" s="240"/>
      <c r="F577" s="240"/>
      <c r="G577" s="239"/>
      <c r="H577" s="241">
        <v>407.5</v>
      </c>
    </row>
    <row r="578" spans="2:8" x14ac:dyDescent="0.2">
      <c r="B578" s="227" t="s">
        <v>1680</v>
      </c>
      <c r="C578" s="132"/>
      <c r="D578" s="188"/>
      <c r="E578" s="132"/>
      <c r="F578" s="188"/>
      <c r="G578" s="132"/>
      <c r="H578" s="218"/>
    </row>
    <row r="579" spans="2:8" ht="25.5" x14ac:dyDescent="0.2">
      <c r="B579" s="229" t="s">
        <v>1409</v>
      </c>
      <c r="C579" s="242"/>
      <c r="D579" s="243"/>
      <c r="E579" s="232" t="s">
        <v>1408</v>
      </c>
      <c r="F579" s="231" t="s">
        <v>1679</v>
      </c>
      <c r="G579" s="232" t="s">
        <v>1676</v>
      </c>
      <c r="H579" s="234" t="s">
        <v>1675</v>
      </c>
    </row>
    <row r="580" spans="2:8" x14ac:dyDescent="0.2">
      <c r="B580" s="208" t="s">
        <v>975</v>
      </c>
      <c r="C580" s="209"/>
      <c r="D580" s="246"/>
      <c r="E580" s="215" t="s">
        <v>976</v>
      </c>
      <c r="F580" s="215">
        <v>0.03</v>
      </c>
      <c r="G580" s="247">
        <v>5</v>
      </c>
      <c r="H580" s="218">
        <f>F580*G580</f>
        <v>0.15</v>
      </c>
    </row>
    <row r="581" spans="2:8" x14ac:dyDescent="0.2">
      <c r="B581" s="214"/>
      <c r="C581" s="132"/>
      <c r="D581" s="248"/>
      <c r="E581" s="215"/>
      <c r="F581" s="215"/>
      <c r="G581" s="247"/>
      <c r="H581" s="218"/>
    </row>
    <row r="582" spans="2:8" x14ac:dyDescent="0.2">
      <c r="B582" s="219" t="s">
        <v>1682</v>
      </c>
      <c r="C582" s="220"/>
      <c r="D582" s="249"/>
      <c r="E582" s="221" t="s">
        <v>1682</v>
      </c>
      <c r="F582" s="221"/>
      <c r="G582" s="222" t="s">
        <v>1682</v>
      </c>
      <c r="H582" s="224" t="s">
        <v>1682</v>
      </c>
    </row>
    <row r="583" spans="2:8" ht="13.5" thickBot="1" x14ac:dyDescent="0.25">
      <c r="B583" s="250" t="s">
        <v>977</v>
      </c>
      <c r="C583" s="251"/>
      <c r="D583" s="252"/>
      <c r="E583" s="252"/>
      <c r="F583" s="252"/>
      <c r="G583" s="251"/>
      <c r="H583" s="253">
        <f>SUM(H580:H582)</f>
        <v>0.15</v>
      </c>
    </row>
    <row r="584" spans="2:8" x14ac:dyDescent="0.2">
      <c r="B584" s="132"/>
      <c r="C584" s="132"/>
      <c r="D584" s="254"/>
      <c r="E584" s="198"/>
      <c r="F584" s="198"/>
      <c r="G584" s="255" t="s">
        <v>978</v>
      </c>
      <c r="H584" s="256">
        <f>H558+H566+H577+H583</f>
        <v>475.24779999999998</v>
      </c>
    </row>
    <row r="585" spans="2:8" x14ac:dyDescent="0.2">
      <c r="B585" s="132"/>
      <c r="C585" s="132"/>
      <c r="D585" s="257"/>
      <c r="E585" s="239"/>
      <c r="F585" s="239"/>
      <c r="G585" s="258" t="s">
        <v>979</v>
      </c>
      <c r="H585" s="241"/>
    </row>
    <row r="586" spans="2:8" x14ac:dyDescent="0.2">
      <c r="B586" s="132"/>
      <c r="C586" s="132"/>
      <c r="D586" s="257"/>
      <c r="E586" s="239"/>
      <c r="F586" s="239"/>
      <c r="G586" s="258" t="s">
        <v>980</v>
      </c>
      <c r="H586" s="241"/>
    </row>
    <row r="587" spans="2:8" x14ac:dyDescent="0.2">
      <c r="B587" s="132"/>
      <c r="C587" s="132"/>
      <c r="D587" s="257"/>
      <c r="E587" s="239"/>
      <c r="F587" s="239"/>
      <c r="G587" s="259" t="s">
        <v>1670</v>
      </c>
      <c r="H587" s="260"/>
    </row>
    <row r="588" spans="2:8" ht="13.5" thickBot="1" x14ac:dyDescent="0.25">
      <c r="B588" s="193"/>
      <c r="C588" s="132"/>
      <c r="D588" s="261"/>
      <c r="E588" s="251"/>
      <c r="F588" s="251"/>
      <c r="G588" s="262" t="s">
        <v>1650</v>
      </c>
      <c r="H588" s="263"/>
    </row>
    <row r="589" spans="2:8" ht="15.75" x14ac:dyDescent="0.2">
      <c r="B589" s="186" t="s">
        <v>1701</v>
      </c>
      <c r="C589" s="132"/>
      <c r="D589" s="189" t="s">
        <v>742</v>
      </c>
      <c r="E589" s="132"/>
      <c r="F589" s="132"/>
      <c r="G589" s="188"/>
      <c r="H589" s="132"/>
    </row>
    <row r="590" spans="2:8" ht="15.75" x14ac:dyDescent="0.2">
      <c r="B590" s="186" t="s">
        <v>1700</v>
      </c>
      <c r="C590" s="189" t="s">
        <v>963</v>
      </c>
      <c r="D590" s="132"/>
      <c r="E590" s="132"/>
      <c r="F590" s="132"/>
      <c r="G590" s="190"/>
      <c r="H590" s="191"/>
    </row>
    <row r="591" spans="2:8" ht="14.25" x14ac:dyDescent="0.2">
      <c r="B591" s="189"/>
      <c r="C591" s="189"/>
      <c r="D591" s="189"/>
      <c r="E591" s="189"/>
      <c r="F591" s="189"/>
      <c r="G591" s="189"/>
      <c r="H591" s="189"/>
    </row>
    <row r="592" spans="2:8" ht="15.75" x14ac:dyDescent="0.2">
      <c r="B592" s="186" t="s">
        <v>1697</v>
      </c>
      <c r="C592" s="189"/>
      <c r="D592" s="132"/>
      <c r="E592" s="132"/>
      <c r="F592" s="132"/>
      <c r="G592" s="132"/>
      <c r="H592" s="132"/>
    </row>
    <row r="593" spans="2:8" ht="15" x14ac:dyDescent="0.2">
      <c r="B593" s="192"/>
      <c r="C593" s="189"/>
      <c r="D593" s="189"/>
      <c r="E593" s="189"/>
      <c r="F593" s="189"/>
      <c r="G593" s="189"/>
      <c r="H593" s="189"/>
    </row>
    <row r="594" spans="2:8" ht="14.25" x14ac:dyDescent="0.2">
      <c r="B594" s="193" t="s">
        <v>594</v>
      </c>
      <c r="C594" s="194" t="s">
        <v>367</v>
      </c>
      <c r="D594" s="132"/>
      <c r="E594" s="188"/>
      <c r="F594" s="188"/>
      <c r="G594" s="195" t="s">
        <v>1696</v>
      </c>
      <c r="H594" s="189" t="s">
        <v>1506</v>
      </c>
    </row>
    <row r="595" spans="2:8" ht="14.25" x14ac:dyDescent="0.2">
      <c r="B595" s="196" t="s">
        <v>964</v>
      </c>
      <c r="C595" s="194" t="s">
        <v>368</v>
      </c>
      <c r="D595" s="132"/>
      <c r="E595" s="132"/>
      <c r="F595" s="132"/>
      <c r="G595" s="132"/>
      <c r="H595" s="132"/>
    </row>
    <row r="596" spans="2:8" ht="15" thickBot="1" x14ac:dyDescent="0.25">
      <c r="B596" s="187"/>
      <c r="C596" s="187"/>
      <c r="D596" s="189"/>
      <c r="E596" s="189"/>
      <c r="F596" s="189"/>
      <c r="G596" s="189"/>
      <c r="H596" s="189"/>
    </row>
    <row r="597" spans="2:8" ht="13.5" thickBot="1" x14ac:dyDescent="0.25">
      <c r="B597" s="264" t="s">
        <v>1695</v>
      </c>
      <c r="C597" s="265"/>
      <c r="D597" s="266"/>
      <c r="E597" s="265"/>
      <c r="F597" s="265"/>
      <c r="G597" s="265"/>
      <c r="H597" s="267"/>
    </row>
    <row r="598" spans="2:8" ht="25.5" x14ac:dyDescent="0.2">
      <c r="B598" s="197" t="s">
        <v>1409</v>
      </c>
      <c r="C598" s="268"/>
      <c r="D598" s="269" t="s">
        <v>966</v>
      </c>
      <c r="E598" s="270" t="s">
        <v>1694</v>
      </c>
      <c r="F598" s="270" t="s">
        <v>1693</v>
      </c>
      <c r="G598" s="201" t="s">
        <v>1687</v>
      </c>
      <c r="H598" s="271" t="s">
        <v>967</v>
      </c>
    </row>
    <row r="599" spans="2:8" x14ac:dyDescent="0.2">
      <c r="B599" s="208" t="s">
        <v>1468</v>
      </c>
      <c r="C599" s="209"/>
      <c r="D599" s="210">
        <v>1</v>
      </c>
      <c r="E599" s="211">
        <v>2.5</v>
      </c>
      <c r="F599" s="211">
        <f>D599*E599</f>
        <v>2.5</v>
      </c>
      <c r="G599" s="212">
        <v>0.15</v>
      </c>
      <c r="H599" s="213">
        <f>F599*G599</f>
        <v>0.375</v>
      </c>
    </row>
    <row r="600" spans="2:8" x14ac:dyDescent="0.2">
      <c r="B600" s="214" t="s">
        <v>1682</v>
      </c>
      <c r="C600" s="132"/>
      <c r="D600" s="215"/>
      <c r="E600" s="216" t="s">
        <v>1682</v>
      </c>
      <c r="F600" s="216" t="s">
        <v>1682</v>
      </c>
      <c r="G600" s="217"/>
      <c r="H600" s="218" t="s">
        <v>1682</v>
      </c>
    </row>
    <row r="601" spans="2:8" x14ac:dyDescent="0.2">
      <c r="B601" s="219" t="s">
        <v>1682</v>
      </c>
      <c r="C601" s="220"/>
      <c r="D601" s="221"/>
      <c r="E601" s="222" t="s">
        <v>1682</v>
      </c>
      <c r="F601" s="222" t="s">
        <v>1682</v>
      </c>
      <c r="G601" s="223"/>
      <c r="H601" s="224" t="s">
        <v>1682</v>
      </c>
    </row>
    <row r="602" spans="2:8" x14ac:dyDescent="0.2">
      <c r="B602" s="219" t="s">
        <v>968</v>
      </c>
      <c r="C602" s="220"/>
      <c r="D602" s="225"/>
      <c r="E602" s="220"/>
      <c r="F602" s="220"/>
      <c r="G602" s="226"/>
      <c r="H602" s="224">
        <f>SUM(H599:H601)</f>
        <v>0.375</v>
      </c>
    </row>
    <row r="603" spans="2:8" x14ac:dyDescent="0.2">
      <c r="B603" s="227" t="s">
        <v>1503</v>
      </c>
      <c r="C603" s="132"/>
      <c r="D603" s="188"/>
      <c r="E603" s="132"/>
      <c r="F603" s="132"/>
      <c r="G603" s="228"/>
      <c r="H603" s="218"/>
    </row>
    <row r="604" spans="2:8" ht="25.5" x14ac:dyDescent="0.2">
      <c r="B604" s="229" t="s">
        <v>1691</v>
      </c>
      <c r="C604" s="230"/>
      <c r="D604" s="231" t="s">
        <v>969</v>
      </c>
      <c r="E604" s="232" t="s">
        <v>1689</v>
      </c>
      <c r="F604" s="232" t="s">
        <v>1688</v>
      </c>
      <c r="G604" s="233" t="s">
        <v>1687</v>
      </c>
      <c r="H604" s="234" t="s">
        <v>1686</v>
      </c>
    </row>
    <row r="605" spans="2:8" x14ac:dyDescent="0.2">
      <c r="B605" s="235" t="s">
        <v>243</v>
      </c>
      <c r="C605" s="132"/>
      <c r="D605" s="236">
        <v>1</v>
      </c>
      <c r="E605" s="237">
        <v>2.13</v>
      </c>
      <c r="F605" s="216">
        <f>D605*E605</f>
        <v>2.13</v>
      </c>
      <c r="G605" s="217">
        <v>15.2</v>
      </c>
      <c r="H605" s="218">
        <f>F605*G605</f>
        <v>32.375999999999998</v>
      </c>
    </row>
    <row r="606" spans="2:8" x14ac:dyDescent="0.2">
      <c r="B606" s="235" t="s">
        <v>1488</v>
      </c>
      <c r="C606" s="132"/>
      <c r="D606" s="236">
        <v>1</v>
      </c>
      <c r="E606" s="237">
        <v>2.13</v>
      </c>
      <c r="F606" s="216">
        <f>D606*E606</f>
        <v>2.13</v>
      </c>
      <c r="G606" s="217">
        <v>9.5399999999999991</v>
      </c>
      <c r="H606" s="218">
        <f>F606*G606</f>
        <v>20.320199999999996</v>
      </c>
    </row>
    <row r="607" spans="2:8" x14ac:dyDescent="0.2">
      <c r="B607" s="235" t="s">
        <v>590</v>
      </c>
      <c r="C607" s="132"/>
      <c r="D607" s="236">
        <v>1</v>
      </c>
      <c r="E607" s="237">
        <v>2.13</v>
      </c>
      <c r="F607" s="216">
        <f>D607*E607</f>
        <v>2.13</v>
      </c>
      <c r="G607" s="217">
        <v>6.82</v>
      </c>
      <c r="H607" s="218">
        <f>F607*G607</f>
        <v>14.5266</v>
      </c>
    </row>
    <row r="608" spans="2:8" x14ac:dyDescent="0.2">
      <c r="B608" s="235"/>
      <c r="C608" s="132"/>
      <c r="D608" s="236"/>
      <c r="E608" s="237"/>
      <c r="F608" s="216"/>
      <c r="G608" s="217"/>
      <c r="H608" s="218"/>
    </row>
    <row r="609" spans="2:8" x14ac:dyDescent="0.2">
      <c r="B609" s="219" t="s">
        <v>1682</v>
      </c>
      <c r="C609" s="220"/>
      <c r="D609" s="221"/>
      <c r="E609" s="222" t="s">
        <v>1682</v>
      </c>
      <c r="F609" s="222" t="s">
        <v>1682</v>
      </c>
      <c r="G609" s="223"/>
      <c r="H609" s="224" t="s">
        <v>1682</v>
      </c>
    </row>
    <row r="610" spans="2:8" x14ac:dyDescent="0.2">
      <c r="B610" s="238" t="s">
        <v>1681</v>
      </c>
      <c r="C610" s="239"/>
      <c r="D610" s="240"/>
      <c r="E610" s="239"/>
      <c r="F610" s="239"/>
      <c r="G610" s="239"/>
      <c r="H610" s="241">
        <f>SUM(H605:H609)</f>
        <v>67.222799999999992</v>
      </c>
    </row>
    <row r="611" spans="2:8" x14ac:dyDescent="0.2">
      <c r="B611" s="227" t="s">
        <v>1684</v>
      </c>
      <c r="C611" s="132"/>
      <c r="D611" s="188"/>
      <c r="E611" s="132"/>
      <c r="F611" s="132"/>
      <c r="G611" s="132"/>
      <c r="H611" s="218"/>
    </row>
    <row r="612" spans="2:8" ht="25.5" x14ac:dyDescent="0.2">
      <c r="B612" s="229" t="s">
        <v>1409</v>
      </c>
      <c r="C612" s="242"/>
      <c r="D612" s="243"/>
      <c r="E612" s="232" t="s">
        <v>1408</v>
      </c>
      <c r="F612" s="231" t="s">
        <v>1679</v>
      </c>
      <c r="G612" s="232" t="s">
        <v>1683</v>
      </c>
      <c r="H612" s="234" t="s">
        <v>1675</v>
      </c>
    </row>
    <row r="613" spans="2:8" x14ac:dyDescent="0.2">
      <c r="B613" s="244" t="s">
        <v>362</v>
      </c>
      <c r="C613" s="132"/>
      <c r="D613" s="188"/>
      <c r="E613" s="215"/>
      <c r="F613" s="215"/>
      <c r="G613" s="216"/>
      <c r="H613" s="218"/>
    </row>
    <row r="614" spans="2:8" x14ac:dyDescent="0.2">
      <c r="B614" s="214" t="s">
        <v>323</v>
      </c>
      <c r="C614" s="132"/>
      <c r="D614" s="188"/>
      <c r="E614" s="215"/>
      <c r="F614" s="215"/>
      <c r="G614" s="216"/>
      <c r="H614" s="218"/>
    </row>
    <row r="615" spans="2:8" x14ac:dyDescent="0.2">
      <c r="B615" s="214" t="s">
        <v>363</v>
      </c>
      <c r="C615" s="132"/>
      <c r="D615" s="188"/>
      <c r="E615" s="215" t="s">
        <v>1506</v>
      </c>
      <c r="F615" s="215">
        <v>1</v>
      </c>
      <c r="G615" s="216"/>
      <c r="H615" s="218"/>
    </row>
    <row r="616" spans="2:8" x14ac:dyDescent="0.2">
      <c r="B616" s="214" t="s">
        <v>369</v>
      </c>
      <c r="C616" s="132"/>
      <c r="D616" s="188"/>
      <c r="E616" s="215" t="s">
        <v>1506</v>
      </c>
      <c r="F616" s="215">
        <v>2</v>
      </c>
      <c r="G616" s="216"/>
      <c r="H616" s="218"/>
    </row>
    <row r="617" spans="2:8" x14ac:dyDescent="0.2">
      <c r="B617" s="214" t="s">
        <v>370</v>
      </c>
      <c r="C617" s="132"/>
      <c r="D617" s="188"/>
      <c r="E617" s="215" t="s">
        <v>1506</v>
      </c>
      <c r="F617" s="215">
        <v>9</v>
      </c>
      <c r="G617" s="216"/>
      <c r="H617" s="218"/>
    </row>
    <row r="618" spans="2:8" x14ac:dyDescent="0.2">
      <c r="B618" s="214" t="s">
        <v>371</v>
      </c>
      <c r="C618" s="132"/>
      <c r="D618" s="188"/>
      <c r="E618" s="215" t="s">
        <v>1506</v>
      </c>
      <c r="F618" s="215">
        <v>1</v>
      </c>
      <c r="G618" s="216"/>
      <c r="H618" s="218"/>
    </row>
    <row r="619" spans="2:8" x14ac:dyDescent="0.2">
      <c r="B619" s="214"/>
      <c r="C619" s="132"/>
      <c r="D619" s="188"/>
      <c r="E619" s="215"/>
      <c r="F619" s="215"/>
      <c r="G619" s="216"/>
      <c r="H619" s="218"/>
    </row>
    <row r="620" spans="2:8" x14ac:dyDescent="0.2">
      <c r="B620" s="214" t="s">
        <v>1682</v>
      </c>
      <c r="C620" s="132"/>
      <c r="D620" s="245" t="s">
        <v>1682</v>
      </c>
      <c r="E620" s="272" t="s">
        <v>1682</v>
      </c>
      <c r="F620" s="215" t="s">
        <v>1682</v>
      </c>
      <c r="G620" s="216" t="s">
        <v>1682</v>
      </c>
      <c r="H620" s="218" t="s">
        <v>1682</v>
      </c>
    </row>
    <row r="621" spans="2:8" x14ac:dyDescent="0.2">
      <c r="B621" s="238" t="s">
        <v>1692</v>
      </c>
      <c r="C621" s="239"/>
      <c r="D621" s="240"/>
      <c r="E621" s="240"/>
      <c r="F621" s="240"/>
      <c r="G621" s="239"/>
      <c r="H621" s="241">
        <v>392.38</v>
      </c>
    </row>
    <row r="622" spans="2:8" x14ac:dyDescent="0.2">
      <c r="B622" s="227" t="s">
        <v>1680</v>
      </c>
      <c r="C622" s="132"/>
      <c r="D622" s="188"/>
      <c r="E622" s="132"/>
      <c r="F622" s="188"/>
      <c r="G622" s="132"/>
      <c r="H622" s="218"/>
    </row>
    <row r="623" spans="2:8" ht="25.5" x14ac:dyDescent="0.2">
      <c r="B623" s="229" t="s">
        <v>1409</v>
      </c>
      <c r="C623" s="242"/>
      <c r="D623" s="243"/>
      <c r="E623" s="232" t="s">
        <v>1408</v>
      </c>
      <c r="F623" s="231" t="s">
        <v>1679</v>
      </c>
      <c r="G623" s="232" t="s">
        <v>1676</v>
      </c>
      <c r="H623" s="234" t="s">
        <v>1675</v>
      </c>
    </row>
    <row r="624" spans="2:8" x14ac:dyDescent="0.2">
      <c r="B624" s="208" t="s">
        <v>975</v>
      </c>
      <c r="C624" s="209"/>
      <c r="D624" s="246"/>
      <c r="E624" s="215" t="s">
        <v>976</v>
      </c>
      <c r="F624" s="215">
        <v>0.03</v>
      </c>
      <c r="G624" s="247">
        <v>5</v>
      </c>
      <c r="H624" s="218">
        <f>F624*G624</f>
        <v>0.15</v>
      </c>
    </row>
    <row r="625" spans="2:8" x14ac:dyDescent="0.2">
      <c r="B625" s="214"/>
      <c r="C625" s="132"/>
      <c r="D625" s="248"/>
      <c r="E625" s="215"/>
      <c r="F625" s="215"/>
      <c r="G625" s="247"/>
      <c r="H625" s="218"/>
    </row>
    <row r="626" spans="2:8" x14ac:dyDescent="0.2">
      <c r="B626" s="219" t="s">
        <v>1682</v>
      </c>
      <c r="C626" s="220"/>
      <c r="D626" s="249"/>
      <c r="E626" s="221" t="s">
        <v>1682</v>
      </c>
      <c r="F626" s="221"/>
      <c r="G626" s="222" t="s">
        <v>1682</v>
      </c>
      <c r="H626" s="224" t="s">
        <v>1682</v>
      </c>
    </row>
    <row r="627" spans="2:8" ht="13.5" thickBot="1" x14ac:dyDescent="0.25">
      <c r="B627" s="250" t="s">
        <v>977</v>
      </c>
      <c r="C627" s="251"/>
      <c r="D627" s="252"/>
      <c r="E627" s="252"/>
      <c r="F627" s="252"/>
      <c r="G627" s="251"/>
      <c r="H627" s="253">
        <f>SUM(H624:H626)</f>
        <v>0.15</v>
      </c>
    </row>
    <row r="628" spans="2:8" x14ac:dyDescent="0.2">
      <c r="B628" s="132"/>
      <c r="C628" s="132"/>
      <c r="D628" s="254"/>
      <c r="E628" s="198"/>
      <c r="F628" s="198"/>
      <c r="G628" s="255" t="s">
        <v>978</v>
      </c>
      <c r="H628" s="256">
        <f>H602+H610+H621+H627</f>
        <v>460.12779999999998</v>
      </c>
    </row>
    <row r="629" spans="2:8" x14ac:dyDescent="0.2">
      <c r="B629" s="132"/>
      <c r="C629" s="132"/>
      <c r="D629" s="257"/>
      <c r="E629" s="239"/>
      <c r="F629" s="239"/>
      <c r="G629" s="258" t="s">
        <v>979</v>
      </c>
      <c r="H629" s="241"/>
    </row>
    <row r="630" spans="2:8" x14ac:dyDescent="0.2">
      <c r="B630" s="132"/>
      <c r="C630" s="132"/>
      <c r="D630" s="257"/>
      <c r="E630" s="239"/>
      <c r="F630" s="239"/>
      <c r="G630" s="258" t="s">
        <v>980</v>
      </c>
      <c r="H630" s="241"/>
    </row>
    <row r="631" spans="2:8" x14ac:dyDescent="0.2">
      <c r="B631" s="132"/>
      <c r="C631" s="132"/>
      <c r="D631" s="257"/>
      <c r="E631" s="239"/>
      <c r="F631" s="239"/>
      <c r="G631" s="259" t="s">
        <v>1670</v>
      </c>
      <c r="H631" s="260"/>
    </row>
    <row r="632" spans="2:8" ht="13.5" thickBot="1" x14ac:dyDescent="0.25">
      <c r="B632" s="193"/>
      <c r="C632" s="132"/>
      <c r="D632" s="261"/>
      <c r="E632" s="251"/>
      <c r="F632" s="251"/>
      <c r="G632" s="262" t="s">
        <v>1650</v>
      </c>
      <c r="H632" s="263"/>
    </row>
    <row r="633" spans="2:8" ht="15.75" x14ac:dyDescent="0.2">
      <c r="B633" s="186" t="s">
        <v>1701</v>
      </c>
      <c r="C633" s="132"/>
      <c r="D633" s="189" t="s">
        <v>742</v>
      </c>
      <c r="E633" s="132"/>
      <c r="F633" s="132"/>
      <c r="G633" s="188"/>
      <c r="H633" s="132"/>
    </row>
    <row r="634" spans="2:8" ht="15.75" x14ac:dyDescent="0.2">
      <c r="B634" s="186" t="s">
        <v>1700</v>
      </c>
      <c r="C634" s="189" t="s">
        <v>963</v>
      </c>
      <c r="D634" s="132"/>
      <c r="E634" s="132"/>
      <c r="F634" s="132"/>
      <c r="G634" s="190"/>
      <c r="H634" s="191"/>
    </row>
    <row r="635" spans="2:8" ht="14.25" x14ac:dyDescent="0.2">
      <c r="B635" s="189"/>
      <c r="C635" s="189"/>
      <c r="D635" s="189"/>
      <c r="E635" s="189"/>
      <c r="F635" s="189"/>
      <c r="G635" s="189"/>
      <c r="H635" s="189"/>
    </row>
    <row r="636" spans="2:8" ht="15.75" x14ac:dyDescent="0.2">
      <c r="B636" s="186" t="s">
        <v>1697</v>
      </c>
      <c r="C636" s="189"/>
      <c r="D636" s="132"/>
      <c r="E636" s="132"/>
      <c r="F636" s="132"/>
      <c r="G636" s="132"/>
      <c r="H636" s="132"/>
    </row>
    <row r="637" spans="2:8" ht="15" x14ac:dyDescent="0.2">
      <c r="B637" s="192"/>
      <c r="C637" s="189"/>
      <c r="D637" s="189"/>
      <c r="E637" s="189"/>
      <c r="F637" s="189"/>
      <c r="G637" s="189"/>
      <c r="H637" s="189"/>
    </row>
    <row r="638" spans="2:8" ht="14.25" x14ac:dyDescent="0.2">
      <c r="B638" s="193" t="s">
        <v>594</v>
      </c>
      <c r="C638" s="194" t="s">
        <v>372</v>
      </c>
      <c r="D638" s="132"/>
      <c r="E638" s="188"/>
      <c r="F638" s="188"/>
      <c r="G638" s="195" t="s">
        <v>1696</v>
      </c>
      <c r="H638" s="189" t="s">
        <v>1506</v>
      </c>
    </row>
    <row r="639" spans="2:8" ht="14.25" x14ac:dyDescent="0.2">
      <c r="B639" s="196" t="s">
        <v>964</v>
      </c>
      <c r="C639" s="194" t="s">
        <v>373</v>
      </c>
      <c r="D639" s="132"/>
      <c r="E639" s="132"/>
      <c r="F639" s="132"/>
      <c r="G639" s="132"/>
      <c r="H639" s="132"/>
    </row>
    <row r="640" spans="2:8" ht="15" thickBot="1" x14ac:dyDescent="0.25">
      <c r="B640" s="187"/>
      <c r="C640" s="187"/>
      <c r="D640" s="189"/>
      <c r="E640" s="189"/>
      <c r="F640" s="189"/>
      <c r="G640" s="189"/>
      <c r="H640" s="189"/>
    </row>
    <row r="641" spans="2:8" ht="13.5" thickBot="1" x14ac:dyDescent="0.25">
      <c r="B641" s="264" t="s">
        <v>1695</v>
      </c>
      <c r="C641" s="265"/>
      <c r="D641" s="266"/>
      <c r="E641" s="265"/>
      <c r="F641" s="265"/>
      <c r="G641" s="265"/>
      <c r="H641" s="267"/>
    </row>
    <row r="642" spans="2:8" ht="25.5" x14ac:dyDescent="0.2">
      <c r="B642" s="197" t="s">
        <v>1409</v>
      </c>
      <c r="C642" s="268"/>
      <c r="D642" s="269" t="s">
        <v>966</v>
      </c>
      <c r="E642" s="270" t="s">
        <v>1694</v>
      </c>
      <c r="F642" s="270" t="s">
        <v>1693</v>
      </c>
      <c r="G642" s="201" t="s">
        <v>1687</v>
      </c>
      <c r="H642" s="271" t="s">
        <v>967</v>
      </c>
    </row>
    <row r="643" spans="2:8" x14ac:dyDescent="0.2">
      <c r="B643" s="208" t="s">
        <v>1468</v>
      </c>
      <c r="C643" s="209"/>
      <c r="D643" s="210">
        <v>1</v>
      </c>
      <c r="E643" s="211">
        <v>2.5</v>
      </c>
      <c r="F643" s="211">
        <f>D643*E643</f>
        <v>2.5</v>
      </c>
      <c r="G643" s="212">
        <v>0.15</v>
      </c>
      <c r="H643" s="213">
        <f>F643*G643</f>
        <v>0.375</v>
      </c>
    </row>
    <row r="644" spans="2:8" x14ac:dyDescent="0.2">
      <c r="B644" s="214" t="s">
        <v>1682</v>
      </c>
      <c r="C644" s="132"/>
      <c r="D644" s="215"/>
      <c r="E644" s="216" t="s">
        <v>1682</v>
      </c>
      <c r="F644" s="216" t="s">
        <v>1682</v>
      </c>
      <c r="G644" s="217"/>
      <c r="H644" s="218" t="s">
        <v>1682</v>
      </c>
    </row>
    <row r="645" spans="2:8" x14ac:dyDescent="0.2">
      <c r="B645" s="219" t="s">
        <v>1682</v>
      </c>
      <c r="C645" s="220"/>
      <c r="D645" s="221"/>
      <c r="E645" s="222" t="s">
        <v>1682</v>
      </c>
      <c r="F645" s="222" t="s">
        <v>1682</v>
      </c>
      <c r="G645" s="223"/>
      <c r="H645" s="224" t="s">
        <v>1682</v>
      </c>
    </row>
    <row r="646" spans="2:8" x14ac:dyDescent="0.2">
      <c r="B646" s="219" t="s">
        <v>968</v>
      </c>
      <c r="C646" s="220"/>
      <c r="D646" s="225"/>
      <c r="E646" s="220"/>
      <c r="F646" s="220"/>
      <c r="G646" s="226"/>
      <c r="H646" s="224">
        <f>SUM(H643:H645)</f>
        <v>0.375</v>
      </c>
    </row>
    <row r="647" spans="2:8" x14ac:dyDescent="0.2">
      <c r="B647" s="227" t="s">
        <v>1503</v>
      </c>
      <c r="C647" s="132"/>
      <c r="D647" s="188"/>
      <c r="E647" s="132"/>
      <c r="F647" s="132"/>
      <c r="G647" s="228"/>
      <c r="H647" s="218"/>
    </row>
    <row r="648" spans="2:8" ht="25.5" x14ac:dyDescent="0.2">
      <c r="B648" s="229" t="s">
        <v>1691</v>
      </c>
      <c r="C648" s="230"/>
      <c r="D648" s="231" t="s">
        <v>969</v>
      </c>
      <c r="E648" s="232" t="s">
        <v>1689</v>
      </c>
      <c r="F648" s="232" t="s">
        <v>1688</v>
      </c>
      <c r="G648" s="233" t="s">
        <v>1687</v>
      </c>
      <c r="H648" s="234" t="s">
        <v>1686</v>
      </c>
    </row>
    <row r="649" spans="2:8" x14ac:dyDescent="0.2">
      <c r="B649" s="235" t="s">
        <v>243</v>
      </c>
      <c r="C649" s="132"/>
      <c r="D649" s="236">
        <v>1</v>
      </c>
      <c r="E649" s="237">
        <v>2.13</v>
      </c>
      <c r="F649" s="216">
        <f>D649*E649</f>
        <v>2.13</v>
      </c>
      <c r="G649" s="217">
        <v>13.94</v>
      </c>
      <c r="H649" s="218">
        <f>F649*G649</f>
        <v>29.692199999999996</v>
      </c>
    </row>
    <row r="650" spans="2:8" x14ac:dyDescent="0.2">
      <c r="B650" s="235" t="s">
        <v>1488</v>
      </c>
      <c r="C650" s="132"/>
      <c r="D650" s="236">
        <v>1</v>
      </c>
      <c r="E650" s="237">
        <v>2.13</v>
      </c>
      <c r="F650" s="216">
        <f>D650*E650</f>
        <v>2.13</v>
      </c>
      <c r="G650" s="217">
        <v>9.5399999999999991</v>
      </c>
      <c r="H650" s="218">
        <f>F650*G650</f>
        <v>20.320199999999996</v>
      </c>
    </row>
    <row r="651" spans="2:8" x14ac:dyDescent="0.2">
      <c r="B651" s="235" t="s">
        <v>590</v>
      </c>
      <c r="C651" s="132"/>
      <c r="D651" s="236">
        <v>1</v>
      </c>
      <c r="E651" s="237">
        <v>2.13</v>
      </c>
      <c r="F651" s="216">
        <f>D651*E651</f>
        <v>2.13</v>
      </c>
      <c r="G651" s="217">
        <v>6.82</v>
      </c>
      <c r="H651" s="218">
        <f>F651*G651</f>
        <v>14.5266</v>
      </c>
    </row>
    <row r="652" spans="2:8" x14ac:dyDescent="0.2">
      <c r="B652" s="235"/>
      <c r="C652" s="132"/>
      <c r="D652" s="236"/>
      <c r="E652" s="237"/>
      <c r="F652" s="216"/>
      <c r="G652" s="217"/>
      <c r="H652" s="218"/>
    </row>
    <row r="653" spans="2:8" x14ac:dyDescent="0.2">
      <c r="B653" s="219" t="s">
        <v>1682</v>
      </c>
      <c r="C653" s="220"/>
      <c r="D653" s="221"/>
      <c r="E653" s="222" t="s">
        <v>1682</v>
      </c>
      <c r="F653" s="222" t="s">
        <v>1682</v>
      </c>
      <c r="G653" s="223"/>
      <c r="H653" s="224" t="s">
        <v>1682</v>
      </c>
    </row>
    <row r="654" spans="2:8" x14ac:dyDescent="0.2">
      <c r="B654" s="238" t="s">
        <v>1681</v>
      </c>
      <c r="C654" s="239"/>
      <c r="D654" s="240"/>
      <c r="E654" s="239"/>
      <c r="F654" s="239"/>
      <c r="G654" s="239"/>
      <c r="H654" s="241">
        <f>SUM(H649:H653)</f>
        <v>64.538999999999987</v>
      </c>
    </row>
    <row r="655" spans="2:8" x14ac:dyDescent="0.2">
      <c r="B655" s="227" t="s">
        <v>1684</v>
      </c>
      <c r="C655" s="132"/>
      <c r="D655" s="188"/>
      <c r="E655" s="132"/>
      <c r="F655" s="132"/>
      <c r="G655" s="132"/>
      <c r="H655" s="218"/>
    </row>
    <row r="656" spans="2:8" ht="25.5" x14ac:dyDescent="0.2">
      <c r="B656" s="229" t="s">
        <v>1409</v>
      </c>
      <c r="C656" s="242"/>
      <c r="D656" s="243"/>
      <c r="E656" s="232" t="s">
        <v>1408</v>
      </c>
      <c r="F656" s="231" t="s">
        <v>1679</v>
      </c>
      <c r="G656" s="232" t="s">
        <v>1683</v>
      </c>
      <c r="H656" s="234" t="s">
        <v>1675</v>
      </c>
    </row>
    <row r="657" spans="2:8" x14ac:dyDescent="0.2">
      <c r="B657" s="244" t="s">
        <v>362</v>
      </c>
      <c r="C657" s="132"/>
      <c r="D657" s="188"/>
      <c r="E657" s="215"/>
      <c r="F657" s="215"/>
      <c r="G657" s="216"/>
      <c r="H657" s="218"/>
    </row>
    <row r="658" spans="2:8" x14ac:dyDescent="0.2">
      <c r="B658" s="214" t="s">
        <v>323</v>
      </c>
      <c r="C658" s="132"/>
      <c r="D658" s="188"/>
      <c r="E658" s="215"/>
      <c r="F658" s="215"/>
      <c r="G658" s="216"/>
      <c r="H658" s="218"/>
    </row>
    <row r="659" spans="2:8" x14ac:dyDescent="0.2">
      <c r="B659" s="214" t="s">
        <v>374</v>
      </c>
      <c r="C659" s="132"/>
      <c r="D659" s="188"/>
      <c r="E659" s="215" t="s">
        <v>1506</v>
      </c>
      <c r="F659" s="215">
        <v>1</v>
      </c>
      <c r="G659" s="216"/>
      <c r="H659" s="218"/>
    </row>
    <row r="660" spans="2:8" x14ac:dyDescent="0.2">
      <c r="B660" s="214" t="s">
        <v>369</v>
      </c>
      <c r="C660" s="132"/>
      <c r="D660" s="188"/>
      <c r="E660" s="215" t="s">
        <v>1506</v>
      </c>
      <c r="F660" s="215">
        <v>2</v>
      </c>
      <c r="G660" s="216"/>
      <c r="H660" s="218"/>
    </row>
    <row r="661" spans="2:8" x14ac:dyDescent="0.2">
      <c r="B661" s="214" t="s">
        <v>375</v>
      </c>
      <c r="C661" s="132"/>
      <c r="D661" s="188"/>
      <c r="E661" s="215" t="s">
        <v>1506</v>
      </c>
      <c r="F661" s="215">
        <v>9</v>
      </c>
      <c r="G661" s="216"/>
      <c r="H661" s="218"/>
    </row>
    <row r="662" spans="2:8" x14ac:dyDescent="0.2">
      <c r="B662" s="214" t="s">
        <v>371</v>
      </c>
      <c r="C662" s="132"/>
      <c r="D662" s="188"/>
      <c r="E662" s="215" t="s">
        <v>1506</v>
      </c>
      <c r="F662" s="215">
        <v>1</v>
      </c>
      <c r="G662" s="216"/>
      <c r="H662" s="218"/>
    </row>
    <row r="663" spans="2:8" x14ac:dyDescent="0.2">
      <c r="B663" s="214"/>
      <c r="C663" s="132"/>
      <c r="D663" s="188"/>
      <c r="E663" s="215"/>
      <c r="F663" s="215"/>
      <c r="G663" s="216"/>
      <c r="H663" s="218"/>
    </row>
    <row r="664" spans="2:8" x14ac:dyDescent="0.2">
      <c r="B664" s="214" t="s">
        <v>1682</v>
      </c>
      <c r="C664" s="132"/>
      <c r="D664" s="245" t="s">
        <v>1682</v>
      </c>
      <c r="E664" s="272" t="s">
        <v>1682</v>
      </c>
      <c r="F664" s="215" t="s">
        <v>1682</v>
      </c>
      <c r="G664" s="216" t="s">
        <v>1682</v>
      </c>
      <c r="H664" s="218" t="s">
        <v>1682</v>
      </c>
    </row>
    <row r="665" spans="2:8" x14ac:dyDescent="0.2">
      <c r="B665" s="238" t="s">
        <v>1692</v>
      </c>
      <c r="C665" s="239"/>
      <c r="D665" s="240"/>
      <c r="E665" s="240"/>
      <c r="F665" s="240"/>
      <c r="G665" s="239"/>
      <c r="H665" s="241">
        <v>356.13</v>
      </c>
    </row>
    <row r="666" spans="2:8" x14ac:dyDescent="0.2">
      <c r="B666" s="227" t="s">
        <v>1680</v>
      </c>
      <c r="C666" s="132"/>
      <c r="D666" s="188"/>
      <c r="E666" s="132"/>
      <c r="F666" s="188"/>
      <c r="G666" s="132"/>
      <c r="H666" s="218"/>
    </row>
    <row r="667" spans="2:8" ht="25.5" x14ac:dyDescent="0.2">
      <c r="B667" s="229" t="s">
        <v>1409</v>
      </c>
      <c r="C667" s="242"/>
      <c r="D667" s="243"/>
      <c r="E667" s="232" t="s">
        <v>1408</v>
      </c>
      <c r="F667" s="231" t="s">
        <v>1679</v>
      </c>
      <c r="G667" s="232" t="s">
        <v>1676</v>
      </c>
      <c r="H667" s="234" t="s">
        <v>1675</v>
      </c>
    </row>
    <row r="668" spans="2:8" x14ac:dyDescent="0.2">
      <c r="B668" s="208" t="s">
        <v>975</v>
      </c>
      <c r="C668" s="209"/>
      <c r="D668" s="246"/>
      <c r="E668" s="215" t="s">
        <v>976</v>
      </c>
      <c r="F668" s="215">
        <v>0.03</v>
      </c>
      <c r="G668" s="247">
        <v>5</v>
      </c>
      <c r="H668" s="218">
        <f>F668*G668</f>
        <v>0.15</v>
      </c>
    </row>
    <row r="669" spans="2:8" x14ac:dyDescent="0.2">
      <c r="B669" s="214"/>
      <c r="C669" s="132"/>
      <c r="D669" s="248"/>
      <c r="E669" s="215"/>
      <c r="F669" s="215"/>
      <c r="G669" s="247"/>
      <c r="H669" s="218"/>
    </row>
    <row r="670" spans="2:8" x14ac:dyDescent="0.2">
      <c r="B670" s="219" t="s">
        <v>1682</v>
      </c>
      <c r="C670" s="220"/>
      <c r="D670" s="249"/>
      <c r="E670" s="221" t="s">
        <v>1682</v>
      </c>
      <c r="F670" s="221"/>
      <c r="G670" s="222" t="s">
        <v>1682</v>
      </c>
      <c r="H670" s="224" t="s">
        <v>1682</v>
      </c>
    </row>
    <row r="671" spans="2:8" ht="13.5" thickBot="1" x14ac:dyDescent="0.25">
      <c r="B671" s="250" t="s">
        <v>977</v>
      </c>
      <c r="C671" s="251"/>
      <c r="D671" s="252"/>
      <c r="E671" s="252"/>
      <c r="F671" s="252"/>
      <c r="G671" s="251"/>
      <c r="H671" s="253">
        <f>SUM(H668:H670)</f>
        <v>0.15</v>
      </c>
    </row>
    <row r="672" spans="2:8" x14ac:dyDescent="0.2">
      <c r="B672" s="132"/>
      <c r="C672" s="132"/>
      <c r="D672" s="254"/>
      <c r="E672" s="198"/>
      <c r="F672" s="198"/>
      <c r="G672" s="255" t="s">
        <v>978</v>
      </c>
      <c r="H672" s="256">
        <f>H646+H654+H665+H671</f>
        <v>421.19399999999996</v>
      </c>
    </row>
    <row r="673" spans="2:8" x14ac:dyDescent="0.2">
      <c r="B673" s="132"/>
      <c r="C673" s="132"/>
      <c r="D673" s="257"/>
      <c r="E673" s="239"/>
      <c r="F673" s="239"/>
      <c r="G673" s="258" t="s">
        <v>979</v>
      </c>
      <c r="H673" s="241"/>
    </row>
    <row r="674" spans="2:8" x14ac:dyDescent="0.2">
      <c r="B674" s="132"/>
      <c r="C674" s="132"/>
      <c r="D674" s="257"/>
      <c r="E674" s="239"/>
      <c r="F674" s="239"/>
      <c r="G674" s="258" t="s">
        <v>980</v>
      </c>
      <c r="H674" s="241"/>
    </row>
    <row r="675" spans="2:8" x14ac:dyDescent="0.2">
      <c r="B675" s="132"/>
      <c r="C675" s="132"/>
      <c r="D675" s="257"/>
      <c r="E675" s="239"/>
      <c r="F675" s="239"/>
      <c r="G675" s="259" t="s">
        <v>1670</v>
      </c>
      <c r="H675" s="260"/>
    </row>
    <row r="676" spans="2:8" ht="13.5" thickBot="1" x14ac:dyDescent="0.25">
      <c r="B676" s="193"/>
      <c r="C676" s="132"/>
      <c r="D676" s="261"/>
      <c r="E676" s="251"/>
      <c r="F676" s="251"/>
      <c r="G676" s="262" t="s">
        <v>1650</v>
      </c>
      <c r="H676" s="263"/>
    </row>
    <row r="677" spans="2:8" ht="15.75" x14ac:dyDescent="0.2">
      <c r="B677" s="186" t="s">
        <v>1701</v>
      </c>
      <c r="C677" s="132"/>
      <c r="D677" s="189" t="s">
        <v>742</v>
      </c>
      <c r="E677" s="132"/>
      <c r="F677" s="132"/>
      <c r="G677" s="188"/>
      <c r="H677" s="132"/>
    </row>
    <row r="678" spans="2:8" ht="15.75" x14ac:dyDescent="0.2">
      <c r="B678" s="186" t="s">
        <v>1700</v>
      </c>
      <c r="C678" s="189" t="s">
        <v>963</v>
      </c>
      <c r="D678" s="132"/>
      <c r="E678" s="132"/>
      <c r="F678" s="132"/>
      <c r="G678" s="190"/>
      <c r="H678" s="191"/>
    </row>
    <row r="679" spans="2:8" ht="14.25" x14ac:dyDescent="0.2">
      <c r="B679" s="189"/>
      <c r="C679" s="189"/>
      <c r="D679" s="189"/>
      <c r="E679" s="189"/>
      <c r="F679" s="189"/>
      <c r="G679" s="189"/>
      <c r="H679" s="189"/>
    </row>
    <row r="680" spans="2:8" ht="15.75" x14ac:dyDescent="0.2">
      <c r="B680" s="186" t="s">
        <v>1697</v>
      </c>
      <c r="C680" s="189"/>
      <c r="D680" s="132"/>
      <c r="E680" s="132"/>
      <c r="F680" s="132"/>
      <c r="G680" s="132"/>
      <c r="H680" s="132"/>
    </row>
    <row r="681" spans="2:8" ht="15" x14ac:dyDescent="0.2">
      <c r="B681" s="192"/>
      <c r="C681" s="189"/>
      <c r="D681" s="189"/>
      <c r="E681" s="189"/>
      <c r="F681" s="189"/>
      <c r="G681" s="189"/>
      <c r="H681" s="189"/>
    </row>
    <row r="682" spans="2:8" ht="14.25" x14ac:dyDescent="0.2">
      <c r="B682" s="193" t="s">
        <v>594</v>
      </c>
      <c r="C682" s="194">
        <v>13</v>
      </c>
      <c r="D682" s="132"/>
      <c r="E682" s="188"/>
      <c r="F682" s="188"/>
      <c r="G682" s="195" t="s">
        <v>1696</v>
      </c>
      <c r="H682" s="189" t="s">
        <v>1506</v>
      </c>
    </row>
    <row r="683" spans="2:8" ht="14.25" x14ac:dyDescent="0.2">
      <c r="B683" s="196" t="s">
        <v>964</v>
      </c>
      <c r="C683" s="194" t="s">
        <v>376</v>
      </c>
      <c r="D683" s="132"/>
      <c r="E683" s="132"/>
      <c r="F683" s="132"/>
      <c r="G683" s="132"/>
      <c r="H683" s="132"/>
    </row>
    <row r="684" spans="2:8" ht="15" thickBot="1" x14ac:dyDescent="0.25">
      <c r="B684" s="187"/>
      <c r="C684" s="187"/>
      <c r="D684" s="189"/>
      <c r="E684" s="189"/>
      <c r="F684" s="189"/>
      <c r="G684" s="189"/>
      <c r="H684" s="189"/>
    </row>
    <row r="685" spans="2:8" ht="13.5" thickBot="1" x14ac:dyDescent="0.25">
      <c r="B685" s="264" t="s">
        <v>1695</v>
      </c>
      <c r="C685" s="265"/>
      <c r="D685" s="266"/>
      <c r="E685" s="265"/>
      <c r="F685" s="265"/>
      <c r="G685" s="265"/>
      <c r="H685" s="267"/>
    </row>
    <row r="686" spans="2:8" ht="25.5" x14ac:dyDescent="0.2">
      <c r="B686" s="197" t="s">
        <v>1409</v>
      </c>
      <c r="C686" s="268"/>
      <c r="D686" s="269" t="s">
        <v>966</v>
      </c>
      <c r="E686" s="270" t="s">
        <v>1694</v>
      </c>
      <c r="F686" s="270" t="s">
        <v>1693</v>
      </c>
      <c r="G686" s="201" t="s">
        <v>1687</v>
      </c>
      <c r="H686" s="271" t="s">
        <v>967</v>
      </c>
    </row>
    <row r="687" spans="2:8" x14ac:dyDescent="0.2">
      <c r="B687" s="208" t="s">
        <v>1468</v>
      </c>
      <c r="C687" s="209"/>
      <c r="D687" s="210">
        <v>1</v>
      </c>
      <c r="E687" s="211">
        <v>2.5</v>
      </c>
      <c r="F687" s="211">
        <f>D687*E687</f>
        <v>2.5</v>
      </c>
      <c r="G687" s="212">
        <v>0.4</v>
      </c>
      <c r="H687" s="213">
        <f>F687*G687</f>
        <v>1</v>
      </c>
    </row>
    <row r="688" spans="2:8" x14ac:dyDescent="0.2">
      <c r="B688" s="214" t="s">
        <v>1682</v>
      </c>
      <c r="C688" s="132"/>
      <c r="D688" s="215"/>
      <c r="E688" s="216" t="s">
        <v>1682</v>
      </c>
      <c r="F688" s="216" t="s">
        <v>1682</v>
      </c>
      <c r="G688" s="217"/>
      <c r="H688" s="218" t="s">
        <v>1682</v>
      </c>
    </row>
    <row r="689" spans="2:8" x14ac:dyDescent="0.2">
      <c r="B689" s="219" t="s">
        <v>1682</v>
      </c>
      <c r="C689" s="220"/>
      <c r="D689" s="221"/>
      <c r="E689" s="222" t="s">
        <v>1682</v>
      </c>
      <c r="F689" s="222" t="s">
        <v>1682</v>
      </c>
      <c r="G689" s="223"/>
      <c r="H689" s="224" t="s">
        <v>1682</v>
      </c>
    </row>
    <row r="690" spans="2:8" x14ac:dyDescent="0.2">
      <c r="B690" s="219" t="s">
        <v>968</v>
      </c>
      <c r="C690" s="220"/>
      <c r="D690" s="225"/>
      <c r="E690" s="220"/>
      <c r="F690" s="220"/>
      <c r="G690" s="226"/>
      <c r="H690" s="224">
        <f>SUM(H687:H689)</f>
        <v>1</v>
      </c>
    </row>
    <row r="691" spans="2:8" x14ac:dyDescent="0.2">
      <c r="B691" s="227" t="s">
        <v>1503</v>
      </c>
      <c r="C691" s="132"/>
      <c r="D691" s="188"/>
      <c r="E691" s="132"/>
      <c r="F691" s="132"/>
      <c r="G691" s="228"/>
      <c r="H691" s="218"/>
    </row>
    <row r="692" spans="2:8" ht="25.5" x14ac:dyDescent="0.2">
      <c r="B692" s="229" t="s">
        <v>1691</v>
      </c>
      <c r="C692" s="230"/>
      <c r="D692" s="231" t="s">
        <v>969</v>
      </c>
      <c r="E692" s="232" t="s">
        <v>1689</v>
      </c>
      <c r="F692" s="232" t="s">
        <v>1688</v>
      </c>
      <c r="G692" s="233" t="s">
        <v>1687</v>
      </c>
      <c r="H692" s="234" t="s">
        <v>1686</v>
      </c>
    </row>
    <row r="693" spans="2:8" x14ac:dyDescent="0.2">
      <c r="B693" s="235" t="s">
        <v>243</v>
      </c>
      <c r="C693" s="132"/>
      <c r="D693" s="236">
        <v>1</v>
      </c>
      <c r="E693" s="237">
        <v>2.13</v>
      </c>
      <c r="F693" s="216">
        <f>D693*E693</f>
        <v>2.13</v>
      </c>
      <c r="G693" s="217">
        <v>17.72</v>
      </c>
      <c r="H693" s="218">
        <f>F693*G693</f>
        <v>37.743599999999994</v>
      </c>
    </row>
    <row r="694" spans="2:8" x14ac:dyDescent="0.2">
      <c r="B694" s="235" t="s">
        <v>1488</v>
      </c>
      <c r="C694" s="132"/>
      <c r="D694" s="236">
        <v>1</v>
      </c>
      <c r="E694" s="237">
        <v>2.13</v>
      </c>
      <c r="F694" s="216">
        <f>D694*E694</f>
        <v>2.13</v>
      </c>
      <c r="G694" s="217">
        <v>12.13</v>
      </c>
      <c r="H694" s="218">
        <f>F694*G694</f>
        <v>25.8369</v>
      </c>
    </row>
    <row r="695" spans="2:8" x14ac:dyDescent="0.2">
      <c r="B695" s="235" t="s">
        <v>590</v>
      </c>
      <c r="C695" s="132"/>
      <c r="D695" s="236">
        <v>1</v>
      </c>
      <c r="E695" s="237">
        <v>2.13</v>
      </c>
      <c r="F695" s="216">
        <f>D695*E695</f>
        <v>2.13</v>
      </c>
      <c r="G695" s="217">
        <v>8.67</v>
      </c>
      <c r="H695" s="218">
        <f>F695*G695</f>
        <v>18.467099999999999</v>
      </c>
    </row>
    <row r="696" spans="2:8" x14ac:dyDescent="0.2">
      <c r="B696" s="235"/>
      <c r="C696" s="132"/>
      <c r="D696" s="236"/>
      <c r="E696" s="237"/>
      <c r="F696" s="216"/>
      <c r="G696" s="217"/>
      <c r="H696" s="218"/>
    </row>
    <row r="697" spans="2:8" x14ac:dyDescent="0.2">
      <c r="B697" s="219" t="s">
        <v>1682</v>
      </c>
      <c r="C697" s="220"/>
      <c r="D697" s="221"/>
      <c r="E697" s="222" t="s">
        <v>1682</v>
      </c>
      <c r="F697" s="222" t="s">
        <v>1682</v>
      </c>
      <c r="G697" s="223"/>
      <c r="H697" s="224" t="s">
        <v>1682</v>
      </c>
    </row>
    <row r="698" spans="2:8" x14ac:dyDescent="0.2">
      <c r="B698" s="238" t="s">
        <v>1681</v>
      </c>
      <c r="C698" s="239"/>
      <c r="D698" s="240"/>
      <c r="E698" s="239"/>
      <c r="F698" s="239"/>
      <c r="G698" s="239"/>
      <c r="H698" s="241">
        <f>SUM(H693:H697)</f>
        <v>82.047599999999989</v>
      </c>
    </row>
    <row r="699" spans="2:8" x14ac:dyDescent="0.2">
      <c r="B699" s="227" t="s">
        <v>1684</v>
      </c>
      <c r="C699" s="132"/>
      <c r="D699" s="188"/>
      <c r="E699" s="132"/>
      <c r="F699" s="132"/>
      <c r="G699" s="132"/>
      <c r="H699" s="218"/>
    </row>
    <row r="700" spans="2:8" ht="25.5" x14ac:dyDescent="0.2">
      <c r="B700" s="229" t="s">
        <v>1409</v>
      </c>
      <c r="C700" s="242"/>
      <c r="D700" s="243"/>
      <c r="E700" s="232" t="s">
        <v>1408</v>
      </c>
      <c r="F700" s="231" t="s">
        <v>1679</v>
      </c>
      <c r="G700" s="232" t="s">
        <v>1683</v>
      </c>
      <c r="H700" s="234" t="s">
        <v>1675</v>
      </c>
    </row>
    <row r="701" spans="2:8" x14ac:dyDescent="0.2">
      <c r="B701" s="244" t="s">
        <v>377</v>
      </c>
      <c r="C701" s="132"/>
      <c r="D701" s="188"/>
      <c r="E701" s="215"/>
      <c r="F701" s="215"/>
      <c r="G701" s="216"/>
      <c r="H701" s="218"/>
    </row>
    <row r="702" spans="2:8" x14ac:dyDescent="0.2">
      <c r="B702" s="214" t="s">
        <v>323</v>
      </c>
      <c r="C702" s="132"/>
      <c r="D702" s="188"/>
      <c r="E702" s="215"/>
      <c r="F702" s="215"/>
      <c r="G702" s="216"/>
      <c r="H702" s="218"/>
    </row>
    <row r="703" spans="2:8" x14ac:dyDescent="0.2">
      <c r="B703" s="214" t="s">
        <v>378</v>
      </c>
      <c r="C703" s="132"/>
      <c r="D703" s="188"/>
      <c r="E703" s="215"/>
      <c r="F703" s="215"/>
      <c r="G703" s="216"/>
      <c r="H703" s="218"/>
    </row>
    <row r="704" spans="2:8" x14ac:dyDescent="0.2">
      <c r="B704" s="214" t="s">
        <v>379</v>
      </c>
      <c r="C704" s="132"/>
      <c r="D704" s="188"/>
      <c r="E704" s="215" t="s">
        <v>1506</v>
      </c>
      <c r="F704" s="215">
        <v>3</v>
      </c>
      <c r="G704" s="216"/>
      <c r="H704" s="218"/>
    </row>
    <row r="705" spans="2:8" x14ac:dyDescent="0.2">
      <c r="B705" s="214" t="s">
        <v>380</v>
      </c>
      <c r="C705" s="132"/>
      <c r="D705" s="188"/>
      <c r="E705" s="215" t="s">
        <v>1506</v>
      </c>
      <c r="F705" s="215">
        <v>1</v>
      </c>
      <c r="G705" s="216"/>
      <c r="H705" s="218"/>
    </row>
    <row r="706" spans="2:8" x14ac:dyDescent="0.2">
      <c r="B706" s="214" t="s">
        <v>381</v>
      </c>
      <c r="C706" s="132"/>
      <c r="D706" s="188"/>
      <c r="E706" s="215" t="s">
        <v>1506</v>
      </c>
      <c r="F706" s="215">
        <v>2</v>
      </c>
      <c r="G706" s="216"/>
      <c r="H706" s="218"/>
    </row>
    <row r="707" spans="2:8" x14ac:dyDescent="0.2">
      <c r="B707" s="214" t="s">
        <v>321</v>
      </c>
      <c r="C707" s="132"/>
      <c r="D707" s="188"/>
      <c r="E707" s="215" t="s">
        <v>302</v>
      </c>
      <c r="F707" s="215">
        <v>2</v>
      </c>
      <c r="G707" s="216"/>
      <c r="H707" s="218"/>
    </row>
    <row r="708" spans="2:8" x14ac:dyDescent="0.2">
      <c r="B708" s="214" t="s">
        <v>382</v>
      </c>
      <c r="C708" s="132"/>
      <c r="D708" s="188"/>
      <c r="E708" s="215" t="s">
        <v>1506</v>
      </c>
      <c r="F708" s="215">
        <v>1</v>
      </c>
      <c r="G708" s="216"/>
      <c r="H708" s="218"/>
    </row>
    <row r="709" spans="2:8" x14ac:dyDescent="0.2">
      <c r="B709" s="214" t="s">
        <v>339</v>
      </c>
      <c r="C709" s="132"/>
      <c r="D709" s="188"/>
      <c r="E709" s="215" t="s">
        <v>302</v>
      </c>
      <c r="F709" s="215">
        <v>1</v>
      </c>
      <c r="G709" s="216"/>
      <c r="H709" s="218"/>
    </row>
    <row r="710" spans="2:8" x14ac:dyDescent="0.2">
      <c r="B710" s="214"/>
      <c r="C710" s="132"/>
      <c r="D710" s="188"/>
      <c r="E710" s="215"/>
      <c r="F710" s="215"/>
      <c r="G710" s="216"/>
      <c r="H710" s="218"/>
    </row>
    <row r="711" spans="2:8" x14ac:dyDescent="0.2">
      <c r="B711" s="214" t="s">
        <v>1682</v>
      </c>
      <c r="C711" s="132"/>
      <c r="D711" s="245" t="s">
        <v>1682</v>
      </c>
      <c r="E711" s="272" t="s">
        <v>1682</v>
      </c>
      <c r="F711" s="215" t="s">
        <v>1682</v>
      </c>
      <c r="G711" s="216" t="s">
        <v>1682</v>
      </c>
      <c r="H711" s="218" t="s">
        <v>1682</v>
      </c>
    </row>
    <row r="712" spans="2:8" x14ac:dyDescent="0.2">
      <c r="B712" s="238" t="s">
        <v>1692</v>
      </c>
      <c r="C712" s="239"/>
      <c r="D712" s="240"/>
      <c r="E712" s="240"/>
      <c r="F712" s="240"/>
      <c r="G712" s="239"/>
      <c r="H712" s="241">
        <v>1057.32</v>
      </c>
    </row>
    <row r="713" spans="2:8" x14ac:dyDescent="0.2">
      <c r="B713" s="227" t="s">
        <v>1680</v>
      </c>
      <c r="C713" s="132"/>
      <c r="D713" s="188"/>
      <c r="E713" s="132"/>
      <c r="F713" s="188"/>
      <c r="G713" s="132"/>
      <c r="H713" s="218"/>
    </row>
    <row r="714" spans="2:8" ht="25.5" x14ac:dyDescent="0.2">
      <c r="B714" s="229" t="s">
        <v>1409</v>
      </c>
      <c r="C714" s="242"/>
      <c r="D714" s="243"/>
      <c r="E714" s="232" t="s">
        <v>1408</v>
      </c>
      <c r="F714" s="231" t="s">
        <v>1679</v>
      </c>
      <c r="G714" s="232" t="s">
        <v>1676</v>
      </c>
      <c r="H714" s="234" t="s">
        <v>1675</v>
      </c>
    </row>
    <row r="715" spans="2:8" x14ac:dyDescent="0.2">
      <c r="B715" s="208" t="s">
        <v>975</v>
      </c>
      <c r="C715" s="209"/>
      <c r="D715" s="246"/>
      <c r="E715" s="215" t="s">
        <v>976</v>
      </c>
      <c r="F715" s="215">
        <v>0.1</v>
      </c>
      <c r="G715" s="247">
        <v>5</v>
      </c>
      <c r="H715" s="218">
        <f>F715*G715</f>
        <v>0.5</v>
      </c>
    </row>
    <row r="716" spans="2:8" x14ac:dyDescent="0.2">
      <c r="B716" s="214"/>
      <c r="C716" s="132"/>
      <c r="D716" s="248"/>
      <c r="E716" s="215"/>
      <c r="F716" s="215"/>
      <c r="G716" s="247"/>
      <c r="H716" s="218"/>
    </row>
    <row r="717" spans="2:8" x14ac:dyDescent="0.2">
      <c r="B717" s="219" t="s">
        <v>1682</v>
      </c>
      <c r="C717" s="220"/>
      <c r="D717" s="249"/>
      <c r="E717" s="221" t="s">
        <v>1682</v>
      </c>
      <c r="F717" s="221"/>
      <c r="G717" s="222" t="s">
        <v>1682</v>
      </c>
      <c r="H717" s="224" t="s">
        <v>1682</v>
      </c>
    </row>
    <row r="718" spans="2:8" ht="13.5" thickBot="1" x14ac:dyDescent="0.25">
      <c r="B718" s="250" t="s">
        <v>977</v>
      </c>
      <c r="C718" s="251"/>
      <c r="D718" s="252"/>
      <c r="E718" s="252"/>
      <c r="F718" s="252"/>
      <c r="G718" s="251"/>
      <c r="H718" s="253">
        <f>SUM(H715:H717)</f>
        <v>0.5</v>
      </c>
    </row>
    <row r="719" spans="2:8" x14ac:dyDescent="0.2">
      <c r="B719" s="132"/>
      <c r="C719" s="132"/>
      <c r="D719" s="254"/>
      <c r="E719" s="198"/>
      <c r="F719" s="198"/>
      <c r="G719" s="255" t="s">
        <v>978</v>
      </c>
      <c r="H719" s="256">
        <f>H690+H698+H712+H718</f>
        <v>1140.8676</v>
      </c>
    </row>
    <row r="720" spans="2:8" x14ac:dyDescent="0.2">
      <c r="B720" s="132"/>
      <c r="C720" s="132"/>
      <c r="D720" s="257"/>
      <c r="E720" s="239"/>
      <c r="F720" s="239"/>
      <c r="G720" s="258" t="s">
        <v>979</v>
      </c>
      <c r="H720" s="241"/>
    </row>
    <row r="721" spans="2:8" x14ac:dyDescent="0.2">
      <c r="B721" s="132"/>
      <c r="C721" s="132"/>
      <c r="D721" s="257"/>
      <c r="E721" s="239"/>
      <c r="F721" s="239"/>
      <c r="G721" s="258" t="s">
        <v>980</v>
      </c>
      <c r="H721" s="241"/>
    </row>
    <row r="722" spans="2:8" x14ac:dyDescent="0.2">
      <c r="B722" s="132"/>
      <c r="C722" s="132"/>
      <c r="D722" s="257"/>
      <c r="E722" s="239"/>
      <c r="F722" s="239"/>
      <c r="G722" s="259" t="s">
        <v>1670</v>
      </c>
      <c r="H722" s="260"/>
    </row>
    <row r="723" spans="2:8" ht="13.5" thickBot="1" x14ac:dyDescent="0.25">
      <c r="B723" s="193"/>
      <c r="C723" s="132"/>
      <c r="D723" s="261"/>
      <c r="E723" s="251"/>
      <c r="F723" s="251"/>
      <c r="G723" s="262" t="s">
        <v>1650</v>
      </c>
      <c r="H723" s="263"/>
    </row>
    <row r="724" spans="2:8" ht="15.75" x14ac:dyDescent="0.2">
      <c r="B724" s="186" t="s">
        <v>1701</v>
      </c>
      <c r="C724" s="132"/>
      <c r="D724" s="189" t="s">
        <v>742</v>
      </c>
      <c r="E724" s="132"/>
      <c r="F724" s="132"/>
      <c r="G724" s="188"/>
      <c r="H724" s="132"/>
    </row>
    <row r="725" spans="2:8" ht="15.75" x14ac:dyDescent="0.2">
      <c r="B725" s="186" t="s">
        <v>1700</v>
      </c>
      <c r="C725" s="189" t="s">
        <v>963</v>
      </c>
      <c r="D725" s="132"/>
      <c r="E725" s="132"/>
      <c r="F725" s="132"/>
      <c r="G725" s="190"/>
      <c r="H725" s="191"/>
    </row>
    <row r="726" spans="2:8" ht="14.25" x14ac:dyDescent="0.2">
      <c r="B726" s="189"/>
      <c r="C726" s="189"/>
      <c r="D726" s="189"/>
      <c r="E726" s="189"/>
      <c r="F726" s="189"/>
      <c r="G726" s="189"/>
      <c r="H726" s="189"/>
    </row>
    <row r="727" spans="2:8" ht="15.75" x14ac:dyDescent="0.2">
      <c r="B727" s="186" t="s">
        <v>1697</v>
      </c>
      <c r="C727" s="189"/>
      <c r="D727" s="132"/>
      <c r="E727" s="132"/>
      <c r="F727" s="132"/>
      <c r="G727" s="132"/>
      <c r="H727" s="132"/>
    </row>
    <row r="728" spans="2:8" ht="15" x14ac:dyDescent="0.2">
      <c r="B728" s="192"/>
      <c r="C728" s="189"/>
      <c r="D728" s="189"/>
      <c r="E728" s="189"/>
      <c r="F728" s="189"/>
      <c r="G728" s="189"/>
      <c r="H728" s="189"/>
    </row>
    <row r="729" spans="2:8" ht="14.25" x14ac:dyDescent="0.2">
      <c r="B729" s="193" t="s">
        <v>594</v>
      </c>
      <c r="C729" s="194" t="s">
        <v>383</v>
      </c>
      <c r="D729" s="132"/>
      <c r="E729" s="188"/>
      <c r="F729" s="188"/>
      <c r="G729" s="195" t="s">
        <v>1696</v>
      </c>
      <c r="H729" s="189" t="s">
        <v>1506</v>
      </c>
    </row>
    <row r="730" spans="2:8" ht="14.25" x14ac:dyDescent="0.2">
      <c r="B730" s="196" t="s">
        <v>964</v>
      </c>
      <c r="C730" s="194" t="s">
        <v>384</v>
      </c>
      <c r="D730" s="132"/>
      <c r="E730" s="132"/>
      <c r="F730" s="132"/>
      <c r="G730" s="132"/>
      <c r="H730" s="132"/>
    </row>
    <row r="731" spans="2:8" ht="15" thickBot="1" x14ac:dyDescent="0.25">
      <c r="B731" s="187"/>
      <c r="C731" s="187"/>
      <c r="D731" s="189"/>
      <c r="E731" s="189"/>
      <c r="F731" s="189"/>
      <c r="G731" s="189"/>
      <c r="H731" s="189"/>
    </row>
    <row r="732" spans="2:8" ht="13.5" thickBot="1" x14ac:dyDescent="0.25">
      <c r="B732" s="264" t="s">
        <v>1695</v>
      </c>
      <c r="C732" s="265"/>
      <c r="D732" s="266"/>
      <c r="E732" s="265"/>
      <c r="F732" s="265"/>
      <c r="G732" s="265"/>
      <c r="H732" s="267"/>
    </row>
    <row r="733" spans="2:8" ht="25.5" x14ac:dyDescent="0.2">
      <c r="B733" s="197" t="s">
        <v>1409</v>
      </c>
      <c r="C733" s="268"/>
      <c r="D733" s="269" t="s">
        <v>966</v>
      </c>
      <c r="E733" s="270" t="s">
        <v>1694</v>
      </c>
      <c r="F733" s="270" t="s">
        <v>1693</v>
      </c>
      <c r="G733" s="201" t="s">
        <v>1687</v>
      </c>
      <c r="H733" s="271" t="s">
        <v>967</v>
      </c>
    </row>
    <row r="734" spans="2:8" x14ac:dyDescent="0.2">
      <c r="B734" s="208" t="s">
        <v>1468</v>
      </c>
      <c r="C734" s="209"/>
      <c r="D734" s="210">
        <v>1</v>
      </c>
      <c r="E734" s="211">
        <v>2.5</v>
      </c>
      <c r="F734" s="211">
        <f>D734*E734</f>
        <v>2.5</v>
      </c>
      <c r="G734" s="212">
        <v>1.5</v>
      </c>
      <c r="H734" s="213">
        <f>F734*G734</f>
        <v>3.75</v>
      </c>
    </row>
    <row r="735" spans="2:8" x14ac:dyDescent="0.2">
      <c r="B735" s="214" t="s">
        <v>1682</v>
      </c>
      <c r="C735" s="132"/>
      <c r="D735" s="215"/>
      <c r="E735" s="216" t="s">
        <v>1682</v>
      </c>
      <c r="F735" s="216" t="s">
        <v>1682</v>
      </c>
      <c r="G735" s="217"/>
      <c r="H735" s="218" t="s">
        <v>1682</v>
      </c>
    </row>
    <row r="736" spans="2:8" x14ac:dyDescent="0.2">
      <c r="B736" s="219" t="s">
        <v>1682</v>
      </c>
      <c r="C736" s="220"/>
      <c r="D736" s="221"/>
      <c r="E736" s="222" t="s">
        <v>1682</v>
      </c>
      <c r="F736" s="222" t="s">
        <v>1682</v>
      </c>
      <c r="G736" s="223"/>
      <c r="H736" s="224" t="s">
        <v>1682</v>
      </c>
    </row>
    <row r="737" spans="2:8" x14ac:dyDescent="0.2">
      <c r="B737" s="219" t="s">
        <v>968</v>
      </c>
      <c r="C737" s="220"/>
      <c r="D737" s="225"/>
      <c r="E737" s="220"/>
      <c r="F737" s="220"/>
      <c r="G737" s="226"/>
      <c r="H737" s="224">
        <f>SUM(H734:H736)</f>
        <v>3.75</v>
      </c>
    </row>
    <row r="738" spans="2:8" x14ac:dyDescent="0.2">
      <c r="B738" s="227" t="s">
        <v>1503</v>
      </c>
      <c r="C738" s="132"/>
      <c r="D738" s="188"/>
      <c r="E738" s="132"/>
      <c r="F738" s="132"/>
      <c r="G738" s="228"/>
      <c r="H738" s="218"/>
    </row>
    <row r="739" spans="2:8" ht="25.5" x14ac:dyDescent="0.2">
      <c r="B739" s="229" t="s">
        <v>1691</v>
      </c>
      <c r="C739" s="230"/>
      <c r="D739" s="231" t="s">
        <v>969</v>
      </c>
      <c r="E739" s="232" t="s">
        <v>1689</v>
      </c>
      <c r="F739" s="232" t="s">
        <v>1688</v>
      </c>
      <c r="G739" s="233" t="s">
        <v>1687</v>
      </c>
      <c r="H739" s="234" t="s">
        <v>1686</v>
      </c>
    </row>
    <row r="740" spans="2:8" x14ac:dyDescent="0.2">
      <c r="B740" s="235" t="s">
        <v>243</v>
      </c>
      <c r="C740" s="132"/>
      <c r="D740" s="236">
        <v>1</v>
      </c>
      <c r="E740" s="237">
        <v>2.13</v>
      </c>
      <c r="F740" s="216">
        <f>D740*E740</f>
        <v>2.13</v>
      </c>
      <c r="G740" s="217">
        <v>35.44</v>
      </c>
      <c r="H740" s="218">
        <v>75.48</v>
      </c>
    </row>
    <row r="741" spans="2:8" x14ac:dyDescent="0.2">
      <c r="B741" s="235" t="s">
        <v>1488</v>
      </c>
      <c r="C741" s="132"/>
      <c r="D741" s="236">
        <v>1</v>
      </c>
      <c r="E741" s="237">
        <v>2.13</v>
      </c>
      <c r="F741" s="216">
        <f>D741*E741</f>
        <v>2.13</v>
      </c>
      <c r="G741" s="217">
        <v>24.26</v>
      </c>
      <c r="H741" s="218">
        <v>51.67</v>
      </c>
    </row>
    <row r="742" spans="2:8" x14ac:dyDescent="0.2">
      <c r="B742" s="235" t="s">
        <v>590</v>
      </c>
      <c r="C742" s="132"/>
      <c r="D742" s="236">
        <v>1</v>
      </c>
      <c r="E742" s="237">
        <v>2.13</v>
      </c>
      <c r="F742" s="216">
        <f>D742*E742</f>
        <v>2.13</v>
      </c>
      <c r="G742" s="217">
        <v>17.34</v>
      </c>
      <c r="H742" s="218">
        <v>36.93</v>
      </c>
    </row>
    <row r="743" spans="2:8" x14ac:dyDescent="0.2">
      <c r="B743" s="235"/>
      <c r="C743" s="132"/>
      <c r="D743" s="236"/>
      <c r="E743" s="237"/>
      <c r="F743" s="216"/>
      <c r="G743" s="217"/>
      <c r="H743" s="218"/>
    </row>
    <row r="744" spans="2:8" x14ac:dyDescent="0.2">
      <c r="B744" s="219" t="s">
        <v>1682</v>
      </c>
      <c r="C744" s="220"/>
      <c r="D744" s="221"/>
      <c r="E744" s="222" t="s">
        <v>1682</v>
      </c>
      <c r="F744" s="222" t="s">
        <v>1682</v>
      </c>
      <c r="G744" s="223"/>
      <c r="H744" s="224" t="s">
        <v>1682</v>
      </c>
    </row>
    <row r="745" spans="2:8" x14ac:dyDescent="0.2">
      <c r="B745" s="238" t="s">
        <v>1681</v>
      </c>
      <c r="C745" s="239"/>
      <c r="D745" s="240"/>
      <c r="E745" s="239"/>
      <c r="F745" s="239"/>
      <c r="G745" s="239"/>
      <c r="H745" s="241">
        <f>SUM(H740:H744)</f>
        <v>164.08</v>
      </c>
    </row>
    <row r="746" spans="2:8" x14ac:dyDescent="0.2">
      <c r="B746" s="227" t="s">
        <v>1684</v>
      </c>
      <c r="C746" s="132"/>
      <c r="D746" s="188"/>
      <c r="E746" s="132"/>
      <c r="F746" s="132"/>
      <c r="G746" s="132"/>
      <c r="H746" s="218"/>
    </row>
    <row r="747" spans="2:8" ht="25.5" x14ac:dyDescent="0.2">
      <c r="B747" s="229" t="s">
        <v>1409</v>
      </c>
      <c r="C747" s="242"/>
      <c r="D747" s="243"/>
      <c r="E747" s="232" t="s">
        <v>1408</v>
      </c>
      <c r="F747" s="231" t="s">
        <v>1679</v>
      </c>
      <c r="G747" s="232" t="s">
        <v>1683</v>
      </c>
      <c r="H747" s="234" t="s">
        <v>1675</v>
      </c>
    </row>
    <row r="748" spans="2:8" x14ac:dyDescent="0.2">
      <c r="B748" s="244" t="s">
        <v>385</v>
      </c>
      <c r="C748" s="132"/>
      <c r="D748" s="188"/>
      <c r="E748" s="215" t="s">
        <v>1506</v>
      </c>
      <c r="F748" s="215">
        <v>1</v>
      </c>
      <c r="G748" s="216">
        <v>26817.82</v>
      </c>
      <c r="H748" s="218">
        <f>F748*G748</f>
        <v>26817.82</v>
      </c>
    </row>
    <row r="749" spans="2:8" x14ac:dyDescent="0.2">
      <c r="B749" s="214" t="s">
        <v>386</v>
      </c>
      <c r="C749" s="132"/>
      <c r="D749" s="188"/>
      <c r="E749" s="215"/>
      <c r="F749" s="215"/>
      <c r="G749" s="216"/>
      <c r="H749" s="218"/>
    </row>
    <row r="750" spans="2:8" x14ac:dyDescent="0.2">
      <c r="B750" s="214" t="s">
        <v>387</v>
      </c>
      <c r="C750" s="132"/>
      <c r="D750" s="188"/>
      <c r="E750" s="215"/>
      <c r="F750" s="215"/>
      <c r="G750" s="216"/>
      <c r="H750" s="218"/>
    </row>
    <row r="751" spans="2:8" x14ac:dyDescent="0.2">
      <c r="B751" s="214" t="s">
        <v>388</v>
      </c>
      <c r="C751" s="132"/>
      <c r="D751" s="188"/>
      <c r="E751" s="215"/>
      <c r="F751" s="215"/>
      <c r="G751" s="216"/>
      <c r="H751" s="218"/>
    </row>
    <row r="752" spans="2:8" x14ac:dyDescent="0.2">
      <c r="B752" s="214" t="s">
        <v>389</v>
      </c>
      <c r="C752" s="132"/>
      <c r="D752" s="188"/>
      <c r="E752" s="215"/>
      <c r="F752" s="215"/>
      <c r="G752" s="216"/>
      <c r="H752" s="218"/>
    </row>
    <row r="753" spans="2:8" x14ac:dyDescent="0.2">
      <c r="B753" s="214" t="s">
        <v>390</v>
      </c>
      <c r="C753" s="132"/>
      <c r="D753" s="188"/>
      <c r="E753" s="215"/>
      <c r="F753" s="215"/>
      <c r="G753" s="216"/>
      <c r="H753" s="218"/>
    </row>
    <row r="754" spans="2:8" x14ac:dyDescent="0.2">
      <c r="B754" s="214" t="s">
        <v>391</v>
      </c>
      <c r="C754" s="132"/>
      <c r="D754" s="188"/>
      <c r="E754" s="215"/>
      <c r="F754" s="215"/>
      <c r="G754" s="216"/>
      <c r="H754" s="218"/>
    </row>
    <row r="755" spans="2:8" ht="25.5" customHeight="1" x14ac:dyDescent="0.2">
      <c r="B755" s="732" t="s">
        <v>392</v>
      </c>
      <c r="C755" s="733"/>
      <c r="D755" s="734"/>
      <c r="E755" s="215"/>
      <c r="F755" s="215"/>
      <c r="G755" s="216"/>
      <c r="H755" s="218"/>
    </row>
    <row r="756" spans="2:8" x14ac:dyDescent="0.2">
      <c r="B756" s="214" t="s">
        <v>393</v>
      </c>
      <c r="C756" s="132"/>
      <c r="D756" s="188"/>
      <c r="E756" s="215"/>
      <c r="F756" s="215"/>
      <c r="G756" s="216"/>
      <c r="H756" s="218"/>
    </row>
    <row r="757" spans="2:8" ht="25.5" customHeight="1" x14ac:dyDescent="0.2">
      <c r="B757" s="732" t="s">
        <v>394</v>
      </c>
      <c r="C757" s="733"/>
      <c r="D757" s="734"/>
      <c r="E757" s="215"/>
      <c r="F757" s="215"/>
      <c r="G757" s="216"/>
      <c r="H757" s="218"/>
    </row>
    <row r="758" spans="2:8" x14ac:dyDescent="0.2">
      <c r="B758" s="214"/>
      <c r="C758" s="132"/>
      <c r="D758" s="188"/>
      <c r="E758" s="215"/>
      <c r="F758" s="215"/>
      <c r="G758" s="216"/>
      <c r="H758" s="218"/>
    </row>
    <row r="759" spans="2:8" x14ac:dyDescent="0.2">
      <c r="B759" s="214" t="s">
        <v>1682</v>
      </c>
      <c r="C759" s="132"/>
      <c r="D759" s="245" t="s">
        <v>1682</v>
      </c>
      <c r="E759" s="272" t="s">
        <v>1682</v>
      </c>
      <c r="F759" s="215" t="s">
        <v>1682</v>
      </c>
      <c r="G759" s="216" t="s">
        <v>1682</v>
      </c>
      <c r="H759" s="218" t="s">
        <v>1682</v>
      </c>
    </row>
    <row r="760" spans="2:8" x14ac:dyDescent="0.2">
      <c r="B760" s="238" t="s">
        <v>1692</v>
      </c>
      <c r="C760" s="239"/>
      <c r="D760" s="240"/>
      <c r="E760" s="240"/>
      <c r="F760" s="240"/>
      <c r="G760" s="239"/>
      <c r="H760" s="241">
        <f>SUM(H748:H759)</f>
        <v>26817.82</v>
      </c>
    </row>
    <row r="761" spans="2:8" x14ac:dyDescent="0.2">
      <c r="B761" s="227" t="s">
        <v>1680</v>
      </c>
      <c r="C761" s="132"/>
      <c r="D761" s="188"/>
      <c r="E761" s="132"/>
      <c r="F761" s="188"/>
      <c r="G761" s="132"/>
      <c r="H761" s="218"/>
    </row>
    <row r="762" spans="2:8" ht="25.5" x14ac:dyDescent="0.2">
      <c r="B762" s="229" t="s">
        <v>1409</v>
      </c>
      <c r="C762" s="242"/>
      <c r="D762" s="243"/>
      <c r="E762" s="232" t="s">
        <v>1408</v>
      </c>
      <c r="F762" s="231" t="s">
        <v>1679</v>
      </c>
      <c r="G762" s="232" t="s">
        <v>1676</v>
      </c>
      <c r="H762" s="234" t="s">
        <v>1675</v>
      </c>
    </row>
    <row r="763" spans="2:8" x14ac:dyDescent="0.2">
      <c r="B763" s="208" t="s">
        <v>975</v>
      </c>
      <c r="C763" s="209"/>
      <c r="D763" s="246"/>
      <c r="E763" s="215" t="s">
        <v>976</v>
      </c>
      <c r="F763" s="215">
        <v>2</v>
      </c>
      <c r="G763" s="247">
        <v>5</v>
      </c>
      <c r="H763" s="218">
        <f>F763*G763</f>
        <v>10</v>
      </c>
    </row>
    <row r="764" spans="2:8" x14ac:dyDescent="0.2">
      <c r="B764" s="214"/>
      <c r="C764" s="132"/>
      <c r="D764" s="248"/>
      <c r="E764" s="215"/>
      <c r="F764" s="215"/>
      <c r="G764" s="247"/>
      <c r="H764" s="218"/>
    </row>
    <row r="765" spans="2:8" x14ac:dyDescent="0.2">
      <c r="B765" s="219" t="s">
        <v>1682</v>
      </c>
      <c r="C765" s="220"/>
      <c r="D765" s="249"/>
      <c r="E765" s="221" t="s">
        <v>1682</v>
      </c>
      <c r="F765" s="221"/>
      <c r="G765" s="222" t="s">
        <v>1682</v>
      </c>
      <c r="H765" s="224" t="s">
        <v>1682</v>
      </c>
    </row>
    <row r="766" spans="2:8" ht="13.5" thickBot="1" x14ac:dyDescent="0.25">
      <c r="B766" s="250" t="s">
        <v>977</v>
      </c>
      <c r="C766" s="251"/>
      <c r="D766" s="252"/>
      <c r="E766" s="252"/>
      <c r="F766" s="252"/>
      <c r="G766" s="251"/>
      <c r="H766" s="253">
        <f>SUM(H763:H765)</f>
        <v>10</v>
      </c>
    </row>
    <row r="767" spans="2:8" x14ac:dyDescent="0.2">
      <c r="B767" s="132"/>
      <c r="C767" s="132"/>
      <c r="D767" s="254"/>
      <c r="E767" s="198"/>
      <c r="F767" s="198"/>
      <c r="G767" s="255" t="s">
        <v>978</v>
      </c>
      <c r="H767" s="256">
        <f>H737+H745+H760+H766</f>
        <v>26995.65</v>
      </c>
    </row>
    <row r="768" spans="2:8" x14ac:dyDescent="0.2">
      <c r="B768" s="132"/>
      <c r="C768" s="132"/>
      <c r="D768" s="257"/>
      <c r="E768" s="239"/>
      <c r="F768" s="239"/>
      <c r="G768" s="258" t="s">
        <v>979</v>
      </c>
      <c r="H768" s="241"/>
    </row>
    <row r="769" spans="2:8" x14ac:dyDescent="0.2">
      <c r="B769" s="132"/>
      <c r="C769" s="132"/>
      <c r="D769" s="257"/>
      <c r="E769" s="239"/>
      <c r="F769" s="239"/>
      <c r="G769" s="258" t="s">
        <v>980</v>
      </c>
      <c r="H769" s="241"/>
    </row>
    <row r="770" spans="2:8" x14ac:dyDescent="0.2">
      <c r="B770" s="132"/>
      <c r="C770" s="132"/>
      <c r="D770" s="257"/>
      <c r="E770" s="239"/>
      <c r="F770" s="239"/>
      <c r="G770" s="259" t="s">
        <v>1670</v>
      </c>
      <c r="H770" s="260"/>
    </row>
    <row r="771" spans="2:8" ht="13.5" thickBot="1" x14ac:dyDescent="0.25">
      <c r="B771" s="193"/>
      <c r="C771" s="132"/>
      <c r="D771" s="261"/>
      <c r="E771" s="251"/>
      <c r="F771" s="251"/>
      <c r="G771" s="262" t="s">
        <v>1650</v>
      </c>
      <c r="H771" s="263"/>
    </row>
    <row r="772" spans="2:8" ht="15.75" x14ac:dyDescent="0.2">
      <c r="B772" s="186" t="s">
        <v>1701</v>
      </c>
      <c r="C772" s="132"/>
      <c r="D772" s="189" t="s">
        <v>742</v>
      </c>
      <c r="E772" s="132"/>
      <c r="F772" s="132"/>
      <c r="G772" s="188"/>
      <c r="H772" s="132"/>
    </row>
    <row r="773" spans="2:8" ht="15.75" x14ac:dyDescent="0.2">
      <c r="B773" s="186" t="s">
        <v>1700</v>
      </c>
      <c r="C773" s="189" t="s">
        <v>963</v>
      </c>
      <c r="D773" s="132"/>
      <c r="E773" s="132"/>
      <c r="F773" s="132"/>
      <c r="G773" s="190"/>
      <c r="H773" s="191"/>
    </row>
    <row r="774" spans="2:8" ht="14.25" x14ac:dyDescent="0.2">
      <c r="B774" s="189"/>
      <c r="C774" s="189"/>
      <c r="D774" s="189"/>
      <c r="E774" s="189"/>
      <c r="F774" s="189"/>
      <c r="G774" s="189"/>
      <c r="H774" s="189"/>
    </row>
    <row r="775" spans="2:8" ht="15.75" x14ac:dyDescent="0.2">
      <c r="B775" s="186" t="s">
        <v>1697</v>
      </c>
      <c r="C775" s="189"/>
      <c r="D775" s="132"/>
      <c r="E775" s="132"/>
      <c r="F775" s="132"/>
      <c r="G775" s="132"/>
      <c r="H775" s="132"/>
    </row>
    <row r="776" spans="2:8" ht="15" x14ac:dyDescent="0.2">
      <c r="B776" s="192"/>
      <c r="C776" s="189"/>
      <c r="D776" s="189"/>
      <c r="E776" s="189"/>
      <c r="F776" s="189"/>
      <c r="G776" s="189"/>
      <c r="H776" s="189"/>
    </row>
    <row r="777" spans="2:8" ht="14.25" x14ac:dyDescent="0.2">
      <c r="B777" s="193" t="s">
        <v>594</v>
      </c>
      <c r="C777" s="194" t="s">
        <v>395</v>
      </c>
      <c r="D777" s="132"/>
      <c r="E777" s="188"/>
      <c r="F777" s="188"/>
      <c r="G777" s="195" t="s">
        <v>1696</v>
      </c>
      <c r="H777" s="189" t="s">
        <v>1506</v>
      </c>
    </row>
    <row r="778" spans="2:8" ht="14.25" x14ac:dyDescent="0.2">
      <c r="B778" s="196" t="s">
        <v>964</v>
      </c>
      <c r="C778" s="194" t="s">
        <v>396</v>
      </c>
      <c r="D778" s="132"/>
      <c r="E778" s="132"/>
      <c r="F778" s="132"/>
      <c r="G778" s="132"/>
      <c r="H778" s="132"/>
    </row>
    <row r="779" spans="2:8" ht="15" thickBot="1" x14ac:dyDescent="0.25">
      <c r="B779" s="187"/>
      <c r="C779" s="187"/>
      <c r="D779" s="189"/>
      <c r="E779" s="189"/>
      <c r="F779" s="189"/>
      <c r="G779" s="189"/>
      <c r="H779" s="189"/>
    </row>
    <row r="780" spans="2:8" ht="13.5" thickBot="1" x14ac:dyDescent="0.25">
      <c r="B780" s="264" t="s">
        <v>1695</v>
      </c>
      <c r="C780" s="265"/>
      <c r="D780" s="266"/>
      <c r="E780" s="265"/>
      <c r="F780" s="265"/>
      <c r="G780" s="265"/>
      <c r="H780" s="267"/>
    </row>
    <row r="781" spans="2:8" ht="25.5" x14ac:dyDescent="0.2">
      <c r="B781" s="197" t="s">
        <v>1409</v>
      </c>
      <c r="C781" s="268"/>
      <c r="D781" s="269" t="s">
        <v>966</v>
      </c>
      <c r="E781" s="270" t="s">
        <v>1694</v>
      </c>
      <c r="F781" s="270" t="s">
        <v>1693</v>
      </c>
      <c r="G781" s="201" t="s">
        <v>1687</v>
      </c>
      <c r="H781" s="271" t="s">
        <v>967</v>
      </c>
    </row>
    <row r="782" spans="2:8" x14ac:dyDescent="0.2">
      <c r="B782" s="208" t="s">
        <v>1468</v>
      </c>
      <c r="C782" s="209"/>
      <c r="D782" s="210">
        <v>1</v>
      </c>
      <c r="E782" s="211">
        <v>2.5</v>
      </c>
      <c r="F782" s="211">
        <f>D782*E782</f>
        <v>2.5</v>
      </c>
      <c r="G782" s="212">
        <v>1</v>
      </c>
      <c r="H782" s="213">
        <f>F782*G782</f>
        <v>2.5</v>
      </c>
    </row>
    <row r="783" spans="2:8" x14ac:dyDescent="0.2">
      <c r="B783" s="214" t="s">
        <v>1682</v>
      </c>
      <c r="C783" s="132"/>
      <c r="D783" s="215"/>
      <c r="E783" s="216" t="s">
        <v>1682</v>
      </c>
      <c r="F783" s="216" t="s">
        <v>1682</v>
      </c>
      <c r="G783" s="217"/>
      <c r="H783" s="218" t="s">
        <v>1682</v>
      </c>
    </row>
    <row r="784" spans="2:8" x14ac:dyDescent="0.2">
      <c r="B784" s="219" t="s">
        <v>1682</v>
      </c>
      <c r="C784" s="220"/>
      <c r="D784" s="221"/>
      <c r="E784" s="222" t="s">
        <v>1682</v>
      </c>
      <c r="F784" s="222" t="s">
        <v>1682</v>
      </c>
      <c r="G784" s="223"/>
      <c r="H784" s="224" t="s">
        <v>1682</v>
      </c>
    </row>
    <row r="785" spans="2:8" x14ac:dyDescent="0.2">
      <c r="B785" s="219" t="s">
        <v>968</v>
      </c>
      <c r="C785" s="220"/>
      <c r="D785" s="225"/>
      <c r="E785" s="220"/>
      <c r="F785" s="220"/>
      <c r="G785" s="226"/>
      <c r="H785" s="224">
        <f>SUM(H782:H784)</f>
        <v>2.5</v>
      </c>
    </row>
    <row r="786" spans="2:8" x14ac:dyDescent="0.2">
      <c r="B786" s="227" t="s">
        <v>1503</v>
      </c>
      <c r="C786" s="132"/>
      <c r="D786" s="188"/>
      <c r="E786" s="132"/>
      <c r="F786" s="132"/>
      <c r="G786" s="228"/>
      <c r="H786" s="218"/>
    </row>
    <row r="787" spans="2:8" ht="25.5" x14ac:dyDescent="0.2">
      <c r="B787" s="229" t="s">
        <v>1691</v>
      </c>
      <c r="C787" s="230"/>
      <c r="D787" s="231" t="s">
        <v>969</v>
      </c>
      <c r="E787" s="232" t="s">
        <v>1689</v>
      </c>
      <c r="F787" s="232" t="s">
        <v>1688</v>
      </c>
      <c r="G787" s="233" t="s">
        <v>1687</v>
      </c>
      <c r="H787" s="234" t="s">
        <v>1686</v>
      </c>
    </row>
    <row r="788" spans="2:8" x14ac:dyDescent="0.2">
      <c r="B788" s="235" t="s">
        <v>243</v>
      </c>
      <c r="C788" s="132"/>
      <c r="D788" s="236">
        <v>1</v>
      </c>
      <c r="E788" s="237">
        <v>2.13</v>
      </c>
      <c r="F788" s="216">
        <f>D788*E788</f>
        <v>2.13</v>
      </c>
      <c r="G788" s="217">
        <v>30.12</v>
      </c>
      <c r="H788" s="218">
        <f>F788*G788</f>
        <v>64.155599999999993</v>
      </c>
    </row>
    <row r="789" spans="2:8" x14ac:dyDescent="0.2">
      <c r="B789" s="235" t="s">
        <v>1488</v>
      </c>
      <c r="C789" s="132"/>
      <c r="D789" s="236">
        <v>1</v>
      </c>
      <c r="E789" s="237">
        <v>2.13</v>
      </c>
      <c r="F789" s="216">
        <f>D789*E789</f>
        <v>2.13</v>
      </c>
      <c r="G789" s="217">
        <v>20.62</v>
      </c>
      <c r="H789" s="218">
        <f>F789*G789</f>
        <v>43.9206</v>
      </c>
    </row>
    <row r="790" spans="2:8" x14ac:dyDescent="0.2">
      <c r="B790" s="235" t="s">
        <v>590</v>
      </c>
      <c r="C790" s="132"/>
      <c r="D790" s="236">
        <v>1</v>
      </c>
      <c r="E790" s="237">
        <v>2.13</v>
      </c>
      <c r="F790" s="216">
        <f>D790*E790</f>
        <v>2.13</v>
      </c>
      <c r="G790" s="217">
        <v>14.74</v>
      </c>
      <c r="H790" s="218">
        <f>F790*G790</f>
        <v>31.3962</v>
      </c>
    </row>
    <row r="791" spans="2:8" x14ac:dyDescent="0.2">
      <c r="B791" s="235"/>
      <c r="C791" s="132"/>
      <c r="D791" s="236"/>
      <c r="E791" s="237"/>
      <c r="F791" s="216"/>
      <c r="G791" s="217"/>
      <c r="H791" s="218"/>
    </row>
    <row r="792" spans="2:8" x14ac:dyDescent="0.2">
      <c r="B792" s="219" t="s">
        <v>1682</v>
      </c>
      <c r="C792" s="220"/>
      <c r="D792" s="221"/>
      <c r="E792" s="222" t="s">
        <v>1682</v>
      </c>
      <c r="F792" s="222" t="s">
        <v>1682</v>
      </c>
      <c r="G792" s="223"/>
      <c r="H792" s="224" t="s">
        <v>1682</v>
      </c>
    </row>
    <row r="793" spans="2:8" x14ac:dyDescent="0.2">
      <c r="B793" s="238" t="s">
        <v>1681</v>
      </c>
      <c r="C793" s="239"/>
      <c r="D793" s="240"/>
      <c r="E793" s="239"/>
      <c r="F793" s="239"/>
      <c r="G793" s="239"/>
      <c r="H793" s="241">
        <f>SUM(H788:H792)</f>
        <v>139.47239999999999</v>
      </c>
    </row>
    <row r="794" spans="2:8" x14ac:dyDescent="0.2">
      <c r="B794" s="227" t="s">
        <v>1684</v>
      </c>
      <c r="C794" s="132"/>
      <c r="D794" s="188"/>
      <c r="E794" s="132"/>
      <c r="F794" s="132"/>
      <c r="G794" s="132"/>
      <c r="H794" s="218"/>
    </row>
    <row r="795" spans="2:8" ht="25.5" x14ac:dyDescent="0.2">
      <c r="B795" s="229" t="s">
        <v>1409</v>
      </c>
      <c r="C795" s="242"/>
      <c r="D795" s="243"/>
      <c r="E795" s="232" t="s">
        <v>1408</v>
      </c>
      <c r="F795" s="231" t="s">
        <v>1679</v>
      </c>
      <c r="G795" s="232" t="s">
        <v>1683</v>
      </c>
      <c r="H795" s="234" t="s">
        <v>1675</v>
      </c>
    </row>
    <row r="796" spans="2:8" x14ac:dyDescent="0.2">
      <c r="B796" s="244" t="s">
        <v>385</v>
      </c>
      <c r="C796" s="132"/>
      <c r="D796" s="188"/>
      <c r="E796" s="215" t="s">
        <v>1506</v>
      </c>
      <c r="F796" s="215">
        <v>1</v>
      </c>
      <c r="G796" s="216">
        <v>14433.9</v>
      </c>
      <c r="H796" s="218">
        <f>F796*G796</f>
        <v>14433.9</v>
      </c>
    </row>
    <row r="797" spans="2:8" x14ac:dyDescent="0.2">
      <c r="B797" s="214" t="s">
        <v>386</v>
      </c>
      <c r="C797" s="132"/>
      <c r="D797" s="188"/>
      <c r="E797" s="215"/>
      <c r="F797" s="215"/>
      <c r="G797" s="216"/>
      <c r="H797" s="218"/>
    </row>
    <row r="798" spans="2:8" x14ac:dyDescent="0.2">
      <c r="B798" s="214" t="s">
        <v>397</v>
      </c>
      <c r="C798" s="132"/>
      <c r="D798" s="188"/>
      <c r="E798" s="215"/>
      <c r="F798" s="215"/>
      <c r="G798" s="216"/>
      <c r="H798" s="218"/>
    </row>
    <row r="799" spans="2:8" x14ac:dyDescent="0.2">
      <c r="B799" s="214" t="s">
        <v>388</v>
      </c>
      <c r="C799" s="132"/>
      <c r="D799" s="188"/>
      <c r="E799" s="215"/>
      <c r="F799" s="215"/>
      <c r="G799" s="216"/>
      <c r="H799" s="218"/>
    </row>
    <row r="800" spans="2:8" x14ac:dyDescent="0.2">
      <c r="B800" s="214" t="s">
        <v>389</v>
      </c>
      <c r="C800" s="132"/>
      <c r="D800" s="188"/>
      <c r="E800" s="215"/>
      <c r="F800" s="215"/>
      <c r="G800" s="216"/>
      <c r="H800" s="218"/>
    </row>
    <row r="801" spans="2:8" x14ac:dyDescent="0.2">
      <c r="B801" s="214" t="s">
        <v>390</v>
      </c>
      <c r="C801" s="132"/>
      <c r="D801" s="188"/>
      <c r="E801" s="215"/>
      <c r="F801" s="215"/>
      <c r="G801" s="216"/>
      <c r="H801" s="218"/>
    </row>
    <row r="802" spans="2:8" x14ac:dyDescent="0.2">
      <c r="B802" s="214" t="s">
        <v>391</v>
      </c>
      <c r="C802" s="132"/>
      <c r="D802" s="188"/>
      <c r="E802" s="215"/>
      <c r="F802" s="215"/>
      <c r="G802" s="216"/>
      <c r="H802" s="218"/>
    </row>
    <row r="803" spans="2:8" ht="25.5" customHeight="1" x14ac:dyDescent="0.2">
      <c r="B803" s="732" t="s">
        <v>392</v>
      </c>
      <c r="C803" s="733"/>
      <c r="D803" s="734"/>
      <c r="E803" s="215"/>
      <c r="F803" s="215"/>
      <c r="G803" s="216"/>
      <c r="H803" s="218"/>
    </row>
    <row r="804" spans="2:8" x14ac:dyDescent="0.2">
      <c r="B804" s="214" t="s">
        <v>393</v>
      </c>
      <c r="C804" s="132"/>
      <c r="D804" s="188"/>
      <c r="E804" s="215"/>
      <c r="F804" s="215"/>
      <c r="G804" s="216"/>
      <c r="H804" s="218"/>
    </row>
    <row r="805" spans="2:8" ht="25.5" customHeight="1" x14ac:dyDescent="0.2">
      <c r="B805" s="732" t="s">
        <v>394</v>
      </c>
      <c r="C805" s="733"/>
      <c r="D805" s="734"/>
      <c r="E805" s="215"/>
      <c r="F805" s="215"/>
      <c r="G805" s="216"/>
      <c r="H805" s="218"/>
    </row>
    <row r="806" spans="2:8" x14ac:dyDescent="0.2">
      <c r="B806" s="214"/>
      <c r="C806" s="132"/>
      <c r="D806" s="188"/>
      <c r="E806" s="215"/>
      <c r="F806" s="215"/>
      <c r="G806" s="216"/>
      <c r="H806" s="218"/>
    </row>
    <row r="807" spans="2:8" x14ac:dyDescent="0.2">
      <c r="B807" s="214" t="s">
        <v>1682</v>
      </c>
      <c r="C807" s="132"/>
      <c r="D807" s="245" t="s">
        <v>1682</v>
      </c>
      <c r="E807" s="272" t="s">
        <v>1682</v>
      </c>
      <c r="F807" s="215" t="s">
        <v>1682</v>
      </c>
      <c r="G807" s="216" t="s">
        <v>1682</v>
      </c>
      <c r="H807" s="218" t="s">
        <v>1682</v>
      </c>
    </row>
    <row r="808" spans="2:8" x14ac:dyDescent="0.2">
      <c r="B808" s="238" t="s">
        <v>1692</v>
      </c>
      <c r="C808" s="239"/>
      <c r="D808" s="240"/>
      <c r="E808" s="240"/>
      <c r="F808" s="240"/>
      <c r="G808" s="239"/>
      <c r="H808" s="241">
        <f>SUM(H796:H807)</f>
        <v>14433.9</v>
      </c>
    </row>
    <row r="809" spans="2:8" x14ac:dyDescent="0.2">
      <c r="B809" s="227" t="s">
        <v>1680</v>
      </c>
      <c r="C809" s="132"/>
      <c r="D809" s="188"/>
      <c r="E809" s="132"/>
      <c r="F809" s="188"/>
      <c r="G809" s="132"/>
      <c r="H809" s="218"/>
    </row>
    <row r="810" spans="2:8" ht="25.5" x14ac:dyDescent="0.2">
      <c r="B810" s="229" t="s">
        <v>1409</v>
      </c>
      <c r="C810" s="242"/>
      <c r="D810" s="243"/>
      <c r="E810" s="232" t="s">
        <v>1408</v>
      </c>
      <c r="F810" s="231" t="s">
        <v>1679</v>
      </c>
      <c r="G810" s="232" t="s">
        <v>1676</v>
      </c>
      <c r="H810" s="234" t="s">
        <v>1675</v>
      </c>
    </row>
    <row r="811" spans="2:8" x14ac:dyDescent="0.2">
      <c r="B811" s="208" t="s">
        <v>975</v>
      </c>
      <c r="C811" s="209"/>
      <c r="D811" s="246"/>
      <c r="E811" s="215" t="s">
        <v>976</v>
      </c>
      <c r="F811" s="215">
        <v>1</v>
      </c>
      <c r="G811" s="247">
        <v>5</v>
      </c>
      <c r="H811" s="218">
        <f>F811*G811</f>
        <v>5</v>
      </c>
    </row>
    <row r="812" spans="2:8" x14ac:dyDescent="0.2">
      <c r="B812" s="214"/>
      <c r="C812" s="132"/>
      <c r="D812" s="248"/>
      <c r="E812" s="215"/>
      <c r="F812" s="215"/>
      <c r="G812" s="247"/>
      <c r="H812" s="218"/>
    </row>
    <row r="813" spans="2:8" x14ac:dyDescent="0.2">
      <c r="B813" s="219" t="s">
        <v>1682</v>
      </c>
      <c r="C813" s="220"/>
      <c r="D813" s="249"/>
      <c r="E813" s="221" t="s">
        <v>1682</v>
      </c>
      <c r="F813" s="221"/>
      <c r="G813" s="222" t="s">
        <v>1682</v>
      </c>
      <c r="H813" s="224" t="s">
        <v>1682</v>
      </c>
    </row>
    <row r="814" spans="2:8" ht="13.5" thickBot="1" x14ac:dyDescent="0.25">
      <c r="B814" s="250" t="s">
        <v>977</v>
      </c>
      <c r="C814" s="251"/>
      <c r="D814" s="252"/>
      <c r="E814" s="252"/>
      <c r="F814" s="252"/>
      <c r="G814" s="251"/>
      <c r="H814" s="253">
        <f>SUM(H811:H813)</f>
        <v>5</v>
      </c>
    </row>
    <row r="815" spans="2:8" x14ac:dyDescent="0.2">
      <c r="B815" s="132"/>
      <c r="C815" s="132"/>
      <c r="D815" s="254"/>
      <c r="E815" s="198"/>
      <c r="F815" s="198"/>
      <c r="G815" s="255" t="s">
        <v>978</v>
      </c>
      <c r="H815" s="256">
        <f>H785+H793+H808+H814</f>
        <v>14580.8724</v>
      </c>
    </row>
    <row r="816" spans="2:8" x14ac:dyDescent="0.2">
      <c r="B816" s="132"/>
      <c r="C816" s="132"/>
      <c r="D816" s="257"/>
      <c r="E816" s="239"/>
      <c r="F816" s="239"/>
      <c r="G816" s="258" t="s">
        <v>979</v>
      </c>
      <c r="H816" s="241"/>
    </row>
    <row r="817" spans="2:8" x14ac:dyDescent="0.2">
      <c r="B817" s="132"/>
      <c r="C817" s="132"/>
      <c r="D817" s="257"/>
      <c r="E817" s="239"/>
      <c r="F817" s="239"/>
      <c r="G817" s="258" t="s">
        <v>980</v>
      </c>
      <c r="H817" s="241"/>
    </row>
    <row r="818" spans="2:8" x14ac:dyDescent="0.2">
      <c r="B818" s="132"/>
      <c r="C818" s="132"/>
      <c r="D818" s="257"/>
      <c r="E818" s="239"/>
      <c r="F818" s="239"/>
      <c r="G818" s="259" t="s">
        <v>1670</v>
      </c>
      <c r="H818" s="260"/>
    </row>
    <row r="819" spans="2:8" ht="13.5" thickBot="1" x14ac:dyDescent="0.25">
      <c r="B819" s="193"/>
      <c r="C819" s="132"/>
      <c r="D819" s="261"/>
      <c r="E819" s="251"/>
      <c r="F819" s="251"/>
      <c r="G819" s="262" t="s">
        <v>1650</v>
      </c>
      <c r="H819" s="263"/>
    </row>
    <row r="820" spans="2:8" ht="15.75" x14ac:dyDescent="0.2">
      <c r="B820" s="186" t="s">
        <v>1701</v>
      </c>
      <c r="C820" s="132"/>
      <c r="D820" s="189" t="s">
        <v>742</v>
      </c>
      <c r="E820" s="132"/>
      <c r="F820" s="132"/>
      <c r="G820" s="188"/>
      <c r="H820" s="132"/>
    </row>
    <row r="821" spans="2:8" ht="15.75" x14ac:dyDescent="0.2">
      <c r="B821" s="186" t="s">
        <v>1700</v>
      </c>
      <c r="C821" s="189" t="s">
        <v>963</v>
      </c>
      <c r="D821" s="132"/>
      <c r="E821" s="132"/>
      <c r="F821" s="132"/>
      <c r="G821" s="190"/>
      <c r="H821" s="191"/>
    </row>
    <row r="822" spans="2:8" ht="14.25" x14ac:dyDescent="0.2">
      <c r="B822" s="189"/>
      <c r="C822" s="189"/>
      <c r="D822" s="189"/>
      <c r="E822" s="189"/>
      <c r="F822" s="189"/>
      <c r="G822" s="189"/>
      <c r="H822" s="189"/>
    </row>
    <row r="823" spans="2:8" ht="15.75" x14ac:dyDescent="0.2">
      <c r="B823" s="186" t="s">
        <v>1697</v>
      </c>
      <c r="C823" s="189"/>
      <c r="D823" s="132"/>
      <c r="E823" s="132"/>
      <c r="F823" s="132"/>
      <c r="G823" s="132"/>
      <c r="H823" s="132"/>
    </row>
    <row r="824" spans="2:8" ht="15" x14ac:dyDescent="0.2">
      <c r="B824" s="192"/>
      <c r="C824" s="189"/>
      <c r="D824" s="189"/>
      <c r="E824" s="189"/>
      <c r="F824" s="189"/>
      <c r="G824" s="189"/>
      <c r="H824" s="189"/>
    </row>
    <row r="825" spans="2:8" ht="14.25" x14ac:dyDescent="0.2">
      <c r="B825" s="193" t="s">
        <v>594</v>
      </c>
      <c r="C825" s="194" t="s">
        <v>398</v>
      </c>
      <c r="D825" s="132"/>
      <c r="E825" s="188"/>
      <c r="F825" s="188"/>
      <c r="G825" s="195" t="s">
        <v>1696</v>
      </c>
      <c r="H825" s="189" t="s">
        <v>1506</v>
      </c>
    </row>
    <row r="826" spans="2:8" ht="14.25" x14ac:dyDescent="0.2">
      <c r="B826" s="196" t="s">
        <v>964</v>
      </c>
      <c r="C826" s="194" t="s">
        <v>399</v>
      </c>
      <c r="D826" s="132"/>
      <c r="E826" s="132"/>
      <c r="F826" s="132"/>
      <c r="G826" s="132"/>
      <c r="H826" s="132"/>
    </row>
    <row r="827" spans="2:8" ht="15" thickBot="1" x14ac:dyDescent="0.25">
      <c r="B827" s="187"/>
      <c r="C827" s="187"/>
      <c r="D827" s="189"/>
      <c r="E827" s="189"/>
      <c r="F827" s="189"/>
      <c r="G827" s="189"/>
      <c r="H827" s="189"/>
    </row>
    <row r="828" spans="2:8" ht="13.5" thickBot="1" x14ac:dyDescent="0.25">
      <c r="B828" s="264" t="s">
        <v>1695</v>
      </c>
      <c r="C828" s="265"/>
      <c r="D828" s="266"/>
      <c r="E828" s="265"/>
      <c r="F828" s="265"/>
      <c r="G828" s="265"/>
      <c r="H828" s="267"/>
    </row>
    <row r="829" spans="2:8" ht="25.5" x14ac:dyDescent="0.2">
      <c r="B829" s="197" t="s">
        <v>1409</v>
      </c>
      <c r="C829" s="268"/>
      <c r="D829" s="269" t="s">
        <v>966</v>
      </c>
      <c r="E829" s="270" t="s">
        <v>1694</v>
      </c>
      <c r="F829" s="270" t="s">
        <v>1693</v>
      </c>
      <c r="G829" s="201" t="s">
        <v>1687</v>
      </c>
      <c r="H829" s="271" t="s">
        <v>967</v>
      </c>
    </row>
    <row r="830" spans="2:8" x14ac:dyDescent="0.2">
      <c r="B830" s="208" t="s">
        <v>1468</v>
      </c>
      <c r="C830" s="209"/>
      <c r="D830" s="210">
        <v>1</v>
      </c>
      <c r="E830" s="211">
        <v>2.5</v>
      </c>
      <c r="F830" s="211">
        <f>D830*E830</f>
        <v>2.5</v>
      </c>
      <c r="G830" s="212">
        <v>0.8</v>
      </c>
      <c r="H830" s="213">
        <f>F830*G830</f>
        <v>2</v>
      </c>
    </row>
    <row r="831" spans="2:8" x14ac:dyDescent="0.2">
      <c r="B831" s="214" t="s">
        <v>1682</v>
      </c>
      <c r="C831" s="132"/>
      <c r="D831" s="215"/>
      <c r="E831" s="216" t="s">
        <v>1682</v>
      </c>
      <c r="F831" s="216" t="s">
        <v>1682</v>
      </c>
      <c r="G831" s="217"/>
      <c r="H831" s="218" t="s">
        <v>1682</v>
      </c>
    </row>
    <row r="832" spans="2:8" x14ac:dyDescent="0.2">
      <c r="B832" s="219" t="s">
        <v>1682</v>
      </c>
      <c r="C832" s="220"/>
      <c r="D832" s="221"/>
      <c r="E832" s="222" t="s">
        <v>1682</v>
      </c>
      <c r="F832" s="222" t="s">
        <v>1682</v>
      </c>
      <c r="G832" s="223"/>
      <c r="H832" s="224" t="s">
        <v>1682</v>
      </c>
    </row>
    <row r="833" spans="2:8" x14ac:dyDescent="0.2">
      <c r="B833" s="219" t="s">
        <v>968</v>
      </c>
      <c r="C833" s="220"/>
      <c r="D833" s="225"/>
      <c r="E833" s="220"/>
      <c r="F833" s="220"/>
      <c r="G833" s="226"/>
      <c r="H833" s="224">
        <f>SUM(H830:H832)</f>
        <v>2</v>
      </c>
    </row>
    <row r="834" spans="2:8" x14ac:dyDescent="0.2">
      <c r="B834" s="227" t="s">
        <v>1503</v>
      </c>
      <c r="C834" s="132"/>
      <c r="D834" s="188"/>
      <c r="E834" s="132"/>
      <c r="F834" s="132"/>
      <c r="G834" s="228"/>
      <c r="H834" s="218"/>
    </row>
    <row r="835" spans="2:8" ht="25.5" x14ac:dyDescent="0.2">
      <c r="B835" s="229" t="s">
        <v>1691</v>
      </c>
      <c r="C835" s="230"/>
      <c r="D835" s="231" t="s">
        <v>969</v>
      </c>
      <c r="E835" s="232" t="s">
        <v>1689</v>
      </c>
      <c r="F835" s="232" t="s">
        <v>1688</v>
      </c>
      <c r="G835" s="233" t="s">
        <v>1687</v>
      </c>
      <c r="H835" s="234" t="s">
        <v>1686</v>
      </c>
    </row>
    <row r="836" spans="2:8" x14ac:dyDescent="0.2">
      <c r="B836" s="235" t="s">
        <v>243</v>
      </c>
      <c r="C836" s="132"/>
      <c r="D836" s="236">
        <v>1</v>
      </c>
      <c r="E836" s="237">
        <v>2.13</v>
      </c>
      <c r="F836" s="216">
        <f>D836*E836</f>
        <v>2.13</v>
      </c>
      <c r="G836" s="217">
        <v>27.11</v>
      </c>
      <c r="H836" s="218">
        <v>57.74</v>
      </c>
    </row>
    <row r="837" spans="2:8" x14ac:dyDescent="0.2">
      <c r="B837" s="235" t="s">
        <v>1488</v>
      </c>
      <c r="C837" s="132"/>
      <c r="D837" s="236">
        <v>1</v>
      </c>
      <c r="E837" s="237">
        <v>2.13</v>
      </c>
      <c r="F837" s="216">
        <f>D837*E837</f>
        <v>2.13</v>
      </c>
      <c r="G837" s="217">
        <v>18.559999999999999</v>
      </c>
      <c r="H837" s="218">
        <v>39.53</v>
      </c>
    </row>
    <row r="838" spans="2:8" x14ac:dyDescent="0.2">
      <c r="B838" s="235" t="s">
        <v>590</v>
      </c>
      <c r="C838" s="132"/>
      <c r="D838" s="236">
        <v>1</v>
      </c>
      <c r="E838" s="237">
        <v>2.13</v>
      </c>
      <c r="F838" s="216">
        <f>D838*E838</f>
        <v>2.13</v>
      </c>
      <c r="G838" s="217">
        <v>13.27</v>
      </c>
      <c r="H838" s="218">
        <v>28.26</v>
      </c>
    </row>
    <row r="839" spans="2:8" x14ac:dyDescent="0.2">
      <c r="B839" s="235"/>
      <c r="C839" s="132"/>
      <c r="D839" s="236"/>
      <c r="E839" s="237"/>
      <c r="F839" s="216"/>
      <c r="G839" s="217"/>
      <c r="H839" s="218"/>
    </row>
    <row r="840" spans="2:8" x14ac:dyDescent="0.2">
      <c r="B840" s="219" t="s">
        <v>1682</v>
      </c>
      <c r="C840" s="220"/>
      <c r="D840" s="221"/>
      <c r="E840" s="222" t="s">
        <v>1682</v>
      </c>
      <c r="F840" s="222" t="s">
        <v>1682</v>
      </c>
      <c r="G840" s="223"/>
      <c r="H840" s="224" t="s">
        <v>1682</v>
      </c>
    </row>
    <row r="841" spans="2:8" x14ac:dyDescent="0.2">
      <c r="B841" s="238" t="s">
        <v>1681</v>
      </c>
      <c r="C841" s="239"/>
      <c r="D841" s="240"/>
      <c r="E841" s="239"/>
      <c r="F841" s="239"/>
      <c r="G841" s="239"/>
      <c r="H841" s="241">
        <f>SUM(H836:H840)</f>
        <v>125.53000000000002</v>
      </c>
    </row>
    <row r="842" spans="2:8" x14ac:dyDescent="0.2">
      <c r="B842" s="227" t="s">
        <v>1684</v>
      </c>
      <c r="C842" s="132"/>
      <c r="D842" s="188"/>
      <c r="E842" s="132"/>
      <c r="F842" s="132"/>
      <c r="G842" s="132"/>
      <c r="H842" s="218"/>
    </row>
    <row r="843" spans="2:8" ht="25.5" x14ac:dyDescent="0.2">
      <c r="B843" s="229" t="s">
        <v>1409</v>
      </c>
      <c r="C843" s="242"/>
      <c r="D843" s="243"/>
      <c r="E843" s="232" t="s">
        <v>1408</v>
      </c>
      <c r="F843" s="231" t="s">
        <v>1679</v>
      </c>
      <c r="G843" s="232" t="s">
        <v>1683</v>
      </c>
      <c r="H843" s="234" t="s">
        <v>1675</v>
      </c>
    </row>
    <row r="844" spans="2:8" x14ac:dyDescent="0.2">
      <c r="B844" s="244" t="s">
        <v>385</v>
      </c>
      <c r="C844" s="132"/>
      <c r="D844" s="188"/>
      <c r="E844" s="215" t="s">
        <v>1506</v>
      </c>
      <c r="F844" s="215">
        <v>1</v>
      </c>
      <c r="G844" s="216">
        <v>7859.77</v>
      </c>
      <c r="H844" s="218">
        <f>F844*G844</f>
        <v>7859.77</v>
      </c>
    </row>
    <row r="845" spans="2:8" x14ac:dyDescent="0.2">
      <c r="B845" s="214" t="s">
        <v>386</v>
      </c>
      <c r="C845" s="132"/>
      <c r="D845" s="188"/>
      <c r="E845" s="215"/>
      <c r="F845" s="215"/>
      <c r="G845" s="216"/>
      <c r="H845" s="218"/>
    </row>
    <row r="846" spans="2:8" x14ac:dyDescent="0.2">
      <c r="B846" s="214" t="s">
        <v>400</v>
      </c>
      <c r="C846" s="132"/>
      <c r="D846" s="188"/>
      <c r="E846" s="215"/>
      <c r="F846" s="215"/>
      <c r="G846" s="216"/>
      <c r="H846" s="218"/>
    </row>
    <row r="847" spans="2:8" x14ac:dyDescent="0.2">
      <c r="B847" s="214" t="s">
        <v>388</v>
      </c>
      <c r="C847" s="132"/>
      <c r="D847" s="188"/>
      <c r="E847" s="215"/>
      <c r="F847" s="215"/>
      <c r="G847" s="216"/>
      <c r="H847" s="218"/>
    </row>
    <row r="848" spans="2:8" x14ac:dyDescent="0.2">
      <c r="B848" s="214" t="s">
        <v>389</v>
      </c>
      <c r="C848" s="132"/>
      <c r="D848" s="188"/>
      <c r="E848" s="215"/>
      <c r="F848" s="215"/>
      <c r="G848" s="216"/>
      <c r="H848" s="218"/>
    </row>
    <row r="849" spans="2:8" x14ac:dyDescent="0.2">
      <c r="B849" s="214" t="s">
        <v>390</v>
      </c>
      <c r="C849" s="132"/>
      <c r="D849" s="188"/>
      <c r="E849" s="215"/>
      <c r="F849" s="215"/>
      <c r="G849" s="216"/>
      <c r="H849" s="218"/>
    </row>
    <row r="850" spans="2:8" x14ac:dyDescent="0.2">
      <c r="B850" s="214" t="s">
        <v>401</v>
      </c>
      <c r="C850" s="132"/>
      <c r="D850" s="188"/>
      <c r="E850" s="215"/>
      <c r="F850" s="215"/>
      <c r="G850" s="216"/>
      <c r="H850" s="218"/>
    </row>
    <row r="851" spans="2:8" ht="25.5" customHeight="1" x14ac:dyDescent="0.2">
      <c r="B851" s="732" t="s">
        <v>402</v>
      </c>
      <c r="C851" s="733"/>
      <c r="D851" s="734"/>
      <c r="E851" s="215"/>
      <c r="F851" s="215"/>
      <c r="G851" s="216"/>
      <c r="H851" s="218"/>
    </row>
    <row r="852" spans="2:8" x14ac:dyDescent="0.2">
      <c r="B852" s="277" t="s">
        <v>403</v>
      </c>
      <c r="C852" s="276"/>
      <c r="D852" s="276"/>
      <c r="E852" s="215"/>
      <c r="F852" s="215"/>
      <c r="G852" s="216"/>
      <c r="H852" s="218"/>
    </row>
    <row r="853" spans="2:8" x14ac:dyDescent="0.2">
      <c r="B853" s="214" t="s">
        <v>393</v>
      </c>
      <c r="C853" s="132"/>
      <c r="D853" s="188"/>
      <c r="E853" s="215"/>
      <c r="F853" s="215"/>
      <c r="G853" s="216"/>
      <c r="H853" s="218"/>
    </row>
    <row r="854" spans="2:8" ht="25.5" customHeight="1" x14ac:dyDescent="0.2">
      <c r="B854" s="732" t="s">
        <v>394</v>
      </c>
      <c r="C854" s="733"/>
      <c r="D854" s="734"/>
      <c r="E854" s="215"/>
      <c r="F854" s="215"/>
      <c r="G854" s="216"/>
      <c r="H854" s="218"/>
    </row>
    <row r="855" spans="2:8" x14ac:dyDescent="0.2">
      <c r="B855" s="214"/>
      <c r="C855" s="132"/>
      <c r="D855" s="188"/>
      <c r="E855" s="215"/>
      <c r="F855" s="215"/>
      <c r="G855" s="216"/>
      <c r="H855" s="218"/>
    </row>
    <row r="856" spans="2:8" x14ac:dyDescent="0.2">
      <c r="B856" s="214" t="s">
        <v>1682</v>
      </c>
      <c r="C856" s="132"/>
      <c r="D856" s="245" t="s">
        <v>1682</v>
      </c>
      <c r="E856" s="272" t="s">
        <v>1682</v>
      </c>
      <c r="F856" s="215" t="s">
        <v>1682</v>
      </c>
      <c r="G856" s="216" t="s">
        <v>1682</v>
      </c>
      <c r="H856" s="218" t="s">
        <v>1682</v>
      </c>
    </row>
    <row r="857" spans="2:8" x14ac:dyDescent="0.2">
      <c r="B857" s="238" t="s">
        <v>1692</v>
      </c>
      <c r="C857" s="239"/>
      <c r="D857" s="240"/>
      <c r="E857" s="240"/>
      <c r="F857" s="240"/>
      <c r="G857" s="239"/>
      <c r="H857" s="241">
        <f>SUM(H844:H856)</f>
        <v>7859.77</v>
      </c>
    </row>
    <row r="858" spans="2:8" x14ac:dyDescent="0.2">
      <c r="B858" s="227" t="s">
        <v>1680</v>
      </c>
      <c r="C858" s="132"/>
      <c r="D858" s="188"/>
      <c r="E858" s="132"/>
      <c r="F858" s="188"/>
      <c r="G858" s="132"/>
      <c r="H858" s="218"/>
    </row>
    <row r="859" spans="2:8" ht="25.5" x14ac:dyDescent="0.2">
      <c r="B859" s="229" t="s">
        <v>1409</v>
      </c>
      <c r="C859" s="242"/>
      <c r="D859" s="243"/>
      <c r="E859" s="232" t="s">
        <v>1408</v>
      </c>
      <c r="F859" s="231" t="s">
        <v>1679</v>
      </c>
      <c r="G859" s="232" t="s">
        <v>1676</v>
      </c>
      <c r="H859" s="234" t="s">
        <v>1675</v>
      </c>
    </row>
    <row r="860" spans="2:8" x14ac:dyDescent="0.2">
      <c r="B860" s="208" t="s">
        <v>975</v>
      </c>
      <c r="C860" s="209"/>
      <c r="D860" s="246"/>
      <c r="E860" s="215" t="s">
        <v>976</v>
      </c>
      <c r="F860" s="215">
        <v>0.8</v>
      </c>
      <c r="G860" s="247">
        <v>5</v>
      </c>
      <c r="H860" s="218">
        <f>F860*G860</f>
        <v>4</v>
      </c>
    </row>
    <row r="861" spans="2:8" x14ac:dyDescent="0.2">
      <c r="B861" s="214"/>
      <c r="C861" s="132"/>
      <c r="D861" s="248"/>
      <c r="E861" s="215"/>
      <c r="F861" s="215"/>
      <c r="G861" s="247"/>
      <c r="H861" s="218"/>
    </row>
    <row r="862" spans="2:8" x14ac:dyDescent="0.2">
      <c r="B862" s="219" t="s">
        <v>1682</v>
      </c>
      <c r="C862" s="220"/>
      <c r="D862" s="249"/>
      <c r="E862" s="221" t="s">
        <v>1682</v>
      </c>
      <c r="F862" s="221"/>
      <c r="G862" s="222" t="s">
        <v>1682</v>
      </c>
      <c r="H862" s="224" t="s">
        <v>1682</v>
      </c>
    </row>
    <row r="863" spans="2:8" ht="13.5" thickBot="1" x14ac:dyDescent="0.25">
      <c r="B863" s="250" t="s">
        <v>977</v>
      </c>
      <c r="C863" s="251"/>
      <c r="D863" s="252"/>
      <c r="E863" s="252"/>
      <c r="F863" s="252"/>
      <c r="G863" s="251"/>
      <c r="H863" s="253">
        <f>SUM(H860:H862)</f>
        <v>4</v>
      </c>
    </row>
    <row r="864" spans="2:8" x14ac:dyDescent="0.2">
      <c r="B864" s="132"/>
      <c r="C864" s="132"/>
      <c r="D864" s="254"/>
      <c r="E864" s="198"/>
      <c r="F864" s="198"/>
      <c r="G864" s="255" t="s">
        <v>978</v>
      </c>
      <c r="H864" s="256">
        <f>H833+H841+H857+H863</f>
        <v>7991.3</v>
      </c>
    </row>
    <row r="865" spans="2:8" x14ac:dyDescent="0.2">
      <c r="B865" s="132"/>
      <c r="C865" s="132"/>
      <c r="D865" s="257"/>
      <c r="E865" s="239"/>
      <c r="F865" s="239"/>
      <c r="G865" s="258" t="s">
        <v>979</v>
      </c>
      <c r="H865" s="241"/>
    </row>
    <row r="866" spans="2:8" x14ac:dyDescent="0.2">
      <c r="B866" s="132"/>
      <c r="C866" s="132"/>
      <c r="D866" s="257"/>
      <c r="E866" s="239"/>
      <c r="F866" s="239"/>
      <c r="G866" s="258" t="s">
        <v>980</v>
      </c>
      <c r="H866" s="241"/>
    </row>
    <row r="867" spans="2:8" x14ac:dyDescent="0.2">
      <c r="B867" s="132"/>
      <c r="C867" s="132"/>
      <c r="D867" s="257"/>
      <c r="E867" s="239"/>
      <c r="F867" s="239"/>
      <c r="G867" s="259" t="s">
        <v>1670</v>
      </c>
      <c r="H867" s="260"/>
    </row>
    <row r="868" spans="2:8" ht="13.5" thickBot="1" x14ac:dyDescent="0.25">
      <c r="B868" s="193"/>
      <c r="C868" s="132"/>
      <c r="D868" s="261"/>
      <c r="E868" s="251"/>
      <c r="F868" s="251"/>
      <c r="G868" s="262" t="s">
        <v>1650</v>
      </c>
      <c r="H868" s="263"/>
    </row>
    <row r="869" spans="2:8" ht="15.75" x14ac:dyDescent="0.2">
      <c r="B869" s="186" t="s">
        <v>1701</v>
      </c>
      <c r="C869" s="132"/>
      <c r="D869" s="189" t="s">
        <v>742</v>
      </c>
      <c r="E869" s="132"/>
      <c r="F869" s="132"/>
      <c r="G869" s="188"/>
      <c r="H869" s="132"/>
    </row>
    <row r="870" spans="2:8" ht="15.75" x14ac:dyDescent="0.2">
      <c r="B870" s="186" t="s">
        <v>1700</v>
      </c>
      <c r="C870" s="189" t="s">
        <v>963</v>
      </c>
      <c r="D870" s="132"/>
      <c r="E870" s="132"/>
      <c r="F870" s="132"/>
      <c r="G870" s="190"/>
      <c r="H870" s="191"/>
    </row>
    <row r="871" spans="2:8" ht="14.25" x14ac:dyDescent="0.2">
      <c r="B871" s="189"/>
      <c r="C871" s="189"/>
      <c r="D871" s="189"/>
      <c r="E871" s="189"/>
      <c r="F871" s="189"/>
      <c r="G871" s="189"/>
      <c r="H871" s="189"/>
    </row>
    <row r="872" spans="2:8" ht="15.75" x14ac:dyDescent="0.2">
      <c r="B872" s="186" t="s">
        <v>1697</v>
      </c>
      <c r="C872" s="189"/>
      <c r="D872" s="132"/>
      <c r="E872" s="132"/>
      <c r="F872" s="132"/>
      <c r="G872" s="132"/>
      <c r="H872" s="132"/>
    </row>
    <row r="873" spans="2:8" ht="15" x14ac:dyDescent="0.2">
      <c r="B873" s="192"/>
      <c r="C873" s="189"/>
      <c r="D873" s="189"/>
      <c r="E873" s="189"/>
      <c r="F873" s="189"/>
      <c r="G873" s="189"/>
      <c r="H873" s="189"/>
    </row>
    <row r="874" spans="2:8" ht="14.25" x14ac:dyDescent="0.2">
      <c r="B874" s="193" t="s">
        <v>594</v>
      </c>
      <c r="C874" s="194" t="s">
        <v>404</v>
      </c>
      <c r="D874" s="132"/>
      <c r="E874" s="188"/>
      <c r="F874" s="188"/>
      <c r="G874" s="195" t="s">
        <v>1696</v>
      </c>
      <c r="H874" s="189" t="s">
        <v>1506</v>
      </c>
    </row>
    <row r="875" spans="2:8" ht="14.25" x14ac:dyDescent="0.2">
      <c r="B875" s="196" t="s">
        <v>964</v>
      </c>
      <c r="C875" s="194" t="s">
        <v>405</v>
      </c>
      <c r="D875" s="132"/>
      <c r="E875" s="132"/>
      <c r="F875" s="132"/>
      <c r="G875" s="132"/>
      <c r="H875" s="132"/>
    </row>
    <row r="876" spans="2:8" ht="15" thickBot="1" x14ac:dyDescent="0.25">
      <c r="B876" s="187"/>
      <c r="C876" s="187"/>
      <c r="D876" s="189"/>
      <c r="E876" s="189"/>
      <c r="F876" s="189"/>
      <c r="G876" s="189"/>
      <c r="H876" s="189"/>
    </row>
    <row r="877" spans="2:8" ht="13.5" thickBot="1" x14ac:dyDescent="0.25">
      <c r="B877" s="264" t="s">
        <v>1695</v>
      </c>
      <c r="C877" s="265"/>
      <c r="D877" s="266"/>
      <c r="E877" s="265"/>
      <c r="F877" s="265"/>
      <c r="G877" s="265"/>
      <c r="H877" s="267"/>
    </row>
    <row r="878" spans="2:8" ht="25.5" x14ac:dyDescent="0.2">
      <c r="B878" s="197" t="s">
        <v>1409</v>
      </c>
      <c r="C878" s="268"/>
      <c r="D878" s="269" t="s">
        <v>966</v>
      </c>
      <c r="E878" s="270" t="s">
        <v>1694</v>
      </c>
      <c r="F878" s="270" t="s">
        <v>1693</v>
      </c>
      <c r="G878" s="201" t="s">
        <v>1687</v>
      </c>
      <c r="H878" s="271" t="s">
        <v>967</v>
      </c>
    </row>
    <row r="879" spans="2:8" x14ac:dyDescent="0.2">
      <c r="B879" s="208" t="s">
        <v>1468</v>
      </c>
      <c r="C879" s="209"/>
      <c r="D879" s="210">
        <v>1</v>
      </c>
      <c r="E879" s="211">
        <v>2.5</v>
      </c>
      <c r="F879" s="211">
        <f>D879*E879</f>
        <v>2.5</v>
      </c>
      <c r="G879" s="212">
        <v>0.8</v>
      </c>
      <c r="H879" s="213">
        <f>F879*G879</f>
        <v>2</v>
      </c>
    </row>
    <row r="880" spans="2:8" x14ac:dyDescent="0.2">
      <c r="B880" s="214" t="s">
        <v>1682</v>
      </c>
      <c r="C880" s="132"/>
      <c r="D880" s="215"/>
      <c r="E880" s="216" t="s">
        <v>1682</v>
      </c>
      <c r="F880" s="216" t="s">
        <v>1682</v>
      </c>
      <c r="G880" s="217"/>
      <c r="H880" s="218" t="s">
        <v>1682</v>
      </c>
    </row>
    <row r="881" spans="2:8" x14ac:dyDescent="0.2">
      <c r="B881" s="219" t="s">
        <v>1682</v>
      </c>
      <c r="C881" s="220"/>
      <c r="D881" s="221"/>
      <c r="E881" s="222" t="s">
        <v>1682</v>
      </c>
      <c r="F881" s="222" t="s">
        <v>1682</v>
      </c>
      <c r="G881" s="223"/>
      <c r="H881" s="224" t="s">
        <v>1682</v>
      </c>
    </row>
    <row r="882" spans="2:8" x14ac:dyDescent="0.2">
      <c r="B882" s="219" t="s">
        <v>968</v>
      </c>
      <c r="C882" s="220"/>
      <c r="D882" s="225"/>
      <c r="E882" s="220"/>
      <c r="F882" s="220"/>
      <c r="G882" s="226"/>
      <c r="H882" s="224">
        <f>SUM(H879:H881)</f>
        <v>2</v>
      </c>
    </row>
    <row r="883" spans="2:8" x14ac:dyDescent="0.2">
      <c r="B883" s="227" t="s">
        <v>1503</v>
      </c>
      <c r="C883" s="132"/>
      <c r="D883" s="188"/>
      <c r="E883" s="132"/>
      <c r="F883" s="132"/>
      <c r="G883" s="228"/>
      <c r="H883" s="218"/>
    </row>
    <row r="884" spans="2:8" ht="25.5" x14ac:dyDescent="0.2">
      <c r="B884" s="229" t="s">
        <v>1691</v>
      </c>
      <c r="C884" s="230"/>
      <c r="D884" s="231" t="s">
        <v>969</v>
      </c>
      <c r="E884" s="232" t="s">
        <v>1689</v>
      </c>
      <c r="F884" s="232" t="s">
        <v>1688</v>
      </c>
      <c r="G884" s="233" t="s">
        <v>1687</v>
      </c>
      <c r="H884" s="234" t="s">
        <v>1686</v>
      </c>
    </row>
    <row r="885" spans="2:8" x14ac:dyDescent="0.2">
      <c r="B885" s="235" t="s">
        <v>243</v>
      </c>
      <c r="C885" s="132"/>
      <c r="D885" s="236">
        <v>1</v>
      </c>
      <c r="E885" s="237">
        <v>2.13</v>
      </c>
      <c r="F885" s="216">
        <f>D885*E885</f>
        <v>2.13</v>
      </c>
      <c r="G885" s="217">
        <v>24.4</v>
      </c>
      <c r="H885" s="218">
        <v>51.97</v>
      </c>
    </row>
    <row r="886" spans="2:8" x14ac:dyDescent="0.2">
      <c r="B886" s="235" t="s">
        <v>1488</v>
      </c>
      <c r="C886" s="132"/>
      <c r="D886" s="236">
        <v>1</v>
      </c>
      <c r="E886" s="237">
        <v>2.13</v>
      </c>
      <c r="F886" s="216">
        <f>D886*E886</f>
        <v>2.13</v>
      </c>
      <c r="G886" s="217">
        <v>16.7</v>
      </c>
      <c r="H886" s="218">
        <v>35.57</v>
      </c>
    </row>
    <row r="887" spans="2:8" x14ac:dyDescent="0.2">
      <c r="B887" s="235" t="s">
        <v>590</v>
      </c>
      <c r="C887" s="132"/>
      <c r="D887" s="236">
        <v>1</v>
      </c>
      <c r="E887" s="237">
        <v>2.13</v>
      </c>
      <c r="F887" s="216">
        <f>D887*E887</f>
        <v>2.13</v>
      </c>
      <c r="G887" s="217">
        <v>11.94</v>
      </c>
      <c r="H887" s="218">
        <v>25.43</v>
      </c>
    </row>
    <row r="888" spans="2:8" x14ac:dyDescent="0.2">
      <c r="B888" s="235"/>
      <c r="C888" s="132"/>
      <c r="D888" s="236"/>
      <c r="E888" s="237"/>
      <c r="F888" s="216"/>
      <c r="G888" s="217"/>
      <c r="H888" s="218"/>
    </row>
    <row r="889" spans="2:8" x14ac:dyDescent="0.2">
      <c r="B889" s="219" t="s">
        <v>1682</v>
      </c>
      <c r="C889" s="220"/>
      <c r="D889" s="221"/>
      <c r="E889" s="222" t="s">
        <v>1682</v>
      </c>
      <c r="F889" s="222" t="s">
        <v>1682</v>
      </c>
      <c r="G889" s="223"/>
      <c r="H889" s="224" t="s">
        <v>1682</v>
      </c>
    </row>
    <row r="890" spans="2:8" x14ac:dyDescent="0.2">
      <c r="B890" s="238" t="s">
        <v>1681</v>
      </c>
      <c r="C890" s="239"/>
      <c r="D890" s="240"/>
      <c r="E890" s="239"/>
      <c r="F890" s="239"/>
      <c r="G890" s="239"/>
      <c r="H890" s="241">
        <f>SUM(H885:H889)</f>
        <v>112.97</v>
      </c>
    </row>
    <row r="891" spans="2:8" x14ac:dyDescent="0.2">
      <c r="B891" s="227" t="s">
        <v>1684</v>
      </c>
      <c r="C891" s="132"/>
      <c r="D891" s="188"/>
      <c r="E891" s="132"/>
      <c r="F891" s="132"/>
      <c r="G891" s="132"/>
      <c r="H891" s="218"/>
    </row>
    <row r="892" spans="2:8" ht="25.5" x14ac:dyDescent="0.2">
      <c r="B892" s="229" t="s">
        <v>1409</v>
      </c>
      <c r="C892" s="242"/>
      <c r="D892" s="243"/>
      <c r="E892" s="232" t="s">
        <v>1408</v>
      </c>
      <c r="F892" s="231" t="s">
        <v>1679</v>
      </c>
      <c r="G892" s="232" t="s">
        <v>1683</v>
      </c>
      <c r="H892" s="234" t="s">
        <v>1675</v>
      </c>
    </row>
    <row r="893" spans="2:8" x14ac:dyDescent="0.2">
      <c r="B893" s="244" t="s">
        <v>385</v>
      </c>
      <c r="C893" s="132"/>
      <c r="D893" s="188"/>
      <c r="E893" s="215" t="s">
        <v>1506</v>
      </c>
      <c r="F893" s="215">
        <v>1</v>
      </c>
      <c r="G893" s="216">
        <v>5308.86</v>
      </c>
      <c r="H893" s="218">
        <f>F893*G893</f>
        <v>5308.86</v>
      </c>
    </row>
    <row r="894" spans="2:8" x14ac:dyDescent="0.2">
      <c r="B894" s="214" t="s">
        <v>386</v>
      </c>
      <c r="C894" s="132"/>
      <c r="D894" s="188"/>
      <c r="E894" s="215"/>
      <c r="F894" s="215"/>
      <c r="G894" s="216"/>
      <c r="H894" s="218"/>
    </row>
    <row r="895" spans="2:8" x14ac:dyDescent="0.2">
      <c r="B895" s="214" t="s">
        <v>406</v>
      </c>
      <c r="C895" s="132"/>
      <c r="D895" s="188"/>
      <c r="E895" s="215"/>
      <c r="F895" s="215"/>
      <c r="G895" s="216"/>
      <c r="H895" s="218"/>
    </row>
    <row r="896" spans="2:8" x14ac:dyDescent="0.2">
      <c r="B896" s="214" t="s">
        <v>407</v>
      </c>
      <c r="C896" s="132"/>
      <c r="D896" s="188"/>
      <c r="E896" s="215"/>
      <c r="F896" s="215"/>
      <c r="G896" s="216"/>
      <c r="H896" s="218"/>
    </row>
    <row r="897" spans="2:8" x14ac:dyDescent="0.2">
      <c r="B897" s="214" t="s">
        <v>389</v>
      </c>
      <c r="C897" s="132"/>
      <c r="D897" s="188"/>
      <c r="E897" s="215"/>
      <c r="F897" s="215"/>
      <c r="G897" s="216"/>
      <c r="H897" s="218"/>
    </row>
    <row r="898" spans="2:8" x14ac:dyDescent="0.2">
      <c r="B898" s="214" t="s">
        <v>390</v>
      </c>
      <c r="C898" s="132"/>
      <c r="D898" s="188"/>
      <c r="E898" s="215"/>
      <c r="F898" s="215"/>
      <c r="G898" s="216"/>
      <c r="H898" s="218"/>
    </row>
    <row r="899" spans="2:8" x14ac:dyDescent="0.2">
      <c r="B899" s="214" t="s">
        <v>401</v>
      </c>
      <c r="C899" s="132"/>
      <c r="D899" s="188"/>
      <c r="E899" s="215"/>
      <c r="F899" s="215"/>
      <c r="G899" s="216"/>
      <c r="H899" s="218"/>
    </row>
    <row r="900" spans="2:8" ht="25.5" customHeight="1" x14ac:dyDescent="0.2">
      <c r="B900" s="732" t="s">
        <v>402</v>
      </c>
      <c r="C900" s="733"/>
      <c r="D900" s="734"/>
      <c r="E900" s="215"/>
      <c r="F900" s="215"/>
      <c r="G900" s="216"/>
      <c r="H900" s="218"/>
    </row>
    <row r="901" spans="2:8" x14ac:dyDescent="0.2">
      <c r="B901" s="277" t="s">
        <v>408</v>
      </c>
      <c r="C901" s="276"/>
      <c r="D901" s="276"/>
      <c r="E901" s="215"/>
      <c r="F901" s="215"/>
      <c r="G901" s="216"/>
      <c r="H901" s="218"/>
    </row>
    <row r="902" spans="2:8" x14ac:dyDescent="0.2">
      <c r="B902" s="214" t="s">
        <v>409</v>
      </c>
      <c r="C902" s="132"/>
      <c r="D902" s="188"/>
      <c r="E902" s="215"/>
      <c r="F902" s="215"/>
      <c r="G902" s="216"/>
      <c r="H902" s="218"/>
    </row>
    <row r="903" spans="2:8" ht="25.5" customHeight="1" x14ac:dyDescent="0.2">
      <c r="B903" s="732" t="s">
        <v>394</v>
      </c>
      <c r="C903" s="733"/>
      <c r="D903" s="734"/>
      <c r="E903" s="215" t="s">
        <v>1682</v>
      </c>
      <c r="F903" s="215"/>
      <c r="G903" s="216" t="s">
        <v>1682</v>
      </c>
      <c r="H903" s="218" t="s">
        <v>1682</v>
      </c>
    </row>
    <row r="904" spans="2:8" x14ac:dyDescent="0.2">
      <c r="B904" s="214" t="s">
        <v>410</v>
      </c>
      <c r="C904" s="132"/>
      <c r="D904" s="188"/>
      <c r="E904" s="215"/>
      <c r="F904" s="215"/>
      <c r="G904" s="216"/>
      <c r="H904" s="218"/>
    </row>
    <row r="905" spans="2:8" x14ac:dyDescent="0.2">
      <c r="B905" s="214"/>
      <c r="C905" s="132"/>
      <c r="D905" s="188"/>
      <c r="E905" s="215"/>
      <c r="F905" s="215"/>
      <c r="G905" s="216"/>
      <c r="H905" s="218"/>
    </row>
    <row r="906" spans="2:8" x14ac:dyDescent="0.2">
      <c r="B906" s="214" t="s">
        <v>1682</v>
      </c>
      <c r="C906" s="132"/>
      <c r="D906" s="245" t="s">
        <v>1682</v>
      </c>
      <c r="E906" s="272" t="s">
        <v>1682</v>
      </c>
      <c r="F906" s="215" t="s">
        <v>1682</v>
      </c>
      <c r="G906" s="216" t="s">
        <v>1682</v>
      </c>
      <c r="H906" s="218" t="s">
        <v>1682</v>
      </c>
    </row>
    <row r="907" spans="2:8" x14ac:dyDescent="0.2">
      <c r="B907" s="238" t="s">
        <v>1692</v>
      </c>
      <c r="C907" s="239"/>
      <c r="D907" s="240"/>
      <c r="E907" s="240"/>
      <c r="F907" s="240"/>
      <c r="G907" s="239"/>
      <c r="H907" s="241">
        <f>SUM(H893:H906)</f>
        <v>5308.86</v>
      </c>
    </row>
    <row r="908" spans="2:8" x14ac:dyDescent="0.2">
      <c r="B908" s="227" t="s">
        <v>1680</v>
      </c>
      <c r="C908" s="132"/>
      <c r="D908" s="188"/>
      <c r="E908" s="132"/>
      <c r="F908" s="188"/>
      <c r="G908" s="132"/>
      <c r="H908" s="218"/>
    </row>
    <row r="909" spans="2:8" ht="25.5" x14ac:dyDescent="0.2">
      <c r="B909" s="229" t="s">
        <v>1409</v>
      </c>
      <c r="C909" s="242"/>
      <c r="D909" s="243"/>
      <c r="E909" s="232" t="s">
        <v>1408</v>
      </c>
      <c r="F909" s="231" t="s">
        <v>1679</v>
      </c>
      <c r="G909" s="232" t="s">
        <v>1676</v>
      </c>
      <c r="H909" s="234" t="s">
        <v>1675</v>
      </c>
    </row>
    <row r="910" spans="2:8" x14ac:dyDescent="0.2">
      <c r="B910" s="208" t="s">
        <v>975</v>
      </c>
      <c r="C910" s="209"/>
      <c r="D910" s="246"/>
      <c r="E910" s="215" t="s">
        <v>976</v>
      </c>
      <c r="F910" s="215">
        <v>0.8</v>
      </c>
      <c r="G910" s="247">
        <v>5</v>
      </c>
      <c r="H910" s="218">
        <f>F910*G910</f>
        <v>4</v>
      </c>
    </row>
    <row r="911" spans="2:8" x14ac:dyDescent="0.2">
      <c r="B911" s="214"/>
      <c r="C911" s="132"/>
      <c r="D911" s="248"/>
      <c r="E911" s="215"/>
      <c r="F911" s="215"/>
      <c r="G911" s="247"/>
      <c r="H911" s="218"/>
    </row>
    <row r="912" spans="2:8" x14ac:dyDescent="0.2">
      <c r="B912" s="219" t="s">
        <v>1682</v>
      </c>
      <c r="C912" s="220"/>
      <c r="D912" s="249"/>
      <c r="E912" s="221" t="s">
        <v>1682</v>
      </c>
      <c r="F912" s="221"/>
      <c r="G912" s="222" t="s">
        <v>1682</v>
      </c>
      <c r="H912" s="224" t="s">
        <v>1682</v>
      </c>
    </row>
    <row r="913" spans="2:8" ht="13.5" thickBot="1" x14ac:dyDescent="0.25">
      <c r="B913" s="250" t="s">
        <v>977</v>
      </c>
      <c r="C913" s="251"/>
      <c r="D913" s="252"/>
      <c r="E913" s="252"/>
      <c r="F913" s="252"/>
      <c r="G913" s="251"/>
      <c r="H913" s="253">
        <f>SUM(H910:H912)</f>
        <v>4</v>
      </c>
    </row>
    <row r="914" spans="2:8" x14ac:dyDescent="0.2">
      <c r="B914" s="132"/>
      <c r="C914" s="132"/>
      <c r="D914" s="254"/>
      <c r="E914" s="198"/>
      <c r="F914" s="198"/>
      <c r="G914" s="255" t="s">
        <v>978</v>
      </c>
      <c r="H914" s="256">
        <f>H882+H890+H907+H913</f>
        <v>5427.83</v>
      </c>
    </row>
    <row r="915" spans="2:8" x14ac:dyDescent="0.2">
      <c r="B915" s="132"/>
      <c r="C915" s="132"/>
      <c r="D915" s="257"/>
      <c r="E915" s="239"/>
      <c r="F915" s="239"/>
      <c r="G915" s="258" t="s">
        <v>979</v>
      </c>
      <c r="H915" s="241"/>
    </row>
    <row r="916" spans="2:8" x14ac:dyDescent="0.2">
      <c r="B916" s="132"/>
      <c r="C916" s="132"/>
      <c r="D916" s="257"/>
      <c r="E916" s="239"/>
      <c r="F916" s="239"/>
      <c r="G916" s="258" t="s">
        <v>980</v>
      </c>
      <c r="H916" s="241"/>
    </row>
    <row r="917" spans="2:8" x14ac:dyDescent="0.2">
      <c r="B917" s="132"/>
      <c r="C917" s="132"/>
      <c r="D917" s="257"/>
      <c r="E917" s="239"/>
      <c r="F917" s="239"/>
      <c r="G917" s="259" t="s">
        <v>1670</v>
      </c>
      <c r="H917" s="260"/>
    </row>
    <row r="918" spans="2:8" ht="13.5" thickBot="1" x14ac:dyDescent="0.25">
      <c r="B918" s="193"/>
      <c r="C918" s="132"/>
      <c r="D918" s="261"/>
      <c r="E918" s="251"/>
      <c r="F918" s="251"/>
      <c r="G918" s="262" t="s">
        <v>1650</v>
      </c>
      <c r="H918" s="263"/>
    </row>
    <row r="919" spans="2:8" ht="15.75" x14ac:dyDescent="0.2">
      <c r="B919" s="186" t="s">
        <v>1701</v>
      </c>
      <c r="C919" s="132"/>
      <c r="D919" s="189" t="s">
        <v>742</v>
      </c>
      <c r="E919" s="132"/>
      <c r="F919" s="132"/>
      <c r="G919" s="188"/>
      <c r="H919" s="132"/>
    </row>
    <row r="920" spans="2:8" ht="15.75" x14ac:dyDescent="0.2">
      <c r="B920" s="186" t="s">
        <v>1700</v>
      </c>
      <c r="C920" s="189" t="s">
        <v>963</v>
      </c>
      <c r="D920" s="132"/>
      <c r="E920" s="132"/>
      <c r="F920" s="132"/>
      <c r="G920" s="190"/>
      <c r="H920" s="191"/>
    </row>
    <row r="921" spans="2:8" ht="14.25" x14ac:dyDescent="0.2">
      <c r="B921" s="189"/>
      <c r="C921" s="189"/>
      <c r="D921" s="189"/>
      <c r="E921" s="189"/>
      <c r="F921" s="189"/>
      <c r="G921" s="189"/>
      <c r="H921" s="189"/>
    </row>
    <row r="922" spans="2:8" ht="15.75" x14ac:dyDescent="0.2">
      <c r="B922" s="186" t="s">
        <v>1697</v>
      </c>
      <c r="C922" s="189"/>
      <c r="D922" s="132"/>
      <c r="E922" s="132"/>
      <c r="F922" s="132"/>
      <c r="G922" s="132"/>
      <c r="H922" s="132"/>
    </row>
    <row r="923" spans="2:8" ht="15" x14ac:dyDescent="0.2">
      <c r="B923" s="192"/>
      <c r="C923" s="189"/>
      <c r="D923" s="189"/>
      <c r="E923" s="189"/>
      <c r="F923" s="189"/>
      <c r="G923" s="189"/>
      <c r="H923" s="189"/>
    </row>
    <row r="924" spans="2:8" ht="14.25" x14ac:dyDescent="0.2">
      <c r="B924" s="193" t="s">
        <v>594</v>
      </c>
      <c r="C924" s="194">
        <v>15</v>
      </c>
      <c r="D924" s="132"/>
      <c r="E924" s="188"/>
      <c r="F924" s="188"/>
      <c r="G924" s="195" t="s">
        <v>1696</v>
      </c>
      <c r="H924" s="189" t="s">
        <v>1506</v>
      </c>
    </row>
    <row r="925" spans="2:8" ht="14.25" x14ac:dyDescent="0.2">
      <c r="B925" s="196" t="s">
        <v>964</v>
      </c>
      <c r="C925" s="194" t="s">
        <v>411</v>
      </c>
      <c r="D925" s="132"/>
      <c r="E925" s="132"/>
      <c r="F925" s="132"/>
      <c r="G925" s="132"/>
      <c r="H925" s="132"/>
    </row>
    <row r="926" spans="2:8" ht="15" thickBot="1" x14ac:dyDescent="0.25">
      <c r="B926" s="187"/>
      <c r="C926" s="187"/>
      <c r="D926" s="189"/>
      <c r="E926" s="189"/>
      <c r="F926" s="189"/>
      <c r="G926" s="189"/>
      <c r="H926" s="189"/>
    </row>
    <row r="927" spans="2:8" ht="13.5" thickBot="1" x14ac:dyDescent="0.25">
      <c r="B927" s="264" t="s">
        <v>1695</v>
      </c>
      <c r="C927" s="265"/>
      <c r="D927" s="266"/>
      <c r="E927" s="265"/>
      <c r="F927" s="265"/>
      <c r="G927" s="265"/>
      <c r="H927" s="267"/>
    </row>
    <row r="928" spans="2:8" ht="25.5" x14ac:dyDescent="0.2">
      <c r="B928" s="197" t="s">
        <v>1409</v>
      </c>
      <c r="C928" s="268"/>
      <c r="D928" s="269" t="s">
        <v>966</v>
      </c>
      <c r="E928" s="270" t="s">
        <v>1694</v>
      </c>
      <c r="F928" s="270" t="s">
        <v>1693</v>
      </c>
      <c r="G928" s="201" t="s">
        <v>1687</v>
      </c>
      <c r="H928" s="271" t="s">
        <v>967</v>
      </c>
    </row>
    <row r="929" spans="2:8" x14ac:dyDescent="0.2">
      <c r="B929" s="208" t="s">
        <v>1468</v>
      </c>
      <c r="C929" s="209"/>
      <c r="D929" s="210">
        <v>1</v>
      </c>
      <c r="E929" s="211">
        <v>2.5</v>
      </c>
      <c r="F929" s="211">
        <f>D929*E929</f>
        <v>2.5</v>
      </c>
      <c r="G929" s="212">
        <v>4</v>
      </c>
      <c r="H929" s="213">
        <f>F929*G929</f>
        <v>10</v>
      </c>
    </row>
    <row r="930" spans="2:8" x14ac:dyDescent="0.2">
      <c r="B930" s="214" t="s">
        <v>1682</v>
      </c>
      <c r="C930" s="132"/>
      <c r="D930" s="215"/>
      <c r="E930" s="216" t="s">
        <v>1682</v>
      </c>
      <c r="F930" s="216" t="s">
        <v>1682</v>
      </c>
      <c r="G930" s="217"/>
      <c r="H930" s="218" t="s">
        <v>1682</v>
      </c>
    </row>
    <row r="931" spans="2:8" x14ac:dyDescent="0.2">
      <c r="B931" s="219" t="s">
        <v>1682</v>
      </c>
      <c r="C931" s="220"/>
      <c r="D931" s="221"/>
      <c r="E931" s="222" t="s">
        <v>1682</v>
      </c>
      <c r="F931" s="222" t="s">
        <v>1682</v>
      </c>
      <c r="G931" s="223"/>
      <c r="H931" s="224" t="s">
        <v>1682</v>
      </c>
    </row>
    <row r="932" spans="2:8" x14ac:dyDescent="0.2">
      <c r="B932" s="219" t="s">
        <v>968</v>
      </c>
      <c r="C932" s="220"/>
      <c r="D932" s="225"/>
      <c r="E932" s="220"/>
      <c r="F932" s="220"/>
      <c r="G932" s="226"/>
      <c r="H932" s="224">
        <f>SUM(H929:H931)</f>
        <v>10</v>
      </c>
    </row>
    <row r="933" spans="2:8" x14ac:dyDescent="0.2">
      <c r="B933" s="227" t="s">
        <v>1503</v>
      </c>
      <c r="C933" s="132"/>
      <c r="D933" s="188"/>
      <c r="E933" s="132"/>
      <c r="F933" s="132"/>
      <c r="G933" s="228"/>
      <c r="H933" s="218"/>
    </row>
    <row r="934" spans="2:8" ht="25.5" x14ac:dyDescent="0.2">
      <c r="B934" s="229" t="s">
        <v>1691</v>
      </c>
      <c r="C934" s="230"/>
      <c r="D934" s="231" t="s">
        <v>969</v>
      </c>
      <c r="E934" s="232" t="s">
        <v>1689</v>
      </c>
      <c r="F934" s="232" t="s">
        <v>1688</v>
      </c>
      <c r="G934" s="233" t="s">
        <v>1687</v>
      </c>
      <c r="H934" s="234" t="s">
        <v>1686</v>
      </c>
    </row>
    <row r="935" spans="2:8" x14ac:dyDescent="0.2">
      <c r="B935" s="235" t="s">
        <v>243</v>
      </c>
      <c r="C935" s="132"/>
      <c r="D935" s="236">
        <v>1</v>
      </c>
      <c r="E935" s="237">
        <v>2.13</v>
      </c>
      <c r="F935" s="216">
        <f>D935*E935</f>
        <v>2.13</v>
      </c>
      <c r="G935" s="217">
        <v>77.16</v>
      </c>
      <c r="H935" s="218">
        <f>F935*G935</f>
        <v>164.35079999999999</v>
      </c>
    </row>
    <row r="936" spans="2:8" x14ac:dyDescent="0.2">
      <c r="B936" s="235" t="s">
        <v>1488</v>
      </c>
      <c r="C936" s="132"/>
      <c r="D936" s="236">
        <v>1</v>
      </c>
      <c r="E936" s="237">
        <v>2.13</v>
      </c>
      <c r="F936" s="216">
        <f>D936*E936</f>
        <v>2.13</v>
      </c>
      <c r="G936" s="217">
        <v>51.72</v>
      </c>
      <c r="H936" s="218">
        <f>F936*G936</f>
        <v>110.16359999999999</v>
      </c>
    </row>
    <row r="937" spans="2:8" x14ac:dyDescent="0.2">
      <c r="B937" s="235" t="s">
        <v>590</v>
      </c>
      <c r="C937" s="132"/>
      <c r="D937" s="236">
        <v>1</v>
      </c>
      <c r="E937" s="237">
        <v>2.13</v>
      </c>
      <c r="F937" s="216">
        <f>D937*E937</f>
        <v>2.13</v>
      </c>
      <c r="G937" s="217">
        <v>38.299999999999997</v>
      </c>
      <c r="H937" s="218">
        <f>F937*G937</f>
        <v>81.578999999999994</v>
      </c>
    </row>
    <row r="938" spans="2:8" x14ac:dyDescent="0.2">
      <c r="B938" s="235"/>
      <c r="C938" s="132"/>
      <c r="D938" s="236"/>
      <c r="E938" s="237"/>
      <c r="F938" s="216"/>
      <c r="G938" s="217"/>
      <c r="H938" s="218"/>
    </row>
    <row r="939" spans="2:8" x14ac:dyDescent="0.2">
      <c r="B939" s="219" t="s">
        <v>1682</v>
      </c>
      <c r="C939" s="220"/>
      <c r="D939" s="221"/>
      <c r="E939" s="222" t="s">
        <v>1682</v>
      </c>
      <c r="F939" s="222" t="s">
        <v>1682</v>
      </c>
      <c r="G939" s="223"/>
      <c r="H939" s="224" t="s">
        <v>1682</v>
      </c>
    </row>
    <row r="940" spans="2:8" x14ac:dyDescent="0.2">
      <c r="B940" s="238" t="s">
        <v>1681</v>
      </c>
      <c r="C940" s="239"/>
      <c r="D940" s="240"/>
      <c r="E940" s="239"/>
      <c r="F940" s="239"/>
      <c r="G940" s="239"/>
      <c r="H940" s="241">
        <f>SUM(H935:H939)</f>
        <v>356.09339999999997</v>
      </c>
    </row>
    <row r="941" spans="2:8" x14ac:dyDescent="0.2">
      <c r="B941" s="227" t="s">
        <v>1684</v>
      </c>
      <c r="C941" s="132"/>
      <c r="D941" s="188"/>
      <c r="E941" s="132"/>
      <c r="F941" s="132"/>
      <c r="G941" s="132"/>
      <c r="H941" s="218"/>
    </row>
    <row r="942" spans="2:8" ht="25.5" x14ac:dyDescent="0.2">
      <c r="B942" s="229" t="s">
        <v>1409</v>
      </c>
      <c r="C942" s="242"/>
      <c r="D942" s="243"/>
      <c r="E942" s="232" t="s">
        <v>1408</v>
      </c>
      <c r="F942" s="231" t="s">
        <v>1679</v>
      </c>
      <c r="G942" s="232" t="s">
        <v>1683</v>
      </c>
      <c r="H942" s="234" t="s">
        <v>1675</v>
      </c>
    </row>
    <row r="943" spans="2:8" x14ac:dyDescent="0.2">
      <c r="B943" s="244" t="s">
        <v>412</v>
      </c>
      <c r="C943" s="132"/>
      <c r="D943" s="188"/>
      <c r="E943" s="215" t="s">
        <v>1506</v>
      </c>
      <c r="F943" s="215">
        <v>13</v>
      </c>
      <c r="G943" s="216">
        <v>22</v>
      </c>
      <c r="H943" s="218">
        <f t="shared" ref="H943:H948" si="1">F943*G943</f>
        <v>286</v>
      </c>
    </row>
    <row r="944" spans="2:8" x14ac:dyDescent="0.2">
      <c r="B944" s="214" t="s">
        <v>413</v>
      </c>
      <c r="C944" s="132"/>
      <c r="D944" s="188"/>
      <c r="E944" s="215" t="s">
        <v>1506</v>
      </c>
      <c r="F944" s="215">
        <v>17</v>
      </c>
      <c r="G944" s="216">
        <v>6</v>
      </c>
      <c r="H944" s="218">
        <f t="shared" si="1"/>
        <v>102</v>
      </c>
    </row>
    <row r="945" spans="2:8" x14ac:dyDescent="0.2">
      <c r="B945" s="214" t="s">
        <v>414</v>
      </c>
      <c r="C945" s="132"/>
      <c r="D945" s="188"/>
      <c r="E945" s="215" t="s">
        <v>1506</v>
      </c>
      <c r="F945" s="215">
        <v>2</v>
      </c>
      <c r="G945" s="216">
        <v>18</v>
      </c>
      <c r="H945" s="218">
        <f t="shared" si="1"/>
        <v>36</v>
      </c>
    </row>
    <row r="946" spans="2:8" x14ac:dyDescent="0.2">
      <c r="B946" s="214" t="s">
        <v>265</v>
      </c>
      <c r="C946" s="132"/>
      <c r="D946" s="188"/>
      <c r="E946" s="215" t="s">
        <v>1708</v>
      </c>
      <c r="F946" s="215">
        <v>143</v>
      </c>
      <c r="G946" s="216">
        <v>34</v>
      </c>
      <c r="H946" s="218">
        <f t="shared" si="1"/>
        <v>4862</v>
      </c>
    </row>
    <row r="947" spans="2:8" x14ac:dyDescent="0.2">
      <c r="B947" s="214" t="s">
        <v>415</v>
      </c>
      <c r="C947" s="132"/>
      <c r="D947" s="188"/>
      <c r="E947" s="215" t="s">
        <v>1708</v>
      </c>
      <c r="F947" s="215">
        <v>48</v>
      </c>
      <c r="G947" s="216">
        <v>8</v>
      </c>
      <c r="H947" s="218">
        <f t="shared" si="1"/>
        <v>384</v>
      </c>
    </row>
    <row r="948" spans="2:8" x14ac:dyDescent="0.2">
      <c r="B948" s="214" t="s">
        <v>416</v>
      </c>
      <c r="C948" s="132"/>
      <c r="D948" s="188"/>
      <c r="E948" s="215" t="s">
        <v>417</v>
      </c>
      <c r="F948" s="215">
        <v>1</v>
      </c>
      <c r="G948" s="216">
        <v>70</v>
      </c>
      <c r="H948" s="218">
        <f t="shared" si="1"/>
        <v>70</v>
      </c>
    </row>
    <row r="949" spans="2:8" x14ac:dyDescent="0.2">
      <c r="B949" s="214"/>
      <c r="C949" s="132"/>
      <c r="D949" s="188"/>
      <c r="E949" s="215"/>
      <c r="F949" s="215"/>
      <c r="G949" s="216"/>
      <c r="H949" s="218"/>
    </row>
    <row r="950" spans="2:8" x14ac:dyDescent="0.2">
      <c r="B950" s="214" t="s">
        <v>1682</v>
      </c>
      <c r="C950" s="132"/>
      <c r="D950" s="245" t="s">
        <v>1682</v>
      </c>
      <c r="E950" s="272" t="s">
        <v>1682</v>
      </c>
      <c r="F950" s="215" t="s">
        <v>1682</v>
      </c>
      <c r="G950" s="216" t="s">
        <v>1682</v>
      </c>
      <c r="H950" s="218" t="s">
        <v>1682</v>
      </c>
    </row>
    <row r="951" spans="2:8" x14ac:dyDescent="0.2">
      <c r="B951" s="238" t="s">
        <v>1692</v>
      </c>
      <c r="C951" s="239"/>
      <c r="D951" s="240"/>
      <c r="E951" s="240"/>
      <c r="F951" s="240"/>
      <c r="G951" s="239"/>
      <c r="H951" s="241">
        <f>SUM(H943:H950)</f>
        <v>5740</v>
      </c>
    </row>
    <row r="952" spans="2:8" x14ac:dyDescent="0.2">
      <c r="B952" s="227" t="s">
        <v>1680</v>
      </c>
      <c r="C952" s="132"/>
      <c r="D952" s="188"/>
      <c r="E952" s="132"/>
      <c r="F952" s="188"/>
      <c r="G952" s="132"/>
      <c r="H952" s="218"/>
    </row>
    <row r="953" spans="2:8" ht="25.5" x14ac:dyDescent="0.2">
      <c r="B953" s="229" t="s">
        <v>1409</v>
      </c>
      <c r="C953" s="242"/>
      <c r="D953" s="243"/>
      <c r="E953" s="232" t="s">
        <v>1408</v>
      </c>
      <c r="F953" s="231" t="s">
        <v>1679</v>
      </c>
      <c r="G953" s="232" t="s">
        <v>1676</v>
      </c>
      <c r="H953" s="234" t="s">
        <v>1675</v>
      </c>
    </row>
    <row r="954" spans="2:8" x14ac:dyDescent="0.2">
      <c r="B954" s="208" t="s">
        <v>975</v>
      </c>
      <c r="C954" s="209"/>
      <c r="D954" s="246"/>
      <c r="E954" s="215" t="s">
        <v>976</v>
      </c>
      <c r="F954" s="215">
        <v>4</v>
      </c>
      <c r="G954" s="247">
        <v>5</v>
      </c>
      <c r="H954" s="218">
        <f>F954*G954</f>
        <v>20</v>
      </c>
    </row>
    <row r="955" spans="2:8" x14ac:dyDescent="0.2">
      <c r="B955" s="214"/>
      <c r="C955" s="132"/>
      <c r="D955" s="248"/>
      <c r="E955" s="215"/>
      <c r="F955" s="215"/>
      <c r="G955" s="247"/>
      <c r="H955" s="218"/>
    </row>
    <row r="956" spans="2:8" x14ac:dyDescent="0.2">
      <c r="B956" s="219" t="s">
        <v>1682</v>
      </c>
      <c r="C956" s="220"/>
      <c r="D956" s="249"/>
      <c r="E956" s="221" t="s">
        <v>1682</v>
      </c>
      <c r="F956" s="221"/>
      <c r="G956" s="222" t="s">
        <v>1682</v>
      </c>
      <c r="H956" s="224" t="s">
        <v>1682</v>
      </c>
    </row>
    <row r="957" spans="2:8" ht="13.5" thickBot="1" x14ac:dyDescent="0.25">
      <c r="B957" s="250" t="s">
        <v>977</v>
      </c>
      <c r="C957" s="251"/>
      <c r="D957" s="252"/>
      <c r="E957" s="252"/>
      <c r="F957" s="252"/>
      <c r="G957" s="251"/>
      <c r="H957" s="253">
        <f>SUM(H954:H956)</f>
        <v>20</v>
      </c>
    </row>
    <row r="958" spans="2:8" x14ac:dyDescent="0.2">
      <c r="B958" s="132"/>
      <c r="C958" s="132"/>
      <c r="D958" s="254"/>
      <c r="E958" s="198"/>
      <c r="F958" s="198"/>
      <c r="G958" s="255" t="s">
        <v>978</v>
      </c>
      <c r="H958" s="256">
        <f>H932+H940+H951+H957</f>
        <v>6126.0933999999997</v>
      </c>
    </row>
    <row r="959" spans="2:8" x14ac:dyDescent="0.2">
      <c r="B959" s="132"/>
      <c r="C959" s="132"/>
      <c r="D959" s="257"/>
      <c r="E959" s="239"/>
      <c r="F959" s="239"/>
      <c r="G959" s="258" t="s">
        <v>979</v>
      </c>
      <c r="H959" s="241"/>
    </row>
    <row r="960" spans="2:8" x14ac:dyDescent="0.2">
      <c r="B960" s="132"/>
      <c r="C960" s="132"/>
      <c r="D960" s="257"/>
      <c r="E960" s="239"/>
      <c r="F960" s="239"/>
      <c r="G960" s="258" t="s">
        <v>980</v>
      </c>
      <c r="H960" s="241"/>
    </row>
    <row r="961" spans="2:8" x14ac:dyDescent="0.2">
      <c r="B961" s="132"/>
      <c r="C961" s="132"/>
      <c r="D961" s="257"/>
      <c r="E961" s="239"/>
      <c r="F961" s="239"/>
      <c r="G961" s="259" t="s">
        <v>1670</v>
      </c>
      <c r="H961" s="260"/>
    </row>
    <row r="962" spans="2:8" ht="13.5" thickBot="1" x14ac:dyDescent="0.25">
      <c r="B962" s="193"/>
      <c r="C962" s="132"/>
      <c r="D962" s="261"/>
      <c r="E962" s="251"/>
      <c r="F962" s="251"/>
      <c r="G962" s="262" t="s">
        <v>1650</v>
      </c>
      <c r="H962" s="263"/>
    </row>
    <row r="963" spans="2:8" ht="15.75" x14ac:dyDescent="0.2">
      <c r="B963" s="186" t="s">
        <v>1701</v>
      </c>
      <c r="C963" s="132"/>
      <c r="D963" s="189" t="s">
        <v>742</v>
      </c>
      <c r="E963" s="132"/>
      <c r="F963" s="132"/>
      <c r="G963" s="188"/>
      <c r="H963" s="132"/>
    </row>
    <row r="964" spans="2:8" ht="15.75" x14ac:dyDescent="0.2">
      <c r="B964" s="186" t="s">
        <v>1700</v>
      </c>
      <c r="C964" s="189" t="s">
        <v>963</v>
      </c>
      <c r="D964" s="132"/>
      <c r="E964" s="132"/>
      <c r="F964" s="132"/>
      <c r="G964" s="190"/>
      <c r="H964" s="191"/>
    </row>
    <row r="965" spans="2:8" ht="14.25" x14ac:dyDescent="0.2">
      <c r="B965" s="189"/>
      <c r="C965" s="189"/>
      <c r="D965" s="189"/>
      <c r="E965" s="189"/>
      <c r="F965" s="189"/>
      <c r="G965" s="189"/>
      <c r="H965" s="189"/>
    </row>
    <row r="966" spans="2:8" ht="15.75" x14ac:dyDescent="0.2">
      <c r="B966" s="186" t="s">
        <v>1697</v>
      </c>
      <c r="C966" s="189"/>
      <c r="D966" s="132"/>
      <c r="E966" s="132"/>
      <c r="F966" s="132"/>
      <c r="G966" s="132"/>
      <c r="H966" s="132"/>
    </row>
    <row r="967" spans="2:8" ht="15" x14ac:dyDescent="0.2">
      <c r="B967" s="192"/>
      <c r="C967" s="189"/>
      <c r="D967" s="189"/>
      <c r="E967" s="189"/>
      <c r="F967" s="189"/>
      <c r="G967" s="189"/>
      <c r="H967" s="189"/>
    </row>
    <row r="968" spans="2:8" ht="14.25" x14ac:dyDescent="0.2">
      <c r="B968" s="193" t="s">
        <v>594</v>
      </c>
      <c r="C968" s="194">
        <v>16</v>
      </c>
      <c r="D968" s="132"/>
      <c r="E968" s="188"/>
      <c r="F968" s="188"/>
      <c r="G968" s="195" t="s">
        <v>1696</v>
      </c>
      <c r="H968" s="189" t="s">
        <v>1506</v>
      </c>
    </row>
    <row r="969" spans="2:8" ht="14.25" x14ac:dyDescent="0.2">
      <c r="B969" s="196" t="s">
        <v>964</v>
      </c>
      <c r="C969" s="194" t="s">
        <v>418</v>
      </c>
      <c r="D969" s="132"/>
      <c r="E969" s="132"/>
      <c r="F969" s="132"/>
      <c r="G969" s="132"/>
      <c r="H969" s="132"/>
    </row>
    <row r="970" spans="2:8" ht="15" thickBot="1" x14ac:dyDescent="0.25">
      <c r="B970" s="187"/>
      <c r="C970" s="187"/>
      <c r="D970" s="189"/>
      <c r="E970" s="189"/>
      <c r="F970" s="189"/>
      <c r="G970" s="189"/>
      <c r="H970" s="189"/>
    </row>
    <row r="971" spans="2:8" ht="13.5" thickBot="1" x14ac:dyDescent="0.25">
      <c r="B971" s="264" t="s">
        <v>1695</v>
      </c>
      <c r="C971" s="265"/>
      <c r="D971" s="266"/>
      <c r="E971" s="265"/>
      <c r="F971" s="265"/>
      <c r="G971" s="265"/>
      <c r="H971" s="267"/>
    </row>
    <row r="972" spans="2:8" ht="25.5" x14ac:dyDescent="0.2">
      <c r="B972" s="197" t="s">
        <v>1409</v>
      </c>
      <c r="C972" s="268"/>
      <c r="D972" s="269" t="s">
        <v>966</v>
      </c>
      <c r="E972" s="270" t="s">
        <v>1694</v>
      </c>
      <c r="F972" s="270" t="s">
        <v>1693</v>
      </c>
      <c r="G972" s="201" t="s">
        <v>1687</v>
      </c>
      <c r="H972" s="271" t="s">
        <v>967</v>
      </c>
    </row>
    <row r="973" spans="2:8" x14ac:dyDescent="0.2">
      <c r="B973" s="208" t="s">
        <v>1468</v>
      </c>
      <c r="C973" s="209"/>
      <c r="D973" s="210">
        <v>1</v>
      </c>
      <c r="E973" s="211">
        <v>2.5</v>
      </c>
      <c r="F973" s="211">
        <f>D973*E973</f>
        <v>2.5</v>
      </c>
      <c r="G973" s="212">
        <v>1</v>
      </c>
      <c r="H973" s="213">
        <f>F973*G973</f>
        <v>2.5</v>
      </c>
    </row>
    <row r="974" spans="2:8" x14ac:dyDescent="0.2">
      <c r="B974" s="214" t="s">
        <v>1682</v>
      </c>
      <c r="C974" s="132"/>
      <c r="D974" s="215"/>
      <c r="E974" s="216" t="s">
        <v>1682</v>
      </c>
      <c r="F974" s="216" t="s">
        <v>1682</v>
      </c>
      <c r="G974" s="217"/>
      <c r="H974" s="218" t="s">
        <v>1682</v>
      </c>
    </row>
    <row r="975" spans="2:8" x14ac:dyDescent="0.2">
      <c r="B975" s="219" t="s">
        <v>1682</v>
      </c>
      <c r="C975" s="220"/>
      <c r="D975" s="221"/>
      <c r="E975" s="222" t="s">
        <v>1682</v>
      </c>
      <c r="F975" s="222" t="s">
        <v>1682</v>
      </c>
      <c r="G975" s="223"/>
      <c r="H975" s="224" t="s">
        <v>1682</v>
      </c>
    </row>
    <row r="976" spans="2:8" x14ac:dyDescent="0.2">
      <c r="B976" s="219" t="s">
        <v>968</v>
      </c>
      <c r="C976" s="220"/>
      <c r="D976" s="225"/>
      <c r="E976" s="220"/>
      <c r="F976" s="220"/>
      <c r="G976" s="226"/>
      <c r="H976" s="224">
        <f>SUM(H973:H975)</f>
        <v>2.5</v>
      </c>
    </row>
    <row r="977" spans="2:8" x14ac:dyDescent="0.2">
      <c r="B977" s="227" t="s">
        <v>1503</v>
      </c>
      <c r="C977" s="132"/>
      <c r="D977" s="188"/>
      <c r="E977" s="132"/>
      <c r="F977" s="132"/>
      <c r="G977" s="228"/>
      <c r="H977" s="218"/>
    </row>
    <row r="978" spans="2:8" ht="25.5" x14ac:dyDescent="0.2">
      <c r="B978" s="229" t="s">
        <v>1691</v>
      </c>
      <c r="C978" s="230"/>
      <c r="D978" s="231" t="s">
        <v>969</v>
      </c>
      <c r="E978" s="232" t="s">
        <v>1689</v>
      </c>
      <c r="F978" s="232" t="s">
        <v>1688</v>
      </c>
      <c r="G978" s="233" t="s">
        <v>1687</v>
      </c>
      <c r="H978" s="234" t="s">
        <v>1686</v>
      </c>
    </row>
    <row r="979" spans="2:8" x14ac:dyDescent="0.2">
      <c r="B979" s="235" t="s">
        <v>243</v>
      </c>
      <c r="C979" s="132"/>
      <c r="D979" s="236">
        <v>1</v>
      </c>
      <c r="E979" s="237">
        <v>2.13</v>
      </c>
      <c r="F979" s="216">
        <f>D979*E979</f>
        <v>2.13</v>
      </c>
      <c r="G979" s="217">
        <v>26.14</v>
      </c>
      <c r="H979" s="218">
        <f>F979*G979</f>
        <v>55.678199999999997</v>
      </c>
    </row>
    <row r="980" spans="2:8" x14ac:dyDescent="0.2">
      <c r="B980" s="235" t="s">
        <v>1488</v>
      </c>
      <c r="C980" s="132"/>
      <c r="D980" s="236">
        <v>1</v>
      </c>
      <c r="E980" s="237">
        <v>2.13</v>
      </c>
      <c r="F980" s="216">
        <f>D980*E980</f>
        <v>2.13</v>
      </c>
      <c r="G980" s="217">
        <v>17.52</v>
      </c>
      <c r="H980" s="218">
        <f>F980*G980</f>
        <v>37.317599999999999</v>
      </c>
    </row>
    <row r="981" spans="2:8" x14ac:dyDescent="0.2">
      <c r="B981" s="235" t="s">
        <v>590</v>
      </c>
      <c r="C981" s="132"/>
      <c r="D981" s="236">
        <v>1</v>
      </c>
      <c r="E981" s="237">
        <v>2.13</v>
      </c>
      <c r="F981" s="216">
        <f>D981*E981</f>
        <v>2.13</v>
      </c>
      <c r="G981" s="217">
        <v>12.96</v>
      </c>
      <c r="H981" s="218">
        <f>F981*G981</f>
        <v>27.604800000000001</v>
      </c>
    </row>
    <row r="982" spans="2:8" x14ac:dyDescent="0.2">
      <c r="B982" s="235"/>
      <c r="C982" s="132"/>
      <c r="D982" s="236"/>
      <c r="E982" s="237"/>
      <c r="F982" s="216"/>
      <c r="G982" s="217"/>
      <c r="H982" s="218"/>
    </row>
    <row r="983" spans="2:8" x14ac:dyDescent="0.2">
      <c r="B983" s="219" t="s">
        <v>1682</v>
      </c>
      <c r="C983" s="220"/>
      <c r="D983" s="221"/>
      <c r="E983" s="222" t="s">
        <v>1682</v>
      </c>
      <c r="F983" s="222" t="s">
        <v>1682</v>
      </c>
      <c r="G983" s="223"/>
      <c r="H983" s="224" t="s">
        <v>1682</v>
      </c>
    </row>
    <row r="984" spans="2:8" x14ac:dyDescent="0.2">
      <c r="B984" s="238" t="s">
        <v>1681</v>
      </c>
      <c r="C984" s="239"/>
      <c r="D984" s="240"/>
      <c r="E984" s="239"/>
      <c r="F984" s="239"/>
      <c r="G984" s="239"/>
      <c r="H984" s="241">
        <f>SUM(H979:H983)</f>
        <v>120.6006</v>
      </c>
    </row>
    <row r="985" spans="2:8" x14ac:dyDescent="0.2">
      <c r="B985" s="227" t="s">
        <v>1684</v>
      </c>
      <c r="C985" s="132"/>
      <c r="D985" s="188"/>
      <c r="E985" s="132"/>
      <c r="F985" s="132"/>
      <c r="G985" s="132"/>
      <c r="H985" s="218"/>
    </row>
    <row r="986" spans="2:8" ht="25.5" x14ac:dyDescent="0.2">
      <c r="B986" s="229" t="s">
        <v>1409</v>
      </c>
      <c r="C986" s="242"/>
      <c r="D986" s="243"/>
      <c r="E986" s="232" t="s">
        <v>1408</v>
      </c>
      <c r="F986" s="231" t="s">
        <v>1679</v>
      </c>
      <c r="G986" s="232" t="s">
        <v>1683</v>
      </c>
      <c r="H986" s="234" t="s">
        <v>1675</v>
      </c>
    </row>
    <row r="987" spans="2:8" x14ac:dyDescent="0.2">
      <c r="B987" s="244" t="s">
        <v>419</v>
      </c>
      <c r="C987" s="132"/>
      <c r="D987" s="188"/>
      <c r="E987" s="215" t="s">
        <v>1506</v>
      </c>
      <c r="F987" s="215">
        <v>4</v>
      </c>
      <c r="G987" s="216">
        <v>8.1</v>
      </c>
      <c r="H987" s="218">
        <f>F987*G987</f>
        <v>32.4</v>
      </c>
    </row>
    <row r="988" spans="2:8" x14ac:dyDescent="0.2">
      <c r="B988" s="214" t="s">
        <v>420</v>
      </c>
      <c r="C988" s="132"/>
      <c r="D988" s="188"/>
      <c r="E988" s="215" t="s">
        <v>1506</v>
      </c>
      <c r="F988" s="215">
        <v>8</v>
      </c>
      <c r="G988" s="216">
        <v>1.8</v>
      </c>
      <c r="H988" s="218">
        <f>F988*G988</f>
        <v>14.4</v>
      </c>
    </row>
    <row r="989" spans="2:8" x14ac:dyDescent="0.2">
      <c r="B989" s="214" t="s">
        <v>421</v>
      </c>
      <c r="C989" s="132"/>
      <c r="D989" s="188"/>
      <c r="E989" s="215" t="s">
        <v>1506</v>
      </c>
      <c r="F989" s="215">
        <v>8</v>
      </c>
      <c r="G989" s="216">
        <v>2.8</v>
      </c>
      <c r="H989" s="218">
        <f>F989*G989</f>
        <v>22.4</v>
      </c>
    </row>
    <row r="990" spans="2:8" x14ac:dyDescent="0.2">
      <c r="B990" s="214" t="s">
        <v>422</v>
      </c>
      <c r="C990" s="132"/>
      <c r="D990" s="188"/>
      <c r="E990" s="215" t="s">
        <v>1708</v>
      </c>
      <c r="F990" s="215">
        <v>60</v>
      </c>
      <c r="G990" s="216">
        <v>3.9</v>
      </c>
      <c r="H990" s="218">
        <f>F990*G990</f>
        <v>234</v>
      </c>
    </row>
    <row r="991" spans="2:8" x14ac:dyDescent="0.2">
      <c r="B991" s="214" t="s">
        <v>423</v>
      </c>
      <c r="C991" s="132"/>
      <c r="D991" s="188"/>
      <c r="E991" s="215" t="s">
        <v>1708</v>
      </c>
      <c r="F991" s="215">
        <v>20</v>
      </c>
      <c r="G991" s="216">
        <v>1</v>
      </c>
      <c r="H991" s="218">
        <f>F991*G991</f>
        <v>20</v>
      </c>
    </row>
    <row r="992" spans="2:8" x14ac:dyDescent="0.2">
      <c r="B992" s="214"/>
      <c r="C992" s="132"/>
      <c r="D992" s="188"/>
      <c r="E992" s="215"/>
      <c r="F992" s="215"/>
      <c r="G992" s="216"/>
      <c r="H992" s="218"/>
    </row>
    <row r="993" spans="2:8" x14ac:dyDescent="0.2">
      <c r="B993" s="214" t="s">
        <v>1682</v>
      </c>
      <c r="C993" s="132"/>
      <c r="D993" s="245" t="s">
        <v>1682</v>
      </c>
      <c r="E993" s="272" t="s">
        <v>1682</v>
      </c>
      <c r="F993" s="215" t="s">
        <v>1682</v>
      </c>
      <c r="G993" s="216" t="s">
        <v>1682</v>
      </c>
      <c r="H993" s="218" t="s">
        <v>1682</v>
      </c>
    </row>
    <row r="994" spans="2:8" x14ac:dyDescent="0.2">
      <c r="B994" s="238" t="s">
        <v>1692</v>
      </c>
      <c r="C994" s="239"/>
      <c r="D994" s="240"/>
      <c r="E994" s="240"/>
      <c r="F994" s="240"/>
      <c r="G994" s="239"/>
      <c r="H994" s="241">
        <f>SUM(H987:H993)</f>
        <v>323.2</v>
      </c>
    </row>
    <row r="995" spans="2:8" x14ac:dyDescent="0.2">
      <c r="B995" s="227" t="s">
        <v>1680</v>
      </c>
      <c r="C995" s="132"/>
      <c r="D995" s="188"/>
      <c r="E995" s="132"/>
      <c r="F995" s="188"/>
      <c r="G995" s="132"/>
      <c r="H995" s="218"/>
    </row>
    <row r="996" spans="2:8" ht="25.5" x14ac:dyDescent="0.2">
      <c r="B996" s="229" t="s">
        <v>1409</v>
      </c>
      <c r="C996" s="242"/>
      <c r="D996" s="243"/>
      <c r="E996" s="232" t="s">
        <v>1408</v>
      </c>
      <c r="F996" s="231" t="s">
        <v>1679</v>
      </c>
      <c r="G996" s="232" t="s">
        <v>1676</v>
      </c>
      <c r="H996" s="234" t="s">
        <v>1675</v>
      </c>
    </row>
    <row r="997" spans="2:8" x14ac:dyDescent="0.2">
      <c r="B997" s="208" t="s">
        <v>975</v>
      </c>
      <c r="C997" s="209"/>
      <c r="D997" s="246"/>
      <c r="E997" s="215" t="s">
        <v>976</v>
      </c>
      <c r="F997" s="215">
        <v>1</v>
      </c>
      <c r="G997" s="247">
        <v>5</v>
      </c>
      <c r="H997" s="218">
        <f>F997*G997</f>
        <v>5</v>
      </c>
    </row>
    <row r="998" spans="2:8" x14ac:dyDescent="0.2">
      <c r="B998" s="214"/>
      <c r="C998" s="132"/>
      <c r="D998" s="248"/>
      <c r="E998" s="215"/>
      <c r="F998" s="215"/>
      <c r="G998" s="247"/>
      <c r="H998" s="218"/>
    </row>
    <row r="999" spans="2:8" x14ac:dyDescent="0.2">
      <c r="B999" s="219" t="s">
        <v>1682</v>
      </c>
      <c r="C999" s="220"/>
      <c r="D999" s="249"/>
      <c r="E999" s="221" t="s">
        <v>1682</v>
      </c>
      <c r="F999" s="221"/>
      <c r="G999" s="222" t="s">
        <v>1682</v>
      </c>
      <c r="H999" s="224" t="s">
        <v>1682</v>
      </c>
    </row>
    <row r="1000" spans="2:8" ht="13.5" thickBot="1" x14ac:dyDescent="0.25">
      <c r="B1000" s="250" t="s">
        <v>977</v>
      </c>
      <c r="C1000" s="251"/>
      <c r="D1000" s="252"/>
      <c r="E1000" s="252"/>
      <c r="F1000" s="252"/>
      <c r="G1000" s="251"/>
      <c r="H1000" s="253">
        <f>SUM(H997:H999)</f>
        <v>5</v>
      </c>
    </row>
    <row r="1001" spans="2:8" x14ac:dyDescent="0.2">
      <c r="B1001" s="132"/>
      <c r="C1001" s="132"/>
      <c r="D1001" s="254"/>
      <c r="E1001" s="198"/>
      <c r="F1001" s="198"/>
      <c r="G1001" s="255" t="s">
        <v>978</v>
      </c>
      <c r="H1001" s="256">
        <f>H976+H984+H994+H1000</f>
        <v>451.30059999999997</v>
      </c>
    </row>
    <row r="1002" spans="2:8" x14ac:dyDescent="0.2">
      <c r="B1002" s="132"/>
      <c r="C1002" s="132"/>
      <c r="D1002" s="257"/>
      <c r="E1002" s="239"/>
      <c r="F1002" s="239"/>
      <c r="G1002" s="258" t="s">
        <v>979</v>
      </c>
      <c r="H1002" s="241"/>
    </row>
    <row r="1003" spans="2:8" x14ac:dyDescent="0.2">
      <c r="B1003" s="132"/>
      <c r="C1003" s="132"/>
      <c r="D1003" s="257"/>
      <c r="E1003" s="239"/>
      <c r="F1003" s="239"/>
      <c r="G1003" s="258" t="s">
        <v>980</v>
      </c>
      <c r="H1003" s="241"/>
    </row>
    <row r="1004" spans="2:8" x14ac:dyDescent="0.2">
      <c r="B1004" s="132"/>
      <c r="C1004" s="132"/>
      <c r="D1004" s="257"/>
      <c r="E1004" s="239"/>
      <c r="F1004" s="239"/>
      <c r="G1004" s="259" t="s">
        <v>1670</v>
      </c>
      <c r="H1004" s="260"/>
    </row>
    <row r="1005" spans="2:8" ht="13.5" thickBot="1" x14ac:dyDescent="0.25">
      <c r="B1005" s="193"/>
      <c r="C1005" s="132"/>
      <c r="D1005" s="261"/>
      <c r="E1005" s="251"/>
      <c r="F1005" s="251"/>
      <c r="G1005" s="262" t="s">
        <v>1650</v>
      </c>
      <c r="H1005" s="263"/>
    </row>
    <row r="1006" spans="2:8" ht="15.75" x14ac:dyDescent="0.2">
      <c r="B1006" s="186" t="s">
        <v>1701</v>
      </c>
      <c r="C1006" s="132"/>
      <c r="D1006" s="189" t="s">
        <v>742</v>
      </c>
      <c r="E1006" s="132"/>
      <c r="F1006" s="132"/>
      <c r="G1006" s="188"/>
      <c r="H1006" s="132"/>
    </row>
    <row r="1007" spans="2:8" ht="15.75" x14ac:dyDescent="0.2">
      <c r="B1007" s="186" t="s">
        <v>1700</v>
      </c>
      <c r="C1007" s="189" t="s">
        <v>963</v>
      </c>
      <c r="D1007" s="132"/>
      <c r="E1007" s="132"/>
      <c r="F1007" s="132"/>
      <c r="G1007" s="190"/>
      <c r="H1007" s="191"/>
    </row>
    <row r="1008" spans="2:8" ht="14.25" x14ac:dyDescent="0.2">
      <c r="B1008" s="189"/>
      <c r="C1008" s="189"/>
      <c r="D1008" s="189"/>
      <c r="E1008" s="189"/>
      <c r="F1008" s="189"/>
      <c r="G1008" s="189"/>
      <c r="H1008" s="189"/>
    </row>
    <row r="1009" spans="2:8" ht="15.75" x14ac:dyDescent="0.2">
      <c r="B1009" s="186" t="s">
        <v>1697</v>
      </c>
      <c r="C1009" s="189"/>
      <c r="D1009" s="132"/>
      <c r="E1009" s="132"/>
      <c r="F1009" s="132"/>
      <c r="G1009" s="132"/>
      <c r="H1009" s="132"/>
    </row>
    <row r="1010" spans="2:8" ht="15" x14ac:dyDescent="0.2">
      <c r="B1010" s="192"/>
      <c r="C1010" s="189"/>
      <c r="D1010" s="189"/>
      <c r="E1010" s="189"/>
      <c r="F1010" s="189"/>
      <c r="G1010" s="189"/>
      <c r="H1010" s="189"/>
    </row>
    <row r="1011" spans="2:8" ht="14.25" x14ac:dyDescent="0.2">
      <c r="B1011" s="193" t="s">
        <v>594</v>
      </c>
      <c r="C1011" s="194" t="s">
        <v>424</v>
      </c>
      <c r="D1011" s="132"/>
      <c r="E1011" s="188"/>
      <c r="F1011" s="188"/>
      <c r="G1011" s="195" t="s">
        <v>1696</v>
      </c>
      <c r="H1011" s="189" t="s">
        <v>1506</v>
      </c>
    </row>
    <row r="1012" spans="2:8" ht="14.25" x14ac:dyDescent="0.2">
      <c r="B1012" s="196" t="s">
        <v>964</v>
      </c>
      <c r="C1012" s="194" t="s">
        <v>425</v>
      </c>
      <c r="D1012" s="132"/>
      <c r="E1012" s="132"/>
      <c r="F1012" s="132"/>
      <c r="G1012" s="132"/>
      <c r="H1012" s="132"/>
    </row>
    <row r="1013" spans="2:8" ht="15" thickBot="1" x14ac:dyDescent="0.25">
      <c r="B1013" s="187"/>
      <c r="C1013" s="187"/>
      <c r="D1013" s="189"/>
      <c r="E1013" s="189"/>
      <c r="F1013" s="189"/>
      <c r="G1013" s="189"/>
      <c r="H1013" s="189"/>
    </row>
    <row r="1014" spans="2:8" ht="13.5" thickBot="1" x14ac:dyDescent="0.25">
      <c r="B1014" s="264" t="s">
        <v>1695</v>
      </c>
      <c r="C1014" s="265"/>
      <c r="D1014" s="266"/>
      <c r="E1014" s="265"/>
      <c r="F1014" s="265"/>
      <c r="G1014" s="265"/>
      <c r="H1014" s="267"/>
    </row>
    <row r="1015" spans="2:8" ht="25.5" x14ac:dyDescent="0.2">
      <c r="B1015" s="197" t="s">
        <v>1409</v>
      </c>
      <c r="C1015" s="268"/>
      <c r="D1015" s="269" t="s">
        <v>966</v>
      </c>
      <c r="E1015" s="270" t="s">
        <v>1694</v>
      </c>
      <c r="F1015" s="270" t="s">
        <v>1693</v>
      </c>
      <c r="G1015" s="201" t="s">
        <v>1687</v>
      </c>
      <c r="H1015" s="271" t="s">
        <v>967</v>
      </c>
    </row>
    <row r="1016" spans="2:8" x14ac:dyDescent="0.2">
      <c r="B1016" s="208" t="s">
        <v>1468</v>
      </c>
      <c r="C1016" s="209"/>
      <c r="D1016" s="210">
        <v>1</v>
      </c>
      <c r="E1016" s="211">
        <v>2.5</v>
      </c>
      <c r="F1016" s="211">
        <f>D1016*E1016</f>
        <v>2.5</v>
      </c>
      <c r="G1016" s="212">
        <v>1</v>
      </c>
      <c r="H1016" s="213">
        <f>F1016*G1016</f>
        <v>2.5</v>
      </c>
    </row>
    <row r="1017" spans="2:8" x14ac:dyDescent="0.2">
      <c r="B1017" s="214" t="s">
        <v>1682</v>
      </c>
      <c r="C1017" s="132"/>
      <c r="D1017" s="215"/>
      <c r="E1017" s="216" t="s">
        <v>1682</v>
      </c>
      <c r="F1017" s="216" t="s">
        <v>1682</v>
      </c>
      <c r="G1017" s="217"/>
      <c r="H1017" s="218" t="s">
        <v>1682</v>
      </c>
    </row>
    <row r="1018" spans="2:8" x14ac:dyDescent="0.2">
      <c r="B1018" s="219" t="s">
        <v>1682</v>
      </c>
      <c r="C1018" s="220"/>
      <c r="D1018" s="221"/>
      <c r="E1018" s="222" t="s">
        <v>1682</v>
      </c>
      <c r="F1018" s="222" t="s">
        <v>1682</v>
      </c>
      <c r="G1018" s="223"/>
      <c r="H1018" s="224" t="s">
        <v>1682</v>
      </c>
    </row>
    <row r="1019" spans="2:8" x14ac:dyDescent="0.2">
      <c r="B1019" s="219" t="s">
        <v>968</v>
      </c>
      <c r="C1019" s="220"/>
      <c r="D1019" s="225"/>
      <c r="E1019" s="220"/>
      <c r="F1019" s="220"/>
      <c r="G1019" s="226"/>
      <c r="H1019" s="224">
        <f>SUM(H1016:H1018)</f>
        <v>2.5</v>
      </c>
    </row>
    <row r="1020" spans="2:8" x14ac:dyDescent="0.2">
      <c r="B1020" s="227" t="s">
        <v>1503</v>
      </c>
      <c r="C1020" s="132"/>
      <c r="D1020" s="188"/>
      <c r="E1020" s="132"/>
      <c r="F1020" s="132"/>
      <c r="G1020" s="228"/>
      <c r="H1020" s="218"/>
    </row>
    <row r="1021" spans="2:8" ht="25.5" x14ac:dyDescent="0.2">
      <c r="B1021" s="229" t="s">
        <v>1691</v>
      </c>
      <c r="C1021" s="230"/>
      <c r="D1021" s="231" t="s">
        <v>969</v>
      </c>
      <c r="E1021" s="232" t="s">
        <v>1689</v>
      </c>
      <c r="F1021" s="232" t="s">
        <v>1688</v>
      </c>
      <c r="G1021" s="233" t="s">
        <v>1687</v>
      </c>
      <c r="H1021" s="234" t="s">
        <v>1686</v>
      </c>
    </row>
    <row r="1022" spans="2:8" x14ac:dyDescent="0.2">
      <c r="B1022" s="235" t="s">
        <v>243</v>
      </c>
      <c r="C1022" s="132"/>
      <c r="D1022" s="236">
        <v>1</v>
      </c>
      <c r="E1022" s="237">
        <v>2.13</v>
      </c>
      <c r="F1022" s="216">
        <f>D1022*E1022</f>
        <v>2.13</v>
      </c>
      <c r="G1022" s="217">
        <v>26.14</v>
      </c>
      <c r="H1022" s="218">
        <f>F1022*G1022</f>
        <v>55.678199999999997</v>
      </c>
    </row>
    <row r="1023" spans="2:8" x14ac:dyDescent="0.2">
      <c r="B1023" s="235" t="s">
        <v>1488</v>
      </c>
      <c r="C1023" s="132"/>
      <c r="D1023" s="236">
        <v>1</v>
      </c>
      <c r="E1023" s="237">
        <v>2.13</v>
      </c>
      <c r="F1023" s="216">
        <f>D1023*E1023</f>
        <v>2.13</v>
      </c>
      <c r="G1023" s="217">
        <v>17.52</v>
      </c>
      <c r="H1023" s="218">
        <f>F1023*G1023</f>
        <v>37.317599999999999</v>
      </c>
    </row>
    <row r="1024" spans="2:8" x14ac:dyDescent="0.2">
      <c r="B1024" s="235" t="s">
        <v>590</v>
      </c>
      <c r="C1024" s="132"/>
      <c r="D1024" s="236">
        <v>1</v>
      </c>
      <c r="E1024" s="237">
        <v>2.13</v>
      </c>
      <c r="F1024" s="216">
        <f>D1024*E1024</f>
        <v>2.13</v>
      </c>
      <c r="G1024" s="217">
        <v>12.96</v>
      </c>
      <c r="H1024" s="218">
        <f>F1024*G1024</f>
        <v>27.604800000000001</v>
      </c>
    </row>
    <row r="1025" spans="2:8" x14ac:dyDescent="0.2">
      <c r="B1025" s="235"/>
      <c r="C1025" s="132"/>
      <c r="D1025" s="236"/>
      <c r="E1025" s="237"/>
      <c r="F1025" s="216"/>
      <c r="G1025" s="217"/>
      <c r="H1025" s="218"/>
    </row>
    <row r="1026" spans="2:8" x14ac:dyDescent="0.2">
      <c r="B1026" s="219" t="s">
        <v>1682</v>
      </c>
      <c r="C1026" s="220"/>
      <c r="D1026" s="221"/>
      <c r="E1026" s="222" t="s">
        <v>1682</v>
      </c>
      <c r="F1026" s="222" t="s">
        <v>1682</v>
      </c>
      <c r="G1026" s="223"/>
      <c r="H1026" s="224" t="s">
        <v>1682</v>
      </c>
    </row>
    <row r="1027" spans="2:8" x14ac:dyDescent="0.2">
      <c r="B1027" s="238" t="s">
        <v>1681</v>
      </c>
      <c r="C1027" s="239"/>
      <c r="D1027" s="240"/>
      <c r="E1027" s="239"/>
      <c r="F1027" s="239"/>
      <c r="G1027" s="239"/>
      <c r="H1027" s="241">
        <f>SUM(H1022:H1026)</f>
        <v>120.6006</v>
      </c>
    </row>
    <row r="1028" spans="2:8" x14ac:dyDescent="0.2">
      <c r="B1028" s="227" t="s">
        <v>1684</v>
      </c>
      <c r="C1028" s="132"/>
      <c r="D1028" s="188"/>
      <c r="E1028" s="132"/>
      <c r="F1028" s="132"/>
      <c r="G1028" s="132"/>
      <c r="H1028" s="218"/>
    </row>
    <row r="1029" spans="2:8" ht="25.5" x14ac:dyDescent="0.2">
      <c r="B1029" s="229" t="s">
        <v>1409</v>
      </c>
      <c r="C1029" s="242"/>
      <c r="D1029" s="243"/>
      <c r="E1029" s="232" t="s">
        <v>1408</v>
      </c>
      <c r="F1029" s="231" t="s">
        <v>1679</v>
      </c>
      <c r="G1029" s="232" t="s">
        <v>1683</v>
      </c>
      <c r="H1029" s="234" t="s">
        <v>1675</v>
      </c>
    </row>
    <row r="1030" spans="2:8" x14ac:dyDescent="0.2">
      <c r="B1030" s="244" t="s">
        <v>419</v>
      </c>
      <c r="C1030" s="132"/>
      <c r="D1030" s="188"/>
      <c r="E1030" s="215" t="s">
        <v>1506</v>
      </c>
      <c r="F1030" s="215">
        <v>4</v>
      </c>
      <c r="G1030" s="216">
        <v>8.1</v>
      </c>
      <c r="H1030" s="218">
        <f>F1030*G1030</f>
        <v>32.4</v>
      </c>
    </row>
    <row r="1031" spans="2:8" x14ac:dyDescent="0.2">
      <c r="B1031" s="214" t="s">
        <v>420</v>
      </c>
      <c r="C1031" s="132"/>
      <c r="D1031" s="188"/>
      <c r="E1031" s="215" t="s">
        <v>1506</v>
      </c>
      <c r="F1031" s="215">
        <v>8</v>
      </c>
      <c r="G1031" s="216">
        <v>1.8</v>
      </c>
      <c r="H1031" s="218">
        <f>F1031*G1031</f>
        <v>14.4</v>
      </c>
    </row>
    <row r="1032" spans="2:8" x14ac:dyDescent="0.2">
      <c r="B1032" s="214" t="s">
        <v>421</v>
      </c>
      <c r="C1032" s="132"/>
      <c r="D1032" s="188"/>
      <c r="E1032" s="215" t="s">
        <v>1506</v>
      </c>
      <c r="F1032" s="215">
        <v>8</v>
      </c>
      <c r="G1032" s="216">
        <v>2.8</v>
      </c>
      <c r="H1032" s="218">
        <f>F1032*G1032</f>
        <v>22.4</v>
      </c>
    </row>
    <row r="1033" spans="2:8" x14ac:dyDescent="0.2">
      <c r="B1033" s="214" t="s">
        <v>422</v>
      </c>
      <c r="C1033" s="132"/>
      <c r="D1033" s="188"/>
      <c r="E1033" s="215" t="s">
        <v>1708</v>
      </c>
      <c r="F1033" s="215">
        <v>60</v>
      </c>
      <c r="G1033" s="216">
        <v>3.9</v>
      </c>
      <c r="H1033" s="218">
        <f>F1033*G1033</f>
        <v>234</v>
      </c>
    </row>
    <row r="1034" spans="2:8" x14ac:dyDescent="0.2">
      <c r="B1034" s="214" t="s">
        <v>426</v>
      </c>
      <c r="C1034" s="132"/>
      <c r="D1034" s="188"/>
      <c r="E1034" s="215" t="s">
        <v>1708</v>
      </c>
      <c r="F1034" s="215">
        <v>20</v>
      </c>
      <c r="G1034" s="216">
        <v>2.13</v>
      </c>
      <c r="H1034" s="218">
        <f>F1034*G1034</f>
        <v>42.599999999999994</v>
      </c>
    </row>
    <row r="1035" spans="2:8" x14ac:dyDescent="0.2">
      <c r="B1035" s="214"/>
      <c r="C1035" s="132"/>
      <c r="D1035" s="188"/>
      <c r="E1035" s="215"/>
      <c r="F1035" s="215"/>
      <c r="G1035" s="216"/>
      <c r="H1035" s="218"/>
    </row>
    <row r="1036" spans="2:8" x14ac:dyDescent="0.2">
      <c r="B1036" s="214" t="s">
        <v>1682</v>
      </c>
      <c r="C1036" s="132"/>
      <c r="D1036" s="245" t="s">
        <v>1682</v>
      </c>
      <c r="E1036" s="272" t="s">
        <v>1682</v>
      </c>
      <c r="F1036" s="215" t="s">
        <v>1682</v>
      </c>
      <c r="G1036" s="216" t="s">
        <v>1682</v>
      </c>
      <c r="H1036" s="218" t="s">
        <v>1682</v>
      </c>
    </row>
    <row r="1037" spans="2:8" x14ac:dyDescent="0.2">
      <c r="B1037" s="238" t="s">
        <v>1692</v>
      </c>
      <c r="C1037" s="239"/>
      <c r="D1037" s="240"/>
      <c r="E1037" s="240"/>
      <c r="F1037" s="240"/>
      <c r="G1037" s="239"/>
      <c r="H1037" s="241">
        <f>SUM(H1030:H1036)</f>
        <v>345.79999999999995</v>
      </c>
    </row>
    <row r="1038" spans="2:8" x14ac:dyDescent="0.2">
      <c r="B1038" s="227" t="s">
        <v>1680</v>
      </c>
      <c r="C1038" s="132"/>
      <c r="D1038" s="188"/>
      <c r="E1038" s="132"/>
      <c r="F1038" s="188"/>
      <c r="G1038" s="132"/>
      <c r="H1038" s="218"/>
    </row>
    <row r="1039" spans="2:8" ht="25.5" x14ac:dyDescent="0.2">
      <c r="B1039" s="229" t="s">
        <v>1409</v>
      </c>
      <c r="C1039" s="242"/>
      <c r="D1039" s="243"/>
      <c r="E1039" s="232" t="s">
        <v>1408</v>
      </c>
      <c r="F1039" s="231" t="s">
        <v>1679</v>
      </c>
      <c r="G1039" s="232" t="s">
        <v>1676</v>
      </c>
      <c r="H1039" s="234" t="s">
        <v>1675</v>
      </c>
    </row>
    <row r="1040" spans="2:8" x14ac:dyDescent="0.2">
      <c r="B1040" s="208" t="s">
        <v>975</v>
      </c>
      <c r="C1040" s="209"/>
      <c r="D1040" s="246"/>
      <c r="E1040" s="215" t="s">
        <v>976</v>
      </c>
      <c r="F1040" s="215">
        <v>1</v>
      </c>
      <c r="G1040" s="247">
        <v>5</v>
      </c>
      <c r="H1040" s="218">
        <f>F1040*G1040</f>
        <v>5</v>
      </c>
    </row>
    <row r="1041" spans="2:8" x14ac:dyDescent="0.2">
      <c r="B1041" s="214"/>
      <c r="C1041" s="132"/>
      <c r="D1041" s="248"/>
      <c r="E1041" s="215"/>
      <c r="F1041" s="215"/>
      <c r="G1041" s="247"/>
      <c r="H1041" s="218"/>
    </row>
    <row r="1042" spans="2:8" x14ac:dyDescent="0.2">
      <c r="B1042" s="219" t="s">
        <v>1682</v>
      </c>
      <c r="C1042" s="220"/>
      <c r="D1042" s="249"/>
      <c r="E1042" s="221" t="s">
        <v>1682</v>
      </c>
      <c r="F1042" s="221"/>
      <c r="G1042" s="222" t="s">
        <v>1682</v>
      </c>
      <c r="H1042" s="224" t="s">
        <v>1682</v>
      </c>
    </row>
    <row r="1043" spans="2:8" ht="13.5" thickBot="1" x14ac:dyDescent="0.25">
      <c r="B1043" s="250" t="s">
        <v>977</v>
      </c>
      <c r="C1043" s="251"/>
      <c r="D1043" s="252"/>
      <c r="E1043" s="252"/>
      <c r="F1043" s="252"/>
      <c r="G1043" s="251"/>
      <c r="H1043" s="253">
        <f>SUM(H1040:H1042)</f>
        <v>5</v>
      </c>
    </row>
    <row r="1044" spans="2:8" x14ac:dyDescent="0.2">
      <c r="B1044" s="132"/>
      <c r="C1044" s="132"/>
      <c r="D1044" s="254"/>
      <c r="E1044" s="198"/>
      <c r="F1044" s="198"/>
      <c r="G1044" s="255" t="s">
        <v>978</v>
      </c>
      <c r="H1044" s="256">
        <f>H1019+H1027+H1037+H1043</f>
        <v>473.90059999999994</v>
      </c>
    </row>
    <row r="1045" spans="2:8" x14ac:dyDescent="0.2">
      <c r="B1045" s="132"/>
      <c r="C1045" s="132"/>
      <c r="D1045" s="257"/>
      <c r="E1045" s="239"/>
      <c r="F1045" s="239"/>
      <c r="G1045" s="258" t="s">
        <v>979</v>
      </c>
      <c r="H1045" s="241"/>
    </row>
    <row r="1046" spans="2:8" x14ac:dyDescent="0.2">
      <c r="B1046" s="132"/>
      <c r="C1046" s="132"/>
      <c r="D1046" s="257"/>
      <c r="E1046" s="239"/>
      <c r="F1046" s="239"/>
      <c r="G1046" s="258" t="s">
        <v>980</v>
      </c>
      <c r="H1046" s="241"/>
    </row>
    <row r="1047" spans="2:8" x14ac:dyDescent="0.2">
      <c r="B1047" s="132"/>
      <c r="C1047" s="132"/>
      <c r="D1047" s="257"/>
      <c r="E1047" s="239"/>
      <c r="F1047" s="239"/>
      <c r="G1047" s="259" t="s">
        <v>1670</v>
      </c>
      <c r="H1047" s="260"/>
    </row>
    <row r="1048" spans="2:8" ht="13.5" thickBot="1" x14ac:dyDescent="0.25">
      <c r="B1048" s="193"/>
      <c r="C1048" s="132"/>
      <c r="D1048" s="261"/>
      <c r="E1048" s="251"/>
      <c r="F1048" s="251"/>
      <c r="G1048" s="262" t="s">
        <v>1650</v>
      </c>
      <c r="H1048" s="263"/>
    </row>
    <row r="1049" spans="2:8" ht="15.75" x14ac:dyDescent="0.2">
      <c r="B1049" s="186" t="s">
        <v>1701</v>
      </c>
      <c r="C1049" s="132"/>
      <c r="D1049" s="189" t="s">
        <v>742</v>
      </c>
      <c r="E1049" s="132"/>
      <c r="F1049" s="132"/>
      <c r="G1049" s="188"/>
      <c r="H1049" s="132"/>
    </row>
    <row r="1050" spans="2:8" ht="15.75" x14ac:dyDescent="0.2">
      <c r="B1050" s="186" t="s">
        <v>1700</v>
      </c>
      <c r="C1050" s="189" t="s">
        <v>963</v>
      </c>
      <c r="D1050" s="132"/>
      <c r="E1050" s="132"/>
      <c r="F1050" s="132"/>
      <c r="G1050" s="190"/>
      <c r="H1050" s="191"/>
    </row>
    <row r="1051" spans="2:8" ht="14.25" x14ac:dyDescent="0.2">
      <c r="B1051" s="189"/>
      <c r="C1051" s="189"/>
      <c r="D1051" s="189"/>
      <c r="E1051" s="189"/>
      <c r="F1051" s="189"/>
      <c r="G1051" s="189"/>
      <c r="H1051" s="189"/>
    </row>
    <row r="1052" spans="2:8" ht="15.75" x14ac:dyDescent="0.2">
      <c r="B1052" s="186" t="s">
        <v>1697</v>
      </c>
      <c r="C1052" s="189"/>
      <c r="D1052" s="132"/>
      <c r="E1052" s="132"/>
      <c r="F1052" s="132"/>
      <c r="G1052" s="132"/>
      <c r="H1052" s="132"/>
    </row>
    <row r="1053" spans="2:8" ht="15" x14ac:dyDescent="0.2">
      <c r="B1053" s="192"/>
      <c r="C1053" s="189"/>
      <c r="D1053" s="189"/>
      <c r="E1053" s="189"/>
      <c r="F1053" s="189"/>
      <c r="G1053" s="189"/>
      <c r="H1053" s="189"/>
    </row>
    <row r="1054" spans="2:8" ht="14.25" x14ac:dyDescent="0.2">
      <c r="B1054" s="193" t="s">
        <v>594</v>
      </c>
      <c r="C1054" s="194" t="s">
        <v>427</v>
      </c>
      <c r="D1054" s="132"/>
      <c r="E1054" s="188"/>
      <c r="F1054" s="188"/>
      <c r="G1054" s="195" t="s">
        <v>1696</v>
      </c>
      <c r="H1054" s="189" t="s">
        <v>1506</v>
      </c>
    </row>
    <row r="1055" spans="2:8" ht="14.25" x14ac:dyDescent="0.2">
      <c r="B1055" s="196" t="s">
        <v>964</v>
      </c>
      <c r="C1055" s="194" t="s">
        <v>428</v>
      </c>
      <c r="D1055" s="132"/>
      <c r="E1055" s="132"/>
      <c r="F1055" s="132"/>
      <c r="G1055" s="132"/>
      <c r="H1055" s="132"/>
    </row>
    <row r="1056" spans="2:8" ht="15" thickBot="1" x14ac:dyDescent="0.25">
      <c r="B1056" s="187"/>
      <c r="C1056" s="187"/>
      <c r="D1056" s="189"/>
      <c r="E1056" s="189"/>
      <c r="F1056" s="189"/>
      <c r="G1056" s="189"/>
      <c r="H1056" s="189"/>
    </row>
    <row r="1057" spans="2:8" ht="13.5" thickBot="1" x14ac:dyDescent="0.25">
      <c r="B1057" s="264" t="s">
        <v>1695</v>
      </c>
      <c r="C1057" s="265"/>
      <c r="D1057" s="266"/>
      <c r="E1057" s="265"/>
      <c r="F1057" s="265"/>
      <c r="G1057" s="265"/>
      <c r="H1057" s="267"/>
    </row>
    <row r="1058" spans="2:8" ht="25.5" x14ac:dyDescent="0.2">
      <c r="B1058" s="197" t="s">
        <v>1409</v>
      </c>
      <c r="C1058" s="268"/>
      <c r="D1058" s="269" t="s">
        <v>966</v>
      </c>
      <c r="E1058" s="270" t="s">
        <v>1694</v>
      </c>
      <c r="F1058" s="270" t="s">
        <v>1693</v>
      </c>
      <c r="G1058" s="201" t="s">
        <v>1687</v>
      </c>
      <c r="H1058" s="271" t="s">
        <v>967</v>
      </c>
    </row>
    <row r="1059" spans="2:8" x14ac:dyDescent="0.2">
      <c r="B1059" s="208" t="s">
        <v>1468</v>
      </c>
      <c r="C1059" s="209"/>
      <c r="D1059" s="210">
        <v>1</v>
      </c>
      <c r="E1059" s="211">
        <v>2.5</v>
      </c>
      <c r="F1059" s="211">
        <f>D1059*E1059</f>
        <v>2.5</v>
      </c>
      <c r="G1059" s="212">
        <v>0.6</v>
      </c>
      <c r="H1059" s="213">
        <f>F1059*G1059</f>
        <v>1.5</v>
      </c>
    </row>
    <row r="1060" spans="2:8" x14ac:dyDescent="0.2">
      <c r="B1060" s="214" t="s">
        <v>1682</v>
      </c>
      <c r="C1060" s="132"/>
      <c r="D1060" s="215"/>
      <c r="E1060" s="216" t="s">
        <v>1682</v>
      </c>
      <c r="F1060" s="216" t="s">
        <v>1682</v>
      </c>
      <c r="G1060" s="217"/>
      <c r="H1060" s="218" t="s">
        <v>1682</v>
      </c>
    </row>
    <row r="1061" spans="2:8" x14ac:dyDescent="0.2">
      <c r="B1061" s="219" t="s">
        <v>1682</v>
      </c>
      <c r="C1061" s="220"/>
      <c r="D1061" s="221"/>
      <c r="E1061" s="222" t="s">
        <v>1682</v>
      </c>
      <c r="F1061" s="222" t="s">
        <v>1682</v>
      </c>
      <c r="G1061" s="223"/>
      <c r="H1061" s="224" t="s">
        <v>1682</v>
      </c>
    </row>
    <row r="1062" spans="2:8" x14ac:dyDescent="0.2">
      <c r="B1062" s="219" t="s">
        <v>968</v>
      </c>
      <c r="C1062" s="220"/>
      <c r="D1062" s="225"/>
      <c r="E1062" s="220"/>
      <c r="F1062" s="220"/>
      <c r="G1062" s="226"/>
      <c r="H1062" s="224">
        <f>SUM(H1059:H1061)</f>
        <v>1.5</v>
      </c>
    </row>
    <row r="1063" spans="2:8" x14ac:dyDescent="0.2">
      <c r="B1063" s="227" t="s">
        <v>1503</v>
      </c>
      <c r="C1063" s="132"/>
      <c r="D1063" s="188"/>
      <c r="E1063" s="132"/>
      <c r="F1063" s="132"/>
      <c r="G1063" s="228"/>
      <c r="H1063" s="218"/>
    </row>
    <row r="1064" spans="2:8" ht="25.5" x14ac:dyDescent="0.2">
      <c r="B1064" s="229" t="s">
        <v>1691</v>
      </c>
      <c r="C1064" s="230"/>
      <c r="D1064" s="231" t="s">
        <v>969</v>
      </c>
      <c r="E1064" s="232" t="s">
        <v>1689</v>
      </c>
      <c r="F1064" s="232" t="s">
        <v>1688</v>
      </c>
      <c r="G1064" s="233" t="s">
        <v>1687</v>
      </c>
      <c r="H1064" s="234" t="s">
        <v>1686</v>
      </c>
    </row>
    <row r="1065" spans="2:8" x14ac:dyDescent="0.2">
      <c r="B1065" s="235" t="s">
        <v>243</v>
      </c>
      <c r="C1065" s="132"/>
      <c r="D1065" s="236">
        <v>1</v>
      </c>
      <c r="E1065" s="237">
        <v>2.13</v>
      </c>
      <c r="F1065" s="216">
        <f>D1065*E1065</f>
        <v>2.13</v>
      </c>
      <c r="G1065" s="217">
        <v>11.19</v>
      </c>
      <c r="H1065" s="218">
        <v>23.83</v>
      </c>
    </row>
    <row r="1066" spans="2:8" x14ac:dyDescent="0.2">
      <c r="B1066" s="235" t="s">
        <v>1488</v>
      </c>
      <c r="C1066" s="132"/>
      <c r="D1066" s="236">
        <v>1</v>
      </c>
      <c r="E1066" s="237">
        <v>2.13</v>
      </c>
      <c r="F1066" s="216">
        <f>D1066*E1066</f>
        <v>2.13</v>
      </c>
      <c r="G1066" s="217">
        <v>8.35</v>
      </c>
      <c r="H1066" s="218">
        <v>17.78</v>
      </c>
    </row>
    <row r="1067" spans="2:8" x14ac:dyDescent="0.2">
      <c r="B1067" s="235" t="s">
        <v>590</v>
      </c>
      <c r="C1067" s="132"/>
      <c r="D1067" s="236">
        <v>1</v>
      </c>
      <c r="E1067" s="237">
        <v>2.13</v>
      </c>
      <c r="F1067" s="216">
        <f>D1067*E1067</f>
        <v>2.13</v>
      </c>
      <c r="G1067" s="217">
        <v>5.97</v>
      </c>
      <c r="H1067" s="218">
        <v>12.72</v>
      </c>
    </row>
    <row r="1068" spans="2:8" x14ac:dyDescent="0.2">
      <c r="B1068" s="235"/>
      <c r="C1068" s="132"/>
      <c r="D1068" s="236"/>
      <c r="E1068" s="237"/>
      <c r="F1068" s="216"/>
      <c r="G1068" s="217"/>
      <c r="H1068" s="218"/>
    </row>
    <row r="1069" spans="2:8" x14ac:dyDescent="0.2">
      <c r="B1069" s="219" t="s">
        <v>1682</v>
      </c>
      <c r="C1069" s="220"/>
      <c r="D1069" s="221"/>
      <c r="E1069" s="222" t="s">
        <v>1682</v>
      </c>
      <c r="F1069" s="222" t="s">
        <v>1682</v>
      </c>
      <c r="G1069" s="223"/>
      <c r="H1069" s="224" t="s">
        <v>1682</v>
      </c>
    </row>
    <row r="1070" spans="2:8" x14ac:dyDescent="0.2">
      <c r="B1070" s="238" t="s">
        <v>1681</v>
      </c>
      <c r="C1070" s="239"/>
      <c r="D1070" s="240"/>
      <c r="E1070" s="239"/>
      <c r="F1070" s="239"/>
      <c r="G1070" s="239"/>
      <c r="H1070" s="241">
        <f>SUM(H1065:H1069)</f>
        <v>54.33</v>
      </c>
    </row>
    <row r="1071" spans="2:8" x14ac:dyDescent="0.2">
      <c r="B1071" s="227" t="s">
        <v>1684</v>
      </c>
      <c r="C1071" s="132"/>
      <c r="D1071" s="188"/>
      <c r="E1071" s="132"/>
      <c r="F1071" s="132"/>
      <c r="G1071" s="132"/>
      <c r="H1071" s="218"/>
    </row>
    <row r="1072" spans="2:8" ht="25.5" x14ac:dyDescent="0.2">
      <c r="B1072" s="229" t="s">
        <v>1409</v>
      </c>
      <c r="C1072" s="242"/>
      <c r="D1072" s="243"/>
      <c r="E1072" s="232" t="s">
        <v>1408</v>
      </c>
      <c r="F1072" s="231" t="s">
        <v>1679</v>
      </c>
      <c r="G1072" s="232" t="s">
        <v>1683</v>
      </c>
      <c r="H1072" s="234" t="s">
        <v>1675</v>
      </c>
    </row>
    <row r="1073" spans="2:8" x14ac:dyDescent="0.2">
      <c r="B1073" s="244" t="s">
        <v>429</v>
      </c>
      <c r="C1073" s="132"/>
      <c r="D1073" s="188"/>
      <c r="E1073" s="215" t="s">
        <v>1506</v>
      </c>
      <c r="F1073" s="215">
        <v>2</v>
      </c>
      <c r="G1073" s="216">
        <v>7</v>
      </c>
      <c r="H1073" s="218">
        <f>F1073*G1073</f>
        <v>14</v>
      </c>
    </row>
    <row r="1074" spans="2:8" x14ac:dyDescent="0.2">
      <c r="B1074" s="214" t="s">
        <v>430</v>
      </c>
      <c r="C1074" s="132"/>
      <c r="D1074" s="188"/>
      <c r="E1074" s="215" t="s">
        <v>1506</v>
      </c>
      <c r="F1074" s="215">
        <v>4</v>
      </c>
      <c r="G1074" s="216">
        <v>1.2</v>
      </c>
      <c r="H1074" s="218">
        <f>F1074*G1074</f>
        <v>4.8</v>
      </c>
    </row>
    <row r="1075" spans="2:8" x14ac:dyDescent="0.2">
      <c r="B1075" s="214" t="s">
        <v>431</v>
      </c>
      <c r="C1075" s="132"/>
      <c r="D1075" s="188"/>
      <c r="E1075" s="215" t="s">
        <v>1506</v>
      </c>
      <c r="F1075" s="215">
        <v>2</v>
      </c>
      <c r="G1075" s="216">
        <v>2.4</v>
      </c>
      <c r="H1075" s="218">
        <f>F1075*G1075</f>
        <v>4.8</v>
      </c>
    </row>
    <row r="1076" spans="2:8" x14ac:dyDescent="0.2">
      <c r="B1076" s="214" t="s">
        <v>423</v>
      </c>
      <c r="C1076" s="132"/>
      <c r="D1076" s="188"/>
      <c r="E1076" s="215" t="s">
        <v>1708</v>
      </c>
      <c r="F1076" s="215">
        <v>27</v>
      </c>
      <c r="G1076" s="216">
        <v>1.5</v>
      </c>
      <c r="H1076" s="218">
        <f>F1076*G1076</f>
        <v>40.5</v>
      </c>
    </row>
    <row r="1077" spans="2:8" x14ac:dyDescent="0.2">
      <c r="B1077" s="214" t="s">
        <v>432</v>
      </c>
      <c r="C1077" s="132"/>
      <c r="D1077" s="188"/>
      <c r="E1077" s="215" t="s">
        <v>1708</v>
      </c>
      <c r="F1077" s="215">
        <v>8</v>
      </c>
      <c r="G1077" s="216">
        <v>1</v>
      </c>
      <c r="H1077" s="218">
        <f>F1077*G1077</f>
        <v>8</v>
      </c>
    </row>
    <row r="1078" spans="2:8" x14ac:dyDescent="0.2">
      <c r="B1078" s="214"/>
      <c r="C1078" s="132"/>
      <c r="D1078" s="188"/>
      <c r="E1078" s="215"/>
      <c r="F1078" s="215"/>
      <c r="G1078" s="216"/>
      <c r="H1078" s="218"/>
    </row>
    <row r="1079" spans="2:8" x14ac:dyDescent="0.2">
      <c r="B1079" s="214" t="s">
        <v>1682</v>
      </c>
      <c r="C1079" s="132"/>
      <c r="D1079" s="245" t="s">
        <v>1682</v>
      </c>
      <c r="E1079" s="272" t="s">
        <v>1682</v>
      </c>
      <c r="F1079" s="215" t="s">
        <v>1682</v>
      </c>
      <c r="G1079" s="216" t="s">
        <v>1682</v>
      </c>
      <c r="H1079" s="218" t="s">
        <v>1682</v>
      </c>
    </row>
    <row r="1080" spans="2:8" x14ac:dyDescent="0.2">
      <c r="B1080" s="238" t="s">
        <v>1692</v>
      </c>
      <c r="C1080" s="239"/>
      <c r="D1080" s="240"/>
      <c r="E1080" s="240"/>
      <c r="F1080" s="240"/>
      <c r="G1080" s="239"/>
      <c r="H1080" s="241">
        <f>SUM(H1073:H1079)</f>
        <v>72.099999999999994</v>
      </c>
    </row>
    <row r="1081" spans="2:8" x14ac:dyDescent="0.2">
      <c r="B1081" s="227" t="s">
        <v>1680</v>
      </c>
      <c r="C1081" s="132"/>
      <c r="D1081" s="188"/>
      <c r="E1081" s="132"/>
      <c r="F1081" s="188"/>
      <c r="G1081" s="132"/>
      <c r="H1081" s="218"/>
    </row>
    <row r="1082" spans="2:8" ht="25.5" x14ac:dyDescent="0.2">
      <c r="B1082" s="229" t="s">
        <v>1409</v>
      </c>
      <c r="C1082" s="242"/>
      <c r="D1082" s="243"/>
      <c r="E1082" s="232" t="s">
        <v>1408</v>
      </c>
      <c r="F1082" s="231" t="s">
        <v>1679</v>
      </c>
      <c r="G1082" s="232" t="s">
        <v>1676</v>
      </c>
      <c r="H1082" s="234" t="s">
        <v>1675</v>
      </c>
    </row>
    <row r="1083" spans="2:8" x14ac:dyDescent="0.2">
      <c r="B1083" s="208" t="s">
        <v>975</v>
      </c>
      <c r="C1083" s="209"/>
      <c r="D1083" s="246"/>
      <c r="E1083" s="215" t="s">
        <v>976</v>
      </c>
      <c r="F1083" s="215">
        <v>0.5</v>
      </c>
      <c r="G1083" s="247">
        <v>5</v>
      </c>
      <c r="H1083" s="218">
        <f>F1083*G1083</f>
        <v>2.5</v>
      </c>
    </row>
    <row r="1084" spans="2:8" x14ac:dyDescent="0.2">
      <c r="B1084" s="214"/>
      <c r="C1084" s="132"/>
      <c r="D1084" s="248"/>
      <c r="E1084" s="215"/>
      <c r="F1084" s="215"/>
      <c r="G1084" s="247"/>
      <c r="H1084" s="218"/>
    </row>
    <row r="1085" spans="2:8" x14ac:dyDescent="0.2">
      <c r="B1085" s="219" t="s">
        <v>1682</v>
      </c>
      <c r="C1085" s="220"/>
      <c r="D1085" s="249"/>
      <c r="E1085" s="221" t="s">
        <v>1682</v>
      </c>
      <c r="F1085" s="221"/>
      <c r="G1085" s="222" t="s">
        <v>1682</v>
      </c>
      <c r="H1085" s="224" t="s">
        <v>1682</v>
      </c>
    </row>
    <row r="1086" spans="2:8" ht="13.5" thickBot="1" x14ac:dyDescent="0.25">
      <c r="B1086" s="250" t="s">
        <v>977</v>
      </c>
      <c r="C1086" s="251"/>
      <c r="D1086" s="252"/>
      <c r="E1086" s="252"/>
      <c r="F1086" s="252"/>
      <c r="G1086" s="251"/>
      <c r="H1086" s="253">
        <f>SUM(H1083:H1085)</f>
        <v>2.5</v>
      </c>
    </row>
    <row r="1087" spans="2:8" x14ac:dyDescent="0.2">
      <c r="B1087" s="132"/>
      <c r="C1087" s="132"/>
      <c r="D1087" s="254"/>
      <c r="E1087" s="198"/>
      <c r="F1087" s="198"/>
      <c r="G1087" s="255" t="s">
        <v>978</v>
      </c>
      <c r="H1087" s="256">
        <f>H1062+H1070+H1080+H1086</f>
        <v>130.43</v>
      </c>
    </row>
    <row r="1088" spans="2:8" x14ac:dyDescent="0.2">
      <c r="B1088" s="132"/>
      <c r="C1088" s="132"/>
      <c r="D1088" s="257"/>
      <c r="E1088" s="239"/>
      <c r="F1088" s="239"/>
      <c r="G1088" s="258" t="s">
        <v>979</v>
      </c>
      <c r="H1088" s="241"/>
    </row>
    <row r="1089" spans="2:8" x14ac:dyDescent="0.2">
      <c r="B1089" s="132"/>
      <c r="C1089" s="132"/>
      <c r="D1089" s="257"/>
      <c r="E1089" s="239"/>
      <c r="F1089" s="239"/>
      <c r="G1089" s="258" t="s">
        <v>980</v>
      </c>
      <c r="H1089" s="241"/>
    </row>
    <row r="1090" spans="2:8" x14ac:dyDescent="0.2">
      <c r="B1090" s="132"/>
      <c r="C1090" s="132"/>
      <c r="D1090" s="257"/>
      <c r="E1090" s="239"/>
      <c r="F1090" s="239"/>
      <c r="G1090" s="259" t="s">
        <v>1670</v>
      </c>
      <c r="H1090" s="260"/>
    </row>
    <row r="1091" spans="2:8" ht="13.5" thickBot="1" x14ac:dyDescent="0.25">
      <c r="B1091" s="193"/>
      <c r="C1091" s="132"/>
      <c r="D1091" s="261"/>
      <c r="E1091" s="251"/>
      <c r="F1091" s="251"/>
      <c r="G1091" s="262" t="s">
        <v>1650</v>
      </c>
      <c r="H1091" s="263"/>
    </row>
    <row r="1092" spans="2:8" ht="15.75" x14ac:dyDescent="0.2">
      <c r="B1092" s="186" t="s">
        <v>1701</v>
      </c>
      <c r="C1092" s="132"/>
      <c r="D1092" s="189" t="s">
        <v>742</v>
      </c>
      <c r="E1092" s="132"/>
      <c r="F1092" s="132"/>
      <c r="G1092" s="188"/>
      <c r="H1092" s="132"/>
    </row>
    <row r="1093" spans="2:8" ht="15.75" x14ac:dyDescent="0.2">
      <c r="B1093" s="186" t="s">
        <v>1700</v>
      </c>
      <c r="C1093" s="189" t="s">
        <v>963</v>
      </c>
      <c r="D1093" s="132"/>
      <c r="E1093" s="132"/>
      <c r="F1093" s="132"/>
      <c r="G1093" s="190"/>
      <c r="H1093" s="191"/>
    </row>
    <row r="1094" spans="2:8" ht="14.25" x14ac:dyDescent="0.2">
      <c r="B1094" s="189"/>
      <c r="C1094" s="189"/>
      <c r="D1094" s="189"/>
      <c r="E1094" s="189"/>
      <c r="F1094" s="189"/>
      <c r="G1094" s="189"/>
      <c r="H1094" s="189"/>
    </row>
    <row r="1095" spans="2:8" ht="15.75" x14ac:dyDescent="0.2">
      <c r="B1095" s="186" t="s">
        <v>1697</v>
      </c>
      <c r="C1095" s="189"/>
      <c r="D1095" s="132"/>
      <c r="E1095" s="132"/>
      <c r="F1095" s="132"/>
      <c r="G1095" s="132"/>
      <c r="H1095" s="132"/>
    </row>
    <row r="1096" spans="2:8" ht="15" x14ac:dyDescent="0.2">
      <c r="B1096" s="192"/>
      <c r="C1096" s="189"/>
      <c r="D1096" s="189"/>
      <c r="E1096" s="189"/>
      <c r="F1096" s="189"/>
      <c r="G1096" s="189"/>
      <c r="H1096" s="189"/>
    </row>
    <row r="1097" spans="2:8" ht="14.25" x14ac:dyDescent="0.2">
      <c r="B1097" s="193" t="s">
        <v>594</v>
      </c>
      <c r="C1097" s="194" t="s">
        <v>433</v>
      </c>
      <c r="D1097" s="132"/>
      <c r="E1097" s="188"/>
      <c r="F1097" s="188"/>
      <c r="G1097" s="195" t="s">
        <v>1696</v>
      </c>
      <c r="H1097" s="189" t="s">
        <v>1506</v>
      </c>
    </row>
    <row r="1098" spans="2:8" ht="14.25" x14ac:dyDescent="0.2">
      <c r="B1098" s="196" t="s">
        <v>964</v>
      </c>
      <c r="C1098" s="194" t="s">
        <v>434</v>
      </c>
      <c r="D1098" s="132"/>
      <c r="E1098" s="132"/>
      <c r="F1098" s="132"/>
      <c r="G1098" s="132"/>
      <c r="H1098" s="132"/>
    </row>
    <row r="1099" spans="2:8" ht="15" thickBot="1" x14ac:dyDescent="0.25">
      <c r="B1099" s="187"/>
      <c r="C1099" s="187"/>
      <c r="D1099" s="189"/>
      <c r="E1099" s="189"/>
      <c r="F1099" s="189"/>
      <c r="G1099" s="189"/>
      <c r="H1099" s="189"/>
    </row>
    <row r="1100" spans="2:8" ht="13.5" thickBot="1" x14ac:dyDescent="0.25">
      <c r="B1100" s="264" t="s">
        <v>1695</v>
      </c>
      <c r="C1100" s="265"/>
      <c r="D1100" s="266"/>
      <c r="E1100" s="265"/>
      <c r="F1100" s="265"/>
      <c r="G1100" s="265"/>
      <c r="H1100" s="267"/>
    </row>
    <row r="1101" spans="2:8" ht="25.5" x14ac:dyDescent="0.2">
      <c r="B1101" s="197" t="s">
        <v>1409</v>
      </c>
      <c r="C1101" s="268"/>
      <c r="D1101" s="269" t="s">
        <v>966</v>
      </c>
      <c r="E1101" s="270" t="s">
        <v>1694</v>
      </c>
      <c r="F1101" s="270" t="s">
        <v>1693</v>
      </c>
      <c r="G1101" s="201" t="s">
        <v>1687</v>
      </c>
      <c r="H1101" s="271" t="s">
        <v>967</v>
      </c>
    </row>
    <row r="1102" spans="2:8" x14ac:dyDescent="0.2">
      <c r="B1102" s="208" t="s">
        <v>1468</v>
      </c>
      <c r="C1102" s="209"/>
      <c r="D1102" s="210">
        <v>1</v>
      </c>
      <c r="E1102" s="211">
        <v>2.5</v>
      </c>
      <c r="F1102" s="211">
        <f>D1102*E1102</f>
        <v>2.5</v>
      </c>
      <c r="G1102" s="212">
        <v>0.6</v>
      </c>
      <c r="H1102" s="213">
        <f>F1102*G1102</f>
        <v>1.5</v>
      </c>
    </row>
    <row r="1103" spans="2:8" x14ac:dyDescent="0.2">
      <c r="B1103" s="214" t="s">
        <v>1682</v>
      </c>
      <c r="C1103" s="132"/>
      <c r="D1103" s="215"/>
      <c r="E1103" s="216" t="s">
        <v>1682</v>
      </c>
      <c r="F1103" s="216" t="s">
        <v>1682</v>
      </c>
      <c r="G1103" s="217"/>
      <c r="H1103" s="218" t="s">
        <v>1682</v>
      </c>
    </row>
    <row r="1104" spans="2:8" x14ac:dyDescent="0.2">
      <c r="B1104" s="219" t="s">
        <v>1682</v>
      </c>
      <c r="C1104" s="220"/>
      <c r="D1104" s="221"/>
      <c r="E1104" s="222" t="s">
        <v>1682</v>
      </c>
      <c r="F1104" s="222" t="s">
        <v>1682</v>
      </c>
      <c r="G1104" s="223"/>
      <c r="H1104" s="224" t="s">
        <v>1682</v>
      </c>
    </row>
    <row r="1105" spans="2:8" x14ac:dyDescent="0.2">
      <c r="B1105" s="219" t="s">
        <v>968</v>
      </c>
      <c r="C1105" s="220"/>
      <c r="D1105" s="225"/>
      <c r="E1105" s="220"/>
      <c r="F1105" s="220"/>
      <c r="G1105" s="226"/>
      <c r="H1105" s="224">
        <f>SUM(H1102:H1104)</f>
        <v>1.5</v>
      </c>
    </row>
    <row r="1106" spans="2:8" x14ac:dyDescent="0.2">
      <c r="B1106" s="227" t="s">
        <v>1503</v>
      </c>
      <c r="C1106" s="132"/>
      <c r="D1106" s="188"/>
      <c r="E1106" s="132"/>
      <c r="F1106" s="132"/>
      <c r="G1106" s="228"/>
      <c r="H1106" s="218"/>
    </row>
    <row r="1107" spans="2:8" ht="25.5" x14ac:dyDescent="0.2">
      <c r="B1107" s="229" t="s">
        <v>1691</v>
      </c>
      <c r="C1107" s="230"/>
      <c r="D1107" s="231" t="s">
        <v>969</v>
      </c>
      <c r="E1107" s="232" t="s">
        <v>1689</v>
      </c>
      <c r="F1107" s="232" t="s">
        <v>1688</v>
      </c>
      <c r="G1107" s="233" t="s">
        <v>1687</v>
      </c>
      <c r="H1107" s="234" t="s">
        <v>1686</v>
      </c>
    </row>
    <row r="1108" spans="2:8" x14ac:dyDescent="0.2">
      <c r="B1108" s="235" t="s">
        <v>243</v>
      </c>
      <c r="C1108" s="132"/>
      <c r="D1108" s="236">
        <v>1</v>
      </c>
      <c r="E1108" s="237">
        <v>2.13</v>
      </c>
      <c r="F1108" s="216">
        <f>D1108*E1108</f>
        <v>2.13</v>
      </c>
      <c r="G1108" s="217">
        <v>5.64</v>
      </c>
      <c r="H1108" s="218">
        <f>F1108*G1108</f>
        <v>12.013199999999999</v>
      </c>
    </row>
    <row r="1109" spans="2:8" x14ac:dyDescent="0.2">
      <c r="B1109" s="235" t="s">
        <v>1488</v>
      </c>
      <c r="C1109" s="132"/>
      <c r="D1109" s="236">
        <v>1</v>
      </c>
      <c r="E1109" s="237">
        <v>2.13</v>
      </c>
      <c r="F1109" s="216">
        <f>D1109*E1109</f>
        <v>2.13</v>
      </c>
      <c r="G1109" s="217">
        <v>4.18</v>
      </c>
      <c r="H1109" s="218">
        <f>F1109*G1109</f>
        <v>8.9033999999999995</v>
      </c>
    </row>
    <row r="1110" spans="2:8" x14ac:dyDescent="0.2">
      <c r="B1110" s="235" t="s">
        <v>590</v>
      </c>
      <c r="C1110" s="132"/>
      <c r="D1110" s="236">
        <v>1</v>
      </c>
      <c r="E1110" s="237">
        <v>2.13</v>
      </c>
      <c r="F1110" s="216">
        <f>D1110*E1110</f>
        <v>2.13</v>
      </c>
      <c r="G1110" s="217">
        <v>2.98</v>
      </c>
      <c r="H1110" s="218">
        <f>F1110*G1110</f>
        <v>6.3473999999999995</v>
      </c>
    </row>
    <row r="1111" spans="2:8" x14ac:dyDescent="0.2">
      <c r="B1111" s="235"/>
      <c r="C1111" s="132"/>
      <c r="D1111" s="236"/>
      <c r="E1111" s="237"/>
      <c r="F1111" s="216"/>
      <c r="G1111" s="217"/>
      <c r="H1111" s="218"/>
    </row>
    <row r="1112" spans="2:8" x14ac:dyDescent="0.2">
      <c r="B1112" s="219" t="s">
        <v>1682</v>
      </c>
      <c r="C1112" s="220"/>
      <c r="D1112" s="221"/>
      <c r="E1112" s="222" t="s">
        <v>1682</v>
      </c>
      <c r="F1112" s="222" t="s">
        <v>1682</v>
      </c>
      <c r="G1112" s="223"/>
      <c r="H1112" s="224" t="s">
        <v>1682</v>
      </c>
    </row>
    <row r="1113" spans="2:8" x14ac:dyDescent="0.2">
      <c r="B1113" s="238" t="s">
        <v>1681</v>
      </c>
      <c r="C1113" s="239"/>
      <c r="D1113" s="240"/>
      <c r="E1113" s="239"/>
      <c r="F1113" s="239"/>
      <c r="G1113" s="239"/>
      <c r="H1113" s="241">
        <f>SUM(H1108:H1112)</f>
        <v>27.263999999999999</v>
      </c>
    </row>
    <row r="1114" spans="2:8" x14ac:dyDescent="0.2">
      <c r="B1114" s="227" t="s">
        <v>1684</v>
      </c>
      <c r="C1114" s="132"/>
      <c r="D1114" s="188"/>
      <c r="E1114" s="132"/>
      <c r="F1114" s="132"/>
      <c r="G1114" s="132"/>
      <c r="H1114" s="218"/>
    </row>
    <row r="1115" spans="2:8" ht="25.5" x14ac:dyDescent="0.2">
      <c r="B1115" s="229" t="s">
        <v>1409</v>
      </c>
      <c r="C1115" s="242"/>
      <c r="D1115" s="243"/>
      <c r="E1115" s="232" t="s">
        <v>1408</v>
      </c>
      <c r="F1115" s="231" t="s">
        <v>1679</v>
      </c>
      <c r="G1115" s="232" t="s">
        <v>1683</v>
      </c>
      <c r="H1115" s="234" t="s">
        <v>1675</v>
      </c>
    </row>
    <row r="1116" spans="2:8" x14ac:dyDescent="0.2">
      <c r="B1116" s="244" t="s">
        <v>435</v>
      </c>
      <c r="C1116" s="132"/>
      <c r="D1116" s="188"/>
      <c r="E1116" s="215" t="s">
        <v>1506</v>
      </c>
      <c r="F1116" s="215">
        <v>3</v>
      </c>
      <c r="G1116" s="216">
        <v>10.38</v>
      </c>
      <c r="H1116" s="218">
        <f>F1116*G1116</f>
        <v>31.14</v>
      </c>
    </row>
    <row r="1117" spans="2:8" x14ac:dyDescent="0.2">
      <c r="B1117" s="214" t="s">
        <v>755</v>
      </c>
      <c r="C1117" s="132"/>
      <c r="D1117" s="188"/>
      <c r="E1117" s="215" t="s">
        <v>1506</v>
      </c>
      <c r="F1117" s="215">
        <v>5</v>
      </c>
      <c r="G1117" s="216">
        <v>2.4</v>
      </c>
      <c r="H1117" s="218">
        <f>F1117*G1117</f>
        <v>12</v>
      </c>
    </row>
    <row r="1118" spans="2:8" x14ac:dyDescent="0.2">
      <c r="B1118" s="214" t="s">
        <v>436</v>
      </c>
      <c r="C1118" s="132"/>
      <c r="D1118" s="188"/>
      <c r="E1118" s="215" t="s">
        <v>1708</v>
      </c>
      <c r="F1118" s="215">
        <v>36</v>
      </c>
      <c r="G1118" s="216">
        <v>6.39</v>
      </c>
      <c r="H1118" s="218">
        <f>F1118*G1118</f>
        <v>230.04</v>
      </c>
    </row>
    <row r="1119" spans="2:8" x14ac:dyDescent="0.2">
      <c r="B1119" s="214" t="s">
        <v>426</v>
      </c>
      <c r="C1119" s="132"/>
      <c r="D1119" s="188"/>
      <c r="E1119" s="215" t="s">
        <v>1708</v>
      </c>
      <c r="F1119" s="215">
        <v>12</v>
      </c>
      <c r="G1119" s="216">
        <v>2.6</v>
      </c>
      <c r="H1119" s="218">
        <f>F1119*G1119</f>
        <v>31.200000000000003</v>
      </c>
    </row>
    <row r="1120" spans="2:8" x14ac:dyDescent="0.2">
      <c r="B1120" s="214"/>
      <c r="C1120" s="132"/>
      <c r="D1120" s="188"/>
      <c r="E1120" s="215"/>
      <c r="F1120" s="215"/>
      <c r="G1120" s="216"/>
      <c r="H1120" s="218"/>
    </row>
    <row r="1121" spans="2:8" x14ac:dyDescent="0.2">
      <c r="B1121" s="214" t="s">
        <v>1682</v>
      </c>
      <c r="C1121" s="132"/>
      <c r="D1121" s="245" t="s">
        <v>1682</v>
      </c>
      <c r="E1121" s="272" t="s">
        <v>1682</v>
      </c>
      <c r="F1121" s="215" t="s">
        <v>1682</v>
      </c>
      <c r="G1121" s="216" t="s">
        <v>1682</v>
      </c>
      <c r="H1121" s="218" t="s">
        <v>1682</v>
      </c>
    </row>
    <row r="1122" spans="2:8" x14ac:dyDescent="0.2">
      <c r="B1122" s="238" t="s">
        <v>1692</v>
      </c>
      <c r="C1122" s="239"/>
      <c r="D1122" s="240"/>
      <c r="E1122" s="240"/>
      <c r="F1122" s="240"/>
      <c r="G1122" s="239"/>
      <c r="H1122" s="241">
        <f>SUM(H1116:H1121)</f>
        <v>304.38</v>
      </c>
    </row>
    <row r="1123" spans="2:8" x14ac:dyDescent="0.2">
      <c r="B1123" s="227" t="s">
        <v>1680</v>
      </c>
      <c r="C1123" s="132"/>
      <c r="D1123" s="188"/>
      <c r="E1123" s="132"/>
      <c r="F1123" s="188"/>
      <c r="G1123" s="132"/>
      <c r="H1123" s="218"/>
    </row>
    <row r="1124" spans="2:8" ht="25.5" x14ac:dyDescent="0.2">
      <c r="B1124" s="229" t="s">
        <v>1409</v>
      </c>
      <c r="C1124" s="242"/>
      <c r="D1124" s="243"/>
      <c r="E1124" s="232" t="s">
        <v>1408</v>
      </c>
      <c r="F1124" s="231" t="s">
        <v>1679</v>
      </c>
      <c r="G1124" s="232" t="s">
        <v>1676</v>
      </c>
      <c r="H1124" s="234" t="s">
        <v>1675</v>
      </c>
    </row>
    <row r="1125" spans="2:8" x14ac:dyDescent="0.2">
      <c r="B1125" s="208" t="s">
        <v>975</v>
      </c>
      <c r="C1125" s="209"/>
      <c r="D1125" s="246"/>
      <c r="E1125" s="215" t="s">
        <v>976</v>
      </c>
      <c r="F1125" s="215">
        <v>0.5</v>
      </c>
      <c r="G1125" s="247">
        <v>5</v>
      </c>
      <c r="H1125" s="218">
        <f>F1125*G1125</f>
        <v>2.5</v>
      </c>
    </row>
    <row r="1126" spans="2:8" x14ac:dyDescent="0.2">
      <c r="B1126" s="214"/>
      <c r="C1126" s="132"/>
      <c r="D1126" s="248"/>
      <c r="E1126" s="215"/>
      <c r="F1126" s="215"/>
      <c r="G1126" s="247"/>
      <c r="H1126" s="218"/>
    </row>
    <row r="1127" spans="2:8" x14ac:dyDescent="0.2">
      <c r="B1127" s="219" t="s">
        <v>1682</v>
      </c>
      <c r="C1127" s="220"/>
      <c r="D1127" s="249"/>
      <c r="E1127" s="221" t="s">
        <v>1682</v>
      </c>
      <c r="F1127" s="221"/>
      <c r="G1127" s="222" t="s">
        <v>1682</v>
      </c>
      <c r="H1127" s="224" t="s">
        <v>1682</v>
      </c>
    </row>
    <row r="1128" spans="2:8" ht="13.5" thickBot="1" x14ac:dyDescent="0.25">
      <c r="B1128" s="250" t="s">
        <v>977</v>
      </c>
      <c r="C1128" s="251"/>
      <c r="D1128" s="252"/>
      <c r="E1128" s="252"/>
      <c r="F1128" s="252"/>
      <c r="G1128" s="251"/>
      <c r="H1128" s="253">
        <f>SUM(H1125:H1127)</f>
        <v>2.5</v>
      </c>
    </row>
    <row r="1129" spans="2:8" x14ac:dyDescent="0.2">
      <c r="B1129" s="132"/>
      <c r="C1129" s="132"/>
      <c r="D1129" s="254"/>
      <c r="E1129" s="198"/>
      <c r="F1129" s="198"/>
      <c r="G1129" s="255" t="s">
        <v>978</v>
      </c>
      <c r="H1129" s="256">
        <f>H1105+H1113+H1122+H1128</f>
        <v>335.64400000000001</v>
      </c>
    </row>
    <row r="1130" spans="2:8" x14ac:dyDescent="0.2">
      <c r="B1130" s="132"/>
      <c r="C1130" s="132"/>
      <c r="D1130" s="257"/>
      <c r="E1130" s="239"/>
      <c r="F1130" s="239"/>
      <c r="G1130" s="258" t="s">
        <v>979</v>
      </c>
      <c r="H1130" s="241"/>
    </row>
    <row r="1131" spans="2:8" x14ac:dyDescent="0.2">
      <c r="B1131" s="132"/>
      <c r="C1131" s="132"/>
      <c r="D1131" s="257"/>
      <c r="E1131" s="239"/>
      <c r="F1131" s="239"/>
      <c r="G1131" s="258" t="s">
        <v>980</v>
      </c>
      <c r="H1131" s="241"/>
    </row>
    <row r="1132" spans="2:8" x14ac:dyDescent="0.2">
      <c r="B1132" s="132"/>
      <c r="C1132" s="132"/>
      <c r="D1132" s="257"/>
      <c r="E1132" s="239"/>
      <c r="F1132" s="239"/>
      <c r="G1132" s="259" t="s">
        <v>1670</v>
      </c>
      <c r="H1132" s="260"/>
    </row>
    <row r="1133" spans="2:8" ht="13.5" thickBot="1" x14ac:dyDescent="0.25">
      <c r="B1133" s="193"/>
      <c r="C1133" s="132"/>
      <c r="D1133" s="261"/>
      <c r="E1133" s="251"/>
      <c r="F1133" s="251"/>
      <c r="G1133" s="262" t="s">
        <v>1650</v>
      </c>
      <c r="H1133" s="263"/>
    </row>
    <row r="1134" spans="2:8" ht="15.75" x14ac:dyDescent="0.2">
      <c r="B1134" s="186" t="s">
        <v>1701</v>
      </c>
      <c r="C1134" s="132"/>
      <c r="D1134" s="189" t="s">
        <v>742</v>
      </c>
      <c r="E1134" s="132"/>
      <c r="F1134" s="132"/>
      <c r="G1134" s="188"/>
      <c r="H1134" s="132"/>
    </row>
    <row r="1135" spans="2:8" ht="15.75" x14ac:dyDescent="0.2">
      <c r="B1135" s="186" t="s">
        <v>1700</v>
      </c>
      <c r="C1135" s="189" t="s">
        <v>963</v>
      </c>
      <c r="D1135" s="132"/>
      <c r="E1135" s="132"/>
      <c r="F1135" s="132"/>
      <c r="G1135" s="190"/>
      <c r="H1135" s="191"/>
    </row>
    <row r="1136" spans="2:8" ht="14.25" x14ac:dyDescent="0.2">
      <c r="B1136" s="189"/>
      <c r="C1136" s="189"/>
      <c r="D1136" s="189"/>
      <c r="E1136" s="189"/>
      <c r="F1136" s="189"/>
      <c r="G1136" s="189"/>
      <c r="H1136" s="189"/>
    </row>
    <row r="1137" spans="2:8" ht="15.75" x14ac:dyDescent="0.2">
      <c r="B1137" s="186" t="s">
        <v>1697</v>
      </c>
      <c r="C1137" s="189"/>
      <c r="D1137" s="132"/>
      <c r="E1137" s="132"/>
      <c r="F1137" s="132"/>
      <c r="G1137" s="132"/>
      <c r="H1137" s="132"/>
    </row>
    <row r="1138" spans="2:8" ht="15" x14ac:dyDescent="0.2">
      <c r="B1138" s="192"/>
      <c r="C1138" s="189"/>
      <c r="D1138" s="189"/>
      <c r="E1138" s="189"/>
      <c r="F1138" s="189"/>
      <c r="G1138" s="189"/>
      <c r="H1138" s="189"/>
    </row>
    <row r="1139" spans="2:8" ht="14.25" x14ac:dyDescent="0.2">
      <c r="B1139" s="193" t="s">
        <v>594</v>
      </c>
      <c r="C1139" s="194" t="s">
        <v>437</v>
      </c>
      <c r="D1139" s="132"/>
      <c r="E1139" s="188"/>
      <c r="F1139" s="188"/>
      <c r="G1139" s="195" t="s">
        <v>1696</v>
      </c>
      <c r="H1139" s="189" t="s">
        <v>1506</v>
      </c>
    </row>
    <row r="1140" spans="2:8" ht="14.25" x14ac:dyDescent="0.2">
      <c r="B1140" s="196" t="s">
        <v>964</v>
      </c>
      <c r="C1140" s="194" t="s">
        <v>438</v>
      </c>
      <c r="D1140" s="132"/>
      <c r="E1140" s="132"/>
      <c r="F1140" s="132"/>
      <c r="G1140" s="132"/>
      <c r="H1140" s="132"/>
    </row>
    <row r="1141" spans="2:8" ht="15" thickBot="1" x14ac:dyDescent="0.25">
      <c r="B1141" s="187"/>
      <c r="C1141" s="187"/>
      <c r="D1141" s="189"/>
      <c r="E1141" s="189"/>
      <c r="F1141" s="189"/>
      <c r="G1141" s="189"/>
      <c r="H1141" s="189"/>
    </row>
    <row r="1142" spans="2:8" ht="13.5" thickBot="1" x14ac:dyDescent="0.25">
      <c r="B1142" s="264" t="s">
        <v>1695</v>
      </c>
      <c r="C1142" s="265"/>
      <c r="D1142" s="266"/>
      <c r="E1142" s="265"/>
      <c r="F1142" s="265"/>
      <c r="G1142" s="265"/>
      <c r="H1142" s="267"/>
    </row>
    <row r="1143" spans="2:8" ht="25.5" x14ac:dyDescent="0.2">
      <c r="B1143" s="197" t="s">
        <v>1409</v>
      </c>
      <c r="C1143" s="268"/>
      <c r="D1143" s="269" t="s">
        <v>966</v>
      </c>
      <c r="E1143" s="270" t="s">
        <v>1694</v>
      </c>
      <c r="F1143" s="270" t="s">
        <v>1693</v>
      </c>
      <c r="G1143" s="201" t="s">
        <v>1687</v>
      </c>
      <c r="H1143" s="271" t="s">
        <v>967</v>
      </c>
    </row>
    <row r="1144" spans="2:8" x14ac:dyDescent="0.2">
      <c r="B1144" s="208" t="s">
        <v>1468</v>
      </c>
      <c r="C1144" s="209"/>
      <c r="D1144" s="210">
        <v>1</v>
      </c>
      <c r="E1144" s="211">
        <v>2.5</v>
      </c>
      <c r="F1144" s="211">
        <f>D1144*E1144</f>
        <v>2.5</v>
      </c>
      <c r="G1144" s="212">
        <v>0.6</v>
      </c>
      <c r="H1144" s="213">
        <f>F1144*G1144</f>
        <v>1.5</v>
      </c>
    </row>
    <row r="1145" spans="2:8" x14ac:dyDescent="0.2">
      <c r="B1145" s="214" t="s">
        <v>1682</v>
      </c>
      <c r="C1145" s="132"/>
      <c r="D1145" s="215"/>
      <c r="E1145" s="216" t="s">
        <v>1682</v>
      </c>
      <c r="F1145" s="216" t="s">
        <v>1682</v>
      </c>
      <c r="G1145" s="217"/>
      <c r="H1145" s="218" t="s">
        <v>1682</v>
      </c>
    </row>
    <row r="1146" spans="2:8" x14ac:dyDescent="0.2">
      <c r="B1146" s="219" t="s">
        <v>1682</v>
      </c>
      <c r="C1146" s="220"/>
      <c r="D1146" s="221"/>
      <c r="E1146" s="222" t="s">
        <v>1682</v>
      </c>
      <c r="F1146" s="222" t="s">
        <v>1682</v>
      </c>
      <c r="G1146" s="223"/>
      <c r="H1146" s="224" t="s">
        <v>1682</v>
      </c>
    </row>
    <row r="1147" spans="2:8" x14ac:dyDescent="0.2">
      <c r="B1147" s="219" t="s">
        <v>968</v>
      </c>
      <c r="C1147" s="220"/>
      <c r="D1147" s="225"/>
      <c r="E1147" s="220"/>
      <c r="F1147" s="220"/>
      <c r="G1147" s="226"/>
      <c r="H1147" s="224">
        <f>SUM(H1144:H1146)</f>
        <v>1.5</v>
      </c>
    </row>
    <row r="1148" spans="2:8" x14ac:dyDescent="0.2">
      <c r="B1148" s="227" t="s">
        <v>1503</v>
      </c>
      <c r="C1148" s="132"/>
      <c r="D1148" s="188"/>
      <c r="E1148" s="132"/>
      <c r="F1148" s="132"/>
      <c r="G1148" s="228"/>
      <c r="H1148" s="218"/>
    </row>
    <row r="1149" spans="2:8" ht="25.5" x14ac:dyDescent="0.2">
      <c r="B1149" s="229" t="s">
        <v>1691</v>
      </c>
      <c r="C1149" s="230"/>
      <c r="D1149" s="231" t="s">
        <v>969</v>
      </c>
      <c r="E1149" s="232" t="s">
        <v>1689</v>
      </c>
      <c r="F1149" s="232" t="s">
        <v>1688</v>
      </c>
      <c r="G1149" s="233" t="s">
        <v>1687</v>
      </c>
      <c r="H1149" s="234" t="s">
        <v>1686</v>
      </c>
    </row>
    <row r="1150" spans="2:8" x14ac:dyDescent="0.2">
      <c r="B1150" s="235" t="s">
        <v>243</v>
      </c>
      <c r="C1150" s="132"/>
      <c r="D1150" s="236">
        <v>1</v>
      </c>
      <c r="E1150" s="237">
        <v>2.13</v>
      </c>
      <c r="F1150" s="216">
        <f>D1150*E1150</f>
        <v>2.13</v>
      </c>
      <c r="G1150" s="217">
        <v>16.829999999999998</v>
      </c>
      <c r="H1150" s="218">
        <f>F1150*G1150</f>
        <v>35.847899999999996</v>
      </c>
    </row>
    <row r="1151" spans="2:8" x14ac:dyDescent="0.2">
      <c r="B1151" s="235" t="s">
        <v>1488</v>
      </c>
      <c r="C1151" s="132"/>
      <c r="D1151" s="236">
        <v>1</v>
      </c>
      <c r="E1151" s="237">
        <v>2.13</v>
      </c>
      <c r="F1151" s="216">
        <f>D1151*E1151</f>
        <v>2.13</v>
      </c>
      <c r="G1151" s="217">
        <v>11.52</v>
      </c>
      <c r="H1151" s="218">
        <f>F1151*G1151</f>
        <v>24.537599999999998</v>
      </c>
    </row>
    <row r="1152" spans="2:8" x14ac:dyDescent="0.2">
      <c r="B1152" s="235" t="s">
        <v>590</v>
      </c>
      <c r="C1152" s="132"/>
      <c r="D1152" s="236">
        <v>1</v>
      </c>
      <c r="E1152" s="237">
        <v>2.13</v>
      </c>
      <c r="F1152" s="216">
        <f>D1152*E1152</f>
        <v>2.13</v>
      </c>
      <c r="G1152" s="217">
        <v>8.24</v>
      </c>
      <c r="H1152" s="218">
        <f>F1152*G1152</f>
        <v>17.551199999999998</v>
      </c>
    </row>
    <row r="1153" spans="2:8" x14ac:dyDescent="0.2">
      <c r="B1153" s="235"/>
      <c r="C1153" s="132"/>
      <c r="D1153" s="236"/>
      <c r="E1153" s="237"/>
      <c r="F1153" s="216"/>
      <c r="G1153" s="217"/>
      <c r="H1153" s="218"/>
    </row>
    <row r="1154" spans="2:8" x14ac:dyDescent="0.2">
      <c r="B1154" s="219" t="s">
        <v>1682</v>
      </c>
      <c r="C1154" s="220"/>
      <c r="D1154" s="221"/>
      <c r="E1154" s="222" t="s">
        <v>1682</v>
      </c>
      <c r="F1154" s="222" t="s">
        <v>1682</v>
      </c>
      <c r="G1154" s="223"/>
      <c r="H1154" s="224" t="s">
        <v>1682</v>
      </c>
    </row>
    <row r="1155" spans="2:8" x14ac:dyDescent="0.2">
      <c r="B1155" s="238" t="s">
        <v>1681</v>
      </c>
      <c r="C1155" s="239"/>
      <c r="D1155" s="240"/>
      <c r="E1155" s="239"/>
      <c r="F1155" s="239"/>
      <c r="G1155" s="239"/>
      <c r="H1155" s="241">
        <f>SUM(H1150:H1154)</f>
        <v>77.936699999999988</v>
      </c>
    </row>
    <row r="1156" spans="2:8" x14ac:dyDescent="0.2">
      <c r="B1156" s="227" t="s">
        <v>1684</v>
      </c>
      <c r="C1156" s="132"/>
      <c r="D1156" s="188"/>
      <c r="E1156" s="132"/>
      <c r="F1156" s="132"/>
      <c r="G1156" s="132"/>
      <c r="H1156" s="218"/>
    </row>
    <row r="1157" spans="2:8" ht="25.5" x14ac:dyDescent="0.2">
      <c r="B1157" s="229" t="s">
        <v>1409</v>
      </c>
      <c r="C1157" s="242"/>
      <c r="D1157" s="243"/>
      <c r="E1157" s="232" t="s">
        <v>1408</v>
      </c>
      <c r="F1157" s="231" t="s">
        <v>1679</v>
      </c>
      <c r="G1157" s="232" t="s">
        <v>1683</v>
      </c>
      <c r="H1157" s="234" t="s">
        <v>1675</v>
      </c>
    </row>
    <row r="1158" spans="2:8" x14ac:dyDescent="0.2">
      <c r="B1158" s="244" t="s">
        <v>429</v>
      </c>
      <c r="C1158" s="132"/>
      <c r="D1158" s="188"/>
      <c r="E1158" s="215" t="s">
        <v>1506</v>
      </c>
      <c r="F1158" s="215">
        <v>4</v>
      </c>
      <c r="G1158" s="216">
        <v>7.29</v>
      </c>
      <c r="H1158" s="218">
        <f>F1158*G1158</f>
        <v>29.16</v>
      </c>
    </row>
    <row r="1159" spans="2:8" x14ac:dyDescent="0.2">
      <c r="B1159" s="214" t="s">
        <v>430</v>
      </c>
      <c r="C1159" s="132"/>
      <c r="D1159" s="188"/>
      <c r="E1159" s="215" t="s">
        <v>1506</v>
      </c>
      <c r="F1159" s="215">
        <v>6</v>
      </c>
      <c r="G1159" s="216">
        <v>1.2</v>
      </c>
      <c r="H1159" s="218">
        <f>F1159*G1159</f>
        <v>7.1999999999999993</v>
      </c>
    </row>
    <row r="1160" spans="2:8" x14ac:dyDescent="0.2">
      <c r="B1160" s="214" t="s">
        <v>426</v>
      </c>
      <c r="C1160" s="132"/>
      <c r="D1160" s="188"/>
      <c r="E1160" s="215" t="s">
        <v>1708</v>
      </c>
      <c r="F1160" s="215">
        <v>51</v>
      </c>
      <c r="G1160" s="216">
        <v>2.5</v>
      </c>
      <c r="H1160" s="218">
        <f>F1160*G1160</f>
        <v>127.5</v>
      </c>
    </row>
    <row r="1161" spans="2:8" x14ac:dyDescent="0.2">
      <c r="B1161" s="214" t="s">
        <v>423</v>
      </c>
      <c r="C1161" s="132"/>
      <c r="D1161" s="188"/>
      <c r="E1161" s="215" t="s">
        <v>1708</v>
      </c>
      <c r="F1161" s="215">
        <v>17</v>
      </c>
      <c r="G1161" s="216">
        <v>1.5</v>
      </c>
      <c r="H1161" s="218">
        <f>F1161*G1161</f>
        <v>25.5</v>
      </c>
    </row>
    <row r="1162" spans="2:8" x14ac:dyDescent="0.2">
      <c r="B1162" s="214"/>
      <c r="C1162" s="132"/>
      <c r="D1162" s="188"/>
      <c r="E1162" s="215"/>
      <c r="F1162" s="215"/>
      <c r="G1162" s="216"/>
      <c r="H1162" s="218"/>
    </row>
    <row r="1163" spans="2:8" x14ac:dyDescent="0.2">
      <c r="B1163" s="214" t="s">
        <v>1682</v>
      </c>
      <c r="C1163" s="132"/>
      <c r="D1163" s="245" t="s">
        <v>1682</v>
      </c>
      <c r="E1163" s="272" t="s">
        <v>1682</v>
      </c>
      <c r="F1163" s="215" t="s">
        <v>1682</v>
      </c>
      <c r="G1163" s="216" t="s">
        <v>1682</v>
      </c>
      <c r="H1163" s="218" t="s">
        <v>1682</v>
      </c>
    </row>
    <row r="1164" spans="2:8" x14ac:dyDescent="0.2">
      <c r="B1164" s="238" t="s">
        <v>1692</v>
      </c>
      <c r="C1164" s="239"/>
      <c r="D1164" s="240"/>
      <c r="E1164" s="240"/>
      <c r="F1164" s="240"/>
      <c r="G1164" s="239"/>
      <c r="H1164" s="241">
        <f>SUM(H1158:H1163)</f>
        <v>189.36</v>
      </c>
    </row>
    <row r="1165" spans="2:8" x14ac:dyDescent="0.2">
      <c r="B1165" s="227" t="s">
        <v>1680</v>
      </c>
      <c r="C1165" s="132"/>
      <c r="D1165" s="188"/>
      <c r="E1165" s="132"/>
      <c r="F1165" s="188"/>
      <c r="G1165" s="132"/>
      <c r="H1165" s="218"/>
    </row>
    <row r="1166" spans="2:8" ht="25.5" x14ac:dyDescent="0.2">
      <c r="B1166" s="229" t="s">
        <v>1409</v>
      </c>
      <c r="C1166" s="242"/>
      <c r="D1166" s="243"/>
      <c r="E1166" s="232" t="s">
        <v>1408</v>
      </c>
      <c r="F1166" s="231" t="s">
        <v>1679</v>
      </c>
      <c r="G1166" s="232" t="s">
        <v>1676</v>
      </c>
      <c r="H1166" s="234" t="s">
        <v>1675</v>
      </c>
    </row>
    <row r="1167" spans="2:8" x14ac:dyDescent="0.2">
      <c r="B1167" s="208" t="s">
        <v>975</v>
      </c>
      <c r="C1167" s="209"/>
      <c r="D1167" s="246"/>
      <c r="E1167" s="215" t="s">
        <v>976</v>
      </c>
      <c r="F1167" s="215">
        <v>0.5</v>
      </c>
      <c r="G1167" s="247">
        <v>5</v>
      </c>
      <c r="H1167" s="218">
        <f>F1167*G1167</f>
        <v>2.5</v>
      </c>
    </row>
    <row r="1168" spans="2:8" x14ac:dyDescent="0.2">
      <c r="B1168" s="214"/>
      <c r="C1168" s="132"/>
      <c r="D1168" s="248"/>
      <c r="E1168" s="215"/>
      <c r="F1168" s="215"/>
      <c r="G1168" s="247"/>
      <c r="H1168" s="218"/>
    </row>
    <row r="1169" spans="2:8" x14ac:dyDescent="0.2">
      <c r="B1169" s="219" t="s">
        <v>1682</v>
      </c>
      <c r="C1169" s="220"/>
      <c r="D1169" s="249"/>
      <c r="E1169" s="221" t="s">
        <v>1682</v>
      </c>
      <c r="F1169" s="221"/>
      <c r="G1169" s="222" t="s">
        <v>1682</v>
      </c>
      <c r="H1169" s="224" t="s">
        <v>1682</v>
      </c>
    </row>
    <row r="1170" spans="2:8" ht="13.5" thickBot="1" x14ac:dyDescent="0.25">
      <c r="B1170" s="250" t="s">
        <v>977</v>
      </c>
      <c r="C1170" s="251"/>
      <c r="D1170" s="252"/>
      <c r="E1170" s="252"/>
      <c r="F1170" s="252"/>
      <c r="G1170" s="251"/>
      <c r="H1170" s="253">
        <f>SUM(H1167:H1169)</f>
        <v>2.5</v>
      </c>
    </row>
    <row r="1171" spans="2:8" x14ac:dyDescent="0.2">
      <c r="B1171" s="132"/>
      <c r="C1171" s="132"/>
      <c r="D1171" s="254"/>
      <c r="E1171" s="198"/>
      <c r="F1171" s="198"/>
      <c r="G1171" s="255" t="s">
        <v>978</v>
      </c>
      <c r="H1171" s="256">
        <f>H1147+H1155+H1164+H1170</f>
        <v>271.29669999999999</v>
      </c>
    </row>
    <row r="1172" spans="2:8" x14ac:dyDescent="0.2">
      <c r="B1172" s="132"/>
      <c r="C1172" s="132"/>
      <c r="D1172" s="257"/>
      <c r="E1172" s="239"/>
      <c r="F1172" s="239"/>
      <c r="G1172" s="258" t="s">
        <v>979</v>
      </c>
      <c r="H1172" s="241"/>
    </row>
    <row r="1173" spans="2:8" x14ac:dyDescent="0.2">
      <c r="B1173" s="132"/>
      <c r="C1173" s="132"/>
      <c r="D1173" s="257"/>
      <c r="E1173" s="239"/>
      <c r="F1173" s="239"/>
      <c r="G1173" s="258" t="s">
        <v>980</v>
      </c>
      <c r="H1173" s="241"/>
    </row>
    <row r="1174" spans="2:8" x14ac:dyDescent="0.2">
      <c r="B1174" s="132"/>
      <c r="C1174" s="132"/>
      <c r="D1174" s="257"/>
      <c r="E1174" s="239"/>
      <c r="F1174" s="239"/>
      <c r="G1174" s="259" t="s">
        <v>1670</v>
      </c>
      <c r="H1174" s="260"/>
    </row>
    <row r="1175" spans="2:8" ht="13.5" thickBot="1" x14ac:dyDescent="0.25">
      <c r="B1175" s="193"/>
      <c r="C1175" s="132"/>
      <c r="D1175" s="261"/>
      <c r="E1175" s="251"/>
      <c r="F1175" s="251"/>
      <c r="G1175" s="262" t="s">
        <v>1650</v>
      </c>
      <c r="H1175" s="263"/>
    </row>
    <row r="1176" spans="2:8" ht="15.75" x14ac:dyDescent="0.2">
      <c r="B1176" s="186" t="s">
        <v>1701</v>
      </c>
      <c r="C1176" s="132"/>
      <c r="D1176" s="189" t="s">
        <v>742</v>
      </c>
      <c r="E1176" s="132"/>
      <c r="F1176" s="132"/>
      <c r="G1176" s="188"/>
      <c r="H1176" s="132"/>
    </row>
    <row r="1177" spans="2:8" ht="15.75" x14ac:dyDescent="0.2">
      <c r="B1177" s="186" t="s">
        <v>1700</v>
      </c>
      <c r="C1177" s="189" t="s">
        <v>963</v>
      </c>
      <c r="D1177" s="132"/>
      <c r="E1177" s="132"/>
      <c r="F1177" s="132"/>
      <c r="G1177" s="190"/>
      <c r="H1177" s="191"/>
    </row>
    <row r="1178" spans="2:8" ht="14.25" x14ac:dyDescent="0.2">
      <c r="B1178" s="189"/>
      <c r="C1178" s="189"/>
      <c r="D1178" s="189"/>
      <c r="E1178" s="189"/>
      <c r="F1178" s="189"/>
      <c r="G1178" s="189"/>
      <c r="H1178" s="189"/>
    </row>
    <row r="1179" spans="2:8" ht="15.75" x14ac:dyDescent="0.2">
      <c r="B1179" s="186" t="s">
        <v>1697</v>
      </c>
      <c r="C1179" s="189"/>
      <c r="D1179" s="132"/>
      <c r="E1179" s="132"/>
      <c r="F1179" s="132"/>
      <c r="G1179" s="132"/>
      <c r="H1179" s="132"/>
    </row>
    <row r="1180" spans="2:8" ht="15" x14ac:dyDescent="0.2">
      <c r="B1180" s="192"/>
      <c r="C1180" s="189"/>
      <c r="D1180" s="189"/>
      <c r="E1180" s="189"/>
      <c r="F1180" s="189"/>
      <c r="G1180" s="189"/>
      <c r="H1180" s="189"/>
    </row>
    <row r="1181" spans="2:8" ht="14.25" x14ac:dyDescent="0.2">
      <c r="B1181" s="193" t="s">
        <v>594</v>
      </c>
      <c r="C1181" s="194" t="s">
        <v>439</v>
      </c>
      <c r="D1181" s="132"/>
      <c r="E1181" s="188"/>
      <c r="F1181" s="188"/>
      <c r="G1181" s="195" t="s">
        <v>1696</v>
      </c>
      <c r="H1181" s="189" t="s">
        <v>1506</v>
      </c>
    </row>
    <row r="1182" spans="2:8" ht="14.25" x14ac:dyDescent="0.2">
      <c r="B1182" s="196" t="s">
        <v>964</v>
      </c>
      <c r="C1182" s="194" t="s">
        <v>440</v>
      </c>
      <c r="D1182" s="132"/>
      <c r="E1182" s="132"/>
      <c r="F1182" s="132"/>
      <c r="G1182" s="132"/>
      <c r="H1182" s="132"/>
    </row>
    <row r="1183" spans="2:8" ht="15" thickBot="1" x14ac:dyDescent="0.25">
      <c r="B1183" s="187"/>
      <c r="C1183" s="187"/>
      <c r="D1183" s="189"/>
      <c r="E1183" s="189"/>
      <c r="F1183" s="189"/>
      <c r="G1183" s="189"/>
      <c r="H1183" s="189"/>
    </row>
    <row r="1184" spans="2:8" ht="13.5" thickBot="1" x14ac:dyDescent="0.25">
      <c r="B1184" s="264" t="s">
        <v>1695</v>
      </c>
      <c r="C1184" s="265"/>
      <c r="D1184" s="266"/>
      <c r="E1184" s="265"/>
      <c r="F1184" s="265"/>
      <c r="G1184" s="265"/>
      <c r="H1184" s="267"/>
    </row>
    <row r="1185" spans="2:8" ht="25.5" x14ac:dyDescent="0.2">
      <c r="B1185" s="197" t="s">
        <v>1409</v>
      </c>
      <c r="C1185" s="268"/>
      <c r="D1185" s="269" t="s">
        <v>966</v>
      </c>
      <c r="E1185" s="270" t="s">
        <v>1694</v>
      </c>
      <c r="F1185" s="270" t="s">
        <v>1693</v>
      </c>
      <c r="G1185" s="201" t="s">
        <v>1687</v>
      </c>
      <c r="H1185" s="271" t="s">
        <v>967</v>
      </c>
    </row>
    <row r="1186" spans="2:8" x14ac:dyDescent="0.2">
      <c r="B1186" s="208" t="s">
        <v>1468</v>
      </c>
      <c r="C1186" s="209"/>
      <c r="D1186" s="210">
        <v>1</v>
      </c>
      <c r="E1186" s="211">
        <v>2.5</v>
      </c>
      <c r="F1186" s="211">
        <f>D1186*E1186</f>
        <v>2.5</v>
      </c>
      <c r="G1186" s="212">
        <v>0.6</v>
      </c>
      <c r="H1186" s="213">
        <f>F1186*G1186</f>
        <v>1.5</v>
      </c>
    </row>
    <row r="1187" spans="2:8" x14ac:dyDescent="0.2">
      <c r="B1187" s="214" t="s">
        <v>1682</v>
      </c>
      <c r="C1187" s="132"/>
      <c r="D1187" s="215"/>
      <c r="E1187" s="216" t="s">
        <v>1682</v>
      </c>
      <c r="F1187" s="216" t="s">
        <v>1682</v>
      </c>
      <c r="G1187" s="217"/>
      <c r="H1187" s="218" t="s">
        <v>1682</v>
      </c>
    </row>
    <row r="1188" spans="2:8" x14ac:dyDescent="0.2">
      <c r="B1188" s="219" t="s">
        <v>1682</v>
      </c>
      <c r="C1188" s="220"/>
      <c r="D1188" s="221"/>
      <c r="E1188" s="222" t="s">
        <v>1682</v>
      </c>
      <c r="F1188" s="222" t="s">
        <v>1682</v>
      </c>
      <c r="G1188" s="223"/>
      <c r="H1188" s="224" t="s">
        <v>1682</v>
      </c>
    </row>
    <row r="1189" spans="2:8" x14ac:dyDescent="0.2">
      <c r="B1189" s="219" t="s">
        <v>968</v>
      </c>
      <c r="C1189" s="220"/>
      <c r="D1189" s="225"/>
      <c r="E1189" s="220"/>
      <c r="F1189" s="220"/>
      <c r="G1189" s="226"/>
      <c r="H1189" s="224">
        <f>SUM(H1186:H1188)</f>
        <v>1.5</v>
      </c>
    </row>
    <row r="1190" spans="2:8" x14ac:dyDescent="0.2">
      <c r="B1190" s="227" t="s">
        <v>1503</v>
      </c>
      <c r="C1190" s="132"/>
      <c r="D1190" s="188"/>
      <c r="E1190" s="132"/>
      <c r="F1190" s="132"/>
      <c r="G1190" s="228"/>
      <c r="H1190" s="218"/>
    </row>
    <row r="1191" spans="2:8" ht="25.5" x14ac:dyDescent="0.2">
      <c r="B1191" s="229" t="s">
        <v>1691</v>
      </c>
      <c r="C1191" s="230"/>
      <c r="D1191" s="231" t="s">
        <v>969</v>
      </c>
      <c r="E1191" s="232" t="s">
        <v>1689</v>
      </c>
      <c r="F1191" s="232" t="s">
        <v>1688</v>
      </c>
      <c r="G1191" s="233" t="s">
        <v>1687</v>
      </c>
      <c r="H1191" s="234" t="s">
        <v>1686</v>
      </c>
    </row>
    <row r="1192" spans="2:8" x14ac:dyDescent="0.2">
      <c r="B1192" s="235" t="s">
        <v>243</v>
      </c>
      <c r="C1192" s="132"/>
      <c r="D1192" s="236">
        <v>1</v>
      </c>
      <c r="E1192" s="237">
        <v>2.13</v>
      </c>
      <c r="F1192" s="216">
        <f>D1192*E1192</f>
        <v>2.13</v>
      </c>
      <c r="G1192" s="217">
        <v>11.19</v>
      </c>
      <c r="H1192" s="218">
        <v>23.83</v>
      </c>
    </row>
    <row r="1193" spans="2:8" x14ac:dyDescent="0.2">
      <c r="B1193" s="235" t="s">
        <v>1488</v>
      </c>
      <c r="C1193" s="132"/>
      <c r="D1193" s="236">
        <v>1</v>
      </c>
      <c r="E1193" s="237">
        <v>2.13</v>
      </c>
      <c r="F1193" s="216">
        <f>D1193*E1193</f>
        <v>2.13</v>
      </c>
      <c r="G1193" s="217">
        <v>8.35</v>
      </c>
      <c r="H1193" s="218">
        <v>17.78</v>
      </c>
    </row>
    <row r="1194" spans="2:8" x14ac:dyDescent="0.2">
      <c r="B1194" s="235" t="s">
        <v>590</v>
      </c>
      <c r="C1194" s="132"/>
      <c r="D1194" s="236">
        <v>1</v>
      </c>
      <c r="E1194" s="237">
        <v>2.13</v>
      </c>
      <c r="F1194" s="216">
        <f>D1194*E1194</f>
        <v>2.13</v>
      </c>
      <c r="G1194" s="217">
        <v>5.97</v>
      </c>
      <c r="H1194" s="218">
        <v>12.72</v>
      </c>
    </row>
    <row r="1195" spans="2:8" x14ac:dyDescent="0.2">
      <c r="B1195" s="235"/>
      <c r="C1195" s="132"/>
      <c r="D1195" s="236"/>
      <c r="E1195" s="237"/>
      <c r="F1195" s="216"/>
      <c r="G1195" s="217"/>
      <c r="H1195" s="218"/>
    </row>
    <row r="1196" spans="2:8" x14ac:dyDescent="0.2">
      <c r="B1196" s="219" t="s">
        <v>1682</v>
      </c>
      <c r="C1196" s="220"/>
      <c r="D1196" s="221"/>
      <c r="E1196" s="222" t="s">
        <v>1682</v>
      </c>
      <c r="F1196" s="222" t="s">
        <v>1682</v>
      </c>
      <c r="G1196" s="223"/>
      <c r="H1196" s="224" t="s">
        <v>1682</v>
      </c>
    </row>
    <row r="1197" spans="2:8" x14ac:dyDescent="0.2">
      <c r="B1197" s="238" t="s">
        <v>1681</v>
      </c>
      <c r="C1197" s="239"/>
      <c r="D1197" s="240"/>
      <c r="E1197" s="239"/>
      <c r="F1197" s="239"/>
      <c r="G1197" s="239"/>
      <c r="H1197" s="241">
        <f>SUM(H1192:H1196)</f>
        <v>54.33</v>
      </c>
    </row>
    <row r="1198" spans="2:8" x14ac:dyDescent="0.2">
      <c r="B1198" s="227" t="s">
        <v>1684</v>
      </c>
      <c r="C1198" s="132"/>
      <c r="D1198" s="188"/>
      <c r="E1198" s="132"/>
      <c r="F1198" s="132"/>
      <c r="G1198" s="132"/>
      <c r="H1198" s="218"/>
    </row>
    <row r="1199" spans="2:8" ht="25.5" x14ac:dyDescent="0.2">
      <c r="B1199" s="229" t="s">
        <v>1409</v>
      </c>
      <c r="C1199" s="242"/>
      <c r="D1199" s="243"/>
      <c r="E1199" s="232" t="s">
        <v>1408</v>
      </c>
      <c r="F1199" s="231" t="s">
        <v>1679</v>
      </c>
      <c r="G1199" s="232" t="s">
        <v>1683</v>
      </c>
      <c r="H1199" s="234" t="s">
        <v>1675</v>
      </c>
    </row>
    <row r="1200" spans="2:8" x14ac:dyDescent="0.2">
      <c r="B1200" s="244" t="s">
        <v>429</v>
      </c>
      <c r="C1200" s="132"/>
      <c r="D1200" s="188"/>
      <c r="E1200" s="215" t="s">
        <v>1506</v>
      </c>
      <c r="F1200" s="215">
        <v>2</v>
      </c>
      <c r="G1200" s="216">
        <v>7</v>
      </c>
      <c r="H1200" s="218">
        <f>F1200*G1200</f>
        <v>14</v>
      </c>
    </row>
    <row r="1201" spans="2:10" x14ac:dyDescent="0.2">
      <c r="B1201" s="214" t="s">
        <v>430</v>
      </c>
      <c r="C1201" s="132"/>
      <c r="D1201" s="188"/>
      <c r="E1201" s="215" t="s">
        <v>1506</v>
      </c>
      <c r="F1201" s="215">
        <v>4</v>
      </c>
      <c r="G1201" s="216">
        <v>1.2</v>
      </c>
      <c r="H1201" s="218">
        <f>F1201*G1201</f>
        <v>4.8</v>
      </c>
    </row>
    <row r="1202" spans="2:10" x14ac:dyDescent="0.2">
      <c r="B1202" s="214" t="s">
        <v>431</v>
      </c>
      <c r="C1202" s="132"/>
      <c r="D1202" s="188"/>
      <c r="E1202" s="215" t="s">
        <v>1506</v>
      </c>
      <c r="F1202" s="215">
        <v>2</v>
      </c>
      <c r="G1202" s="216">
        <v>2.4</v>
      </c>
      <c r="H1202" s="218">
        <f>F1202*G1202</f>
        <v>4.8</v>
      </c>
    </row>
    <row r="1203" spans="2:10" x14ac:dyDescent="0.2">
      <c r="B1203" s="214" t="s">
        <v>423</v>
      </c>
      <c r="C1203" s="132"/>
      <c r="D1203" s="188"/>
      <c r="E1203" s="215" t="s">
        <v>1708</v>
      </c>
      <c r="F1203" s="215">
        <v>27</v>
      </c>
      <c r="G1203" s="216">
        <v>1.5</v>
      </c>
      <c r="H1203" s="218">
        <f>F1203*G1203</f>
        <v>40.5</v>
      </c>
    </row>
    <row r="1204" spans="2:10" x14ac:dyDescent="0.2">
      <c r="B1204" s="214" t="s">
        <v>432</v>
      </c>
      <c r="C1204" s="132"/>
      <c r="D1204" s="188"/>
      <c r="E1204" s="215" t="s">
        <v>1708</v>
      </c>
      <c r="F1204" s="215">
        <v>8</v>
      </c>
      <c r="G1204" s="216">
        <v>1</v>
      </c>
      <c r="H1204" s="218">
        <f>F1204*G1204</f>
        <v>8</v>
      </c>
      <c r="J1204">
        <v>1.56</v>
      </c>
    </row>
    <row r="1205" spans="2:10" x14ac:dyDescent="0.2">
      <c r="B1205" s="214"/>
      <c r="C1205" s="132"/>
      <c r="D1205" s="188"/>
      <c r="E1205" s="215"/>
      <c r="F1205" s="215"/>
      <c r="G1205" s="216"/>
      <c r="H1205" s="218"/>
    </row>
    <row r="1206" spans="2:10" x14ac:dyDescent="0.2">
      <c r="B1206" s="214" t="s">
        <v>1682</v>
      </c>
      <c r="C1206" s="132"/>
      <c r="D1206" s="245" t="s">
        <v>1682</v>
      </c>
      <c r="E1206" s="272" t="s">
        <v>1682</v>
      </c>
      <c r="F1206" s="215" t="s">
        <v>1682</v>
      </c>
      <c r="G1206" s="216" t="s">
        <v>1682</v>
      </c>
      <c r="H1206" s="218" t="s">
        <v>1682</v>
      </c>
    </row>
    <row r="1207" spans="2:10" x14ac:dyDescent="0.2">
      <c r="B1207" s="238" t="s">
        <v>1692</v>
      </c>
      <c r="C1207" s="239"/>
      <c r="D1207" s="240"/>
      <c r="E1207" s="240"/>
      <c r="F1207" s="240"/>
      <c r="G1207" s="239"/>
      <c r="H1207" s="241">
        <f>SUM(H1200:H1206)</f>
        <v>72.099999999999994</v>
      </c>
    </row>
    <row r="1208" spans="2:10" x14ac:dyDescent="0.2">
      <c r="B1208" s="227" t="s">
        <v>1680</v>
      </c>
      <c r="C1208" s="132"/>
      <c r="D1208" s="188"/>
      <c r="E1208" s="132"/>
      <c r="F1208" s="188"/>
      <c r="G1208" s="132"/>
      <c r="H1208" s="218"/>
    </row>
    <row r="1209" spans="2:10" ht="25.5" x14ac:dyDescent="0.2">
      <c r="B1209" s="229" t="s">
        <v>1409</v>
      </c>
      <c r="C1209" s="242"/>
      <c r="D1209" s="243"/>
      <c r="E1209" s="232" t="s">
        <v>1408</v>
      </c>
      <c r="F1209" s="231" t="s">
        <v>1679</v>
      </c>
      <c r="G1209" s="232" t="s">
        <v>1676</v>
      </c>
      <c r="H1209" s="234" t="s">
        <v>1675</v>
      </c>
    </row>
    <row r="1210" spans="2:10" x14ac:dyDescent="0.2">
      <c r="B1210" s="208" t="s">
        <v>975</v>
      </c>
      <c r="C1210" s="209"/>
      <c r="D1210" s="246"/>
      <c r="E1210" s="215" t="s">
        <v>976</v>
      </c>
      <c r="F1210" s="215">
        <v>0.5</v>
      </c>
      <c r="G1210" s="247">
        <v>5</v>
      </c>
      <c r="H1210" s="218">
        <f>F1210*G1210</f>
        <v>2.5</v>
      </c>
    </row>
    <row r="1211" spans="2:10" x14ac:dyDescent="0.2">
      <c r="B1211" s="214"/>
      <c r="C1211" s="132"/>
      <c r="D1211" s="248"/>
      <c r="E1211" s="215"/>
      <c r="F1211" s="215"/>
      <c r="G1211" s="247"/>
      <c r="H1211" s="218"/>
    </row>
    <row r="1212" spans="2:10" x14ac:dyDescent="0.2">
      <c r="B1212" s="219" t="s">
        <v>1682</v>
      </c>
      <c r="C1212" s="220"/>
      <c r="D1212" s="249"/>
      <c r="E1212" s="221" t="s">
        <v>1682</v>
      </c>
      <c r="F1212" s="221"/>
      <c r="G1212" s="222" t="s">
        <v>1682</v>
      </c>
      <c r="H1212" s="224" t="s">
        <v>1682</v>
      </c>
    </row>
    <row r="1213" spans="2:10" ht="13.5" thickBot="1" x14ac:dyDescent="0.25">
      <c r="B1213" s="250" t="s">
        <v>977</v>
      </c>
      <c r="C1213" s="251"/>
      <c r="D1213" s="252"/>
      <c r="E1213" s="252"/>
      <c r="F1213" s="252"/>
      <c r="G1213" s="251"/>
      <c r="H1213" s="253">
        <f>SUM(H1210:H1212)</f>
        <v>2.5</v>
      </c>
    </row>
    <row r="1214" spans="2:10" x14ac:dyDescent="0.2">
      <c r="B1214" s="132"/>
      <c r="C1214" s="132"/>
      <c r="D1214" s="254"/>
      <c r="E1214" s="198"/>
      <c r="F1214" s="198"/>
      <c r="G1214" s="255" t="s">
        <v>978</v>
      </c>
      <c r="H1214" s="256">
        <f>H1189+H1197+H1207+H1213</f>
        <v>130.43</v>
      </c>
    </row>
    <row r="1215" spans="2:10" x14ac:dyDescent="0.2">
      <c r="B1215" s="132"/>
      <c r="C1215" s="132"/>
      <c r="D1215" s="257"/>
      <c r="E1215" s="239"/>
      <c r="F1215" s="239"/>
      <c r="G1215" s="258" t="s">
        <v>979</v>
      </c>
      <c r="H1215" s="241"/>
    </row>
    <row r="1216" spans="2:10" x14ac:dyDescent="0.2">
      <c r="B1216" s="132"/>
      <c r="C1216" s="132"/>
      <c r="D1216" s="257"/>
      <c r="E1216" s="239"/>
      <c r="F1216" s="239"/>
      <c r="G1216" s="258" t="s">
        <v>980</v>
      </c>
      <c r="H1216" s="241"/>
    </row>
    <row r="1217" spans="2:8" x14ac:dyDescent="0.2">
      <c r="B1217" s="132"/>
      <c r="C1217" s="132"/>
      <c r="D1217" s="257"/>
      <c r="E1217" s="239"/>
      <c r="F1217" s="239"/>
      <c r="G1217" s="259" t="s">
        <v>1670</v>
      </c>
      <c r="H1217" s="260"/>
    </row>
    <row r="1218" spans="2:8" ht="13.5" thickBot="1" x14ac:dyDescent="0.25">
      <c r="B1218" s="193"/>
      <c r="C1218" s="132"/>
      <c r="D1218" s="261"/>
      <c r="E1218" s="251"/>
      <c r="F1218" s="251"/>
      <c r="G1218" s="262" t="s">
        <v>1650</v>
      </c>
      <c r="H1218" s="263"/>
    </row>
    <row r="1219" spans="2:8" ht="15.75" x14ac:dyDescent="0.2">
      <c r="B1219" s="186" t="s">
        <v>1701</v>
      </c>
      <c r="C1219" s="132"/>
      <c r="D1219" s="189" t="s">
        <v>742</v>
      </c>
      <c r="E1219" s="132"/>
      <c r="F1219" s="132"/>
      <c r="G1219" s="188"/>
      <c r="H1219" s="132"/>
    </row>
    <row r="1220" spans="2:8" ht="15.75" x14ac:dyDescent="0.2">
      <c r="B1220" s="186" t="s">
        <v>1700</v>
      </c>
      <c r="C1220" s="189" t="s">
        <v>963</v>
      </c>
      <c r="D1220" s="132"/>
      <c r="E1220" s="132"/>
      <c r="F1220" s="132"/>
      <c r="G1220" s="190"/>
      <c r="H1220" s="191"/>
    </row>
    <row r="1221" spans="2:8" ht="14.25" x14ac:dyDescent="0.2">
      <c r="B1221" s="189"/>
      <c r="C1221" s="189"/>
      <c r="D1221" s="189"/>
      <c r="E1221" s="189"/>
      <c r="F1221" s="189"/>
      <c r="G1221" s="189"/>
      <c r="H1221" s="189"/>
    </row>
    <row r="1222" spans="2:8" ht="15.75" x14ac:dyDescent="0.2">
      <c r="B1222" s="186" t="s">
        <v>1697</v>
      </c>
      <c r="C1222" s="189"/>
      <c r="D1222" s="132"/>
      <c r="E1222" s="132"/>
      <c r="F1222" s="132"/>
      <c r="G1222" s="132"/>
      <c r="H1222" s="132"/>
    </row>
    <row r="1223" spans="2:8" ht="15" x14ac:dyDescent="0.2">
      <c r="B1223" s="192"/>
      <c r="C1223" s="189"/>
      <c r="D1223" s="189"/>
      <c r="E1223" s="189"/>
      <c r="F1223" s="189"/>
      <c r="G1223" s="189"/>
      <c r="H1223" s="189"/>
    </row>
    <row r="1224" spans="2:8" ht="14.25" x14ac:dyDescent="0.2">
      <c r="B1224" s="193" t="s">
        <v>594</v>
      </c>
      <c r="C1224" s="194" t="s">
        <v>441</v>
      </c>
      <c r="D1224" s="132"/>
      <c r="E1224" s="188"/>
      <c r="F1224" s="188"/>
      <c r="G1224" s="195" t="s">
        <v>1696</v>
      </c>
      <c r="H1224" s="189" t="s">
        <v>1506</v>
      </c>
    </row>
    <row r="1225" spans="2:8" ht="14.25" x14ac:dyDescent="0.2">
      <c r="B1225" s="196" t="s">
        <v>964</v>
      </c>
      <c r="C1225" s="194" t="s">
        <v>442</v>
      </c>
      <c r="D1225" s="132"/>
      <c r="E1225" s="132"/>
      <c r="F1225" s="132"/>
      <c r="G1225" s="132"/>
      <c r="H1225" s="132"/>
    </row>
    <row r="1226" spans="2:8" ht="15" thickBot="1" x14ac:dyDescent="0.25">
      <c r="B1226" s="187"/>
      <c r="C1226" s="187"/>
      <c r="D1226" s="189"/>
      <c r="E1226" s="189"/>
      <c r="F1226" s="189"/>
      <c r="G1226" s="189"/>
      <c r="H1226" s="189"/>
    </row>
    <row r="1227" spans="2:8" ht="13.5" thickBot="1" x14ac:dyDescent="0.25">
      <c r="B1227" s="264" t="s">
        <v>1695</v>
      </c>
      <c r="C1227" s="265"/>
      <c r="D1227" s="266"/>
      <c r="E1227" s="265"/>
      <c r="F1227" s="265"/>
      <c r="G1227" s="265"/>
      <c r="H1227" s="267"/>
    </row>
    <row r="1228" spans="2:8" ht="25.5" x14ac:dyDescent="0.2">
      <c r="B1228" s="197" t="s">
        <v>1409</v>
      </c>
      <c r="C1228" s="268"/>
      <c r="D1228" s="269" t="s">
        <v>966</v>
      </c>
      <c r="E1228" s="270" t="s">
        <v>1694</v>
      </c>
      <c r="F1228" s="270" t="s">
        <v>1693</v>
      </c>
      <c r="G1228" s="201" t="s">
        <v>1687</v>
      </c>
      <c r="H1228" s="271" t="s">
        <v>967</v>
      </c>
    </row>
    <row r="1229" spans="2:8" x14ac:dyDescent="0.2">
      <c r="B1229" s="208" t="s">
        <v>1468</v>
      </c>
      <c r="C1229" s="209"/>
      <c r="D1229" s="210">
        <v>1</v>
      </c>
      <c r="E1229" s="211">
        <v>2.5</v>
      </c>
      <c r="F1229" s="211">
        <f>D1229*E1229</f>
        <v>2.5</v>
      </c>
      <c r="G1229" s="212">
        <v>0.6</v>
      </c>
      <c r="H1229" s="213">
        <f>F1229*G1229</f>
        <v>1.5</v>
      </c>
    </row>
    <row r="1230" spans="2:8" x14ac:dyDescent="0.2">
      <c r="B1230" s="214" t="s">
        <v>1682</v>
      </c>
      <c r="C1230" s="132"/>
      <c r="D1230" s="215"/>
      <c r="E1230" s="216" t="s">
        <v>1682</v>
      </c>
      <c r="F1230" s="216" t="s">
        <v>1682</v>
      </c>
      <c r="G1230" s="217"/>
      <c r="H1230" s="218" t="s">
        <v>1682</v>
      </c>
    </row>
    <row r="1231" spans="2:8" x14ac:dyDescent="0.2">
      <c r="B1231" s="219" t="s">
        <v>1682</v>
      </c>
      <c r="C1231" s="220"/>
      <c r="D1231" s="221"/>
      <c r="E1231" s="222" t="s">
        <v>1682</v>
      </c>
      <c r="F1231" s="222" t="s">
        <v>1682</v>
      </c>
      <c r="G1231" s="223"/>
      <c r="H1231" s="224" t="s">
        <v>1682</v>
      </c>
    </row>
    <row r="1232" spans="2:8" x14ac:dyDescent="0.2">
      <c r="B1232" s="219" t="s">
        <v>968</v>
      </c>
      <c r="C1232" s="220"/>
      <c r="D1232" s="225"/>
      <c r="E1232" s="220"/>
      <c r="F1232" s="220"/>
      <c r="G1232" s="226"/>
      <c r="H1232" s="224">
        <f>SUM(H1229:H1231)</f>
        <v>1.5</v>
      </c>
    </row>
    <row r="1233" spans="2:8" x14ac:dyDescent="0.2">
      <c r="B1233" s="227" t="s">
        <v>1503</v>
      </c>
      <c r="C1233" s="132"/>
      <c r="D1233" s="188"/>
      <c r="E1233" s="132"/>
      <c r="F1233" s="132"/>
      <c r="G1233" s="228"/>
      <c r="H1233" s="218"/>
    </row>
    <row r="1234" spans="2:8" ht="25.5" x14ac:dyDescent="0.2">
      <c r="B1234" s="229" t="s">
        <v>1691</v>
      </c>
      <c r="C1234" s="230"/>
      <c r="D1234" s="231" t="s">
        <v>969</v>
      </c>
      <c r="E1234" s="232" t="s">
        <v>1689</v>
      </c>
      <c r="F1234" s="232" t="s">
        <v>1688</v>
      </c>
      <c r="G1234" s="233" t="s">
        <v>1687</v>
      </c>
      <c r="H1234" s="234" t="s">
        <v>1686</v>
      </c>
    </row>
    <row r="1235" spans="2:8" x14ac:dyDescent="0.2">
      <c r="B1235" s="235" t="s">
        <v>243</v>
      </c>
      <c r="C1235" s="132"/>
      <c r="D1235" s="236">
        <v>1</v>
      </c>
      <c r="E1235" s="237">
        <v>2.13</v>
      </c>
      <c r="F1235" s="216">
        <f>D1235*E1235</f>
        <v>2.13</v>
      </c>
      <c r="G1235" s="217">
        <v>51.69</v>
      </c>
      <c r="H1235" s="218">
        <f>F1235*G1235</f>
        <v>110.09969999999998</v>
      </c>
    </row>
    <row r="1236" spans="2:8" x14ac:dyDescent="0.2">
      <c r="B1236" s="235" t="s">
        <v>1488</v>
      </c>
      <c r="C1236" s="132"/>
      <c r="D1236" s="236">
        <v>1</v>
      </c>
      <c r="E1236" s="237">
        <v>2.13</v>
      </c>
      <c r="F1236" s="216">
        <f>D1236*E1236</f>
        <v>2.13</v>
      </c>
      <c r="G1236" s="217">
        <v>33.96</v>
      </c>
      <c r="H1236" s="218">
        <f>F1236*G1236</f>
        <v>72.334800000000001</v>
      </c>
    </row>
    <row r="1237" spans="2:8" x14ac:dyDescent="0.2">
      <c r="B1237" s="235" t="s">
        <v>590</v>
      </c>
      <c r="C1237" s="132"/>
      <c r="D1237" s="236">
        <v>1</v>
      </c>
      <c r="E1237" s="237">
        <v>2.13</v>
      </c>
      <c r="F1237" s="216">
        <f>D1237*E1237</f>
        <v>2.13</v>
      </c>
      <c r="G1237" s="217">
        <v>23.95</v>
      </c>
      <c r="H1237" s="218">
        <v>51.01</v>
      </c>
    </row>
    <row r="1238" spans="2:8" x14ac:dyDescent="0.2">
      <c r="B1238" s="235"/>
      <c r="C1238" s="132"/>
      <c r="D1238" s="236"/>
      <c r="E1238" s="237"/>
      <c r="F1238" s="216"/>
      <c r="G1238" s="217"/>
      <c r="H1238" s="218"/>
    </row>
    <row r="1239" spans="2:8" x14ac:dyDescent="0.2">
      <c r="B1239" s="219" t="s">
        <v>1682</v>
      </c>
      <c r="C1239" s="220"/>
      <c r="D1239" s="221"/>
      <c r="E1239" s="222" t="s">
        <v>1682</v>
      </c>
      <c r="F1239" s="222" t="s">
        <v>1682</v>
      </c>
      <c r="G1239" s="223"/>
      <c r="H1239" s="224" t="s">
        <v>1682</v>
      </c>
    </row>
    <row r="1240" spans="2:8" x14ac:dyDescent="0.2">
      <c r="B1240" s="238" t="s">
        <v>1681</v>
      </c>
      <c r="C1240" s="239"/>
      <c r="D1240" s="240"/>
      <c r="E1240" s="239"/>
      <c r="F1240" s="239"/>
      <c r="G1240" s="239"/>
      <c r="H1240" s="241">
        <f>SUM(H1235:H1239)</f>
        <v>233.44449999999998</v>
      </c>
    </row>
    <row r="1241" spans="2:8" x14ac:dyDescent="0.2">
      <c r="B1241" s="227" t="s">
        <v>1684</v>
      </c>
      <c r="C1241" s="132"/>
      <c r="D1241" s="188"/>
      <c r="E1241" s="132"/>
      <c r="F1241" s="132"/>
      <c r="G1241" s="132"/>
      <c r="H1241" s="218"/>
    </row>
    <row r="1242" spans="2:8" ht="25.5" x14ac:dyDescent="0.2">
      <c r="B1242" s="229" t="s">
        <v>1409</v>
      </c>
      <c r="C1242" s="242"/>
      <c r="D1242" s="243"/>
      <c r="E1242" s="232" t="s">
        <v>1408</v>
      </c>
      <c r="F1242" s="231" t="s">
        <v>1679</v>
      </c>
      <c r="G1242" s="232" t="s">
        <v>1683</v>
      </c>
      <c r="H1242" s="234" t="s">
        <v>1675</v>
      </c>
    </row>
    <row r="1243" spans="2:8" x14ac:dyDescent="0.2">
      <c r="B1243" s="244" t="s">
        <v>443</v>
      </c>
      <c r="C1243" s="132"/>
      <c r="D1243" s="188"/>
      <c r="E1243" s="215" t="s">
        <v>1506</v>
      </c>
      <c r="F1243" s="215">
        <v>12</v>
      </c>
      <c r="G1243" s="216">
        <v>6</v>
      </c>
      <c r="H1243" s="218">
        <f>F1243*G1243</f>
        <v>72</v>
      </c>
    </row>
    <row r="1244" spans="2:8" x14ac:dyDescent="0.2">
      <c r="B1244" s="214" t="s">
        <v>444</v>
      </c>
      <c r="C1244" s="132"/>
      <c r="D1244" s="188"/>
      <c r="E1244" s="215" t="s">
        <v>1506</v>
      </c>
      <c r="F1244" s="215">
        <v>2</v>
      </c>
      <c r="G1244" s="216">
        <v>1.8</v>
      </c>
      <c r="H1244" s="218">
        <f>F1244*G1244</f>
        <v>3.6</v>
      </c>
    </row>
    <row r="1245" spans="2:8" x14ac:dyDescent="0.2">
      <c r="B1245" s="214"/>
      <c r="C1245" s="132"/>
      <c r="D1245" s="188"/>
      <c r="E1245" s="215"/>
      <c r="F1245" s="215"/>
      <c r="G1245" s="216"/>
      <c r="H1245" s="218"/>
    </row>
    <row r="1246" spans="2:8" x14ac:dyDescent="0.2">
      <c r="B1246" s="214" t="s">
        <v>1682</v>
      </c>
      <c r="C1246" s="132"/>
      <c r="D1246" s="245" t="s">
        <v>1682</v>
      </c>
      <c r="E1246" s="272" t="s">
        <v>1682</v>
      </c>
      <c r="F1246" s="215" t="s">
        <v>1682</v>
      </c>
      <c r="G1246" s="216" t="s">
        <v>1682</v>
      </c>
      <c r="H1246" s="218" t="s">
        <v>1682</v>
      </c>
    </row>
    <row r="1247" spans="2:8" x14ac:dyDescent="0.2">
      <c r="B1247" s="238" t="s">
        <v>1692</v>
      </c>
      <c r="C1247" s="239"/>
      <c r="D1247" s="240"/>
      <c r="E1247" s="240"/>
      <c r="F1247" s="240"/>
      <c r="G1247" s="239"/>
      <c r="H1247" s="241">
        <f>SUM(H1243:H1246)</f>
        <v>75.599999999999994</v>
      </c>
    </row>
    <row r="1248" spans="2:8" x14ac:dyDescent="0.2">
      <c r="B1248" s="227" t="s">
        <v>1680</v>
      </c>
      <c r="C1248" s="132"/>
      <c r="D1248" s="188"/>
      <c r="E1248" s="132"/>
      <c r="F1248" s="188"/>
      <c r="G1248" s="132"/>
      <c r="H1248" s="218"/>
    </row>
    <row r="1249" spans="2:8" ht="25.5" x14ac:dyDescent="0.2">
      <c r="B1249" s="229" t="s">
        <v>1409</v>
      </c>
      <c r="C1249" s="242"/>
      <c r="D1249" s="243"/>
      <c r="E1249" s="232" t="s">
        <v>1408</v>
      </c>
      <c r="F1249" s="231" t="s">
        <v>1679</v>
      </c>
      <c r="G1249" s="232" t="s">
        <v>1676</v>
      </c>
      <c r="H1249" s="234" t="s">
        <v>1675</v>
      </c>
    </row>
    <row r="1250" spans="2:8" x14ac:dyDescent="0.2">
      <c r="B1250" s="208" t="s">
        <v>975</v>
      </c>
      <c r="C1250" s="209"/>
      <c r="D1250" s="246"/>
      <c r="E1250" s="215" t="s">
        <v>976</v>
      </c>
      <c r="F1250" s="215">
        <v>0.5</v>
      </c>
      <c r="G1250" s="247">
        <v>5</v>
      </c>
      <c r="H1250" s="218">
        <f>F1250*G1250</f>
        <v>2.5</v>
      </c>
    </row>
    <row r="1251" spans="2:8" x14ac:dyDescent="0.2">
      <c r="B1251" s="214"/>
      <c r="C1251" s="132"/>
      <c r="D1251" s="248"/>
      <c r="E1251" s="215"/>
      <c r="F1251" s="215"/>
      <c r="G1251" s="247"/>
      <c r="H1251" s="218"/>
    </row>
    <row r="1252" spans="2:8" x14ac:dyDescent="0.2">
      <c r="B1252" s="219" t="s">
        <v>1682</v>
      </c>
      <c r="C1252" s="220"/>
      <c r="D1252" s="249"/>
      <c r="E1252" s="221" t="s">
        <v>1682</v>
      </c>
      <c r="F1252" s="221"/>
      <c r="G1252" s="222" t="s">
        <v>1682</v>
      </c>
      <c r="H1252" s="224" t="s">
        <v>1682</v>
      </c>
    </row>
    <row r="1253" spans="2:8" ht="13.5" thickBot="1" x14ac:dyDescent="0.25">
      <c r="B1253" s="250" t="s">
        <v>977</v>
      </c>
      <c r="C1253" s="251"/>
      <c r="D1253" s="252"/>
      <c r="E1253" s="252"/>
      <c r="F1253" s="252"/>
      <c r="G1253" s="251"/>
      <c r="H1253" s="253">
        <f>SUM(H1250:H1252)</f>
        <v>2.5</v>
      </c>
    </row>
    <row r="1254" spans="2:8" x14ac:dyDescent="0.2">
      <c r="B1254" s="132"/>
      <c r="C1254" s="132"/>
      <c r="D1254" s="254"/>
      <c r="E1254" s="198"/>
      <c r="F1254" s="198"/>
      <c r="G1254" s="255" t="s">
        <v>978</v>
      </c>
      <c r="H1254" s="256">
        <f>H1232+H1240+H1247+H1253</f>
        <v>313.04449999999997</v>
      </c>
    </row>
    <row r="1255" spans="2:8" x14ac:dyDescent="0.2">
      <c r="B1255" s="132"/>
      <c r="C1255" s="132"/>
      <c r="D1255" s="257"/>
      <c r="E1255" s="239"/>
      <c r="F1255" s="239"/>
      <c r="G1255" s="258" t="s">
        <v>979</v>
      </c>
      <c r="H1255" s="241"/>
    </row>
    <row r="1256" spans="2:8" x14ac:dyDescent="0.2">
      <c r="B1256" s="132"/>
      <c r="C1256" s="132"/>
      <c r="D1256" s="257"/>
      <c r="E1256" s="239"/>
      <c r="F1256" s="239"/>
      <c r="G1256" s="258" t="s">
        <v>980</v>
      </c>
      <c r="H1256" s="241"/>
    </row>
    <row r="1257" spans="2:8" x14ac:dyDescent="0.2">
      <c r="B1257" s="132"/>
      <c r="C1257" s="132"/>
      <c r="D1257" s="257"/>
      <c r="E1257" s="239"/>
      <c r="F1257" s="239"/>
      <c r="G1257" s="259" t="s">
        <v>1670</v>
      </c>
      <c r="H1257" s="260"/>
    </row>
    <row r="1258" spans="2:8" ht="13.5" thickBot="1" x14ac:dyDescent="0.25">
      <c r="B1258" s="193"/>
      <c r="C1258" s="132"/>
      <c r="D1258" s="261"/>
      <c r="E1258" s="251"/>
      <c r="F1258" s="251"/>
      <c r="G1258" s="262" t="s">
        <v>1650</v>
      </c>
      <c r="H1258" s="263"/>
    </row>
    <row r="1259" spans="2:8" ht="15.75" x14ac:dyDescent="0.2">
      <c r="B1259" s="186" t="s">
        <v>1701</v>
      </c>
      <c r="C1259" s="132"/>
      <c r="D1259" s="189" t="s">
        <v>742</v>
      </c>
      <c r="E1259" s="132"/>
      <c r="F1259" s="132"/>
      <c r="G1259" s="188"/>
      <c r="H1259" s="132"/>
    </row>
    <row r="1260" spans="2:8" ht="15.75" x14ac:dyDescent="0.2">
      <c r="B1260" s="186" t="s">
        <v>1700</v>
      </c>
      <c r="C1260" s="189" t="s">
        <v>963</v>
      </c>
      <c r="D1260" s="132"/>
      <c r="E1260" s="132"/>
      <c r="F1260" s="132"/>
      <c r="G1260" s="190"/>
      <c r="H1260" s="191"/>
    </row>
    <row r="1261" spans="2:8" ht="14.25" x14ac:dyDescent="0.2">
      <c r="B1261" s="189"/>
      <c r="C1261" s="189"/>
      <c r="D1261" s="189"/>
      <c r="E1261" s="189"/>
      <c r="F1261" s="189"/>
      <c r="G1261" s="189"/>
      <c r="H1261" s="189"/>
    </row>
    <row r="1262" spans="2:8" ht="15.75" x14ac:dyDescent="0.2">
      <c r="B1262" s="186" t="s">
        <v>1697</v>
      </c>
      <c r="C1262" s="189"/>
      <c r="D1262" s="132"/>
      <c r="E1262" s="132"/>
      <c r="F1262" s="132"/>
      <c r="G1262" s="132"/>
      <c r="H1262" s="132"/>
    </row>
    <row r="1263" spans="2:8" ht="15" x14ac:dyDescent="0.2">
      <c r="B1263" s="192"/>
      <c r="C1263" s="189"/>
      <c r="D1263" s="189"/>
      <c r="E1263" s="189"/>
      <c r="F1263" s="189"/>
      <c r="G1263" s="189"/>
      <c r="H1263" s="189"/>
    </row>
    <row r="1264" spans="2:8" ht="14.25" x14ac:dyDescent="0.2">
      <c r="B1264" s="193" t="s">
        <v>594</v>
      </c>
      <c r="C1264" s="194" t="s">
        <v>445</v>
      </c>
      <c r="D1264" s="132"/>
      <c r="E1264" s="188"/>
      <c r="F1264" s="188"/>
      <c r="G1264" s="195" t="s">
        <v>1696</v>
      </c>
      <c r="H1264" s="189" t="s">
        <v>1506</v>
      </c>
    </row>
    <row r="1265" spans="2:8" ht="14.25" x14ac:dyDescent="0.2">
      <c r="B1265" s="196" t="s">
        <v>964</v>
      </c>
      <c r="C1265" s="194" t="s">
        <v>446</v>
      </c>
      <c r="D1265" s="132"/>
      <c r="E1265" s="132"/>
      <c r="F1265" s="132"/>
      <c r="G1265" s="132"/>
      <c r="H1265" s="132"/>
    </row>
    <row r="1266" spans="2:8" ht="15" thickBot="1" x14ac:dyDescent="0.25">
      <c r="B1266" s="187"/>
      <c r="C1266" s="187"/>
      <c r="D1266" s="189"/>
      <c r="E1266" s="189"/>
      <c r="F1266" s="189"/>
      <c r="G1266" s="189"/>
      <c r="H1266" s="189"/>
    </row>
    <row r="1267" spans="2:8" ht="13.5" thickBot="1" x14ac:dyDescent="0.25">
      <c r="B1267" s="264" t="s">
        <v>1695</v>
      </c>
      <c r="C1267" s="265"/>
      <c r="D1267" s="266"/>
      <c r="E1267" s="265"/>
      <c r="F1267" s="265"/>
      <c r="G1267" s="265"/>
      <c r="H1267" s="267"/>
    </row>
    <row r="1268" spans="2:8" ht="25.5" x14ac:dyDescent="0.2">
      <c r="B1268" s="197" t="s">
        <v>1409</v>
      </c>
      <c r="C1268" s="268"/>
      <c r="D1268" s="269" t="s">
        <v>966</v>
      </c>
      <c r="E1268" s="270" t="s">
        <v>1694</v>
      </c>
      <c r="F1268" s="270" t="s">
        <v>1693</v>
      </c>
      <c r="G1268" s="201" t="s">
        <v>1687</v>
      </c>
      <c r="H1268" s="271" t="s">
        <v>967</v>
      </c>
    </row>
    <row r="1269" spans="2:8" x14ac:dyDescent="0.2">
      <c r="B1269" s="208" t="s">
        <v>1468</v>
      </c>
      <c r="C1269" s="209"/>
      <c r="D1269" s="210">
        <v>1</v>
      </c>
      <c r="E1269" s="211">
        <v>2.5</v>
      </c>
      <c r="F1269" s="211">
        <f>D1269*E1269</f>
        <v>2.5</v>
      </c>
      <c r="G1269" s="212">
        <v>0.6</v>
      </c>
      <c r="H1269" s="213">
        <f>F1269*G1269</f>
        <v>1.5</v>
      </c>
    </row>
    <row r="1270" spans="2:8" x14ac:dyDescent="0.2">
      <c r="B1270" s="214" t="s">
        <v>1682</v>
      </c>
      <c r="C1270" s="132"/>
      <c r="D1270" s="215"/>
      <c r="E1270" s="216" t="s">
        <v>1682</v>
      </c>
      <c r="F1270" s="216" t="s">
        <v>1682</v>
      </c>
      <c r="G1270" s="217"/>
      <c r="H1270" s="218" t="s">
        <v>1682</v>
      </c>
    </row>
    <row r="1271" spans="2:8" x14ac:dyDescent="0.2">
      <c r="B1271" s="219" t="s">
        <v>1682</v>
      </c>
      <c r="C1271" s="220"/>
      <c r="D1271" s="221"/>
      <c r="E1271" s="222" t="s">
        <v>1682</v>
      </c>
      <c r="F1271" s="222" t="s">
        <v>1682</v>
      </c>
      <c r="G1271" s="223"/>
      <c r="H1271" s="224" t="s">
        <v>1682</v>
      </c>
    </row>
    <row r="1272" spans="2:8" x14ac:dyDescent="0.2">
      <c r="B1272" s="219" t="s">
        <v>968</v>
      </c>
      <c r="C1272" s="220"/>
      <c r="D1272" s="225"/>
      <c r="E1272" s="220"/>
      <c r="F1272" s="220"/>
      <c r="G1272" s="226"/>
      <c r="H1272" s="224">
        <f>SUM(H1269:H1271)</f>
        <v>1.5</v>
      </c>
    </row>
    <row r="1273" spans="2:8" x14ac:dyDescent="0.2">
      <c r="B1273" s="227" t="s">
        <v>1503</v>
      </c>
      <c r="C1273" s="132"/>
      <c r="D1273" s="188"/>
      <c r="E1273" s="132"/>
      <c r="F1273" s="132"/>
      <c r="G1273" s="228"/>
      <c r="H1273" s="218"/>
    </row>
    <row r="1274" spans="2:8" ht="25.5" x14ac:dyDescent="0.2">
      <c r="B1274" s="229" t="s">
        <v>1691</v>
      </c>
      <c r="C1274" s="230"/>
      <c r="D1274" s="231" t="s">
        <v>969</v>
      </c>
      <c r="E1274" s="232" t="s">
        <v>1689</v>
      </c>
      <c r="F1274" s="232" t="s">
        <v>1688</v>
      </c>
      <c r="G1274" s="233" t="s">
        <v>1687</v>
      </c>
      <c r="H1274" s="234" t="s">
        <v>1686</v>
      </c>
    </row>
    <row r="1275" spans="2:8" x14ac:dyDescent="0.2">
      <c r="B1275" s="235" t="s">
        <v>243</v>
      </c>
      <c r="C1275" s="132"/>
      <c r="D1275" s="236">
        <v>1</v>
      </c>
      <c r="E1275" s="237">
        <v>2.13</v>
      </c>
      <c r="F1275" s="216">
        <f>D1275*E1275</f>
        <v>2.13</v>
      </c>
      <c r="G1275" s="217">
        <v>11.19</v>
      </c>
      <c r="H1275" s="218">
        <f>F1275*G1275</f>
        <v>23.834699999999998</v>
      </c>
    </row>
    <row r="1276" spans="2:8" x14ac:dyDescent="0.2">
      <c r="B1276" s="235" t="s">
        <v>1488</v>
      </c>
      <c r="C1276" s="132"/>
      <c r="D1276" s="236">
        <v>1</v>
      </c>
      <c r="E1276" s="237">
        <v>2.13</v>
      </c>
      <c r="F1276" s="216">
        <f>D1276*E1276</f>
        <v>2.13</v>
      </c>
      <c r="G1276" s="217">
        <v>8.35</v>
      </c>
      <c r="H1276" s="218">
        <v>17.78</v>
      </c>
    </row>
    <row r="1277" spans="2:8" x14ac:dyDescent="0.2">
      <c r="B1277" s="235" t="s">
        <v>590</v>
      </c>
      <c r="C1277" s="132"/>
      <c r="D1277" s="236">
        <v>1</v>
      </c>
      <c r="E1277" s="237">
        <v>2.13</v>
      </c>
      <c r="F1277" s="216">
        <f>D1277*E1277</f>
        <v>2.13</v>
      </c>
      <c r="G1277" s="217">
        <v>5.97</v>
      </c>
      <c r="H1277" s="218">
        <f>F1277*G1277</f>
        <v>12.716099999999999</v>
      </c>
    </row>
    <row r="1278" spans="2:8" x14ac:dyDescent="0.2">
      <c r="B1278" s="235"/>
      <c r="C1278" s="132"/>
      <c r="D1278" s="236"/>
      <c r="E1278" s="237"/>
      <c r="F1278" s="216"/>
      <c r="G1278" s="217"/>
      <c r="H1278" s="218"/>
    </row>
    <row r="1279" spans="2:8" x14ac:dyDescent="0.2">
      <c r="B1279" s="219" t="s">
        <v>1682</v>
      </c>
      <c r="C1279" s="220"/>
      <c r="D1279" s="221"/>
      <c r="E1279" s="222" t="s">
        <v>1682</v>
      </c>
      <c r="F1279" s="222" t="s">
        <v>1682</v>
      </c>
      <c r="G1279" s="223"/>
      <c r="H1279" s="224" t="s">
        <v>1682</v>
      </c>
    </row>
    <row r="1280" spans="2:8" x14ac:dyDescent="0.2">
      <c r="B1280" s="238" t="s">
        <v>1681</v>
      </c>
      <c r="C1280" s="239"/>
      <c r="D1280" s="240"/>
      <c r="E1280" s="239"/>
      <c r="F1280" s="239"/>
      <c r="G1280" s="239"/>
      <c r="H1280" s="241">
        <f>SUM(H1275:H1279)</f>
        <v>54.330799999999996</v>
      </c>
    </row>
    <row r="1281" spans="2:8" x14ac:dyDescent="0.2">
      <c r="B1281" s="227" t="s">
        <v>1684</v>
      </c>
      <c r="C1281" s="132"/>
      <c r="D1281" s="188"/>
      <c r="E1281" s="132"/>
      <c r="F1281" s="132"/>
      <c r="G1281" s="132"/>
      <c r="H1281" s="218"/>
    </row>
    <row r="1282" spans="2:8" ht="25.5" x14ac:dyDescent="0.2">
      <c r="B1282" s="229" t="s">
        <v>1409</v>
      </c>
      <c r="C1282" s="242"/>
      <c r="D1282" s="243"/>
      <c r="E1282" s="232" t="s">
        <v>1408</v>
      </c>
      <c r="F1282" s="231" t="s">
        <v>1679</v>
      </c>
      <c r="G1282" s="232" t="s">
        <v>1683</v>
      </c>
      <c r="H1282" s="234" t="s">
        <v>1675</v>
      </c>
    </row>
    <row r="1283" spans="2:8" x14ac:dyDescent="0.2">
      <c r="B1283" s="244" t="s">
        <v>429</v>
      </c>
      <c r="C1283" s="132"/>
      <c r="D1283" s="188"/>
      <c r="E1283" s="215" t="s">
        <v>1506</v>
      </c>
      <c r="F1283" s="215">
        <v>2</v>
      </c>
      <c r="G1283" s="216">
        <v>7</v>
      </c>
      <c r="H1283" s="218">
        <f>F1283*G1283</f>
        <v>14</v>
      </c>
    </row>
    <row r="1284" spans="2:8" x14ac:dyDescent="0.2">
      <c r="B1284" s="214" t="s">
        <v>430</v>
      </c>
      <c r="C1284" s="132"/>
      <c r="D1284" s="188"/>
      <c r="E1284" s="215" t="s">
        <v>1506</v>
      </c>
      <c r="F1284" s="215">
        <v>4</v>
      </c>
      <c r="G1284" s="216">
        <v>1.2</v>
      </c>
      <c r="H1284" s="218">
        <f>F1284*G1284</f>
        <v>4.8</v>
      </c>
    </row>
    <row r="1285" spans="2:8" x14ac:dyDescent="0.2">
      <c r="B1285" s="214" t="s">
        <v>431</v>
      </c>
      <c r="C1285" s="132"/>
      <c r="D1285" s="188"/>
      <c r="E1285" s="215" t="s">
        <v>1506</v>
      </c>
      <c r="F1285" s="215">
        <v>2</v>
      </c>
      <c r="G1285" s="216">
        <v>2.4</v>
      </c>
      <c r="H1285" s="218">
        <f>F1285*G1285</f>
        <v>4.8</v>
      </c>
    </row>
    <row r="1286" spans="2:8" x14ac:dyDescent="0.2">
      <c r="B1286" s="214" t="s">
        <v>423</v>
      </c>
      <c r="C1286" s="132"/>
      <c r="D1286" s="188"/>
      <c r="E1286" s="215" t="s">
        <v>1708</v>
      </c>
      <c r="F1286" s="215">
        <v>27</v>
      </c>
      <c r="G1286" s="216">
        <v>1.5</v>
      </c>
      <c r="H1286" s="218">
        <f>F1286*G1286</f>
        <v>40.5</v>
      </c>
    </row>
    <row r="1287" spans="2:8" x14ac:dyDescent="0.2">
      <c r="B1287" s="214" t="s">
        <v>432</v>
      </c>
      <c r="C1287" s="132"/>
      <c r="D1287" s="188"/>
      <c r="E1287" s="215" t="s">
        <v>1708</v>
      </c>
      <c r="F1287" s="215">
        <v>8</v>
      </c>
      <c r="G1287" s="216">
        <v>1</v>
      </c>
      <c r="H1287" s="218">
        <f>F1287*G1287</f>
        <v>8</v>
      </c>
    </row>
    <row r="1288" spans="2:8" x14ac:dyDescent="0.2">
      <c r="B1288" s="214"/>
      <c r="C1288" s="132"/>
      <c r="D1288" s="188"/>
      <c r="E1288" s="215"/>
      <c r="F1288" s="215"/>
      <c r="G1288" s="216"/>
      <c r="H1288" s="218"/>
    </row>
    <row r="1289" spans="2:8" x14ac:dyDescent="0.2">
      <c r="B1289" s="214" t="s">
        <v>1682</v>
      </c>
      <c r="C1289" s="132"/>
      <c r="D1289" s="245" t="s">
        <v>1682</v>
      </c>
      <c r="E1289" s="272" t="s">
        <v>1682</v>
      </c>
      <c r="F1289" s="215" t="s">
        <v>1682</v>
      </c>
      <c r="G1289" s="216" t="s">
        <v>1682</v>
      </c>
      <c r="H1289" s="218" t="s">
        <v>1682</v>
      </c>
    </row>
    <row r="1290" spans="2:8" x14ac:dyDescent="0.2">
      <c r="B1290" s="238" t="s">
        <v>1692</v>
      </c>
      <c r="C1290" s="239"/>
      <c r="D1290" s="240"/>
      <c r="E1290" s="240"/>
      <c r="F1290" s="240"/>
      <c r="G1290" s="239"/>
      <c r="H1290" s="241">
        <f>SUM(H1283:H1289)</f>
        <v>72.099999999999994</v>
      </c>
    </row>
    <row r="1291" spans="2:8" x14ac:dyDescent="0.2">
      <c r="B1291" s="227" t="s">
        <v>1680</v>
      </c>
      <c r="C1291" s="132"/>
      <c r="D1291" s="188"/>
      <c r="E1291" s="132"/>
      <c r="F1291" s="188"/>
      <c r="G1291" s="132"/>
      <c r="H1291" s="218"/>
    </row>
    <row r="1292" spans="2:8" ht="25.5" x14ac:dyDescent="0.2">
      <c r="B1292" s="229" t="s">
        <v>1409</v>
      </c>
      <c r="C1292" s="242"/>
      <c r="D1292" s="243"/>
      <c r="E1292" s="232" t="s">
        <v>1408</v>
      </c>
      <c r="F1292" s="231" t="s">
        <v>1679</v>
      </c>
      <c r="G1292" s="232" t="s">
        <v>1676</v>
      </c>
      <c r="H1292" s="234" t="s">
        <v>1675</v>
      </c>
    </row>
    <row r="1293" spans="2:8" x14ac:dyDescent="0.2">
      <c r="B1293" s="208" t="s">
        <v>975</v>
      </c>
      <c r="C1293" s="209"/>
      <c r="D1293" s="246"/>
      <c r="E1293" s="215" t="s">
        <v>976</v>
      </c>
      <c r="F1293" s="215">
        <v>0.5</v>
      </c>
      <c r="G1293" s="247">
        <v>5</v>
      </c>
      <c r="H1293" s="218">
        <f>F1293*G1293</f>
        <v>2.5</v>
      </c>
    </row>
    <row r="1294" spans="2:8" x14ac:dyDescent="0.2">
      <c r="B1294" s="214"/>
      <c r="C1294" s="132"/>
      <c r="D1294" s="248"/>
      <c r="E1294" s="215"/>
      <c r="F1294" s="215"/>
      <c r="G1294" s="247"/>
      <c r="H1294" s="218"/>
    </row>
    <row r="1295" spans="2:8" x14ac:dyDescent="0.2">
      <c r="B1295" s="219" t="s">
        <v>1682</v>
      </c>
      <c r="C1295" s="220"/>
      <c r="D1295" s="249"/>
      <c r="E1295" s="221" t="s">
        <v>1682</v>
      </c>
      <c r="F1295" s="221"/>
      <c r="G1295" s="222" t="s">
        <v>1682</v>
      </c>
      <c r="H1295" s="224" t="s">
        <v>1682</v>
      </c>
    </row>
    <row r="1296" spans="2:8" ht="13.5" thickBot="1" x14ac:dyDescent="0.25">
      <c r="B1296" s="250" t="s">
        <v>977</v>
      </c>
      <c r="C1296" s="251"/>
      <c r="D1296" s="252"/>
      <c r="E1296" s="252"/>
      <c r="F1296" s="252"/>
      <c r="G1296" s="251"/>
      <c r="H1296" s="253">
        <f>SUM(H1293:H1295)</f>
        <v>2.5</v>
      </c>
    </row>
    <row r="1297" spans="2:8" x14ac:dyDescent="0.2">
      <c r="B1297" s="132"/>
      <c r="C1297" s="132"/>
      <c r="D1297" s="254"/>
      <c r="E1297" s="198"/>
      <c r="F1297" s="198"/>
      <c r="G1297" s="255" t="s">
        <v>978</v>
      </c>
      <c r="H1297" s="256">
        <f>H1272+H1280+H1290+H1296</f>
        <v>130.43079999999998</v>
      </c>
    </row>
    <row r="1298" spans="2:8" x14ac:dyDescent="0.2">
      <c r="B1298" s="132"/>
      <c r="C1298" s="132"/>
      <c r="D1298" s="257"/>
      <c r="E1298" s="239"/>
      <c r="F1298" s="239"/>
      <c r="G1298" s="258" t="s">
        <v>979</v>
      </c>
      <c r="H1298" s="241"/>
    </row>
    <row r="1299" spans="2:8" x14ac:dyDescent="0.2">
      <c r="B1299" s="132"/>
      <c r="C1299" s="132"/>
      <c r="D1299" s="257"/>
      <c r="E1299" s="239"/>
      <c r="F1299" s="239"/>
      <c r="G1299" s="258" t="s">
        <v>980</v>
      </c>
      <c r="H1299" s="241"/>
    </row>
    <row r="1300" spans="2:8" x14ac:dyDescent="0.2">
      <c r="B1300" s="132"/>
      <c r="C1300" s="132"/>
      <c r="D1300" s="257"/>
      <c r="E1300" s="239"/>
      <c r="F1300" s="239"/>
      <c r="G1300" s="259" t="s">
        <v>1670</v>
      </c>
      <c r="H1300" s="260"/>
    </row>
    <row r="1301" spans="2:8" ht="13.5" thickBot="1" x14ac:dyDescent="0.25">
      <c r="B1301" s="193"/>
      <c r="C1301" s="132"/>
      <c r="D1301" s="261"/>
      <c r="E1301" s="251"/>
      <c r="F1301" s="251"/>
      <c r="G1301" s="262" t="s">
        <v>1650</v>
      </c>
      <c r="H1301" s="263"/>
    </row>
    <row r="1302" spans="2:8" ht="15.75" x14ac:dyDescent="0.2">
      <c r="B1302" s="186" t="s">
        <v>1701</v>
      </c>
      <c r="C1302" s="132"/>
      <c r="D1302" s="189" t="s">
        <v>742</v>
      </c>
      <c r="E1302" s="132"/>
      <c r="F1302" s="132"/>
      <c r="G1302" s="188"/>
      <c r="H1302" s="132"/>
    </row>
    <row r="1303" spans="2:8" ht="15.75" x14ac:dyDescent="0.2">
      <c r="B1303" s="186" t="s">
        <v>1700</v>
      </c>
      <c r="C1303" s="189" t="s">
        <v>963</v>
      </c>
      <c r="D1303" s="132"/>
      <c r="E1303" s="132"/>
      <c r="F1303" s="132"/>
      <c r="G1303" s="190"/>
      <c r="H1303" s="191"/>
    </row>
    <row r="1304" spans="2:8" ht="14.25" x14ac:dyDescent="0.2">
      <c r="B1304" s="189"/>
      <c r="C1304" s="189"/>
      <c r="D1304" s="189"/>
      <c r="E1304" s="189"/>
      <c r="F1304" s="189"/>
      <c r="G1304" s="189"/>
      <c r="H1304" s="189"/>
    </row>
    <row r="1305" spans="2:8" ht="15.75" x14ac:dyDescent="0.2">
      <c r="B1305" s="186" t="s">
        <v>1697</v>
      </c>
      <c r="C1305" s="189"/>
      <c r="D1305" s="132"/>
      <c r="E1305" s="132"/>
      <c r="F1305" s="132"/>
      <c r="G1305" s="132"/>
      <c r="H1305" s="132"/>
    </row>
    <row r="1306" spans="2:8" ht="15" x14ac:dyDescent="0.2">
      <c r="B1306" s="192"/>
      <c r="C1306" s="189"/>
      <c r="D1306" s="189"/>
      <c r="E1306" s="189"/>
      <c r="F1306" s="189"/>
      <c r="G1306" s="189"/>
      <c r="H1306" s="189"/>
    </row>
    <row r="1307" spans="2:8" ht="14.25" x14ac:dyDescent="0.2">
      <c r="B1307" s="193" t="s">
        <v>594</v>
      </c>
      <c r="C1307" s="194" t="s">
        <v>447</v>
      </c>
      <c r="D1307" s="132"/>
      <c r="E1307" s="188"/>
      <c r="F1307" s="188"/>
      <c r="G1307" s="195" t="s">
        <v>1696</v>
      </c>
      <c r="H1307" s="189" t="s">
        <v>1506</v>
      </c>
    </row>
    <row r="1308" spans="2:8" ht="14.25" x14ac:dyDescent="0.2">
      <c r="B1308" s="196" t="s">
        <v>964</v>
      </c>
      <c r="C1308" s="194" t="s">
        <v>448</v>
      </c>
      <c r="D1308" s="132"/>
      <c r="E1308" s="132"/>
      <c r="F1308" s="132"/>
      <c r="G1308" s="132"/>
      <c r="H1308" s="132"/>
    </row>
    <row r="1309" spans="2:8" ht="15" thickBot="1" x14ac:dyDescent="0.25">
      <c r="B1309" s="187"/>
      <c r="C1309" s="187"/>
      <c r="D1309" s="189"/>
      <c r="E1309" s="189"/>
      <c r="F1309" s="189"/>
      <c r="G1309" s="189"/>
      <c r="H1309" s="189"/>
    </row>
    <row r="1310" spans="2:8" ht="13.5" thickBot="1" x14ac:dyDescent="0.25">
      <c r="B1310" s="264" t="s">
        <v>1695</v>
      </c>
      <c r="C1310" s="265"/>
      <c r="D1310" s="266"/>
      <c r="E1310" s="265"/>
      <c r="F1310" s="265"/>
      <c r="G1310" s="265"/>
      <c r="H1310" s="267"/>
    </row>
    <row r="1311" spans="2:8" ht="25.5" x14ac:dyDescent="0.2">
      <c r="B1311" s="197" t="s">
        <v>1409</v>
      </c>
      <c r="C1311" s="268"/>
      <c r="D1311" s="269" t="s">
        <v>966</v>
      </c>
      <c r="E1311" s="270" t="s">
        <v>1694</v>
      </c>
      <c r="F1311" s="270" t="s">
        <v>1693</v>
      </c>
      <c r="G1311" s="201" t="s">
        <v>1687</v>
      </c>
      <c r="H1311" s="271" t="s">
        <v>967</v>
      </c>
    </row>
    <row r="1312" spans="2:8" x14ac:dyDescent="0.2">
      <c r="B1312" s="208" t="s">
        <v>1468</v>
      </c>
      <c r="C1312" s="209"/>
      <c r="D1312" s="210">
        <v>1</v>
      </c>
      <c r="E1312" s="211">
        <v>2.5</v>
      </c>
      <c r="F1312" s="211">
        <f>D1312*E1312</f>
        <v>2.5</v>
      </c>
      <c r="G1312" s="212">
        <v>0.6</v>
      </c>
      <c r="H1312" s="213">
        <f>F1312*G1312</f>
        <v>1.5</v>
      </c>
    </row>
    <row r="1313" spans="2:8" x14ac:dyDescent="0.2">
      <c r="B1313" s="214" t="s">
        <v>1682</v>
      </c>
      <c r="C1313" s="132"/>
      <c r="D1313" s="215"/>
      <c r="E1313" s="216" t="s">
        <v>1682</v>
      </c>
      <c r="F1313" s="216" t="s">
        <v>1682</v>
      </c>
      <c r="G1313" s="217"/>
      <c r="H1313" s="218" t="s">
        <v>1682</v>
      </c>
    </row>
    <row r="1314" spans="2:8" x14ac:dyDescent="0.2">
      <c r="B1314" s="219" t="s">
        <v>1682</v>
      </c>
      <c r="C1314" s="220"/>
      <c r="D1314" s="221"/>
      <c r="E1314" s="222" t="s">
        <v>1682</v>
      </c>
      <c r="F1314" s="222" t="s">
        <v>1682</v>
      </c>
      <c r="G1314" s="223"/>
      <c r="H1314" s="224" t="s">
        <v>1682</v>
      </c>
    </row>
    <row r="1315" spans="2:8" x14ac:dyDescent="0.2">
      <c r="B1315" s="219" t="s">
        <v>968</v>
      </c>
      <c r="C1315" s="220"/>
      <c r="D1315" s="225"/>
      <c r="E1315" s="220"/>
      <c r="F1315" s="220"/>
      <c r="G1315" s="226"/>
      <c r="H1315" s="224">
        <f>SUM(H1312:H1314)</f>
        <v>1.5</v>
      </c>
    </row>
    <row r="1316" spans="2:8" x14ac:dyDescent="0.2">
      <c r="B1316" s="227" t="s">
        <v>1503</v>
      </c>
      <c r="C1316" s="132"/>
      <c r="D1316" s="188"/>
      <c r="E1316" s="132"/>
      <c r="F1316" s="132"/>
      <c r="G1316" s="228"/>
      <c r="H1316" s="218"/>
    </row>
    <row r="1317" spans="2:8" ht="25.5" x14ac:dyDescent="0.2">
      <c r="B1317" s="229" t="s">
        <v>1691</v>
      </c>
      <c r="C1317" s="230"/>
      <c r="D1317" s="231" t="s">
        <v>969</v>
      </c>
      <c r="E1317" s="232" t="s">
        <v>1689</v>
      </c>
      <c r="F1317" s="232" t="s">
        <v>1688</v>
      </c>
      <c r="G1317" s="233" t="s">
        <v>1687</v>
      </c>
      <c r="H1317" s="234" t="s">
        <v>1686</v>
      </c>
    </row>
    <row r="1318" spans="2:8" x14ac:dyDescent="0.2">
      <c r="B1318" s="235" t="s">
        <v>243</v>
      </c>
      <c r="C1318" s="132"/>
      <c r="D1318" s="236">
        <v>1</v>
      </c>
      <c r="E1318" s="237">
        <v>2.13</v>
      </c>
      <c r="F1318" s="216">
        <f>D1318*E1318</f>
        <v>2.13</v>
      </c>
      <c r="G1318" s="217">
        <v>13.94</v>
      </c>
      <c r="H1318" s="218">
        <f>F1318*G1318</f>
        <v>29.692199999999996</v>
      </c>
    </row>
    <row r="1319" spans="2:8" x14ac:dyDescent="0.2">
      <c r="B1319" s="235" t="s">
        <v>1488</v>
      </c>
      <c r="C1319" s="132"/>
      <c r="D1319" s="236">
        <v>1</v>
      </c>
      <c r="E1319" s="237">
        <v>2.13</v>
      </c>
      <c r="F1319" s="216">
        <f>D1319*E1319</f>
        <v>2.13</v>
      </c>
      <c r="G1319" s="217">
        <v>9.5399999999999991</v>
      </c>
      <c r="H1319" s="218">
        <f>F1319*G1319</f>
        <v>20.320199999999996</v>
      </c>
    </row>
    <row r="1320" spans="2:8" x14ac:dyDescent="0.2">
      <c r="B1320" s="235" t="s">
        <v>590</v>
      </c>
      <c r="C1320" s="132"/>
      <c r="D1320" s="236">
        <v>1</v>
      </c>
      <c r="E1320" s="237">
        <v>2.13</v>
      </c>
      <c r="F1320" s="216">
        <f>D1320*E1320</f>
        <v>2.13</v>
      </c>
      <c r="G1320" s="217">
        <v>6.82</v>
      </c>
      <c r="H1320" s="218">
        <f>F1320*G1320</f>
        <v>14.5266</v>
      </c>
    </row>
    <row r="1321" spans="2:8" x14ac:dyDescent="0.2">
      <c r="B1321" s="235"/>
      <c r="C1321" s="132"/>
      <c r="D1321" s="236"/>
      <c r="E1321" s="237"/>
      <c r="F1321" s="216"/>
      <c r="G1321" s="217"/>
      <c r="H1321" s="218"/>
    </row>
    <row r="1322" spans="2:8" x14ac:dyDescent="0.2">
      <c r="B1322" s="219" t="s">
        <v>1682</v>
      </c>
      <c r="C1322" s="220"/>
      <c r="D1322" s="221"/>
      <c r="E1322" s="222" t="s">
        <v>1682</v>
      </c>
      <c r="F1322" s="222" t="s">
        <v>1682</v>
      </c>
      <c r="G1322" s="223"/>
      <c r="H1322" s="224" t="s">
        <v>1682</v>
      </c>
    </row>
    <row r="1323" spans="2:8" x14ac:dyDescent="0.2">
      <c r="B1323" s="238" t="s">
        <v>1681</v>
      </c>
      <c r="C1323" s="239"/>
      <c r="D1323" s="240"/>
      <c r="E1323" s="239"/>
      <c r="F1323" s="239"/>
      <c r="G1323" s="239"/>
      <c r="H1323" s="241">
        <f>SUM(H1318:H1322)</f>
        <v>64.538999999999987</v>
      </c>
    </row>
    <row r="1324" spans="2:8" x14ac:dyDescent="0.2">
      <c r="B1324" s="227" t="s">
        <v>1684</v>
      </c>
      <c r="C1324" s="132"/>
      <c r="D1324" s="188"/>
      <c r="E1324" s="132"/>
      <c r="F1324" s="132"/>
      <c r="G1324" s="132"/>
      <c r="H1324" s="218"/>
    </row>
    <row r="1325" spans="2:8" ht="25.5" x14ac:dyDescent="0.2">
      <c r="B1325" s="229" t="s">
        <v>1409</v>
      </c>
      <c r="C1325" s="242"/>
      <c r="D1325" s="243"/>
      <c r="E1325" s="232" t="s">
        <v>1408</v>
      </c>
      <c r="F1325" s="231" t="s">
        <v>1679</v>
      </c>
      <c r="G1325" s="232" t="s">
        <v>1683</v>
      </c>
      <c r="H1325" s="234" t="s">
        <v>1675</v>
      </c>
    </row>
    <row r="1326" spans="2:8" x14ac:dyDescent="0.2">
      <c r="B1326" s="244" t="s">
        <v>449</v>
      </c>
      <c r="C1326" s="132"/>
      <c r="D1326" s="188"/>
      <c r="E1326" s="215" t="s">
        <v>1506</v>
      </c>
      <c r="F1326" s="215">
        <v>4.18</v>
      </c>
      <c r="G1326" s="216">
        <v>4.7</v>
      </c>
      <c r="H1326" s="218">
        <f>F1326*G1326</f>
        <v>19.646000000000001</v>
      </c>
    </row>
    <row r="1327" spans="2:8" x14ac:dyDescent="0.2">
      <c r="B1327" s="214" t="s">
        <v>450</v>
      </c>
      <c r="C1327" s="132"/>
      <c r="D1327" s="188"/>
      <c r="E1327" s="215" t="s">
        <v>1506</v>
      </c>
      <c r="F1327" s="215">
        <v>6</v>
      </c>
      <c r="G1327" s="216">
        <v>0.47</v>
      </c>
      <c r="H1327" s="218">
        <f>F1327*G1327</f>
        <v>2.82</v>
      </c>
    </row>
    <row r="1328" spans="2:8" x14ac:dyDescent="0.2">
      <c r="B1328" s="214" t="s">
        <v>423</v>
      </c>
      <c r="C1328" s="132"/>
      <c r="D1328" s="188"/>
      <c r="E1328" s="215" t="s">
        <v>1708</v>
      </c>
      <c r="F1328" s="215">
        <v>32</v>
      </c>
      <c r="G1328" s="216">
        <v>1.5</v>
      </c>
      <c r="H1328" s="218">
        <f>F1328*G1328</f>
        <v>48</v>
      </c>
    </row>
    <row r="1329" spans="2:8" x14ac:dyDescent="0.2">
      <c r="B1329" s="214" t="s">
        <v>432</v>
      </c>
      <c r="C1329" s="132"/>
      <c r="D1329" s="188"/>
      <c r="E1329" s="215" t="s">
        <v>1708</v>
      </c>
      <c r="F1329" s="215">
        <v>18</v>
      </c>
      <c r="G1329" s="216">
        <v>1</v>
      </c>
      <c r="H1329" s="218">
        <f>F1329*G1329</f>
        <v>18</v>
      </c>
    </row>
    <row r="1330" spans="2:8" x14ac:dyDescent="0.2">
      <c r="B1330" s="214"/>
      <c r="C1330" s="132"/>
      <c r="D1330" s="188"/>
      <c r="E1330" s="215"/>
      <c r="F1330" s="215"/>
      <c r="G1330" s="216"/>
      <c r="H1330" s="218"/>
    </row>
    <row r="1331" spans="2:8" x14ac:dyDescent="0.2">
      <c r="B1331" s="214" t="s">
        <v>1682</v>
      </c>
      <c r="C1331" s="132"/>
      <c r="D1331" s="245" t="s">
        <v>1682</v>
      </c>
      <c r="E1331" s="272" t="s">
        <v>1682</v>
      </c>
      <c r="F1331" s="215" t="s">
        <v>1682</v>
      </c>
      <c r="G1331" s="216" t="s">
        <v>1682</v>
      </c>
      <c r="H1331" s="218" t="s">
        <v>1682</v>
      </c>
    </row>
    <row r="1332" spans="2:8" x14ac:dyDescent="0.2">
      <c r="B1332" s="238" t="s">
        <v>1692</v>
      </c>
      <c r="C1332" s="239"/>
      <c r="D1332" s="240"/>
      <c r="E1332" s="240"/>
      <c r="F1332" s="240"/>
      <c r="G1332" s="239"/>
      <c r="H1332" s="241">
        <f>SUM(H1326:H1331)</f>
        <v>88.466000000000008</v>
      </c>
    </row>
    <row r="1333" spans="2:8" x14ac:dyDescent="0.2">
      <c r="B1333" s="227" t="s">
        <v>1680</v>
      </c>
      <c r="C1333" s="132"/>
      <c r="D1333" s="188"/>
      <c r="E1333" s="132"/>
      <c r="F1333" s="188"/>
      <c r="G1333" s="132"/>
      <c r="H1333" s="218"/>
    </row>
    <row r="1334" spans="2:8" ht="25.5" x14ac:dyDescent="0.2">
      <c r="B1334" s="229" t="s">
        <v>1409</v>
      </c>
      <c r="C1334" s="242"/>
      <c r="D1334" s="243"/>
      <c r="E1334" s="232" t="s">
        <v>1408</v>
      </c>
      <c r="F1334" s="231" t="s">
        <v>1679</v>
      </c>
      <c r="G1334" s="232" t="s">
        <v>1676</v>
      </c>
      <c r="H1334" s="234" t="s">
        <v>1675</v>
      </c>
    </row>
    <row r="1335" spans="2:8" x14ac:dyDescent="0.2">
      <c r="B1335" s="208" t="s">
        <v>975</v>
      </c>
      <c r="C1335" s="209"/>
      <c r="D1335" s="246"/>
      <c r="E1335" s="215" t="s">
        <v>976</v>
      </c>
      <c r="F1335" s="215">
        <v>0.4</v>
      </c>
      <c r="G1335" s="247">
        <v>5</v>
      </c>
      <c r="H1335" s="218">
        <f>F1335*G1335</f>
        <v>2</v>
      </c>
    </row>
    <row r="1336" spans="2:8" x14ac:dyDescent="0.2">
      <c r="B1336" s="214"/>
      <c r="C1336" s="132"/>
      <c r="D1336" s="248"/>
      <c r="E1336" s="215"/>
      <c r="F1336" s="215"/>
      <c r="G1336" s="247"/>
      <c r="H1336" s="218"/>
    </row>
    <row r="1337" spans="2:8" x14ac:dyDescent="0.2">
      <c r="B1337" s="219" t="s">
        <v>1682</v>
      </c>
      <c r="C1337" s="220"/>
      <c r="D1337" s="249"/>
      <c r="E1337" s="221" t="s">
        <v>1682</v>
      </c>
      <c r="F1337" s="221"/>
      <c r="G1337" s="222" t="s">
        <v>1682</v>
      </c>
      <c r="H1337" s="224" t="s">
        <v>1682</v>
      </c>
    </row>
    <row r="1338" spans="2:8" ht="13.5" thickBot="1" x14ac:dyDescent="0.25">
      <c r="B1338" s="250" t="s">
        <v>977</v>
      </c>
      <c r="C1338" s="251"/>
      <c r="D1338" s="252"/>
      <c r="E1338" s="252"/>
      <c r="F1338" s="252"/>
      <c r="G1338" s="251"/>
      <c r="H1338" s="253">
        <f>SUM(H1335:H1337)</f>
        <v>2</v>
      </c>
    </row>
    <row r="1339" spans="2:8" x14ac:dyDescent="0.2">
      <c r="B1339" s="132"/>
      <c r="C1339" s="132"/>
      <c r="D1339" s="254"/>
      <c r="E1339" s="198"/>
      <c r="F1339" s="198"/>
      <c r="G1339" s="255" t="s">
        <v>978</v>
      </c>
      <c r="H1339" s="256">
        <f>H1315+H1323+H1332+H1338</f>
        <v>156.505</v>
      </c>
    </row>
    <row r="1340" spans="2:8" x14ac:dyDescent="0.2">
      <c r="B1340" s="132"/>
      <c r="C1340" s="132"/>
      <c r="D1340" s="257"/>
      <c r="E1340" s="239"/>
      <c r="F1340" s="239"/>
      <c r="G1340" s="258" t="s">
        <v>979</v>
      </c>
      <c r="H1340" s="241"/>
    </row>
    <row r="1341" spans="2:8" x14ac:dyDescent="0.2">
      <c r="B1341" s="132"/>
      <c r="C1341" s="132"/>
      <c r="D1341" s="257"/>
      <c r="E1341" s="239"/>
      <c r="F1341" s="239"/>
      <c r="G1341" s="258" t="s">
        <v>980</v>
      </c>
      <c r="H1341" s="241"/>
    </row>
    <row r="1342" spans="2:8" x14ac:dyDescent="0.2">
      <c r="B1342" s="132"/>
      <c r="C1342" s="132"/>
      <c r="D1342" s="257"/>
      <c r="E1342" s="239"/>
      <c r="F1342" s="239"/>
      <c r="G1342" s="259" t="s">
        <v>1670</v>
      </c>
      <c r="H1342" s="260"/>
    </row>
    <row r="1343" spans="2:8" ht="13.5" thickBot="1" x14ac:dyDescent="0.25">
      <c r="B1343" s="193"/>
      <c r="C1343" s="132"/>
      <c r="D1343" s="261"/>
      <c r="E1343" s="251"/>
      <c r="F1343" s="251"/>
      <c r="G1343" s="262" t="s">
        <v>1650</v>
      </c>
      <c r="H1343" s="263"/>
    </row>
    <row r="1344" spans="2:8" ht="15.75" x14ac:dyDescent="0.2">
      <c r="B1344" s="186" t="s">
        <v>1701</v>
      </c>
      <c r="C1344" s="132"/>
      <c r="D1344" s="189" t="s">
        <v>742</v>
      </c>
      <c r="E1344" s="132"/>
      <c r="F1344" s="132"/>
      <c r="G1344" s="188"/>
      <c r="H1344" s="132"/>
    </row>
    <row r="1345" spans="2:8" ht="15.75" x14ac:dyDescent="0.2">
      <c r="B1345" s="186" t="s">
        <v>1700</v>
      </c>
      <c r="C1345" s="189" t="s">
        <v>963</v>
      </c>
      <c r="D1345" s="132"/>
      <c r="E1345" s="132"/>
      <c r="F1345" s="132"/>
      <c r="G1345" s="190"/>
      <c r="H1345" s="191"/>
    </row>
    <row r="1346" spans="2:8" ht="14.25" x14ac:dyDescent="0.2">
      <c r="B1346" s="189"/>
      <c r="C1346" s="189"/>
      <c r="D1346" s="189"/>
      <c r="E1346" s="189"/>
      <c r="F1346" s="189"/>
      <c r="G1346" s="189"/>
      <c r="H1346" s="189"/>
    </row>
    <row r="1347" spans="2:8" ht="15.75" x14ac:dyDescent="0.2">
      <c r="B1347" s="186" t="s">
        <v>1697</v>
      </c>
      <c r="C1347" s="189"/>
      <c r="D1347" s="132"/>
      <c r="E1347" s="132"/>
      <c r="F1347" s="132"/>
      <c r="G1347" s="132"/>
      <c r="H1347" s="132"/>
    </row>
    <row r="1348" spans="2:8" ht="15" x14ac:dyDescent="0.2">
      <c r="B1348" s="192"/>
      <c r="C1348" s="189"/>
      <c r="D1348" s="189"/>
      <c r="E1348" s="189"/>
      <c r="F1348" s="189"/>
      <c r="G1348" s="189"/>
      <c r="H1348" s="189"/>
    </row>
    <row r="1349" spans="2:8" ht="14.25" x14ac:dyDescent="0.2">
      <c r="B1349" s="193" t="s">
        <v>594</v>
      </c>
      <c r="C1349" s="194" t="s">
        <v>451</v>
      </c>
      <c r="D1349" s="132"/>
      <c r="E1349" s="188"/>
      <c r="F1349" s="188"/>
      <c r="G1349" s="195" t="s">
        <v>1696</v>
      </c>
      <c r="H1349" s="189" t="s">
        <v>1506</v>
      </c>
    </row>
    <row r="1350" spans="2:8" ht="14.25" x14ac:dyDescent="0.2">
      <c r="B1350" s="196" t="s">
        <v>964</v>
      </c>
      <c r="C1350" s="194" t="s">
        <v>452</v>
      </c>
      <c r="D1350" s="132"/>
      <c r="E1350" s="132"/>
      <c r="F1350" s="132"/>
      <c r="G1350" s="132"/>
      <c r="H1350" s="132"/>
    </row>
    <row r="1351" spans="2:8" ht="15" thickBot="1" x14ac:dyDescent="0.25">
      <c r="B1351" s="187"/>
      <c r="C1351" s="187"/>
      <c r="D1351" s="189"/>
      <c r="E1351" s="189"/>
      <c r="F1351" s="189"/>
      <c r="G1351" s="189"/>
      <c r="H1351" s="189"/>
    </row>
    <row r="1352" spans="2:8" ht="13.5" thickBot="1" x14ac:dyDescent="0.25">
      <c r="B1352" s="264" t="s">
        <v>1695</v>
      </c>
      <c r="C1352" s="265"/>
      <c r="D1352" s="266"/>
      <c r="E1352" s="265"/>
      <c r="F1352" s="265"/>
      <c r="G1352" s="265"/>
      <c r="H1352" s="267"/>
    </row>
    <row r="1353" spans="2:8" ht="25.5" x14ac:dyDescent="0.2">
      <c r="B1353" s="197" t="s">
        <v>1409</v>
      </c>
      <c r="C1353" s="268"/>
      <c r="D1353" s="269" t="s">
        <v>966</v>
      </c>
      <c r="E1353" s="270" t="s">
        <v>1694</v>
      </c>
      <c r="F1353" s="270" t="s">
        <v>1693</v>
      </c>
      <c r="G1353" s="201" t="s">
        <v>1687</v>
      </c>
      <c r="H1353" s="271" t="s">
        <v>967</v>
      </c>
    </row>
    <row r="1354" spans="2:8" x14ac:dyDescent="0.2">
      <c r="B1354" s="208" t="s">
        <v>1468</v>
      </c>
      <c r="C1354" s="209"/>
      <c r="D1354" s="210">
        <v>1</v>
      </c>
      <c r="E1354" s="211">
        <v>2.5</v>
      </c>
      <c r="F1354" s="211">
        <f>D1354*E1354</f>
        <v>2.5</v>
      </c>
      <c r="G1354" s="212">
        <v>0.6</v>
      </c>
      <c r="H1354" s="213">
        <f>F1354*G1354</f>
        <v>1.5</v>
      </c>
    </row>
    <row r="1355" spans="2:8" x14ac:dyDescent="0.2">
      <c r="B1355" s="214" t="s">
        <v>1682</v>
      </c>
      <c r="C1355" s="132"/>
      <c r="D1355" s="215"/>
      <c r="E1355" s="216" t="s">
        <v>1682</v>
      </c>
      <c r="F1355" s="216" t="s">
        <v>1682</v>
      </c>
      <c r="G1355" s="217"/>
      <c r="H1355" s="218" t="s">
        <v>1682</v>
      </c>
    </row>
    <row r="1356" spans="2:8" x14ac:dyDescent="0.2">
      <c r="B1356" s="219" t="s">
        <v>1682</v>
      </c>
      <c r="C1356" s="220"/>
      <c r="D1356" s="221"/>
      <c r="E1356" s="222" t="s">
        <v>1682</v>
      </c>
      <c r="F1356" s="222" t="s">
        <v>1682</v>
      </c>
      <c r="G1356" s="223"/>
      <c r="H1356" s="224" t="s">
        <v>1682</v>
      </c>
    </row>
    <row r="1357" spans="2:8" x14ac:dyDescent="0.2">
      <c r="B1357" s="219" t="s">
        <v>968</v>
      </c>
      <c r="C1357" s="220"/>
      <c r="D1357" s="225"/>
      <c r="E1357" s="220"/>
      <c r="F1357" s="220"/>
      <c r="G1357" s="226"/>
      <c r="H1357" s="224">
        <f>SUM(H1354:H1356)</f>
        <v>1.5</v>
      </c>
    </row>
    <row r="1358" spans="2:8" x14ac:dyDescent="0.2">
      <c r="B1358" s="227" t="s">
        <v>1503</v>
      </c>
      <c r="C1358" s="132"/>
      <c r="D1358" s="188"/>
      <c r="E1358" s="132"/>
      <c r="F1358" s="132"/>
      <c r="G1358" s="228"/>
      <c r="H1358" s="218"/>
    </row>
    <row r="1359" spans="2:8" ht="25.5" x14ac:dyDescent="0.2">
      <c r="B1359" s="229" t="s">
        <v>1691</v>
      </c>
      <c r="C1359" s="230"/>
      <c r="D1359" s="231" t="s">
        <v>969</v>
      </c>
      <c r="E1359" s="232" t="s">
        <v>1689</v>
      </c>
      <c r="F1359" s="232" t="s">
        <v>1688</v>
      </c>
      <c r="G1359" s="233" t="s">
        <v>1687</v>
      </c>
      <c r="H1359" s="234" t="s">
        <v>1686</v>
      </c>
    </row>
    <row r="1360" spans="2:8" x14ac:dyDescent="0.2">
      <c r="B1360" s="235" t="s">
        <v>243</v>
      </c>
      <c r="C1360" s="132"/>
      <c r="D1360" s="236">
        <v>1</v>
      </c>
      <c r="E1360" s="237">
        <v>2.13</v>
      </c>
      <c r="F1360" s="216">
        <f>D1360*E1360</f>
        <v>2.13</v>
      </c>
      <c r="G1360" s="217">
        <v>10.14</v>
      </c>
      <c r="H1360" s="218">
        <f>F1360*G1360</f>
        <v>21.598199999999999</v>
      </c>
    </row>
    <row r="1361" spans="2:8" x14ac:dyDescent="0.2">
      <c r="B1361" s="235" t="s">
        <v>1488</v>
      </c>
      <c r="C1361" s="132"/>
      <c r="D1361" s="236">
        <v>1</v>
      </c>
      <c r="E1361" s="237">
        <v>2.13</v>
      </c>
      <c r="F1361" s="216">
        <f>D1361*E1361</f>
        <v>2.13</v>
      </c>
      <c r="G1361" s="217">
        <v>7.6</v>
      </c>
      <c r="H1361" s="218">
        <f>F1361*G1361</f>
        <v>16.187999999999999</v>
      </c>
    </row>
    <row r="1362" spans="2:8" x14ac:dyDescent="0.2">
      <c r="B1362" s="235" t="s">
        <v>590</v>
      </c>
      <c r="C1362" s="132"/>
      <c r="D1362" s="236">
        <v>1</v>
      </c>
      <c r="E1362" s="237">
        <v>2.13</v>
      </c>
      <c r="F1362" s="216">
        <f>D1362*E1362</f>
        <v>2.13</v>
      </c>
      <c r="G1362" s="217">
        <v>5.43</v>
      </c>
      <c r="H1362" s="218">
        <f>F1362*G1362</f>
        <v>11.565899999999999</v>
      </c>
    </row>
    <row r="1363" spans="2:8" x14ac:dyDescent="0.2">
      <c r="B1363" s="235"/>
      <c r="C1363" s="132"/>
      <c r="D1363" s="236"/>
      <c r="E1363" s="237"/>
      <c r="F1363" s="216"/>
      <c r="G1363" s="217"/>
      <c r="H1363" s="218"/>
    </row>
    <row r="1364" spans="2:8" x14ac:dyDescent="0.2">
      <c r="B1364" s="219" t="s">
        <v>1682</v>
      </c>
      <c r="C1364" s="220"/>
      <c r="D1364" s="221"/>
      <c r="E1364" s="222" t="s">
        <v>1682</v>
      </c>
      <c r="F1364" s="222" t="s">
        <v>1682</v>
      </c>
      <c r="G1364" s="223"/>
      <c r="H1364" s="224" t="s">
        <v>1682</v>
      </c>
    </row>
    <row r="1365" spans="2:8" x14ac:dyDescent="0.2">
      <c r="B1365" s="238" t="s">
        <v>1681</v>
      </c>
      <c r="C1365" s="239"/>
      <c r="D1365" s="240"/>
      <c r="E1365" s="239"/>
      <c r="F1365" s="239"/>
      <c r="G1365" s="239"/>
      <c r="H1365" s="241">
        <f>SUM(H1360:H1364)</f>
        <v>49.352099999999993</v>
      </c>
    </row>
    <row r="1366" spans="2:8" x14ac:dyDescent="0.2">
      <c r="B1366" s="227" t="s">
        <v>1684</v>
      </c>
      <c r="C1366" s="132"/>
      <c r="D1366" s="188"/>
      <c r="E1366" s="132"/>
      <c r="F1366" s="132"/>
      <c r="G1366" s="132"/>
      <c r="H1366" s="218"/>
    </row>
    <row r="1367" spans="2:8" ht="25.5" x14ac:dyDescent="0.2">
      <c r="B1367" s="229" t="s">
        <v>1409</v>
      </c>
      <c r="C1367" s="242"/>
      <c r="D1367" s="243"/>
      <c r="E1367" s="232" t="s">
        <v>1408</v>
      </c>
      <c r="F1367" s="231" t="s">
        <v>1679</v>
      </c>
      <c r="G1367" s="232" t="s">
        <v>1683</v>
      </c>
      <c r="H1367" s="234" t="s">
        <v>1675</v>
      </c>
    </row>
    <row r="1368" spans="2:8" x14ac:dyDescent="0.2">
      <c r="B1368" s="244" t="s">
        <v>1101</v>
      </c>
      <c r="C1368" s="132"/>
      <c r="D1368" s="188"/>
      <c r="E1368" s="215" t="s">
        <v>1506</v>
      </c>
      <c r="F1368" s="215">
        <v>7</v>
      </c>
      <c r="G1368" s="216">
        <v>3.3</v>
      </c>
      <c r="H1368" s="218">
        <f>F1368*G1368</f>
        <v>23.099999999999998</v>
      </c>
    </row>
    <row r="1369" spans="2:8" x14ac:dyDescent="0.2">
      <c r="B1369" s="214" t="s">
        <v>1102</v>
      </c>
      <c r="C1369" s="132"/>
      <c r="D1369" s="188"/>
      <c r="E1369" s="215" t="s">
        <v>1506</v>
      </c>
      <c r="F1369" s="215">
        <v>9</v>
      </c>
      <c r="G1369" s="216">
        <v>0.3</v>
      </c>
      <c r="H1369" s="218">
        <f>F1369*G1369</f>
        <v>2.6999999999999997</v>
      </c>
    </row>
    <row r="1370" spans="2:8" x14ac:dyDescent="0.2">
      <c r="B1370" s="214" t="s">
        <v>432</v>
      </c>
      <c r="C1370" s="132"/>
      <c r="D1370" s="188"/>
      <c r="E1370" s="215" t="s">
        <v>1708</v>
      </c>
      <c r="F1370" s="215">
        <v>46</v>
      </c>
      <c r="G1370" s="216">
        <v>1</v>
      </c>
      <c r="H1370" s="218">
        <f>F1370*G1370</f>
        <v>46</v>
      </c>
    </row>
    <row r="1371" spans="2:8" x14ac:dyDescent="0.2">
      <c r="B1371" s="214" t="s">
        <v>453</v>
      </c>
      <c r="C1371" s="132"/>
      <c r="D1371" s="188"/>
      <c r="E1371" s="215" t="s">
        <v>1708</v>
      </c>
      <c r="F1371" s="215">
        <v>23</v>
      </c>
      <c r="G1371" s="216">
        <v>0.63</v>
      </c>
      <c r="H1371" s="218">
        <f>F1371*G1371</f>
        <v>14.49</v>
      </c>
    </row>
    <row r="1372" spans="2:8" x14ac:dyDescent="0.2">
      <c r="B1372" s="214"/>
      <c r="C1372" s="132"/>
      <c r="D1372" s="188"/>
      <c r="E1372" s="215"/>
      <c r="F1372" s="215"/>
      <c r="G1372" s="216"/>
      <c r="H1372" s="218"/>
    </row>
    <row r="1373" spans="2:8" x14ac:dyDescent="0.2">
      <c r="B1373" s="214" t="s">
        <v>1682</v>
      </c>
      <c r="C1373" s="132"/>
      <c r="D1373" s="245" t="s">
        <v>1682</v>
      </c>
      <c r="E1373" s="272" t="s">
        <v>1682</v>
      </c>
      <c r="F1373" s="215" t="s">
        <v>1682</v>
      </c>
      <c r="G1373" s="216" t="s">
        <v>1682</v>
      </c>
      <c r="H1373" s="218" t="s">
        <v>1682</v>
      </c>
    </row>
    <row r="1374" spans="2:8" x14ac:dyDescent="0.2">
      <c r="B1374" s="238" t="s">
        <v>1692</v>
      </c>
      <c r="C1374" s="239"/>
      <c r="D1374" s="240"/>
      <c r="E1374" s="240"/>
      <c r="F1374" s="240"/>
      <c r="G1374" s="239"/>
      <c r="H1374" s="241">
        <f>SUM(H1368:H1373)</f>
        <v>86.289999999999992</v>
      </c>
    </row>
    <row r="1375" spans="2:8" x14ac:dyDescent="0.2">
      <c r="B1375" s="227" t="s">
        <v>1680</v>
      </c>
      <c r="C1375" s="132"/>
      <c r="D1375" s="188"/>
      <c r="E1375" s="132"/>
      <c r="F1375" s="188"/>
      <c r="G1375" s="132"/>
      <c r="H1375" s="218"/>
    </row>
    <row r="1376" spans="2:8" ht="25.5" x14ac:dyDescent="0.2">
      <c r="B1376" s="229" t="s">
        <v>1409</v>
      </c>
      <c r="C1376" s="242"/>
      <c r="D1376" s="243"/>
      <c r="E1376" s="232" t="s">
        <v>1408</v>
      </c>
      <c r="F1376" s="231" t="s">
        <v>1679</v>
      </c>
      <c r="G1376" s="232" t="s">
        <v>1676</v>
      </c>
      <c r="H1376" s="234" t="s">
        <v>1675</v>
      </c>
    </row>
    <row r="1377" spans="2:8" x14ac:dyDescent="0.2">
      <c r="B1377" s="208" t="s">
        <v>975</v>
      </c>
      <c r="C1377" s="209"/>
      <c r="D1377" s="246"/>
      <c r="E1377" s="215" t="s">
        <v>976</v>
      </c>
      <c r="F1377" s="215">
        <v>0.4</v>
      </c>
      <c r="G1377" s="247">
        <v>5</v>
      </c>
      <c r="H1377" s="218">
        <f>F1377*G1377</f>
        <v>2</v>
      </c>
    </row>
    <row r="1378" spans="2:8" x14ac:dyDescent="0.2">
      <c r="B1378" s="214"/>
      <c r="C1378" s="132"/>
      <c r="D1378" s="248"/>
      <c r="E1378" s="215"/>
      <c r="F1378" s="215"/>
      <c r="G1378" s="247"/>
      <c r="H1378" s="218"/>
    </row>
    <row r="1379" spans="2:8" x14ac:dyDescent="0.2">
      <c r="B1379" s="219" t="s">
        <v>1682</v>
      </c>
      <c r="C1379" s="220"/>
      <c r="D1379" s="249"/>
      <c r="E1379" s="221" t="s">
        <v>1682</v>
      </c>
      <c r="F1379" s="221"/>
      <c r="G1379" s="222" t="s">
        <v>1682</v>
      </c>
      <c r="H1379" s="224" t="s">
        <v>1682</v>
      </c>
    </row>
    <row r="1380" spans="2:8" ht="13.5" thickBot="1" x14ac:dyDescent="0.25">
      <c r="B1380" s="250" t="s">
        <v>977</v>
      </c>
      <c r="C1380" s="251"/>
      <c r="D1380" s="252"/>
      <c r="E1380" s="252"/>
      <c r="F1380" s="252"/>
      <c r="G1380" s="251"/>
      <c r="H1380" s="253">
        <f>SUM(H1377:H1379)</f>
        <v>2</v>
      </c>
    </row>
    <row r="1381" spans="2:8" x14ac:dyDescent="0.2">
      <c r="B1381" s="132"/>
      <c r="C1381" s="132"/>
      <c r="D1381" s="254"/>
      <c r="E1381" s="198"/>
      <c r="F1381" s="198"/>
      <c r="G1381" s="255" t="s">
        <v>978</v>
      </c>
      <c r="H1381" s="256">
        <f>H1357+H1365+H1374+H1380</f>
        <v>139.14209999999997</v>
      </c>
    </row>
    <row r="1382" spans="2:8" x14ac:dyDescent="0.2">
      <c r="B1382" s="132"/>
      <c r="C1382" s="132"/>
      <c r="D1382" s="257"/>
      <c r="E1382" s="239"/>
      <c r="F1382" s="239"/>
      <c r="G1382" s="258" t="s">
        <v>979</v>
      </c>
      <c r="H1382" s="241"/>
    </row>
    <row r="1383" spans="2:8" x14ac:dyDescent="0.2">
      <c r="B1383" s="132"/>
      <c r="C1383" s="132"/>
      <c r="D1383" s="257"/>
      <c r="E1383" s="239"/>
      <c r="F1383" s="239"/>
      <c r="G1383" s="258" t="s">
        <v>980</v>
      </c>
      <c r="H1383" s="241"/>
    </row>
    <row r="1384" spans="2:8" x14ac:dyDescent="0.2">
      <c r="B1384" s="132"/>
      <c r="C1384" s="132"/>
      <c r="D1384" s="257"/>
      <c r="E1384" s="239"/>
      <c r="F1384" s="239"/>
      <c r="G1384" s="259" t="s">
        <v>1670</v>
      </c>
      <c r="H1384" s="260"/>
    </row>
    <row r="1385" spans="2:8" ht="13.5" thickBot="1" x14ac:dyDescent="0.25">
      <c r="B1385" s="193"/>
      <c r="C1385" s="132"/>
      <c r="D1385" s="261"/>
      <c r="E1385" s="251"/>
      <c r="F1385" s="251"/>
      <c r="G1385" s="262" t="s">
        <v>1650</v>
      </c>
      <c r="H1385" s="263"/>
    </row>
    <row r="1386" spans="2:8" ht="15.75" x14ac:dyDescent="0.2">
      <c r="B1386" s="186" t="s">
        <v>1701</v>
      </c>
      <c r="C1386" s="132"/>
      <c r="D1386" s="189" t="s">
        <v>742</v>
      </c>
      <c r="E1386" s="132"/>
      <c r="F1386" s="132"/>
      <c r="G1386" s="188"/>
      <c r="H1386" s="132"/>
    </row>
    <row r="1387" spans="2:8" ht="15.75" x14ac:dyDescent="0.2">
      <c r="B1387" s="186" t="s">
        <v>1700</v>
      </c>
      <c r="C1387" s="189" t="s">
        <v>963</v>
      </c>
      <c r="D1387" s="132"/>
      <c r="E1387" s="132"/>
      <c r="F1387" s="132"/>
      <c r="G1387" s="190"/>
      <c r="H1387" s="191"/>
    </row>
    <row r="1388" spans="2:8" ht="14.25" x14ac:dyDescent="0.2">
      <c r="B1388" s="189"/>
      <c r="C1388" s="189"/>
      <c r="D1388" s="189"/>
      <c r="E1388" s="189"/>
      <c r="F1388" s="189"/>
      <c r="G1388" s="189"/>
      <c r="H1388" s="189"/>
    </row>
    <row r="1389" spans="2:8" ht="15.75" x14ac:dyDescent="0.2">
      <c r="B1389" s="186" t="s">
        <v>1697</v>
      </c>
      <c r="C1389" s="189"/>
      <c r="D1389" s="132"/>
      <c r="E1389" s="132"/>
      <c r="F1389" s="132"/>
      <c r="G1389" s="132"/>
      <c r="H1389" s="132"/>
    </row>
    <row r="1390" spans="2:8" ht="15" x14ac:dyDescent="0.2">
      <c r="B1390" s="192"/>
      <c r="C1390" s="189"/>
      <c r="D1390" s="189"/>
      <c r="E1390" s="189"/>
      <c r="F1390" s="189"/>
      <c r="G1390" s="189"/>
      <c r="H1390" s="189"/>
    </row>
    <row r="1391" spans="2:8" ht="14.25" x14ac:dyDescent="0.2">
      <c r="B1391" s="193" t="s">
        <v>594</v>
      </c>
      <c r="C1391" s="194" t="s">
        <v>454</v>
      </c>
      <c r="D1391" s="132"/>
      <c r="E1391" s="188"/>
      <c r="F1391" s="188"/>
      <c r="G1391" s="195" t="s">
        <v>1696</v>
      </c>
      <c r="H1391" s="189" t="s">
        <v>1506</v>
      </c>
    </row>
    <row r="1392" spans="2:8" ht="14.25" x14ac:dyDescent="0.2">
      <c r="B1392" s="196" t="s">
        <v>964</v>
      </c>
      <c r="C1392" s="194" t="s">
        <v>455</v>
      </c>
      <c r="D1392" s="132"/>
      <c r="E1392" s="132"/>
      <c r="F1392" s="132"/>
      <c r="G1392" s="132"/>
      <c r="H1392" s="132"/>
    </row>
    <row r="1393" spans="2:8" ht="15" thickBot="1" x14ac:dyDescent="0.25">
      <c r="B1393" s="187"/>
      <c r="C1393" s="187"/>
      <c r="D1393" s="189"/>
      <c r="E1393" s="189"/>
      <c r="F1393" s="189"/>
      <c r="G1393" s="189"/>
      <c r="H1393" s="189"/>
    </row>
    <row r="1394" spans="2:8" ht="13.5" thickBot="1" x14ac:dyDescent="0.25">
      <c r="B1394" s="264" t="s">
        <v>1695</v>
      </c>
      <c r="C1394" s="265"/>
      <c r="D1394" s="266"/>
      <c r="E1394" s="265"/>
      <c r="F1394" s="265"/>
      <c r="G1394" s="265"/>
      <c r="H1394" s="267"/>
    </row>
    <row r="1395" spans="2:8" ht="25.5" x14ac:dyDescent="0.2">
      <c r="B1395" s="197" t="s">
        <v>1409</v>
      </c>
      <c r="C1395" s="268"/>
      <c r="D1395" s="269" t="s">
        <v>966</v>
      </c>
      <c r="E1395" s="270" t="s">
        <v>1694</v>
      </c>
      <c r="F1395" s="270" t="s">
        <v>1693</v>
      </c>
      <c r="G1395" s="201" t="s">
        <v>1687</v>
      </c>
      <c r="H1395" s="271" t="s">
        <v>967</v>
      </c>
    </row>
    <row r="1396" spans="2:8" x14ac:dyDescent="0.2">
      <c r="B1396" s="208" t="s">
        <v>1468</v>
      </c>
      <c r="C1396" s="209"/>
      <c r="D1396" s="210">
        <v>1</v>
      </c>
      <c r="E1396" s="211">
        <v>2.5</v>
      </c>
      <c r="F1396" s="211">
        <f>D1396*E1396</f>
        <v>2.5</v>
      </c>
      <c r="G1396" s="212">
        <v>0.6</v>
      </c>
      <c r="H1396" s="213">
        <f>F1396*G1396</f>
        <v>1.5</v>
      </c>
    </row>
    <row r="1397" spans="2:8" x14ac:dyDescent="0.2">
      <c r="B1397" s="214" t="s">
        <v>1682</v>
      </c>
      <c r="C1397" s="132"/>
      <c r="D1397" s="215"/>
      <c r="E1397" s="216" t="s">
        <v>1682</v>
      </c>
      <c r="F1397" s="216" t="s">
        <v>1682</v>
      </c>
      <c r="G1397" s="217"/>
      <c r="H1397" s="218" t="s">
        <v>1682</v>
      </c>
    </row>
    <row r="1398" spans="2:8" x14ac:dyDescent="0.2">
      <c r="B1398" s="219" t="s">
        <v>1682</v>
      </c>
      <c r="C1398" s="220"/>
      <c r="D1398" s="221"/>
      <c r="E1398" s="222" t="s">
        <v>1682</v>
      </c>
      <c r="F1398" s="222" t="s">
        <v>1682</v>
      </c>
      <c r="G1398" s="223"/>
      <c r="H1398" s="224" t="s">
        <v>1682</v>
      </c>
    </row>
    <row r="1399" spans="2:8" x14ac:dyDescent="0.2">
      <c r="B1399" s="219" t="s">
        <v>968</v>
      </c>
      <c r="C1399" s="220"/>
      <c r="D1399" s="225"/>
      <c r="E1399" s="220"/>
      <c r="F1399" s="220"/>
      <c r="G1399" s="226"/>
      <c r="H1399" s="224">
        <f>SUM(H1396:H1398)</f>
        <v>1.5</v>
      </c>
    </row>
    <row r="1400" spans="2:8" x14ac:dyDescent="0.2">
      <c r="B1400" s="227" t="s">
        <v>1503</v>
      </c>
      <c r="C1400" s="132"/>
      <c r="D1400" s="188"/>
      <c r="E1400" s="132"/>
      <c r="F1400" s="132"/>
      <c r="G1400" s="228"/>
      <c r="H1400" s="218"/>
    </row>
    <row r="1401" spans="2:8" ht="25.5" x14ac:dyDescent="0.2">
      <c r="B1401" s="229" t="s">
        <v>1691</v>
      </c>
      <c r="C1401" s="230"/>
      <c r="D1401" s="231" t="s">
        <v>969</v>
      </c>
      <c r="E1401" s="232" t="s">
        <v>1689</v>
      </c>
      <c r="F1401" s="232" t="s">
        <v>1688</v>
      </c>
      <c r="G1401" s="233" t="s">
        <v>1687</v>
      </c>
      <c r="H1401" s="234" t="s">
        <v>1686</v>
      </c>
    </row>
    <row r="1402" spans="2:8" x14ac:dyDescent="0.2">
      <c r="B1402" s="235" t="s">
        <v>243</v>
      </c>
      <c r="C1402" s="132"/>
      <c r="D1402" s="236">
        <v>1</v>
      </c>
      <c r="E1402" s="237">
        <v>2.13</v>
      </c>
      <c r="F1402" s="216">
        <f>D1402*E1402</f>
        <v>2.13</v>
      </c>
      <c r="G1402" s="217">
        <v>32.82</v>
      </c>
      <c r="H1402" s="218">
        <v>69.91</v>
      </c>
    </row>
    <row r="1403" spans="2:8" x14ac:dyDescent="0.2">
      <c r="B1403" s="235" t="s">
        <v>1488</v>
      </c>
      <c r="C1403" s="132"/>
      <c r="D1403" s="236">
        <v>1</v>
      </c>
      <c r="E1403" s="237">
        <v>2.13</v>
      </c>
      <c r="F1403" s="216">
        <f>D1403*E1403</f>
        <v>2.13</v>
      </c>
      <c r="G1403" s="217">
        <v>22.46</v>
      </c>
      <c r="H1403" s="218">
        <f>F1403*G1403</f>
        <v>47.839799999999997</v>
      </c>
    </row>
    <row r="1404" spans="2:8" x14ac:dyDescent="0.2">
      <c r="B1404" s="235" t="s">
        <v>590</v>
      </c>
      <c r="C1404" s="132"/>
      <c r="D1404" s="236">
        <v>1</v>
      </c>
      <c r="E1404" s="237">
        <v>2.13</v>
      </c>
      <c r="F1404" s="216">
        <f>D1404*E1404</f>
        <v>2.13</v>
      </c>
      <c r="G1404" s="217">
        <v>16.059999999999999</v>
      </c>
      <c r="H1404" s="218">
        <f>F1404*G1404</f>
        <v>34.207799999999999</v>
      </c>
    </row>
    <row r="1405" spans="2:8" x14ac:dyDescent="0.2">
      <c r="B1405" s="235"/>
      <c r="C1405" s="132"/>
      <c r="D1405" s="236"/>
      <c r="E1405" s="237"/>
      <c r="F1405" s="216"/>
      <c r="G1405" s="217"/>
      <c r="H1405" s="218"/>
    </row>
    <row r="1406" spans="2:8" x14ac:dyDescent="0.2">
      <c r="B1406" s="219" t="s">
        <v>1682</v>
      </c>
      <c r="C1406" s="220"/>
      <c r="D1406" s="221"/>
      <c r="E1406" s="222" t="s">
        <v>1682</v>
      </c>
      <c r="F1406" s="222" t="s">
        <v>1682</v>
      </c>
      <c r="G1406" s="223"/>
      <c r="H1406" s="224" t="s">
        <v>1682</v>
      </c>
    </row>
    <row r="1407" spans="2:8" x14ac:dyDescent="0.2">
      <c r="B1407" s="238" t="s">
        <v>1681</v>
      </c>
      <c r="C1407" s="239"/>
      <c r="D1407" s="240"/>
      <c r="E1407" s="239"/>
      <c r="F1407" s="239"/>
      <c r="G1407" s="239"/>
      <c r="H1407" s="241">
        <f>SUM(H1402:H1406)</f>
        <v>151.95759999999999</v>
      </c>
    </row>
    <row r="1408" spans="2:8" x14ac:dyDescent="0.2">
      <c r="B1408" s="227" t="s">
        <v>1684</v>
      </c>
      <c r="C1408" s="132"/>
      <c r="D1408" s="188"/>
      <c r="E1408" s="132"/>
      <c r="F1408" s="132"/>
      <c r="G1408" s="132"/>
      <c r="H1408" s="218"/>
    </row>
    <row r="1409" spans="2:8" ht="25.5" x14ac:dyDescent="0.2">
      <c r="B1409" s="229" t="s">
        <v>1409</v>
      </c>
      <c r="C1409" s="242"/>
      <c r="D1409" s="243"/>
      <c r="E1409" s="232" t="s">
        <v>1408</v>
      </c>
      <c r="F1409" s="231" t="s">
        <v>1679</v>
      </c>
      <c r="G1409" s="232" t="s">
        <v>1683</v>
      </c>
      <c r="H1409" s="234" t="s">
        <v>1675</v>
      </c>
    </row>
    <row r="1410" spans="2:8" x14ac:dyDescent="0.2">
      <c r="B1410" s="244" t="s">
        <v>435</v>
      </c>
      <c r="C1410" s="132"/>
      <c r="D1410" s="188"/>
      <c r="E1410" s="215" t="s">
        <v>1506</v>
      </c>
      <c r="F1410" s="215">
        <v>20</v>
      </c>
      <c r="G1410" s="216">
        <v>10.4</v>
      </c>
      <c r="H1410" s="218">
        <f>F1410*G1410</f>
        <v>208</v>
      </c>
    </row>
    <row r="1411" spans="2:8" x14ac:dyDescent="0.2">
      <c r="B1411" s="214" t="s">
        <v>755</v>
      </c>
      <c r="C1411" s="132"/>
      <c r="D1411" s="188"/>
      <c r="E1411" s="215" t="s">
        <v>1506</v>
      </c>
      <c r="F1411" s="215">
        <v>24</v>
      </c>
      <c r="G1411" s="216">
        <v>2.4</v>
      </c>
      <c r="H1411" s="218">
        <f>F1411*G1411</f>
        <v>57.599999999999994</v>
      </c>
    </row>
    <row r="1412" spans="2:8" x14ac:dyDescent="0.2">
      <c r="B1412" s="214" t="s">
        <v>456</v>
      </c>
      <c r="C1412" s="132"/>
      <c r="D1412" s="188"/>
      <c r="E1412" s="215" t="s">
        <v>1506</v>
      </c>
      <c r="F1412" s="215">
        <v>2</v>
      </c>
      <c r="G1412" s="216">
        <v>4.22</v>
      </c>
      <c r="H1412" s="218">
        <f>F1412*G1412</f>
        <v>8.44</v>
      </c>
    </row>
    <row r="1413" spans="2:8" x14ac:dyDescent="0.2">
      <c r="B1413" s="214" t="s">
        <v>415</v>
      </c>
      <c r="C1413" s="132"/>
      <c r="D1413" s="188"/>
      <c r="E1413" s="215" t="s">
        <v>1708</v>
      </c>
      <c r="F1413" s="215">
        <v>195</v>
      </c>
      <c r="G1413" s="216">
        <v>8.1</v>
      </c>
      <c r="H1413" s="218">
        <f>F1413*G1413</f>
        <v>1579.5</v>
      </c>
    </row>
    <row r="1414" spans="2:8" x14ac:dyDescent="0.2">
      <c r="B1414" s="214" t="s">
        <v>422</v>
      </c>
      <c r="C1414" s="132"/>
      <c r="D1414" s="188"/>
      <c r="E1414" s="215" t="s">
        <v>1708</v>
      </c>
      <c r="F1414" s="215">
        <v>65</v>
      </c>
      <c r="G1414" s="216">
        <v>3.9</v>
      </c>
      <c r="H1414" s="218">
        <f>F1414*G1414</f>
        <v>253.5</v>
      </c>
    </row>
    <row r="1415" spans="2:8" x14ac:dyDescent="0.2">
      <c r="B1415" s="214"/>
      <c r="C1415" s="132"/>
      <c r="D1415" s="188"/>
      <c r="E1415" s="215"/>
      <c r="F1415" s="215"/>
      <c r="G1415" s="216"/>
      <c r="H1415" s="218"/>
    </row>
    <row r="1416" spans="2:8" x14ac:dyDescent="0.2">
      <c r="B1416" s="214" t="s">
        <v>1682</v>
      </c>
      <c r="C1416" s="132"/>
      <c r="D1416" s="245" t="s">
        <v>1682</v>
      </c>
      <c r="E1416" s="272" t="s">
        <v>1682</v>
      </c>
      <c r="F1416" s="215" t="s">
        <v>1682</v>
      </c>
      <c r="G1416" s="216" t="s">
        <v>1682</v>
      </c>
      <c r="H1416" s="218" t="s">
        <v>1682</v>
      </c>
    </row>
    <row r="1417" spans="2:8" x14ac:dyDescent="0.2">
      <c r="B1417" s="238" t="s">
        <v>1692</v>
      </c>
      <c r="C1417" s="239"/>
      <c r="D1417" s="240"/>
      <c r="E1417" s="240"/>
      <c r="F1417" s="240"/>
      <c r="G1417" s="239"/>
      <c r="H1417" s="241">
        <f>SUM(H1410:H1416)</f>
        <v>2107.04</v>
      </c>
    </row>
    <row r="1418" spans="2:8" x14ac:dyDescent="0.2">
      <c r="B1418" s="227" t="s">
        <v>1680</v>
      </c>
      <c r="C1418" s="132"/>
      <c r="D1418" s="188"/>
      <c r="E1418" s="132"/>
      <c r="F1418" s="188"/>
      <c r="G1418" s="132"/>
      <c r="H1418" s="218"/>
    </row>
    <row r="1419" spans="2:8" ht="25.5" x14ac:dyDescent="0.2">
      <c r="B1419" s="229" t="s">
        <v>1409</v>
      </c>
      <c r="C1419" s="242"/>
      <c r="D1419" s="243"/>
      <c r="E1419" s="232" t="s">
        <v>1408</v>
      </c>
      <c r="F1419" s="231" t="s">
        <v>1679</v>
      </c>
      <c r="G1419" s="232" t="s">
        <v>1676</v>
      </c>
      <c r="H1419" s="234" t="s">
        <v>1675</v>
      </c>
    </row>
    <row r="1420" spans="2:8" x14ac:dyDescent="0.2">
      <c r="B1420" s="208" t="s">
        <v>975</v>
      </c>
      <c r="C1420" s="209"/>
      <c r="D1420" s="246"/>
      <c r="E1420" s="215" t="s">
        <v>976</v>
      </c>
      <c r="F1420" s="215">
        <v>0.5</v>
      </c>
      <c r="G1420" s="247">
        <v>5</v>
      </c>
      <c r="H1420" s="218">
        <f>F1420*G1420</f>
        <v>2.5</v>
      </c>
    </row>
    <row r="1421" spans="2:8" x14ac:dyDescent="0.2">
      <c r="B1421" s="214"/>
      <c r="C1421" s="132"/>
      <c r="D1421" s="248"/>
      <c r="E1421" s="215"/>
      <c r="F1421" s="215"/>
      <c r="G1421" s="247"/>
      <c r="H1421" s="218"/>
    </row>
    <row r="1422" spans="2:8" x14ac:dyDescent="0.2">
      <c r="B1422" s="219" t="s">
        <v>1682</v>
      </c>
      <c r="C1422" s="220"/>
      <c r="D1422" s="249"/>
      <c r="E1422" s="221" t="s">
        <v>1682</v>
      </c>
      <c r="F1422" s="221"/>
      <c r="G1422" s="222" t="s">
        <v>1682</v>
      </c>
      <c r="H1422" s="224" t="s">
        <v>1682</v>
      </c>
    </row>
    <row r="1423" spans="2:8" ht="13.5" thickBot="1" x14ac:dyDescent="0.25">
      <c r="B1423" s="250" t="s">
        <v>977</v>
      </c>
      <c r="C1423" s="251"/>
      <c r="D1423" s="252"/>
      <c r="E1423" s="252"/>
      <c r="F1423" s="252"/>
      <c r="G1423" s="251"/>
      <c r="H1423" s="253">
        <f>SUM(H1420:H1422)</f>
        <v>2.5</v>
      </c>
    </row>
    <row r="1424" spans="2:8" x14ac:dyDescent="0.2">
      <c r="B1424" s="132"/>
      <c r="C1424" s="132"/>
      <c r="D1424" s="254"/>
      <c r="E1424" s="198"/>
      <c r="F1424" s="198"/>
      <c r="G1424" s="255" t="s">
        <v>978</v>
      </c>
      <c r="H1424" s="256">
        <f>H1399+H1407+H1417+H1423</f>
        <v>2262.9976000000001</v>
      </c>
    </row>
    <row r="1425" spans="2:8" x14ac:dyDescent="0.2">
      <c r="B1425" s="132"/>
      <c r="C1425" s="132"/>
      <c r="D1425" s="257"/>
      <c r="E1425" s="239"/>
      <c r="F1425" s="239"/>
      <c r="G1425" s="258" t="s">
        <v>979</v>
      </c>
      <c r="H1425" s="241"/>
    </row>
    <row r="1426" spans="2:8" x14ac:dyDescent="0.2">
      <c r="B1426" s="132"/>
      <c r="C1426" s="132"/>
      <c r="D1426" s="257"/>
      <c r="E1426" s="239"/>
      <c r="F1426" s="239"/>
      <c r="G1426" s="258" t="s">
        <v>980</v>
      </c>
      <c r="H1426" s="241"/>
    </row>
    <row r="1427" spans="2:8" x14ac:dyDescent="0.2">
      <c r="B1427" s="132"/>
      <c r="C1427" s="132"/>
      <c r="D1427" s="257"/>
      <c r="E1427" s="239"/>
      <c r="F1427" s="239"/>
      <c r="G1427" s="259" t="s">
        <v>1670</v>
      </c>
      <c r="H1427" s="260"/>
    </row>
    <row r="1428" spans="2:8" ht="13.5" thickBot="1" x14ac:dyDescent="0.25">
      <c r="B1428" s="193"/>
      <c r="C1428" s="132"/>
      <c r="D1428" s="261"/>
      <c r="E1428" s="251"/>
      <c r="F1428" s="251"/>
      <c r="G1428" s="262" t="s">
        <v>1650</v>
      </c>
      <c r="H1428" s="263"/>
    </row>
    <row r="1429" spans="2:8" ht="15.75" x14ac:dyDescent="0.2">
      <c r="B1429" s="186" t="s">
        <v>1701</v>
      </c>
      <c r="C1429" s="132"/>
      <c r="D1429" s="189" t="s">
        <v>742</v>
      </c>
      <c r="E1429" s="132"/>
      <c r="F1429" s="132"/>
      <c r="G1429" s="188"/>
      <c r="H1429" s="132"/>
    </row>
    <row r="1430" spans="2:8" ht="15.75" x14ac:dyDescent="0.2">
      <c r="B1430" s="186" t="s">
        <v>1700</v>
      </c>
      <c r="C1430" s="189" t="s">
        <v>963</v>
      </c>
      <c r="D1430" s="132"/>
      <c r="E1430" s="132"/>
      <c r="F1430" s="132"/>
      <c r="G1430" s="190"/>
      <c r="H1430" s="191"/>
    </row>
    <row r="1431" spans="2:8" ht="14.25" x14ac:dyDescent="0.2">
      <c r="B1431" s="189"/>
      <c r="C1431" s="189"/>
      <c r="D1431" s="189"/>
      <c r="E1431" s="189"/>
      <c r="F1431" s="189"/>
      <c r="G1431" s="189"/>
      <c r="H1431" s="189"/>
    </row>
    <row r="1432" spans="2:8" ht="15.75" x14ac:dyDescent="0.2">
      <c r="B1432" s="186" t="s">
        <v>1697</v>
      </c>
      <c r="C1432" s="189"/>
      <c r="D1432" s="132"/>
      <c r="E1432" s="132"/>
      <c r="F1432" s="132"/>
      <c r="G1432" s="132"/>
      <c r="H1432" s="132"/>
    </row>
    <row r="1433" spans="2:8" ht="15" x14ac:dyDescent="0.2">
      <c r="B1433" s="192"/>
      <c r="C1433" s="189"/>
      <c r="D1433" s="189"/>
      <c r="E1433" s="189"/>
      <c r="F1433" s="189"/>
      <c r="G1433" s="189"/>
      <c r="H1433" s="189"/>
    </row>
    <row r="1434" spans="2:8" ht="14.25" x14ac:dyDescent="0.2">
      <c r="B1434" s="193" t="s">
        <v>594</v>
      </c>
      <c r="C1434" s="194" t="s">
        <v>457</v>
      </c>
      <c r="D1434" s="132"/>
      <c r="E1434" s="188"/>
      <c r="F1434" s="188"/>
      <c r="G1434" s="195" t="s">
        <v>1696</v>
      </c>
      <c r="H1434" s="189" t="s">
        <v>1506</v>
      </c>
    </row>
    <row r="1435" spans="2:8" ht="14.25" x14ac:dyDescent="0.2">
      <c r="B1435" s="196" t="s">
        <v>964</v>
      </c>
      <c r="C1435" s="194" t="s">
        <v>458</v>
      </c>
      <c r="D1435" s="132"/>
      <c r="E1435" s="132"/>
      <c r="F1435" s="132"/>
      <c r="G1435" s="132"/>
      <c r="H1435" s="132"/>
    </row>
    <row r="1436" spans="2:8" ht="15" thickBot="1" x14ac:dyDescent="0.25">
      <c r="B1436" s="187"/>
      <c r="C1436" s="187"/>
      <c r="D1436" s="189"/>
      <c r="E1436" s="189"/>
      <c r="F1436" s="189"/>
      <c r="G1436" s="189"/>
      <c r="H1436" s="189"/>
    </row>
    <row r="1437" spans="2:8" ht="13.5" thickBot="1" x14ac:dyDescent="0.25">
      <c r="B1437" s="264" t="s">
        <v>1695</v>
      </c>
      <c r="C1437" s="265"/>
      <c r="D1437" s="266"/>
      <c r="E1437" s="265"/>
      <c r="F1437" s="265"/>
      <c r="G1437" s="265"/>
      <c r="H1437" s="267"/>
    </row>
    <row r="1438" spans="2:8" ht="25.5" x14ac:dyDescent="0.2">
      <c r="B1438" s="197" t="s">
        <v>1409</v>
      </c>
      <c r="C1438" s="268"/>
      <c r="D1438" s="269" t="s">
        <v>966</v>
      </c>
      <c r="E1438" s="270" t="s">
        <v>1694</v>
      </c>
      <c r="F1438" s="270" t="s">
        <v>1693</v>
      </c>
      <c r="G1438" s="201" t="s">
        <v>1687</v>
      </c>
      <c r="H1438" s="271" t="s">
        <v>967</v>
      </c>
    </row>
    <row r="1439" spans="2:8" x14ac:dyDescent="0.2">
      <c r="B1439" s="208" t="s">
        <v>1468</v>
      </c>
      <c r="C1439" s="209"/>
      <c r="D1439" s="210">
        <v>1</v>
      </c>
      <c r="E1439" s="211">
        <v>2.5</v>
      </c>
      <c r="F1439" s="211">
        <f>D1439*E1439</f>
        <v>2.5</v>
      </c>
      <c r="G1439" s="212">
        <v>0.7</v>
      </c>
      <c r="H1439" s="213">
        <f>F1439*G1439</f>
        <v>1.75</v>
      </c>
    </row>
    <row r="1440" spans="2:8" x14ac:dyDescent="0.2">
      <c r="B1440" s="214" t="s">
        <v>1682</v>
      </c>
      <c r="C1440" s="132"/>
      <c r="D1440" s="215"/>
      <c r="E1440" s="216" t="s">
        <v>1682</v>
      </c>
      <c r="F1440" s="216" t="s">
        <v>1682</v>
      </c>
      <c r="G1440" s="217"/>
      <c r="H1440" s="218" t="s">
        <v>1682</v>
      </c>
    </row>
    <row r="1441" spans="2:8" x14ac:dyDescent="0.2">
      <c r="B1441" s="219" t="s">
        <v>1682</v>
      </c>
      <c r="C1441" s="220"/>
      <c r="D1441" s="221"/>
      <c r="E1441" s="222" t="s">
        <v>1682</v>
      </c>
      <c r="F1441" s="222" t="s">
        <v>1682</v>
      </c>
      <c r="G1441" s="223"/>
      <c r="H1441" s="224" t="s">
        <v>1682</v>
      </c>
    </row>
    <row r="1442" spans="2:8" x14ac:dyDescent="0.2">
      <c r="B1442" s="219" t="s">
        <v>968</v>
      </c>
      <c r="C1442" s="220"/>
      <c r="D1442" s="225"/>
      <c r="E1442" s="220"/>
      <c r="F1442" s="220"/>
      <c r="G1442" s="226"/>
      <c r="H1442" s="224">
        <f>SUM(H1439:H1441)</f>
        <v>1.75</v>
      </c>
    </row>
    <row r="1443" spans="2:8" x14ac:dyDescent="0.2">
      <c r="B1443" s="227" t="s">
        <v>1503</v>
      </c>
      <c r="C1443" s="132"/>
      <c r="D1443" s="188"/>
      <c r="E1443" s="132"/>
      <c r="F1443" s="132"/>
      <c r="G1443" s="228"/>
      <c r="H1443" s="218"/>
    </row>
    <row r="1444" spans="2:8" ht="25.5" x14ac:dyDescent="0.2">
      <c r="B1444" s="229" t="s">
        <v>1691</v>
      </c>
      <c r="C1444" s="230"/>
      <c r="D1444" s="231" t="s">
        <v>969</v>
      </c>
      <c r="E1444" s="232" t="s">
        <v>1689</v>
      </c>
      <c r="F1444" s="232" t="s">
        <v>1688</v>
      </c>
      <c r="G1444" s="233" t="s">
        <v>1687</v>
      </c>
      <c r="H1444" s="234" t="s">
        <v>1686</v>
      </c>
    </row>
    <row r="1445" spans="2:8" x14ac:dyDescent="0.2">
      <c r="B1445" s="235" t="s">
        <v>243</v>
      </c>
      <c r="C1445" s="132"/>
      <c r="D1445" s="236">
        <v>1</v>
      </c>
      <c r="E1445" s="237">
        <v>2.13</v>
      </c>
      <c r="F1445" s="216">
        <f>D1445*E1445</f>
        <v>2.13</v>
      </c>
      <c r="G1445" s="217">
        <v>18.600000000000001</v>
      </c>
      <c r="H1445" s="218">
        <f>F1445*G1445</f>
        <v>39.618000000000002</v>
      </c>
    </row>
    <row r="1446" spans="2:8" x14ac:dyDescent="0.2">
      <c r="B1446" s="235" t="s">
        <v>1488</v>
      </c>
      <c r="C1446" s="132"/>
      <c r="D1446" s="236">
        <v>1</v>
      </c>
      <c r="E1446" s="237">
        <v>2.13</v>
      </c>
      <c r="F1446" s="216">
        <f>D1446*E1446</f>
        <v>2.13</v>
      </c>
      <c r="G1446" s="217">
        <v>10.73</v>
      </c>
      <c r="H1446" s="218">
        <f>F1446*G1446</f>
        <v>22.854900000000001</v>
      </c>
    </row>
    <row r="1447" spans="2:8" x14ac:dyDescent="0.2">
      <c r="B1447" s="235" t="s">
        <v>590</v>
      </c>
      <c r="C1447" s="132"/>
      <c r="D1447" s="236">
        <v>1</v>
      </c>
      <c r="E1447" s="237">
        <v>2.13</v>
      </c>
      <c r="F1447" s="216">
        <f>D1447*E1447</f>
        <v>2.13</v>
      </c>
      <c r="G1447" s="217">
        <v>9.09</v>
      </c>
      <c r="H1447" s="218">
        <f>F1447*G1447</f>
        <v>19.361699999999999</v>
      </c>
    </row>
    <row r="1448" spans="2:8" x14ac:dyDescent="0.2">
      <c r="B1448" s="235"/>
      <c r="C1448" s="132"/>
      <c r="D1448" s="236"/>
      <c r="E1448" s="237"/>
      <c r="F1448" s="216"/>
      <c r="G1448" s="217"/>
      <c r="H1448" s="218"/>
    </row>
    <row r="1449" spans="2:8" x14ac:dyDescent="0.2">
      <c r="B1449" s="219" t="s">
        <v>1682</v>
      </c>
      <c r="C1449" s="220"/>
      <c r="D1449" s="221"/>
      <c r="E1449" s="222" t="s">
        <v>1682</v>
      </c>
      <c r="F1449" s="222" t="s">
        <v>1682</v>
      </c>
      <c r="G1449" s="223"/>
      <c r="H1449" s="224" t="s">
        <v>1682</v>
      </c>
    </row>
    <row r="1450" spans="2:8" x14ac:dyDescent="0.2">
      <c r="B1450" s="238" t="s">
        <v>1681</v>
      </c>
      <c r="C1450" s="239"/>
      <c r="D1450" s="240"/>
      <c r="E1450" s="239"/>
      <c r="F1450" s="239"/>
      <c r="G1450" s="239"/>
      <c r="H1450" s="241">
        <f>SUM(H1445:H1449)</f>
        <v>81.834599999999995</v>
      </c>
    </row>
    <row r="1451" spans="2:8" x14ac:dyDescent="0.2">
      <c r="B1451" s="227" t="s">
        <v>1684</v>
      </c>
      <c r="C1451" s="132"/>
      <c r="D1451" s="188"/>
      <c r="E1451" s="132"/>
      <c r="F1451" s="132"/>
      <c r="G1451" s="132"/>
      <c r="H1451" s="218"/>
    </row>
    <row r="1452" spans="2:8" ht="25.5" x14ac:dyDescent="0.2">
      <c r="B1452" s="229" t="s">
        <v>1409</v>
      </c>
      <c r="C1452" s="242"/>
      <c r="D1452" s="243"/>
      <c r="E1452" s="232" t="s">
        <v>1408</v>
      </c>
      <c r="F1452" s="231" t="s">
        <v>1679</v>
      </c>
      <c r="G1452" s="232" t="s">
        <v>1683</v>
      </c>
      <c r="H1452" s="234" t="s">
        <v>1675</v>
      </c>
    </row>
    <row r="1453" spans="2:8" x14ac:dyDescent="0.2">
      <c r="B1453" s="244" t="s">
        <v>459</v>
      </c>
      <c r="C1453" s="132"/>
      <c r="D1453" s="188"/>
      <c r="E1453" s="215" t="s">
        <v>1708</v>
      </c>
      <c r="F1453" s="215">
        <v>1.3</v>
      </c>
      <c r="G1453" s="216">
        <v>22</v>
      </c>
      <c r="H1453" s="218">
        <f>F1453*G1453</f>
        <v>28.6</v>
      </c>
    </row>
    <row r="1454" spans="2:8" x14ac:dyDescent="0.2">
      <c r="B1454" s="214" t="s">
        <v>460</v>
      </c>
      <c r="C1454" s="132"/>
      <c r="D1454" s="188"/>
      <c r="E1454" s="215" t="s">
        <v>1708</v>
      </c>
      <c r="F1454" s="215">
        <v>6</v>
      </c>
      <c r="G1454" s="216">
        <v>10.56</v>
      </c>
      <c r="H1454" s="218">
        <f>F1454*G1454</f>
        <v>63.36</v>
      </c>
    </row>
    <row r="1455" spans="2:8" x14ac:dyDescent="0.2">
      <c r="B1455" s="214" t="s">
        <v>461</v>
      </c>
      <c r="C1455" s="132"/>
      <c r="D1455" s="188"/>
      <c r="E1455" s="215" t="s">
        <v>1708</v>
      </c>
      <c r="F1455" s="215">
        <v>81</v>
      </c>
      <c r="G1455" s="216">
        <v>3.85</v>
      </c>
      <c r="H1455" s="218">
        <f>F1455*G1455</f>
        <v>311.85000000000002</v>
      </c>
    </row>
    <row r="1456" spans="2:8" x14ac:dyDescent="0.2">
      <c r="B1456" s="214" t="s">
        <v>462</v>
      </c>
      <c r="C1456" s="132"/>
      <c r="D1456" s="188"/>
      <c r="E1456" s="215" t="s">
        <v>1708</v>
      </c>
      <c r="F1456" s="215">
        <v>27</v>
      </c>
      <c r="G1456" s="216">
        <v>1</v>
      </c>
      <c r="H1456" s="218">
        <f>F1456*G1456</f>
        <v>27</v>
      </c>
    </row>
    <row r="1457" spans="2:8" x14ac:dyDescent="0.2">
      <c r="B1457" s="214"/>
      <c r="C1457" s="132"/>
      <c r="D1457" s="188"/>
      <c r="E1457" s="215"/>
      <c r="F1457" s="215"/>
      <c r="G1457" s="216"/>
      <c r="H1457" s="218"/>
    </row>
    <row r="1458" spans="2:8" x14ac:dyDescent="0.2">
      <c r="B1458" s="214" t="s">
        <v>1682</v>
      </c>
      <c r="C1458" s="132"/>
      <c r="D1458" s="245" t="s">
        <v>1682</v>
      </c>
      <c r="E1458" s="272" t="s">
        <v>1682</v>
      </c>
      <c r="F1458" s="215" t="s">
        <v>1682</v>
      </c>
      <c r="G1458" s="216" t="s">
        <v>1682</v>
      </c>
      <c r="H1458" s="218" t="s">
        <v>1682</v>
      </c>
    </row>
    <row r="1459" spans="2:8" x14ac:dyDescent="0.2">
      <c r="B1459" s="238" t="s">
        <v>1692</v>
      </c>
      <c r="C1459" s="239"/>
      <c r="D1459" s="240"/>
      <c r="E1459" s="240"/>
      <c r="F1459" s="240"/>
      <c r="G1459" s="239"/>
      <c r="H1459" s="241">
        <f>SUM(H1453:H1458)</f>
        <v>430.81000000000006</v>
      </c>
    </row>
    <row r="1460" spans="2:8" x14ac:dyDescent="0.2">
      <c r="B1460" s="227" t="s">
        <v>1680</v>
      </c>
      <c r="C1460" s="132"/>
      <c r="D1460" s="188"/>
      <c r="E1460" s="132"/>
      <c r="F1460" s="188"/>
      <c r="G1460" s="132"/>
      <c r="H1460" s="218"/>
    </row>
    <row r="1461" spans="2:8" ht="25.5" x14ac:dyDescent="0.2">
      <c r="B1461" s="229" t="s">
        <v>1409</v>
      </c>
      <c r="C1461" s="242"/>
      <c r="D1461" s="243"/>
      <c r="E1461" s="232" t="s">
        <v>1408</v>
      </c>
      <c r="F1461" s="231" t="s">
        <v>1679</v>
      </c>
      <c r="G1461" s="232" t="s">
        <v>1676</v>
      </c>
      <c r="H1461" s="234" t="s">
        <v>1675</v>
      </c>
    </row>
    <row r="1462" spans="2:8" x14ac:dyDescent="0.2">
      <c r="B1462" s="208" t="s">
        <v>975</v>
      </c>
      <c r="C1462" s="209"/>
      <c r="D1462" s="246"/>
      <c r="E1462" s="215" t="s">
        <v>976</v>
      </c>
      <c r="F1462" s="215">
        <v>0.6</v>
      </c>
      <c r="G1462" s="247">
        <v>5</v>
      </c>
      <c r="H1462" s="218">
        <f>F1462*G1462</f>
        <v>3</v>
      </c>
    </row>
    <row r="1463" spans="2:8" x14ac:dyDescent="0.2">
      <c r="B1463" s="214"/>
      <c r="C1463" s="132"/>
      <c r="D1463" s="248"/>
      <c r="E1463" s="215"/>
      <c r="F1463" s="215"/>
      <c r="G1463" s="247"/>
      <c r="H1463" s="218"/>
    </row>
    <row r="1464" spans="2:8" x14ac:dyDescent="0.2">
      <c r="B1464" s="219" t="s">
        <v>1682</v>
      </c>
      <c r="C1464" s="220"/>
      <c r="D1464" s="249"/>
      <c r="E1464" s="221" t="s">
        <v>1682</v>
      </c>
      <c r="F1464" s="221"/>
      <c r="G1464" s="222" t="s">
        <v>1682</v>
      </c>
      <c r="H1464" s="224" t="s">
        <v>1682</v>
      </c>
    </row>
    <row r="1465" spans="2:8" ht="13.5" thickBot="1" x14ac:dyDescent="0.25">
      <c r="B1465" s="250" t="s">
        <v>977</v>
      </c>
      <c r="C1465" s="251"/>
      <c r="D1465" s="252"/>
      <c r="E1465" s="252"/>
      <c r="F1465" s="252"/>
      <c r="G1465" s="251"/>
      <c r="H1465" s="253">
        <f>SUM(H1462:H1464)</f>
        <v>3</v>
      </c>
    </row>
    <row r="1466" spans="2:8" x14ac:dyDescent="0.2">
      <c r="B1466" s="132"/>
      <c r="C1466" s="132"/>
      <c r="D1466" s="254"/>
      <c r="E1466" s="198"/>
      <c r="F1466" s="198"/>
      <c r="G1466" s="255" t="s">
        <v>978</v>
      </c>
      <c r="H1466" s="256">
        <f>H1442+H1450+H1459+H1465</f>
        <v>517.39460000000008</v>
      </c>
    </row>
    <row r="1467" spans="2:8" x14ac:dyDescent="0.2">
      <c r="B1467" s="132"/>
      <c r="C1467" s="132"/>
      <c r="D1467" s="257"/>
      <c r="E1467" s="239"/>
      <c r="F1467" s="239"/>
      <c r="G1467" s="258" t="s">
        <v>979</v>
      </c>
      <c r="H1467" s="241"/>
    </row>
    <row r="1468" spans="2:8" x14ac:dyDescent="0.2">
      <c r="B1468" s="132"/>
      <c r="C1468" s="132"/>
      <c r="D1468" s="257"/>
      <c r="E1468" s="239"/>
      <c r="F1468" s="239"/>
      <c r="G1468" s="258" t="s">
        <v>980</v>
      </c>
      <c r="H1468" s="241"/>
    </row>
    <row r="1469" spans="2:8" x14ac:dyDescent="0.2">
      <c r="B1469" s="132"/>
      <c r="C1469" s="132"/>
      <c r="D1469" s="257"/>
      <c r="E1469" s="239"/>
      <c r="F1469" s="239"/>
      <c r="G1469" s="259" t="s">
        <v>1670</v>
      </c>
      <c r="H1469" s="260"/>
    </row>
    <row r="1470" spans="2:8" ht="13.5" thickBot="1" x14ac:dyDescent="0.25">
      <c r="B1470" s="193"/>
      <c r="C1470" s="132"/>
      <c r="D1470" s="261"/>
      <c r="E1470" s="251"/>
      <c r="F1470" s="251"/>
      <c r="G1470" s="262" t="s">
        <v>1650</v>
      </c>
      <c r="H1470" s="263"/>
    </row>
    <row r="1471" spans="2:8" ht="15.75" x14ac:dyDescent="0.2">
      <c r="B1471" s="186" t="s">
        <v>1701</v>
      </c>
      <c r="C1471" s="132"/>
      <c r="D1471" s="189" t="s">
        <v>742</v>
      </c>
      <c r="E1471" s="132"/>
      <c r="F1471" s="132"/>
      <c r="G1471" s="188"/>
      <c r="H1471" s="132"/>
    </row>
    <row r="1472" spans="2:8" ht="15.75" x14ac:dyDescent="0.2">
      <c r="B1472" s="186" t="s">
        <v>1700</v>
      </c>
      <c r="C1472" s="189" t="s">
        <v>963</v>
      </c>
      <c r="D1472" s="132"/>
      <c r="E1472" s="132"/>
      <c r="F1472" s="132"/>
      <c r="G1472" s="190"/>
      <c r="H1472" s="191"/>
    </row>
    <row r="1473" spans="2:8" ht="14.25" x14ac:dyDescent="0.2">
      <c r="B1473" s="189"/>
      <c r="C1473" s="189"/>
      <c r="D1473" s="189"/>
      <c r="E1473" s="189"/>
      <c r="F1473" s="189"/>
      <c r="G1473" s="189"/>
      <c r="H1473" s="189"/>
    </row>
    <row r="1474" spans="2:8" ht="15.75" x14ac:dyDescent="0.2">
      <c r="B1474" s="186" t="s">
        <v>1697</v>
      </c>
      <c r="C1474" s="189"/>
      <c r="D1474" s="132"/>
      <c r="E1474" s="132"/>
      <c r="F1474" s="132"/>
      <c r="G1474" s="132"/>
      <c r="H1474" s="132"/>
    </row>
    <row r="1475" spans="2:8" ht="15" x14ac:dyDescent="0.2">
      <c r="B1475" s="192"/>
      <c r="C1475" s="189"/>
      <c r="D1475" s="189"/>
      <c r="E1475" s="189"/>
      <c r="F1475" s="189"/>
      <c r="G1475" s="189"/>
      <c r="H1475" s="189"/>
    </row>
    <row r="1476" spans="2:8" ht="14.25" x14ac:dyDescent="0.2">
      <c r="B1476" s="193" t="s">
        <v>594</v>
      </c>
      <c r="C1476" s="194" t="s">
        <v>463</v>
      </c>
      <c r="D1476" s="132"/>
      <c r="E1476" s="188"/>
      <c r="F1476" s="188"/>
      <c r="G1476" s="195" t="s">
        <v>1696</v>
      </c>
      <c r="H1476" s="189" t="s">
        <v>1506</v>
      </c>
    </row>
    <row r="1477" spans="2:8" ht="14.25" x14ac:dyDescent="0.2">
      <c r="B1477" s="196" t="s">
        <v>964</v>
      </c>
      <c r="C1477" s="194" t="s">
        <v>464</v>
      </c>
      <c r="D1477" s="132"/>
      <c r="E1477" s="132"/>
      <c r="F1477" s="132"/>
      <c r="G1477" s="132"/>
      <c r="H1477" s="132"/>
    </row>
    <row r="1478" spans="2:8" ht="15" thickBot="1" x14ac:dyDescent="0.25">
      <c r="B1478" s="187"/>
      <c r="C1478" s="187"/>
      <c r="D1478" s="189"/>
      <c r="E1478" s="189"/>
      <c r="F1478" s="189"/>
      <c r="G1478" s="189"/>
      <c r="H1478" s="189"/>
    </row>
    <row r="1479" spans="2:8" ht="13.5" thickBot="1" x14ac:dyDescent="0.25">
      <c r="B1479" s="264" t="s">
        <v>1695</v>
      </c>
      <c r="C1479" s="265"/>
      <c r="D1479" s="266"/>
      <c r="E1479" s="265"/>
      <c r="F1479" s="265"/>
      <c r="G1479" s="265"/>
      <c r="H1479" s="267"/>
    </row>
    <row r="1480" spans="2:8" ht="25.5" x14ac:dyDescent="0.2">
      <c r="B1480" s="197" t="s">
        <v>1409</v>
      </c>
      <c r="C1480" s="268"/>
      <c r="D1480" s="269" t="s">
        <v>966</v>
      </c>
      <c r="E1480" s="270" t="s">
        <v>1694</v>
      </c>
      <c r="F1480" s="270" t="s">
        <v>1693</v>
      </c>
      <c r="G1480" s="201" t="s">
        <v>1687</v>
      </c>
      <c r="H1480" s="271" t="s">
        <v>967</v>
      </c>
    </row>
    <row r="1481" spans="2:8" x14ac:dyDescent="0.2">
      <c r="B1481" s="208" t="s">
        <v>1468</v>
      </c>
      <c r="C1481" s="209"/>
      <c r="D1481" s="210">
        <v>1</v>
      </c>
      <c r="E1481" s="211">
        <v>2.5</v>
      </c>
      <c r="F1481" s="211">
        <f>D1481*E1481</f>
        <v>2.5</v>
      </c>
      <c r="G1481" s="212">
        <v>0.49</v>
      </c>
      <c r="H1481" s="213">
        <f>F1481*G1481</f>
        <v>1.2250000000000001</v>
      </c>
    </row>
    <row r="1482" spans="2:8" x14ac:dyDescent="0.2">
      <c r="B1482" s="214" t="s">
        <v>1682</v>
      </c>
      <c r="C1482" s="132"/>
      <c r="D1482" s="215"/>
      <c r="E1482" s="216" t="s">
        <v>1682</v>
      </c>
      <c r="F1482" s="216" t="s">
        <v>1682</v>
      </c>
      <c r="G1482" s="217"/>
      <c r="H1482" s="218" t="s">
        <v>1682</v>
      </c>
    </row>
    <row r="1483" spans="2:8" x14ac:dyDescent="0.2">
      <c r="B1483" s="219" t="s">
        <v>1682</v>
      </c>
      <c r="C1483" s="220"/>
      <c r="D1483" s="221"/>
      <c r="E1483" s="222" t="s">
        <v>1682</v>
      </c>
      <c r="F1483" s="222" t="s">
        <v>1682</v>
      </c>
      <c r="G1483" s="223"/>
      <c r="H1483" s="224" t="s">
        <v>1682</v>
      </c>
    </row>
    <row r="1484" spans="2:8" x14ac:dyDescent="0.2">
      <c r="B1484" s="219" t="s">
        <v>968</v>
      </c>
      <c r="C1484" s="220"/>
      <c r="D1484" s="225"/>
      <c r="E1484" s="220"/>
      <c r="F1484" s="220"/>
      <c r="G1484" s="226"/>
      <c r="H1484" s="224">
        <f>SUM(H1481:H1483)</f>
        <v>1.2250000000000001</v>
      </c>
    </row>
    <row r="1485" spans="2:8" x14ac:dyDescent="0.2">
      <c r="B1485" s="227" t="s">
        <v>1503</v>
      </c>
      <c r="C1485" s="132"/>
      <c r="D1485" s="188"/>
      <c r="E1485" s="132"/>
      <c r="F1485" s="132"/>
      <c r="G1485" s="228"/>
      <c r="H1485" s="218"/>
    </row>
    <row r="1486" spans="2:8" ht="25.5" x14ac:dyDescent="0.2">
      <c r="B1486" s="229" t="s">
        <v>1691</v>
      </c>
      <c r="C1486" s="230"/>
      <c r="D1486" s="231" t="s">
        <v>969</v>
      </c>
      <c r="E1486" s="232" t="s">
        <v>1689</v>
      </c>
      <c r="F1486" s="232" t="s">
        <v>1688</v>
      </c>
      <c r="G1486" s="233" t="s">
        <v>1687</v>
      </c>
      <c r="H1486" s="234" t="s">
        <v>1686</v>
      </c>
    </row>
    <row r="1487" spans="2:8" x14ac:dyDescent="0.2">
      <c r="B1487" s="235" t="s">
        <v>243</v>
      </c>
      <c r="C1487" s="132"/>
      <c r="D1487" s="236">
        <v>1</v>
      </c>
      <c r="E1487" s="237">
        <v>2.13</v>
      </c>
      <c r="F1487" s="216">
        <f>D1487*E1487</f>
        <v>2.13</v>
      </c>
      <c r="G1487" s="217">
        <v>9.83</v>
      </c>
      <c r="H1487" s="218">
        <f>F1487*G1487</f>
        <v>20.937899999999999</v>
      </c>
    </row>
    <row r="1488" spans="2:8" x14ac:dyDescent="0.2">
      <c r="B1488" s="235" t="s">
        <v>1488</v>
      </c>
      <c r="C1488" s="132"/>
      <c r="D1488" s="236">
        <v>1</v>
      </c>
      <c r="E1488" s="237">
        <v>2.13</v>
      </c>
      <c r="F1488" s="216">
        <f>D1488*E1488</f>
        <v>2.13</v>
      </c>
      <c r="G1488" s="217">
        <v>7.37</v>
      </c>
      <c r="H1488" s="218">
        <f>F1488*G1488</f>
        <v>15.6981</v>
      </c>
    </row>
    <row r="1489" spans="2:8" x14ac:dyDescent="0.2">
      <c r="B1489" s="235" t="s">
        <v>590</v>
      </c>
      <c r="C1489" s="132"/>
      <c r="D1489" s="236">
        <v>1</v>
      </c>
      <c r="E1489" s="237">
        <v>2.13</v>
      </c>
      <c r="F1489" s="216">
        <f>D1489*E1489</f>
        <v>2.13</v>
      </c>
      <c r="G1489" s="217">
        <v>5.27</v>
      </c>
      <c r="H1489" s="218">
        <f>F1489*G1489</f>
        <v>11.225099999999999</v>
      </c>
    </row>
    <row r="1490" spans="2:8" x14ac:dyDescent="0.2">
      <c r="B1490" s="235"/>
      <c r="C1490" s="132"/>
      <c r="D1490" s="236"/>
      <c r="E1490" s="237"/>
      <c r="F1490" s="216"/>
      <c r="G1490" s="217"/>
      <c r="H1490" s="218"/>
    </row>
    <row r="1491" spans="2:8" x14ac:dyDescent="0.2">
      <c r="B1491" s="219" t="s">
        <v>1682</v>
      </c>
      <c r="C1491" s="220"/>
      <c r="D1491" s="221"/>
      <c r="E1491" s="222" t="s">
        <v>1682</v>
      </c>
      <c r="F1491" s="222" t="s">
        <v>1682</v>
      </c>
      <c r="G1491" s="223"/>
      <c r="H1491" s="224" t="s">
        <v>1682</v>
      </c>
    </row>
    <row r="1492" spans="2:8" x14ac:dyDescent="0.2">
      <c r="B1492" s="238" t="s">
        <v>1681</v>
      </c>
      <c r="C1492" s="239"/>
      <c r="D1492" s="240"/>
      <c r="E1492" s="239"/>
      <c r="F1492" s="239"/>
      <c r="G1492" s="239"/>
      <c r="H1492" s="241">
        <f>SUM(H1487:H1491)</f>
        <v>47.861099999999993</v>
      </c>
    </row>
    <row r="1493" spans="2:8" x14ac:dyDescent="0.2">
      <c r="B1493" s="227" t="s">
        <v>1684</v>
      </c>
      <c r="C1493" s="132"/>
      <c r="D1493" s="188"/>
      <c r="E1493" s="132"/>
      <c r="F1493" s="132"/>
      <c r="G1493" s="132"/>
      <c r="H1493" s="218"/>
    </row>
    <row r="1494" spans="2:8" ht="25.5" x14ac:dyDescent="0.2">
      <c r="B1494" s="229" t="s">
        <v>1409</v>
      </c>
      <c r="C1494" s="242"/>
      <c r="D1494" s="243"/>
      <c r="E1494" s="232" t="s">
        <v>1408</v>
      </c>
      <c r="F1494" s="231" t="s">
        <v>1679</v>
      </c>
      <c r="G1494" s="232" t="s">
        <v>1683</v>
      </c>
      <c r="H1494" s="234" t="s">
        <v>1675</v>
      </c>
    </row>
    <row r="1495" spans="2:8" x14ac:dyDescent="0.2">
      <c r="B1495" s="244" t="s">
        <v>459</v>
      </c>
      <c r="C1495" s="132"/>
      <c r="D1495" s="188"/>
      <c r="E1495" s="215" t="s">
        <v>1708</v>
      </c>
      <c r="F1495" s="215">
        <v>1.3</v>
      </c>
      <c r="G1495" s="216">
        <v>22</v>
      </c>
      <c r="H1495" s="218">
        <f>F1495*G1495</f>
        <v>28.6</v>
      </c>
    </row>
    <row r="1496" spans="2:8" x14ac:dyDescent="0.2">
      <c r="B1496" s="214" t="s">
        <v>465</v>
      </c>
      <c r="C1496" s="132"/>
      <c r="D1496" s="188"/>
      <c r="E1496" s="215" t="s">
        <v>1708</v>
      </c>
      <c r="F1496" s="215">
        <v>6.92</v>
      </c>
      <c r="G1496" s="216">
        <v>3.9</v>
      </c>
      <c r="H1496" s="218">
        <f>F1496*G1496</f>
        <v>26.988</v>
      </c>
    </row>
    <row r="1497" spans="2:8" x14ac:dyDescent="0.2">
      <c r="B1497" s="214" t="s">
        <v>466</v>
      </c>
      <c r="C1497" s="132"/>
      <c r="D1497" s="188"/>
      <c r="E1497" s="215" t="s">
        <v>1506</v>
      </c>
      <c r="F1497" s="215">
        <v>6</v>
      </c>
      <c r="G1497" s="216">
        <v>3</v>
      </c>
      <c r="H1497" s="218">
        <f>F1497*G1497</f>
        <v>18</v>
      </c>
    </row>
    <row r="1498" spans="2:8" x14ac:dyDescent="0.2">
      <c r="B1498" s="214" t="s">
        <v>467</v>
      </c>
      <c r="C1498" s="132"/>
      <c r="D1498" s="188"/>
      <c r="E1498" s="215" t="s">
        <v>1708</v>
      </c>
      <c r="F1498" s="215">
        <v>62</v>
      </c>
      <c r="G1498" s="216">
        <v>1.5</v>
      </c>
      <c r="H1498" s="218">
        <f>F1498*G1498</f>
        <v>93</v>
      </c>
    </row>
    <row r="1499" spans="2:8" x14ac:dyDescent="0.2">
      <c r="B1499" s="214" t="s">
        <v>468</v>
      </c>
      <c r="C1499" s="132"/>
      <c r="D1499" s="188"/>
      <c r="E1499" s="215" t="s">
        <v>1708</v>
      </c>
      <c r="F1499" s="215">
        <v>31</v>
      </c>
      <c r="G1499" s="216">
        <v>0.4</v>
      </c>
      <c r="H1499" s="218">
        <f>F1499*G1499</f>
        <v>12.4</v>
      </c>
    </row>
    <row r="1500" spans="2:8" x14ac:dyDescent="0.2">
      <c r="B1500" s="214"/>
      <c r="C1500" s="132"/>
      <c r="D1500" s="188"/>
      <c r="E1500" s="215"/>
      <c r="F1500" s="215"/>
      <c r="G1500" s="216"/>
      <c r="H1500" s="218"/>
    </row>
    <row r="1501" spans="2:8" x14ac:dyDescent="0.2">
      <c r="B1501" s="214" t="s">
        <v>1682</v>
      </c>
      <c r="C1501" s="132"/>
      <c r="D1501" s="245" t="s">
        <v>1682</v>
      </c>
      <c r="E1501" s="272" t="s">
        <v>1682</v>
      </c>
      <c r="F1501" s="215" t="s">
        <v>1682</v>
      </c>
      <c r="G1501" s="216" t="s">
        <v>1682</v>
      </c>
      <c r="H1501" s="218" t="s">
        <v>1682</v>
      </c>
    </row>
    <row r="1502" spans="2:8" x14ac:dyDescent="0.2">
      <c r="B1502" s="238" t="s">
        <v>1692</v>
      </c>
      <c r="C1502" s="239"/>
      <c r="D1502" s="240"/>
      <c r="E1502" s="240"/>
      <c r="F1502" s="240"/>
      <c r="G1502" s="239"/>
      <c r="H1502" s="241">
        <f>SUM(H1495:H1501)</f>
        <v>178.988</v>
      </c>
    </row>
    <row r="1503" spans="2:8" x14ac:dyDescent="0.2">
      <c r="B1503" s="227" t="s">
        <v>1680</v>
      </c>
      <c r="C1503" s="132"/>
      <c r="D1503" s="188"/>
      <c r="E1503" s="132"/>
      <c r="F1503" s="188"/>
      <c r="G1503" s="132"/>
      <c r="H1503" s="218"/>
    </row>
    <row r="1504" spans="2:8" ht="25.5" x14ac:dyDescent="0.2">
      <c r="B1504" s="229" t="s">
        <v>1409</v>
      </c>
      <c r="C1504" s="242"/>
      <c r="D1504" s="243"/>
      <c r="E1504" s="232" t="s">
        <v>1408</v>
      </c>
      <c r="F1504" s="231" t="s">
        <v>1679</v>
      </c>
      <c r="G1504" s="232" t="s">
        <v>1676</v>
      </c>
      <c r="H1504" s="234" t="s">
        <v>1675</v>
      </c>
    </row>
    <row r="1505" spans="2:8" x14ac:dyDescent="0.2">
      <c r="B1505" s="208" t="s">
        <v>975</v>
      </c>
      <c r="C1505" s="209"/>
      <c r="D1505" s="246"/>
      <c r="E1505" s="215" t="s">
        <v>976</v>
      </c>
      <c r="F1505" s="215">
        <v>0.3</v>
      </c>
      <c r="G1505" s="247">
        <v>5</v>
      </c>
      <c r="H1505" s="218">
        <f>F1505*G1505</f>
        <v>1.5</v>
      </c>
    </row>
    <row r="1506" spans="2:8" x14ac:dyDescent="0.2">
      <c r="B1506" s="214"/>
      <c r="C1506" s="132"/>
      <c r="D1506" s="248"/>
      <c r="E1506" s="215"/>
      <c r="F1506" s="215"/>
      <c r="G1506" s="247"/>
      <c r="H1506" s="218"/>
    </row>
    <row r="1507" spans="2:8" x14ac:dyDescent="0.2">
      <c r="B1507" s="219" t="s">
        <v>1682</v>
      </c>
      <c r="C1507" s="220"/>
      <c r="D1507" s="249"/>
      <c r="E1507" s="221" t="s">
        <v>1682</v>
      </c>
      <c r="F1507" s="221"/>
      <c r="G1507" s="222" t="s">
        <v>1682</v>
      </c>
      <c r="H1507" s="224" t="s">
        <v>1682</v>
      </c>
    </row>
    <row r="1508" spans="2:8" ht="13.5" thickBot="1" x14ac:dyDescent="0.25">
      <c r="B1508" s="250" t="s">
        <v>977</v>
      </c>
      <c r="C1508" s="251"/>
      <c r="D1508" s="252"/>
      <c r="E1508" s="252"/>
      <c r="F1508" s="252"/>
      <c r="G1508" s="251"/>
      <c r="H1508" s="253">
        <f>SUM(H1505:H1507)</f>
        <v>1.5</v>
      </c>
    </row>
    <row r="1509" spans="2:8" x14ac:dyDescent="0.2">
      <c r="B1509" s="132"/>
      <c r="C1509" s="132"/>
      <c r="D1509" s="254"/>
      <c r="E1509" s="198"/>
      <c r="F1509" s="198"/>
      <c r="G1509" s="255" t="s">
        <v>978</v>
      </c>
      <c r="H1509" s="256">
        <f>H1484+H1492+H1502+H1508</f>
        <v>229.57409999999999</v>
      </c>
    </row>
    <row r="1510" spans="2:8" x14ac:dyDescent="0.2">
      <c r="B1510" s="132"/>
      <c r="C1510" s="132"/>
      <c r="D1510" s="257"/>
      <c r="E1510" s="239"/>
      <c r="F1510" s="239"/>
      <c r="G1510" s="258" t="s">
        <v>979</v>
      </c>
      <c r="H1510" s="241"/>
    </row>
    <row r="1511" spans="2:8" x14ac:dyDescent="0.2">
      <c r="B1511" s="132"/>
      <c r="C1511" s="132"/>
      <c r="D1511" s="257"/>
      <c r="E1511" s="239"/>
      <c r="F1511" s="239"/>
      <c r="G1511" s="258" t="s">
        <v>980</v>
      </c>
      <c r="H1511" s="241"/>
    </row>
    <row r="1512" spans="2:8" x14ac:dyDescent="0.2">
      <c r="B1512" s="132"/>
      <c r="C1512" s="132"/>
      <c r="D1512" s="257"/>
      <c r="E1512" s="239"/>
      <c r="F1512" s="239"/>
      <c r="G1512" s="259" t="s">
        <v>1670</v>
      </c>
      <c r="H1512" s="260"/>
    </row>
    <row r="1513" spans="2:8" ht="13.5" thickBot="1" x14ac:dyDescent="0.25">
      <c r="B1513" s="193"/>
      <c r="C1513" s="132"/>
      <c r="D1513" s="261"/>
      <c r="E1513" s="251"/>
      <c r="F1513" s="251"/>
      <c r="G1513" s="262" t="s">
        <v>1650</v>
      </c>
      <c r="H1513" s="263"/>
    </row>
    <row r="1514" spans="2:8" ht="15.75" x14ac:dyDescent="0.2">
      <c r="B1514" s="186" t="s">
        <v>1701</v>
      </c>
      <c r="C1514" s="132"/>
      <c r="D1514" s="189" t="s">
        <v>742</v>
      </c>
      <c r="E1514" s="132"/>
      <c r="F1514" s="132"/>
      <c r="G1514" s="188"/>
      <c r="H1514" s="132"/>
    </row>
    <row r="1515" spans="2:8" ht="15.75" x14ac:dyDescent="0.2">
      <c r="B1515" s="186" t="s">
        <v>1700</v>
      </c>
      <c r="C1515" s="189" t="s">
        <v>963</v>
      </c>
      <c r="D1515" s="132"/>
      <c r="E1515" s="132"/>
      <c r="F1515" s="132"/>
      <c r="G1515" s="190"/>
      <c r="H1515" s="191"/>
    </row>
    <row r="1516" spans="2:8" ht="14.25" x14ac:dyDescent="0.2">
      <c r="B1516" s="189"/>
      <c r="C1516" s="189"/>
      <c r="D1516" s="189"/>
      <c r="E1516" s="189"/>
      <c r="F1516" s="189"/>
      <c r="G1516" s="189"/>
      <c r="H1516" s="189"/>
    </row>
    <row r="1517" spans="2:8" ht="15.75" x14ac:dyDescent="0.2">
      <c r="B1517" s="186" t="s">
        <v>1697</v>
      </c>
      <c r="C1517" s="189"/>
      <c r="D1517" s="132"/>
      <c r="E1517" s="132"/>
      <c r="F1517" s="132"/>
      <c r="G1517" s="132"/>
      <c r="H1517" s="132"/>
    </row>
    <row r="1518" spans="2:8" ht="15" x14ac:dyDescent="0.2">
      <c r="B1518" s="192"/>
      <c r="C1518" s="189"/>
      <c r="D1518" s="189"/>
      <c r="E1518" s="189"/>
      <c r="F1518" s="189"/>
      <c r="G1518" s="189"/>
      <c r="H1518" s="189"/>
    </row>
    <row r="1519" spans="2:8" ht="14.25" x14ac:dyDescent="0.2">
      <c r="B1519" s="193" t="s">
        <v>594</v>
      </c>
      <c r="C1519" s="194" t="s">
        <v>469</v>
      </c>
      <c r="D1519" s="132"/>
      <c r="E1519" s="188"/>
      <c r="F1519" s="188"/>
      <c r="G1519" s="195" t="s">
        <v>1696</v>
      </c>
      <c r="H1519" s="189" t="s">
        <v>1506</v>
      </c>
    </row>
    <row r="1520" spans="2:8" ht="14.25" x14ac:dyDescent="0.2">
      <c r="B1520" s="196" t="s">
        <v>964</v>
      </c>
      <c r="C1520" s="194" t="s">
        <v>470</v>
      </c>
      <c r="D1520" s="132"/>
      <c r="E1520" s="132"/>
      <c r="F1520" s="132"/>
      <c r="G1520" s="132"/>
      <c r="H1520" s="132"/>
    </row>
    <row r="1521" spans="2:8" ht="15" thickBot="1" x14ac:dyDescent="0.25">
      <c r="B1521" s="187"/>
      <c r="C1521" s="187"/>
      <c r="D1521" s="189"/>
      <c r="E1521" s="189"/>
      <c r="F1521" s="189"/>
      <c r="G1521" s="189"/>
      <c r="H1521" s="189"/>
    </row>
    <row r="1522" spans="2:8" ht="13.5" thickBot="1" x14ac:dyDescent="0.25">
      <c r="B1522" s="264" t="s">
        <v>1695</v>
      </c>
      <c r="C1522" s="265"/>
      <c r="D1522" s="266"/>
      <c r="E1522" s="265"/>
      <c r="F1522" s="265"/>
      <c r="G1522" s="265"/>
      <c r="H1522" s="267"/>
    </row>
    <row r="1523" spans="2:8" ht="25.5" x14ac:dyDescent="0.2">
      <c r="B1523" s="197" t="s">
        <v>1409</v>
      </c>
      <c r="C1523" s="268"/>
      <c r="D1523" s="269" t="s">
        <v>966</v>
      </c>
      <c r="E1523" s="270" t="s">
        <v>1694</v>
      </c>
      <c r="F1523" s="270" t="s">
        <v>1693</v>
      </c>
      <c r="G1523" s="201" t="s">
        <v>1687</v>
      </c>
      <c r="H1523" s="271" t="s">
        <v>967</v>
      </c>
    </row>
    <row r="1524" spans="2:8" x14ac:dyDescent="0.2">
      <c r="B1524" s="208" t="s">
        <v>1468</v>
      </c>
      <c r="C1524" s="209"/>
      <c r="D1524" s="210">
        <v>1</v>
      </c>
      <c r="E1524" s="211">
        <v>2.5</v>
      </c>
      <c r="F1524" s="211">
        <f>D1524*E1524</f>
        <v>2.5</v>
      </c>
      <c r="G1524" s="212">
        <v>0.48</v>
      </c>
      <c r="H1524" s="213">
        <f>F1524*G1524</f>
        <v>1.2</v>
      </c>
    </row>
    <row r="1525" spans="2:8" x14ac:dyDescent="0.2">
      <c r="B1525" s="214" t="s">
        <v>1682</v>
      </c>
      <c r="C1525" s="132"/>
      <c r="D1525" s="215"/>
      <c r="E1525" s="216" t="s">
        <v>1682</v>
      </c>
      <c r="F1525" s="216" t="s">
        <v>1682</v>
      </c>
      <c r="G1525" s="217"/>
      <c r="H1525" s="218" t="s">
        <v>1682</v>
      </c>
    </row>
    <row r="1526" spans="2:8" x14ac:dyDescent="0.2">
      <c r="B1526" s="219" t="s">
        <v>1682</v>
      </c>
      <c r="C1526" s="220"/>
      <c r="D1526" s="221"/>
      <c r="E1526" s="222" t="s">
        <v>1682</v>
      </c>
      <c r="F1526" s="222" t="s">
        <v>1682</v>
      </c>
      <c r="G1526" s="223"/>
      <c r="H1526" s="224" t="s">
        <v>1682</v>
      </c>
    </row>
    <row r="1527" spans="2:8" x14ac:dyDescent="0.2">
      <c r="B1527" s="219" t="s">
        <v>968</v>
      </c>
      <c r="C1527" s="220"/>
      <c r="D1527" s="225"/>
      <c r="E1527" s="220"/>
      <c r="F1527" s="220"/>
      <c r="G1527" s="226"/>
      <c r="H1527" s="224">
        <f>SUM(H1524:H1526)</f>
        <v>1.2</v>
      </c>
    </row>
    <row r="1528" spans="2:8" x14ac:dyDescent="0.2">
      <c r="B1528" s="227" t="s">
        <v>1503</v>
      </c>
      <c r="C1528" s="132"/>
      <c r="D1528" s="188"/>
      <c r="E1528" s="132"/>
      <c r="F1528" s="132"/>
      <c r="G1528" s="228"/>
      <c r="H1528" s="218"/>
    </row>
    <row r="1529" spans="2:8" ht="25.5" x14ac:dyDescent="0.2">
      <c r="B1529" s="229" t="s">
        <v>1691</v>
      </c>
      <c r="C1529" s="230"/>
      <c r="D1529" s="231" t="s">
        <v>969</v>
      </c>
      <c r="E1529" s="232" t="s">
        <v>1689</v>
      </c>
      <c r="F1529" s="232" t="s">
        <v>1688</v>
      </c>
      <c r="G1529" s="233" t="s">
        <v>1687</v>
      </c>
      <c r="H1529" s="234" t="s">
        <v>1686</v>
      </c>
    </row>
    <row r="1530" spans="2:8" x14ac:dyDescent="0.2">
      <c r="B1530" s="235" t="s">
        <v>243</v>
      </c>
      <c r="C1530" s="132"/>
      <c r="D1530" s="236">
        <v>1</v>
      </c>
      <c r="E1530" s="237">
        <v>2.13</v>
      </c>
      <c r="F1530" s="216">
        <f>D1530*E1530</f>
        <v>2.13</v>
      </c>
      <c r="G1530" s="217">
        <v>9.83</v>
      </c>
      <c r="H1530" s="218">
        <f>F1530*G1530</f>
        <v>20.937899999999999</v>
      </c>
    </row>
    <row r="1531" spans="2:8" x14ac:dyDescent="0.2">
      <c r="B1531" s="235" t="s">
        <v>1488</v>
      </c>
      <c r="C1531" s="132"/>
      <c r="D1531" s="236">
        <v>1</v>
      </c>
      <c r="E1531" s="237">
        <v>2.13</v>
      </c>
      <c r="F1531" s="216">
        <f>D1531*E1531</f>
        <v>2.13</v>
      </c>
      <c r="G1531" s="217">
        <v>7.37</v>
      </c>
      <c r="H1531" s="218">
        <f>F1531*G1531</f>
        <v>15.6981</v>
      </c>
    </row>
    <row r="1532" spans="2:8" x14ac:dyDescent="0.2">
      <c r="B1532" s="235" t="s">
        <v>590</v>
      </c>
      <c r="C1532" s="132"/>
      <c r="D1532" s="236">
        <v>1</v>
      </c>
      <c r="E1532" s="237">
        <v>2.13</v>
      </c>
      <c r="F1532" s="216">
        <f>D1532*E1532</f>
        <v>2.13</v>
      </c>
      <c r="G1532" s="217">
        <v>5.27</v>
      </c>
      <c r="H1532" s="218">
        <f>F1532*G1532</f>
        <v>11.225099999999999</v>
      </c>
    </row>
    <row r="1533" spans="2:8" x14ac:dyDescent="0.2">
      <c r="B1533" s="235"/>
      <c r="C1533" s="132"/>
      <c r="D1533" s="236"/>
      <c r="E1533" s="237"/>
      <c r="F1533" s="216"/>
      <c r="G1533" s="217"/>
      <c r="H1533" s="218"/>
    </row>
    <row r="1534" spans="2:8" x14ac:dyDescent="0.2">
      <c r="B1534" s="219" t="s">
        <v>1682</v>
      </c>
      <c r="C1534" s="220"/>
      <c r="D1534" s="221"/>
      <c r="E1534" s="222" t="s">
        <v>1682</v>
      </c>
      <c r="F1534" s="222" t="s">
        <v>1682</v>
      </c>
      <c r="G1534" s="223"/>
      <c r="H1534" s="224" t="s">
        <v>1682</v>
      </c>
    </row>
    <row r="1535" spans="2:8" x14ac:dyDescent="0.2">
      <c r="B1535" s="238" t="s">
        <v>1681</v>
      </c>
      <c r="C1535" s="239"/>
      <c r="D1535" s="240"/>
      <c r="E1535" s="239"/>
      <c r="F1535" s="239"/>
      <c r="G1535" s="239"/>
      <c r="H1535" s="241">
        <f>SUM(H1530:H1534)</f>
        <v>47.861099999999993</v>
      </c>
    </row>
    <row r="1536" spans="2:8" x14ac:dyDescent="0.2">
      <c r="B1536" s="227" t="s">
        <v>1684</v>
      </c>
      <c r="C1536" s="132"/>
      <c r="D1536" s="188"/>
      <c r="E1536" s="132"/>
      <c r="F1536" s="132"/>
      <c r="G1536" s="132"/>
      <c r="H1536" s="218"/>
    </row>
    <row r="1537" spans="2:8" ht="25.5" x14ac:dyDescent="0.2">
      <c r="B1537" s="229" t="s">
        <v>1409</v>
      </c>
      <c r="C1537" s="242"/>
      <c r="D1537" s="243"/>
      <c r="E1537" s="232" t="s">
        <v>1408</v>
      </c>
      <c r="F1537" s="231" t="s">
        <v>1679</v>
      </c>
      <c r="G1537" s="232" t="s">
        <v>1683</v>
      </c>
      <c r="H1537" s="234" t="s">
        <v>1675</v>
      </c>
    </row>
    <row r="1538" spans="2:8" x14ac:dyDescent="0.2">
      <c r="B1538" s="244" t="s">
        <v>459</v>
      </c>
      <c r="C1538" s="132"/>
      <c r="D1538" s="188"/>
      <c r="E1538" s="215" t="s">
        <v>1708</v>
      </c>
      <c r="F1538" s="215">
        <v>1.3</v>
      </c>
      <c r="G1538" s="216">
        <v>22</v>
      </c>
      <c r="H1538" s="218">
        <f>F1538*G1538</f>
        <v>28.6</v>
      </c>
    </row>
    <row r="1539" spans="2:8" x14ac:dyDescent="0.2">
      <c r="B1539" s="214" t="s">
        <v>471</v>
      </c>
      <c r="C1539" s="132"/>
      <c r="D1539" s="188"/>
      <c r="E1539" s="215" t="s">
        <v>1708</v>
      </c>
      <c r="F1539" s="215">
        <v>3</v>
      </c>
      <c r="G1539" s="216">
        <v>2.68</v>
      </c>
      <c r="H1539" s="218">
        <f>F1539*G1539</f>
        <v>8.0400000000000009</v>
      </c>
    </row>
    <row r="1540" spans="2:8" x14ac:dyDescent="0.2">
      <c r="B1540" s="214" t="s">
        <v>472</v>
      </c>
      <c r="C1540" s="132"/>
      <c r="D1540" s="188"/>
      <c r="E1540" s="215" t="s">
        <v>1506</v>
      </c>
      <c r="F1540" s="215">
        <v>0.89</v>
      </c>
      <c r="G1540" s="216">
        <v>2.16</v>
      </c>
      <c r="H1540" s="218">
        <f>F1540*G1540</f>
        <v>1.9224000000000001</v>
      </c>
    </row>
    <row r="1541" spans="2:8" x14ac:dyDescent="0.2">
      <c r="B1541" s="214" t="s">
        <v>462</v>
      </c>
      <c r="C1541" s="132"/>
      <c r="D1541" s="188"/>
      <c r="E1541" s="215" t="s">
        <v>1708</v>
      </c>
      <c r="F1541" s="215">
        <v>57</v>
      </c>
      <c r="G1541" s="216">
        <v>1</v>
      </c>
      <c r="H1541" s="218">
        <f>F1541*G1541</f>
        <v>57</v>
      </c>
    </row>
    <row r="1542" spans="2:8" x14ac:dyDescent="0.2">
      <c r="B1542" s="214" t="s">
        <v>468</v>
      </c>
      <c r="C1542" s="132"/>
      <c r="D1542" s="188"/>
      <c r="E1542" s="215" t="s">
        <v>1708</v>
      </c>
      <c r="F1542" s="215">
        <v>26</v>
      </c>
      <c r="G1542" s="216">
        <v>0.4</v>
      </c>
      <c r="H1542" s="218">
        <f>F1542*G1542</f>
        <v>10.4</v>
      </c>
    </row>
    <row r="1543" spans="2:8" x14ac:dyDescent="0.2">
      <c r="B1543" s="214"/>
      <c r="C1543" s="132"/>
      <c r="D1543" s="188"/>
      <c r="E1543" s="215"/>
      <c r="F1543" s="215"/>
      <c r="G1543" s="216"/>
      <c r="H1543" s="218"/>
    </row>
    <row r="1544" spans="2:8" x14ac:dyDescent="0.2">
      <c r="B1544" s="214" t="s">
        <v>1682</v>
      </c>
      <c r="C1544" s="132"/>
      <c r="D1544" s="245" t="s">
        <v>1682</v>
      </c>
      <c r="E1544" s="272" t="s">
        <v>1682</v>
      </c>
      <c r="F1544" s="215" t="s">
        <v>1682</v>
      </c>
      <c r="G1544" s="216" t="s">
        <v>1682</v>
      </c>
      <c r="H1544" s="218" t="s">
        <v>1682</v>
      </c>
    </row>
    <row r="1545" spans="2:8" x14ac:dyDescent="0.2">
      <c r="B1545" s="238" t="s">
        <v>1692</v>
      </c>
      <c r="C1545" s="239"/>
      <c r="D1545" s="240"/>
      <c r="E1545" s="240"/>
      <c r="F1545" s="240"/>
      <c r="G1545" s="239"/>
      <c r="H1545" s="241">
        <f>SUM(H1538:H1544)</f>
        <v>105.9624</v>
      </c>
    </row>
    <row r="1546" spans="2:8" x14ac:dyDescent="0.2">
      <c r="B1546" s="227" t="s">
        <v>1680</v>
      </c>
      <c r="C1546" s="132"/>
      <c r="D1546" s="188"/>
      <c r="E1546" s="132"/>
      <c r="F1546" s="188"/>
      <c r="G1546" s="132"/>
      <c r="H1546" s="218"/>
    </row>
    <row r="1547" spans="2:8" ht="25.5" x14ac:dyDescent="0.2">
      <c r="B1547" s="229" t="s">
        <v>1409</v>
      </c>
      <c r="C1547" s="242"/>
      <c r="D1547" s="243"/>
      <c r="E1547" s="232" t="s">
        <v>1408</v>
      </c>
      <c r="F1547" s="231" t="s">
        <v>1679</v>
      </c>
      <c r="G1547" s="232" t="s">
        <v>1676</v>
      </c>
      <c r="H1547" s="234" t="s">
        <v>1675</v>
      </c>
    </row>
    <row r="1548" spans="2:8" x14ac:dyDescent="0.2">
      <c r="B1548" s="208" t="s">
        <v>975</v>
      </c>
      <c r="C1548" s="209"/>
      <c r="D1548" s="246"/>
      <c r="E1548" s="215" t="s">
        <v>976</v>
      </c>
      <c r="F1548" s="215">
        <v>0.3</v>
      </c>
      <c r="G1548" s="247">
        <v>5</v>
      </c>
      <c r="H1548" s="218">
        <f>F1548*G1548</f>
        <v>1.5</v>
      </c>
    </row>
    <row r="1549" spans="2:8" x14ac:dyDescent="0.2">
      <c r="B1549" s="214"/>
      <c r="C1549" s="132"/>
      <c r="D1549" s="248"/>
      <c r="E1549" s="215"/>
      <c r="F1549" s="215"/>
      <c r="G1549" s="247"/>
      <c r="H1549" s="218"/>
    </row>
    <row r="1550" spans="2:8" x14ac:dyDescent="0.2">
      <c r="B1550" s="219" t="s">
        <v>1682</v>
      </c>
      <c r="C1550" s="220"/>
      <c r="D1550" s="249"/>
      <c r="E1550" s="221" t="s">
        <v>1682</v>
      </c>
      <c r="F1550" s="221"/>
      <c r="G1550" s="222" t="s">
        <v>1682</v>
      </c>
      <c r="H1550" s="224" t="s">
        <v>1682</v>
      </c>
    </row>
    <row r="1551" spans="2:8" ht="13.5" thickBot="1" x14ac:dyDescent="0.25">
      <c r="B1551" s="250" t="s">
        <v>977</v>
      </c>
      <c r="C1551" s="251"/>
      <c r="D1551" s="252"/>
      <c r="E1551" s="252"/>
      <c r="F1551" s="252"/>
      <c r="G1551" s="251"/>
      <c r="H1551" s="253">
        <f>SUM(H1548:H1550)</f>
        <v>1.5</v>
      </c>
    </row>
    <row r="1552" spans="2:8" x14ac:dyDescent="0.2">
      <c r="B1552" s="132"/>
      <c r="C1552" s="132"/>
      <c r="D1552" s="254"/>
      <c r="E1552" s="198"/>
      <c r="F1552" s="198"/>
      <c r="G1552" s="255" t="s">
        <v>978</v>
      </c>
      <c r="H1552" s="256">
        <f>H1527+H1535+H1545+H1551</f>
        <v>156.52350000000001</v>
      </c>
    </row>
    <row r="1553" spans="2:8" x14ac:dyDescent="0.2">
      <c r="B1553" s="132"/>
      <c r="C1553" s="132"/>
      <c r="D1553" s="257"/>
      <c r="E1553" s="239"/>
      <c r="F1553" s="239"/>
      <c r="G1553" s="258" t="s">
        <v>979</v>
      </c>
      <c r="H1553" s="241"/>
    </row>
    <row r="1554" spans="2:8" x14ac:dyDescent="0.2">
      <c r="B1554" s="132"/>
      <c r="C1554" s="132"/>
      <c r="D1554" s="257"/>
      <c r="E1554" s="239"/>
      <c r="F1554" s="239"/>
      <c r="G1554" s="258" t="s">
        <v>980</v>
      </c>
      <c r="H1554" s="241"/>
    </row>
    <row r="1555" spans="2:8" x14ac:dyDescent="0.2">
      <c r="B1555" s="132"/>
      <c r="C1555" s="132"/>
      <c r="D1555" s="257"/>
      <c r="E1555" s="239"/>
      <c r="F1555" s="239"/>
      <c r="G1555" s="259" t="s">
        <v>1670</v>
      </c>
      <c r="H1555" s="260"/>
    </row>
    <row r="1556" spans="2:8" ht="13.5" thickBot="1" x14ac:dyDescent="0.25">
      <c r="B1556" s="193"/>
      <c r="C1556" s="132"/>
      <c r="D1556" s="261"/>
      <c r="E1556" s="251"/>
      <c r="F1556" s="251"/>
      <c r="G1556" s="262" t="s">
        <v>1650</v>
      </c>
      <c r="H1556" s="263"/>
    </row>
    <row r="1557" spans="2:8" ht="15.75" x14ac:dyDescent="0.2">
      <c r="B1557" s="186" t="s">
        <v>1701</v>
      </c>
      <c r="C1557" s="132"/>
      <c r="D1557" s="189" t="s">
        <v>742</v>
      </c>
      <c r="E1557" s="132"/>
      <c r="F1557" s="132"/>
      <c r="G1557" s="188"/>
      <c r="H1557" s="132"/>
    </row>
    <row r="1558" spans="2:8" ht="15.75" x14ac:dyDescent="0.2">
      <c r="B1558" s="186" t="s">
        <v>1700</v>
      </c>
      <c r="C1558" s="189" t="s">
        <v>963</v>
      </c>
      <c r="D1558" s="132"/>
      <c r="E1558" s="132"/>
      <c r="F1558" s="132"/>
      <c r="G1558" s="190"/>
      <c r="H1558" s="191"/>
    </row>
    <row r="1559" spans="2:8" ht="14.25" x14ac:dyDescent="0.2">
      <c r="B1559" s="189"/>
      <c r="C1559" s="189"/>
      <c r="D1559" s="189"/>
      <c r="E1559" s="189"/>
      <c r="F1559" s="189"/>
      <c r="G1559" s="189"/>
      <c r="H1559" s="189"/>
    </row>
    <row r="1560" spans="2:8" ht="15.75" x14ac:dyDescent="0.2">
      <c r="B1560" s="186" t="s">
        <v>1697</v>
      </c>
      <c r="C1560" s="189"/>
      <c r="D1560" s="132"/>
      <c r="E1560" s="132"/>
      <c r="F1560" s="132"/>
      <c r="G1560" s="132"/>
      <c r="H1560" s="132"/>
    </row>
    <row r="1561" spans="2:8" ht="15" x14ac:dyDescent="0.2">
      <c r="B1561" s="192"/>
      <c r="C1561" s="189"/>
      <c r="D1561" s="189"/>
      <c r="E1561" s="189"/>
      <c r="F1561" s="189"/>
      <c r="G1561" s="189"/>
      <c r="H1561" s="189"/>
    </row>
    <row r="1562" spans="2:8" ht="14.25" x14ac:dyDescent="0.2">
      <c r="B1562" s="193" t="s">
        <v>594</v>
      </c>
      <c r="C1562" s="194" t="s">
        <v>473</v>
      </c>
      <c r="D1562" s="132"/>
      <c r="E1562" s="188"/>
      <c r="F1562" s="188"/>
      <c r="G1562" s="195" t="s">
        <v>1696</v>
      </c>
      <c r="H1562" s="189" t="s">
        <v>1506</v>
      </c>
    </row>
    <row r="1563" spans="2:8" ht="14.25" x14ac:dyDescent="0.2">
      <c r="B1563" s="196" t="s">
        <v>964</v>
      </c>
      <c r="C1563" s="194" t="s">
        <v>474</v>
      </c>
      <c r="D1563" s="132"/>
      <c r="E1563" s="132"/>
      <c r="F1563" s="132"/>
      <c r="G1563" s="132"/>
      <c r="H1563" s="132"/>
    </row>
    <row r="1564" spans="2:8" ht="15" thickBot="1" x14ac:dyDescent="0.25">
      <c r="B1564" s="187"/>
      <c r="C1564" s="187"/>
      <c r="D1564" s="189"/>
      <c r="E1564" s="189"/>
      <c r="F1564" s="189"/>
      <c r="G1564" s="189"/>
      <c r="H1564" s="189"/>
    </row>
    <row r="1565" spans="2:8" ht="13.5" thickBot="1" x14ac:dyDescent="0.25">
      <c r="B1565" s="264" t="s">
        <v>1695</v>
      </c>
      <c r="C1565" s="265"/>
      <c r="D1565" s="266"/>
      <c r="E1565" s="265"/>
      <c r="F1565" s="265"/>
      <c r="G1565" s="265"/>
      <c r="H1565" s="267"/>
    </row>
    <row r="1566" spans="2:8" ht="25.5" x14ac:dyDescent="0.2">
      <c r="B1566" s="197" t="s">
        <v>1409</v>
      </c>
      <c r="C1566" s="268"/>
      <c r="D1566" s="269" t="s">
        <v>966</v>
      </c>
      <c r="E1566" s="270" t="s">
        <v>1694</v>
      </c>
      <c r="F1566" s="270" t="s">
        <v>1693</v>
      </c>
      <c r="G1566" s="201" t="s">
        <v>1687</v>
      </c>
      <c r="H1566" s="271" t="s">
        <v>967</v>
      </c>
    </row>
    <row r="1567" spans="2:8" x14ac:dyDescent="0.2">
      <c r="B1567" s="208" t="s">
        <v>1468</v>
      </c>
      <c r="C1567" s="209"/>
      <c r="D1567" s="210">
        <v>1</v>
      </c>
      <c r="E1567" s="211">
        <v>2.5</v>
      </c>
      <c r="F1567" s="211">
        <f>D1567*E1567</f>
        <v>2.5</v>
      </c>
      <c r="G1567" s="212">
        <v>0.48</v>
      </c>
      <c r="H1567" s="213">
        <f>F1567*G1567</f>
        <v>1.2</v>
      </c>
    </row>
    <row r="1568" spans="2:8" x14ac:dyDescent="0.2">
      <c r="B1568" s="214" t="s">
        <v>1682</v>
      </c>
      <c r="C1568" s="132"/>
      <c r="D1568" s="215"/>
      <c r="E1568" s="216" t="s">
        <v>1682</v>
      </c>
      <c r="F1568" s="216" t="s">
        <v>1682</v>
      </c>
      <c r="G1568" s="217"/>
      <c r="H1568" s="218" t="s">
        <v>1682</v>
      </c>
    </row>
    <row r="1569" spans="2:8" x14ac:dyDescent="0.2">
      <c r="B1569" s="219" t="s">
        <v>1682</v>
      </c>
      <c r="C1569" s="220"/>
      <c r="D1569" s="221"/>
      <c r="E1569" s="222" t="s">
        <v>1682</v>
      </c>
      <c r="F1569" s="222" t="s">
        <v>1682</v>
      </c>
      <c r="G1569" s="223"/>
      <c r="H1569" s="224" t="s">
        <v>1682</v>
      </c>
    </row>
    <row r="1570" spans="2:8" x14ac:dyDescent="0.2">
      <c r="B1570" s="219" t="s">
        <v>968</v>
      </c>
      <c r="C1570" s="220"/>
      <c r="D1570" s="225"/>
      <c r="E1570" s="220"/>
      <c r="F1570" s="220"/>
      <c r="G1570" s="226"/>
      <c r="H1570" s="224">
        <f>SUM(H1567:H1569)</f>
        <v>1.2</v>
      </c>
    </row>
    <row r="1571" spans="2:8" x14ac:dyDescent="0.2">
      <c r="B1571" s="227" t="s">
        <v>1503</v>
      </c>
      <c r="C1571" s="132"/>
      <c r="D1571" s="188"/>
      <c r="E1571" s="132"/>
      <c r="F1571" s="132"/>
      <c r="G1571" s="228"/>
      <c r="H1571" s="218"/>
    </row>
    <row r="1572" spans="2:8" ht="25.5" x14ac:dyDescent="0.2">
      <c r="B1572" s="229" t="s">
        <v>1691</v>
      </c>
      <c r="C1572" s="230"/>
      <c r="D1572" s="231" t="s">
        <v>969</v>
      </c>
      <c r="E1572" s="232" t="s">
        <v>1689</v>
      </c>
      <c r="F1572" s="232" t="s">
        <v>1688</v>
      </c>
      <c r="G1572" s="233" t="s">
        <v>1687</v>
      </c>
      <c r="H1572" s="234" t="s">
        <v>1686</v>
      </c>
    </row>
    <row r="1573" spans="2:8" x14ac:dyDescent="0.2">
      <c r="B1573" s="235" t="s">
        <v>243</v>
      </c>
      <c r="C1573" s="132"/>
      <c r="D1573" s="236">
        <v>1</v>
      </c>
      <c r="E1573" s="237">
        <v>2.13</v>
      </c>
      <c r="F1573" s="216">
        <f>D1573*E1573</f>
        <v>2.13</v>
      </c>
      <c r="G1573" s="217">
        <v>9.2899999999999991</v>
      </c>
      <c r="H1573" s="218">
        <v>19.79</v>
      </c>
    </row>
    <row r="1574" spans="2:8" x14ac:dyDescent="0.2">
      <c r="B1574" s="235" t="s">
        <v>1488</v>
      </c>
      <c r="C1574" s="132"/>
      <c r="D1574" s="236">
        <v>1</v>
      </c>
      <c r="E1574" s="237">
        <v>2.13</v>
      </c>
      <c r="F1574" s="216">
        <f>D1574*E1574</f>
        <v>2.13</v>
      </c>
      <c r="G1574" s="217">
        <v>6.94</v>
      </c>
      <c r="H1574" s="218">
        <v>14.78</v>
      </c>
    </row>
    <row r="1575" spans="2:8" x14ac:dyDescent="0.2">
      <c r="B1575" s="235" t="s">
        <v>590</v>
      </c>
      <c r="C1575" s="132"/>
      <c r="D1575" s="236">
        <v>1</v>
      </c>
      <c r="E1575" s="237">
        <v>2.13</v>
      </c>
      <c r="F1575" s="216">
        <f>D1575*E1575</f>
        <v>2.13</v>
      </c>
      <c r="G1575" s="217">
        <v>4.96</v>
      </c>
      <c r="H1575" s="218">
        <v>10.56</v>
      </c>
    </row>
    <row r="1576" spans="2:8" x14ac:dyDescent="0.2">
      <c r="B1576" s="235"/>
      <c r="C1576" s="132"/>
      <c r="D1576" s="236"/>
      <c r="E1576" s="237"/>
      <c r="F1576" s="216"/>
      <c r="G1576" s="217"/>
      <c r="H1576" s="218"/>
    </row>
    <row r="1577" spans="2:8" x14ac:dyDescent="0.2">
      <c r="B1577" s="219" t="s">
        <v>1682</v>
      </c>
      <c r="C1577" s="220"/>
      <c r="D1577" s="221"/>
      <c r="E1577" s="222" t="s">
        <v>1682</v>
      </c>
      <c r="F1577" s="222" t="s">
        <v>1682</v>
      </c>
      <c r="G1577" s="223"/>
      <c r="H1577" s="224" t="s">
        <v>1682</v>
      </c>
    </row>
    <row r="1578" spans="2:8" x14ac:dyDescent="0.2">
      <c r="B1578" s="238" t="s">
        <v>1681</v>
      </c>
      <c r="C1578" s="239"/>
      <c r="D1578" s="240"/>
      <c r="E1578" s="239"/>
      <c r="F1578" s="239"/>
      <c r="G1578" s="239"/>
      <c r="H1578" s="241">
        <f>SUM(H1573:H1577)</f>
        <v>45.13</v>
      </c>
    </row>
    <row r="1579" spans="2:8" x14ac:dyDescent="0.2">
      <c r="B1579" s="227" t="s">
        <v>1684</v>
      </c>
      <c r="C1579" s="132"/>
      <c r="D1579" s="188"/>
      <c r="E1579" s="132"/>
      <c r="F1579" s="132"/>
      <c r="G1579" s="132"/>
      <c r="H1579" s="218"/>
    </row>
    <row r="1580" spans="2:8" ht="25.5" x14ac:dyDescent="0.2">
      <c r="B1580" s="229" t="s">
        <v>1409</v>
      </c>
      <c r="C1580" s="242"/>
      <c r="D1580" s="243"/>
      <c r="E1580" s="232" t="s">
        <v>1408</v>
      </c>
      <c r="F1580" s="231" t="s">
        <v>1679</v>
      </c>
      <c r="G1580" s="232" t="s">
        <v>1683</v>
      </c>
      <c r="H1580" s="234" t="s">
        <v>1675</v>
      </c>
    </row>
    <row r="1581" spans="2:8" x14ac:dyDescent="0.2">
      <c r="B1581" s="244" t="s">
        <v>459</v>
      </c>
      <c r="C1581" s="132"/>
      <c r="D1581" s="188"/>
      <c r="E1581" s="215" t="s">
        <v>1708</v>
      </c>
      <c r="F1581" s="215">
        <v>1.3</v>
      </c>
      <c r="G1581" s="216">
        <v>22</v>
      </c>
      <c r="H1581" s="218">
        <f>F1581*G1581</f>
        <v>28.6</v>
      </c>
    </row>
    <row r="1582" spans="2:8" x14ac:dyDescent="0.2">
      <c r="B1582" s="214" t="s">
        <v>471</v>
      </c>
      <c r="C1582" s="132"/>
      <c r="D1582" s="188"/>
      <c r="E1582" s="215" t="s">
        <v>1708</v>
      </c>
      <c r="F1582" s="215">
        <v>2</v>
      </c>
      <c r="G1582" s="216">
        <v>2.68</v>
      </c>
      <c r="H1582" s="218">
        <f>F1582*G1582</f>
        <v>5.36</v>
      </c>
    </row>
    <row r="1583" spans="2:8" x14ac:dyDescent="0.2">
      <c r="B1583" s="214" t="s">
        <v>475</v>
      </c>
      <c r="C1583" s="132"/>
      <c r="D1583" s="188"/>
      <c r="E1583" s="215" t="s">
        <v>1506</v>
      </c>
      <c r="F1583" s="215">
        <v>0.2</v>
      </c>
      <c r="G1583" s="216">
        <v>2.13</v>
      </c>
      <c r="H1583" s="218">
        <f>F1583*G1583</f>
        <v>0.42599999999999999</v>
      </c>
    </row>
    <row r="1584" spans="2:8" x14ac:dyDescent="0.2">
      <c r="B1584" s="214" t="s">
        <v>476</v>
      </c>
      <c r="C1584" s="132"/>
      <c r="D1584" s="188"/>
      <c r="E1584" s="215" t="s">
        <v>1708</v>
      </c>
      <c r="F1584" s="215">
        <v>80</v>
      </c>
      <c r="G1584" s="216">
        <v>0.62</v>
      </c>
      <c r="H1584" s="218">
        <f>F1584*G1584</f>
        <v>49.6</v>
      </c>
    </row>
    <row r="1585" spans="2:8" x14ac:dyDescent="0.2">
      <c r="B1585" s="214" t="s">
        <v>468</v>
      </c>
      <c r="C1585" s="132"/>
      <c r="D1585" s="188"/>
      <c r="E1585" s="215" t="s">
        <v>1708</v>
      </c>
      <c r="F1585" s="215">
        <v>40</v>
      </c>
      <c r="G1585" s="216">
        <v>0.4</v>
      </c>
      <c r="H1585" s="218">
        <f>F1585*G1585</f>
        <v>16</v>
      </c>
    </row>
    <row r="1586" spans="2:8" x14ac:dyDescent="0.2">
      <c r="B1586" s="214"/>
      <c r="C1586" s="132"/>
      <c r="D1586" s="188"/>
      <c r="E1586" s="215"/>
      <c r="F1586" s="215"/>
      <c r="G1586" s="216"/>
      <c r="H1586" s="218"/>
    </row>
    <row r="1587" spans="2:8" x14ac:dyDescent="0.2">
      <c r="B1587" s="214" t="s">
        <v>1682</v>
      </c>
      <c r="C1587" s="132"/>
      <c r="D1587" s="245" t="s">
        <v>1682</v>
      </c>
      <c r="E1587" s="272" t="s">
        <v>1682</v>
      </c>
      <c r="F1587" s="215" t="s">
        <v>1682</v>
      </c>
      <c r="G1587" s="216" t="s">
        <v>1682</v>
      </c>
      <c r="H1587" s="218" t="s">
        <v>1682</v>
      </c>
    </row>
    <row r="1588" spans="2:8" x14ac:dyDescent="0.2">
      <c r="B1588" s="238" t="s">
        <v>1692</v>
      </c>
      <c r="C1588" s="239"/>
      <c r="D1588" s="240"/>
      <c r="E1588" s="240"/>
      <c r="F1588" s="240"/>
      <c r="G1588" s="239"/>
      <c r="H1588" s="241">
        <f>SUM(H1581:H1587)</f>
        <v>99.986000000000004</v>
      </c>
    </row>
    <row r="1589" spans="2:8" x14ac:dyDescent="0.2">
      <c r="B1589" s="227" t="s">
        <v>1680</v>
      </c>
      <c r="C1589" s="132"/>
      <c r="D1589" s="188"/>
      <c r="E1589" s="132"/>
      <c r="F1589" s="188"/>
      <c r="G1589" s="132"/>
      <c r="H1589" s="218"/>
    </row>
    <row r="1590" spans="2:8" ht="25.5" x14ac:dyDescent="0.2">
      <c r="B1590" s="229" t="s">
        <v>1409</v>
      </c>
      <c r="C1590" s="242"/>
      <c r="D1590" s="243"/>
      <c r="E1590" s="232" t="s">
        <v>1408</v>
      </c>
      <c r="F1590" s="231" t="s">
        <v>1679</v>
      </c>
      <c r="G1590" s="232" t="s">
        <v>1676</v>
      </c>
      <c r="H1590" s="234" t="s">
        <v>1675</v>
      </c>
    </row>
    <row r="1591" spans="2:8" x14ac:dyDescent="0.2">
      <c r="B1591" s="208" t="s">
        <v>975</v>
      </c>
      <c r="C1591" s="209"/>
      <c r="D1591" s="246"/>
      <c r="E1591" s="215" t="s">
        <v>976</v>
      </c>
      <c r="F1591" s="215">
        <v>0.3</v>
      </c>
      <c r="G1591" s="247">
        <v>5</v>
      </c>
      <c r="H1591" s="218">
        <f>F1591*G1591</f>
        <v>1.5</v>
      </c>
    </row>
    <row r="1592" spans="2:8" x14ac:dyDescent="0.2">
      <c r="B1592" s="214"/>
      <c r="C1592" s="132"/>
      <c r="D1592" s="248"/>
      <c r="E1592" s="215"/>
      <c r="F1592" s="215"/>
      <c r="G1592" s="247"/>
      <c r="H1592" s="218"/>
    </row>
    <row r="1593" spans="2:8" x14ac:dyDescent="0.2">
      <c r="B1593" s="219" t="s">
        <v>1682</v>
      </c>
      <c r="C1593" s="220"/>
      <c r="D1593" s="249"/>
      <c r="E1593" s="221" t="s">
        <v>1682</v>
      </c>
      <c r="F1593" s="221"/>
      <c r="G1593" s="222" t="s">
        <v>1682</v>
      </c>
      <c r="H1593" s="224" t="s">
        <v>1682</v>
      </c>
    </row>
    <row r="1594" spans="2:8" ht="13.5" thickBot="1" x14ac:dyDescent="0.25">
      <c r="B1594" s="250" t="s">
        <v>977</v>
      </c>
      <c r="C1594" s="251"/>
      <c r="D1594" s="252"/>
      <c r="E1594" s="252"/>
      <c r="F1594" s="252"/>
      <c r="G1594" s="251"/>
      <c r="H1594" s="253">
        <f>SUM(H1591:H1593)</f>
        <v>1.5</v>
      </c>
    </row>
    <row r="1595" spans="2:8" x14ac:dyDescent="0.2">
      <c r="B1595" s="132"/>
      <c r="C1595" s="132"/>
      <c r="D1595" s="254"/>
      <c r="E1595" s="198"/>
      <c r="F1595" s="198"/>
      <c r="G1595" s="255" t="s">
        <v>978</v>
      </c>
      <c r="H1595" s="256">
        <f>H1570+H1578+H1588+H1594</f>
        <v>147.816</v>
      </c>
    </row>
    <row r="1596" spans="2:8" x14ac:dyDescent="0.2">
      <c r="B1596" s="132"/>
      <c r="C1596" s="132"/>
      <c r="D1596" s="257"/>
      <c r="E1596" s="239"/>
      <c r="F1596" s="239"/>
      <c r="G1596" s="258" t="s">
        <v>979</v>
      </c>
      <c r="H1596" s="241"/>
    </row>
    <row r="1597" spans="2:8" x14ac:dyDescent="0.2">
      <c r="B1597" s="132"/>
      <c r="C1597" s="132"/>
      <c r="D1597" s="257"/>
      <c r="E1597" s="239"/>
      <c r="F1597" s="239"/>
      <c r="G1597" s="258" t="s">
        <v>980</v>
      </c>
      <c r="H1597" s="241"/>
    </row>
    <row r="1598" spans="2:8" x14ac:dyDescent="0.2">
      <c r="B1598" s="132"/>
      <c r="C1598" s="132"/>
      <c r="D1598" s="257"/>
      <c r="E1598" s="239"/>
      <c r="F1598" s="239"/>
      <c r="G1598" s="259" t="s">
        <v>1670</v>
      </c>
      <c r="H1598" s="260"/>
    </row>
    <row r="1599" spans="2:8" ht="13.5" thickBot="1" x14ac:dyDescent="0.25">
      <c r="B1599" s="193"/>
      <c r="C1599" s="132"/>
      <c r="D1599" s="261"/>
      <c r="E1599" s="251"/>
      <c r="F1599" s="251"/>
      <c r="G1599" s="262" t="s">
        <v>1650</v>
      </c>
      <c r="H1599" s="263"/>
    </row>
    <row r="1600" spans="2:8" ht="15.75" x14ac:dyDescent="0.2">
      <c r="B1600" s="186" t="s">
        <v>1701</v>
      </c>
      <c r="C1600" s="132"/>
      <c r="D1600" s="189" t="s">
        <v>742</v>
      </c>
      <c r="E1600" s="132"/>
      <c r="F1600" s="132"/>
      <c r="G1600" s="188"/>
      <c r="H1600" s="132"/>
    </row>
    <row r="1601" spans="2:8" ht="15.75" x14ac:dyDescent="0.2">
      <c r="B1601" s="186" t="s">
        <v>1700</v>
      </c>
      <c r="C1601" s="189" t="s">
        <v>963</v>
      </c>
      <c r="D1601" s="132"/>
      <c r="E1601" s="132"/>
      <c r="F1601" s="132"/>
      <c r="G1601" s="190"/>
      <c r="H1601" s="191"/>
    </row>
    <row r="1602" spans="2:8" ht="14.25" x14ac:dyDescent="0.2">
      <c r="B1602" s="189"/>
      <c r="C1602" s="189"/>
      <c r="D1602" s="189"/>
      <c r="E1602" s="189"/>
      <c r="F1602" s="189"/>
      <c r="G1602" s="189"/>
      <c r="H1602" s="189"/>
    </row>
    <row r="1603" spans="2:8" ht="15.75" x14ac:dyDescent="0.2">
      <c r="B1603" s="186" t="s">
        <v>1697</v>
      </c>
      <c r="C1603" s="189"/>
      <c r="D1603" s="132"/>
      <c r="E1603" s="132"/>
      <c r="F1603" s="132"/>
      <c r="G1603" s="132"/>
      <c r="H1603" s="132"/>
    </row>
    <row r="1604" spans="2:8" ht="15" x14ac:dyDescent="0.2">
      <c r="B1604" s="192"/>
      <c r="C1604" s="189"/>
      <c r="D1604" s="189"/>
      <c r="E1604" s="189"/>
      <c r="F1604" s="189"/>
      <c r="G1604" s="189"/>
      <c r="H1604" s="189"/>
    </row>
    <row r="1605" spans="2:8" ht="14.25" x14ac:dyDescent="0.2">
      <c r="B1605" s="193" t="s">
        <v>594</v>
      </c>
      <c r="C1605" s="194" t="s">
        <v>477</v>
      </c>
      <c r="D1605" s="132"/>
      <c r="E1605" s="188"/>
      <c r="F1605" s="188"/>
      <c r="G1605" s="195" t="s">
        <v>1696</v>
      </c>
      <c r="H1605" s="189" t="s">
        <v>1506</v>
      </c>
    </row>
    <row r="1606" spans="2:8" ht="14.25" x14ac:dyDescent="0.2">
      <c r="B1606" s="196" t="s">
        <v>964</v>
      </c>
      <c r="C1606" s="194" t="s">
        <v>478</v>
      </c>
      <c r="D1606" s="132"/>
      <c r="E1606" s="132"/>
      <c r="F1606" s="132"/>
      <c r="G1606" s="132"/>
      <c r="H1606" s="132"/>
    </row>
    <row r="1607" spans="2:8" ht="15" thickBot="1" x14ac:dyDescent="0.25">
      <c r="B1607" s="187"/>
      <c r="C1607" s="187"/>
      <c r="D1607" s="189"/>
      <c r="E1607" s="189"/>
      <c r="F1607" s="189"/>
      <c r="G1607" s="189"/>
      <c r="H1607" s="189"/>
    </row>
    <row r="1608" spans="2:8" ht="13.5" thickBot="1" x14ac:dyDescent="0.25">
      <c r="B1608" s="264" t="s">
        <v>1695</v>
      </c>
      <c r="C1608" s="265"/>
      <c r="D1608" s="266"/>
      <c r="E1608" s="265"/>
      <c r="F1608" s="265"/>
      <c r="G1608" s="265"/>
      <c r="H1608" s="267"/>
    </row>
    <row r="1609" spans="2:8" ht="25.5" x14ac:dyDescent="0.2">
      <c r="B1609" s="197" t="s">
        <v>1409</v>
      </c>
      <c r="C1609" s="268"/>
      <c r="D1609" s="269" t="s">
        <v>966</v>
      </c>
      <c r="E1609" s="270" t="s">
        <v>1694</v>
      </c>
      <c r="F1609" s="270" t="s">
        <v>1693</v>
      </c>
      <c r="G1609" s="201" t="s">
        <v>1687</v>
      </c>
      <c r="H1609" s="271" t="s">
        <v>967</v>
      </c>
    </row>
    <row r="1610" spans="2:8" x14ac:dyDescent="0.2">
      <c r="B1610" s="208" t="s">
        <v>1468</v>
      </c>
      <c r="C1610" s="209"/>
      <c r="D1610" s="210">
        <v>1</v>
      </c>
      <c r="E1610" s="211">
        <v>2.5</v>
      </c>
      <c r="F1610" s="211">
        <f>D1610*E1610</f>
        <v>2.5</v>
      </c>
      <c r="G1610" s="212">
        <v>0.4</v>
      </c>
      <c r="H1610" s="213">
        <f>F1610*G1610</f>
        <v>1</v>
      </c>
    </row>
    <row r="1611" spans="2:8" x14ac:dyDescent="0.2">
      <c r="B1611" s="214" t="s">
        <v>1682</v>
      </c>
      <c r="C1611" s="132"/>
      <c r="D1611" s="215"/>
      <c r="E1611" s="216" t="s">
        <v>1682</v>
      </c>
      <c r="F1611" s="216" t="s">
        <v>1682</v>
      </c>
      <c r="G1611" s="217"/>
      <c r="H1611" s="218" t="s">
        <v>1682</v>
      </c>
    </row>
    <row r="1612" spans="2:8" x14ac:dyDescent="0.2">
      <c r="B1612" s="219" t="s">
        <v>1682</v>
      </c>
      <c r="C1612" s="220"/>
      <c r="D1612" s="221"/>
      <c r="E1612" s="222" t="s">
        <v>1682</v>
      </c>
      <c r="F1612" s="222" t="s">
        <v>1682</v>
      </c>
      <c r="G1612" s="223"/>
      <c r="H1612" s="224" t="s">
        <v>1682</v>
      </c>
    </row>
    <row r="1613" spans="2:8" x14ac:dyDescent="0.2">
      <c r="B1613" s="219" t="s">
        <v>968</v>
      </c>
      <c r="C1613" s="220"/>
      <c r="D1613" s="225"/>
      <c r="E1613" s="220"/>
      <c r="F1613" s="220"/>
      <c r="G1613" s="226"/>
      <c r="H1613" s="224">
        <f>SUM(H1610:H1612)</f>
        <v>1</v>
      </c>
    </row>
    <row r="1614" spans="2:8" x14ac:dyDescent="0.2">
      <c r="B1614" s="227" t="s">
        <v>1503</v>
      </c>
      <c r="C1614" s="132"/>
      <c r="D1614" s="188"/>
      <c r="E1614" s="132"/>
      <c r="F1614" s="132"/>
      <c r="G1614" s="228"/>
      <c r="H1614" s="218"/>
    </row>
    <row r="1615" spans="2:8" ht="25.5" x14ac:dyDescent="0.2">
      <c r="B1615" s="229" t="s">
        <v>1691</v>
      </c>
      <c r="C1615" s="230"/>
      <c r="D1615" s="231" t="s">
        <v>969</v>
      </c>
      <c r="E1615" s="232" t="s">
        <v>1689</v>
      </c>
      <c r="F1615" s="232" t="s">
        <v>1688</v>
      </c>
      <c r="G1615" s="233" t="s">
        <v>1687</v>
      </c>
      <c r="H1615" s="234" t="s">
        <v>1686</v>
      </c>
    </row>
    <row r="1616" spans="2:8" x14ac:dyDescent="0.2">
      <c r="B1616" s="235" t="s">
        <v>243</v>
      </c>
      <c r="C1616" s="132"/>
      <c r="D1616" s="236">
        <v>1</v>
      </c>
      <c r="E1616" s="237">
        <v>2.13</v>
      </c>
      <c r="F1616" s="216">
        <f>D1616*E1616</f>
        <v>2.13</v>
      </c>
      <c r="G1616" s="217">
        <v>6.2</v>
      </c>
      <c r="H1616" s="218">
        <f>F1616*G1616</f>
        <v>13.206</v>
      </c>
    </row>
    <row r="1617" spans="2:8" x14ac:dyDescent="0.2">
      <c r="B1617" s="235" t="s">
        <v>1488</v>
      </c>
      <c r="C1617" s="132"/>
      <c r="D1617" s="236">
        <v>1</v>
      </c>
      <c r="E1617" s="237">
        <v>2.13</v>
      </c>
      <c r="F1617" s="216">
        <f>D1617*E1617</f>
        <v>2.13</v>
      </c>
      <c r="G1617" s="217">
        <v>4.58</v>
      </c>
      <c r="H1617" s="218">
        <f>F1617*G1617</f>
        <v>9.7553999999999998</v>
      </c>
    </row>
    <row r="1618" spans="2:8" x14ac:dyDescent="0.2">
      <c r="B1618" s="235" t="s">
        <v>590</v>
      </c>
      <c r="C1618" s="132"/>
      <c r="D1618" s="236">
        <v>1</v>
      </c>
      <c r="E1618" s="237">
        <v>2.13</v>
      </c>
      <c r="F1618" s="216">
        <f>D1618*E1618</f>
        <v>2.13</v>
      </c>
      <c r="G1618" s="217">
        <v>3.26</v>
      </c>
      <c r="H1618" s="218">
        <f>F1618*G1618</f>
        <v>6.9437999999999995</v>
      </c>
    </row>
    <row r="1619" spans="2:8" x14ac:dyDescent="0.2">
      <c r="B1619" s="235"/>
      <c r="C1619" s="132"/>
      <c r="D1619" s="236"/>
      <c r="E1619" s="237"/>
      <c r="F1619" s="216"/>
      <c r="G1619" s="217"/>
      <c r="H1619" s="218"/>
    </row>
    <row r="1620" spans="2:8" x14ac:dyDescent="0.2">
      <c r="B1620" s="219" t="s">
        <v>1682</v>
      </c>
      <c r="C1620" s="220"/>
      <c r="D1620" s="221"/>
      <c r="E1620" s="222" t="s">
        <v>1682</v>
      </c>
      <c r="F1620" s="222" t="s">
        <v>1682</v>
      </c>
      <c r="G1620" s="223"/>
      <c r="H1620" s="224" t="s">
        <v>1682</v>
      </c>
    </row>
    <row r="1621" spans="2:8" x14ac:dyDescent="0.2">
      <c r="B1621" s="238" t="s">
        <v>1681</v>
      </c>
      <c r="C1621" s="239"/>
      <c r="D1621" s="240"/>
      <c r="E1621" s="239"/>
      <c r="F1621" s="239"/>
      <c r="G1621" s="239"/>
      <c r="H1621" s="241">
        <f>SUM(H1616:H1620)</f>
        <v>29.905199999999997</v>
      </c>
    </row>
    <row r="1622" spans="2:8" x14ac:dyDescent="0.2">
      <c r="B1622" s="227" t="s">
        <v>1684</v>
      </c>
      <c r="C1622" s="132"/>
      <c r="D1622" s="188"/>
      <c r="E1622" s="132"/>
      <c r="F1622" s="132"/>
      <c r="G1622" s="132"/>
      <c r="H1622" s="218"/>
    </row>
    <row r="1623" spans="2:8" ht="25.5" x14ac:dyDescent="0.2">
      <c r="B1623" s="229" t="s">
        <v>1409</v>
      </c>
      <c r="C1623" s="242"/>
      <c r="D1623" s="243"/>
      <c r="E1623" s="232" t="s">
        <v>1408</v>
      </c>
      <c r="F1623" s="231" t="s">
        <v>1679</v>
      </c>
      <c r="G1623" s="232" t="s">
        <v>1683</v>
      </c>
      <c r="H1623" s="234" t="s">
        <v>1675</v>
      </c>
    </row>
    <row r="1624" spans="2:8" x14ac:dyDescent="0.2">
      <c r="B1624" s="244" t="s">
        <v>459</v>
      </c>
      <c r="C1624" s="132"/>
      <c r="D1624" s="188"/>
      <c r="E1624" s="215" t="s">
        <v>1708</v>
      </c>
      <c r="F1624" s="215">
        <v>1.3</v>
      </c>
      <c r="G1624" s="216">
        <v>7</v>
      </c>
      <c r="H1624" s="218">
        <f>F1624*G1624</f>
        <v>9.1</v>
      </c>
    </row>
    <row r="1625" spans="2:8" x14ac:dyDescent="0.2">
      <c r="B1625" s="214" t="s">
        <v>479</v>
      </c>
      <c r="C1625" s="132"/>
      <c r="D1625" s="188"/>
      <c r="E1625" s="215" t="s">
        <v>1708</v>
      </c>
      <c r="F1625" s="215">
        <v>10</v>
      </c>
      <c r="G1625" s="216">
        <v>2.33</v>
      </c>
      <c r="H1625" s="218">
        <f>F1625*G1625</f>
        <v>23.3</v>
      </c>
    </row>
    <row r="1626" spans="2:8" x14ac:dyDescent="0.2">
      <c r="B1626" s="214" t="s">
        <v>480</v>
      </c>
      <c r="C1626" s="132"/>
      <c r="D1626" s="188"/>
      <c r="E1626" s="215" t="s">
        <v>1506</v>
      </c>
      <c r="F1626" s="215">
        <v>0.2</v>
      </c>
      <c r="G1626" s="216">
        <v>1.8</v>
      </c>
      <c r="H1626" s="218">
        <f>F1626*G1626</f>
        <v>0.36000000000000004</v>
      </c>
    </row>
    <row r="1627" spans="2:8" x14ac:dyDescent="0.2">
      <c r="B1627" s="214" t="s">
        <v>468</v>
      </c>
      <c r="C1627" s="132"/>
      <c r="D1627" s="188"/>
      <c r="E1627" s="215" t="s">
        <v>1708</v>
      </c>
      <c r="F1627" s="215">
        <v>140</v>
      </c>
      <c r="G1627" s="216">
        <v>0.4</v>
      </c>
      <c r="H1627" s="218">
        <f>F1627*G1627</f>
        <v>56</v>
      </c>
    </row>
    <row r="1628" spans="2:8" x14ac:dyDescent="0.2">
      <c r="B1628" s="214" t="s">
        <v>481</v>
      </c>
      <c r="C1628" s="132"/>
      <c r="D1628" s="188"/>
      <c r="E1628" s="215" t="s">
        <v>1708</v>
      </c>
      <c r="F1628" s="215">
        <v>70</v>
      </c>
      <c r="G1628" s="216">
        <v>0.26</v>
      </c>
      <c r="H1628" s="218">
        <f>F1628*G1628</f>
        <v>18.2</v>
      </c>
    </row>
    <row r="1629" spans="2:8" x14ac:dyDescent="0.2">
      <c r="B1629" s="214"/>
      <c r="C1629" s="132"/>
      <c r="D1629" s="188"/>
      <c r="E1629" s="215"/>
      <c r="F1629" s="215"/>
      <c r="G1629" s="216"/>
      <c r="H1629" s="218"/>
    </row>
    <row r="1630" spans="2:8" x14ac:dyDescent="0.2">
      <c r="B1630" s="214" t="s">
        <v>1682</v>
      </c>
      <c r="C1630" s="132"/>
      <c r="D1630" s="245" t="s">
        <v>1682</v>
      </c>
      <c r="E1630" s="272" t="s">
        <v>1682</v>
      </c>
      <c r="F1630" s="215" t="s">
        <v>1682</v>
      </c>
      <c r="G1630" s="216" t="s">
        <v>1682</v>
      </c>
      <c r="H1630" s="218" t="s">
        <v>1682</v>
      </c>
    </row>
    <row r="1631" spans="2:8" x14ac:dyDescent="0.2">
      <c r="B1631" s="238" t="s">
        <v>1692</v>
      </c>
      <c r="C1631" s="239"/>
      <c r="D1631" s="240"/>
      <c r="E1631" s="240"/>
      <c r="F1631" s="240"/>
      <c r="G1631" s="239"/>
      <c r="H1631" s="241">
        <f>SUM(H1624:H1630)</f>
        <v>106.96</v>
      </c>
    </row>
    <row r="1632" spans="2:8" x14ac:dyDescent="0.2">
      <c r="B1632" s="227" t="s">
        <v>1680</v>
      </c>
      <c r="C1632" s="132"/>
      <c r="D1632" s="188"/>
      <c r="E1632" s="132"/>
      <c r="F1632" s="188"/>
      <c r="G1632" s="132"/>
      <c r="H1632" s="218"/>
    </row>
    <row r="1633" spans="2:8" ht="25.5" x14ac:dyDescent="0.2">
      <c r="B1633" s="229" t="s">
        <v>1409</v>
      </c>
      <c r="C1633" s="242"/>
      <c r="D1633" s="243"/>
      <c r="E1633" s="232" t="s">
        <v>1408</v>
      </c>
      <c r="F1633" s="231" t="s">
        <v>1679</v>
      </c>
      <c r="G1633" s="232" t="s">
        <v>1676</v>
      </c>
      <c r="H1633" s="234" t="s">
        <v>1675</v>
      </c>
    </row>
    <row r="1634" spans="2:8" x14ac:dyDescent="0.2">
      <c r="B1634" s="208" t="s">
        <v>975</v>
      </c>
      <c r="C1634" s="209"/>
      <c r="D1634" s="246"/>
      <c r="E1634" s="215" t="s">
        <v>976</v>
      </c>
      <c r="F1634" s="215">
        <v>0.25</v>
      </c>
      <c r="G1634" s="247">
        <v>5</v>
      </c>
      <c r="H1634" s="218">
        <f>F1634*G1634</f>
        <v>1.25</v>
      </c>
    </row>
    <row r="1635" spans="2:8" x14ac:dyDescent="0.2">
      <c r="B1635" s="214"/>
      <c r="C1635" s="132"/>
      <c r="D1635" s="248"/>
      <c r="E1635" s="215"/>
      <c r="F1635" s="215"/>
      <c r="G1635" s="247"/>
      <c r="H1635" s="218"/>
    </row>
    <row r="1636" spans="2:8" x14ac:dyDescent="0.2">
      <c r="B1636" s="219" t="s">
        <v>1682</v>
      </c>
      <c r="C1636" s="220"/>
      <c r="D1636" s="249"/>
      <c r="E1636" s="221" t="s">
        <v>1682</v>
      </c>
      <c r="F1636" s="221"/>
      <c r="G1636" s="222" t="s">
        <v>1682</v>
      </c>
      <c r="H1636" s="224" t="s">
        <v>1682</v>
      </c>
    </row>
    <row r="1637" spans="2:8" ht="13.5" thickBot="1" x14ac:dyDescent="0.25">
      <c r="B1637" s="250" t="s">
        <v>977</v>
      </c>
      <c r="C1637" s="251"/>
      <c r="D1637" s="252"/>
      <c r="E1637" s="252"/>
      <c r="F1637" s="252"/>
      <c r="G1637" s="251"/>
      <c r="H1637" s="253">
        <f>SUM(H1634:H1636)</f>
        <v>1.25</v>
      </c>
    </row>
    <row r="1638" spans="2:8" x14ac:dyDescent="0.2">
      <c r="B1638" s="132"/>
      <c r="C1638" s="132"/>
      <c r="D1638" s="254"/>
      <c r="E1638" s="198"/>
      <c r="F1638" s="198"/>
      <c r="G1638" s="255" t="s">
        <v>978</v>
      </c>
      <c r="H1638" s="256">
        <f>H1613+H1621+H1631+H1637</f>
        <v>139.11519999999999</v>
      </c>
    </row>
    <row r="1639" spans="2:8" x14ac:dyDescent="0.2">
      <c r="B1639" s="132"/>
      <c r="C1639" s="132"/>
      <c r="D1639" s="257"/>
      <c r="E1639" s="239"/>
      <c r="F1639" s="239"/>
      <c r="G1639" s="258" t="s">
        <v>979</v>
      </c>
      <c r="H1639" s="241"/>
    </row>
    <row r="1640" spans="2:8" x14ac:dyDescent="0.2">
      <c r="B1640" s="132"/>
      <c r="C1640" s="132"/>
      <c r="D1640" s="257"/>
      <c r="E1640" s="239"/>
      <c r="F1640" s="239"/>
      <c r="G1640" s="258" t="s">
        <v>980</v>
      </c>
      <c r="H1640" s="241"/>
    </row>
    <row r="1641" spans="2:8" x14ac:dyDescent="0.2">
      <c r="B1641" s="132"/>
      <c r="C1641" s="132"/>
      <c r="D1641" s="257"/>
      <c r="E1641" s="239"/>
      <c r="F1641" s="239"/>
      <c r="G1641" s="259" t="s">
        <v>1670</v>
      </c>
      <c r="H1641" s="260"/>
    </row>
    <row r="1642" spans="2:8" ht="13.5" thickBot="1" x14ac:dyDescent="0.25">
      <c r="B1642" s="193"/>
      <c r="C1642" s="132"/>
      <c r="D1642" s="261"/>
      <c r="E1642" s="251"/>
      <c r="F1642" s="251"/>
      <c r="G1642" s="262" t="s">
        <v>1650</v>
      </c>
      <c r="H1642" s="263"/>
    </row>
    <row r="1643" spans="2:8" ht="15.75" x14ac:dyDescent="0.2">
      <c r="B1643" s="186" t="s">
        <v>1701</v>
      </c>
      <c r="C1643" s="132"/>
      <c r="D1643" s="189" t="s">
        <v>742</v>
      </c>
      <c r="E1643" s="132"/>
      <c r="F1643" s="132"/>
      <c r="G1643" s="188"/>
      <c r="H1643" s="132"/>
    </row>
    <row r="1644" spans="2:8" ht="15.75" x14ac:dyDescent="0.2">
      <c r="B1644" s="186" t="s">
        <v>1700</v>
      </c>
      <c r="C1644" s="189" t="s">
        <v>963</v>
      </c>
      <c r="D1644" s="132"/>
      <c r="E1644" s="132"/>
      <c r="F1644" s="132"/>
      <c r="G1644" s="190"/>
      <c r="H1644" s="191"/>
    </row>
    <row r="1645" spans="2:8" ht="14.25" x14ac:dyDescent="0.2">
      <c r="B1645" s="189"/>
      <c r="C1645" s="189"/>
      <c r="D1645" s="189"/>
      <c r="E1645" s="189"/>
      <c r="F1645" s="189"/>
      <c r="G1645" s="189"/>
      <c r="H1645" s="189"/>
    </row>
    <row r="1646" spans="2:8" ht="15.75" x14ac:dyDescent="0.2">
      <c r="B1646" s="186" t="s">
        <v>1697</v>
      </c>
      <c r="C1646" s="189"/>
      <c r="D1646" s="132"/>
      <c r="E1646" s="132"/>
      <c r="F1646" s="132"/>
      <c r="G1646" s="132"/>
      <c r="H1646" s="132"/>
    </row>
    <row r="1647" spans="2:8" ht="15" x14ac:dyDescent="0.2">
      <c r="B1647" s="192"/>
      <c r="C1647" s="189"/>
      <c r="D1647" s="189"/>
      <c r="E1647" s="189"/>
      <c r="F1647" s="189"/>
      <c r="G1647" s="189"/>
      <c r="H1647" s="189"/>
    </row>
    <row r="1648" spans="2:8" ht="14.25" x14ac:dyDescent="0.2">
      <c r="B1648" s="193" t="s">
        <v>594</v>
      </c>
      <c r="C1648" s="194">
        <v>19</v>
      </c>
      <c r="D1648" s="132"/>
      <c r="E1648" s="188"/>
      <c r="F1648" s="188"/>
      <c r="G1648" s="195" t="s">
        <v>1696</v>
      </c>
      <c r="H1648" s="189" t="s">
        <v>1506</v>
      </c>
    </row>
    <row r="1649" spans="2:8" ht="14.25" x14ac:dyDescent="0.2">
      <c r="B1649" s="196" t="s">
        <v>964</v>
      </c>
      <c r="C1649" s="194" t="s">
        <v>482</v>
      </c>
      <c r="D1649" s="132"/>
      <c r="E1649" s="132"/>
      <c r="F1649" s="132"/>
      <c r="G1649" s="132"/>
      <c r="H1649" s="132"/>
    </row>
    <row r="1650" spans="2:8" ht="15" thickBot="1" x14ac:dyDescent="0.25">
      <c r="B1650" s="187"/>
      <c r="C1650" s="187"/>
      <c r="D1650" s="189"/>
      <c r="E1650" s="189"/>
      <c r="F1650" s="189"/>
      <c r="G1650" s="189"/>
      <c r="H1650" s="189"/>
    </row>
    <row r="1651" spans="2:8" ht="13.5" thickBot="1" x14ac:dyDescent="0.25">
      <c r="B1651" s="264" t="s">
        <v>1695</v>
      </c>
      <c r="C1651" s="265"/>
      <c r="D1651" s="266"/>
      <c r="E1651" s="265"/>
      <c r="F1651" s="265"/>
      <c r="G1651" s="265"/>
      <c r="H1651" s="267"/>
    </row>
    <row r="1652" spans="2:8" ht="25.5" x14ac:dyDescent="0.2">
      <c r="B1652" s="197" t="s">
        <v>1409</v>
      </c>
      <c r="C1652" s="268"/>
      <c r="D1652" s="269" t="s">
        <v>966</v>
      </c>
      <c r="E1652" s="270" t="s">
        <v>1694</v>
      </c>
      <c r="F1652" s="270" t="s">
        <v>1693</v>
      </c>
      <c r="G1652" s="201" t="s">
        <v>1687</v>
      </c>
      <c r="H1652" s="271" t="s">
        <v>967</v>
      </c>
    </row>
    <row r="1653" spans="2:8" x14ac:dyDescent="0.2">
      <c r="B1653" s="208" t="s">
        <v>1468</v>
      </c>
      <c r="C1653" s="209"/>
      <c r="D1653" s="210">
        <v>1</v>
      </c>
      <c r="E1653" s="211">
        <v>2.5</v>
      </c>
      <c r="F1653" s="211">
        <f>D1653*E1653</f>
        <v>2.5</v>
      </c>
      <c r="G1653" s="212">
        <v>0.7</v>
      </c>
      <c r="H1653" s="213">
        <f>F1653*G1653</f>
        <v>1.75</v>
      </c>
    </row>
    <row r="1654" spans="2:8" x14ac:dyDescent="0.2">
      <c r="B1654" s="214" t="s">
        <v>1682</v>
      </c>
      <c r="C1654" s="132"/>
      <c r="D1654" s="215"/>
      <c r="E1654" s="216" t="s">
        <v>1682</v>
      </c>
      <c r="F1654" s="216" t="s">
        <v>1682</v>
      </c>
      <c r="G1654" s="217"/>
      <c r="H1654" s="218" t="s">
        <v>1682</v>
      </c>
    </row>
    <row r="1655" spans="2:8" x14ac:dyDescent="0.2">
      <c r="B1655" s="219" t="s">
        <v>1682</v>
      </c>
      <c r="C1655" s="220"/>
      <c r="D1655" s="221"/>
      <c r="E1655" s="222" t="s">
        <v>1682</v>
      </c>
      <c r="F1655" s="222" t="s">
        <v>1682</v>
      </c>
      <c r="G1655" s="223"/>
      <c r="H1655" s="224" t="s">
        <v>1682</v>
      </c>
    </row>
    <row r="1656" spans="2:8" x14ac:dyDescent="0.2">
      <c r="B1656" s="219" t="s">
        <v>968</v>
      </c>
      <c r="C1656" s="220"/>
      <c r="D1656" s="225"/>
      <c r="E1656" s="220"/>
      <c r="F1656" s="220"/>
      <c r="G1656" s="226"/>
      <c r="H1656" s="224">
        <f>SUM(H1653:H1655)</f>
        <v>1.75</v>
      </c>
    </row>
    <row r="1657" spans="2:8" x14ac:dyDescent="0.2">
      <c r="B1657" s="227" t="s">
        <v>1503</v>
      </c>
      <c r="C1657" s="132"/>
      <c r="D1657" s="188"/>
      <c r="E1657" s="132"/>
      <c r="F1657" s="132"/>
      <c r="G1657" s="228"/>
      <c r="H1657" s="218"/>
    </row>
    <row r="1658" spans="2:8" ht="25.5" x14ac:dyDescent="0.2">
      <c r="B1658" s="229" t="s">
        <v>1691</v>
      </c>
      <c r="C1658" s="230"/>
      <c r="D1658" s="231" t="s">
        <v>969</v>
      </c>
      <c r="E1658" s="232" t="s">
        <v>1689</v>
      </c>
      <c r="F1658" s="232" t="s">
        <v>1688</v>
      </c>
      <c r="G1658" s="233" t="s">
        <v>1687</v>
      </c>
      <c r="H1658" s="234" t="s">
        <v>1686</v>
      </c>
    </row>
    <row r="1659" spans="2:8" x14ac:dyDescent="0.2">
      <c r="B1659" s="235" t="s">
        <v>243</v>
      </c>
      <c r="C1659" s="132"/>
      <c r="D1659" s="236">
        <v>1</v>
      </c>
      <c r="E1659" s="237">
        <v>2.13</v>
      </c>
      <c r="F1659" s="216">
        <f>D1659*E1659</f>
        <v>2.13</v>
      </c>
      <c r="G1659" s="217">
        <v>18.600000000000001</v>
      </c>
      <c r="H1659" s="218">
        <v>39.619999999999997</v>
      </c>
    </row>
    <row r="1660" spans="2:8" x14ac:dyDescent="0.2">
      <c r="B1660" s="235" t="s">
        <v>1488</v>
      </c>
      <c r="C1660" s="132"/>
      <c r="D1660" s="236">
        <v>1</v>
      </c>
      <c r="E1660" s="237">
        <v>2.13</v>
      </c>
      <c r="F1660" s="216">
        <f>D1660*E1660</f>
        <v>2.13</v>
      </c>
      <c r="G1660" s="217">
        <v>10.73</v>
      </c>
      <c r="H1660" s="218">
        <v>22.85</v>
      </c>
    </row>
    <row r="1661" spans="2:8" x14ac:dyDescent="0.2">
      <c r="B1661" s="235" t="s">
        <v>590</v>
      </c>
      <c r="C1661" s="132"/>
      <c r="D1661" s="236">
        <v>1</v>
      </c>
      <c r="E1661" s="237">
        <v>2.13</v>
      </c>
      <c r="F1661" s="216">
        <f>D1661*E1661</f>
        <v>2.13</v>
      </c>
      <c r="G1661" s="217">
        <v>9.09</v>
      </c>
      <c r="H1661" s="218">
        <v>19.36</v>
      </c>
    </row>
    <row r="1662" spans="2:8" x14ac:dyDescent="0.2">
      <c r="B1662" s="235"/>
      <c r="C1662" s="132"/>
      <c r="D1662" s="236"/>
      <c r="E1662" s="237"/>
      <c r="F1662" s="216"/>
      <c r="G1662" s="217"/>
      <c r="H1662" s="218"/>
    </row>
    <row r="1663" spans="2:8" x14ac:dyDescent="0.2">
      <c r="B1663" s="219" t="s">
        <v>1682</v>
      </c>
      <c r="C1663" s="220"/>
      <c r="D1663" s="221"/>
      <c r="E1663" s="222" t="s">
        <v>1682</v>
      </c>
      <c r="F1663" s="222" t="s">
        <v>1682</v>
      </c>
      <c r="G1663" s="223"/>
      <c r="H1663" s="224" t="s">
        <v>1682</v>
      </c>
    </row>
    <row r="1664" spans="2:8" x14ac:dyDescent="0.2">
      <c r="B1664" s="238" t="s">
        <v>1681</v>
      </c>
      <c r="C1664" s="239"/>
      <c r="D1664" s="240"/>
      <c r="E1664" s="239"/>
      <c r="F1664" s="239"/>
      <c r="G1664" s="239"/>
      <c r="H1664" s="241">
        <f>SUM(H1659:H1663)</f>
        <v>81.83</v>
      </c>
    </row>
    <row r="1665" spans="2:8" x14ac:dyDescent="0.2">
      <c r="B1665" s="227" t="s">
        <v>1684</v>
      </c>
      <c r="C1665" s="132"/>
      <c r="D1665" s="188"/>
      <c r="E1665" s="132"/>
      <c r="F1665" s="132"/>
      <c r="G1665" s="132"/>
      <c r="H1665" s="218"/>
    </row>
    <row r="1666" spans="2:8" ht="25.5" x14ac:dyDescent="0.2">
      <c r="B1666" s="229" t="s">
        <v>1409</v>
      </c>
      <c r="C1666" s="242"/>
      <c r="D1666" s="243"/>
      <c r="E1666" s="232" t="s">
        <v>1408</v>
      </c>
      <c r="F1666" s="231" t="s">
        <v>1679</v>
      </c>
      <c r="G1666" s="232" t="s">
        <v>1683</v>
      </c>
      <c r="H1666" s="234" t="s">
        <v>1675</v>
      </c>
    </row>
    <row r="1667" spans="2:8" x14ac:dyDescent="0.2">
      <c r="B1667" s="244" t="s">
        <v>459</v>
      </c>
      <c r="C1667" s="132"/>
      <c r="D1667" s="188"/>
      <c r="E1667" s="215" t="s">
        <v>1708</v>
      </c>
      <c r="F1667" s="215">
        <v>1.3</v>
      </c>
      <c r="G1667" s="216">
        <v>22</v>
      </c>
      <c r="H1667" s="218">
        <f>F1667*G1667</f>
        <v>28.6</v>
      </c>
    </row>
    <row r="1668" spans="2:8" x14ac:dyDescent="0.2">
      <c r="B1668" s="214" t="s">
        <v>483</v>
      </c>
      <c r="C1668" s="132"/>
      <c r="D1668" s="188"/>
      <c r="E1668" s="215" t="s">
        <v>1708</v>
      </c>
      <c r="F1668" s="215">
        <v>4.9000000000000004</v>
      </c>
      <c r="G1668" s="216">
        <v>6.19</v>
      </c>
      <c r="H1668" s="218">
        <f>F1668*G1668</f>
        <v>30.331000000000003</v>
      </c>
    </row>
    <row r="1669" spans="2:8" x14ac:dyDescent="0.2">
      <c r="B1669" s="214" t="s">
        <v>484</v>
      </c>
      <c r="C1669" s="132"/>
      <c r="D1669" s="188"/>
      <c r="E1669" s="215" t="s">
        <v>1506</v>
      </c>
      <c r="F1669" s="215">
        <v>0.2</v>
      </c>
      <c r="G1669" s="216">
        <v>7.8</v>
      </c>
      <c r="H1669" s="218">
        <f>F1669*G1669</f>
        <v>1.56</v>
      </c>
    </row>
    <row r="1670" spans="2:8" x14ac:dyDescent="0.2">
      <c r="B1670" s="214" t="s">
        <v>426</v>
      </c>
      <c r="C1670" s="132"/>
      <c r="D1670" s="188"/>
      <c r="E1670" s="215" t="s">
        <v>1708</v>
      </c>
      <c r="F1670" s="215">
        <v>132</v>
      </c>
      <c r="G1670" s="216">
        <v>2.5</v>
      </c>
      <c r="H1670" s="218">
        <f>F1670*G1670</f>
        <v>330</v>
      </c>
    </row>
    <row r="1671" spans="2:8" x14ac:dyDescent="0.2">
      <c r="B1671" s="214" t="s">
        <v>453</v>
      </c>
      <c r="C1671" s="132"/>
      <c r="D1671" s="188"/>
      <c r="E1671" s="215" t="s">
        <v>1708</v>
      </c>
      <c r="F1671" s="215">
        <v>44</v>
      </c>
      <c r="G1671" s="216">
        <v>0.62</v>
      </c>
      <c r="H1671" s="218">
        <f>F1671*G1671</f>
        <v>27.28</v>
      </c>
    </row>
    <row r="1672" spans="2:8" x14ac:dyDescent="0.2">
      <c r="B1672" s="214"/>
      <c r="C1672" s="132"/>
      <c r="D1672" s="188"/>
      <c r="E1672" s="215"/>
      <c r="F1672" s="215"/>
      <c r="G1672" s="216"/>
      <c r="H1672" s="218"/>
    </row>
    <row r="1673" spans="2:8" x14ac:dyDescent="0.2">
      <c r="B1673" s="214" t="s">
        <v>1682</v>
      </c>
      <c r="C1673" s="132"/>
      <c r="D1673" s="245" t="s">
        <v>1682</v>
      </c>
      <c r="E1673" s="272" t="s">
        <v>1682</v>
      </c>
      <c r="F1673" s="215" t="s">
        <v>1682</v>
      </c>
      <c r="G1673" s="216" t="s">
        <v>1682</v>
      </c>
      <c r="H1673" s="218" t="s">
        <v>1682</v>
      </c>
    </row>
    <row r="1674" spans="2:8" x14ac:dyDescent="0.2">
      <c r="B1674" s="238" t="s">
        <v>1692</v>
      </c>
      <c r="C1674" s="239"/>
      <c r="D1674" s="240"/>
      <c r="E1674" s="240"/>
      <c r="F1674" s="240"/>
      <c r="G1674" s="239"/>
      <c r="H1674" s="241">
        <f>SUM(H1667:H1673)</f>
        <v>417.77099999999996</v>
      </c>
    </row>
    <row r="1675" spans="2:8" x14ac:dyDescent="0.2">
      <c r="B1675" s="227" t="s">
        <v>1680</v>
      </c>
      <c r="C1675" s="132"/>
      <c r="D1675" s="188"/>
      <c r="E1675" s="132"/>
      <c r="F1675" s="188"/>
      <c r="G1675" s="132"/>
      <c r="H1675" s="218"/>
    </row>
    <row r="1676" spans="2:8" ht="25.5" x14ac:dyDescent="0.2">
      <c r="B1676" s="229" t="s">
        <v>1409</v>
      </c>
      <c r="C1676" s="242"/>
      <c r="D1676" s="243"/>
      <c r="E1676" s="232" t="s">
        <v>1408</v>
      </c>
      <c r="F1676" s="231" t="s">
        <v>1679</v>
      </c>
      <c r="G1676" s="232" t="s">
        <v>1676</v>
      </c>
      <c r="H1676" s="234" t="s">
        <v>1675</v>
      </c>
    </row>
    <row r="1677" spans="2:8" x14ac:dyDescent="0.2">
      <c r="B1677" s="208" t="s">
        <v>975</v>
      </c>
      <c r="C1677" s="209"/>
      <c r="D1677" s="246"/>
      <c r="E1677" s="215" t="s">
        <v>976</v>
      </c>
      <c r="F1677" s="215">
        <v>0.6</v>
      </c>
      <c r="G1677" s="247">
        <v>5</v>
      </c>
      <c r="H1677" s="218">
        <f>F1677*G1677</f>
        <v>3</v>
      </c>
    </row>
    <row r="1678" spans="2:8" x14ac:dyDescent="0.2">
      <c r="B1678" s="214"/>
      <c r="C1678" s="132"/>
      <c r="D1678" s="248"/>
      <c r="E1678" s="215"/>
      <c r="F1678" s="215"/>
      <c r="G1678" s="247"/>
      <c r="H1678" s="218"/>
    </row>
    <row r="1679" spans="2:8" x14ac:dyDescent="0.2">
      <c r="B1679" s="219" t="s">
        <v>1682</v>
      </c>
      <c r="C1679" s="220"/>
      <c r="D1679" s="249"/>
      <c r="E1679" s="221" t="s">
        <v>1682</v>
      </c>
      <c r="F1679" s="221"/>
      <c r="G1679" s="222" t="s">
        <v>1682</v>
      </c>
      <c r="H1679" s="224" t="s">
        <v>1682</v>
      </c>
    </row>
    <row r="1680" spans="2:8" ht="13.5" thickBot="1" x14ac:dyDescent="0.25">
      <c r="B1680" s="250" t="s">
        <v>977</v>
      </c>
      <c r="C1680" s="251"/>
      <c r="D1680" s="252"/>
      <c r="E1680" s="252"/>
      <c r="F1680" s="252"/>
      <c r="G1680" s="251"/>
      <c r="H1680" s="253">
        <f>SUM(H1677:H1679)</f>
        <v>3</v>
      </c>
    </row>
    <row r="1681" spans="2:8" x14ac:dyDescent="0.2">
      <c r="B1681" s="132"/>
      <c r="C1681" s="132"/>
      <c r="D1681" s="254"/>
      <c r="E1681" s="198"/>
      <c r="F1681" s="198"/>
      <c r="G1681" s="255" t="s">
        <v>978</v>
      </c>
      <c r="H1681" s="256">
        <f>H1656+H1664+H1674+H1680</f>
        <v>504.35099999999994</v>
      </c>
    </row>
    <row r="1682" spans="2:8" x14ac:dyDescent="0.2">
      <c r="B1682" s="132"/>
      <c r="C1682" s="132"/>
      <c r="D1682" s="257"/>
      <c r="E1682" s="239"/>
      <c r="F1682" s="239"/>
      <c r="G1682" s="258" t="s">
        <v>979</v>
      </c>
      <c r="H1682" s="241"/>
    </row>
    <row r="1683" spans="2:8" x14ac:dyDescent="0.2">
      <c r="B1683" s="132"/>
      <c r="C1683" s="132"/>
      <c r="D1683" s="257"/>
      <c r="E1683" s="239"/>
      <c r="F1683" s="239"/>
      <c r="G1683" s="258" t="s">
        <v>980</v>
      </c>
      <c r="H1683" s="241"/>
    </row>
    <row r="1684" spans="2:8" x14ac:dyDescent="0.2">
      <c r="B1684" s="132"/>
      <c r="C1684" s="132"/>
      <c r="D1684" s="257"/>
      <c r="E1684" s="239"/>
      <c r="F1684" s="239"/>
      <c r="G1684" s="259" t="s">
        <v>1670</v>
      </c>
      <c r="H1684" s="260"/>
    </row>
    <row r="1685" spans="2:8" ht="13.5" thickBot="1" x14ac:dyDescent="0.25">
      <c r="B1685" s="193"/>
      <c r="C1685" s="132"/>
      <c r="D1685" s="261"/>
      <c r="E1685" s="251"/>
      <c r="F1685" s="251"/>
      <c r="G1685" s="262" t="s">
        <v>1650</v>
      </c>
      <c r="H1685" s="263"/>
    </row>
    <row r="1686" spans="2:8" ht="15.75" x14ac:dyDescent="0.2">
      <c r="B1686" s="186" t="s">
        <v>1701</v>
      </c>
      <c r="C1686" s="132"/>
      <c r="D1686" s="189" t="s">
        <v>742</v>
      </c>
      <c r="E1686" s="132"/>
      <c r="F1686" s="132"/>
      <c r="G1686" s="188"/>
      <c r="H1686" s="132"/>
    </row>
    <row r="1687" spans="2:8" ht="15.75" x14ac:dyDescent="0.2">
      <c r="B1687" s="186" t="s">
        <v>1700</v>
      </c>
      <c r="C1687" s="189" t="s">
        <v>963</v>
      </c>
      <c r="D1687" s="132"/>
      <c r="E1687" s="132"/>
      <c r="F1687" s="132"/>
      <c r="G1687" s="190"/>
      <c r="H1687" s="191"/>
    </row>
    <row r="1688" spans="2:8" ht="14.25" x14ac:dyDescent="0.2">
      <c r="B1688" s="189"/>
      <c r="C1688" s="189"/>
      <c r="D1688" s="189"/>
      <c r="E1688" s="189"/>
      <c r="F1688" s="189"/>
      <c r="G1688" s="189"/>
      <c r="H1688" s="189"/>
    </row>
    <row r="1689" spans="2:8" ht="15.75" x14ac:dyDescent="0.2">
      <c r="B1689" s="186" t="s">
        <v>1697</v>
      </c>
      <c r="C1689" s="189"/>
      <c r="D1689" s="132"/>
      <c r="E1689" s="132"/>
      <c r="F1689" s="132"/>
      <c r="G1689" s="132"/>
      <c r="H1689" s="132"/>
    </row>
    <row r="1690" spans="2:8" ht="15" x14ac:dyDescent="0.2">
      <c r="B1690" s="192"/>
      <c r="C1690" s="189"/>
      <c r="D1690" s="189"/>
      <c r="E1690" s="189"/>
      <c r="F1690" s="189"/>
      <c r="G1690" s="189"/>
      <c r="H1690" s="189"/>
    </row>
    <row r="1691" spans="2:8" ht="14.25" x14ac:dyDescent="0.2">
      <c r="B1691" s="193" t="s">
        <v>594</v>
      </c>
      <c r="C1691" s="194">
        <v>20</v>
      </c>
      <c r="D1691" s="132"/>
      <c r="E1691" s="188"/>
      <c r="F1691" s="188"/>
      <c r="G1691" s="195" t="s">
        <v>1696</v>
      </c>
      <c r="H1691" s="189" t="s">
        <v>1506</v>
      </c>
    </row>
    <row r="1692" spans="2:8" ht="14.25" x14ac:dyDescent="0.2">
      <c r="B1692" s="196" t="s">
        <v>964</v>
      </c>
      <c r="C1692" s="194" t="s">
        <v>485</v>
      </c>
      <c r="D1692" s="132"/>
      <c r="E1692" s="132"/>
      <c r="F1692" s="132"/>
      <c r="G1692" s="132"/>
      <c r="H1692" s="132"/>
    </row>
    <row r="1693" spans="2:8" ht="15" thickBot="1" x14ac:dyDescent="0.25">
      <c r="B1693" s="187"/>
      <c r="C1693" s="187"/>
      <c r="D1693" s="189"/>
      <c r="E1693" s="189"/>
      <c r="F1693" s="189"/>
      <c r="G1693" s="189"/>
      <c r="H1693" s="189"/>
    </row>
    <row r="1694" spans="2:8" ht="13.5" thickBot="1" x14ac:dyDescent="0.25">
      <c r="B1694" s="264" t="s">
        <v>1695</v>
      </c>
      <c r="C1694" s="265"/>
      <c r="D1694" s="266"/>
      <c r="E1694" s="265"/>
      <c r="F1694" s="265"/>
      <c r="G1694" s="265"/>
      <c r="H1694" s="267"/>
    </row>
    <row r="1695" spans="2:8" ht="25.5" x14ac:dyDescent="0.2">
      <c r="B1695" s="197" t="s">
        <v>1409</v>
      </c>
      <c r="C1695" s="268"/>
      <c r="D1695" s="269" t="s">
        <v>966</v>
      </c>
      <c r="E1695" s="270" t="s">
        <v>1694</v>
      </c>
      <c r="F1695" s="270" t="s">
        <v>1693</v>
      </c>
      <c r="G1695" s="201" t="s">
        <v>1687</v>
      </c>
      <c r="H1695" s="271" t="s">
        <v>967</v>
      </c>
    </row>
    <row r="1696" spans="2:8" x14ac:dyDescent="0.2">
      <c r="B1696" s="208" t="s">
        <v>1468</v>
      </c>
      <c r="C1696" s="209"/>
      <c r="D1696" s="210">
        <v>1</v>
      </c>
      <c r="E1696" s="211">
        <v>2.5</v>
      </c>
      <c r="F1696" s="211">
        <f>D1696*E1696</f>
        <v>2.5</v>
      </c>
      <c r="G1696" s="212">
        <v>0.4</v>
      </c>
      <c r="H1696" s="213">
        <f>F1696*G1696</f>
        <v>1</v>
      </c>
    </row>
    <row r="1697" spans="2:8" x14ac:dyDescent="0.2">
      <c r="B1697" s="214" t="s">
        <v>1682</v>
      </c>
      <c r="C1697" s="132"/>
      <c r="D1697" s="215"/>
      <c r="E1697" s="216" t="s">
        <v>1682</v>
      </c>
      <c r="F1697" s="216" t="s">
        <v>1682</v>
      </c>
      <c r="G1697" s="217"/>
      <c r="H1697" s="218" t="s">
        <v>1682</v>
      </c>
    </row>
    <row r="1698" spans="2:8" x14ac:dyDescent="0.2">
      <c r="B1698" s="219" t="s">
        <v>1682</v>
      </c>
      <c r="C1698" s="220"/>
      <c r="D1698" s="221"/>
      <c r="E1698" s="222" t="s">
        <v>1682</v>
      </c>
      <c r="F1698" s="222" t="s">
        <v>1682</v>
      </c>
      <c r="G1698" s="223"/>
      <c r="H1698" s="224" t="s">
        <v>1682</v>
      </c>
    </row>
    <row r="1699" spans="2:8" x14ac:dyDescent="0.2">
      <c r="B1699" s="219" t="s">
        <v>968</v>
      </c>
      <c r="C1699" s="220"/>
      <c r="D1699" s="225"/>
      <c r="E1699" s="220"/>
      <c r="F1699" s="220"/>
      <c r="G1699" s="226"/>
      <c r="H1699" s="224">
        <f>SUM(H1696:H1698)</f>
        <v>1</v>
      </c>
    </row>
    <row r="1700" spans="2:8" x14ac:dyDescent="0.2">
      <c r="B1700" s="227" t="s">
        <v>1503</v>
      </c>
      <c r="C1700" s="132"/>
      <c r="D1700" s="188"/>
      <c r="E1700" s="132"/>
      <c r="F1700" s="132"/>
      <c r="G1700" s="228"/>
      <c r="H1700" s="218"/>
    </row>
    <row r="1701" spans="2:8" ht="25.5" x14ac:dyDescent="0.2">
      <c r="B1701" s="229" t="s">
        <v>1691</v>
      </c>
      <c r="C1701" s="230"/>
      <c r="D1701" s="231" t="s">
        <v>969</v>
      </c>
      <c r="E1701" s="232" t="s">
        <v>1689</v>
      </c>
      <c r="F1701" s="232" t="s">
        <v>1688</v>
      </c>
      <c r="G1701" s="233" t="s">
        <v>1687</v>
      </c>
      <c r="H1701" s="234" t="s">
        <v>1686</v>
      </c>
    </row>
    <row r="1702" spans="2:8" x14ac:dyDescent="0.2">
      <c r="B1702" s="235" t="s">
        <v>243</v>
      </c>
      <c r="C1702" s="132"/>
      <c r="D1702" s="236">
        <v>1</v>
      </c>
      <c r="E1702" s="237">
        <v>2.13</v>
      </c>
      <c r="F1702" s="216">
        <f>D1702*E1702</f>
        <v>2.13</v>
      </c>
      <c r="G1702" s="217">
        <v>7.9</v>
      </c>
      <c r="H1702" s="218">
        <v>16.829999999999998</v>
      </c>
    </row>
    <row r="1703" spans="2:8" x14ac:dyDescent="0.2">
      <c r="B1703" s="235" t="s">
        <v>1488</v>
      </c>
      <c r="C1703" s="132"/>
      <c r="D1703" s="236">
        <v>1</v>
      </c>
      <c r="E1703" s="237">
        <v>2.13</v>
      </c>
      <c r="F1703" s="216">
        <f>D1703*E1703</f>
        <v>2.13</v>
      </c>
      <c r="G1703" s="217">
        <v>5.41</v>
      </c>
      <c r="H1703" s="218">
        <v>11.52</v>
      </c>
    </row>
    <row r="1704" spans="2:8" x14ac:dyDescent="0.2">
      <c r="B1704" s="235" t="s">
        <v>590</v>
      </c>
      <c r="C1704" s="132"/>
      <c r="D1704" s="236">
        <v>1</v>
      </c>
      <c r="E1704" s="237">
        <v>2.13</v>
      </c>
      <c r="F1704" s="216">
        <f>D1704*E1704</f>
        <v>2.13</v>
      </c>
      <c r="G1704" s="217">
        <v>3.86</v>
      </c>
      <c r="H1704" s="218">
        <v>8.2200000000000006</v>
      </c>
    </row>
    <row r="1705" spans="2:8" x14ac:dyDescent="0.2">
      <c r="B1705" s="235"/>
      <c r="C1705" s="132"/>
      <c r="D1705" s="236"/>
      <c r="E1705" s="237"/>
      <c r="F1705" s="216"/>
      <c r="G1705" s="217"/>
      <c r="H1705" s="218"/>
    </row>
    <row r="1706" spans="2:8" x14ac:dyDescent="0.2">
      <c r="B1706" s="219" t="s">
        <v>1682</v>
      </c>
      <c r="C1706" s="220"/>
      <c r="D1706" s="221"/>
      <c r="E1706" s="222" t="s">
        <v>1682</v>
      </c>
      <c r="F1706" s="222" t="s">
        <v>1682</v>
      </c>
      <c r="G1706" s="223"/>
      <c r="H1706" s="224" t="s">
        <v>1682</v>
      </c>
    </row>
    <row r="1707" spans="2:8" x14ac:dyDescent="0.2">
      <c r="B1707" s="238" t="s">
        <v>1681</v>
      </c>
      <c r="C1707" s="239"/>
      <c r="D1707" s="240"/>
      <c r="E1707" s="239"/>
      <c r="F1707" s="239"/>
      <c r="G1707" s="239"/>
      <c r="H1707" s="241">
        <f>SUM(H1702:H1706)</f>
        <v>36.57</v>
      </c>
    </row>
    <row r="1708" spans="2:8" x14ac:dyDescent="0.2">
      <c r="B1708" s="227" t="s">
        <v>1684</v>
      </c>
      <c r="C1708" s="132"/>
      <c r="D1708" s="188"/>
      <c r="E1708" s="132"/>
      <c r="F1708" s="132"/>
      <c r="G1708" s="132"/>
      <c r="H1708" s="218"/>
    </row>
    <row r="1709" spans="2:8" ht="25.5" x14ac:dyDescent="0.2">
      <c r="B1709" s="229" t="s">
        <v>1409</v>
      </c>
      <c r="C1709" s="242"/>
      <c r="D1709" s="243"/>
      <c r="E1709" s="232" t="s">
        <v>1408</v>
      </c>
      <c r="F1709" s="231" t="s">
        <v>1679</v>
      </c>
      <c r="G1709" s="232" t="s">
        <v>1683</v>
      </c>
      <c r="H1709" s="234" t="s">
        <v>1675</v>
      </c>
    </row>
    <row r="1710" spans="2:8" x14ac:dyDescent="0.2">
      <c r="B1710" s="244" t="s">
        <v>459</v>
      </c>
      <c r="C1710" s="132"/>
      <c r="D1710" s="188"/>
      <c r="E1710" s="215" t="s">
        <v>1708</v>
      </c>
      <c r="F1710" s="215">
        <v>1.3</v>
      </c>
      <c r="G1710" s="216">
        <v>22</v>
      </c>
      <c r="H1710" s="218">
        <f>F1710*G1710</f>
        <v>28.6</v>
      </c>
    </row>
    <row r="1711" spans="2:8" x14ac:dyDescent="0.2">
      <c r="B1711" s="214" t="s">
        <v>479</v>
      </c>
      <c r="C1711" s="132"/>
      <c r="D1711" s="188"/>
      <c r="E1711" s="215" t="s">
        <v>1708</v>
      </c>
      <c r="F1711" s="215">
        <v>20</v>
      </c>
      <c r="G1711" s="216">
        <v>2.33</v>
      </c>
      <c r="H1711" s="218">
        <f>F1711*G1711</f>
        <v>46.6</v>
      </c>
    </row>
    <row r="1712" spans="2:8" x14ac:dyDescent="0.2">
      <c r="B1712" s="214" t="s">
        <v>466</v>
      </c>
      <c r="C1712" s="132"/>
      <c r="D1712" s="188"/>
      <c r="E1712" s="215" t="s">
        <v>1506</v>
      </c>
      <c r="F1712" s="215">
        <v>0.15</v>
      </c>
      <c r="G1712" s="216">
        <v>1.8</v>
      </c>
      <c r="H1712" s="218">
        <f>F1712*G1712</f>
        <v>0.27</v>
      </c>
    </row>
    <row r="1713" spans="2:8" x14ac:dyDescent="0.2">
      <c r="B1713" s="214" t="s">
        <v>468</v>
      </c>
      <c r="C1713" s="132"/>
      <c r="D1713" s="188"/>
      <c r="E1713" s="215" t="s">
        <v>1708</v>
      </c>
      <c r="F1713" s="215">
        <v>135</v>
      </c>
      <c r="G1713" s="216">
        <v>0.4</v>
      </c>
      <c r="H1713" s="218">
        <f>F1713*G1713</f>
        <v>54</v>
      </c>
    </row>
    <row r="1714" spans="2:8" x14ac:dyDescent="0.2">
      <c r="B1714" s="214" t="s">
        <v>481</v>
      </c>
      <c r="C1714" s="132"/>
      <c r="D1714" s="188"/>
      <c r="E1714" s="215" t="s">
        <v>1708</v>
      </c>
      <c r="F1714" s="215">
        <v>45</v>
      </c>
      <c r="G1714" s="216">
        <v>0.26</v>
      </c>
      <c r="H1714" s="218">
        <f>F1714*G1714</f>
        <v>11.700000000000001</v>
      </c>
    </row>
    <row r="1715" spans="2:8" x14ac:dyDescent="0.2">
      <c r="B1715" s="214"/>
      <c r="C1715" s="132"/>
      <c r="D1715" s="188"/>
      <c r="E1715" s="215"/>
      <c r="F1715" s="215"/>
      <c r="G1715" s="216"/>
      <c r="H1715" s="218"/>
    </row>
    <row r="1716" spans="2:8" x14ac:dyDescent="0.2">
      <c r="B1716" s="214" t="s">
        <v>1682</v>
      </c>
      <c r="C1716" s="132"/>
      <c r="D1716" s="245" t="s">
        <v>1682</v>
      </c>
      <c r="E1716" s="272" t="s">
        <v>1682</v>
      </c>
      <c r="F1716" s="215" t="s">
        <v>1682</v>
      </c>
      <c r="G1716" s="216" t="s">
        <v>1682</v>
      </c>
      <c r="H1716" s="218" t="s">
        <v>1682</v>
      </c>
    </row>
    <row r="1717" spans="2:8" x14ac:dyDescent="0.2">
      <c r="B1717" s="238" t="s">
        <v>1692</v>
      </c>
      <c r="C1717" s="239"/>
      <c r="D1717" s="240"/>
      <c r="E1717" s="240"/>
      <c r="F1717" s="240"/>
      <c r="G1717" s="239"/>
      <c r="H1717" s="241">
        <f>SUM(H1710:H1716)</f>
        <v>141.16999999999999</v>
      </c>
    </row>
    <row r="1718" spans="2:8" x14ac:dyDescent="0.2">
      <c r="B1718" s="227" t="s">
        <v>1680</v>
      </c>
      <c r="C1718" s="132"/>
      <c r="D1718" s="188"/>
      <c r="E1718" s="132"/>
      <c r="F1718" s="188"/>
      <c r="G1718" s="132"/>
      <c r="H1718" s="218"/>
    </row>
    <row r="1719" spans="2:8" ht="25.5" x14ac:dyDescent="0.2">
      <c r="B1719" s="229" t="s">
        <v>1409</v>
      </c>
      <c r="C1719" s="242"/>
      <c r="D1719" s="243"/>
      <c r="E1719" s="232" t="s">
        <v>1408</v>
      </c>
      <c r="F1719" s="231" t="s">
        <v>1679</v>
      </c>
      <c r="G1719" s="232" t="s">
        <v>1676</v>
      </c>
      <c r="H1719" s="234" t="s">
        <v>1675</v>
      </c>
    </row>
    <row r="1720" spans="2:8" x14ac:dyDescent="0.2">
      <c r="B1720" s="208" t="s">
        <v>975</v>
      </c>
      <c r="C1720" s="209"/>
      <c r="D1720" s="246"/>
      <c r="E1720" s="215" t="s">
        <v>976</v>
      </c>
      <c r="F1720" s="215">
        <v>0.25</v>
      </c>
      <c r="G1720" s="247">
        <v>5</v>
      </c>
      <c r="H1720" s="218">
        <f>F1720*G1720</f>
        <v>1.25</v>
      </c>
    </row>
    <row r="1721" spans="2:8" x14ac:dyDescent="0.2">
      <c r="B1721" s="214"/>
      <c r="C1721" s="132"/>
      <c r="D1721" s="248"/>
      <c r="E1721" s="215"/>
      <c r="F1721" s="215"/>
      <c r="G1721" s="247"/>
      <c r="H1721" s="218"/>
    </row>
    <row r="1722" spans="2:8" x14ac:dyDescent="0.2">
      <c r="B1722" s="219" t="s">
        <v>1682</v>
      </c>
      <c r="C1722" s="220"/>
      <c r="D1722" s="249"/>
      <c r="E1722" s="221" t="s">
        <v>1682</v>
      </c>
      <c r="F1722" s="221"/>
      <c r="G1722" s="222" t="s">
        <v>1682</v>
      </c>
      <c r="H1722" s="224" t="s">
        <v>1682</v>
      </c>
    </row>
    <row r="1723" spans="2:8" ht="13.5" thickBot="1" x14ac:dyDescent="0.25">
      <c r="B1723" s="250" t="s">
        <v>977</v>
      </c>
      <c r="C1723" s="251"/>
      <c r="D1723" s="252"/>
      <c r="E1723" s="252"/>
      <c r="F1723" s="252"/>
      <c r="G1723" s="251"/>
      <c r="H1723" s="253">
        <f>SUM(H1720:H1722)</f>
        <v>1.25</v>
      </c>
    </row>
    <row r="1724" spans="2:8" x14ac:dyDescent="0.2">
      <c r="B1724" s="132"/>
      <c r="C1724" s="132"/>
      <c r="D1724" s="254"/>
      <c r="E1724" s="198"/>
      <c r="F1724" s="198"/>
      <c r="G1724" s="255" t="s">
        <v>978</v>
      </c>
      <c r="H1724" s="256">
        <f>H1699+H1707+H1717+H1723</f>
        <v>179.98999999999998</v>
      </c>
    </row>
    <row r="1725" spans="2:8" x14ac:dyDescent="0.2">
      <c r="B1725" s="132"/>
      <c r="C1725" s="132"/>
      <c r="D1725" s="257"/>
      <c r="E1725" s="239"/>
      <c r="F1725" s="239"/>
      <c r="G1725" s="258" t="s">
        <v>979</v>
      </c>
      <c r="H1725" s="241"/>
    </row>
    <row r="1726" spans="2:8" x14ac:dyDescent="0.2">
      <c r="B1726" s="132"/>
      <c r="C1726" s="132"/>
      <c r="D1726" s="257"/>
      <c r="E1726" s="239"/>
      <c r="F1726" s="239"/>
      <c r="G1726" s="258" t="s">
        <v>980</v>
      </c>
      <c r="H1726" s="241"/>
    </row>
    <row r="1727" spans="2:8" x14ac:dyDescent="0.2">
      <c r="B1727" s="132"/>
      <c r="C1727" s="132"/>
      <c r="D1727" s="257"/>
      <c r="E1727" s="239"/>
      <c r="F1727" s="239"/>
      <c r="G1727" s="259" t="s">
        <v>1670</v>
      </c>
      <c r="H1727" s="260"/>
    </row>
    <row r="1728" spans="2:8" ht="13.5" thickBot="1" x14ac:dyDescent="0.25">
      <c r="B1728" s="193"/>
      <c r="C1728" s="132"/>
      <c r="D1728" s="261"/>
      <c r="E1728" s="251"/>
      <c r="F1728" s="251"/>
      <c r="G1728" s="262" t="s">
        <v>1650</v>
      </c>
      <c r="H1728" s="263"/>
    </row>
    <row r="1729" spans="2:8" ht="15.75" x14ac:dyDescent="0.2">
      <c r="B1729" s="186" t="s">
        <v>1701</v>
      </c>
      <c r="C1729" s="132"/>
      <c r="D1729" s="189" t="s">
        <v>742</v>
      </c>
      <c r="E1729" s="132"/>
      <c r="F1729" s="132"/>
      <c r="G1729" s="188"/>
      <c r="H1729" s="132"/>
    </row>
    <row r="1730" spans="2:8" ht="15.75" x14ac:dyDescent="0.2">
      <c r="B1730" s="186" t="s">
        <v>1700</v>
      </c>
      <c r="C1730" s="189" t="s">
        <v>963</v>
      </c>
      <c r="D1730" s="132"/>
      <c r="E1730" s="132"/>
      <c r="F1730" s="132"/>
      <c r="G1730" s="190"/>
      <c r="H1730" s="191"/>
    </row>
    <row r="1731" spans="2:8" ht="14.25" x14ac:dyDescent="0.2">
      <c r="B1731" s="189"/>
      <c r="C1731" s="189"/>
      <c r="D1731" s="189"/>
      <c r="E1731" s="189"/>
      <c r="F1731" s="189"/>
      <c r="G1731" s="189"/>
      <c r="H1731" s="189"/>
    </row>
    <row r="1732" spans="2:8" ht="15.75" x14ac:dyDescent="0.2">
      <c r="B1732" s="186" t="s">
        <v>1697</v>
      </c>
      <c r="C1732" s="189"/>
      <c r="D1732" s="132"/>
      <c r="E1732" s="132"/>
      <c r="F1732" s="132"/>
      <c r="G1732" s="132"/>
      <c r="H1732" s="132"/>
    </row>
    <row r="1733" spans="2:8" ht="15" x14ac:dyDescent="0.2">
      <c r="B1733" s="192"/>
      <c r="C1733" s="189"/>
      <c r="D1733" s="189"/>
      <c r="E1733" s="189"/>
      <c r="F1733" s="189"/>
      <c r="G1733" s="189"/>
      <c r="H1733" s="189"/>
    </row>
    <row r="1734" spans="2:8" ht="14.25" x14ac:dyDescent="0.2">
      <c r="B1734" s="193" t="s">
        <v>594</v>
      </c>
      <c r="C1734" s="194">
        <v>21</v>
      </c>
      <c r="D1734" s="132"/>
      <c r="E1734" s="188"/>
      <c r="F1734" s="188"/>
      <c r="G1734" s="195" t="s">
        <v>1696</v>
      </c>
      <c r="H1734" s="189" t="s">
        <v>1506</v>
      </c>
    </row>
    <row r="1735" spans="2:8" ht="14.25" x14ac:dyDescent="0.2">
      <c r="B1735" s="196" t="s">
        <v>964</v>
      </c>
      <c r="C1735" s="194" t="s">
        <v>486</v>
      </c>
      <c r="D1735" s="132"/>
      <c r="E1735" s="132"/>
      <c r="F1735" s="132"/>
      <c r="G1735" s="132"/>
      <c r="H1735" s="132"/>
    </row>
    <row r="1736" spans="2:8" ht="15" thickBot="1" x14ac:dyDescent="0.25">
      <c r="B1736" s="187"/>
      <c r="C1736" s="187"/>
      <c r="D1736" s="189"/>
      <c r="E1736" s="189"/>
      <c r="F1736" s="189"/>
      <c r="G1736" s="189"/>
      <c r="H1736" s="189"/>
    </row>
    <row r="1737" spans="2:8" ht="13.5" thickBot="1" x14ac:dyDescent="0.25">
      <c r="B1737" s="264" t="s">
        <v>1695</v>
      </c>
      <c r="C1737" s="265"/>
      <c r="D1737" s="266"/>
      <c r="E1737" s="265"/>
      <c r="F1737" s="265"/>
      <c r="G1737" s="265"/>
      <c r="H1737" s="267"/>
    </row>
    <row r="1738" spans="2:8" ht="25.5" x14ac:dyDescent="0.2">
      <c r="B1738" s="197" t="s">
        <v>1409</v>
      </c>
      <c r="C1738" s="268"/>
      <c r="D1738" s="269" t="s">
        <v>966</v>
      </c>
      <c r="E1738" s="270" t="s">
        <v>1694</v>
      </c>
      <c r="F1738" s="270" t="s">
        <v>1693</v>
      </c>
      <c r="G1738" s="201" t="s">
        <v>1687</v>
      </c>
      <c r="H1738" s="271" t="s">
        <v>967</v>
      </c>
    </row>
    <row r="1739" spans="2:8" x14ac:dyDescent="0.2">
      <c r="B1739" s="208" t="s">
        <v>1468</v>
      </c>
      <c r="C1739" s="209"/>
      <c r="D1739" s="210">
        <v>1</v>
      </c>
      <c r="E1739" s="211">
        <v>2.5</v>
      </c>
      <c r="F1739" s="211">
        <f>D1739*E1739</f>
        <v>2.5</v>
      </c>
      <c r="G1739" s="212">
        <v>0.4</v>
      </c>
      <c r="H1739" s="213">
        <f>F1739*G1739</f>
        <v>1</v>
      </c>
    </row>
    <row r="1740" spans="2:8" x14ac:dyDescent="0.2">
      <c r="B1740" s="214" t="s">
        <v>1682</v>
      </c>
      <c r="C1740" s="132"/>
      <c r="D1740" s="215"/>
      <c r="E1740" s="216" t="s">
        <v>1682</v>
      </c>
      <c r="F1740" s="216" t="s">
        <v>1682</v>
      </c>
      <c r="G1740" s="217"/>
      <c r="H1740" s="218" t="s">
        <v>1682</v>
      </c>
    </row>
    <row r="1741" spans="2:8" x14ac:dyDescent="0.2">
      <c r="B1741" s="219" t="s">
        <v>1682</v>
      </c>
      <c r="C1741" s="220"/>
      <c r="D1741" s="221"/>
      <c r="E1741" s="222" t="s">
        <v>1682</v>
      </c>
      <c r="F1741" s="222" t="s">
        <v>1682</v>
      </c>
      <c r="G1741" s="223"/>
      <c r="H1741" s="224" t="s">
        <v>1682</v>
      </c>
    </row>
    <row r="1742" spans="2:8" x14ac:dyDescent="0.2">
      <c r="B1742" s="219" t="s">
        <v>968</v>
      </c>
      <c r="C1742" s="220"/>
      <c r="D1742" s="225"/>
      <c r="E1742" s="220"/>
      <c r="F1742" s="220"/>
      <c r="G1742" s="226"/>
      <c r="H1742" s="224">
        <f>SUM(H1739:H1741)</f>
        <v>1</v>
      </c>
    </row>
    <row r="1743" spans="2:8" x14ac:dyDescent="0.2">
      <c r="B1743" s="227" t="s">
        <v>1503</v>
      </c>
      <c r="C1743" s="132"/>
      <c r="D1743" s="188"/>
      <c r="E1743" s="132"/>
      <c r="F1743" s="132"/>
      <c r="G1743" s="228"/>
      <c r="H1743" s="218"/>
    </row>
    <row r="1744" spans="2:8" ht="25.5" x14ac:dyDescent="0.2">
      <c r="B1744" s="229" t="s">
        <v>1691</v>
      </c>
      <c r="C1744" s="230"/>
      <c r="D1744" s="231" t="s">
        <v>969</v>
      </c>
      <c r="E1744" s="232" t="s">
        <v>1689</v>
      </c>
      <c r="F1744" s="232" t="s">
        <v>1688</v>
      </c>
      <c r="G1744" s="233" t="s">
        <v>1687</v>
      </c>
      <c r="H1744" s="234" t="s">
        <v>1686</v>
      </c>
    </row>
    <row r="1745" spans="2:8" x14ac:dyDescent="0.2">
      <c r="B1745" s="235" t="s">
        <v>243</v>
      </c>
      <c r="C1745" s="132"/>
      <c r="D1745" s="236">
        <v>1</v>
      </c>
      <c r="E1745" s="237">
        <v>2.13</v>
      </c>
      <c r="F1745" s="216">
        <f>D1745*E1745</f>
        <v>2.13</v>
      </c>
      <c r="G1745" s="217">
        <v>6.97</v>
      </c>
      <c r="H1745" s="218">
        <f>F1745*G1745</f>
        <v>14.846099999999998</v>
      </c>
    </row>
    <row r="1746" spans="2:8" x14ac:dyDescent="0.2">
      <c r="B1746" s="235" t="s">
        <v>1488</v>
      </c>
      <c r="C1746" s="132"/>
      <c r="D1746" s="236">
        <v>1</v>
      </c>
      <c r="E1746" s="237">
        <v>2.13</v>
      </c>
      <c r="F1746" s="216">
        <f>D1746*E1746</f>
        <v>2.13</v>
      </c>
      <c r="G1746" s="217">
        <v>4.7699999999999996</v>
      </c>
      <c r="H1746" s="218">
        <f>F1746*G1746</f>
        <v>10.160099999999998</v>
      </c>
    </row>
    <row r="1747" spans="2:8" x14ac:dyDescent="0.2">
      <c r="B1747" s="235" t="s">
        <v>590</v>
      </c>
      <c r="C1747" s="132"/>
      <c r="D1747" s="236">
        <v>1</v>
      </c>
      <c r="E1747" s="237">
        <v>2.13</v>
      </c>
      <c r="F1747" s="216">
        <f>D1747*E1747</f>
        <v>2.13</v>
      </c>
      <c r="G1747" s="217">
        <v>3.41</v>
      </c>
      <c r="H1747" s="218">
        <f>F1747*G1747</f>
        <v>7.2633000000000001</v>
      </c>
    </row>
    <row r="1748" spans="2:8" x14ac:dyDescent="0.2">
      <c r="B1748" s="235"/>
      <c r="C1748" s="132"/>
      <c r="D1748" s="236"/>
      <c r="E1748" s="237"/>
      <c r="F1748" s="216"/>
      <c r="G1748" s="217"/>
      <c r="H1748" s="218"/>
    </row>
    <row r="1749" spans="2:8" x14ac:dyDescent="0.2">
      <c r="B1749" s="219" t="s">
        <v>1682</v>
      </c>
      <c r="C1749" s="220"/>
      <c r="D1749" s="221"/>
      <c r="E1749" s="222" t="s">
        <v>1682</v>
      </c>
      <c r="F1749" s="222" t="s">
        <v>1682</v>
      </c>
      <c r="G1749" s="223"/>
      <c r="H1749" s="224" t="s">
        <v>1682</v>
      </c>
    </row>
    <row r="1750" spans="2:8" x14ac:dyDescent="0.2">
      <c r="B1750" s="238" t="s">
        <v>1681</v>
      </c>
      <c r="C1750" s="239"/>
      <c r="D1750" s="240"/>
      <c r="E1750" s="239"/>
      <c r="F1750" s="239"/>
      <c r="G1750" s="239"/>
      <c r="H1750" s="241">
        <f>SUM(H1745:H1749)</f>
        <v>32.269499999999994</v>
      </c>
    </row>
    <row r="1751" spans="2:8" x14ac:dyDescent="0.2">
      <c r="B1751" s="227" t="s">
        <v>1684</v>
      </c>
      <c r="C1751" s="132"/>
      <c r="D1751" s="188"/>
      <c r="E1751" s="132"/>
      <c r="F1751" s="132"/>
      <c r="G1751" s="132"/>
      <c r="H1751" s="218"/>
    </row>
    <row r="1752" spans="2:8" ht="25.5" x14ac:dyDescent="0.2">
      <c r="B1752" s="229" t="s">
        <v>1409</v>
      </c>
      <c r="C1752" s="242"/>
      <c r="D1752" s="243"/>
      <c r="E1752" s="232" t="s">
        <v>1408</v>
      </c>
      <c r="F1752" s="231" t="s">
        <v>1679</v>
      </c>
      <c r="G1752" s="232" t="s">
        <v>1683</v>
      </c>
      <c r="H1752" s="234" t="s">
        <v>1675</v>
      </c>
    </row>
    <row r="1753" spans="2:8" x14ac:dyDescent="0.2">
      <c r="B1753" s="244" t="s">
        <v>449</v>
      </c>
      <c r="C1753" s="132"/>
      <c r="D1753" s="188"/>
      <c r="E1753" s="215" t="s">
        <v>1708</v>
      </c>
      <c r="F1753" s="215">
        <v>5</v>
      </c>
      <c r="G1753" s="216">
        <v>4.7</v>
      </c>
      <c r="H1753" s="218">
        <f>F1753*G1753</f>
        <v>23.5</v>
      </c>
    </row>
    <row r="1754" spans="2:8" x14ac:dyDescent="0.2">
      <c r="B1754" s="214" t="s">
        <v>450</v>
      </c>
      <c r="C1754" s="132"/>
      <c r="D1754" s="188"/>
      <c r="E1754" s="215" t="s">
        <v>1708</v>
      </c>
      <c r="F1754" s="215">
        <v>7</v>
      </c>
      <c r="G1754" s="216">
        <v>0.51</v>
      </c>
      <c r="H1754" s="218">
        <f>F1754*G1754</f>
        <v>3.5700000000000003</v>
      </c>
    </row>
    <row r="1755" spans="2:8" x14ac:dyDescent="0.2">
      <c r="B1755" s="214" t="s">
        <v>432</v>
      </c>
      <c r="C1755" s="132"/>
      <c r="D1755" s="188"/>
      <c r="E1755" s="215" t="s">
        <v>1708</v>
      </c>
      <c r="F1755" s="215">
        <v>56</v>
      </c>
      <c r="G1755" s="216">
        <v>1</v>
      </c>
      <c r="H1755" s="218">
        <f>F1755*G1755</f>
        <v>56</v>
      </c>
    </row>
    <row r="1756" spans="2:8" x14ac:dyDescent="0.2">
      <c r="B1756" s="214" t="s">
        <v>453</v>
      </c>
      <c r="C1756" s="132"/>
      <c r="D1756" s="188"/>
      <c r="E1756" s="215" t="s">
        <v>1708</v>
      </c>
      <c r="F1756" s="215">
        <v>19</v>
      </c>
      <c r="G1756" s="216">
        <v>0.64</v>
      </c>
      <c r="H1756" s="218">
        <f>F1756*G1756</f>
        <v>12.16</v>
      </c>
    </row>
    <row r="1757" spans="2:8" x14ac:dyDescent="0.2">
      <c r="B1757" s="214"/>
      <c r="C1757" s="132"/>
      <c r="D1757" s="188"/>
      <c r="E1757" s="215"/>
      <c r="F1757" s="215"/>
      <c r="G1757" s="216"/>
      <c r="H1757" s="218"/>
    </row>
    <row r="1758" spans="2:8" x14ac:dyDescent="0.2">
      <c r="B1758" s="214" t="s">
        <v>1682</v>
      </c>
      <c r="C1758" s="132"/>
      <c r="D1758" s="245" t="s">
        <v>1682</v>
      </c>
      <c r="E1758" s="272" t="s">
        <v>1682</v>
      </c>
      <c r="F1758" s="215" t="s">
        <v>1682</v>
      </c>
      <c r="G1758" s="216" t="s">
        <v>1682</v>
      </c>
      <c r="H1758" s="218" t="s">
        <v>1682</v>
      </c>
    </row>
    <row r="1759" spans="2:8" x14ac:dyDescent="0.2">
      <c r="B1759" s="238" t="s">
        <v>1692</v>
      </c>
      <c r="C1759" s="239"/>
      <c r="D1759" s="240"/>
      <c r="E1759" s="240"/>
      <c r="F1759" s="240"/>
      <c r="G1759" s="239"/>
      <c r="H1759" s="241">
        <f>SUM(H1753:H1758)</f>
        <v>95.22999999999999</v>
      </c>
    </row>
    <row r="1760" spans="2:8" x14ac:dyDescent="0.2">
      <c r="B1760" s="227" t="s">
        <v>1680</v>
      </c>
      <c r="C1760" s="132"/>
      <c r="D1760" s="188"/>
      <c r="E1760" s="132"/>
      <c r="F1760" s="188"/>
      <c r="G1760" s="132"/>
      <c r="H1760" s="218"/>
    </row>
    <row r="1761" spans="2:8" ht="25.5" x14ac:dyDescent="0.2">
      <c r="B1761" s="229" t="s">
        <v>1409</v>
      </c>
      <c r="C1761" s="242"/>
      <c r="D1761" s="243"/>
      <c r="E1761" s="232" t="s">
        <v>1408</v>
      </c>
      <c r="F1761" s="231" t="s">
        <v>1679</v>
      </c>
      <c r="G1761" s="232" t="s">
        <v>1676</v>
      </c>
      <c r="H1761" s="234" t="s">
        <v>1675</v>
      </c>
    </row>
    <row r="1762" spans="2:8" x14ac:dyDescent="0.2">
      <c r="B1762" s="208" t="s">
        <v>975</v>
      </c>
      <c r="C1762" s="209"/>
      <c r="D1762" s="246"/>
      <c r="E1762" s="215" t="s">
        <v>976</v>
      </c>
      <c r="F1762" s="215">
        <v>0.3</v>
      </c>
      <c r="G1762" s="247">
        <v>5</v>
      </c>
      <c r="H1762" s="218">
        <f>F1762*G1762</f>
        <v>1.5</v>
      </c>
    </row>
    <row r="1763" spans="2:8" x14ac:dyDescent="0.2">
      <c r="B1763" s="214"/>
      <c r="C1763" s="132"/>
      <c r="D1763" s="248"/>
      <c r="E1763" s="215"/>
      <c r="F1763" s="215"/>
      <c r="G1763" s="247"/>
      <c r="H1763" s="218"/>
    </row>
    <row r="1764" spans="2:8" x14ac:dyDescent="0.2">
      <c r="B1764" s="219" t="s">
        <v>1682</v>
      </c>
      <c r="C1764" s="220"/>
      <c r="D1764" s="249"/>
      <c r="E1764" s="221" t="s">
        <v>1682</v>
      </c>
      <c r="F1764" s="221"/>
      <c r="G1764" s="222" t="s">
        <v>1682</v>
      </c>
      <c r="H1764" s="224" t="s">
        <v>1682</v>
      </c>
    </row>
    <row r="1765" spans="2:8" ht="13.5" thickBot="1" x14ac:dyDescent="0.25">
      <c r="B1765" s="250" t="s">
        <v>977</v>
      </c>
      <c r="C1765" s="251"/>
      <c r="D1765" s="252"/>
      <c r="E1765" s="252"/>
      <c r="F1765" s="252"/>
      <c r="G1765" s="251"/>
      <c r="H1765" s="253">
        <f>SUM(H1762:H1764)</f>
        <v>1.5</v>
      </c>
    </row>
    <row r="1766" spans="2:8" x14ac:dyDescent="0.2">
      <c r="B1766" s="132"/>
      <c r="C1766" s="132"/>
      <c r="D1766" s="254"/>
      <c r="E1766" s="198"/>
      <c r="F1766" s="198"/>
      <c r="G1766" s="255" t="s">
        <v>978</v>
      </c>
      <c r="H1766" s="256">
        <f>H1742+H1750+H1759+H1765</f>
        <v>129.99949999999998</v>
      </c>
    </row>
    <row r="1767" spans="2:8" x14ac:dyDescent="0.2">
      <c r="B1767" s="132"/>
      <c r="C1767" s="132"/>
      <c r="D1767" s="257"/>
      <c r="E1767" s="239"/>
      <c r="F1767" s="239"/>
      <c r="G1767" s="258" t="s">
        <v>979</v>
      </c>
      <c r="H1767" s="241"/>
    </row>
    <row r="1768" spans="2:8" x14ac:dyDescent="0.2">
      <c r="B1768" s="132"/>
      <c r="C1768" s="132"/>
      <c r="D1768" s="257"/>
      <c r="E1768" s="239"/>
      <c r="F1768" s="239"/>
      <c r="G1768" s="258" t="s">
        <v>980</v>
      </c>
      <c r="H1768" s="241"/>
    </row>
    <row r="1769" spans="2:8" x14ac:dyDescent="0.2">
      <c r="B1769" s="132"/>
      <c r="C1769" s="132"/>
      <c r="D1769" s="257"/>
      <c r="E1769" s="239"/>
      <c r="F1769" s="239"/>
      <c r="G1769" s="259" t="s">
        <v>1670</v>
      </c>
      <c r="H1769" s="260"/>
    </row>
    <row r="1770" spans="2:8" ht="13.5" thickBot="1" x14ac:dyDescent="0.25">
      <c r="B1770" s="193"/>
      <c r="C1770" s="132"/>
      <c r="D1770" s="261"/>
      <c r="E1770" s="251"/>
      <c r="F1770" s="251"/>
      <c r="G1770" s="262" t="s">
        <v>1650</v>
      </c>
      <c r="H1770" s="263"/>
    </row>
    <row r="1771" spans="2:8" ht="15.75" x14ac:dyDescent="0.2">
      <c r="B1771" s="186" t="s">
        <v>1701</v>
      </c>
      <c r="C1771" s="132"/>
      <c r="D1771" s="189" t="s">
        <v>742</v>
      </c>
      <c r="E1771" s="132"/>
      <c r="F1771" s="132"/>
      <c r="G1771" s="188"/>
      <c r="H1771" s="132"/>
    </row>
    <row r="1772" spans="2:8" ht="15.75" x14ac:dyDescent="0.2">
      <c r="B1772" s="186" t="s">
        <v>1700</v>
      </c>
      <c r="C1772" s="189" t="s">
        <v>963</v>
      </c>
      <c r="D1772" s="132"/>
      <c r="E1772" s="132"/>
      <c r="F1772" s="132"/>
      <c r="G1772" s="190"/>
      <c r="H1772" s="191"/>
    </row>
    <row r="1773" spans="2:8" ht="14.25" x14ac:dyDescent="0.2">
      <c r="B1773" s="189"/>
      <c r="C1773" s="189"/>
      <c r="D1773" s="189"/>
      <c r="E1773" s="189"/>
      <c r="F1773" s="189"/>
      <c r="G1773" s="189"/>
      <c r="H1773" s="189"/>
    </row>
    <row r="1774" spans="2:8" ht="15.75" x14ac:dyDescent="0.2">
      <c r="B1774" s="186" t="s">
        <v>1697</v>
      </c>
      <c r="C1774" s="189"/>
      <c r="D1774" s="132"/>
      <c r="E1774" s="132"/>
      <c r="F1774" s="132"/>
      <c r="G1774" s="132"/>
      <c r="H1774" s="132"/>
    </row>
    <row r="1775" spans="2:8" ht="15" x14ac:dyDescent="0.2">
      <c r="B1775" s="192"/>
      <c r="C1775" s="189"/>
      <c r="D1775" s="189"/>
      <c r="E1775" s="189"/>
      <c r="F1775" s="189"/>
      <c r="G1775" s="189"/>
      <c r="H1775" s="189"/>
    </row>
    <row r="1776" spans="2:8" ht="14.25" x14ac:dyDescent="0.2">
      <c r="B1776" s="193" t="s">
        <v>594</v>
      </c>
      <c r="C1776" s="194" t="s">
        <v>487</v>
      </c>
      <c r="D1776" s="132"/>
      <c r="E1776" s="188"/>
      <c r="F1776" s="188"/>
      <c r="G1776" s="195" t="s">
        <v>1696</v>
      </c>
      <c r="H1776" s="189" t="s">
        <v>1506</v>
      </c>
    </row>
    <row r="1777" spans="2:8" ht="14.25" x14ac:dyDescent="0.2">
      <c r="B1777" s="196" t="s">
        <v>964</v>
      </c>
      <c r="C1777" s="194" t="s">
        <v>488</v>
      </c>
      <c r="D1777" s="132"/>
      <c r="E1777" s="132"/>
      <c r="F1777" s="132"/>
      <c r="G1777" s="132"/>
      <c r="H1777" s="132"/>
    </row>
    <row r="1778" spans="2:8" ht="15" thickBot="1" x14ac:dyDescent="0.25">
      <c r="B1778" s="187"/>
      <c r="C1778" s="187"/>
      <c r="D1778" s="189"/>
      <c r="E1778" s="189"/>
      <c r="F1778" s="189"/>
      <c r="G1778" s="189"/>
      <c r="H1778" s="189"/>
    </row>
    <row r="1779" spans="2:8" ht="13.5" thickBot="1" x14ac:dyDescent="0.25">
      <c r="B1779" s="264" t="s">
        <v>1695</v>
      </c>
      <c r="C1779" s="265"/>
      <c r="D1779" s="266"/>
      <c r="E1779" s="265"/>
      <c r="F1779" s="265"/>
      <c r="G1779" s="265"/>
      <c r="H1779" s="267"/>
    </row>
    <row r="1780" spans="2:8" ht="25.5" x14ac:dyDescent="0.2">
      <c r="B1780" s="197" t="s">
        <v>1409</v>
      </c>
      <c r="C1780" s="268"/>
      <c r="D1780" s="269" t="s">
        <v>966</v>
      </c>
      <c r="E1780" s="270" t="s">
        <v>1694</v>
      </c>
      <c r="F1780" s="270" t="s">
        <v>1693</v>
      </c>
      <c r="G1780" s="201" t="s">
        <v>1687</v>
      </c>
      <c r="H1780" s="271" t="s">
        <v>967</v>
      </c>
    </row>
    <row r="1781" spans="2:8" x14ac:dyDescent="0.2">
      <c r="B1781" s="208" t="s">
        <v>1468</v>
      </c>
      <c r="C1781" s="209"/>
      <c r="D1781" s="210">
        <v>1</v>
      </c>
      <c r="E1781" s="211">
        <v>2.5</v>
      </c>
      <c r="F1781" s="211">
        <f>D1781*E1781</f>
        <v>2.5</v>
      </c>
      <c r="G1781" s="212">
        <v>0.4</v>
      </c>
      <c r="H1781" s="213">
        <f>F1781*G1781</f>
        <v>1</v>
      </c>
    </row>
    <row r="1782" spans="2:8" x14ac:dyDescent="0.2">
      <c r="B1782" s="214" t="s">
        <v>1682</v>
      </c>
      <c r="C1782" s="132"/>
      <c r="D1782" s="215"/>
      <c r="E1782" s="216" t="s">
        <v>1682</v>
      </c>
      <c r="F1782" s="216" t="s">
        <v>1682</v>
      </c>
      <c r="G1782" s="217"/>
      <c r="H1782" s="218" t="s">
        <v>1682</v>
      </c>
    </row>
    <row r="1783" spans="2:8" x14ac:dyDescent="0.2">
      <c r="B1783" s="219" t="s">
        <v>1682</v>
      </c>
      <c r="C1783" s="220"/>
      <c r="D1783" s="221"/>
      <c r="E1783" s="222" t="s">
        <v>1682</v>
      </c>
      <c r="F1783" s="222" t="s">
        <v>1682</v>
      </c>
      <c r="G1783" s="223"/>
      <c r="H1783" s="224" t="s">
        <v>1682</v>
      </c>
    </row>
    <row r="1784" spans="2:8" x14ac:dyDescent="0.2">
      <c r="B1784" s="219" t="s">
        <v>968</v>
      </c>
      <c r="C1784" s="220"/>
      <c r="D1784" s="225"/>
      <c r="E1784" s="220"/>
      <c r="F1784" s="220"/>
      <c r="G1784" s="226"/>
      <c r="H1784" s="224">
        <f>SUM(H1781:H1783)</f>
        <v>1</v>
      </c>
    </row>
    <row r="1785" spans="2:8" x14ac:dyDescent="0.2">
      <c r="B1785" s="227" t="s">
        <v>1503</v>
      </c>
      <c r="C1785" s="132"/>
      <c r="D1785" s="188"/>
      <c r="E1785" s="132"/>
      <c r="F1785" s="132"/>
      <c r="G1785" s="228"/>
      <c r="H1785" s="218"/>
    </row>
    <row r="1786" spans="2:8" ht="25.5" x14ac:dyDescent="0.2">
      <c r="B1786" s="229" t="s">
        <v>1691</v>
      </c>
      <c r="C1786" s="230"/>
      <c r="D1786" s="231" t="s">
        <v>969</v>
      </c>
      <c r="E1786" s="232" t="s">
        <v>1689</v>
      </c>
      <c r="F1786" s="232" t="s">
        <v>1688</v>
      </c>
      <c r="G1786" s="233" t="s">
        <v>1687</v>
      </c>
      <c r="H1786" s="234" t="s">
        <v>1686</v>
      </c>
    </row>
    <row r="1787" spans="2:8" x14ac:dyDescent="0.2">
      <c r="B1787" s="235" t="s">
        <v>243</v>
      </c>
      <c r="C1787" s="132"/>
      <c r="D1787" s="236">
        <v>1</v>
      </c>
      <c r="E1787" s="237">
        <v>2.13</v>
      </c>
      <c r="F1787" s="216">
        <f>D1787*E1787</f>
        <v>2.13</v>
      </c>
      <c r="G1787" s="217">
        <v>7.59</v>
      </c>
      <c r="H1787" s="218">
        <v>16.170000000000002</v>
      </c>
    </row>
    <row r="1788" spans="2:8" x14ac:dyDescent="0.2">
      <c r="B1788" s="235" t="s">
        <v>1488</v>
      </c>
      <c r="C1788" s="132"/>
      <c r="D1788" s="236">
        <v>1</v>
      </c>
      <c r="E1788" s="237">
        <v>2.13</v>
      </c>
      <c r="F1788" s="216">
        <f>D1788*E1788</f>
        <v>2.13</v>
      </c>
      <c r="G1788" s="217">
        <v>5.19</v>
      </c>
      <c r="H1788" s="218">
        <f>F1788*G1788</f>
        <v>11.0547</v>
      </c>
    </row>
    <row r="1789" spans="2:8" x14ac:dyDescent="0.2">
      <c r="B1789" s="235" t="s">
        <v>590</v>
      </c>
      <c r="C1789" s="132"/>
      <c r="D1789" s="236">
        <v>1</v>
      </c>
      <c r="E1789" s="237">
        <v>2.13</v>
      </c>
      <c r="F1789" s="216">
        <f>D1789*E1789</f>
        <v>2.13</v>
      </c>
      <c r="G1789" s="217">
        <v>3.71</v>
      </c>
      <c r="H1789" s="218">
        <f>F1789*G1789</f>
        <v>7.9022999999999994</v>
      </c>
    </row>
    <row r="1790" spans="2:8" x14ac:dyDescent="0.2">
      <c r="B1790" s="235"/>
      <c r="C1790" s="132"/>
      <c r="D1790" s="236"/>
      <c r="E1790" s="237"/>
      <c r="F1790" s="216"/>
      <c r="G1790" s="217"/>
      <c r="H1790" s="218"/>
    </row>
    <row r="1791" spans="2:8" x14ac:dyDescent="0.2">
      <c r="B1791" s="219" t="s">
        <v>1682</v>
      </c>
      <c r="C1791" s="220"/>
      <c r="D1791" s="221"/>
      <c r="E1791" s="222" t="s">
        <v>1682</v>
      </c>
      <c r="F1791" s="222" t="s">
        <v>1682</v>
      </c>
      <c r="G1791" s="223"/>
      <c r="H1791" s="224" t="s">
        <v>1682</v>
      </c>
    </row>
    <row r="1792" spans="2:8" x14ac:dyDescent="0.2">
      <c r="B1792" s="238" t="s">
        <v>1681</v>
      </c>
      <c r="C1792" s="239"/>
      <c r="D1792" s="240"/>
      <c r="E1792" s="239"/>
      <c r="F1792" s="239"/>
      <c r="G1792" s="239"/>
      <c r="H1792" s="241">
        <f>SUM(H1787:H1791)</f>
        <v>35.127000000000002</v>
      </c>
    </row>
    <row r="1793" spans="2:8" x14ac:dyDescent="0.2">
      <c r="B1793" s="227" t="s">
        <v>1684</v>
      </c>
      <c r="C1793" s="132"/>
      <c r="D1793" s="188"/>
      <c r="E1793" s="132"/>
      <c r="F1793" s="132"/>
      <c r="G1793" s="132"/>
      <c r="H1793" s="218"/>
    </row>
    <row r="1794" spans="2:8" ht="25.5" x14ac:dyDescent="0.2">
      <c r="B1794" s="229" t="s">
        <v>1409</v>
      </c>
      <c r="C1794" s="242"/>
      <c r="D1794" s="243"/>
      <c r="E1794" s="232" t="s">
        <v>1408</v>
      </c>
      <c r="F1794" s="231" t="s">
        <v>1679</v>
      </c>
      <c r="G1794" s="232" t="s">
        <v>1683</v>
      </c>
      <c r="H1794" s="234" t="s">
        <v>1675</v>
      </c>
    </row>
    <row r="1795" spans="2:8" x14ac:dyDescent="0.2">
      <c r="B1795" s="244" t="s">
        <v>419</v>
      </c>
      <c r="C1795" s="132"/>
      <c r="D1795" s="188"/>
      <c r="E1795" s="215" t="s">
        <v>1708</v>
      </c>
      <c r="F1795" s="215">
        <v>12</v>
      </c>
      <c r="G1795" s="216">
        <v>2.15</v>
      </c>
      <c r="H1795" s="218">
        <f>F1795*G1795</f>
        <v>25.799999999999997</v>
      </c>
    </row>
    <row r="1796" spans="2:8" x14ac:dyDescent="0.2">
      <c r="B1796" s="214" t="s">
        <v>420</v>
      </c>
      <c r="C1796" s="132"/>
      <c r="D1796" s="188"/>
      <c r="E1796" s="215" t="s">
        <v>1708</v>
      </c>
      <c r="F1796" s="215">
        <v>12</v>
      </c>
      <c r="G1796" s="216">
        <v>0.22</v>
      </c>
      <c r="H1796" s="218">
        <f>F1796*G1796</f>
        <v>2.64</v>
      </c>
    </row>
    <row r="1797" spans="2:8" x14ac:dyDescent="0.2">
      <c r="B1797" s="214" t="s">
        <v>489</v>
      </c>
      <c r="C1797" s="132"/>
      <c r="D1797" s="188"/>
      <c r="E1797" s="215" t="s">
        <v>1506</v>
      </c>
      <c r="F1797" s="215">
        <v>2</v>
      </c>
      <c r="G1797" s="216">
        <v>0.22</v>
      </c>
      <c r="H1797" s="218">
        <f>F1797*G1797</f>
        <v>0.44</v>
      </c>
    </row>
    <row r="1798" spans="2:8" x14ac:dyDescent="0.2">
      <c r="B1798" s="214" t="s">
        <v>468</v>
      </c>
      <c r="C1798" s="132"/>
      <c r="D1798" s="188"/>
      <c r="E1798" s="215" t="s">
        <v>1708</v>
      </c>
      <c r="F1798" s="215">
        <v>114</v>
      </c>
      <c r="G1798" s="216">
        <v>0.4</v>
      </c>
      <c r="H1798" s="218">
        <f>F1798*G1798</f>
        <v>45.6</v>
      </c>
    </row>
    <row r="1799" spans="2:8" x14ac:dyDescent="0.2">
      <c r="B1799" s="214" t="s">
        <v>481</v>
      </c>
      <c r="C1799" s="132"/>
      <c r="D1799" s="188"/>
      <c r="E1799" s="215" t="s">
        <v>1708</v>
      </c>
      <c r="F1799" s="215">
        <v>38</v>
      </c>
      <c r="G1799" s="216">
        <v>0.26</v>
      </c>
      <c r="H1799" s="218">
        <f>F1799*G1799</f>
        <v>9.8800000000000008</v>
      </c>
    </row>
    <row r="1800" spans="2:8" x14ac:dyDescent="0.2">
      <c r="B1800" s="214"/>
      <c r="C1800" s="132"/>
      <c r="D1800" s="188"/>
      <c r="E1800" s="215"/>
      <c r="F1800" s="215"/>
      <c r="G1800" s="216"/>
      <c r="H1800" s="218"/>
    </row>
    <row r="1801" spans="2:8" x14ac:dyDescent="0.2">
      <c r="B1801" s="214" t="s">
        <v>1682</v>
      </c>
      <c r="C1801" s="132"/>
      <c r="D1801" s="245" t="s">
        <v>1682</v>
      </c>
      <c r="E1801" s="272" t="s">
        <v>1682</v>
      </c>
      <c r="F1801" s="215" t="s">
        <v>1682</v>
      </c>
      <c r="G1801" s="216" t="s">
        <v>1682</v>
      </c>
      <c r="H1801" s="218" t="s">
        <v>1682</v>
      </c>
    </row>
    <row r="1802" spans="2:8" x14ac:dyDescent="0.2">
      <c r="B1802" s="238" t="s">
        <v>1692</v>
      </c>
      <c r="C1802" s="239"/>
      <c r="D1802" s="240"/>
      <c r="E1802" s="240"/>
      <c r="F1802" s="240"/>
      <c r="G1802" s="239"/>
      <c r="H1802" s="241">
        <f>SUM(H1795:H1801)</f>
        <v>84.36</v>
      </c>
    </row>
    <row r="1803" spans="2:8" x14ac:dyDescent="0.2">
      <c r="B1803" s="227" t="s">
        <v>1680</v>
      </c>
      <c r="C1803" s="132"/>
      <c r="D1803" s="188"/>
      <c r="E1803" s="132"/>
      <c r="F1803" s="188"/>
      <c r="G1803" s="132"/>
      <c r="H1803" s="218"/>
    </row>
    <row r="1804" spans="2:8" ht="25.5" x14ac:dyDescent="0.2">
      <c r="B1804" s="229" t="s">
        <v>1409</v>
      </c>
      <c r="C1804" s="242"/>
      <c r="D1804" s="243"/>
      <c r="E1804" s="232" t="s">
        <v>1408</v>
      </c>
      <c r="F1804" s="231" t="s">
        <v>1679</v>
      </c>
      <c r="G1804" s="232" t="s">
        <v>1676</v>
      </c>
      <c r="H1804" s="234" t="s">
        <v>1675</v>
      </c>
    </row>
    <row r="1805" spans="2:8" x14ac:dyDescent="0.2">
      <c r="B1805" s="208" t="s">
        <v>975</v>
      </c>
      <c r="C1805" s="209"/>
      <c r="D1805" s="246"/>
      <c r="E1805" s="215" t="s">
        <v>976</v>
      </c>
      <c r="F1805" s="215">
        <v>0.25</v>
      </c>
      <c r="G1805" s="247">
        <v>5</v>
      </c>
      <c r="H1805" s="218">
        <f>F1805*G1805</f>
        <v>1.25</v>
      </c>
    </row>
    <row r="1806" spans="2:8" x14ac:dyDescent="0.2">
      <c r="B1806" s="214"/>
      <c r="C1806" s="132"/>
      <c r="D1806" s="248"/>
      <c r="E1806" s="215"/>
      <c r="F1806" s="215"/>
      <c r="G1806" s="247"/>
      <c r="H1806" s="218"/>
    </row>
    <row r="1807" spans="2:8" x14ac:dyDescent="0.2">
      <c r="B1807" s="219" t="s">
        <v>1682</v>
      </c>
      <c r="C1807" s="220"/>
      <c r="D1807" s="249"/>
      <c r="E1807" s="221" t="s">
        <v>1682</v>
      </c>
      <c r="F1807" s="221"/>
      <c r="G1807" s="222" t="s">
        <v>1682</v>
      </c>
      <c r="H1807" s="224" t="s">
        <v>1682</v>
      </c>
    </row>
    <row r="1808" spans="2:8" ht="13.5" thickBot="1" x14ac:dyDescent="0.25">
      <c r="B1808" s="250" t="s">
        <v>977</v>
      </c>
      <c r="C1808" s="251"/>
      <c r="D1808" s="252"/>
      <c r="E1808" s="252"/>
      <c r="F1808" s="252"/>
      <c r="G1808" s="251"/>
      <c r="H1808" s="253">
        <f>SUM(H1805:H1807)</f>
        <v>1.25</v>
      </c>
    </row>
    <row r="1809" spans="2:8" x14ac:dyDescent="0.2">
      <c r="B1809" s="132"/>
      <c r="C1809" s="132"/>
      <c r="D1809" s="254"/>
      <c r="E1809" s="198"/>
      <c r="F1809" s="198"/>
      <c r="G1809" s="255" t="s">
        <v>978</v>
      </c>
      <c r="H1809" s="256">
        <f>H1784+H1792+H1802+H1808</f>
        <v>121.73699999999999</v>
      </c>
    </row>
    <row r="1810" spans="2:8" x14ac:dyDescent="0.2">
      <c r="B1810" s="132"/>
      <c r="C1810" s="132"/>
      <c r="D1810" s="257"/>
      <c r="E1810" s="239"/>
      <c r="F1810" s="239"/>
      <c r="G1810" s="258" t="s">
        <v>979</v>
      </c>
      <c r="H1810" s="241"/>
    </row>
    <row r="1811" spans="2:8" x14ac:dyDescent="0.2">
      <c r="B1811" s="132"/>
      <c r="C1811" s="132"/>
      <c r="D1811" s="257"/>
      <c r="E1811" s="239"/>
      <c r="F1811" s="239"/>
      <c r="G1811" s="258" t="s">
        <v>980</v>
      </c>
      <c r="H1811" s="241"/>
    </row>
    <row r="1812" spans="2:8" x14ac:dyDescent="0.2">
      <c r="B1812" s="132"/>
      <c r="C1812" s="132"/>
      <c r="D1812" s="257"/>
      <c r="E1812" s="239"/>
      <c r="F1812" s="239"/>
      <c r="G1812" s="259" t="s">
        <v>1670</v>
      </c>
      <c r="H1812" s="260"/>
    </row>
    <row r="1813" spans="2:8" ht="13.5" thickBot="1" x14ac:dyDescent="0.25">
      <c r="B1813" s="193"/>
      <c r="C1813" s="132"/>
      <c r="D1813" s="261"/>
      <c r="E1813" s="251"/>
      <c r="F1813" s="251"/>
      <c r="G1813" s="262" t="s">
        <v>1650</v>
      </c>
      <c r="H1813" s="263"/>
    </row>
    <row r="1814" spans="2:8" ht="15.75" x14ac:dyDescent="0.2">
      <c r="B1814" s="186" t="s">
        <v>1701</v>
      </c>
      <c r="C1814" s="132"/>
      <c r="D1814" s="189" t="s">
        <v>742</v>
      </c>
      <c r="E1814" s="132"/>
      <c r="F1814" s="132"/>
      <c r="G1814" s="188"/>
      <c r="H1814" s="132"/>
    </row>
    <row r="1815" spans="2:8" ht="15.75" x14ac:dyDescent="0.2">
      <c r="B1815" s="186" t="s">
        <v>1700</v>
      </c>
      <c r="C1815" s="189" t="s">
        <v>963</v>
      </c>
      <c r="D1815" s="132"/>
      <c r="E1815" s="132"/>
      <c r="F1815" s="132"/>
      <c r="G1815" s="190"/>
      <c r="H1815" s="191"/>
    </row>
    <row r="1816" spans="2:8" ht="14.25" x14ac:dyDescent="0.2">
      <c r="B1816" s="189"/>
      <c r="C1816" s="189"/>
      <c r="D1816" s="189"/>
      <c r="E1816" s="189"/>
      <c r="F1816" s="189"/>
      <c r="G1816" s="189"/>
      <c r="H1816" s="189"/>
    </row>
    <row r="1817" spans="2:8" ht="15.75" x14ac:dyDescent="0.2">
      <c r="B1817" s="186" t="s">
        <v>1697</v>
      </c>
      <c r="C1817" s="189"/>
      <c r="D1817" s="132"/>
      <c r="E1817" s="132"/>
      <c r="F1817" s="132"/>
      <c r="G1817" s="132"/>
      <c r="H1817" s="132"/>
    </row>
    <row r="1818" spans="2:8" ht="15" x14ac:dyDescent="0.2">
      <c r="B1818" s="192"/>
      <c r="C1818" s="189"/>
      <c r="D1818" s="189"/>
      <c r="E1818" s="189"/>
      <c r="F1818" s="189"/>
      <c r="G1818" s="189"/>
      <c r="H1818" s="189"/>
    </row>
    <row r="1819" spans="2:8" ht="14.25" x14ac:dyDescent="0.2">
      <c r="B1819" s="193" t="s">
        <v>594</v>
      </c>
      <c r="C1819" s="194" t="s">
        <v>490</v>
      </c>
      <c r="D1819" s="132"/>
      <c r="E1819" s="188"/>
      <c r="F1819" s="188"/>
      <c r="G1819" s="195" t="s">
        <v>1696</v>
      </c>
      <c r="H1819" s="189" t="s">
        <v>1506</v>
      </c>
    </row>
    <row r="1820" spans="2:8" ht="14.25" x14ac:dyDescent="0.2">
      <c r="B1820" s="196" t="s">
        <v>964</v>
      </c>
      <c r="C1820" s="194" t="s">
        <v>491</v>
      </c>
      <c r="D1820" s="132"/>
      <c r="E1820" s="132"/>
      <c r="F1820" s="132"/>
      <c r="G1820" s="132"/>
      <c r="H1820" s="132"/>
    </row>
    <row r="1821" spans="2:8" ht="15" thickBot="1" x14ac:dyDescent="0.25">
      <c r="B1821" s="187"/>
      <c r="C1821" s="187"/>
      <c r="D1821" s="189"/>
      <c r="E1821" s="189"/>
      <c r="F1821" s="189"/>
      <c r="G1821" s="189"/>
      <c r="H1821" s="189"/>
    </row>
    <row r="1822" spans="2:8" ht="13.5" thickBot="1" x14ac:dyDescent="0.25">
      <c r="B1822" s="264" t="s">
        <v>1695</v>
      </c>
      <c r="C1822" s="265"/>
      <c r="D1822" s="266"/>
      <c r="E1822" s="265"/>
      <c r="F1822" s="265"/>
      <c r="G1822" s="265"/>
      <c r="H1822" s="267"/>
    </row>
    <row r="1823" spans="2:8" ht="25.5" x14ac:dyDescent="0.2">
      <c r="B1823" s="197" t="s">
        <v>1409</v>
      </c>
      <c r="C1823" s="268"/>
      <c r="D1823" s="269" t="s">
        <v>966</v>
      </c>
      <c r="E1823" s="270" t="s">
        <v>1694</v>
      </c>
      <c r="F1823" s="270" t="s">
        <v>1693</v>
      </c>
      <c r="G1823" s="201" t="s">
        <v>1687</v>
      </c>
      <c r="H1823" s="271" t="s">
        <v>967</v>
      </c>
    </row>
    <row r="1824" spans="2:8" x14ac:dyDescent="0.2">
      <c r="B1824" s="208" t="s">
        <v>1468</v>
      </c>
      <c r="C1824" s="209"/>
      <c r="D1824" s="210">
        <v>1</v>
      </c>
      <c r="E1824" s="211">
        <v>2.5</v>
      </c>
      <c r="F1824" s="211">
        <f>D1824*E1824</f>
        <v>2.5</v>
      </c>
      <c r="G1824" s="212">
        <v>0.4</v>
      </c>
      <c r="H1824" s="213">
        <f>F1824*G1824</f>
        <v>1</v>
      </c>
    </row>
    <row r="1825" spans="2:8" x14ac:dyDescent="0.2">
      <c r="B1825" s="214" t="s">
        <v>1682</v>
      </c>
      <c r="C1825" s="132"/>
      <c r="D1825" s="215"/>
      <c r="E1825" s="216" t="s">
        <v>1682</v>
      </c>
      <c r="F1825" s="216" t="s">
        <v>1682</v>
      </c>
      <c r="G1825" s="217"/>
      <c r="H1825" s="218" t="s">
        <v>1682</v>
      </c>
    </row>
    <row r="1826" spans="2:8" x14ac:dyDescent="0.2">
      <c r="B1826" s="219" t="s">
        <v>1682</v>
      </c>
      <c r="C1826" s="220"/>
      <c r="D1826" s="221"/>
      <c r="E1826" s="222" t="s">
        <v>1682</v>
      </c>
      <c r="F1826" s="222" t="s">
        <v>1682</v>
      </c>
      <c r="G1826" s="223"/>
      <c r="H1826" s="224" t="s">
        <v>1682</v>
      </c>
    </row>
    <row r="1827" spans="2:8" x14ac:dyDescent="0.2">
      <c r="B1827" s="219" t="s">
        <v>968</v>
      </c>
      <c r="C1827" s="220"/>
      <c r="D1827" s="225"/>
      <c r="E1827" s="220"/>
      <c r="F1827" s="220"/>
      <c r="G1827" s="226"/>
      <c r="H1827" s="224">
        <f>SUM(H1824:H1826)</f>
        <v>1</v>
      </c>
    </row>
    <row r="1828" spans="2:8" x14ac:dyDescent="0.2">
      <c r="B1828" s="227" t="s">
        <v>1503</v>
      </c>
      <c r="C1828" s="132"/>
      <c r="D1828" s="188"/>
      <c r="E1828" s="132"/>
      <c r="F1828" s="132"/>
      <c r="G1828" s="228"/>
      <c r="H1828" s="218"/>
    </row>
    <row r="1829" spans="2:8" ht="25.5" x14ac:dyDescent="0.2">
      <c r="B1829" s="229" t="s">
        <v>1691</v>
      </c>
      <c r="C1829" s="230"/>
      <c r="D1829" s="231" t="s">
        <v>969</v>
      </c>
      <c r="E1829" s="232" t="s">
        <v>1689</v>
      </c>
      <c r="F1829" s="232" t="s">
        <v>1688</v>
      </c>
      <c r="G1829" s="233" t="s">
        <v>1687</v>
      </c>
      <c r="H1829" s="234" t="s">
        <v>1686</v>
      </c>
    </row>
    <row r="1830" spans="2:8" x14ac:dyDescent="0.2">
      <c r="B1830" s="235" t="s">
        <v>243</v>
      </c>
      <c r="C1830" s="132"/>
      <c r="D1830" s="236">
        <v>1</v>
      </c>
      <c r="E1830" s="237">
        <v>2.13</v>
      </c>
      <c r="F1830" s="216">
        <f>D1830*E1830</f>
        <v>2.13</v>
      </c>
      <c r="G1830" s="217">
        <v>8.35</v>
      </c>
      <c r="H1830" s="218">
        <f>F1830*G1830</f>
        <v>17.785499999999999</v>
      </c>
    </row>
    <row r="1831" spans="2:8" x14ac:dyDescent="0.2">
      <c r="B1831" s="235" t="s">
        <v>1488</v>
      </c>
      <c r="C1831" s="132"/>
      <c r="D1831" s="236">
        <v>1</v>
      </c>
      <c r="E1831" s="237">
        <v>2.13</v>
      </c>
      <c r="F1831" s="216">
        <f>D1831*E1831</f>
        <v>2.13</v>
      </c>
      <c r="G1831" s="217">
        <v>5.71</v>
      </c>
      <c r="H1831" s="218">
        <f>F1831*G1831</f>
        <v>12.1623</v>
      </c>
    </row>
    <row r="1832" spans="2:8" x14ac:dyDescent="0.2">
      <c r="B1832" s="235" t="s">
        <v>590</v>
      </c>
      <c r="C1832" s="132"/>
      <c r="D1832" s="236">
        <v>1</v>
      </c>
      <c r="E1832" s="237">
        <v>2.13</v>
      </c>
      <c r="F1832" s="216">
        <f>D1832*E1832</f>
        <v>2.13</v>
      </c>
      <c r="G1832" s="217">
        <v>4.08</v>
      </c>
      <c r="H1832" s="218">
        <f>F1832*G1832</f>
        <v>8.6904000000000003</v>
      </c>
    </row>
    <row r="1833" spans="2:8" x14ac:dyDescent="0.2">
      <c r="B1833" s="235"/>
      <c r="C1833" s="132"/>
      <c r="D1833" s="236"/>
      <c r="E1833" s="237"/>
      <c r="F1833" s="216"/>
      <c r="G1833" s="217"/>
      <c r="H1833" s="218"/>
    </row>
    <row r="1834" spans="2:8" x14ac:dyDescent="0.2">
      <c r="B1834" s="219" t="s">
        <v>1682</v>
      </c>
      <c r="C1834" s="220"/>
      <c r="D1834" s="221"/>
      <c r="E1834" s="222" t="s">
        <v>1682</v>
      </c>
      <c r="F1834" s="222" t="s">
        <v>1682</v>
      </c>
      <c r="G1834" s="223"/>
      <c r="H1834" s="224" t="s">
        <v>1682</v>
      </c>
    </row>
    <row r="1835" spans="2:8" x14ac:dyDescent="0.2">
      <c r="B1835" s="238" t="s">
        <v>1681</v>
      </c>
      <c r="C1835" s="239"/>
      <c r="D1835" s="240"/>
      <c r="E1835" s="239"/>
      <c r="F1835" s="239"/>
      <c r="G1835" s="239"/>
      <c r="H1835" s="241">
        <f>SUM(H1830:H1834)</f>
        <v>38.638199999999998</v>
      </c>
    </row>
    <row r="1836" spans="2:8" x14ac:dyDescent="0.2">
      <c r="B1836" s="227" t="s">
        <v>1684</v>
      </c>
      <c r="C1836" s="132"/>
      <c r="D1836" s="188"/>
      <c r="E1836" s="132"/>
      <c r="F1836" s="132"/>
      <c r="G1836" s="132"/>
      <c r="H1836" s="218"/>
    </row>
    <row r="1837" spans="2:8" ht="25.5" x14ac:dyDescent="0.2">
      <c r="B1837" s="229" t="s">
        <v>1409</v>
      </c>
      <c r="C1837" s="242"/>
      <c r="D1837" s="243"/>
      <c r="E1837" s="232" t="s">
        <v>1408</v>
      </c>
      <c r="F1837" s="231" t="s">
        <v>1679</v>
      </c>
      <c r="G1837" s="232" t="s">
        <v>1683</v>
      </c>
      <c r="H1837" s="234" t="s">
        <v>1675</v>
      </c>
    </row>
    <row r="1838" spans="2:8" x14ac:dyDescent="0.2">
      <c r="B1838" s="244" t="s">
        <v>419</v>
      </c>
      <c r="C1838" s="132"/>
      <c r="D1838" s="188"/>
      <c r="E1838" s="215" t="s">
        <v>1708</v>
      </c>
      <c r="F1838" s="215">
        <v>16</v>
      </c>
      <c r="G1838" s="216">
        <v>2.15</v>
      </c>
      <c r="H1838" s="218">
        <f>F1838*G1838</f>
        <v>34.4</v>
      </c>
    </row>
    <row r="1839" spans="2:8" x14ac:dyDescent="0.2">
      <c r="B1839" s="214" t="s">
        <v>420</v>
      </c>
      <c r="C1839" s="132"/>
      <c r="D1839" s="188"/>
      <c r="E1839" s="215" t="s">
        <v>1708</v>
      </c>
      <c r="F1839" s="215">
        <v>16</v>
      </c>
      <c r="G1839" s="216">
        <v>0.22</v>
      </c>
      <c r="H1839" s="218">
        <f>F1839*G1839</f>
        <v>3.52</v>
      </c>
    </row>
    <row r="1840" spans="2:8" x14ac:dyDescent="0.2">
      <c r="B1840" s="214" t="s">
        <v>489</v>
      </c>
      <c r="C1840" s="132"/>
      <c r="D1840" s="188"/>
      <c r="E1840" s="215" t="s">
        <v>1506</v>
      </c>
      <c r="F1840" s="215">
        <v>2</v>
      </c>
      <c r="G1840" s="216">
        <v>0.22</v>
      </c>
      <c r="H1840" s="218">
        <f>F1840*G1840</f>
        <v>0.44</v>
      </c>
    </row>
    <row r="1841" spans="2:8" x14ac:dyDescent="0.2">
      <c r="B1841" s="214" t="s">
        <v>453</v>
      </c>
      <c r="C1841" s="132"/>
      <c r="D1841" s="188"/>
      <c r="E1841" s="215" t="s">
        <v>1708</v>
      </c>
      <c r="F1841" s="215">
        <v>150</v>
      </c>
      <c r="G1841" s="216">
        <v>0.26</v>
      </c>
      <c r="H1841" s="218">
        <f>F1841*G1841</f>
        <v>39</v>
      </c>
    </row>
    <row r="1842" spans="2:8" x14ac:dyDescent="0.2">
      <c r="B1842" s="214"/>
      <c r="C1842" s="132"/>
      <c r="D1842" s="188"/>
      <c r="E1842" s="215"/>
      <c r="F1842" s="215"/>
      <c r="G1842" s="216"/>
      <c r="H1842" s="218"/>
    </row>
    <row r="1843" spans="2:8" x14ac:dyDescent="0.2">
      <c r="B1843" s="214" t="s">
        <v>1682</v>
      </c>
      <c r="C1843" s="132"/>
      <c r="D1843" s="245" t="s">
        <v>1682</v>
      </c>
      <c r="E1843" s="272" t="s">
        <v>1682</v>
      </c>
      <c r="F1843" s="215" t="s">
        <v>1682</v>
      </c>
      <c r="G1843" s="216" t="s">
        <v>1682</v>
      </c>
      <c r="H1843" s="218" t="s">
        <v>1682</v>
      </c>
    </row>
    <row r="1844" spans="2:8" x14ac:dyDescent="0.2">
      <c r="B1844" s="238" t="s">
        <v>1692</v>
      </c>
      <c r="C1844" s="239"/>
      <c r="D1844" s="240"/>
      <c r="E1844" s="240"/>
      <c r="F1844" s="240"/>
      <c r="G1844" s="239"/>
      <c r="H1844" s="241">
        <f>SUM(H1838:H1843)</f>
        <v>77.36</v>
      </c>
    </row>
    <row r="1845" spans="2:8" x14ac:dyDescent="0.2">
      <c r="B1845" s="227" t="s">
        <v>1680</v>
      </c>
      <c r="C1845" s="132"/>
      <c r="D1845" s="188"/>
      <c r="E1845" s="132"/>
      <c r="F1845" s="188"/>
      <c r="G1845" s="132"/>
      <c r="H1845" s="218"/>
    </row>
    <row r="1846" spans="2:8" ht="25.5" x14ac:dyDescent="0.2">
      <c r="B1846" s="229" t="s">
        <v>1409</v>
      </c>
      <c r="C1846" s="242"/>
      <c r="D1846" s="243"/>
      <c r="E1846" s="232" t="s">
        <v>1408</v>
      </c>
      <c r="F1846" s="231" t="s">
        <v>1679</v>
      </c>
      <c r="G1846" s="232" t="s">
        <v>1676</v>
      </c>
      <c r="H1846" s="234" t="s">
        <v>1675</v>
      </c>
    </row>
    <row r="1847" spans="2:8" x14ac:dyDescent="0.2">
      <c r="B1847" s="208" t="s">
        <v>975</v>
      </c>
      <c r="C1847" s="209"/>
      <c r="D1847" s="246"/>
      <c r="E1847" s="215" t="s">
        <v>976</v>
      </c>
      <c r="F1847" s="215">
        <v>0.25</v>
      </c>
      <c r="G1847" s="247">
        <v>5</v>
      </c>
      <c r="H1847" s="218">
        <f>F1847*G1847</f>
        <v>1.25</v>
      </c>
    </row>
    <row r="1848" spans="2:8" x14ac:dyDescent="0.2">
      <c r="B1848" s="214"/>
      <c r="C1848" s="132"/>
      <c r="D1848" s="248"/>
      <c r="E1848" s="215"/>
      <c r="F1848" s="215"/>
      <c r="G1848" s="247"/>
      <c r="H1848" s="218"/>
    </row>
    <row r="1849" spans="2:8" x14ac:dyDescent="0.2">
      <c r="B1849" s="219" t="s">
        <v>1682</v>
      </c>
      <c r="C1849" s="220"/>
      <c r="D1849" s="249"/>
      <c r="E1849" s="221" t="s">
        <v>1682</v>
      </c>
      <c r="F1849" s="221"/>
      <c r="G1849" s="222" t="s">
        <v>1682</v>
      </c>
      <c r="H1849" s="224" t="s">
        <v>1682</v>
      </c>
    </row>
    <row r="1850" spans="2:8" ht="13.5" thickBot="1" x14ac:dyDescent="0.25">
      <c r="B1850" s="250" t="s">
        <v>977</v>
      </c>
      <c r="C1850" s="251"/>
      <c r="D1850" s="252"/>
      <c r="E1850" s="252"/>
      <c r="F1850" s="252"/>
      <c r="G1850" s="251"/>
      <c r="H1850" s="253">
        <f>SUM(H1847:H1849)</f>
        <v>1.25</v>
      </c>
    </row>
    <row r="1851" spans="2:8" x14ac:dyDescent="0.2">
      <c r="B1851" s="132"/>
      <c r="C1851" s="132"/>
      <c r="D1851" s="254"/>
      <c r="E1851" s="198"/>
      <c r="F1851" s="198"/>
      <c r="G1851" s="255" t="s">
        <v>978</v>
      </c>
      <c r="H1851" s="256">
        <f>H1827+H1835+H1844+H1850</f>
        <v>118.2482</v>
      </c>
    </row>
    <row r="1852" spans="2:8" x14ac:dyDescent="0.2">
      <c r="B1852" s="132"/>
      <c r="C1852" s="132"/>
      <c r="D1852" s="257"/>
      <c r="E1852" s="239"/>
      <c r="F1852" s="239"/>
      <c r="G1852" s="258" t="s">
        <v>979</v>
      </c>
      <c r="H1852" s="241"/>
    </row>
    <row r="1853" spans="2:8" x14ac:dyDescent="0.2">
      <c r="B1853" s="132"/>
      <c r="C1853" s="132"/>
      <c r="D1853" s="257"/>
      <c r="E1853" s="239"/>
      <c r="F1853" s="239"/>
      <c r="G1853" s="258" t="s">
        <v>980</v>
      </c>
      <c r="H1853" s="241"/>
    </row>
    <row r="1854" spans="2:8" x14ac:dyDescent="0.2">
      <c r="B1854" s="132"/>
      <c r="C1854" s="132"/>
      <c r="D1854" s="257"/>
      <c r="E1854" s="239"/>
      <c r="F1854" s="239"/>
      <c r="G1854" s="259" t="s">
        <v>1670</v>
      </c>
      <c r="H1854" s="260"/>
    </row>
    <row r="1855" spans="2:8" ht="13.5" thickBot="1" x14ac:dyDescent="0.25">
      <c r="B1855" s="193"/>
      <c r="C1855" s="132"/>
      <c r="D1855" s="261"/>
      <c r="E1855" s="251"/>
      <c r="F1855" s="251"/>
      <c r="G1855" s="262" t="s">
        <v>1650</v>
      </c>
      <c r="H1855" s="263"/>
    </row>
    <row r="1856" spans="2:8" ht="15.75" x14ac:dyDescent="0.2">
      <c r="B1856" s="186" t="s">
        <v>1701</v>
      </c>
      <c r="C1856" s="132"/>
      <c r="D1856" s="189" t="s">
        <v>742</v>
      </c>
      <c r="E1856" s="132"/>
      <c r="F1856" s="132"/>
      <c r="G1856" s="188"/>
      <c r="H1856" s="132"/>
    </row>
    <row r="1857" spans="1:8" ht="15.75" x14ac:dyDescent="0.2">
      <c r="B1857" s="186" t="s">
        <v>1700</v>
      </c>
      <c r="C1857" s="189" t="s">
        <v>963</v>
      </c>
      <c r="D1857" s="132"/>
      <c r="E1857" s="132"/>
      <c r="F1857" s="132"/>
      <c r="G1857" s="190"/>
      <c r="H1857" s="191"/>
    </row>
    <row r="1858" spans="1:8" ht="14.25" x14ac:dyDescent="0.2">
      <c r="B1858" s="189"/>
      <c r="C1858" s="189"/>
      <c r="D1858" s="189"/>
      <c r="E1858" s="189"/>
      <c r="F1858" s="189"/>
      <c r="G1858" s="189"/>
      <c r="H1858" s="189"/>
    </row>
    <row r="1859" spans="1:8" ht="15.75" x14ac:dyDescent="0.2">
      <c r="B1859" s="186" t="s">
        <v>1697</v>
      </c>
      <c r="C1859" s="189"/>
      <c r="D1859" s="132"/>
      <c r="E1859" s="132"/>
      <c r="F1859" s="132"/>
      <c r="G1859" s="132"/>
      <c r="H1859" s="132"/>
    </row>
    <row r="1860" spans="1:8" ht="15" x14ac:dyDescent="0.2">
      <c r="B1860" s="192"/>
      <c r="C1860" s="189"/>
      <c r="D1860" s="189"/>
      <c r="E1860" s="189"/>
      <c r="F1860" s="189"/>
      <c r="G1860" s="189"/>
      <c r="H1860" s="189"/>
    </row>
    <row r="1861" spans="1:8" ht="14.25" x14ac:dyDescent="0.2">
      <c r="B1861" s="193" t="s">
        <v>594</v>
      </c>
      <c r="C1861" s="194" t="s">
        <v>492</v>
      </c>
      <c r="D1861" s="132"/>
      <c r="E1861" s="188"/>
      <c r="F1861" s="188"/>
      <c r="G1861" s="195" t="s">
        <v>1696</v>
      </c>
      <c r="H1861" s="189" t="s">
        <v>1506</v>
      </c>
    </row>
    <row r="1862" spans="1:8" ht="14.25" x14ac:dyDescent="0.2">
      <c r="B1862" s="196" t="s">
        <v>964</v>
      </c>
      <c r="C1862" s="280" t="s">
        <v>493</v>
      </c>
      <c r="D1862" s="132"/>
      <c r="E1862" s="132"/>
      <c r="F1862" s="132"/>
      <c r="G1862" s="132"/>
      <c r="H1862" s="132"/>
    </row>
    <row r="1863" spans="1:8" ht="15" thickBot="1" x14ac:dyDescent="0.25">
      <c r="B1863" s="187"/>
      <c r="C1863" s="187"/>
      <c r="D1863" s="189"/>
      <c r="E1863" s="189"/>
      <c r="F1863" s="189"/>
      <c r="G1863" s="189"/>
      <c r="H1863" s="189"/>
    </row>
    <row r="1864" spans="1:8" ht="13.5" thickBot="1" x14ac:dyDescent="0.25">
      <c r="B1864" s="264" t="s">
        <v>1695</v>
      </c>
      <c r="C1864" s="265"/>
      <c r="D1864" s="266"/>
      <c r="E1864" s="265"/>
      <c r="F1864" s="265"/>
      <c r="G1864" s="265"/>
      <c r="H1864" s="267"/>
    </row>
    <row r="1865" spans="1:8" ht="25.5" x14ac:dyDescent="0.2">
      <c r="B1865" s="197" t="s">
        <v>1409</v>
      </c>
      <c r="C1865" s="268"/>
      <c r="D1865" s="269" t="s">
        <v>966</v>
      </c>
      <c r="E1865" s="270" t="s">
        <v>1694</v>
      </c>
      <c r="F1865" s="270" t="s">
        <v>1693</v>
      </c>
      <c r="G1865" s="201" t="s">
        <v>1687</v>
      </c>
      <c r="H1865" s="271" t="s">
        <v>967</v>
      </c>
    </row>
    <row r="1866" spans="1:8" x14ac:dyDescent="0.2">
      <c r="B1866" s="208" t="s">
        <v>1468</v>
      </c>
      <c r="C1866" s="209"/>
      <c r="D1866" s="210">
        <v>1</v>
      </c>
      <c r="E1866" s="211">
        <v>2.5</v>
      </c>
      <c r="F1866" s="211">
        <f>D1866*E1866</f>
        <v>2.5</v>
      </c>
      <c r="G1866" s="212">
        <v>0.4</v>
      </c>
      <c r="H1866" s="213">
        <f>F1866*G1866</f>
        <v>1</v>
      </c>
    </row>
    <row r="1867" spans="1:8" x14ac:dyDescent="0.2">
      <c r="B1867" s="214" t="s">
        <v>1682</v>
      </c>
      <c r="C1867" s="132"/>
      <c r="D1867" s="215"/>
      <c r="E1867" s="216" t="s">
        <v>1682</v>
      </c>
      <c r="F1867" s="216" t="s">
        <v>1682</v>
      </c>
      <c r="G1867" s="217"/>
      <c r="H1867" s="218" t="s">
        <v>1682</v>
      </c>
    </row>
    <row r="1868" spans="1:8" x14ac:dyDescent="0.2">
      <c r="B1868" s="219" t="s">
        <v>1682</v>
      </c>
      <c r="C1868" s="220"/>
      <c r="D1868" s="221"/>
      <c r="E1868" s="222" t="s">
        <v>1682</v>
      </c>
      <c r="F1868" s="222" t="s">
        <v>1682</v>
      </c>
      <c r="G1868" s="223"/>
      <c r="H1868" s="224" t="s">
        <v>1682</v>
      </c>
    </row>
    <row r="1869" spans="1:8" x14ac:dyDescent="0.2">
      <c r="B1869" s="219" t="s">
        <v>968</v>
      </c>
      <c r="C1869" s="220"/>
      <c r="D1869" s="225"/>
      <c r="E1869" s="220"/>
      <c r="F1869" s="220"/>
      <c r="G1869" s="226"/>
      <c r="H1869" s="224">
        <f>SUM(H1866:H1868)</f>
        <v>1</v>
      </c>
    </row>
    <row r="1870" spans="1:8" x14ac:dyDescent="0.2">
      <c r="B1870" s="227" t="s">
        <v>1503</v>
      </c>
      <c r="C1870" s="132"/>
      <c r="D1870" s="188"/>
      <c r="E1870" s="132"/>
      <c r="F1870" s="132"/>
      <c r="G1870" s="228"/>
      <c r="H1870" s="218"/>
    </row>
    <row r="1871" spans="1:8" ht="25.5" x14ac:dyDescent="0.2">
      <c r="B1871" s="229" t="s">
        <v>1691</v>
      </c>
      <c r="C1871" s="230"/>
      <c r="D1871" s="231" t="s">
        <v>969</v>
      </c>
      <c r="E1871" s="232" t="s">
        <v>1689</v>
      </c>
      <c r="F1871" s="232" t="s">
        <v>1688</v>
      </c>
      <c r="G1871" s="233" t="s">
        <v>1687</v>
      </c>
      <c r="H1871" s="234" t="s">
        <v>1686</v>
      </c>
    </row>
    <row r="1872" spans="1:8" ht="14.25" x14ac:dyDescent="0.2">
      <c r="A1872">
        <v>20001</v>
      </c>
      <c r="B1872" s="235" t="s">
        <v>243</v>
      </c>
      <c r="C1872" s="132"/>
      <c r="D1872" s="236">
        <v>1</v>
      </c>
      <c r="E1872" s="237">
        <f>'BASE M-OBRA'!$D$3</f>
        <v>3.02</v>
      </c>
      <c r="F1872" s="216">
        <f>D1872*E1872</f>
        <v>3.02</v>
      </c>
      <c r="G1872" s="106">
        <f>IF($A1872=0,"",ROUND(H1872/F1872,2))</f>
        <v>0.93</v>
      </c>
      <c r="H1872" s="56">
        <f>IF($A1872=0,"",ROUND(SUM(H1873:H1876)*'BASE M-OBRA'!$D$23,2))</f>
        <v>2.81</v>
      </c>
    </row>
    <row r="1873" spans="1:9" ht="14.25" x14ac:dyDescent="0.2">
      <c r="A1873">
        <v>20017</v>
      </c>
      <c r="B1873" s="235" t="s">
        <v>1488</v>
      </c>
      <c r="C1873" s="132"/>
      <c r="D1873" s="236">
        <v>1</v>
      </c>
      <c r="E1873" s="237">
        <f>'BASE M-OBRA'!$D$19</f>
        <v>2.82</v>
      </c>
      <c r="F1873" s="216">
        <f>D1873*E1873</f>
        <v>2.82</v>
      </c>
      <c r="G1873" s="106">
        <v>2.5</v>
      </c>
      <c r="H1873" s="56">
        <f>IF($A1873=0,"",ROUND(G1873*F1873,2))</f>
        <v>7.05</v>
      </c>
    </row>
    <row r="1874" spans="1:9" ht="14.25" x14ac:dyDescent="0.2">
      <c r="A1874">
        <v>20011</v>
      </c>
      <c r="B1874" s="235" t="s">
        <v>590</v>
      </c>
      <c r="C1874" s="132"/>
      <c r="D1874" s="236">
        <v>1</v>
      </c>
      <c r="E1874" s="237">
        <f>'BASE M-OBRA'!$D$13</f>
        <v>2.79</v>
      </c>
      <c r="F1874" s="216">
        <f>D1874*E1874</f>
        <v>2.79</v>
      </c>
      <c r="G1874" s="106">
        <f>+G1873</f>
        <v>2.5</v>
      </c>
      <c r="H1874" s="56">
        <f>IF($A1874=0,"",ROUND(G1874*F1874,2))</f>
        <v>6.98</v>
      </c>
    </row>
    <row r="1875" spans="1:9" x14ac:dyDescent="0.2">
      <c r="B1875" s="235"/>
      <c r="C1875" s="132"/>
      <c r="D1875" s="236"/>
      <c r="E1875" s="237"/>
      <c r="F1875" s="216"/>
      <c r="G1875" s="217"/>
      <c r="H1875" s="218"/>
    </row>
    <row r="1876" spans="1:9" x14ac:dyDescent="0.2">
      <c r="B1876" s="219" t="s">
        <v>1682</v>
      </c>
      <c r="C1876" s="220"/>
      <c r="D1876" s="221"/>
      <c r="E1876" s="222" t="s">
        <v>1682</v>
      </c>
      <c r="F1876" s="222" t="s">
        <v>1682</v>
      </c>
      <c r="G1876" s="223"/>
      <c r="H1876" s="224" t="s">
        <v>1682</v>
      </c>
    </row>
    <row r="1877" spans="1:9" x14ac:dyDescent="0.2">
      <c r="B1877" s="238" t="s">
        <v>1681</v>
      </c>
      <c r="C1877" s="239"/>
      <c r="D1877" s="240"/>
      <c r="E1877" s="239"/>
      <c r="F1877" s="239"/>
      <c r="G1877" s="239"/>
      <c r="H1877" s="241">
        <f>SUM(H1872:H1876)</f>
        <v>16.84</v>
      </c>
      <c r="I1877">
        <v>14.33</v>
      </c>
    </row>
    <row r="1878" spans="1:9" x14ac:dyDescent="0.2">
      <c r="B1878" s="227" t="s">
        <v>1684</v>
      </c>
      <c r="C1878" s="132"/>
      <c r="D1878" s="188"/>
      <c r="E1878" s="132"/>
      <c r="F1878" s="132"/>
      <c r="G1878" s="132"/>
      <c r="H1878" s="218"/>
    </row>
    <row r="1879" spans="1:9" ht="25.5" x14ac:dyDescent="0.2">
      <c r="B1879" s="229" t="s">
        <v>1409</v>
      </c>
      <c r="C1879" s="242"/>
      <c r="D1879" s="243"/>
      <c r="E1879" s="232" t="s">
        <v>1408</v>
      </c>
      <c r="F1879" s="231" t="s">
        <v>1679</v>
      </c>
      <c r="G1879" s="232" t="s">
        <v>1683</v>
      </c>
      <c r="H1879" s="234" t="s">
        <v>1675</v>
      </c>
    </row>
    <row r="1880" spans="1:9" x14ac:dyDescent="0.2">
      <c r="B1880" s="244" t="s">
        <v>419</v>
      </c>
      <c r="C1880" s="132"/>
      <c r="D1880" s="188"/>
      <c r="E1880" s="215" t="s">
        <v>1506</v>
      </c>
      <c r="F1880" s="215">
        <v>2.5</v>
      </c>
      <c r="G1880" s="216">
        <v>2.15</v>
      </c>
      <c r="H1880" s="218">
        <f>F1880*G1880</f>
        <v>5.375</v>
      </c>
    </row>
    <row r="1881" spans="1:9" x14ac:dyDescent="0.2">
      <c r="B1881" s="214" t="s">
        <v>420</v>
      </c>
      <c r="C1881" s="132"/>
      <c r="D1881" s="188"/>
      <c r="E1881" s="215" t="s">
        <v>1506</v>
      </c>
      <c r="F1881" s="215">
        <v>3</v>
      </c>
      <c r="G1881" s="216">
        <v>0.22</v>
      </c>
      <c r="H1881" s="218">
        <f t="shared" ref="H1881:H1889" si="2">F1881*G1881</f>
        <v>0.66</v>
      </c>
    </row>
    <row r="1882" spans="1:9" x14ac:dyDescent="0.2">
      <c r="B1882" s="214" t="s">
        <v>494</v>
      </c>
      <c r="C1882" s="132"/>
      <c r="D1882" s="188"/>
      <c r="E1882" s="215" t="s">
        <v>1506</v>
      </c>
      <c r="F1882" s="215">
        <v>4</v>
      </c>
      <c r="G1882" s="216">
        <v>0.22</v>
      </c>
      <c r="H1882" s="218">
        <f t="shared" si="2"/>
        <v>0.88</v>
      </c>
    </row>
    <row r="1883" spans="1:9" x14ac:dyDescent="0.2">
      <c r="B1883" s="214" t="s">
        <v>421</v>
      </c>
      <c r="C1883" s="132"/>
      <c r="D1883" s="188"/>
      <c r="E1883" s="215" t="s">
        <v>1506</v>
      </c>
      <c r="F1883" s="215">
        <v>2</v>
      </c>
      <c r="G1883" s="216">
        <v>0.64</v>
      </c>
      <c r="H1883" s="218">
        <f t="shared" si="2"/>
        <v>1.28</v>
      </c>
    </row>
    <row r="1884" spans="1:9" x14ac:dyDescent="0.2">
      <c r="B1884" s="214" t="s">
        <v>495</v>
      </c>
      <c r="C1884" s="132"/>
      <c r="D1884" s="188"/>
      <c r="E1884" s="215" t="s">
        <v>1506</v>
      </c>
      <c r="F1884" s="215">
        <v>1</v>
      </c>
      <c r="G1884" s="216">
        <v>0.5</v>
      </c>
      <c r="H1884" s="218">
        <f t="shared" si="2"/>
        <v>0.5</v>
      </c>
    </row>
    <row r="1885" spans="1:9" x14ac:dyDescent="0.2">
      <c r="B1885" s="214" t="s">
        <v>496</v>
      </c>
      <c r="C1885" s="132"/>
      <c r="D1885" s="188"/>
      <c r="E1885" s="215" t="s">
        <v>1708</v>
      </c>
      <c r="F1885" s="215">
        <v>16</v>
      </c>
      <c r="G1885" s="216">
        <v>0.4</v>
      </c>
      <c r="H1885" s="218">
        <f t="shared" si="2"/>
        <v>6.4</v>
      </c>
    </row>
    <row r="1886" spans="1:9" x14ac:dyDescent="0.2">
      <c r="B1886" s="214" t="s">
        <v>497</v>
      </c>
      <c r="C1886" s="132"/>
      <c r="D1886" s="188"/>
      <c r="E1886" s="215" t="s">
        <v>1708</v>
      </c>
      <c r="F1886" s="215">
        <v>2</v>
      </c>
      <c r="G1886" s="216">
        <v>0.3</v>
      </c>
      <c r="H1886" s="218">
        <f t="shared" si="2"/>
        <v>0.6</v>
      </c>
    </row>
    <row r="1887" spans="1:9" x14ac:dyDescent="0.2">
      <c r="B1887" s="214" t="s">
        <v>353</v>
      </c>
      <c r="C1887" s="132"/>
      <c r="D1887" s="188"/>
      <c r="E1887" s="215" t="s">
        <v>1506</v>
      </c>
      <c r="F1887" s="215">
        <v>0.23</v>
      </c>
      <c r="G1887" s="216">
        <v>1.29</v>
      </c>
      <c r="H1887" s="218">
        <f t="shared" si="2"/>
        <v>0.29670000000000002</v>
      </c>
    </row>
    <row r="1888" spans="1:9" x14ac:dyDescent="0.2">
      <c r="B1888" s="214" t="s">
        <v>498</v>
      </c>
      <c r="C1888" s="132"/>
      <c r="D1888" s="188"/>
      <c r="E1888" s="215" t="s">
        <v>1506</v>
      </c>
      <c r="F1888" s="215">
        <v>2</v>
      </c>
      <c r="G1888" s="216">
        <v>0.6</v>
      </c>
      <c r="H1888" s="218">
        <f t="shared" si="2"/>
        <v>1.2</v>
      </c>
    </row>
    <row r="1889" spans="2:8" x14ac:dyDescent="0.2">
      <c r="B1889" s="214" t="s">
        <v>780</v>
      </c>
      <c r="C1889" s="132"/>
      <c r="D1889" s="188"/>
      <c r="E1889" s="215" t="s">
        <v>934</v>
      </c>
      <c r="F1889" s="215">
        <v>0.2</v>
      </c>
      <c r="G1889" s="216">
        <v>0.7</v>
      </c>
      <c r="H1889" s="218">
        <f t="shared" si="2"/>
        <v>0.13999999999999999</v>
      </c>
    </row>
    <row r="1890" spans="2:8" x14ac:dyDescent="0.2">
      <c r="B1890" s="214"/>
      <c r="C1890" s="132"/>
      <c r="D1890" s="188"/>
      <c r="E1890" s="272" t="s">
        <v>1682</v>
      </c>
      <c r="F1890" s="215"/>
      <c r="G1890" s="216"/>
      <c r="H1890" s="218"/>
    </row>
    <row r="1891" spans="2:8" x14ac:dyDescent="0.2">
      <c r="B1891" s="214" t="s">
        <v>1682</v>
      </c>
      <c r="C1891" s="132"/>
      <c r="D1891" s="245" t="s">
        <v>1682</v>
      </c>
      <c r="E1891" s="272" t="s">
        <v>1682</v>
      </c>
      <c r="F1891" s="215" t="s">
        <v>1682</v>
      </c>
      <c r="G1891" s="216" t="s">
        <v>1682</v>
      </c>
      <c r="H1891" s="218" t="s">
        <v>1682</v>
      </c>
    </row>
    <row r="1892" spans="2:8" x14ac:dyDescent="0.2">
      <c r="B1892" s="238" t="s">
        <v>1692</v>
      </c>
      <c r="C1892" s="239"/>
      <c r="D1892" s="240"/>
      <c r="E1892" s="240"/>
      <c r="F1892" s="240"/>
      <c r="G1892" s="239"/>
      <c r="H1892" s="241">
        <f>SUM(H1880:H1891)</f>
        <v>17.331700000000001</v>
      </c>
    </row>
    <row r="1893" spans="2:8" x14ac:dyDescent="0.2">
      <c r="B1893" s="227" t="s">
        <v>1680</v>
      </c>
      <c r="C1893" s="132"/>
      <c r="D1893" s="188"/>
      <c r="E1893" s="132"/>
      <c r="F1893" s="188"/>
      <c r="G1893" s="132"/>
      <c r="H1893" s="218"/>
    </row>
    <row r="1894" spans="2:8" ht="25.5" x14ac:dyDescent="0.2">
      <c r="B1894" s="229" t="s">
        <v>1409</v>
      </c>
      <c r="C1894" s="242"/>
      <c r="D1894" s="243"/>
      <c r="E1894" s="232" t="s">
        <v>1408</v>
      </c>
      <c r="F1894" s="231" t="s">
        <v>1679</v>
      </c>
      <c r="G1894" s="232" t="s">
        <v>1676</v>
      </c>
      <c r="H1894" s="234" t="s">
        <v>1675</v>
      </c>
    </row>
    <row r="1895" spans="2:8" x14ac:dyDescent="0.2">
      <c r="B1895" s="208" t="s">
        <v>975</v>
      </c>
      <c r="C1895" s="209"/>
      <c r="D1895" s="246"/>
      <c r="E1895" s="215" t="s">
        <v>976</v>
      </c>
      <c r="F1895" s="215">
        <v>0.25</v>
      </c>
      <c r="G1895" s="247">
        <v>5</v>
      </c>
      <c r="H1895" s="218">
        <f>F1895*G1895</f>
        <v>1.25</v>
      </c>
    </row>
    <row r="1896" spans="2:8" x14ac:dyDescent="0.2">
      <c r="B1896" s="214"/>
      <c r="C1896" s="132"/>
      <c r="D1896" s="248"/>
      <c r="E1896" s="215"/>
      <c r="F1896" s="215"/>
      <c r="G1896" s="247"/>
      <c r="H1896" s="218"/>
    </row>
    <row r="1897" spans="2:8" x14ac:dyDescent="0.2">
      <c r="B1897" s="219" t="s">
        <v>1682</v>
      </c>
      <c r="C1897" s="220"/>
      <c r="D1897" s="249"/>
      <c r="E1897" s="221" t="s">
        <v>1682</v>
      </c>
      <c r="F1897" s="221"/>
      <c r="G1897" s="222" t="s">
        <v>1682</v>
      </c>
      <c r="H1897" s="224" t="s">
        <v>1682</v>
      </c>
    </row>
    <row r="1898" spans="2:8" ht="13.5" thickBot="1" x14ac:dyDescent="0.25">
      <c r="B1898" s="250" t="s">
        <v>977</v>
      </c>
      <c r="C1898" s="251"/>
      <c r="D1898" s="252"/>
      <c r="E1898" s="252"/>
      <c r="F1898" s="252"/>
      <c r="G1898" s="251"/>
      <c r="H1898" s="253">
        <f>SUM(H1895:H1897)</f>
        <v>1.25</v>
      </c>
    </row>
    <row r="1899" spans="2:8" x14ac:dyDescent="0.2">
      <c r="B1899" s="132"/>
      <c r="C1899" s="132"/>
      <c r="D1899" s="254"/>
      <c r="E1899" s="198"/>
      <c r="F1899" s="198"/>
      <c r="G1899" s="255" t="s">
        <v>978</v>
      </c>
      <c r="H1899" s="256">
        <f>H1869+H1877+H1892+H1898</f>
        <v>36.421700000000001</v>
      </c>
    </row>
    <row r="1900" spans="2:8" x14ac:dyDescent="0.2">
      <c r="B1900" s="132"/>
      <c r="C1900" s="132"/>
      <c r="D1900" s="257"/>
      <c r="E1900" s="239"/>
      <c r="F1900" s="239"/>
      <c r="G1900" s="258" t="s">
        <v>979</v>
      </c>
      <c r="H1900" s="241"/>
    </row>
    <row r="1901" spans="2:8" x14ac:dyDescent="0.2">
      <c r="B1901" s="132"/>
      <c r="C1901" s="132"/>
      <c r="D1901" s="257"/>
      <c r="E1901" s="239"/>
      <c r="F1901" s="239"/>
      <c r="G1901" s="258" t="s">
        <v>980</v>
      </c>
      <c r="H1901" s="241"/>
    </row>
    <row r="1902" spans="2:8" x14ac:dyDescent="0.2">
      <c r="B1902" s="132"/>
      <c r="C1902" s="132"/>
      <c r="D1902" s="257"/>
      <c r="E1902" s="239"/>
      <c r="F1902" s="239"/>
      <c r="G1902" s="259" t="s">
        <v>1670</v>
      </c>
      <c r="H1902" s="260"/>
    </row>
    <row r="1903" spans="2:8" ht="13.5" thickBot="1" x14ac:dyDescent="0.25">
      <c r="B1903" s="193"/>
      <c r="C1903" s="132"/>
      <c r="D1903" s="261"/>
      <c r="E1903" s="251"/>
      <c r="F1903" s="251"/>
      <c r="G1903" s="262" t="s">
        <v>1650</v>
      </c>
      <c r="H1903" s="263"/>
    </row>
    <row r="1904" spans="2:8" ht="15.75" x14ac:dyDescent="0.2">
      <c r="B1904" s="186" t="s">
        <v>1701</v>
      </c>
      <c r="C1904" s="132"/>
      <c r="D1904" s="189" t="s">
        <v>742</v>
      </c>
      <c r="E1904" s="132"/>
      <c r="F1904" s="132"/>
      <c r="G1904" s="188"/>
      <c r="H1904" s="132"/>
    </row>
    <row r="1905" spans="1:8" ht="15.75" x14ac:dyDescent="0.2">
      <c r="B1905" s="186" t="s">
        <v>1700</v>
      </c>
      <c r="C1905" s="189" t="s">
        <v>963</v>
      </c>
      <c r="D1905" s="132"/>
      <c r="E1905" s="132"/>
      <c r="F1905" s="132"/>
      <c r="G1905" s="190"/>
      <c r="H1905" s="191"/>
    </row>
    <row r="1906" spans="1:8" ht="14.25" x14ac:dyDescent="0.2">
      <c r="B1906" s="189"/>
      <c r="C1906" s="189"/>
      <c r="D1906" s="189"/>
      <c r="E1906" s="189"/>
      <c r="F1906" s="189"/>
      <c r="G1906" s="189"/>
      <c r="H1906" s="189"/>
    </row>
    <row r="1907" spans="1:8" ht="15.75" x14ac:dyDescent="0.2">
      <c r="B1907" s="186" t="s">
        <v>1697</v>
      </c>
      <c r="C1907" s="189"/>
      <c r="D1907" s="132"/>
      <c r="E1907" s="132"/>
      <c r="F1907" s="132"/>
      <c r="G1907" s="132"/>
      <c r="H1907" s="132"/>
    </row>
    <row r="1908" spans="1:8" ht="15" x14ac:dyDescent="0.2">
      <c r="B1908" s="192"/>
      <c r="C1908" s="189"/>
      <c r="D1908" s="189"/>
      <c r="E1908" s="189"/>
      <c r="F1908" s="189"/>
      <c r="G1908" s="189"/>
      <c r="H1908" s="189"/>
    </row>
    <row r="1909" spans="1:8" ht="14.25" x14ac:dyDescent="0.2">
      <c r="B1909" s="193" t="s">
        <v>594</v>
      </c>
      <c r="C1909" s="194" t="s">
        <v>499</v>
      </c>
      <c r="D1909" s="132"/>
      <c r="E1909" s="188"/>
      <c r="F1909" s="188"/>
      <c r="G1909" s="195" t="s">
        <v>1696</v>
      </c>
      <c r="H1909" s="189" t="s">
        <v>1506</v>
      </c>
    </row>
    <row r="1910" spans="1:8" ht="14.25" x14ac:dyDescent="0.2">
      <c r="B1910" s="196" t="s">
        <v>964</v>
      </c>
      <c r="C1910" s="280" t="s">
        <v>500</v>
      </c>
      <c r="D1910" s="132"/>
      <c r="E1910" s="132"/>
      <c r="F1910" s="132"/>
      <c r="G1910" s="132"/>
      <c r="H1910" s="132"/>
    </row>
    <row r="1911" spans="1:8" ht="15" thickBot="1" x14ac:dyDescent="0.25">
      <c r="B1911" s="187"/>
      <c r="C1911" s="187"/>
      <c r="D1911" s="189"/>
      <c r="E1911" s="189"/>
      <c r="F1911" s="189"/>
      <c r="G1911" s="189"/>
      <c r="H1911" s="189"/>
    </row>
    <row r="1912" spans="1:8" ht="13.5" thickBot="1" x14ac:dyDescent="0.25">
      <c r="B1912" s="264" t="s">
        <v>1695</v>
      </c>
      <c r="C1912" s="265"/>
      <c r="D1912" s="266"/>
      <c r="E1912" s="265"/>
      <c r="F1912" s="265"/>
      <c r="G1912" s="265"/>
      <c r="H1912" s="267"/>
    </row>
    <row r="1913" spans="1:8" ht="25.5" x14ac:dyDescent="0.2">
      <c r="B1913" s="197" t="s">
        <v>1409</v>
      </c>
      <c r="C1913" s="268"/>
      <c r="D1913" s="269" t="s">
        <v>966</v>
      </c>
      <c r="E1913" s="270" t="s">
        <v>1694</v>
      </c>
      <c r="F1913" s="270" t="s">
        <v>1693</v>
      </c>
      <c r="G1913" s="201" t="s">
        <v>1687</v>
      </c>
      <c r="H1913" s="271" t="s">
        <v>967</v>
      </c>
    </row>
    <row r="1914" spans="1:8" x14ac:dyDescent="0.2">
      <c r="B1914" s="208" t="s">
        <v>1468</v>
      </c>
      <c r="C1914" s="209"/>
      <c r="D1914" s="210">
        <v>1</v>
      </c>
      <c r="E1914" s="211">
        <v>2.5</v>
      </c>
      <c r="F1914" s="211">
        <f>D1914*E1914</f>
        <v>2.5</v>
      </c>
      <c r="G1914" s="212">
        <v>0.4</v>
      </c>
      <c r="H1914" s="213">
        <f>F1914*G1914</f>
        <v>1</v>
      </c>
    </row>
    <row r="1915" spans="1:8" x14ac:dyDescent="0.2">
      <c r="B1915" s="214" t="s">
        <v>1682</v>
      </c>
      <c r="C1915" s="132"/>
      <c r="D1915" s="215"/>
      <c r="E1915" s="216" t="s">
        <v>1682</v>
      </c>
      <c r="F1915" s="216" t="s">
        <v>1682</v>
      </c>
      <c r="G1915" s="217"/>
      <c r="H1915" s="218" t="s">
        <v>1682</v>
      </c>
    </row>
    <row r="1916" spans="1:8" x14ac:dyDescent="0.2">
      <c r="B1916" s="219" t="s">
        <v>1682</v>
      </c>
      <c r="C1916" s="220"/>
      <c r="D1916" s="221"/>
      <c r="E1916" s="222" t="s">
        <v>1682</v>
      </c>
      <c r="F1916" s="222" t="s">
        <v>1682</v>
      </c>
      <c r="G1916" s="223"/>
      <c r="H1916" s="224" t="s">
        <v>1682</v>
      </c>
    </row>
    <row r="1917" spans="1:8" x14ac:dyDescent="0.2">
      <c r="B1917" s="219" t="s">
        <v>968</v>
      </c>
      <c r="C1917" s="220"/>
      <c r="D1917" s="225"/>
      <c r="E1917" s="220"/>
      <c r="F1917" s="220"/>
      <c r="G1917" s="226"/>
      <c r="H1917" s="224">
        <f>SUM(H1914:H1916)</f>
        <v>1</v>
      </c>
    </row>
    <row r="1918" spans="1:8" x14ac:dyDescent="0.2">
      <c r="B1918" s="227" t="s">
        <v>1503</v>
      </c>
      <c r="C1918" s="132"/>
      <c r="D1918" s="188"/>
      <c r="E1918" s="132"/>
      <c r="F1918" s="132"/>
      <c r="G1918" s="228"/>
      <c r="H1918" s="218"/>
    </row>
    <row r="1919" spans="1:8" ht="25.5" x14ac:dyDescent="0.2">
      <c r="B1919" s="229" t="s">
        <v>1691</v>
      </c>
      <c r="C1919" s="230"/>
      <c r="D1919" s="231" t="s">
        <v>969</v>
      </c>
      <c r="E1919" s="232" t="s">
        <v>1689</v>
      </c>
      <c r="F1919" s="232" t="s">
        <v>1688</v>
      </c>
      <c r="G1919" s="233" t="s">
        <v>1687</v>
      </c>
      <c r="H1919" s="234" t="s">
        <v>1686</v>
      </c>
    </row>
    <row r="1920" spans="1:8" ht="14.25" x14ac:dyDescent="0.2">
      <c r="A1920">
        <v>20001</v>
      </c>
      <c r="B1920" s="235" t="s">
        <v>243</v>
      </c>
      <c r="C1920" s="132"/>
      <c r="D1920" s="236">
        <v>1</v>
      </c>
      <c r="E1920" s="237">
        <f>'BASE M-OBRA'!$D$3</f>
        <v>3.02</v>
      </c>
      <c r="F1920" s="216">
        <f>D1920*E1920</f>
        <v>3.02</v>
      </c>
      <c r="G1920" s="106">
        <f>IF($A1920=0,"",ROUND(H1920/F1920,2))</f>
        <v>0.82</v>
      </c>
      <c r="H1920" s="56">
        <f>IF($A1920=0,"",ROUND(SUM(H1921:H1924)*'BASE M-OBRA'!$D$23,2))</f>
        <v>2.4700000000000002</v>
      </c>
    </row>
    <row r="1921" spans="1:9" ht="14.25" x14ac:dyDescent="0.2">
      <c r="A1921">
        <v>20017</v>
      </c>
      <c r="B1921" s="235" t="s">
        <v>1488</v>
      </c>
      <c r="C1921" s="132"/>
      <c r="D1921" s="236">
        <v>1</v>
      </c>
      <c r="E1921" s="237">
        <f>'BASE M-OBRA'!$D$19</f>
        <v>2.82</v>
      </c>
      <c r="F1921" s="216">
        <f>D1921*E1921</f>
        <v>2.82</v>
      </c>
      <c r="G1921" s="106">
        <v>2.2000000000000002</v>
      </c>
      <c r="H1921" s="56">
        <f>IF($A1921=0,"",ROUND(G1921*F1921,2))</f>
        <v>6.2</v>
      </c>
    </row>
    <row r="1922" spans="1:9" ht="14.25" x14ac:dyDescent="0.2">
      <c r="A1922">
        <v>20011</v>
      </c>
      <c r="B1922" s="235" t="s">
        <v>590</v>
      </c>
      <c r="C1922" s="132"/>
      <c r="D1922" s="236">
        <v>1</v>
      </c>
      <c r="E1922" s="237">
        <f>'BASE M-OBRA'!$D$13</f>
        <v>2.79</v>
      </c>
      <c r="F1922" s="216">
        <f>D1922*E1922</f>
        <v>2.79</v>
      </c>
      <c r="G1922" s="106">
        <f>+G1921</f>
        <v>2.2000000000000002</v>
      </c>
      <c r="H1922" s="56">
        <f>IF($A1922=0,"",ROUND(G1922*F1922,2))</f>
        <v>6.14</v>
      </c>
    </row>
    <row r="1923" spans="1:9" x14ac:dyDescent="0.2">
      <c r="B1923" s="235"/>
      <c r="C1923" s="132"/>
      <c r="D1923" s="236"/>
      <c r="E1923" s="237"/>
      <c r="F1923" s="216"/>
      <c r="G1923" s="217"/>
      <c r="H1923" s="218"/>
    </row>
    <row r="1924" spans="1:9" x14ac:dyDescent="0.2">
      <c r="B1924" s="219" t="s">
        <v>1682</v>
      </c>
      <c r="C1924" s="220"/>
      <c r="D1924" s="221"/>
      <c r="E1924" s="222" t="s">
        <v>1682</v>
      </c>
      <c r="F1924" s="222" t="s">
        <v>1682</v>
      </c>
      <c r="G1924" s="223"/>
      <c r="H1924" s="224" t="s">
        <v>1682</v>
      </c>
    </row>
    <row r="1925" spans="1:9" x14ac:dyDescent="0.2">
      <c r="B1925" s="238" t="s">
        <v>1681</v>
      </c>
      <c r="C1925" s="239"/>
      <c r="D1925" s="240"/>
      <c r="E1925" s="239"/>
      <c r="F1925" s="239"/>
      <c r="G1925" s="239"/>
      <c r="H1925" s="241">
        <f>SUM(H1920:H1924)</f>
        <v>14.809999999999999</v>
      </c>
      <c r="I1925">
        <v>12.87</v>
      </c>
    </row>
    <row r="1926" spans="1:9" x14ac:dyDescent="0.2">
      <c r="B1926" s="227" t="s">
        <v>1684</v>
      </c>
      <c r="C1926" s="132"/>
      <c r="D1926" s="188"/>
      <c r="E1926" s="132"/>
      <c r="F1926" s="132"/>
      <c r="G1926" s="132"/>
      <c r="H1926" s="218"/>
    </row>
    <row r="1927" spans="1:9" ht="25.5" x14ac:dyDescent="0.2">
      <c r="B1927" s="229" t="s">
        <v>1409</v>
      </c>
      <c r="C1927" s="242"/>
      <c r="D1927" s="243"/>
      <c r="E1927" s="232" t="s">
        <v>1408</v>
      </c>
      <c r="F1927" s="231" t="s">
        <v>1679</v>
      </c>
      <c r="G1927" s="232" t="s">
        <v>1683</v>
      </c>
      <c r="H1927" s="234" t="s">
        <v>1675</v>
      </c>
    </row>
    <row r="1928" spans="1:9" x14ac:dyDescent="0.2">
      <c r="B1928" s="244" t="s">
        <v>419</v>
      </c>
      <c r="C1928" s="132"/>
      <c r="D1928" s="188"/>
      <c r="E1928" s="215" t="s">
        <v>1506</v>
      </c>
      <c r="F1928" s="215">
        <v>4</v>
      </c>
      <c r="G1928" s="216">
        <v>2.15</v>
      </c>
      <c r="H1928" s="218">
        <f>F1928*G1928</f>
        <v>8.6</v>
      </c>
    </row>
    <row r="1929" spans="1:9" x14ac:dyDescent="0.2">
      <c r="B1929" s="214" t="s">
        <v>420</v>
      </c>
      <c r="C1929" s="132"/>
      <c r="D1929" s="188"/>
      <c r="E1929" s="215" t="s">
        <v>1506</v>
      </c>
      <c r="F1929" s="215">
        <v>4</v>
      </c>
      <c r="G1929" s="216">
        <v>0.22</v>
      </c>
      <c r="H1929" s="218">
        <f t="shared" ref="H1929:H1935" si="3">F1929*G1929</f>
        <v>0.88</v>
      </c>
    </row>
    <row r="1930" spans="1:9" x14ac:dyDescent="0.2">
      <c r="B1930" s="214" t="s">
        <v>494</v>
      </c>
      <c r="C1930" s="132"/>
      <c r="D1930" s="188"/>
      <c r="E1930" s="215" t="s">
        <v>1506</v>
      </c>
      <c r="F1930" s="215">
        <v>2</v>
      </c>
      <c r="G1930" s="216">
        <v>0.22</v>
      </c>
      <c r="H1930" s="218">
        <f t="shared" si="3"/>
        <v>0.44</v>
      </c>
    </row>
    <row r="1931" spans="1:9" x14ac:dyDescent="0.2">
      <c r="B1931" s="214" t="s">
        <v>421</v>
      </c>
      <c r="C1931" s="132"/>
      <c r="D1931" s="188"/>
      <c r="E1931" s="215" t="s">
        <v>1506</v>
      </c>
      <c r="F1931" s="215">
        <v>2</v>
      </c>
      <c r="G1931" s="216">
        <v>0.64</v>
      </c>
      <c r="H1931" s="218">
        <f t="shared" si="3"/>
        <v>1.28</v>
      </c>
    </row>
    <row r="1932" spans="1:9" x14ac:dyDescent="0.2">
      <c r="B1932" s="214" t="s">
        <v>501</v>
      </c>
      <c r="C1932" s="132"/>
      <c r="D1932" s="188"/>
      <c r="E1932" s="215" t="s">
        <v>1506</v>
      </c>
      <c r="F1932" s="215">
        <v>1</v>
      </c>
      <c r="G1932" s="216">
        <v>0.35</v>
      </c>
      <c r="H1932" s="218">
        <f t="shared" si="3"/>
        <v>0.35</v>
      </c>
    </row>
    <row r="1933" spans="1:9" x14ac:dyDescent="0.2">
      <c r="B1933" s="214" t="s">
        <v>496</v>
      </c>
      <c r="C1933" s="132"/>
      <c r="D1933" s="188"/>
      <c r="E1933" s="215" t="s">
        <v>1708</v>
      </c>
      <c r="F1933" s="215">
        <v>24</v>
      </c>
      <c r="G1933" s="216">
        <v>0.4</v>
      </c>
      <c r="H1933" s="218">
        <f t="shared" si="3"/>
        <v>9.6000000000000014</v>
      </c>
    </row>
    <row r="1934" spans="1:9" x14ac:dyDescent="0.2">
      <c r="B1934" s="214" t="s">
        <v>502</v>
      </c>
      <c r="C1934" s="132"/>
      <c r="D1934" s="188"/>
      <c r="E1934" s="215" t="s">
        <v>1708</v>
      </c>
      <c r="F1934" s="215">
        <v>12</v>
      </c>
      <c r="G1934" s="216">
        <v>0.25</v>
      </c>
      <c r="H1934" s="218">
        <f t="shared" si="3"/>
        <v>3</v>
      </c>
    </row>
    <row r="1935" spans="1:9" x14ac:dyDescent="0.2">
      <c r="B1935" s="214" t="s">
        <v>503</v>
      </c>
      <c r="C1935" s="132"/>
      <c r="D1935" s="188"/>
      <c r="E1935" s="215" t="s">
        <v>1506</v>
      </c>
      <c r="F1935" s="215">
        <v>1</v>
      </c>
      <c r="G1935" s="216">
        <v>1.6</v>
      </c>
      <c r="H1935" s="218">
        <f t="shared" si="3"/>
        <v>1.6</v>
      </c>
    </row>
    <row r="1936" spans="1:9" x14ac:dyDescent="0.2">
      <c r="B1936" s="214"/>
      <c r="C1936" s="132"/>
      <c r="D1936" s="188"/>
      <c r="E1936" s="215"/>
      <c r="F1936" s="215"/>
      <c r="G1936" s="216"/>
      <c r="H1936" s="218"/>
    </row>
    <row r="1937" spans="2:8" x14ac:dyDescent="0.2">
      <c r="B1937" s="214" t="s">
        <v>1682</v>
      </c>
      <c r="C1937" s="132"/>
      <c r="D1937" s="245" t="s">
        <v>1682</v>
      </c>
      <c r="E1937" s="272" t="s">
        <v>1682</v>
      </c>
      <c r="F1937" s="215" t="s">
        <v>1682</v>
      </c>
      <c r="G1937" s="216" t="s">
        <v>1682</v>
      </c>
      <c r="H1937" s="218" t="s">
        <v>1682</v>
      </c>
    </row>
    <row r="1938" spans="2:8" x14ac:dyDescent="0.2">
      <c r="B1938" s="238" t="s">
        <v>1692</v>
      </c>
      <c r="C1938" s="239"/>
      <c r="D1938" s="240"/>
      <c r="E1938" s="240"/>
      <c r="F1938" s="240"/>
      <c r="G1938" s="239"/>
      <c r="H1938" s="241">
        <f>SUM(H1928:H1937)</f>
        <v>25.75</v>
      </c>
    </row>
    <row r="1939" spans="2:8" x14ac:dyDescent="0.2">
      <c r="B1939" s="227" t="s">
        <v>1680</v>
      </c>
      <c r="C1939" s="132"/>
      <c r="D1939" s="188"/>
      <c r="E1939" s="132"/>
      <c r="F1939" s="188"/>
      <c r="G1939" s="132"/>
      <c r="H1939" s="218"/>
    </row>
    <row r="1940" spans="2:8" ht="25.5" x14ac:dyDescent="0.2">
      <c r="B1940" s="229" t="s">
        <v>1409</v>
      </c>
      <c r="C1940" s="242"/>
      <c r="D1940" s="243"/>
      <c r="E1940" s="232" t="s">
        <v>1408</v>
      </c>
      <c r="F1940" s="231" t="s">
        <v>1679</v>
      </c>
      <c r="G1940" s="232" t="s">
        <v>1676</v>
      </c>
      <c r="H1940" s="234" t="s">
        <v>1675</v>
      </c>
    </row>
    <row r="1941" spans="2:8" x14ac:dyDescent="0.2">
      <c r="B1941" s="208" t="s">
        <v>975</v>
      </c>
      <c r="C1941" s="209"/>
      <c r="D1941" s="246"/>
      <c r="E1941" s="215" t="s">
        <v>976</v>
      </c>
      <c r="F1941" s="215">
        <v>0.25</v>
      </c>
      <c r="G1941" s="247">
        <v>5</v>
      </c>
      <c r="H1941" s="218">
        <f>F1941*G1941</f>
        <v>1.25</v>
      </c>
    </row>
    <row r="1942" spans="2:8" x14ac:dyDescent="0.2">
      <c r="B1942" s="214"/>
      <c r="C1942" s="132"/>
      <c r="D1942" s="248"/>
      <c r="E1942" s="215"/>
      <c r="F1942" s="215"/>
      <c r="G1942" s="247"/>
      <c r="H1942" s="218"/>
    </row>
    <row r="1943" spans="2:8" x14ac:dyDescent="0.2">
      <c r="B1943" s="219" t="s">
        <v>1682</v>
      </c>
      <c r="C1943" s="220"/>
      <c r="D1943" s="249"/>
      <c r="E1943" s="221" t="s">
        <v>1682</v>
      </c>
      <c r="F1943" s="221"/>
      <c r="G1943" s="222" t="s">
        <v>1682</v>
      </c>
      <c r="H1943" s="224" t="s">
        <v>1682</v>
      </c>
    </row>
    <row r="1944" spans="2:8" ht="13.5" thickBot="1" x14ac:dyDescent="0.25">
      <c r="B1944" s="250" t="s">
        <v>977</v>
      </c>
      <c r="C1944" s="251"/>
      <c r="D1944" s="252"/>
      <c r="E1944" s="252"/>
      <c r="F1944" s="252"/>
      <c r="G1944" s="251"/>
      <c r="H1944" s="253">
        <f>SUM(H1941:H1943)</f>
        <v>1.25</v>
      </c>
    </row>
    <row r="1945" spans="2:8" x14ac:dyDescent="0.2">
      <c r="B1945" s="132"/>
      <c r="C1945" s="132"/>
      <c r="D1945" s="254"/>
      <c r="E1945" s="198"/>
      <c r="F1945" s="198"/>
      <c r="G1945" s="255" t="s">
        <v>978</v>
      </c>
      <c r="H1945" s="256">
        <f>H1917+H1925+H1938+H1944</f>
        <v>42.81</v>
      </c>
    </row>
    <row r="1946" spans="2:8" x14ac:dyDescent="0.2">
      <c r="B1946" s="132"/>
      <c r="C1946" s="132"/>
      <c r="D1946" s="257"/>
      <c r="E1946" s="239"/>
      <c r="F1946" s="239"/>
      <c r="G1946" s="258" t="s">
        <v>979</v>
      </c>
      <c r="H1946" s="241"/>
    </row>
    <row r="1947" spans="2:8" x14ac:dyDescent="0.2">
      <c r="B1947" s="132"/>
      <c r="C1947" s="132"/>
      <c r="D1947" s="257"/>
      <c r="E1947" s="239"/>
      <c r="F1947" s="239"/>
      <c r="G1947" s="258" t="s">
        <v>980</v>
      </c>
      <c r="H1947" s="241"/>
    </row>
    <row r="1948" spans="2:8" x14ac:dyDescent="0.2">
      <c r="B1948" s="132"/>
      <c r="C1948" s="132"/>
      <c r="D1948" s="257"/>
      <c r="E1948" s="239"/>
      <c r="F1948" s="239"/>
      <c r="G1948" s="259" t="s">
        <v>1670</v>
      </c>
      <c r="H1948" s="260"/>
    </row>
    <row r="1949" spans="2:8" ht="13.5" thickBot="1" x14ac:dyDescent="0.25">
      <c r="B1949" s="193"/>
      <c r="C1949" s="132"/>
      <c r="D1949" s="261"/>
      <c r="E1949" s="251"/>
      <c r="F1949" s="251"/>
      <c r="G1949" s="262" t="s">
        <v>1650</v>
      </c>
      <c r="H1949" s="263"/>
    </row>
    <row r="1950" spans="2:8" ht="15.75" x14ac:dyDescent="0.2">
      <c r="B1950" s="186" t="s">
        <v>1701</v>
      </c>
      <c r="C1950" s="132"/>
      <c r="D1950" s="189" t="s">
        <v>742</v>
      </c>
      <c r="E1950" s="132"/>
      <c r="F1950" s="132"/>
      <c r="G1950" s="188"/>
      <c r="H1950" s="132"/>
    </row>
    <row r="1951" spans="2:8" ht="15.75" x14ac:dyDescent="0.2">
      <c r="B1951" s="186" t="s">
        <v>1700</v>
      </c>
      <c r="C1951" s="189" t="s">
        <v>963</v>
      </c>
      <c r="D1951" s="132"/>
      <c r="E1951" s="132"/>
      <c r="F1951" s="132"/>
      <c r="G1951" s="190"/>
      <c r="H1951" s="191"/>
    </row>
    <row r="1952" spans="2:8" ht="14.25" x14ac:dyDescent="0.2">
      <c r="B1952" s="189"/>
      <c r="C1952" s="189"/>
      <c r="D1952" s="189"/>
      <c r="E1952" s="189"/>
      <c r="F1952" s="189"/>
      <c r="G1952" s="189"/>
      <c r="H1952" s="189"/>
    </row>
    <row r="1953" spans="2:8" ht="15.75" x14ac:dyDescent="0.2">
      <c r="B1953" s="186" t="s">
        <v>1697</v>
      </c>
      <c r="C1953" s="189"/>
      <c r="D1953" s="132"/>
      <c r="E1953" s="132"/>
      <c r="F1953" s="132"/>
      <c r="G1953" s="132"/>
      <c r="H1953" s="132"/>
    </row>
    <row r="1954" spans="2:8" ht="15" x14ac:dyDescent="0.2">
      <c r="B1954" s="192"/>
      <c r="C1954" s="189"/>
      <c r="D1954" s="189"/>
      <c r="E1954" s="189"/>
      <c r="F1954" s="189"/>
      <c r="G1954" s="189"/>
      <c r="H1954" s="189"/>
    </row>
    <row r="1955" spans="2:8" ht="14.25" x14ac:dyDescent="0.2">
      <c r="B1955" s="193" t="s">
        <v>594</v>
      </c>
      <c r="C1955" s="194" t="s">
        <v>504</v>
      </c>
      <c r="D1955" s="132"/>
      <c r="E1955" s="188"/>
      <c r="F1955" s="188"/>
      <c r="G1955" s="195" t="s">
        <v>1696</v>
      </c>
      <c r="H1955" s="189" t="s">
        <v>1506</v>
      </c>
    </row>
    <row r="1956" spans="2:8" ht="14.25" x14ac:dyDescent="0.2">
      <c r="B1956" s="196" t="s">
        <v>964</v>
      </c>
      <c r="C1956" s="194" t="s">
        <v>505</v>
      </c>
      <c r="D1956" s="132"/>
      <c r="E1956" s="132"/>
      <c r="F1956" s="132"/>
      <c r="G1956" s="132"/>
      <c r="H1956" s="132"/>
    </row>
    <row r="1957" spans="2:8" ht="15" thickBot="1" x14ac:dyDescent="0.25">
      <c r="B1957" s="187"/>
      <c r="C1957" s="187"/>
      <c r="D1957" s="189"/>
      <c r="E1957" s="189"/>
      <c r="F1957" s="189"/>
      <c r="G1957" s="189"/>
      <c r="H1957" s="189"/>
    </row>
    <row r="1958" spans="2:8" ht="13.5" thickBot="1" x14ac:dyDescent="0.25">
      <c r="B1958" s="264" t="s">
        <v>1695</v>
      </c>
      <c r="C1958" s="265"/>
      <c r="D1958" s="266"/>
      <c r="E1958" s="265"/>
      <c r="F1958" s="265"/>
      <c r="G1958" s="265"/>
      <c r="H1958" s="267"/>
    </row>
    <row r="1959" spans="2:8" ht="25.5" x14ac:dyDescent="0.2">
      <c r="B1959" s="197" t="s">
        <v>1409</v>
      </c>
      <c r="C1959" s="268"/>
      <c r="D1959" s="269" t="s">
        <v>966</v>
      </c>
      <c r="E1959" s="270" t="s">
        <v>1694</v>
      </c>
      <c r="F1959" s="270" t="s">
        <v>1693</v>
      </c>
      <c r="G1959" s="201" t="s">
        <v>1687</v>
      </c>
      <c r="H1959" s="271" t="s">
        <v>967</v>
      </c>
    </row>
    <row r="1960" spans="2:8" x14ac:dyDescent="0.2">
      <c r="B1960" s="208" t="s">
        <v>1468</v>
      </c>
      <c r="C1960" s="209"/>
      <c r="D1960" s="210">
        <v>1</v>
      </c>
      <c r="E1960" s="211">
        <v>2.5</v>
      </c>
      <c r="F1960" s="211">
        <f>D1960*E1960</f>
        <v>2.5</v>
      </c>
      <c r="G1960" s="212">
        <v>0.4</v>
      </c>
      <c r="H1960" s="213">
        <f>F1960*G1960</f>
        <v>1</v>
      </c>
    </row>
    <row r="1961" spans="2:8" x14ac:dyDescent="0.2">
      <c r="B1961" s="214" t="s">
        <v>1682</v>
      </c>
      <c r="C1961" s="132"/>
      <c r="D1961" s="215"/>
      <c r="E1961" s="216" t="s">
        <v>1682</v>
      </c>
      <c r="F1961" s="216" t="s">
        <v>1682</v>
      </c>
      <c r="G1961" s="217"/>
      <c r="H1961" s="218" t="s">
        <v>1682</v>
      </c>
    </row>
    <row r="1962" spans="2:8" x14ac:dyDescent="0.2">
      <c r="B1962" s="219" t="s">
        <v>1682</v>
      </c>
      <c r="C1962" s="220"/>
      <c r="D1962" s="221"/>
      <c r="E1962" s="222" t="s">
        <v>1682</v>
      </c>
      <c r="F1962" s="222" t="s">
        <v>1682</v>
      </c>
      <c r="G1962" s="223"/>
      <c r="H1962" s="224" t="s">
        <v>1682</v>
      </c>
    </row>
    <row r="1963" spans="2:8" x14ac:dyDescent="0.2">
      <c r="B1963" s="219" t="s">
        <v>968</v>
      </c>
      <c r="C1963" s="220"/>
      <c r="D1963" s="225"/>
      <c r="E1963" s="220"/>
      <c r="F1963" s="220"/>
      <c r="G1963" s="226"/>
      <c r="H1963" s="224">
        <f>SUM(H1960:H1962)</f>
        <v>1</v>
      </c>
    </row>
    <row r="1964" spans="2:8" x14ac:dyDescent="0.2">
      <c r="B1964" s="227" t="s">
        <v>1503</v>
      </c>
      <c r="C1964" s="132"/>
      <c r="D1964" s="188"/>
      <c r="E1964" s="132"/>
      <c r="F1964" s="132"/>
      <c r="G1964" s="228"/>
      <c r="H1964" s="218"/>
    </row>
    <row r="1965" spans="2:8" ht="25.5" x14ac:dyDescent="0.2">
      <c r="B1965" s="229" t="s">
        <v>1691</v>
      </c>
      <c r="C1965" s="230"/>
      <c r="D1965" s="231" t="s">
        <v>969</v>
      </c>
      <c r="E1965" s="232" t="s">
        <v>1689</v>
      </c>
      <c r="F1965" s="232" t="s">
        <v>1688</v>
      </c>
      <c r="G1965" s="233" t="s">
        <v>1687</v>
      </c>
      <c r="H1965" s="234" t="s">
        <v>1686</v>
      </c>
    </row>
    <row r="1966" spans="2:8" x14ac:dyDescent="0.2">
      <c r="B1966" s="235" t="s">
        <v>243</v>
      </c>
      <c r="C1966" s="132"/>
      <c r="D1966" s="236">
        <v>1</v>
      </c>
      <c r="E1966" s="237">
        <v>2.13</v>
      </c>
      <c r="F1966" s="216">
        <f>D1966*E1966</f>
        <v>2.13</v>
      </c>
      <c r="G1966" s="217">
        <v>2.79</v>
      </c>
      <c r="H1966" s="218">
        <f>F1966*G1966</f>
        <v>5.9426999999999994</v>
      </c>
    </row>
    <row r="1967" spans="2:8" x14ac:dyDescent="0.2">
      <c r="B1967" s="235" t="s">
        <v>1488</v>
      </c>
      <c r="C1967" s="132"/>
      <c r="D1967" s="236">
        <v>1</v>
      </c>
      <c r="E1967" s="237">
        <v>2.13</v>
      </c>
      <c r="F1967" s="216">
        <f>D1967*E1967</f>
        <v>2.13</v>
      </c>
      <c r="G1967" s="217">
        <v>2.0699999999999998</v>
      </c>
      <c r="H1967" s="218">
        <f>F1967*G1967</f>
        <v>4.4090999999999996</v>
      </c>
    </row>
    <row r="1968" spans="2:8" x14ac:dyDescent="0.2">
      <c r="B1968" s="235" t="s">
        <v>590</v>
      </c>
      <c r="C1968" s="132"/>
      <c r="D1968" s="236">
        <v>1</v>
      </c>
      <c r="E1968" s="237">
        <v>2.13</v>
      </c>
      <c r="F1968" s="216">
        <f>D1968*E1968</f>
        <v>2.13</v>
      </c>
      <c r="G1968" s="217">
        <v>1.47</v>
      </c>
      <c r="H1968" s="218">
        <f>F1968*G1968</f>
        <v>3.1311</v>
      </c>
    </row>
    <row r="1969" spans="2:8" x14ac:dyDescent="0.2">
      <c r="B1969" s="235"/>
      <c r="C1969" s="132"/>
      <c r="D1969" s="236"/>
      <c r="E1969" s="237"/>
      <c r="F1969" s="216"/>
      <c r="G1969" s="217"/>
      <c r="H1969" s="218"/>
    </row>
    <row r="1970" spans="2:8" x14ac:dyDescent="0.2">
      <c r="B1970" s="219" t="s">
        <v>1682</v>
      </c>
      <c r="C1970" s="220"/>
      <c r="D1970" s="221"/>
      <c r="E1970" s="222" t="s">
        <v>1682</v>
      </c>
      <c r="F1970" s="222" t="s">
        <v>1682</v>
      </c>
      <c r="G1970" s="223"/>
      <c r="H1970" s="224" t="s">
        <v>1682</v>
      </c>
    </row>
    <row r="1971" spans="2:8" x14ac:dyDescent="0.2">
      <c r="B1971" s="238" t="s">
        <v>1681</v>
      </c>
      <c r="C1971" s="239"/>
      <c r="D1971" s="240"/>
      <c r="E1971" s="239"/>
      <c r="F1971" s="239"/>
      <c r="G1971" s="239"/>
      <c r="H1971" s="241">
        <f>SUM(H1966:H1970)</f>
        <v>13.482899999999999</v>
      </c>
    </row>
    <row r="1972" spans="2:8" x14ac:dyDescent="0.2">
      <c r="B1972" s="227" t="s">
        <v>1684</v>
      </c>
      <c r="C1972" s="132"/>
      <c r="D1972" s="188"/>
      <c r="E1972" s="132"/>
      <c r="F1972" s="132"/>
      <c r="G1972" s="132"/>
      <c r="H1972" s="218"/>
    </row>
    <row r="1973" spans="2:8" ht="25.5" x14ac:dyDescent="0.2">
      <c r="B1973" s="229" t="s">
        <v>1409</v>
      </c>
      <c r="C1973" s="242"/>
      <c r="D1973" s="243"/>
      <c r="E1973" s="232" t="s">
        <v>1408</v>
      </c>
      <c r="F1973" s="231" t="s">
        <v>1679</v>
      </c>
      <c r="G1973" s="232" t="s">
        <v>1683</v>
      </c>
      <c r="H1973" s="234" t="s">
        <v>1675</v>
      </c>
    </row>
    <row r="1974" spans="2:8" x14ac:dyDescent="0.2">
      <c r="B1974" s="244" t="s">
        <v>419</v>
      </c>
      <c r="C1974" s="132"/>
      <c r="D1974" s="188"/>
      <c r="E1974" s="215" t="s">
        <v>1506</v>
      </c>
      <c r="F1974" s="215">
        <v>3.5</v>
      </c>
      <c r="G1974" s="216">
        <v>2.15</v>
      </c>
      <c r="H1974" s="218">
        <f>F1974*G1974</f>
        <v>7.5249999999999995</v>
      </c>
    </row>
    <row r="1975" spans="2:8" x14ac:dyDescent="0.2">
      <c r="B1975" s="214" t="s">
        <v>420</v>
      </c>
      <c r="C1975" s="132"/>
      <c r="D1975" s="188"/>
      <c r="E1975" s="215" t="s">
        <v>1506</v>
      </c>
      <c r="F1975" s="215">
        <v>4</v>
      </c>
      <c r="G1975" s="216">
        <v>0.22</v>
      </c>
      <c r="H1975" s="218">
        <f t="shared" ref="H1975:H1981" si="4">F1975*G1975</f>
        <v>0.88</v>
      </c>
    </row>
    <row r="1976" spans="2:8" x14ac:dyDescent="0.2">
      <c r="B1976" s="214" t="s">
        <v>494</v>
      </c>
      <c r="C1976" s="132"/>
      <c r="D1976" s="188"/>
      <c r="E1976" s="215" t="s">
        <v>1506</v>
      </c>
      <c r="F1976" s="215">
        <v>2</v>
      </c>
      <c r="G1976" s="216">
        <v>0.22</v>
      </c>
      <c r="H1976" s="218">
        <f t="shared" si="4"/>
        <v>0.44</v>
      </c>
    </row>
    <row r="1977" spans="2:8" x14ac:dyDescent="0.2">
      <c r="B1977" s="214" t="s">
        <v>421</v>
      </c>
      <c r="C1977" s="132"/>
      <c r="D1977" s="188"/>
      <c r="E1977" s="215" t="s">
        <v>1506</v>
      </c>
      <c r="F1977" s="215">
        <v>2</v>
      </c>
      <c r="G1977" s="216">
        <v>0.62</v>
      </c>
      <c r="H1977" s="218">
        <f t="shared" si="4"/>
        <v>1.24</v>
      </c>
    </row>
    <row r="1978" spans="2:8" x14ac:dyDescent="0.2">
      <c r="B1978" s="214" t="s">
        <v>501</v>
      </c>
      <c r="C1978" s="132"/>
      <c r="D1978" s="188"/>
      <c r="E1978" s="215" t="s">
        <v>1506</v>
      </c>
      <c r="F1978" s="215">
        <v>1</v>
      </c>
      <c r="G1978" s="216">
        <v>0.35</v>
      </c>
      <c r="H1978" s="218">
        <f t="shared" si="4"/>
        <v>0.35</v>
      </c>
    </row>
    <row r="1979" spans="2:8" x14ac:dyDescent="0.2">
      <c r="B1979" s="214" t="s">
        <v>506</v>
      </c>
      <c r="C1979" s="132"/>
      <c r="D1979" s="188"/>
      <c r="E1979" s="215" t="s">
        <v>1708</v>
      </c>
      <c r="F1979" s="215">
        <v>23</v>
      </c>
      <c r="G1979" s="216">
        <v>0.4</v>
      </c>
      <c r="H1979" s="218">
        <f t="shared" si="4"/>
        <v>9.2000000000000011</v>
      </c>
    </row>
    <row r="1980" spans="2:8" x14ac:dyDescent="0.2">
      <c r="B1980" s="214" t="s">
        <v>507</v>
      </c>
      <c r="C1980" s="132"/>
      <c r="D1980" s="188"/>
      <c r="E1980" s="215" t="s">
        <v>1708</v>
      </c>
      <c r="F1980" s="215">
        <v>11.5</v>
      </c>
      <c r="G1980" s="216">
        <v>0.25</v>
      </c>
      <c r="H1980" s="218">
        <f t="shared" si="4"/>
        <v>2.875</v>
      </c>
    </row>
    <row r="1981" spans="2:8" x14ac:dyDescent="0.2">
      <c r="B1981" s="214" t="s">
        <v>508</v>
      </c>
      <c r="C1981" s="132"/>
      <c r="D1981" s="188"/>
      <c r="E1981" s="215" t="s">
        <v>1506</v>
      </c>
      <c r="F1981" s="215">
        <v>1</v>
      </c>
      <c r="G1981" s="216">
        <v>12.19</v>
      </c>
      <c r="H1981" s="218">
        <f t="shared" si="4"/>
        <v>12.19</v>
      </c>
    </row>
    <row r="1982" spans="2:8" x14ac:dyDescent="0.2">
      <c r="B1982" s="214" t="s">
        <v>509</v>
      </c>
      <c r="C1982" s="132"/>
      <c r="D1982" s="188"/>
      <c r="E1982" s="215"/>
      <c r="F1982" s="215"/>
      <c r="G1982" s="216"/>
      <c r="H1982" s="218"/>
    </row>
    <row r="1983" spans="2:8" x14ac:dyDescent="0.2">
      <c r="B1983" s="214"/>
      <c r="C1983" s="132"/>
      <c r="D1983" s="188"/>
      <c r="E1983" s="215"/>
      <c r="F1983" s="215"/>
      <c r="G1983" s="216"/>
      <c r="H1983" s="218"/>
    </row>
    <row r="1984" spans="2:8" x14ac:dyDescent="0.2">
      <c r="B1984" s="214" t="s">
        <v>1682</v>
      </c>
      <c r="C1984" s="132"/>
      <c r="D1984" s="245" t="s">
        <v>1682</v>
      </c>
      <c r="E1984" s="272" t="s">
        <v>1682</v>
      </c>
      <c r="F1984" s="215" t="s">
        <v>1682</v>
      </c>
      <c r="G1984" s="216" t="s">
        <v>1682</v>
      </c>
      <c r="H1984" s="218" t="s">
        <v>1682</v>
      </c>
    </row>
    <row r="1985" spans="2:8" x14ac:dyDescent="0.2">
      <c r="B1985" s="238" t="s">
        <v>1692</v>
      </c>
      <c r="C1985" s="239"/>
      <c r="D1985" s="240"/>
      <c r="E1985" s="240"/>
      <c r="F1985" s="240"/>
      <c r="G1985" s="239"/>
      <c r="H1985" s="241">
        <f>SUM(H1974:H1984)</f>
        <v>34.699999999999996</v>
      </c>
    </row>
    <row r="1986" spans="2:8" x14ac:dyDescent="0.2">
      <c r="B1986" s="227" t="s">
        <v>1680</v>
      </c>
      <c r="C1986" s="132"/>
      <c r="D1986" s="188"/>
      <c r="E1986" s="132"/>
      <c r="F1986" s="188"/>
      <c r="G1986" s="132"/>
      <c r="H1986" s="218"/>
    </row>
    <row r="1987" spans="2:8" ht="25.5" x14ac:dyDescent="0.2">
      <c r="B1987" s="229" t="s">
        <v>1409</v>
      </c>
      <c r="C1987" s="242"/>
      <c r="D1987" s="243"/>
      <c r="E1987" s="232" t="s">
        <v>1408</v>
      </c>
      <c r="F1987" s="231" t="s">
        <v>1679</v>
      </c>
      <c r="G1987" s="232" t="s">
        <v>1676</v>
      </c>
      <c r="H1987" s="234" t="s">
        <v>1675</v>
      </c>
    </row>
    <row r="1988" spans="2:8" x14ac:dyDescent="0.2">
      <c r="B1988" s="208" t="s">
        <v>975</v>
      </c>
      <c r="C1988" s="209"/>
      <c r="D1988" s="246"/>
      <c r="E1988" s="215" t="s">
        <v>976</v>
      </c>
      <c r="F1988" s="215">
        <v>0.25</v>
      </c>
      <c r="G1988" s="247">
        <v>5</v>
      </c>
      <c r="H1988" s="218">
        <f>F1988*G1988</f>
        <v>1.25</v>
      </c>
    </row>
    <row r="1989" spans="2:8" x14ac:dyDescent="0.2">
      <c r="B1989" s="214"/>
      <c r="C1989" s="132"/>
      <c r="D1989" s="248"/>
      <c r="E1989" s="215"/>
      <c r="F1989" s="215"/>
      <c r="G1989" s="247"/>
      <c r="H1989" s="218"/>
    </row>
    <row r="1990" spans="2:8" x14ac:dyDescent="0.2">
      <c r="B1990" s="219" t="s">
        <v>1682</v>
      </c>
      <c r="C1990" s="220"/>
      <c r="D1990" s="249"/>
      <c r="E1990" s="221" t="s">
        <v>1682</v>
      </c>
      <c r="F1990" s="221"/>
      <c r="G1990" s="222" t="s">
        <v>1682</v>
      </c>
      <c r="H1990" s="224" t="s">
        <v>1682</v>
      </c>
    </row>
    <row r="1991" spans="2:8" ht="13.5" thickBot="1" x14ac:dyDescent="0.25">
      <c r="B1991" s="250" t="s">
        <v>977</v>
      </c>
      <c r="C1991" s="251"/>
      <c r="D1991" s="252"/>
      <c r="E1991" s="252"/>
      <c r="F1991" s="252"/>
      <c r="G1991" s="251"/>
      <c r="H1991" s="253">
        <f>SUM(H1988:H1990)</f>
        <v>1.25</v>
      </c>
    </row>
    <row r="1992" spans="2:8" x14ac:dyDescent="0.2">
      <c r="B1992" s="132"/>
      <c r="C1992" s="132"/>
      <c r="D1992" s="254"/>
      <c r="E1992" s="198"/>
      <c r="F1992" s="198"/>
      <c r="G1992" s="255" t="s">
        <v>978</v>
      </c>
      <c r="H1992" s="256">
        <f>H1963+H1971+H1985+H1991</f>
        <v>50.432899999999997</v>
      </c>
    </row>
    <row r="1993" spans="2:8" x14ac:dyDescent="0.2">
      <c r="B1993" s="132"/>
      <c r="C1993" s="132"/>
      <c r="D1993" s="257"/>
      <c r="E1993" s="239"/>
      <c r="F1993" s="239"/>
      <c r="G1993" s="258" t="s">
        <v>979</v>
      </c>
      <c r="H1993" s="241"/>
    </row>
    <row r="1994" spans="2:8" x14ac:dyDescent="0.2">
      <c r="B1994" s="132"/>
      <c r="C1994" s="132"/>
      <c r="D1994" s="257"/>
      <c r="E1994" s="239"/>
      <c r="F1994" s="239"/>
      <c r="G1994" s="258" t="s">
        <v>980</v>
      </c>
      <c r="H1994" s="241"/>
    </row>
    <row r="1995" spans="2:8" x14ac:dyDescent="0.2">
      <c r="B1995" s="132"/>
      <c r="C1995" s="132"/>
      <c r="D1995" s="257"/>
      <c r="E1995" s="239"/>
      <c r="F1995" s="239"/>
      <c r="G1995" s="259" t="s">
        <v>1670</v>
      </c>
      <c r="H1995" s="260"/>
    </row>
    <row r="1996" spans="2:8" ht="13.5" thickBot="1" x14ac:dyDescent="0.25">
      <c r="B1996" s="193"/>
      <c r="C1996" s="132"/>
      <c r="D1996" s="261"/>
      <c r="E1996" s="251"/>
      <c r="F1996" s="251"/>
      <c r="G1996" s="262" t="s">
        <v>1650</v>
      </c>
      <c r="H1996" s="263"/>
    </row>
    <row r="1997" spans="2:8" ht="15.75" x14ac:dyDescent="0.2">
      <c r="B1997" s="186" t="s">
        <v>1701</v>
      </c>
      <c r="C1997" s="132"/>
      <c r="D1997" s="189" t="s">
        <v>742</v>
      </c>
      <c r="E1997" s="132"/>
      <c r="F1997" s="132"/>
      <c r="G1997" s="188"/>
      <c r="H1997" s="132"/>
    </row>
    <row r="1998" spans="2:8" ht="15.75" x14ac:dyDescent="0.2">
      <c r="B1998" s="186" t="s">
        <v>1700</v>
      </c>
      <c r="C1998" s="189" t="s">
        <v>963</v>
      </c>
      <c r="D1998" s="132"/>
      <c r="E1998" s="132"/>
      <c r="F1998" s="132"/>
      <c r="G1998" s="190"/>
      <c r="H1998" s="191"/>
    </row>
    <row r="1999" spans="2:8" ht="14.25" x14ac:dyDescent="0.2">
      <c r="B1999" s="189"/>
      <c r="C1999" s="189"/>
      <c r="D1999" s="189"/>
      <c r="E1999" s="189"/>
      <c r="F1999" s="189"/>
      <c r="G1999" s="189"/>
      <c r="H1999" s="189"/>
    </row>
    <row r="2000" spans="2:8" ht="15.75" x14ac:dyDescent="0.2">
      <c r="B2000" s="186" t="s">
        <v>1697</v>
      </c>
      <c r="C2000" s="189"/>
      <c r="D2000" s="132"/>
      <c r="E2000" s="132"/>
      <c r="F2000" s="132"/>
      <c r="G2000" s="132"/>
      <c r="H2000" s="132"/>
    </row>
    <row r="2001" spans="1:8" ht="15" x14ac:dyDescent="0.2">
      <c r="B2001" s="192"/>
      <c r="C2001" s="189"/>
      <c r="D2001" s="189"/>
      <c r="E2001" s="189"/>
      <c r="F2001" s="189"/>
      <c r="G2001" s="189"/>
      <c r="H2001" s="189"/>
    </row>
    <row r="2002" spans="1:8" ht="14.25" x14ac:dyDescent="0.2">
      <c r="B2002" s="193" t="s">
        <v>594</v>
      </c>
      <c r="C2002" s="194" t="s">
        <v>504</v>
      </c>
      <c r="D2002" s="132"/>
      <c r="E2002" s="188"/>
      <c r="F2002" s="188"/>
      <c r="G2002" s="195" t="s">
        <v>1696</v>
      </c>
      <c r="H2002" s="189" t="s">
        <v>1506</v>
      </c>
    </row>
    <row r="2003" spans="1:8" ht="14.25" x14ac:dyDescent="0.2">
      <c r="B2003" s="196" t="s">
        <v>964</v>
      </c>
      <c r="C2003" s="280" t="s">
        <v>37</v>
      </c>
      <c r="D2003" s="132"/>
      <c r="E2003" s="132"/>
      <c r="F2003" s="132"/>
      <c r="G2003" s="132"/>
      <c r="H2003" s="132"/>
    </row>
    <row r="2004" spans="1:8" ht="15" thickBot="1" x14ac:dyDescent="0.25">
      <c r="B2004" s="187"/>
      <c r="C2004" s="187"/>
      <c r="D2004" s="189"/>
      <c r="E2004" s="189"/>
      <c r="F2004" s="189"/>
      <c r="G2004" s="189"/>
      <c r="H2004" s="189"/>
    </row>
    <row r="2005" spans="1:8" ht="13.5" thickBot="1" x14ac:dyDescent="0.25">
      <c r="B2005" s="264" t="s">
        <v>1695</v>
      </c>
      <c r="C2005" s="265"/>
      <c r="D2005" s="266"/>
      <c r="E2005" s="265"/>
      <c r="F2005" s="265"/>
      <c r="G2005" s="265"/>
      <c r="H2005" s="267"/>
    </row>
    <row r="2006" spans="1:8" ht="25.5" x14ac:dyDescent="0.2">
      <c r="B2006" s="197" t="s">
        <v>1409</v>
      </c>
      <c r="C2006" s="268"/>
      <c r="D2006" s="269" t="s">
        <v>966</v>
      </c>
      <c r="E2006" s="270" t="s">
        <v>1694</v>
      </c>
      <c r="F2006" s="270" t="s">
        <v>1693</v>
      </c>
      <c r="G2006" s="201" t="s">
        <v>1687</v>
      </c>
      <c r="H2006" s="271" t="s">
        <v>967</v>
      </c>
    </row>
    <row r="2007" spans="1:8" x14ac:dyDescent="0.2">
      <c r="B2007" s="208" t="s">
        <v>1468</v>
      </c>
      <c r="C2007" s="209"/>
      <c r="D2007" s="210">
        <v>1</v>
      </c>
      <c r="E2007" s="211">
        <v>2.5</v>
      </c>
      <c r="F2007" s="211">
        <f>D2007*E2007</f>
        <v>2.5</v>
      </c>
      <c r="G2007" s="212">
        <v>0.4</v>
      </c>
      <c r="H2007" s="213">
        <f>F2007*G2007</f>
        <v>1</v>
      </c>
    </row>
    <row r="2008" spans="1:8" x14ac:dyDescent="0.2">
      <c r="B2008" s="214" t="s">
        <v>1682</v>
      </c>
      <c r="C2008" s="132"/>
      <c r="D2008" s="215"/>
      <c r="E2008" s="216" t="s">
        <v>1682</v>
      </c>
      <c r="F2008" s="216" t="s">
        <v>1682</v>
      </c>
      <c r="G2008" s="217"/>
      <c r="H2008" s="218" t="s">
        <v>1682</v>
      </c>
    </row>
    <row r="2009" spans="1:8" x14ac:dyDescent="0.2">
      <c r="B2009" s="219" t="s">
        <v>1682</v>
      </c>
      <c r="C2009" s="220"/>
      <c r="D2009" s="221"/>
      <c r="E2009" s="222" t="s">
        <v>1682</v>
      </c>
      <c r="F2009" s="222" t="s">
        <v>1682</v>
      </c>
      <c r="G2009" s="223"/>
      <c r="H2009" s="224" t="s">
        <v>1682</v>
      </c>
    </row>
    <row r="2010" spans="1:8" x14ac:dyDescent="0.2">
      <c r="B2010" s="219" t="s">
        <v>968</v>
      </c>
      <c r="C2010" s="220"/>
      <c r="D2010" s="225"/>
      <c r="E2010" s="220"/>
      <c r="F2010" s="220"/>
      <c r="G2010" s="226"/>
      <c r="H2010" s="224">
        <f>SUM(H2007:H2009)</f>
        <v>1</v>
      </c>
    </row>
    <row r="2011" spans="1:8" x14ac:dyDescent="0.2">
      <c r="B2011" s="227" t="s">
        <v>1503</v>
      </c>
      <c r="C2011" s="132"/>
      <c r="D2011" s="188"/>
      <c r="E2011" s="132"/>
      <c r="F2011" s="132"/>
      <c r="G2011" s="228"/>
      <c r="H2011" s="218"/>
    </row>
    <row r="2012" spans="1:8" ht="25.5" x14ac:dyDescent="0.2">
      <c r="B2012" s="229" t="s">
        <v>1691</v>
      </c>
      <c r="C2012" s="230"/>
      <c r="D2012" s="231" t="s">
        <v>969</v>
      </c>
      <c r="E2012" s="232" t="s">
        <v>1689</v>
      </c>
      <c r="F2012" s="232" t="s">
        <v>1688</v>
      </c>
      <c r="G2012" s="233" t="s">
        <v>1687</v>
      </c>
      <c r="H2012" s="234" t="s">
        <v>1686</v>
      </c>
    </row>
    <row r="2013" spans="1:8" ht="14.25" x14ac:dyDescent="0.2">
      <c r="A2013">
        <v>20001</v>
      </c>
      <c r="B2013" s="235" t="s">
        <v>243</v>
      </c>
      <c r="C2013" s="132"/>
      <c r="D2013" s="236">
        <v>1</v>
      </c>
      <c r="E2013" s="237">
        <f>'BASE M-OBRA'!$D$3</f>
        <v>3.02</v>
      </c>
      <c r="F2013" s="216">
        <f>D2013*E2013</f>
        <v>3.02</v>
      </c>
      <c r="G2013" s="106">
        <f>IF($A2013=0,"",ROUND(H2013/F2013,2))</f>
        <v>1.67</v>
      </c>
      <c r="H2013" s="56">
        <f>IF($A2013=0,"",ROUND(SUM(H2014:H2017)*'BASE M-OBRA'!$D$23,2))</f>
        <v>5.05</v>
      </c>
    </row>
    <row r="2014" spans="1:8" ht="14.25" x14ac:dyDescent="0.2">
      <c r="A2014">
        <v>20017</v>
      </c>
      <c r="B2014" s="235" t="s">
        <v>1488</v>
      </c>
      <c r="C2014" s="132"/>
      <c r="D2014" s="236">
        <v>1</v>
      </c>
      <c r="E2014" s="237">
        <f>'BASE M-OBRA'!$D$19</f>
        <v>2.82</v>
      </c>
      <c r="F2014" s="216">
        <f>D2014*E2014</f>
        <v>2.82</v>
      </c>
      <c r="G2014" s="106">
        <v>4.5</v>
      </c>
      <c r="H2014" s="56">
        <f>IF($A2014=0,"",ROUND(G2014*F2014,2))</f>
        <v>12.69</v>
      </c>
    </row>
    <row r="2015" spans="1:8" ht="14.25" x14ac:dyDescent="0.2">
      <c r="A2015">
        <v>20011</v>
      </c>
      <c r="B2015" s="235" t="s">
        <v>590</v>
      </c>
      <c r="C2015" s="132"/>
      <c r="D2015" s="236">
        <v>1</v>
      </c>
      <c r="E2015" s="237">
        <f>'BASE M-OBRA'!$D$13</f>
        <v>2.79</v>
      </c>
      <c r="F2015" s="216">
        <f>D2015*E2015</f>
        <v>2.79</v>
      </c>
      <c r="G2015" s="106">
        <f>+G2014</f>
        <v>4.5</v>
      </c>
      <c r="H2015" s="56">
        <f>IF($A2015=0,"",ROUND(G2015*F2015,2))</f>
        <v>12.56</v>
      </c>
    </row>
    <row r="2016" spans="1:8" x14ac:dyDescent="0.2">
      <c r="B2016" s="235"/>
      <c r="C2016" s="132"/>
      <c r="D2016" s="236"/>
      <c r="E2016" s="237"/>
      <c r="F2016" s="216"/>
      <c r="G2016" s="217"/>
      <c r="H2016" s="218"/>
    </row>
    <row r="2017" spans="2:9" x14ac:dyDescent="0.2">
      <c r="B2017" s="219" t="s">
        <v>1682</v>
      </c>
      <c r="C2017" s="220"/>
      <c r="D2017" s="221"/>
      <c r="E2017" s="222" t="s">
        <v>1682</v>
      </c>
      <c r="F2017" s="222" t="s">
        <v>1682</v>
      </c>
      <c r="G2017" s="223"/>
      <c r="H2017" s="224" t="s">
        <v>1682</v>
      </c>
    </row>
    <row r="2018" spans="2:9" x14ac:dyDescent="0.2">
      <c r="B2018" s="238" t="s">
        <v>1681</v>
      </c>
      <c r="C2018" s="239"/>
      <c r="D2018" s="240"/>
      <c r="E2018" s="239"/>
      <c r="F2018" s="239"/>
      <c r="G2018" s="239"/>
      <c r="H2018" s="241">
        <f>SUM(H2013:H2017)</f>
        <v>30.299999999999997</v>
      </c>
      <c r="I2018">
        <v>26.63</v>
      </c>
    </row>
    <row r="2019" spans="2:9" x14ac:dyDescent="0.2">
      <c r="B2019" s="227" t="s">
        <v>1684</v>
      </c>
      <c r="C2019" s="132"/>
      <c r="D2019" s="188"/>
      <c r="E2019" s="132"/>
      <c r="F2019" s="132"/>
      <c r="G2019" s="132"/>
      <c r="H2019" s="218"/>
    </row>
    <row r="2020" spans="2:9" ht="25.5" x14ac:dyDescent="0.2">
      <c r="B2020" s="229" t="s">
        <v>1409</v>
      </c>
      <c r="C2020" s="242"/>
      <c r="D2020" s="243"/>
      <c r="E2020" s="232" t="s">
        <v>1408</v>
      </c>
      <c r="F2020" s="231" t="s">
        <v>1679</v>
      </c>
      <c r="G2020" s="232" t="s">
        <v>1683</v>
      </c>
      <c r="H2020" s="234" t="s">
        <v>1675</v>
      </c>
    </row>
    <row r="2021" spans="2:9" x14ac:dyDescent="0.2">
      <c r="B2021" s="244" t="s">
        <v>419</v>
      </c>
      <c r="C2021" s="132"/>
      <c r="D2021" s="188"/>
      <c r="E2021" s="215" t="s">
        <v>1506</v>
      </c>
      <c r="F2021" s="215">
        <v>3.5</v>
      </c>
      <c r="G2021" s="216">
        <v>2.15</v>
      </c>
      <c r="H2021" s="218">
        <f>F2021*G2021</f>
        <v>7.5249999999999995</v>
      </c>
    </row>
    <row r="2022" spans="2:9" x14ac:dyDescent="0.2">
      <c r="B2022" s="214" t="s">
        <v>420</v>
      </c>
      <c r="C2022" s="132"/>
      <c r="D2022" s="188"/>
      <c r="E2022" s="215" t="s">
        <v>1506</v>
      </c>
      <c r="F2022" s="215">
        <v>4</v>
      </c>
      <c r="G2022" s="216">
        <v>0.22</v>
      </c>
      <c r="H2022" s="218">
        <f t="shared" ref="H2022:H2028" si="5">F2022*G2022</f>
        <v>0.88</v>
      </c>
    </row>
    <row r="2023" spans="2:9" x14ac:dyDescent="0.2">
      <c r="B2023" s="214" t="s">
        <v>494</v>
      </c>
      <c r="C2023" s="132"/>
      <c r="D2023" s="188"/>
      <c r="E2023" s="215" t="s">
        <v>1506</v>
      </c>
      <c r="F2023" s="215">
        <v>2</v>
      </c>
      <c r="G2023" s="216">
        <v>0.22</v>
      </c>
      <c r="H2023" s="218">
        <f t="shared" si="5"/>
        <v>0.44</v>
      </c>
    </row>
    <row r="2024" spans="2:9" x14ac:dyDescent="0.2">
      <c r="B2024" s="214" t="s">
        <v>421</v>
      </c>
      <c r="C2024" s="132"/>
      <c r="D2024" s="188"/>
      <c r="E2024" s="215" t="s">
        <v>1506</v>
      </c>
      <c r="F2024" s="215">
        <v>2</v>
      </c>
      <c r="G2024" s="216">
        <v>0.62</v>
      </c>
      <c r="H2024" s="218">
        <f t="shared" si="5"/>
        <v>1.24</v>
      </c>
    </row>
    <row r="2025" spans="2:9" x14ac:dyDescent="0.2">
      <c r="B2025" s="214" t="s">
        <v>501</v>
      </c>
      <c r="C2025" s="132"/>
      <c r="D2025" s="188"/>
      <c r="E2025" s="215" t="s">
        <v>1506</v>
      </c>
      <c r="F2025" s="215">
        <v>1</v>
      </c>
      <c r="G2025" s="216">
        <v>0.35</v>
      </c>
      <c r="H2025" s="218">
        <f t="shared" si="5"/>
        <v>0.35</v>
      </c>
    </row>
    <row r="2026" spans="2:9" x14ac:dyDescent="0.2">
      <c r="B2026" s="214" t="s">
        <v>506</v>
      </c>
      <c r="C2026" s="132"/>
      <c r="D2026" s="188"/>
      <c r="E2026" s="215" t="s">
        <v>1708</v>
      </c>
      <c r="F2026" s="215">
        <v>23</v>
      </c>
      <c r="G2026" s="216">
        <v>0.4</v>
      </c>
      <c r="H2026" s="218">
        <f t="shared" si="5"/>
        <v>9.2000000000000011</v>
      </c>
    </row>
    <row r="2027" spans="2:9" x14ac:dyDescent="0.2">
      <c r="B2027" s="214" t="s">
        <v>507</v>
      </c>
      <c r="C2027" s="132"/>
      <c r="D2027" s="188"/>
      <c r="E2027" s="215" t="s">
        <v>1708</v>
      </c>
      <c r="F2027" s="215">
        <v>11.5</v>
      </c>
      <c r="G2027" s="216">
        <v>0.25</v>
      </c>
      <c r="H2027" s="218">
        <f t="shared" si="5"/>
        <v>2.875</v>
      </c>
    </row>
    <row r="2028" spans="2:9" x14ac:dyDescent="0.2">
      <c r="B2028" s="214" t="s">
        <v>508</v>
      </c>
      <c r="C2028" s="132"/>
      <c r="D2028" s="188"/>
      <c r="E2028" s="215" t="s">
        <v>1506</v>
      </c>
      <c r="F2028" s="215">
        <v>1</v>
      </c>
      <c r="G2028" s="216">
        <v>12.19</v>
      </c>
      <c r="H2028" s="218">
        <f t="shared" si="5"/>
        <v>12.19</v>
      </c>
    </row>
    <row r="2029" spans="2:9" x14ac:dyDescent="0.2">
      <c r="B2029" s="214" t="s">
        <v>509</v>
      </c>
      <c r="C2029" s="132"/>
      <c r="D2029" s="188"/>
      <c r="E2029" s="215"/>
      <c r="F2029" s="215"/>
      <c r="G2029" s="216"/>
      <c r="H2029" s="218"/>
    </row>
    <row r="2030" spans="2:9" x14ac:dyDescent="0.2">
      <c r="B2030" s="214"/>
      <c r="C2030" s="132"/>
      <c r="D2030" s="188"/>
      <c r="E2030" s="215"/>
      <c r="F2030" s="215"/>
      <c r="G2030" s="216"/>
      <c r="H2030" s="218"/>
    </row>
    <row r="2031" spans="2:9" x14ac:dyDescent="0.2">
      <c r="B2031" s="214" t="s">
        <v>1682</v>
      </c>
      <c r="C2031" s="132"/>
      <c r="D2031" s="245" t="s">
        <v>1682</v>
      </c>
      <c r="E2031" s="272" t="s">
        <v>1682</v>
      </c>
      <c r="F2031" s="215" t="s">
        <v>1682</v>
      </c>
      <c r="G2031" s="216" t="s">
        <v>1682</v>
      </c>
      <c r="H2031" s="218" t="s">
        <v>1682</v>
      </c>
    </row>
    <row r="2032" spans="2:9" x14ac:dyDescent="0.2">
      <c r="B2032" s="238" t="s">
        <v>1692</v>
      </c>
      <c r="C2032" s="239"/>
      <c r="D2032" s="240"/>
      <c r="E2032" s="240"/>
      <c r="F2032" s="240"/>
      <c r="G2032" s="239"/>
      <c r="H2032" s="241">
        <f>SUM(H2021:H2031)</f>
        <v>34.699999999999996</v>
      </c>
    </row>
    <row r="2033" spans="2:8" x14ac:dyDescent="0.2">
      <c r="B2033" s="227" t="s">
        <v>1680</v>
      </c>
      <c r="C2033" s="132"/>
      <c r="D2033" s="188"/>
      <c r="E2033" s="132"/>
      <c r="F2033" s="188"/>
      <c r="G2033" s="132"/>
      <c r="H2033" s="218"/>
    </row>
    <row r="2034" spans="2:8" ht="25.5" x14ac:dyDescent="0.2">
      <c r="B2034" s="229" t="s">
        <v>1409</v>
      </c>
      <c r="C2034" s="242"/>
      <c r="D2034" s="243"/>
      <c r="E2034" s="232" t="s">
        <v>1408</v>
      </c>
      <c r="F2034" s="231" t="s">
        <v>1679</v>
      </c>
      <c r="G2034" s="232" t="s">
        <v>1676</v>
      </c>
      <c r="H2034" s="234" t="s">
        <v>1675</v>
      </c>
    </row>
    <row r="2035" spans="2:8" x14ac:dyDescent="0.2">
      <c r="B2035" s="208" t="s">
        <v>975</v>
      </c>
      <c r="C2035" s="209"/>
      <c r="D2035" s="246"/>
      <c r="E2035" s="215" t="s">
        <v>976</v>
      </c>
      <c r="F2035" s="215">
        <v>0.25</v>
      </c>
      <c r="G2035" s="247">
        <v>5</v>
      </c>
      <c r="H2035" s="218">
        <f>F2035*G2035</f>
        <v>1.25</v>
      </c>
    </row>
    <row r="2036" spans="2:8" x14ac:dyDescent="0.2">
      <c r="B2036" s="214"/>
      <c r="C2036" s="132"/>
      <c r="D2036" s="248"/>
      <c r="E2036" s="215"/>
      <c r="F2036" s="215"/>
      <c r="G2036" s="247"/>
      <c r="H2036" s="218"/>
    </row>
    <row r="2037" spans="2:8" x14ac:dyDescent="0.2">
      <c r="B2037" s="219" t="s">
        <v>1682</v>
      </c>
      <c r="C2037" s="220"/>
      <c r="D2037" s="249"/>
      <c r="E2037" s="221" t="s">
        <v>1682</v>
      </c>
      <c r="F2037" s="221"/>
      <c r="G2037" s="222" t="s">
        <v>1682</v>
      </c>
      <c r="H2037" s="224" t="s">
        <v>1682</v>
      </c>
    </row>
    <row r="2038" spans="2:8" ht="13.5" thickBot="1" x14ac:dyDescent="0.25">
      <c r="B2038" s="250" t="s">
        <v>977</v>
      </c>
      <c r="C2038" s="251"/>
      <c r="D2038" s="252"/>
      <c r="E2038" s="252"/>
      <c r="F2038" s="252"/>
      <c r="G2038" s="251"/>
      <c r="H2038" s="253">
        <f>SUM(H2035:H2037)</f>
        <v>1.25</v>
      </c>
    </row>
    <row r="2039" spans="2:8" x14ac:dyDescent="0.2">
      <c r="B2039" s="132"/>
      <c r="C2039" s="132"/>
      <c r="D2039" s="254"/>
      <c r="E2039" s="198"/>
      <c r="F2039" s="198"/>
      <c r="G2039" s="255" t="s">
        <v>978</v>
      </c>
      <c r="H2039" s="256">
        <f>H2010+H2018+H2032+H2038</f>
        <v>67.25</v>
      </c>
    </row>
    <row r="2040" spans="2:8" x14ac:dyDescent="0.2">
      <c r="B2040" s="132"/>
      <c r="C2040" s="132"/>
      <c r="D2040" s="257"/>
      <c r="E2040" s="239"/>
      <c r="F2040" s="239"/>
      <c r="G2040" s="258" t="s">
        <v>979</v>
      </c>
      <c r="H2040" s="241"/>
    </row>
    <row r="2041" spans="2:8" x14ac:dyDescent="0.2">
      <c r="B2041" s="132"/>
      <c r="C2041" s="132"/>
      <c r="D2041" s="257"/>
      <c r="E2041" s="239"/>
      <c r="F2041" s="239"/>
      <c r="G2041" s="258" t="s">
        <v>980</v>
      </c>
      <c r="H2041" s="241"/>
    </row>
    <row r="2042" spans="2:8" x14ac:dyDescent="0.2">
      <c r="B2042" s="132"/>
      <c r="C2042" s="132"/>
      <c r="D2042" s="257"/>
      <c r="E2042" s="239"/>
      <c r="F2042" s="239"/>
      <c r="G2042" s="259" t="s">
        <v>1670</v>
      </c>
      <c r="H2042" s="260"/>
    </row>
    <row r="2043" spans="2:8" ht="13.5" thickBot="1" x14ac:dyDescent="0.25">
      <c r="B2043" s="193"/>
      <c r="C2043" s="132"/>
      <c r="D2043" s="261"/>
      <c r="E2043" s="251"/>
      <c r="F2043" s="251"/>
      <c r="G2043" s="262" t="s">
        <v>1650</v>
      </c>
      <c r="H2043" s="263"/>
    </row>
    <row r="2044" spans="2:8" ht="15.75" x14ac:dyDescent="0.2">
      <c r="B2044" s="186" t="s">
        <v>1701</v>
      </c>
      <c r="C2044" s="132"/>
      <c r="D2044" s="189" t="s">
        <v>742</v>
      </c>
      <c r="E2044" s="132"/>
      <c r="F2044" s="132"/>
      <c r="G2044" s="188"/>
      <c r="H2044" s="132"/>
    </row>
    <row r="2045" spans="2:8" ht="15.75" x14ac:dyDescent="0.2">
      <c r="B2045" s="186" t="s">
        <v>1700</v>
      </c>
      <c r="C2045" s="189" t="s">
        <v>963</v>
      </c>
      <c r="D2045" s="132"/>
      <c r="E2045" s="132"/>
      <c r="F2045" s="132"/>
      <c r="G2045" s="190"/>
      <c r="H2045" s="191"/>
    </row>
    <row r="2046" spans="2:8" ht="14.25" x14ac:dyDescent="0.2">
      <c r="B2046" s="189"/>
      <c r="C2046" s="189"/>
      <c r="D2046" s="189"/>
      <c r="E2046" s="189"/>
      <c r="F2046" s="189"/>
      <c r="G2046" s="189"/>
      <c r="H2046" s="189"/>
    </row>
    <row r="2047" spans="2:8" ht="15.75" x14ac:dyDescent="0.2">
      <c r="B2047" s="186" t="s">
        <v>1697</v>
      </c>
      <c r="C2047" s="189"/>
      <c r="D2047" s="132"/>
      <c r="E2047" s="132"/>
      <c r="F2047" s="132"/>
      <c r="G2047" s="132"/>
      <c r="H2047" s="132"/>
    </row>
    <row r="2048" spans="2:8" ht="15" x14ac:dyDescent="0.2">
      <c r="B2048" s="192"/>
      <c r="C2048" s="189"/>
      <c r="D2048" s="189"/>
      <c r="E2048" s="189"/>
      <c r="F2048" s="189"/>
      <c r="G2048" s="189"/>
      <c r="H2048" s="189"/>
    </row>
    <row r="2049" spans="1:8" ht="14.25" x14ac:dyDescent="0.2">
      <c r="B2049" s="193" t="s">
        <v>594</v>
      </c>
      <c r="C2049" s="194" t="s">
        <v>504</v>
      </c>
      <c r="D2049" s="132"/>
      <c r="E2049" s="188"/>
      <c r="F2049" s="188"/>
      <c r="G2049" s="195" t="s">
        <v>1696</v>
      </c>
      <c r="H2049" s="189" t="s">
        <v>1506</v>
      </c>
    </row>
    <row r="2050" spans="1:8" ht="14.25" x14ac:dyDescent="0.2">
      <c r="B2050" s="196" t="s">
        <v>964</v>
      </c>
      <c r="C2050" s="280" t="s">
        <v>38</v>
      </c>
      <c r="D2050" s="132"/>
      <c r="E2050" s="132"/>
      <c r="F2050" s="132"/>
      <c r="G2050" s="132"/>
      <c r="H2050" s="132"/>
    </row>
    <row r="2051" spans="1:8" ht="15" thickBot="1" x14ac:dyDescent="0.25">
      <c r="B2051" s="187"/>
      <c r="C2051" s="187"/>
      <c r="D2051" s="189"/>
      <c r="E2051" s="189"/>
      <c r="F2051" s="189"/>
      <c r="G2051" s="189"/>
      <c r="H2051" s="189"/>
    </row>
    <row r="2052" spans="1:8" ht="13.5" thickBot="1" x14ac:dyDescent="0.25">
      <c r="B2052" s="264" t="s">
        <v>1695</v>
      </c>
      <c r="C2052" s="265"/>
      <c r="D2052" s="266"/>
      <c r="E2052" s="265"/>
      <c r="F2052" s="265"/>
      <c r="G2052" s="265"/>
      <c r="H2052" s="267"/>
    </row>
    <row r="2053" spans="1:8" ht="25.5" x14ac:dyDescent="0.2">
      <c r="B2053" s="197" t="s">
        <v>1409</v>
      </c>
      <c r="C2053" s="268"/>
      <c r="D2053" s="269" t="s">
        <v>966</v>
      </c>
      <c r="E2053" s="270" t="s">
        <v>1694</v>
      </c>
      <c r="F2053" s="270" t="s">
        <v>1693</v>
      </c>
      <c r="G2053" s="201" t="s">
        <v>1687</v>
      </c>
      <c r="H2053" s="271" t="s">
        <v>967</v>
      </c>
    </row>
    <row r="2054" spans="1:8" x14ac:dyDescent="0.2">
      <c r="B2054" s="208" t="s">
        <v>1468</v>
      </c>
      <c r="C2054" s="209"/>
      <c r="D2054" s="210">
        <v>1</v>
      </c>
      <c r="E2054" s="211">
        <v>2.5</v>
      </c>
      <c r="F2054" s="211">
        <f>D2054*E2054</f>
        <v>2.5</v>
      </c>
      <c r="G2054" s="212">
        <v>0.4</v>
      </c>
      <c r="H2054" s="213">
        <f>F2054*G2054</f>
        <v>1</v>
      </c>
    </row>
    <row r="2055" spans="1:8" x14ac:dyDescent="0.2">
      <c r="B2055" s="214" t="s">
        <v>1682</v>
      </c>
      <c r="C2055" s="132"/>
      <c r="D2055" s="215"/>
      <c r="E2055" s="216" t="s">
        <v>1682</v>
      </c>
      <c r="F2055" s="216" t="s">
        <v>1682</v>
      </c>
      <c r="G2055" s="217"/>
      <c r="H2055" s="218" t="s">
        <v>1682</v>
      </c>
    </row>
    <row r="2056" spans="1:8" x14ac:dyDescent="0.2">
      <c r="B2056" s="219" t="s">
        <v>1682</v>
      </c>
      <c r="C2056" s="220"/>
      <c r="D2056" s="221"/>
      <c r="E2056" s="222" t="s">
        <v>1682</v>
      </c>
      <c r="F2056" s="222" t="s">
        <v>1682</v>
      </c>
      <c r="G2056" s="223"/>
      <c r="H2056" s="224" t="s">
        <v>1682</v>
      </c>
    </row>
    <row r="2057" spans="1:8" x14ac:dyDescent="0.2">
      <c r="B2057" s="219" t="s">
        <v>968</v>
      </c>
      <c r="C2057" s="220"/>
      <c r="D2057" s="225"/>
      <c r="E2057" s="220"/>
      <c r="F2057" s="220"/>
      <c r="G2057" s="226"/>
      <c r="H2057" s="224">
        <f>SUM(H2054:H2056)</f>
        <v>1</v>
      </c>
    </row>
    <row r="2058" spans="1:8" x14ac:dyDescent="0.2">
      <c r="B2058" s="227" t="s">
        <v>1503</v>
      </c>
      <c r="C2058" s="132"/>
      <c r="D2058" s="188"/>
      <c r="E2058" s="132"/>
      <c r="F2058" s="132"/>
      <c r="G2058" s="228"/>
      <c r="H2058" s="218"/>
    </row>
    <row r="2059" spans="1:8" ht="25.5" x14ac:dyDescent="0.2">
      <c r="B2059" s="229" t="s">
        <v>1691</v>
      </c>
      <c r="C2059" s="230"/>
      <c r="D2059" s="231" t="s">
        <v>969</v>
      </c>
      <c r="E2059" s="232" t="s">
        <v>1689</v>
      </c>
      <c r="F2059" s="232" t="s">
        <v>1688</v>
      </c>
      <c r="G2059" s="233" t="s">
        <v>1687</v>
      </c>
      <c r="H2059" s="234" t="s">
        <v>1686</v>
      </c>
    </row>
    <row r="2060" spans="1:8" ht="14.25" x14ac:dyDescent="0.2">
      <c r="A2060">
        <v>20001</v>
      </c>
      <c r="B2060" s="235" t="s">
        <v>243</v>
      </c>
      <c r="C2060" s="132"/>
      <c r="D2060" s="236">
        <v>1</v>
      </c>
      <c r="E2060" s="237">
        <f>'BASE M-OBRA'!$D$3</f>
        <v>3.02</v>
      </c>
      <c r="F2060" s="216">
        <f>D2060*E2060</f>
        <v>3.02</v>
      </c>
      <c r="G2060" s="106">
        <f>IF($A2060=0,"",ROUND(H2060/F2060,2))</f>
        <v>1.3</v>
      </c>
      <c r="H2060" s="56">
        <f>IF($A2060=0,"",ROUND(SUM(H2061:H2064)*'BASE M-OBRA'!$D$23,2))</f>
        <v>3.93</v>
      </c>
    </row>
    <row r="2061" spans="1:8" ht="14.25" x14ac:dyDescent="0.2">
      <c r="A2061">
        <v>20017</v>
      </c>
      <c r="B2061" s="235" t="s">
        <v>1488</v>
      </c>
      <c r="C2061" s="132"/>
      <c r="D2061" s="236">
        <v>1</v>
      </c>
      <c r="E2061" s="237">
        <f>'BASE M-OBRA'!$D$19</f>
        <v>2.82</v>
      </c>
      <c r="F2061" s="216">
        <f>D2061*E2061</f>
        <v>2.82</v>
      </c>
      <c r="G2061" s="106">
        <v>3.5</v>
      </c>
      <c r="H2061" s="56">
        <f>IF($A2061=0,"",ROUND(G2061*F2061,2))</f>
        <v>9.8699999999999992</v>
      </c>
    </row>
    <row r="2062" spans="1:8" ht="14.25" x14ac:dyDescent="0.2">
      <c r="A2062">
        <v>20011</v>
      </c>
      <c r="B2062" s="235" t="s">
        <v>590</v>
      </c>
      <c r="C2062" s="132"/>
      <c r="D2062" s="236">
        <v>1</v>
      </c>
      <c r="E2062" s="237">
        <f>'BASE M-OBRA'!$D$13</f>
        <v>2.79</v>
      </c>
      <c r="F2062" s="216">
        <f>D2062*E2062</f>
        <v>2.79</v>
      </c>
      <c r="G2062" s="106">
        <f>+G2061</f>
        <v>3.5</v>
      </c>
      <c r="H2062" s="56">
        <f>IF($A2062=0,"",ROUND(G2062*F2062,2))</f>
        <v>9.77</v>
      </c>
    </row>
    <row r="2063" spans="1:8" x14ac:dyDescent="0.2">
      <c r="B2063" s="235"/>
      <c r="C2063" s="132"/>
      <c r="D2063" s="236"/>
      <c r="E2063" s="237"/>
      <c r="F2063" s="216"/>
      <c r="G2063" s="217"/>
      <c r="H2063" s="218"/>
    </row>
    <row r="2064" spans="1:8" x14ac:dyDescent="0.2">
      <c r="B2064" s="219" t="s">
        <v>1682</v>
      </c>
      <c r="C2064" s="220"/>
      <c r="D2064" s="221"/>
      <c r="E2064" s="222" t="s">
        <v>1682</v>
      </c>
      <c r="F2064" s="222" t="s">
        <v>1682</v>
      </c>
      <c r="G2064" s="223"/>
      <c r="H2064" s="224" t="s">
        <v>1682</v>
      </c>
    </row>
    <row r="2065" spans="2:8" x14ac:dyDescent="0.2">
      <c r="B2065" s="238" t="s">
        <v>1681</v>
      </c>
      <c r="C2065" s="239"/>
      <c r="D2065" s="240"/>
      <c r="E2065" s="239"/>
      <c r="F2065" s="239"/>
      <c r="G2065" s="239"/>
      <c r="H2065" s="241">
        <f>SUM(H2060:H2064)</f>
        <v>23.57</v>
      </c>
    </row>
    <row r="2066" spans="2:8" x14ac:dyDescent="0.2">
      <c r="B2066" s="227" t="s">
        <v>1684</v>
      </c>
      <c r="C2066" s="132"/>
      <c r="D2066" s="188"/>
      <c r="E2066" s="132"/>
      <c r="F2066" s="132"/>
      <c r="G2066" s="132"/>
      <c r="H2066" s="218"/>
    </row>
    <row r="2067" spans="2:8" ht="25.5" x14ac:dyDescent="0.2">
      <c r="B2067" s="229" t="s">
        <v>1409</v>
      </c>
      <c r="C2067" s="242"/>
      <c r="D2067" s="243"/>
      <c r="E2067" s="232" t="s">
        <v>1408</v>
      </c>
      <c r="F2067" s="231" t="s">
        <v>1679</v>
      </c>
      <c r="G2067" s="232" t="s">
        <v>1683</v>
      </c>
      <c r="H2067" s="234" t="s">
        <v>1675</v>
      </c>
    </row>
    <row r="2068" spans="2:8" x14ac:dyDescent="0.2">
      <c r="B2068" s="244" t="s">
        <v>419</v>
      </c>
      <c r="C2068" s="132"/>
      <c r="D2068" s="188"/>
      <c r="E2068" s="215" t="s">
        <v>1506</v>
      </c>
      <c r="F2068" s="215">
        <v>3.5</v>
      </c>
      <c r="G2068" s="216">
        <v>2.15</v>
      </c>
      <c r="H2068" s="218">
        <f>F2068*G2068</f>
        <v>7.5249999999999995</v>
      </c>
    </row>
    <row r="2069" spans="2:8" x14ac:dyDescent="0.2">
      <c r="B2069" s="214" t="s">
        <v>420</v>
      </c>
      <c r="C2069" s="132"/>
      <c r="D2069" s="188"/>
      <c r="E2069" s="215" t="s">
        <v>1506</v>
      </c>
      <c r="F2069" s="215">
        <v>4</v>
      </c>
      <c r="G2069" s="216">
        <v>0.22</v>
      </c>
      <c r="H2069" s="218">
        <f t="shared" ref="H2069:H2075" si="6">F2069*G2069</f>
        <v>0.88</v>
      </c>
    </row>
    <row r="2070" spans="2:8" x14ac:dyDescent="0.2">
      <c r="B2070" s="214" t="s">
        <v>494</v>
      </c>
      <c r="C2070" s="132"/>
      <c r="D2070" s="188"/>
      <c r="E2070" s="215" t="s">
        <v>1506</v>
      </c>
      <c r="F2070" s="215">
        <v>2</v>
      </c>
      <c r="G2070" s="216">
        <v>0.22</v>
      </c>
      <c r="H2070" s="218">
        <f t="shared" si="6"/>
        <v>0.44</v>
      </c>
    </row>
    <row r="2071" spans="2:8" x14ac:dyDescent="0.2">
      <c r="B2071" s="214" t="s">
        <v>421</v>
      </c>
      <c r="C2071" s="132"/>
      <c r="D2071" s="188"/>
      <c r="E2071" s="215" t="s">
        <v>1506</v>
      </c>
      <c r="F2071" s="215">
        <v>2</v>
      </c>
      <c r="G2071" s="216">
        <v>0.62</v>
      </c>
      <c r="H2071" s="218">
        <f t="shared" si="6"/>
        <v>1.24</v>
      </c>
    </row>
    <row r="2072" spans="2:8" x14ac:dyDescent="0.2">
      <c r="B2072" s="214" t="s">
        <v>501</v>
      </c>
      <c r="C2072" s="132"/>
      <c r="D2072" s="188"/>
      <c r="E2072" s="215" t="s">
        <v>1506</v>
      </c>
      <c r="F2072" s="215">
        <v>1</v>
      </c>
      <c r="G2072" s="216">
        <v>0.35</v>
      </c>
      <c r="H2072" s="218">
        <f t="shared" si="6"/>
        <v>0.35</v>
      </c>
    </row>
    <row r="2073" spans="2:8" x14ac:dyDescent="0.2">
      <c r="B2073" s="214" t="s">
        <v>506</v>
      </c>
      <c r="C2073" s="132"/>
      <c r="D2073" s="188"/>
      <c r="E2073" s="215" t="s">
        <v>1708</v>
      </c>
      <c r="F2073" s="215">
        <v>23</v>
      </c>
      <c r="G2073" s="216">
        <v>0.4</v>
      </c>
      <c r="H2073" s="218">
        <f t="shared" si="6"/>
        <v>9.2000000000000011</v>
      </c>
    </row>
    <row r="2074" spans="2:8" x14ac:dyDescent="0.2">
      <c r="B2074" s="214" t="s">
        <v>507</v>
      </c>
      <c r="C2074" s="132"/>
      <c r="D2074" s="188"/>
      <c r="E2074" s="215" t="s">
        <v>1708</v>
      </c>
      <c r="F2074" s="215">
        <v>11.5</v>
      </c>
      <c r="G2074" s="216">
        <v>0.25</v>
      </c>
      <c r="H2074" s="218">
        <f t="shared" si="6"/>
        <v>2.875</v>
      </c>
    </row>
    <row r="2075" spans="2:8" x14ac:dyDescent="0.2">
      <c r="B2075" s="214" t="s">
        <v>508</v>
      </c>
      <c r="C2075" s="132"/>
      <c r="D2075" s="188"/>
      <c r="E2075" s="215" t="s">
        <v>1506</v>
      </c>
      <c r="F2075" s="215">
        <v>1</v>
      </c>
      <c r="G2075" s="216">
        <v>12.19</v>
      </c>
      <c r="H2075" s="218">
        <f t="shared" si="6"/>
        <v>12.19</v>
      </c>
    </row>
    <row r="2076" spans="2:8" x14ac:dyDescent="0.2">
      <c r="B2076" s="214" t="s">
        <v>509</v>
      </c>
      <c r="C2076" s="132"/>
      <c r="D2076" s="188"/>
      <c r="E2076" s="215"/>
      <c r="F2076" s="215"/>
      <c r="G2076" s="216"/>
      <c r="H2076" s="218"/>
    </row>
    <row r="2077" spans="2:8" x14ac:dyDescent="0.2">
      <c r="B2077" s="214"/>
      <c r="C2077" s="132"/>
      <c r="D2077" s="188"/>
      <c r="E2077" s="215"/>
      <c r="F2077" s="215"/>
      <c r="G2077" s="216"/>
      <c r="H2077" s="218"/>
    </row>
    <row r="2078" spans="2:8" x14ac:dyDescent="0.2">
      <c r="B2078" s="214" t="s">
        <v>1682</v>
      </c>
      <c r="C2078" s="132"/>
      <c r="D2078" s="245" t="s">
        <v>1682</v>
      </c>
      <c r="E2078" s="272" t="s">
        <v>1682</v>
      </c>
      <c r="F2078" s="215" t="s">
        <v>1682</v>
      </c>
      <c r="G2078" s="216" t="s">
        <v>1682</v>
      </c>
      <c r="H2078" s="218" t="s">
        <v>1682</v>
      </c>
    </row>
    <row r="2079" spans="2:8" x14ac:dyDescent="0.2">
      <c r="B2079" s="238" t="s">
        <v>1692</v>
      </c>
      <c r="C2079" s="239"/>
      <c r="D2079" s="240"/>
      <c r="E2079" s="240"/>
      <c r="F2079" s="240"/>
      <c r="G2079" s="239"/>
      <c r="H2079" s="241">
        <f>SUM(H2068:H2078)</f>
        <v>34.699999999999996</v>
      </c>
    </row>
    <row r="2080" spans="2:8" x14ac:dyDescent="0.2">
      <c r="B2080" s="227" t="s">
        <v>1680</v>
      </c>
      <c r="C2080" s="132"/>
      <c r="D2080" s="188"/>
      <c r="E2080" s="132"/>
      <c r="F2080" s="188"/>
      <c r="G2080" s="132"/>
      <c r="H2080" s="218"/>
    </row>
    <row r="2081" spans="2:8" ht="25.5" x14ac:dyDescent="0.2">
      <c r="B2081" s="229" t="s">
        <v>1409</v>
      </c>
      <c r="C2081" s="242"/>
      <c r="D2081" s="243"/>
      <c r="E2081" s="232" t="s">
        <v>1408</v>
      </c>
      <c r="F2081" s="231" t="s">
        <v>1679</v>
      </c>
      <c r="G2081" s="232" t="s">
        <v>1676</v>
      </c>
      <c r="H2081" s="234" t="s">
        <v>1675</v>
      </c>
    </row>
    <row r="2082" spans="2:8" x14ac:dyDescent="0.2">
      <c r="B2082" s="208" t="s">
        <v>975</v>
      </c>
      <c r="C2082" s="209"/>
      <c r="D2082" s="246"/>
      <c r="E2082" s="215" t="s">
        <v>976</v>
      </c>
      <c r="F2082" s="215">
        <v>0.25</v>
      </c>
      <c r="G2082" s="247">
        <v>5</v>
      </c>
      <c r="H2082" s="218">
        <f>F2082*G2082</f>
        <v>1.25</v>
      </c>
    </row>
    <row r="2083" spans="2:8" x14ac:dyDescent="0.2">
      <c r="B2083" s="214"/>
      <c r="C2083" s="132"/>
      <c r="D2083" s="248"/>
      <c r="E2083" s="215"/>
      <c r="F2083" s="215"/>
      <c r="G2083" s="247"/>
      <c r="H2083" s="218"/>
    </row>
    <row r="2084" spans="2:8" x14ac:dyDescent="0.2">
      <c r="B2084" s="219" t="s">
        <v>1682</v>
      </c>
      <c r="C2084" s="220"/>
      <c r="D2084" s="249"/>
      <c r="E2084" s="221" t="s">
        <v>1682</v>
      </c>
      <c r="F2084" s="221"/>
      <c r="G2084" s="222" t="s">
        <v>1682</v>
      </c>
      <c r="H2084" s="224" t="s">
        <v>1682</v>
      </c>
    </row>
    <row r="2085" spans="2:8" ht="13.5" thickBot="1" x14ac:dyDescent="0.25">
      <c r="B2085" s="250" t="s">
        <v>977</v>
      </c>
      <c r="C2085" s="251"/>
      <c r="D2085" s="252"/>
      <c r="E2085" s="252"/>
      <c r="F2085" s="252"/>
      <c r="G2085" s="251"/>
      <c r="H2085" s="253">
        <f>SUM(H2082:H2084)</f>
        <v>1.25</v>
      </c>
    </row>
    <row r="2086" spans="2:8" x14ac:dyDescent="0.2">
      <c r="B2086" s="132"/>
      <c r="C2086" s="132"/>
      <c r="D2086" s="254"/>
      <c r="E2086" s="198"/>
      <c r="F2086" s="198"/>
      <c r="G2086" s="255" t="s">
        <v>978</v>
      </c>
      <c r="H2086" s="256">
        <f>H2057+H2065+H2079+H2085</f>
        <v>60.519999999999996</v>
      </c>
    </row>
    <row r="2087" spans="2:8" x14ac:dyDescent="0.2">
      <c r="B2087" s="132"/>
      <c r="C2087" s="132"/>
      <c r="D2087" s="257"/>
      <c r="E2087" s="239"/>
      <c r="F2087" s="239"/>
      <c r="G2087" s="258" t="s">
        <v>979</v>
      </c>
      <c r="H2087" s="241"/>
    </row>
    <row r="2088" spans="2:8" x14ac:dyDescent="0.2">
      <c r="B2088" s="132"/>
      <c r="C2088" s="132"/>
      <c r="D2088" s="257"/>
      <c r="E2088" s="239"/>
      <c r="F2088" s="239"/>
      <c r="G2088" s="258" t="s">
        <v>980</v>
      </c>
      <c r="H2088" s="241"/>
    </row>
    <row r="2089" spans="2:8" x14ac:dyDescent="0.2">
      <c r="B2089" s="132"/>
      <c r="C2089" s="132"/>
      <c r="D2089" s="257"/>
      <c r="E2089" s="239"/>
      <c r="F2089" s="239"/>
      <c r="G2089" s="259" t="s">
        <v>1670</v>
      </c>
      <c r="H2089" s="260"/>
    </row>
    <row r="2090" spans="2:8" ht="13.5" thickBot="1" x14ac:dyDescent="0.25">
      <c r="B2090" s="193"/>
      <c r="C2090" s="132"/>
      <c r="D2090" s="261"/>
      <c r="E2090" s="251"/>
      <c r="F2090" s="251"/>
      <c r="G2090" s="262" t="s">
        <v>1650</v>
      </c>
      <c r="H2090" s="263"/>
    </row>
    <row r="2091" spans="2:8" ht="15.75" x14ac:dyDescent="0.2">
      <c r="B2091" s="186" t="s">
        <v>1701</v>
      </c>
      <c r="C2091" s="132"/>
      <c r="D2091" s="189" t="s">
        <v>742</v>
      </c>
      <c r="E2091" s="132"/>
      <c r="F2091" s="132"/>
      <c r="G2091" s="188"/>
      <c r="H2091" s="132"/>
    </row>
    <row r="2092" spans="2:8" ht="15.75" x14ac:dyDescent="0.2">
      <c r="B2092" s="186" t="s">
        <v>1700</v>
      </c>
      <c r="C2092" s="189" t="s">
        <v>963</v>
      </c>
      <c r="D2092" s="132"/>
      <c r="E2092" s="132"/>
      <c r="F2092" s="132"/>
      <c r="G2092" s="190"/>
      <c r="H2092" s="191"/>
    </row>
    <row r="2093" spans="2:8" ht="14.25" x14ac:dyDescent="0.2">
      <c r="B2093" s="189"/>
      <c r="C2093" s="189"/>
      <c r="D2093" s="189"/>
      <c r="E2093" s="189"/>
      <c r="F2093" s="189"/>
      <c r="G2093" s="189"/>
      <c r="H2093" s="189"/>
    </row>
    <row r="2094" spans="2:8" ht="15.75" x14ac:dyDescent="0.2">
      <c r="B2094" s="186" t="s">
        <v>1697</v>
      </c>
      <c r="C2094" s="189"/>
      <c r="D2094" s="132"/>
      <c r="E2094" s="132"/>
      <c r="F2094" s="132"/>
      <c r="G2094" s="132"/>
      <c r="H2094" s="132"/>
    </row>
    <row r="2095" spans="2:8" ht="15" x14ac:dyDescent="0.2">
      <c r="B2095" s="192"/>
      <c r="C2095" s="189"/>
      <c r="D2095" s="189"/>
      <c r="E2095" s="189"/>
      <c r="F2095" s="189"/>
      <c r="G2095" s="189"/>
      <c r="H2095" s="189"/>
    </row>
    <row r="2096" spans="2:8" ht="14.25" x14ac:dyDescent="0.2">
      <c r="B2096" s="193" t="s">
        <v>594</v>
      </c>
      <c r="C2096" s="194" t="s">
        <v>504</v>
      </c>
      <c r="D2096" s="132"/>
      <c r="E2096" s="188"/>
      <c r="F2096" s="188"/>
      <c r="G2096" s="195" t="s">
        <v>1696</v>
      </c>
      <c r="H2096" s="189" t="s">
        <v>1506</v>
      </c>
    </row>
    <row r="2097" spans="1:8" ht="14.25" x14ac:dyDescent="0.2">
      <c r="B2097" s="196" t="s">
        <v>964</v>
      </c>
      <c r="C2097" s="280" t="s">
        <v>39</v>
      </c>
      <c r="D2097" s="132"/>
      <c r="E2097" s="132"/>
      <c r="F2097" s="132"/>
      <c r="G2097" s="132"/>
      <c r="H2097" s="132"/>
    </row>
    <row r="2098" spans="1:8" ht="15" thickBot="1" x14ac:dyDescent="0.25">
      <c r="B2098" s="187"/>
      <c r="C2098" s="187"/>
      <c r="D2098" s="189"/>
      <c r="E2098" s="189"/>
      <c r="F2098" s="189"/>
      <c r="G2098" s="189"/>
      <c r="H2098" s="189"/>
    </row>
    <row r="2099" spans="1:8" ht="13.5" thickBot="1" x14ac:dyDescent="0.25">
      <c r="B2099" s="264" t="s">
        <v>1695</v>
      </c>
      <c r="C2099" s="265"/>
      <c r="D2099" s="266"/>
      <c r="E2099" s="265"/>
      <c r="F2099" s="265"/>
      <c r="G2099" s="265"/>
      <c r="H2099" s="267"/>
    </row>
    <row r="2100" spans="1:8" ht="25.5" x14ac:dyDescent="0.2">
      <c r="B2100" s="197" t="s">
        <v>1409</v>
      </c>
      <c r="C2100" s="268"/>
      <c r="D2100" s="269" t="s">
        <v>966</v>
      </c>
      <c r="E2100" s="270" t="s">
        <v>1694</v>
      </c>
      <c r="F2100" s="270" t="s">
        <v>1693</v>
      </c>
      <c r="G2100" s="201" t="s">
        <v>1687</v>
      </c>
      <c r="H2100" s="271" t="s">
        <v>967</v>
      </c>
    </row>
    <row r="2101" spans="1:8" x14ac:dyDescent="0.2">
      <c r="B2101" s="208" t="s">
        <v>1468</v>
      </c>
      <c r="C2101" s="209"/>
      <c r="D2101" s="210">
        <v>1</v>
      </c>
      <c r="E2101" s="211">
        <v>2.5</v>
      </c>
      <c r="F2101" s="211">
        <f>D2101*E2101</f>
        <v>2.5</v>
      </c>
      <c r="G2101" s="212">
        <v>0.4</v>
      </c>
      <c r="H2101" s="213">
        <f>F2101*G2101</f>
        <v>1</v>
      </c>
    </row>
    <row r="2102" spans="1:8" x14ac:dyDescent="0.2">
      <c r="B2102" s="214" t="s">
        <v>1682</v>
      </c>
      <c r="C2102" s="132"/>
      <c r="D2102" s="215"/>
      <c r="E2102" s="216" t="s">
        <v>1682</v>
      </c>
      <c r="F2102" s="216" t="s">
        <v>1682</v>
      </c>
      <c r="G2102" s="217"/>
      <c r="H2102" s="218" t="s">
        <v>1682</v>
      </c>
    </row>
    <row r="2103" spans="1:8" x14ac:dyDescent="0.2">
      <c r="B2103" s="219" t="s">
        <v>1682</v>
      </c>
      <c r="C2103" s="220"/>
      <c r="D2103" s="221"/>
      <c r="E2103" s="222" t="s">
        <v>1682</v>
      </c>
      <c r="F2103" s="222" t="s">
        <v>1682</v>
      </c>
      <c r="G2103" s="223"/>
      <c r="H2103" s="224" t="s">
        <v>1682</v>
      </c>
    </row>
    <row r="2104" spans="1:8" x14ac:dyDescent="0.2">
      <c r="B2104" s="219" t="s">
        <v>968</v>
      </c>
      <c r="C2104" s="220"/>
      <c r="D2104" s="225"/>
      <c r="E2104" s="220"/>
      <c r="F2104" s="220"/>
      <c r="G2104" s="226"/>
      <c r="H2104" s="224">
        <f>SUM(H2101:H2103)</f>
        <v>1</v>
      </c>
    </row>
    <row r="2105" spans="1:8" x14ac:dyDescent="0.2">
      <c r="B2105" s="227" t="s">
        <v>1503</v>
      </c>
      <c r="C2105" s="132"/>
      <c r="D2105" s="188"/>
      <c r="E2105" s="132"/>
      <c r="F2105" s="132"/>
      <c r="G2105" s="228"/>
      <c r="H2105" s="218"/>
    </row>
    <row r="2106" spans="1:8" ht="25.5" x14ac:dyDescent="0.2">
      <c r="B2106" s="229" t="s">
        <v>1691</v>
      </c>
      <c r="C2106" s="230"/>
      <c r="D2106" s="231" t="s">
        <v>969</v>
      </c>
      <c r="E2106" s="232" t="s">
        <v>1689</v>
      </c>
      <c r="F2106" s="232" t="s">
        <v>1688</v>
      </c>
      <c r="G2106" s="233" t="s">
        <v>1687</v>
      </c>
      <c r="H2106" s="234" t="s">
        <v>1686</v>
      </c>
    </row>
    <row r="2107" spans="1:8" ht="14.25" x14ac:dyDescent="0.2">
      <c r="A2107">
        <v>20001</v>
      </c>
      <c r="B2107" s="235" t="s">
        <v>243</v>
      </c>
      <c r="C2107" s="132"/>
      <c r="D2107" s="236">
        <v>1</v>
      </c>
      <c r="E2107" s="237">
        <f>'BASE M-OBRA'!$D$3</f>
        <v>3.02</v>
      </c>
      <c r="F2107" s="216">
        <f>D2107*E2107</f>
        <v>3.02</v>
      </c>
      <c r="G2107" s="106">
        <f>IF($A2107=0,"",ROUND(H2107/F2107,2))</f>
        <v>1.3</v>
      </c>
      <c r="H2107" s="56">
        <f>IF($A2107=0,"",ROUND(SUM(H2108:H2111)*'BASE M-OBRA'!$D$23,2))</f>
        <v>3.93</v>
      </c>
    </row>
    <row r="2108" spans="1:8" ht="14.25" x14ac:dyDescent="0.2">
      <c r="A2108">
        <v>20017</v>
      </c>
      <c r="B2108" s="235" t="s">
        <v>1488</v>
      </c>
      <c r="C2108" s="132"/>
      <c r="D2108" s="236">
        <v>1</v>
      </c>
      <c r="E2108" s="237">
        <f>'BASE M-OBRA'!$D$19</f>
        <v>2.82</v>
      </c>
      <c r="F2108" s="216">
        <f>D2108*E2108</f>
        <v>2.82</v>
      </c>
      <c r="G2108" s="106">
        <v>3.5</v>
      </c>
      <c r="H2108" s="56">
        <f>IF($A2108=0,"",ROUND(G2108*F2108,2))</f>
        <v>9.8699999999999992</v>
      </c>
    </row>
    <row r="2109" spans="1:8" ht="14.25" x14ac:dyDescent="0.2">
      <c r="A2109">
        <v>20011</v>
      </c>
      <c r="B2109" s="235" t="s">
        <v>590</v>
      </c>
      <c r="C2109" s="132"/>
      <c r="D2109" s="236">
        <v>1</v>
      </c>
      <c r="E2109" s="237">
        <f>'BASE M-OBRA'!$D$13</f>
        <v>2.79</v>
      </c>
      <c r="F2109" s="216">
        <f>D2109*E2109</f>
        <v>2.79</v>
      </c>
      <c r="G2109" s="106">
        <f>+G2108</f>
        <v>3.5</v>
      </c>
      <c r="H2109" s="56">
        <f>IF($A2109=0,"",ROUND(G2109*F2109,2))</f>
        <v>9.77</v>
      </c>
    </row>
    <row r="2110" spans="1:8" x14ac:dyDescent="0.2">
      <c r="B2110" s="235"/>
      <c r="C2110" s="132"/>
      <c r="D2110" s="236"/>
      <c r="E2110" s="237"/>
      <c r="F2110" s="216"/>
      <c r="G2110" s="217"/>
      <c r="H2110" s="218"/>
    </row>
    <row r="2111" spans="1:8" x14ac:dyDescent="0.2">
      <c r="B2111" s="219" t="s">
        <v>1682</v>
      </c>
      <c r="C2111" s="220"/>
      <c r="D2111" s="221"/>
      <c r="E2111" s="222" t="s">
        <v>1682</v>
      </c>
      <c r="F2111" s="222" t="s">
        <v>1682</v>
      </c>
      <c r="G2111" s="223"/>
      <c r="H2111" s="224" t="s">
        <v>1682</v>
      </c>
    </row>
    <row r="2112" spans="1:8" x14ac:dyDescent="0.2">
      <c r="B2112" s="238" t="s">
        <v>1681</v>
      </c>
      <c r="C2112" s="239"/>
      <c r="D2112" s="240"/>
      <c r="E2112" s="239"/>
      <c r="F2112" s="239"/>
      <c r="G2112" s="239"/>
      <c r="H2112" s="241">
        <f>SUM(H2107:H2111)</f>
        <v>23.57</v>
      </c>
    </row>
    <row r="2113" spans="2:8" x14ac:dyDescent="0.2">
      <c r="B2113" s="227" t="s">
        <v>1684</v>
      </c>
      <c r="C2113" s="132"/>
      <c r="D2113" s="188"/>
      <c r="E2113" s="132"/>
      <c r="F2113" s="132"/>
      <c r="G2113" s="132"/>
      <c r="H2113" s="218"/>
    </row>
    <row r="2114" spans="2:8" ht="25.5" x14ac:dyDescent="0.2">
      <c r="B2114" s="229" t="s">
        <v>1409</v>
      </c>
      <c r="C2114" s="242"/>
      <c r="D2114" s="243"/>
      <c r="E2114" s="232" t="s">
        <v>1408</v>
      </c>
      <c r="F2114" s="231" t="s">
        <v>1679</v>
      </c>
      <c r="G2114" s="232" t="s">
        <v>1683</v>
      </c>
      <c r="H2114" s="234" t="s">
        <v>1675</v>
      </c>
    </row>
    <row r="2115" spans="2:8" x14ac:dyDescent="0.2">
      <c r="B2115" s="244" t="s">
        <v>419</v>
      </c>
      <c r="C2115" s="132"/>
      <c r="D2115" s="188"/>
      <c r="E2115" s="215" t="s">
        <v>1506</v>
      </c>
      <c r="F2115" s="215">
        <v>3.5</v>
      </c>
      <c r="G2115" s="216">
        <v>2.15</v>
      </c>
      <c r="H2115" s="218">
        <f>F2115*G2115</f>
        <v>7.5249999999999995</v>
      </c>
    </row>
    <row r="2116" spans="2:8" x14ac:dyDescent="0.2">
      <c r="B2116" s="214" t="s">
        <v>420</v>
      </c>
      <c r="C2116" s="132"/>
      <c r="D2116" s="188"/>
      <c r="E2116" s="215" t="s">
        <v>1506</v>
      </c>
      <c r="F2116" s="215">
        <v>4</v>
      </c>
      <c r="G2116" s="216">
        <v>0.22</v>
      </c>
      <c r="H2116" s="218">
        <f t="shared" ref="H2116:H2122" si="7">F2116*G2116</f>
        <v>0.88</v>
      </c>
    </row>
    <row r="2117" spans="2:8" x14ac:dyDescent="0.2">
      <c r="B2117" s="214" t="s">
        <v>494</v>
      </c>
      <c r="C2117" s="132"/>
      <c r="D2117" s="188"/>
      <c r="E2117" s="215" t="s">
        <v>1506</v>
      </c>
      <c r="F2117" s="215">
        <v>2</v>
      </c>
      <c r="G2117" s="216">
        <v>0.22</v>
      </c>
      <c r="H2117" s="218">
        <f t="shared" si="7"/>
        <v>0.44</v>
      </c>
    </row>
    <row r="2118" spans="2:8" x14ac:dyDescent="0.2">
      <c r="B2118" s="214" t="s">
        <v>421</v>
      </c>
      <c r="C2118" s="132"/>
      <c r="D2118" s="188"/>
      <c r="E2118" s="215" t="s">
        <v>1506</v>
      </c>
      <c r="F2118" s="215">
        <v>2</v>
      </c>
      <c r="G2118" s="216">
        <v>0.62</v>
      </c>
      <c r="H2118" s="218">
        <f t="shared" si="7"/>
        <v>1.24</v>
      </c>
    </row>
    <row r="2119" spans="2:8" x14ac:dyDescent="0.2">
      <c r="B2119" s="214" t="s">
        <v>501</v>
      </c>
      <c r="C2119" s="132"/>
      <c r="D2119" s="188"/>
      <c r="E2119" s="215" t="s">
        <v>1506</v>
      </c>
      <c r="F2119" s="215">
        <v>1</v>
      </c>
      <c r="G2119" s="216">
        <v>0.35</v>
      </c>
      <c r="H2119" s="218">
        <f t="shared" si="7"/>
        <v>0.35</v>
      </c>
    </row>
    <row r="2120" spans="2:8" x14ac:dyDescent="0.2">
      <c r="B2120" s="214" t="s">
        <v>506</v>
      </c>
      <c r="C2120" s="132"/>
      <c r="D2120" s="188"/>
      <c r="E2120" s="215" t="s">
        <v>1708</v>
      </c>
      <c r="F2120" s="215">
        <v>23</v>
      </c>
      <c r="G2120" s="216">
        <v>0.4</v>
      </c>
      <c r="H2120" s="218">
        <f t="shared" si="7"/>
        <v>9.2000000000000011</v>
      </c>
    </row>
    <row r="2121" spans="2:8" x14ac:dyDescent="0.2">
      <c r="B2121" s="214" t="s">
        <v>507</v>
      </c>
      <c r="C2121" s="132"/>
      <c r="D2121" s="188"/>
      <c r="E2121" s="215" t="s">
        <v>1708</v>
      </c>
      <c r="F2121" s="215">
        <v>11.5</v>
      </c>
      <c r="G2121" s="216">
        <v>0.25</v>
      </c>
      <c r="H2121" s="218">
        <f t="shared" si="7"/>
        <v>2.875</v>
      </c>
    </row>
    <row r="2122" spans="2:8" x14ac:dyDescent="0.2">
      <c r="B2122" s="214" t="s">
        <v>508</v>
      </c>
      <c r="C2122" s="132"/>
      <c r="D2122" s="188"/>
      <c r="E2122" s="215" t="s">
        <v>1506</v>
      </c>
      <c r="F2122" s="215">
        <v>1</v>
      </c>
      <c r="G2122" s="216">
        <v>12.19</v>
      </c>
      <c r="H2122" s="218">
        <f t="shared" si="7"/>
        <v>12.19</v>
      </c>
    </row>
    <row r="2123" spans="2:8" x14ac:dyDescent="0.2">
      <c r="B2123" s="214" t="s">
        <v>509</v>
      </c>
      <c r="C2123" s="132"/>
      <c r="D2123" s="188"/>
      <c r="E2123" s="215"/>
      <c r="F2123" s="215"/>
      <c r="G2123" s="216"/>
      <c r="H2123" s="218"/>
    </row>
    <row r="2124" spans="2:8" x14ac:dyDescent="0.2">
      <c r="B2124" s="214"/>
      <c r="C2124" s="132"/>
      <c r="D2124" s="188"/>
      <c r="E2124" s="215"/>
      <c r="F2124" s="215"/>
      <c r="G2124" s="216"/>
      <c r="H2124" s="218"/>
    </row>
    <row r="2125" spans="2:8" x14ac:dyDescent="0.2">
      <c r="B2125" s="214" t="s">
        <v>1682</v>
      </c>
      <c r="C2125" s="132"/>
      <c r="D2125" s="245" t="s">
        <v>1682</v>
      </c>
      <c r="E2125" s="272" t="s">
        <v>1682</v>
      </c>
      <c r="F2125" s="215" t="s">
        <v>1682</v>
      </c>
      <c r="G2125" s="216" t="s">
        <v>1682</v>
      </c>
      <c r="H2125" s="218" t="s">
        <v>1682</v>
      </c>
    </row>
    <row r="2126" spans="2:8" x14ac:dyDescent="0.2">
      <c r="B2126" s="238" t="s">
        <v>1692</v>
      </c>
      <c r="C2126" s="239"/>
      <c r="D2126" s="240"/>
      <c r="E2126" s="240"/>
      <c r="F2126" s="240"/>
      <c r="G2126" s="239"/>
      <c r="H2126" s="241">
        <f>SUM(H2115:H2125)</f>
        <v>34.699999999999996</v>
      </c>
    </row>
    <row r="2127" spans="2:8" x14ac:dyDescent="0.2">
      <c r="B2127" s="227" t="s">
        <v>1680</v>
      </c>
      <c r="C2127" s="132"/>
      <c r="D2127" s="188"/>
      <c r="E2127" s="132"/>
      <c r="F2127" s="188"/>
      <c r="G2127" s="132"/>
      <c r="H2127" s="218"/>
    </row>
    <row r="2128" spans="2:8" ht="25.5" x14ac:dyDescent="0.2">
      <c r="B2128" s="229" t="s">
        <v>1409</v>
      </c>
      <c r="C2128" s="242"/>
      <c r="D2128" s="243"/>
      <c r="E2128" s="232" t="s">
        <v>1408</v>
      </c>
      <c r="F2128" s="231" t="s">
        <v>1679</v>
      </c>
      <c r="G2128" s="232" t="s">
        <v>1676</v>
      </c>
      <c r="H2128" s="234" t="s">
        <v>1675</v>
      </c>
    </row>
    <row r="2129" spans="2:8" x14ac:dyDescent="0.2">
      <c r="B2129" s="208" t="s">
        <v>975</v>
      </c>
      <c r="C2129" s="209"/>
      <c r="D2129" s="246"/>
      <c r="E2129" s="215" t="s">
        <v>976</v>
      </c>
      <c r="F2129" s="215">
        <v>0.25</v>
      </c>
      <c r="G2129" s="247">
        <v>5</v>
      </c>
      <c r="H2129" s="218">
        <f>F2129*G2129</f>
        <v>1.25</v>
      </c>
    </row>
    <row r="2130" spans="2:8" x14ac:dyDescent="0.2">
      <c r="B2130" s="214"/>
      <c r="C2130" s="132"/>
      <c r="D2130" s="248"/>
      <c r="E2130" s="215"/>
      <c r="F2130" s="215"/>
      <c r="G2130" s="247"/>
      <c r="H2130" s="218"/>
    </row>
    <row r="2131" spans="2:8" x14ac:dyDescent="0.2">
      <c r="B2131" s="219" t="s">
        <v>1682</v>
      </c>
      <c r="C2131" s="220"/>
      <c r="D2131" s="249"/>
      <c r="E2131" s="221" t="s">
        <v>1682</v>
      </c>
      <c r="F2131" s="221"/>
      <c r="G2131" s="222" t="s">
        <v>1682</v>
      </c>
      <c r="H2131" s="224" t="s">
        <v>1682</v>
      </c>
    </row>
    <row r="2132" spans="2:8" ht="13.5" thickBot="1" x14ac:dyDescent="0.25">
      <c r="B2132" s="250" t="s">
        <v>977</v>
      </c>
      <c r="C2132" s="251"/>
      <c r="D2132" s="252"/>
      <c r="E2132" s="252"/>
      <c r="F2132" s="252"/>
      <c r="G2132" s="251"/>
      <c r="H2132" s="253">
        <f>SUM(H2129:H2131)</f>
        <v>1.25</v>
      </c>
    </row>
    <row r="2133" spans="2:8" x14ac:dyDescent="0.2">
      <c r="B2133" s="132"/>
      <c r="C2133" s="132"/>
      <c r="D2133" s="254"/>
      <c r="E2133" s="198"/>
      <c r="F2133" s="198"/>
      <c r="G2133" s="255" t="s">
        <v>978</v>
      </c>
      <c r="H2133" s="256">
        <f>H2104+H2112+H2126+H2132</f>
        <v>60.519999999999996</v>
      </c>
    </row>
    <row r="2134" spans="2:8" x14ac:dyDescent="0.2">
      <c r="B2134" s="132"/>
      <c r="C2134" s="132"/>
      <c r="D2134" s="257"/>
      <c r="E2134" s="239"/>
      <c r="F2134" s="239"/>
      <c r="G2134" s="258" t="s">
        <v>979</v>
      </c>
      <c r="H2134" s="241"/>
    </row>
    <row r="2135" spans="2:8" x14ac:dyDescent="0.2">
      <c r="B2135" s="132"/>
      <c r="C2135" s="132"/>
      <c r="D2135" s="257"/>
      <c r="E2135" s="239"/>
      <c r="F2135" s="239"/>
      <c r="G2135" s="258" t="s">
        <v>980</v>
      </c>
      <c r="H2135" s="241"/>
    </row>
    <row r="2136" spans="2:8" x14ac:dyDescent="0.2">
      <c r="B2136" s="132"/>
      <c r="C2136" s="132"/>
      <c r="D2136" s="257"/>
      <c r="E2136" s="239"/>
      <c r="F2136" s="239"/>
      <c r="G2136" s="259" t="s">
        <v>1670</v>
      </c>
      <c r="H2136" s="260"/>
    </row>
    <row r="2137" spans="2:8" ht="13.5" thickBot="1" x14ac:dyDescent="0.25">
      <c r="B2137" s="193"/>
      <c r="C2137" s="132"/>
      <c r="D2137" s="261"/>
      <c r="E2137" s="251"/>
      <c r="F2137" s="251"/>
      <c r="G2137" s="262" t="s">
        <v>1650</v>
      </c>
      <c r="H2137" s="263"/>
    </row>
    <row r="2138" spans="2:8" ht="15.75" x14ac:dyDescent="0.2">
      <c r="B2138" s="186" t="s">
        <v>1701</v>
      </c>
      <c r="C2138" s="132"/>
      <c r="D2138" s="189" t="s">
        <v>742</v>
      </c>
      <c r="E2138" s="132"/>
      <c r="F2138" s="132"/>
      <c r="G2138" s="188"/>
      <c r="H2138" s="132"/>
    </row>
    <row r="2139" spans="2:8" ht="15.75" x14ac:dyDescent="0.2">
      <c r="B2139" s="186" t="s">
        <v>1700</v>
      </c>
      <c r="C2139" s="189" t="s">
        <v>963</v>
      </c>
      <c r="D2139" s="132"/>
      <c r="E2139" s="132"/>
      <c r="F2139" s="132"/>
      <c r="G2139" s="190"/>
      <c r="H2139" s="191"/>
    </row>
    <row r="2140" spans="2:8" ht="14.25" x14ac:dyDescent="0.2">
      <c r="B2140" s="189"/>
      <c r="C2140" s="189"/>
      <c r="D2140" s="189"/>
      <c r="E2140" s="189"/>
      <c r="F2140" s="189"/>
      <c r="G2140" s="189"/>
      <c r="H2140" s="189"/>
    </row>
    <row r="2141" spans="2:8" ht="15.75" x14ac:dyDescent="0.2">
      <c r="B2141" s="186" t="s">
        <v>1697</v>
      </c>
      <c r="C2141" s="189"/>
      <c r="D2141" s="132"/>
      <c r="E2141" s="132"/>
      <c r="F2141" s="132"/>
      <c r="G2141" s="132"/>
      <c r="H2141" s="132"/>
    </row>
    <row r="2142" spans="2:8" ht="15" x14ac:dyDescent="0.2">
      <c r="B2142" s="192"/>
      <c r="C2142" s="189"/>
      <c r="D2142" s="189"/>
      <c r="E2142" s="189"/>
      <c r="F2142" s="189"/>
      <c r="G2142" s="189"/>
      <c r="H2142" s="189"/>
    </row>
    <row r="2143" spans="2:8" ht="14.25" x14ac:dyDescent="0.2">
      <c r="B2143" s="193" t="s">
        <v>594</v>
      </c>
      <c r="C2143" s="194" t="s">
        <v>510</v>
      </c>
      <c r="D2143" s="132"/>
      <c r="E2143" s="188"/>
      <c r="F2143" s="188"/>
      <c r="G2143" s="195" t="s">
        <v>1696</v>
      </c>
      <c r="H2143" s="189" t="s">
        <v>1506</v>
      </c>
    </row>
    <row r="2144" spans="2:8" ht="14.25" x14ac:dyDescent="0.2">
      <c r="B2144" s="196" t="s">
        <v>964</v>
      </c>
      <c r="C2144" s="280" t="s">
        <v>511</v>
      </c>
      <c r="D2144" s="132"/>
      <c r="E2144" s="132"/>
      <c r="F2144" s="132"/>
      <c r="G2144" s="132"/>
      <c r="H2144" s="132"/>
    </row>
    <row r="2145" spans="1:8" ht="15" thickBot="1" x14ac:dyDescent="0.25">
      <c r="B2145" s="187"/>
      <c r="C2145" s="187"/>
      <c r="D2145" s="189"/>
      <c r="E2145" s="189"/>
      <c r="F2145" s="189"/>
      <c r="G2145" s="189"/>
      <c r="H2145" s="189"/>
    </row>
    <row r="2146" spans="1:8" ht="13.5" thickBot="1" x14ac:dyDescent="0.25">
      <c r="B2146" s="264" t="s">
        <v>1695</v>
      </c>
      <c r="C2146" s="265"/>
      <c r="D2146" s="266"/>
      <c r="E2146" s="265"/>
      <c r="F2146" s="265"/>
      <c r="G2146" s="265"/>
      <c r="H2146" s="267"/>
    </row>
    <row r="2147" spans="1:8" ht="25.5" x14ac:dyDescent="0.2">
      <c r="B2147" s="197" t="s">
        <v>1409</v>
      </c>
      <c r="C2147" s="268"/>
      <c r="D2147" s="269" t="s">
        <v>966</v>
      </c>
      <c r="E2147" s="270" t="s">
        <v>1694</v>
      </c>
      <c r="F2147" s="270" t="s">
        <v>1693</v>
      </c>
      <c r="G2147" s="201" t="s">
        <v>1687</v>
      </c>
      <c r="H2147" s="271" t="s">
        <v>967</v>
      </c>
    </row>
    <row r="2148" spans="1:8" x14ac:dyDescent="0.2">
      <c r="B2148" s="208" t="s">
        <v>1468</v>
      </c>
      <c r="C2148" s="209"/>
      <c r="D2148" s="210">
        <v>1</v>
      </c>
      <c r="E2148" s="211">
        <v>2.5</v>
      </c>
      <c r="F2148" s="211">
        <f>D2148*E2148</f>
        <v>2.5</v>
      </c>
      <c r="G2148" s="212">
        <v>0.3</v>
      </c>
      <c r="H2148" s="213">
        <f>F2148*G2148</f>
        <v>0.75</v>
      </c>
    </row>
    <row r="2149" spans="1:8" x14ac:dyDescent="0.2">
      <c r="B2149" s="214" t="s">
        <v>1682</v>
      </c>
      <c r="C2149" s="132"/>
      <c r="D2149" s="215"/>
      <c r="E2149" s="216" t="s">
        <v>1682</v>
      </c>
      <c r="F2149" s="216" t="s">
        <v>1682</v>
      </c>
      <c r="G2149" s="217"/>
      <c r="H2149" s="218" t="s">
        <v>1682</v>
      </c>
    </row>
    <row r="2150" spans="1:8" x14ac:dyDescent="0.2">
      <c r="B2150" s="219" t="s">
        <v>1682</v>
      </c>
      <c r="C2150" s="220"/>
      <c r="D2150" s="221"/>
      <c r="E2150" s="222" t="s">
        <v>1682</v>
      </c>
      <c r="F2150" s="222" t="s">
        <v>1682</v>
      </c>
      <c r="G2150" s="223"/>
      <c r="H2150" s="224" t="s">
        <v>1682</v>
      </c>
    </row>
    <row r="2151" spans="1:8" x14ac:dyDescent="0.2">
      <c r="B2151" s="219" t="s">
        <v>968</v>
      </c>
      <c r="C2151" s="220"/>
      <c r="D2151" s="225"/>
      <c r="E2151" s="220"/>
      <c r="F2151" s="220"/>
      <c r="G2151" s="226"/>
      <c r="H2151" s="224">
        <f>SUM(H2148:H2150)</f>
        <v>0.75</v>
      </c>
    </row>
    <row r="2152" spans="1:8" x14ac:dyDescent="0.2">
      <c r="B2152" s="227" t="s">
        <v>1503</v>
      </c>
      <c r="C2152" s="132"/>
      <c r="D2152" s="188"/>
      <c r="E2152" s="132"/>
      <c r="F2152" s="132"/>
      <c r="G2152" s="228"/>
      <c r="H2152" s="218"/>
    </row>
    <row r="2153" spans="1:8" ht="25.5" x14ac:dyDescent="0.2">
      <c r="B2153" s="229" t="s">
        <v>1691</v>
      </c>
      <c r="C2153" s="230"/>
      <c r="D2153" s="231" t="s">
        <v>969</v>
      </c>
      <c r="E2153" s="232" t="s">
        <v>1689</v>
      </c>
      <c r="F2153" s="232" t="s">
        <v>1688</v>
      </c>
      <c r="G2153" s="233" t="s">
        <v>1687</v>
      </c>
      <c r="H2153" s="234" t="s">
        <v>1686</v>
      </c>
    </row>
    <row r="2154" spans="1:8" ht="14.25" x14ac:dyDescent="0.2">
      <c r="A2154">
        <v>20001</v>
      </c>
      <c r="B2154" s="235" t="s">
        <v>243</v>
      </c>
      <c r="C2154" s="132"/>
      <c r="D2154" s="236">
        <v>1</v>
      </c>
      <c r="E2154" s="237">
        <f>'BASE M-OBRA'!$D$3</f>
        <v>3.02</v>
      </c>
      <c r="F2154" s="216">
        <f>D2154*E2154</f>
        <v>3.02</v>
      </c>
      <c r="G2154" s="106">
        <f>IF($A2154=0,"",ROUND(H2154/F2154,2))</f>
        <v>0.52</v>
      </c>
      <c r="H2154" s="56">
        <f>IF($A2154=0,"",ROUND(SUM(H2155:H2158)*'BASE M-OBRA'!$D$23,2))</f>
        <v>1.57</v>
      </c>
    </row>
    <row r="2155" spans="1:8" ht="14.25" x14ac:dyDescent="0.2">
      <c r="A2155">
        <v>20017</v>
      </c>
      <c r="B2155" s="235" t="s">
        <v>1488</v>
      </c>
      <c r="C2155" s="132"/>
      <c r="D2155" s="236">
        <v>1</v>
      </c>
      <c r="E2155" s="237">
        <f>'BASE M-OBRA'!$D$19</f>
        <v>2.82</v>
      </c>
      <c r="F2155" s="216">
        <f>D2155*E2155</f>
        <v>2.82</v>
      </c>
      <c r="G2155" s="106">
        <v>1.4</v>
      </c>
      <c r="H2155" s="56">
        <f>IF($A2155=0,"",ROUND(G2155*F2155,2))</f>
        <v>3.95</v>
      </c>
    </row>
    <row r="2156" spans="1:8" ht="14.25" x14ac:dyDescent="0.2">
      <c r="A2156">
        <v>20011</v>
      </c>
      <c r="B2156" s="235" t="s">
        <v>590</v>
      </c>
      <c r="C2156" s="132"/>
      <c r="D2156" s="236">
        <v>1</v>
      </c>
      <c r="E2156" s="237">
        <f>'BASE M-OBRA'!$D$13</f>
        <v>2.79</v>
      </c>
      <c r="F2156" s="216">
        <f>D2156*E2156</f>
        <v>2.79</v>
      </c>
      <c r="G2156" s="106">
        <f>+G2155</f>
        <v>1.4</v>
      </c>
      <c r="H2156" s="56">
        <f>IF($A2156=0,"",ROUND(G2156*F2156,2))</f>
        <v>3.91</v>
      </c>
    </row>
    <row r="2157" spans="1:8" x14ac:dyDescent="0.2">
      <c r="B2157" s="235"/>
      <c r="C2157" s="132"/>
      <c r="D2157" s="236"/>
      <c r="E2157" s="237"/>
      <c r="F2157" s="216"/>
      <c r="G2157" s="217"/>
      <c r="H2157" s="218"/>
    </row>
    <row r="2158" spans="1:8" x14ac:dyDescent="0.2">
      <c r="B2158" s="219" t="s">
        <v>1682</v>
      </c>
      <c r="C2158" s="220"/>
      <c r="D2158" s="221"/>
      <c r="E2158" s="222" t="s">
        <v>1682</v>
      </c>
      <c r="F2158" s="222" t="s">
        <v>1682</v>
      </c>
      <c r="G2158" s="223"/>
      <c r="H2158" s="224" t="s">
        <v>1682</v>
      </c>
    </row>
    <row r="2159" spans="1:8" x14ac:dyDescent="0.2">
      <c r="B2159" s="238" t="s">
        <v>1681</v>
      </c>
      <c r="C2159" s="239"/>
      <c r="D2159" s="240"/>
      <c r="E2159" s="239"/>
      <c r="F2159" s="239"/>
      <c r="G2159" s="239"/>
      <c r="H2159" s="241">
        <f>SUM(H2154:H2158)</f>
        <v>9.43</v>
      </c>
    </row>
    <row r="2160" spans="1:8" x14ac:dyDescent="0.2">
      <c r="B2160" s="227" t="s">
        <v>1684</v>
      </c>
      <c r="C2160" s="132"/>
      <c r="D2160" s="188"/>
      <c r="E2160" s="132"/>
      <c r="F2160" s="132"/>
      <c r="G2160" s="132"/>
      <c r="H2160" s="218"/>
    </row>
    <row r="2161" spans="2:8" ht="25.5" x14ac:dyDescent="0.2">
      <c r="B2161" s="229" t="s">
        <v>1409</v>
      </c>
      <c r="C2161" s="242"/>
      <c r="D2161" s="243"/>
      <c r="E2161" s="232" t="s">
        <v>1408</v>
      </c>
      <c r="F2161" s="231" t="s">
        <v>1679</v>
      </c>
      <c r="G2161" s="232" t="s">
        <v>1683</v>
      </c>
      <c r="H2161" s="234" t="s">
        <v>1675</v>
      </c>
    </row>
    <row r="2162" spans="2:8" x14ac:dyDescent="0.2">
      <c r="B2162" s="244" t="s">
        <v>512</v>
      </c>
      <c r="C2162" s="132"/>
      <c r="D2162" s="188"/>
      <c r="E2162" s="215"/>
      <c r="F2162" s="215"/>
      <c r="G2162" s="216"/>
      <c r="H2162" s="218"/>
    </row>
    <row r="2163" spans="2:8" x14ac:dyDescent="0.2">
      <c r="B2163" s="214" t="s">
        <v>513</v>
      </c>
      <c r="C2163" s="132"/>
      <c r="D2163" s="188"/>
      <c r="E2163" s="215" t="s">
        <v>1506</v>
      </c>
      <c r="F2163" s="215">
        <v>1</v>
      </c>
      <c r="G2163" s="216">
        <v>51.95</v>
      </c>
      <c r="H2163" s="218">
        <f>F2163*G2163</f>
        <v>51.95</v>
      </c>
    </row>
    <row r="2164" spans="2:8" x14ac:dyDescent="0.2">
      <c r="B2164" s="214"/>
      <c r="C2164" s="132"/>
      <c r="D2164" s="188"/>
      <c r="E2164" s="272" t="s">
        <v>1682</v>
      </c>
      <c r="F2164" s="215"/>
      <c r="G2164" s="216"/>
      <c r="H2164" s="218"/>
    </row>
    <row r="2165" spans="2:8" x14ac:dyDescent="0.2">
      <c r="B2165" s="214" t="s">
        <v>1682</v>
      </c>
      <c r="C2165" s="132"/>
      <c r="D2165" s="245" t="s">
        <v>1682</v>
      </c>
      <c r="E2165" s="272" t="s">
        <v>1682</v>
      </c>
      <c r="F2165" s="215" t="s">
        <v>1682</v>
      </c>
      <c r="G2165" s="216" t="s">
        <v>1682</v>
      </c>
      <c r="H2165" s="218" t="s">
        <v>1682</v>
      </c>
    </row>
    <row r="2166" spans="2:8" x14ac:dyDescent="0.2">
      <c r="B2166" s="238" t="s">
        <v>1692</v>
      </c>
      <c r="C2166" s="239"/>
      <c r="D2166" s="240"/>
      <c r="E2166" s="240"/>
      <c r="F2166" s="240"/>
      <c r="G2166" s="239"/>
      <c r="H2166" s="241">
        <f>SUM(H2162:H2165)</f>
        <v>51.95</v>
      </c>
    </row>
    <row r="2167" spans="2:8" x14ac:dyDescent="0.2">
      <c r="B2167" s="227" t="s">
        <v>1680</v>
      </c>
      <c r="C2167" s="132"/>
      <c r="D2167" s="188"/>
      <c r="E2167" s="132"/>
      <c r="F2167" s="188"/>
      <c r="G2167" s="132"/>
      <c r="H2167" s="218"/>
    </row>
    <row r="2168" spans="2:8" ht="25.5" x14ac:dyDescent="0.2">
      <c r="B2168" s="229" t="s">
        <v>1409</v>
      </c>
      <c r="C2168" s="242"/>
      <c r="D2168" s="243"/>
      <c r="E2168" s="232" t="s">
        <v>1408</v>
      </c>
      <c r="F2168" s="231" t="s">
        <v>1679</v>
      </c>
      <c r="G2168" s="232" t="s">
        <v>1676</v>
      </c>
      <c r="H2168" s="234" t="s">
        <v>1675</v>
      </c>
    </row>
    <row r="2169" spans="2:8" x14ac:dyDescent="0.2">
      <c r="B2169" s="208" t="s">
        <v>975</v>
      </c>
      <c r="C2169" s="209"/>
      <c r="D2169" s="246"/>
      <c r="E2169" s="215" t="s">
        <v>976</v>
      </c>
      <c r="F2169" s="215">
        <v>0.2</v>
      </c>
      <c r="G2169" s="247">
        <v>5</v>
      </c>
      <c r="H2169" s="218">
        <f>F2169*G2169</f>
        <v>1</v>
      </c>
    </row>
    <row r="2170" spans="2:8" x14ac:dyDescent="0.2">
      <c r="B2170" s="214"/>
      <c r="C2170" s="132"/>
      <c r="D2170" s="248"/>
      <c r="E2170" s="215"/>
      <c r="F2170" s="215"/>
      <c r="G2170" s="247"/>
      <c r="H2170" s="218"/>
    </row>
    <row r="2171" spans="2:8" x14ac:dyDescent="0.2">
      <c r="B2171" s="219" t="s">
        <v>1682</v>
      </c>
      <c r="C2171" s="220"/>
      <c r="D2171" s="249"/>
      <c r="E2171" s="221" t="s">
        <v>1682</v>
      </c>
      <c r="F2171" s="221"/>
      <c r="G2171" s="222" t="s">
        <v>1682</v>
      </c>
      <c r="H2171" s="224" t="s">
        <v>1682</v>
      </c>
    </row>
    <row r="2172" spans="2:8" ht="13.5" thickBot="1" x14ac:dyDescent="0.25">
      <c r="B2172" s="250" t="s">
        <v>977</v>
      </c>
      <c r="C2172" s="251"/>
      <c r="D2172" s="252"/>
      <c r="E2172" s="252"/>
      <c r="F2172" s="252"/>
      <c r="G2172" s="251"/>
      <c r="H2172" s="253">
        <f>SUM(H2169:H2171)</f>
        <v>1</v>
      </c>
    </row>
    <row r="2173" spans="2:8" x14ac:dyDescent="0.2">
      <c r="B2173" s="132"/>
      <c r="C2173" s="132"/>
      <c r="D2173" s="254"/>
      <c r="E2173" s="198"/>
      <c r="F2173" s="198"/>
      <c r="G2173" s="255" t="s">
        <v>978</v>
      </c>
      <c r="H2173" s="256">
        <f>H2151+H2159+H2166+H2172</f>
        <v>63.13</v>
      </c>
    </row>
    <row r="2174" spans="2:8" x14ac:dyDescent="0.2">
      <c r="B2174" s="132"/>
      <c r="C2174" s="132"/>
      <c r="D2174" s="257"/>
      <c r="E2174" s="239"/>
      <c r="F2174" s="239"/>
      <c r="G2174" s="258" t="s">
        <v>979</v>
      </c>
      <c r="H2174" s="241"/>
    </row>
    <row r="2175" spans="2:8" x14ac:dyDescent="0.2">
      <c r="B2175" s="132"/>
      <c r="C2175" s="132"/>
      <c r="D2175" s="257"/>
      <c r="E2175" s="239"/>
      <c r="F2175" s="239"/>
      <c r="G2175" s="258" t="s">
        <v>980</v>
      </c>
      <c r="H2175" s="241"/>
    </row>
    <row r="2176" spans="2:8" x14ac:dyDescent="0.2">
      <c r="B2176" s="132"/>
      <c r="C2176" s="132"/>
      <c r="D2176" s="257"/>
      <c r="E2176" s="239"/>
      <c r="F2176" s="239"/>
      <c r="G2176" s="259" t="s">
        <v>1670</v>
      </c>
      <c r="H2176" s="260"/>
    </row>
    <row r="2177" spans="2:8" ht="13.5" thickBot="1" x14ac:dyDescent="0.25">
      <c r="B2177" s="193"/>
      <c r="C2177" s="132"/>
      <c r="D2177" s="261"/>
      <c r="E2177" s="251"/>
      <c r="F2177" s="251"/>
      <c r="G2177" s="262" t="s">
        <v>1650</v>
      </c>
      <c r="H2177" s="263"/>
    </row>
    <row r="2178" spans="2:8" ht="15.75" x14ac:dyDescent="0.2">
      <c r="B2178" s="186" t="s">
        <v>1701</v>
      </c>
      <c r="C2178" s="132"/>
      <c r="D2178" s="189" t="s">
        <v>742</v>
      </c>
      <c r="E2178" s="132"/>
      <c r="F2178" s="132"/>
      <c r="G2178" s="188"/>
      <c r="H2178" s="132"/>
    </row>
    <row r="2179" spans="2:8" ht="15.75" x14ac:dyDescent="0.2">
      <c r="B2179" s="186" t="s">
        <v>1700</v>
      </c>
      <c r="C2179" s="189" t="s">
        <v>963</v>
      </c>
      <c r="D2179" s="132"/>
      <c r="E2179" s="132"/>
      <c r="F2179" s="132"/>
      <c r="G2179" s="190"/>
      <c r="H2179" s="191"/>
    </row>
    <row r="2180" spans="2:8" ht="14.25" x14ac:dyDescent="0.2">
      <c r="B2180" s="189"/>
      <c r="C2180" s="189"/>
      <c r="D2180" s="189"/>
      <c r="E2180" s="189"/>
      <c r="F2180" s="189"/>
      <c r="G2180" s="189"/>
      <c r="H2180" s="189"/>
    </row>
    <row r="2181" spans="2:8" ht="15.75" x14ac:dyDescent="0.2">
      <c r="B2181" s="186" t="s">
        <v>1697</v>
      </c>
      <c r="C2181" s="189"/>
      <c r="D2181" s="132"/>
      <c r="E2181" s="132"/>
      <c r="F2181" s="132"/>
      <c r="G2181" s="132"/>
      <c r="H2181" s="132"/>
    </row>
    <row r="2182" spans="2:8" ht="15" x14ac:dyDescent="0.2">
      <c r="B2182" s="192"/>
      <c r="C2182" s="189"/>
      <c r="D2182" s="189"/>
      <c r="E2182" s="189"/>
      <c r="F2182" s="189"/>
      <c r="G2182" s="189"/>
      <c r="H2182" s="189"/>
    </row>
    <row r="2183" spans="2:8" ht="14.25" x14ac:dyDescent="0.2">
      <c r="B2183" s="193" t="s">
        <v>594</v>
      </c>
      <c r="C2183" s="194" t="s">
        <v>514</v>
      </c>
      <c r="D2183" s="132"/>
      <c r="E2183" s="188"/>
      <c r="F2183" s="188"/>
      <c r="G2183" s="195" t="s">
        <v>1696</v>
      </c>
      <c r="H2183" s="189" t="s">
        <v>1506</v>
      </c>
    </row>
    <row r="2184" spans="2:8" ht="14.25" x14ac:dyDescent="0.2">
      <c r="B2184" s="196" t="s">
        <v>964</v>
      </c>
      <c r="C2184" s="194" t="s">
        <v>515</v>
      </c>
      <c r="D2184" s="132"/>
      <c r="E2184" s="132"/>
      <c r="F2184" s="132"/>
      <c r="G2184" s="132"/>
      <c r="H2184" s="132"/>
    </row>
    <row r="2185" spans="2:8" ht="15" thickBot="1" x14ac:dyDescent="0.25">
      <c r="B2185" s="187"/>
      <c r="C2185" s="187"/>
      <c r="D2185" s="189"/>
      <c r="E2185" s="189"/>
      <c r="F2185" s="189"/>
      <c r="G2185" s="189"/>
      <c r="H2185" s="189"/>
    </row>
    <row r="2186" spans="2:8" ht="13.5" thickBot="1" x14ac:dyDescent="0.25">
      <c r="B2186" s="264" t="s">
        <v>1695</v>
      </c>
      <c r="C2186" s="265"/>
      <c r="D2186" s="266"/>
      <c r="E2186" s="265"/>
      <c r="F2186" s="265"/>
      <c r="G2186" s="265"/>
      <c r="H2186" s="267"/>
    </row>
    <row r="2187" spans="2:8" ht="25.5" x14ac:dyDescent="0.2">
      <c r="B2187" s="197" t="s">
        <v>1409</v>
      </c>
      <c r="C2187" s="268"/>
      <c r="D2187" s="269" t="s">
        <v>966</v>
      </c>
      <c r="E2187" s="270" t="s">
        <v>1694</v>
      </c>
      <c r="F2187" s="270" t="s">
        <v>1693</v>
      </c>
      <c r="G2187" s="201" t="s">
        <v>1687</v>
      </c>
      <c r="H2187" s="271" t="s">
        <v>967</v>
      </c>
    </row>
    <row r="2188" spans="2:8" x14ac:dyDescent="0.2">
      <c r="B2188" s="208" t="s">
        <v>1468</v>
      </c>
      <c r="C2188" s="209"/>
      <c r="D2188" s="210">
        <v>1</v>
      </c>
      <c r="E2188" s="211">
        <v>2.5</v>
      </c>
      <c r="F2188" s="211">
        <f>D2188*E2188</f>
        <v>2.5</v>
      </c>
      <c r="G2188" s="212">
        <v>0.3</v>
      </c>
      <c r="H2188" s="213">
        <f>F2188*G2188</f>
        <v>0.75</v>
      </c>
    </row>
    <row r="2189" spans="2:8" x14ac:dyDescent="0.2">
      <c r="B2189" s="214" t="s">
        <v>1682</v>
      </c>
      <c r="C2189" s="132"/>
      <c r="D2189" s="215"/>
      <c r="E2189" s="216" t="s">
        <v>1682</v>
      </c>
      <c r="F2189" s="216" t="s">
        <v>1682</v>
      </c>
      <c r="G2189" s="217"/>
      <c r="H2189" s="218" t="s">
        <v>1682</v>
      </c>
    </row>
    <row r="2190" spans="2:8" x14ac:dyDescent="0.2">
      <c r="B2190" s="219" t="s">
        <v>1682</v>
      </c>
      <c r="C2190" s="220"/>
      <c r="D2190" s="221"/>
      <c r="E2190" s="222" t="s">
        <v>1682</v>
      </c>
      <c r="F2190" s="222" t="s">
        <v>1682</v>
      </c>
      <c r="G2190" s="223"/>
      <c r="H2190" s="224" t="s">
        <v>1682</v>
      </c>
    </row>
    <row r="2191" spans="2:8" x14ac:dyDescent="0.2">
      <c r="B2191" s="219" t="s">
        <v>968</v>
      </c>
      <c r="C2191" s="220"/>
      <c r="D2191" s="225"/>
      <c r="E2191" s="220"/>
      <c r="F2191" s="220"/>
      <c r="G2191" s="226"/>
      <c r="H2191" s="224">
        <f>SUM(H2188:H2190)</f>
        <v>0.75</v>
      </c>
    </row>
    <row r="2192" spans="2:8" x14ac:dyDescent="0.2">
      <c r="B2192" s="227" t="s">
        <v>1503</v>
      </c>
      <c r="C2192" s="132"/>
      <c r="D2192" s="188"/>
      <c r="E2192" s="132"/>
      <c r="F2192" s="132"/>
      <c r="G2192" s="228"/>
      <c r="H2192" s="218"/>
    </row>
    <row r="2193" spans="2:8" ht="25.5" x14ac:dyDescent="0.2">
      <c r="B2193" s="229" t="s">
        <v>1691</v>
      </c>
      <c r="C2193" s="230"/>
      <c r="D2193" s="231" t="s">
        <v>969</v>
      </c>
      <c r="E2193" s="232" t="s">
        <v>1689</v>
      </c>
      <c r="F2193" s="232" t="s">
        <v>1688</v>
      </c>
      <c r="G2193" s="233" t="s">
        <v>1687</v>
      </c>
      <c r="H2193" s="234" t="s">
        <v>1686</v>
      </c>
    </row>
    <row r="2194" spans="2:8" x14ac:dyDescent="0.2">
      <c r="B2194" s="235" t="s">
        <v>243</v>
      </c>
      <c r="C2194" s="132"/>
      <c r="D2194" s="236">
        <v>1</v>
      </c>
      <c r="E2194" s="237">
        <v>2.13</v>
      </c>
      <c r="F2194" s="216">
        <f>D2194*E2194</f>
        <v>2.13</v>
      </c>
      <c r="G2194" s="217">
        <v>1.48</v>
      </c>
      <c r="H2194" s="218">
        <v>3.15</v>
      </c>
    </row>
    <row r="2195" spans="2:8" x14ac:dyDescent="0.2">
      <c r="B2195" s="235" t="s">
        <v>1488</v>
      </c>
      <c r="C2195" s="132"/>
      <c r="D2195" s="236">
        <v>1</v>
      </c>
      <c r="E2195" s="237">
        <v>2.13</v>
      </c>
      <c r="F2195" s="216">
        <f>D2195*E2195</f>
        <v>2.13</v>
      </c>
      <c r="G2195" s="217">
        <v>1.1000000000000001</v>
      </c>
      <c r="H2195" s="218">
        <v>2.34</v>
      </c>
    </row>
    <row r="2196" spans="2:8" x14ac:dyDescent="0.2">
      <c r="B2196" s="235" t="s">
        <v>590</v>
      </c>
      <c r="C2196" s="132"/>
      <c r="D2196" s="236">
        <v>1</v>
      </c>
      <c r="E2196" s="237">
        <v>2.13</v>
      </c>
      <c r="F2196" s="216">
        <f>D2196*E2196</f>
        <v>2.13</v>
      </c>
      <c r="G2196" s="217">
        <v>0.79</v>
      </c>
      <c r="H2196" s="218">
        <v>1.68</v>
      </c>
    </row>
    <row r="2197" spans="2:8" x14ac:dyDescent="0.2">
      <c r="B2197" s="235"/>
      <c r="C2197" s="132"/>
      <c r="D2197" s="236"/>
      <c r="E2197" s="237"/>
      <c r="F2197" s="216"/>
      <c r="G2197" s="217"/>
      <c r="H2197" s="218"/>
    </row>
    <row r="2198" spans="2:8" x14ac:dyDescent="0.2">
      <c r="B2198" s="219" t="s">
        <v>1682</v>
      </c>
      <c r="C2198" s="220"/>
      <c r="D2198" s="221"/>
      <c r="E2198" s="222" t="s">
        <v>1682</v>
      </c>
      <c r="F2198" s="222" t="s">
        <v>1682</v>
      </c>
      <c r="G2198" s="223"/>
      <c r="H2198" s="224" t="s">
        <v>1682</v>
      </c>
    </row>
    <row r="2199" spans="2:8" x14ac:dyDescent="0.2">
      <c r="B2199" s="238" t="s">
        <v>1681</v>
      </c>
      <c r="C2199" s="239"/>
      <c r="D2199" s="240"/>
      <c r="E2199" s="239"/>
      <c r="F2199" s="239"/>
      <c r="G2199" s="239"/>
      <c r="H2199" s="241">
        <f>SUM(H2194:H2198)</f>
        <v>7.17</v>
      </c>
    </row>
    <row r="2200" spans="2:8" x14ac:dyDescent="0.2">
      <c r="B2200" s="227" t="s">
        <v>1684</v>
      </c>
      <c r="C2200" s="132"/>
      <c r="D2200" s="188"/>
      <c r="E2200" s="132"/>
      <c r="F2200" s="132"/>
      <c r="G2200" s="132"/>
      <c r="H2200" s="218"/>
    </row>
    <row r="2201" spans="2:8" ht="25.5" x14ac:dyDescent="0.2">
      <c r="B2201" s="229" t="s">
        <v>1409</v>
      </c>
      <c r="C2201" s="242"/>
      <c r="D2201" s="243"/>
      <c r="E2201" s="232" t="s">
        <v>1408</v>
      </c>
      <c r="F2201" s="231" t="s">
        <v>1679</v>
      </c>
      <c r="G2201" s="232" t="s">
        <v>1683</v>
      </c>
      <c r="H2201" s="234" t="s">
        <v>1675</v>
      </c>
    </row>
    <row r="2202" spans="2:8" x14ac:dyDescent="0.2">
      <c r="B2202" s="244" t="s">
        <v>516</v>
      </c>
      <c r="C2202" s="132"/>
      <c r="D2202" s="188"/>
      <c r="E2202" s="215"/>
      <c r="F2202" s="215"/>
      <c r="G2202" s="216"/>
      <c r="H2202" s="218"/>
    </row>
    <row r="2203" spans="2:8" x14ac:dyDescent="0.2">
      <c r="B2203" s="214" t="s">
        <v>517</v>
      </c>
      <c r="C2203" s="132"/>
      <c r="D2203" s="188"/>
      <c r="E2203" s="215" t="s">
        <v>1506</v>
      </c>
      <c r="F2203" s="215">
        <v>1</v>
      </c>
      <c r="G2203" s="216">
        <v>44.99</v>
      </c>
      <c r="H2203" s="218">
        <f>F2203*G2203</f>
        <v>44.99</v>
      </c>
    </row>
    <row r="2204" spans="2:8" x14ac:dyDescent="0.2">
      <c r="B2204" s="214"/>
      <c r="C2204" s="132"/>
      <c r="D2204" s="188"/>
      <c r="E2204" s="272" t="s">
        <v>1682</v>
      </c>
      <c r="F2204" s="215"/>
      <c r="G2204" s="216"/>
      <c r="H2204" s="218"/>
    </row>
    <row r="2205" spans="2:8" x14ac:dyDescent="0.2">
      <c r="B2205" s="214" t="s">
        <v>1682</v>
      </c>
      <c r="C2205" s="132"/>
      <c r="D2205" s="245" t="s">
        <v>1682</v>
      </c>
      <c r="E2205" s="272" t="s">
        <v>1682</v>
      </c>
      <c r="F2205" s="215" t="s">
        <v>1682</v>
      </c>
      <c r="G2205" s="216" t="s">
        <v>1682</v>
      </c>
      <c r="H2205" s="218" t="s">
        <v>1682</v>
      </c>
    </row>
    <row r="2206" spans="2:8" x14ac:dyDescent="0.2">
      <c r="B2206" s="238" t="s">
        <v>1692</v>
      </c>
      <c r="C2206" s="239"/>
      <c r="D2206" s="240"/>
      <c r="E2206" s="240"/>
      <c r="F2206" s="240"/>
      <c r="G2206" s="239"/>
      <c r="H2206" s="241">
        <f>SUM(H2202:H2205)</f>
        <v>44.99</v>
      </c>
    </row>
    <row r="2207" spans="2:8" x14ac:dyDescent="0.2">
      <c r="B2207" s="227" t="s">
        <v>1680</v>
      </c>
      <c r="C2207" s="132"/>
      <c r="D2207" s="188"/>
      <c r="E2207" s="132"/>
      <c r="F2207" s="188"/>
      <c r="G2207" s="132"/>
      <c r="H2207" s="218"/>
    </row>
    <row r="2208" spans="2:8" ht="25.5" x14ac:dyDescent="0.2">
      <c r="B2208" s="229" t="s">
        <v>1409</v>
      </c>
      <c r="C2208" s="242"/>
      <c r="D2208" s="243"/>
      <c r="E2208" s="232" t="s">
        <v>1408</v>
      </c>
      <c r="F2208" s="231" t="s">
        <v>1679</v>
      </c>
      <c r="G2208" s="232" t="s">
        <v>1676</v>
      </c>
      <c r="H2208" s="234" t="s">
        <v>1675</v>
      </c>
    </row>
    <row r="2209" spans="2:8" x14ac:dyDescent="0.2">
      <c r="B2209" s="208" t="s">
        <v>975</v>
      </c>
      <c r="C2209" s="209"/>
      <c r="D2209" s="246"/>
      <c r="E2209" s="215" t="s">
        <v>976</v>
      </c>
      <c r="F2209" s="215">
        <v>0.2</v>
      </c>
      <c r="G2209" s="247">
        <v>5</v>
      </c>
      <c r="H2209" s="218">
        <f>F2209*G2209</f>
        <v>1</v>
      </c>
    </row>
    <row r="2210" spans="2:8" x14ac:dyDescent="0.2">
      <c r="B2210" s="214"/>
      <c r="C2210" s="132"/>
      <c r="D2210" s="248"/>
      <c r="E2210" s="215"/>
      <c r="F2210" s="215"/>
      <c r="G2210" s="247"/>
      <c r="H2210" s="218"/>
    </row>
    <row r="2211" spans="2:8" x14ac:dyDescent="0.2">
      <c r="B2211" s="219" t="s">
        <v>1682</v>
      </c>
      <c r="C2211" s="220"/>
      <c r="D2211" s="249"/>
      <c r="E2211" s="221" t="s">
        <v>1682</v>
      </c>
      <c r="F2211" s="221"/>
      <c r="G2211" s="222" t="s">
        <v>1682</v>
      </c>
      <c r="H2211" s="224" t="s">
        <v>1682</v>
      </c>
    </row>
    <row r="2212" spans="2:8" ht="13.5" thickBot="1" x14ac:dyDescent="0.25">
      <c r="B2212" s="250" t="s">
        <v>977</v>
      </c>
      <c r="C2212" s="251"/>
      <c r="D2212" s="252"/>
      <c r="E2212" s="252"/>
      <c r="F2212" s="252"/>
      <c r="G2212" s="251"/>
      <c r="H2212" s="253">
        <f>SUM(H2209:H2211)</f>
        <v>1</v>
      </c>
    </row>
    <row r="2213" spans="2:8" x14ac:dyDescent="0.2">
      <c r="B2213" s="132"/>
      <c r="C2213" s="132"/>
      <c r="D2213" s="254"/>
      <c r="E2213" s="198"/>
      <c r="F2213" s="198"/>
      <c r="G2213" s="255" t="s">
        <v>978</v>
      </c>
      <c r="H2213" s="256">
        <f>H2191+H2199+H2206+H2212</f>
        <v>53.910000000000004</v>
      </c>
    </row>
    <row r="2214" spans="2:8" x14ac:dyDescent="0.2">
      <c r="B2214" s="132"/>
      <c r="C2214" s="132"/>
      <c r="D2214" s="257"/>
      <c r="E2214" s="239"/>
      <c r="F2214" s="239"/>
      <c r="G2214" s="258" t="s">
        <v>979</v>
      </c>
      <c r="H2214" s="241"/>
    </row>
    <row r="2215" spans="2:8" x14ac:dyDescent="0.2">
      <c r="B2215" s="132"/>
      <c r="C2215" s="132"/>
      <c r="D2215" s="257"/>
      <c r="E2215" s="239"/>
      <c r="F2215" s="239"/>
      <c r="G2215" s="258" t="s">
        <v>980</v>
      </c>
      <c r="H2215" s="241"/>
    </row>
    <row r="2216" spans="2:8" x14ac:dyDescent="0.2">
      <c r="B2216" s="132"/>
      <c r="C2216" s="132"/>
      <c r="D2216" s="257"/>
      <c r="E2216" s="239"/>
      <c r="F2216" s="239"/>
      <c r="G2216" s="259" t="s">
        <v>1670</v>
      </c>
      <c r="H2216" s="260"/>
    </row>
    <row r="2217" spans="2:8" ht="13.5" thickBot="1" x14ac:dyDescent="0.25">
      <c r="B2217" s="193"/>
      <c r="C2217" s="132"/>
      <c r="D2217" s="261"/>
      <c r="E2217" s="251"/>
      <c r="F2217" s="251"/>
      <c r="G2217" s="262" t="s">
        <v>1650</v>
      </c>
      <c r="H2217" s="263"/>
    </row>
    <row r="2218" spans="2:8" ht="15.75" x14ac:dyDescent="0.2">
      <c r="B2218" s="186" t="s">
        <v>1701</v>
      </c>
      <c r="C2218" s="132"/>
      <c r="D2218" s="189" t="s">
        <v>742</v>
      </c>
      <c r="E2218" s="132"/>
      <c r="F2218" s="132"/>
      <c r="G2218" s="188"/>
      <c r="H2218" s="132"/>
    </row>
    <row r="2219" spans="2:8" ht="15.75" x14ac:dyDescent="0.2">
      <c r="B2219" s="186" t="s">
        <v>1700</v>
      </c>
      <c r="C2219" s="189" t="s">
        <v>963</v>
      </c>
      <c r="D2219" s="132"/>
      <c r="E2219" s="132"/>
      <c r="F2219" s="132"/>
      <c r="G2219" s="190"/>
      <c r="H2219" s="191"/>
    </row>
    <row r="2220" spans="2:8" ht="14.25" x14ac:dyDescent="0.2">
      <c r="B2220" s="189"/>
      <c r="C2220" s="189"/>
      <c r="D2220" s="189"/>
      <c r="E2220" s="189"/>
      <c r="F2220" s="189"/>
      <c r="G2220" s="189"/>
      <c r="H2220" s="189"/>
    </row>
    <row r="2221" spans="2:8" ht="15.75" x14ac:dyDescent="0.2">
      <c r="B2221" s="186" t="s">
        <v>1697</v>
      </c>
      <c r="C2221" s="189"/>
      <c r="D2221" s="132"/>
      <c r="E2221" s="132"/>
      <c r="F2221" s="132"/>
      <c r="G2221" s="132"/>
      <c r="H2221" s="132"/>
    </row>
    <row r="2222" spans="2:8" ht="15" x14ac:dyDescent="0.2">
      <c r="B2222" s="192"/>
      <c r="C2222" s="189"/>
      <c r="D2222" s="189"/>
      <c r="E2222" s="189"/>
      <c r="F2222" s="189"/>
      <c r="G2222" s="189"/>
      <c r="H2222" s="189"/>
    </row>
    <row r="2223" spans="2:8" ht="14.25" x14ac:dyDescent="0.2">
      <c r="B2223" s="193" t="s">
        <v>594</v>
      </c>
      <c r="C2223" s="194" t="s">
        <v>518</v>
      </c>
      <c r="D2223" s="132"/>
      <c r="E2223" s="188"/>
      <c r="F2223" s="188"/>
      <c r="G2223" s="195" t="s">
        <v>1696</v>
      </c>
      <c r="H2223" s="189" t="s">
        <v>1506</v>
      </c>
    </row>
    <row r="2224" spans="2:8" ht="14.25" x14ac:dyDescent="0.2">
      <c r="B2224" s="196" t="s">
        <v>964</v>
      </c>
      <c r="C2224" s="194" t="s">
        <v>519</v>
      </c>
      <c r="D2224" s="132"/>
      <c r="E2224" s="132"/>
      <c r="F2224" s="132"/>
      <c r="G2224" s="132"/>
      <c r="H2224" s="132"/>
    </row>
    <row r="2225" spans="2:8" ht="15" thickBot="1" x14ac:dyDescent="0.25">
      <c r="B2225" s="187"/>
      <c r="C2225" s="187"/>
      <c r="D2225" s="189"/>
      <c r="E2225" s="189"/>
      <c r="F2225" s="189"/>
      <c r="G2225" s="189"/>
      <c r="H2225" s="189"/>
    </row>
    <row r="2226" spans="2:8" ht="13.5" thickBot="1" x14ac:dyDescent="0.25">
      <c r="B2226" s="264" t="s">
        <v>1695</v>
      </c>
      <c r="C2226" s="265"/>
      <c r="D2226" s="266"/>
      <c r="E2226" s="265"/>
      <c r="F2226" s="265"/>
      <c r="G2226" s="265"/>
      <c r="H2226" s="267"/>
    </row>
    <row r="2227" spans="2:8" ht="25.5" x14ac:dyDescent="0.2">
      <c r="B2227" s="197" t="s">
        <v>1409</v>
      </c>
      <c r="C2227" s="268"/>
      <c r="D2227" s="269" t="s">
        <v>966</v>
      </c>
      <c r="E2227" s="270" t="s">
        <v>1694</v>
      </c>
      <c r="F2227" s="270" t="s">
        <v>1693</v>
      </c>
      <c r="G2227" s="201" t="s">
        <v>1687</v>
      </c>
      <c r="H2227" s="271" t="s">
        <v>967</v>
      </c>
    </row>
    <row r="2228" spans="2:8" x14ac:dyDescent="0.2">
      <c r="B2228" s="208" t="s">
        <v>1468</v>
      </c>
      <c r="C2228" s="209"/>
      <c r="D2228" s="210">
        <v>1</v>
      </c>
      <c r="E2228" s="211">
        <v>2.5</v>
      </c>
      <c r="F2228" s="211">
        <f>D2228*E2228</f>
        <v>2.5</v>
      </c>
      <c r="G2228" s="212">
        <v>0.3</v>
      </c>
      <c r="H2228" s="213">
        <f>F2228*G2228</f>
        <v>0.75</v>
      </c>
    </row>
    <row r="2229" spans="2:8" x14ac:dyDescent="0.2">
      <c r="B2229" s="214" t="s">
        <v>1682</v>
      </c>
      <c r="C2229" s="132"/>
      <c r="D2229" s="215"/>
      <c r="E2229" s="216" t="s">
        <v>1682</v>
      </c>
      <c r="F2229" s="216" t="s">
        <v>1682</v>
      </c>
      <c r="G2229" s="217"/>
      <c r="H2229" s="218" t="s">
        <v>1682</v>
      </c>
    </row>
    <row r="2230" spans="2:8" x14ac:dyDescent="0.2">
      <c r="B2230" s="219" t="s">
        <v>1682</v>
      </c>
      <c r="C2230" s="220"/>
      <c r="D2230" s="221"/>
      <c r="E2230" s="222" t="s">
        <v>1682</v>
      </c>
      <c r="F2230" s="222" t="s">
        <v>1682</v>
      </c>
      <c r="G2230" s="223"/>
      <c r="H2230" s="224" t="s">
        <v>1682</v>
      </c>
    </row>
    <row r="2231" spans="2:8" x14ac:dyDescent="0.2">
      <c r="B2231" s="219" t="s">
        <v>968</v>
      </c>
      <c r="C2231" s="220"/>
      <c r="D2231" s="225"/>
      <c r="E2231" s="220"/>
      <c r="F2231" s="220"/>
      <c r="G2231" s="226"/>
      <c r="H2231" s="224">
        <f>SUM(H2228:H2230)</f>
        <v>0.75</v>
      </c>
    </row>
    <row r="2232" spans="2:8" x14ac:dyDescent="0.2">
      <c r="B2232" s="227" t="s">
        <v>1503</v>
      </c>
      <c r="C2232" s="132"/>
      <c r="D2232" s="188"/>
      <c r="E2232" s="132"/>
      <c r="F2232" s="132"/>
      <c r="G2232" s="228"/>
      <c r="H2232" s="218"/>
    </row>
    <row r="2233" spans="2:8" ht="25.5" x14ac:dyDescent="0.2">
      <c r="B2233" s="229" t="s">
        <v>1691</v>
      </c>
      <c r="C2233" s="230"/>
      <c r="D2233" s="231" t="s">
        <v>969</v>
      </c>
      <c r="E2233" s="232" t="s">
        <v>1689</v>
      </c>
      <c r="F2233" s="232" t="s">
        <v>1688</v>
      </c>
      <c r="G2233" s="233" t="s">
        <v>1687</v>
      </c>
      <c r="H2233" s="234" t="s">
        <v>1686</v>
      </c>
    </row>
    <row r="2234" spans="2:8" x14ac:dyDescent="0.2">
      <c r="B2234" s="235" t="s">
        <v>243</v>
      </c>
      <c r="C2234" s="132"/>
      <c r="D2234" s="236">
        <v>1</v>
      </c>
      <c r="E2234" s="237">
        <v>2.13</v>
      </c>
      <c r="F2234" s="216">
        <f>D2234*E2234</f>
        <v>2.13</v>
      </c>
      <c r="G2234" s="217">
        <v>1.48</v>
      </c>
      <c r="H2234" s="218">
        <v>3.15</v>
      </c>
    </row>
    <row r="2235" spans="2:8" x14ac:dyDescent="0.2">
      <c r="B2235" s="235" t="s">
        <v>1488</v>
      </c>
      <c r="C2235" s="132"/>
      <c r="D2235" s="236">
        <v>1</v>
      </c>
      <c r="E2235" s="237">
        <v>2.13</v>
      </c>
      <c r="F2235" s="216">
        <f>D2235*E2235</f>
        <v>2.13</v>
      </c>
      <c r="G2235" s="217">
        <v>1.1000000000000001</v>
      </c>
      <c r="H2235" s="218">
        <v>2.34</v>
      </c>
    </row>
    <row r="2236" spans="2:8" x14ac:dyDescent="0.2">
      <c r="B2236" s="235" t="s">
        <v>590</v>
      </c>
      <c r="C2236" s="132"/>
      <c r="D2236" s="236">
        <v>1</v>
      </c>
      <c r="E2236" s="237">
        <v>2.13</v>
      </c>
      <c r="F2236" s="216">
        <f>D2236*E2236</f>
        <v>2.13</v>
      </c>
      <c r="G2236" s="217">
        <v>0.79</v>
      </c>
      <c r="H2236" s="218">
        <v>1.68</v>
      </c>
    </row>
    <row r="2237" spans="2:8" x14ac:dyDescent="0.2">
      <c r="B2237" s="235"/>
      <c r="C2237" s="132"/>
      <c r="D2237" s="236"/>
      <c r="E2237" s="237"/>
      <c r="F2237" s="216"/>
      <c r="G2237" s="217"/>
      <c r="H2237" s="218"/>
    </row>
    <row r="2238" spans="2:8" x14ac:dyDescent="0.2">
      <c r="B2238" s="219" t="s">
        <v>1682</v>
      </c>
      <c r="C2238" s="220"/>
      <c r="D2238" s="221"/>
      <c r="E2238" s="222" t="s">
        <v>1682</v>
      </c>
      <c r="F2238" s="222" t="s">
        <v>1682</v>
      </c>
      <c r="G2238" s="223"/>
      <c r="H2238" s="224" t="s">
        <v>1682</v>
      </c>
    </row>
    <row r="2239" spans="2:8" x14ac:dyDescent="0.2">
      <c r="B2239" s="238" t="s">
        <v>1681</v>
      </c>
      <c r="C2239" s="239"/>
      <c r="D2239" s="240"/>
      <c r="E2239" s="239"/>
      <c r="F2239" s="239"/>
      <c r="G2239" s="239"/>
      <c r="H2239" s="241">
        <f>SUM(H2234:H2238)</f>
        <v>7.17</v>
      </c>
    </row>
    <row r="2240" spans="2:8" x14ac:dyDescent="0.2">
      <c r="B2240" s="227" t="s">
        <v>1684</v>
      </c>
      <c r="C2240" s="132"/>
      <c r="D2240" s="188"/>
      <c r="E2240" s="132"/>
      <c r="F2240" s="132"/>
      <c r="G2240" s="132"/>
      <c r="H2240" s="218"/>
    </row>
    <row r="2241" spans="2:8" ht="25.5" x14ac:dyDescent="0.2">
      <c r="B2241" s="229" t="s">
        <v>1409</v>
      </c>
      <c r="C2241" s="242"/>
      <c r="D2241" s="243"/>
      <c r="E2241" s="232" t="s">
        <v>1408</v>
      </c>
      <c r="F2241" s="231" t="s">
        <v>1679</v>
      </c>
      <c r="G2241" s="232" t="s">
        <v>1683</v>
      </c>
      <c r="H2241" s="234" t="s">
        <v>1675</v>
      </c>
    </row>
    <row r="2242" spans="2:8" x14ac:dyDescent="0.2">
      <c r="B2242" s="214" t="s">
        <v>520</v>
      </c>
      <c r="C2242" s="132"/>
      <c r="D2242" s="188"/>
      <c r="E2242" s="215"/>
      <c r="F2242" s="215"/>
      <c r="G2242" s="216"/>
      <c r="H2242" s="218"/>
    </row>
    <row r="2243" spans="2:8" x14ac:dyDescent="0.2">
      <c r="B2243" s="214" t="s">
        <v>521</v>
      </c>
      <c r="C2243" s="132"/>
      <c r="D2243" s="188"/>
      <c r="E2243" s="215" t="s">
        <v>1506</v>
      </c>
      <c r="F2243" s="215">
        <v>1</v>
      </c>
      <c r="G2243" s="216">
        <v>64.989999999999995</v>
      </c>
      <c r="H2243" s="218">
        <f>F2243*G2243</f>
        <v>64.989999999999995</v>
      </c>
    </row>
    <row r="2244" spans="2:8" x14ac:dyDescent="0.2">
      <c r="B2244" s="214"/>
      <c r="C2244" s="132"/>
      <c r="D2244" s="188"/>
      <c r="E2244" s="272"/>
      <c r="F2244" s="215"/>
      <c r="G2244" s="216"/>
      <c r="H2244" s="218"/>
    </row>
    <row r="2245" spans="2:8" x14ac:dyDescent="0.2">
      <c r="B2245" s="214" t="s">
        <v>1682</v>
      </c>
      <c r="C2245" s="132"/>
      <c r="D2245" s="245" t="s">
        <v>1682</v>
      </c>
      <c r="E2245" s="272" t="s">
        <v>1682</v>
      </c>
      <c r="F2245" s="215" t="s">
        <v>1682</v>
      </c>
      <c r="G2245" s="216" t="s">
        <v>1682</v>
      </c>
      <c r="H2245" s="218" t="s">
        <v>1682</v>
      </c>
    </row>
    <row r="2246" spans="2:8" x14ac:dyDescent="0.2">
      <c r="B2246" s="238" t="s">
        <v>1692</v>
      </c>
      <c r="C2246" s="239"/>
      <c r="D2246" s="240"/>
      <c r="E2246" s="240"/>
      <c r="F2246" s="240"/>
      <c r="G2246" s="239"/>
      <c r="H2246" s="241">
        <f>SUM(H2242:H2245)</f>
        <v>64.989999999999995</v>
      </c>
    </row>
    <row r="2247" spans="2:8" x14ac:dyDescent="0.2">
      <c r="B2247" s="227" t="s">
        <v>1680</v>
      </c>
      <c r="C2247" s="132"/>
      <c r="D2247" s="188"/>
      <c r="E2247" s="132"/>
      <c r="F2247" s="188"/>
      <c r="G2247" s="132"/>
      <c r="H2247" s="218"/>
    </row>
    <row r="2248" spans="2:8" ht="25.5" x14ac:dyDescent="0.2">
      <c r="B2248" s="229" t="s">
        <v>1409</v>
      </c>
      <c r="C2248" s="242"/>
      <c r="D2248" s="243"/>
      <c r="E2248" s="232" t="s">
        <v>1408</v>
      </c>
      <c r="F2248" s="231" t="s">
        <v>1679</v>
      </c>
      <c r="G2248" s="232" t="s">
        <v>1676</v>
      </c>
      <c r="H2248" s="234" t="s">
        <v>1675</v>
      </c>
    </row>
    <row r="2249" spans="2:8" x14ac:dyDescent="0.2">
      <c r="B2249" s="208" t="s">
        <v>975</v>
      </c>
      <c r="C2249" s="209"/>
      <c r="D2249" s="246"/>
      <c r="E2249" s="215" t="s">
        <v>976</v>
      </c>
      <c r="F2249" s="215">
        <v>0.2</v>
      </c>
      <c r="G2249" s="247">
        <v>5</v>
      </c>
      <c r="H2249" s="218">
        <f>F2249*G2249</f>
        <v>1</v>
      </c>
    </row>
    <row r="2250" spans="2:8" x14ac:dyDescent="0.2">
      <c r="B2250" s="214"/>
      <c r="C2250" s="132"/>
      <c r="D2250" s="248"/>
      <c r="E2250" s="215"/>
      <c r="F2250" s="215"/>
      <c r="G2250" s="247"/>
      <c r="H2250" s="218"/>
    </row>
    <row r="2251" spans="2:8" x14ac:dyDescent="0.2">
      <c r="B2251" s="219" t="s">
        <v>1682</v>
      </c>
      <c r="C2251" s="220"/>
      <c r="D2251" s="249"/>
      <c r="E2251" s="221" t="s">
        <v>1682</v>
      </c>
      <c r="F2251" s="221"/>
      <c r="G2251" s="222" t="s">
        <v>1682</v>
      </c>
      <c r="H2251" s="224" t="s">
        <v>1682</v>
      </c>
    </row>
    <row r="2252" spans="2:8" ht="13.5" thickBot="1" x14ac:dyDescent="0.25">
      <c r="B2252" s="250" t="s">
        <v>977</v>
      </c>
      <c r="C2252" s="251"/>
      <c r="D2252" s="252"/>
      <c r="E2252" s="252"/>
      <c r="F2252" s="252"/>
      <c r="G2252" s="251"/>
      <c r="H2252" s="253">
        <f>SUM(H2249:H2251)</f>
        <v>1</v>
      </c>
    </row>
    <row r="2253" spans="2:8" x14ac:dyDescent="0.2">
      <c r="B2253" s="132"/>
      <c r="C2253" s="132"/>
      <c r="D2253" s="254"/>
      <c r="E2253" s="198"/>
      <c r="F2253" s="198"/>
      <c r="G2253" s="255" t="s">
        <v>978</v>
      </c>
      <c r="H2253" s="256">
        <f>H2231+H2239+H2246+H2252</f>
        <v>73.91</v>
      </c>
    </row>
    <row r="2254" spans="2:8" x14ac:dyDescent="0.2">
      <c r="B2254" s="132"/>
      <c r="C2254" s="132"/>
      <c r="D2254" s="257"/>
      <c r="E2254" s="239"/>
      <c r="F2254" s="239"/>
      <c r="G2254" s="258" t="s">
        <v>979</v>
      </c>
      <c r="H2254" s="241"/>
    </row>
    <row r="2255" spans="2:8" x14ac:dyDescent="0.2">
      <c r="B2255" s="132"/>
      <c r="C2255" s="132"/>
      <c r="D2255" s="257"/>
      <c r="E2255" s="239"/>
      <c r="F2255" s="239"/>
      <c r="G2255" s="258" t="s">
        <v>980</v>
      </c>
      <c r="H2255" s="241"/>
    </row>
    <row r="2256" spans="2:8" x14ac:dyDescent="0.2">
      <c r="B2256" s="132"/>
      <c r="C2256" s="132"/>
      <c r="D2256" s="257"/>
      <c r="E2256" s="239"/>
      <c r="F2256" s="239"/>
      <c r="G2256" s="259" t="s">
        <v>1670</v>
      </c>
      <c r="H2256" s="260"/>
    </row>
    <row r="2257" spans="2:8" ht="13.5" thickBot="1" x14ac:dyDescent="0.25">
      <c r="B2257" s="193"/>
      <c r="C2257" s="132"/>
      <c r="D2257" s="261"/>
      <c r="E2257" s="251"/>
      <c r="F2257" s="251"/>
      <c r="G2257" s="262" t="s">
        <v>1650</v>
      </c>
      <c r="H2257" s="263"/>
    </row>
    <row r="2258" spans="2:8" ht="15.75" x14ac:dyDescent="0.2">
      <c r="B2258" s="186" t="s">
        <v>1701</v>
      </c>
      <c r="C2258" s="132"/>
      <c r="D2258" s="189" t="s">
        <v>742</v>
      </c>
      <c r="E2258" s="132"/>
      <c r="F2258" s="132"/>
      <c r="G2258" s="188"/>
      <c r="H2258" s="132"/>
    </row>
    <row r="2259" spans="2:8" ht="15.75" x14ac:dyDescent="0.2">
      <c r="B2259" s="186" t="s">
        <v>1700</v>
      </c>
      <c r="C2259" s="189" t="s">
        <v>963</v>
      </c>
      <c r="D2259" s="132"/>
      <c r="E2259" s="132"/>
      <c r="F2259" s="132"/>
      <c r="G2259" s="190"/>
      <c r="H2259" s="191"/>
    </row>
    <row r="2260" spans="2:8" ht="14.25" x14ac:dyDescent="0.2">
      <c r="B2260" s="189"/>
      <c r="C2260" s="189"/>
      <c r="D2260" s="189"/>
      <c r="E2260" s="189"/>
      <c r="F2260" s="189"/>
      <c r="G2260" s="189"/>
      <c r="H2260" s="189"/>
    </row>
    <row r="2261" spans="2:8" ht="15.75" x14ac:dyDescent="0.2">
      <c r="B2261" s="186" t="s">
        <v>1697</v>
      </c>
      <c r="C2261" s="189"/>
      <c r="D2261" s="132"/>
      <c r="E2261" s="132"/>
      <c r="F2261" s="132"/>
      <c r="G2261" s="132"/>
      <c r="H2261" s="132"/>
    </row>
    <row r="2262" spans="2:8" ht="15" x14ac:dyDescent="0.2">
      <c r="B2262" s="192"/>
      <c r="C2262" s="189"/>
      <c r="D2262" s="189"/>
      <c r="E2262" s="189"/>
      <c r="F2262" s="189"/>
      <c r="G2262" s="189"/>
      <c r="H2262" s="189"/>
    </row>
    <row r="2263" spans="2:8" ht="14.25" x14ac:dyDescent="0.2">
      <c r="B2263" s="193" t="s">
        <v>594</v>
      </c>
      <c r="C2263" s="194" t="s">
        <v>522</v>
      </c>
      <c r="D2263" s="132"/>
      <c r="E2263" s="188"/>
      <c r="F2263" s="188"/>
      <c r="G2263" s="195" t="s">
        <v>1696</v>
      </c>
      <c r="H2263" s="189" t="s">
        <v>1506</v>
      </c>
    </row>
    <row r="2264" spans="2:8" ht="14.25" x14ac:dyDescent="0.2">
      <c r="B2264" s="196" t="s">
        <v>964</v>
      </c>
      <c r="C2264" s="194" t="s">
        <v>523</v>
      </c>
      <c r="D2264" s="132"/>
      <c r="E2264" s="132"/>
      <c r="F2264" s="132"/>
      <c r="G2264" s="132"/>
      <c r="H2264" s="132"/>
    </row>
    <row r="2265" spans="2:8" ht="15" thickBot="1" x14ac:dyDescent="0.25">
      <c r="B2265" s="187"/>
      <c r="C2265" s="187"/>
      <c r="D2265" s="189"/>
      <c r="E2265" s="189"/>
      <c r="F2265" s="189"/>
      <c r="G2265" s="189"/>
      <c r="H2265" s="189"/>
    </row>
    <row r="2266" spans="2:8" ht="13.5" thickBot="1" x14ac:dyDescent="0.25">
      <c r="B2266" s="264" t="s">
        <v>1695</v>
      </c>
      <c r="C2266" s="265"/>
      <c r="D2266" s="266"/>
      <c r="E2266" s="265"/>
      <c r="F2266" s="265"/>
      <c r="G2266" s="265"/>
      <c r="H2266" s="267"/>
    </row>
    <row r="2267" spans="2:8" ht="25.5" x14ac:dyDescent="0.2">
      <c r="B2267" s="197" t="s">
        <v>1409</v>
      </c>
      <c r="C2267" s="268"/>
      <c r="D2267" s="269" t="s">
        <v>966</v>
      </c>
      <c r="E2267" s="270" t="s">
        <v>1694</v>
      </c>
      <c r="F2267" s="270" t="s">
        <v>1693</v>
      </c>
      <c r="G2267" s="201" t="s">
        <v>1687</v>
      </c>
      <c r="H2267" s="271" t="s">
        <v>967</v>
      </c>
    </row>
    <row r="2268" spans="2:8" x14ac:dyDescent="0.2">
      <c r="B2268" s="208" t="s">
        <v>1468</v>
      </c>
      <c r="C2268" s="209"/>
      <c r="D2268" s="210">
        <v>1</v>
      </c>
      <c r="E2268" s="211">
        <v>2.5</v>
      </c>
      <c r="F2268" s="211">
        <f>D2268*E2268</f>
        <v>2.5</v>
      </c>
      <c r="G2268" s="212">
        <v>0.2</v>
      </c>
      <c r="H2268" s="213">
        <f>F2268*G2268</f>
        <v>0.5</v>
      </c>
    </row>
    <row r="2269" spans="2:8" x14ac:dyDescent="0.2">
      <c r="B2269" s="214" t="s">
        <v>1682</v>
      </c>
      <c r="C2269" s="132"/>
      <c r="D2269" s="215"/>
      <c r="E2269" s="216" t="s">
        <v>1682</v>
      </c>
      <c r="F2269" s="216" t="s">
        <v>1682</v>
      </c>
      <c r="G2269" s="217"/>
      <c r="H2269" s="218" t="s">
        <v>1682</v>
      </c>
    </row>
    <row r="2270" spans="2:8" x14ac:dyDescent="0.2">
      <c r="B2270" s="219" t="s">
        <v>1682</v>
      </c>
      <c r="C2270" s="220"/>
      <c r="D2270" s="221"/>
      <c r="E2270" s="222" t="s">
        <v>1682</v>
      </c>
      <c r="F2270" s="222" t="s">
        <v>1682</v>
      </c>
      <c r="G2270" s="223"/>
      <c r="H2270" s="224" t="s">
        <v>1682</v>
      </c>
    </row>
    <row r="2271" spans="2:8" x14ac:dyDescent="0.2">
      <c r="B2271" s="219" t="s">
        <v>968</v>
      </c>
      <c r="C2271" s="220"/>
      <c r="D2271" s="225"/>
      <c r="E2271" s="220"/>
      <c r="F2271" s="220"/>
      <c r="G2271" s="226"/>
      <c r="H2271" s="224">
        <f>SUM(H2268:H2270)</f>
        <v>0.5</v>
      </c>
    </row>
    <row r="2272" spans="2:8" x14ac:dyDescent="0.2">
      <c r="B2272" s="227" t="s">
        <v>1503</v>
      </c>
      <c r="C2272" s="132"/>
      <c r="D2272" s="188"/>
      <c r="E2272" s="132"/>
      <c r="F2272" s="132"/>
      <c r="G2272" s="228"/>
      <c r="H2272" s="218"/>
    </row>
    <row r="2273" spans="2:8" ht="25.5" x14ac:dyDescent="0.2">
      <c r="B2273" s="229" t="s">
        <v>1691</v>
      </c>
      <c r="C2273" s="230"/>
      <c r="D2273" s="231" t="s">
        <v>969</v>
      </c>
      <c r="E2273" s="232" t="s">
        <v>1689</v>
      </c>
      <c r="F2273" s="232" t="s">
        <v>1688</v>
      </c>
      <c r="G2273" s="233" t="s">
        <v>1687</v>
      </c>
      <c r="H2273" s="234" t="s">
        <v>1686</v>
      </c>
    </row>
    <row r="2274" spans="2:8" x14ac:dyDescent="0.2">
      <c r="B2274" s="235" t="s">
        <v>243</v>
      </c>
      <c r="C2274" s="132"/>
      <c r="D2274" s="236">
        <v>1</v>
      </c>
      <c r="E2274" s="237">
        <v>2.13</v>
      </c>
      <c r="F2274" s="216">
        <f>D2274*E2274</f>
        <v>2.13</v>
      </c>
      <c r="G2274" s="217">
        <v>1.1599999999999999</v>
      </c>
      <c r="H2274" s="218">
        <v>2.4700000000000002</v>
      </c>
    </row>
    <row r="2275" spans="2:8" x14ac:dyDescent="0.2">
      <c r="B2275" s="235" t="s">
        <v>1488</v>
      </c>
      <c r="C2275" s="132"/>
      <c r="D2275" s="236">
        <v>1</v>
      </c>
      <c r="E2275" s="237">
        <v>2.13</v>
      </c>
      <c r="F2275" s="216">
        <f>D2275*E2275</f>
        <v>2.13</v>
      </c>
      <c r="G2275" s="217">
        <v>0.86</v>
      </c>
      <c r="H2275" s="218">
        <v>1.83</v>
      </c>
    </row>
    <row r="2276" spans="2:8" x14ac:dyDescent="0.2">
      <c r="B2276" s="235" t="s">
        <v>590</v>
      </c>
      <c r="C2276" s="132"/>
      <c r="D2276" s="236">
        <v>1</v>
      </c>
      <c r="E2276" s="237">
        <v>2.13</v>
      </c>
      <c r="F2276" s="216">
        <f>D2276*E2276</f>
        <v>2.13</v>
      </c>
      <c r="G2276" s="217">
        <v>0.62</v>
      </c>
      <c r="H2276" s="218">
        <v>1.32</v>
      </c>
    </row>
    <row r="2277" spans="2:8" x14ac:dyDescent="0.2">
      <c r="B2277" s="235"/>
      <c r="C2277" s="132"/>
      <c r="D2277" s="236"/>
      <c r="E2277" s="237"/>
      <c r="F2277" s="216"/>
      <c r="G2277" s="217"/>
      <c r="H2277" s="218"/>
    </row>
    <row r="2278" spans="2:8" x14ac:dyDescent="0.2">
      <c r="B2278" s="219" t="s">
        <v>1682</v>
      </c>
      <c r="C2278" s="220"/>
      <c r="D2278" s="221"/>
      <c r="E2278" s="222" t="s">
        <v>1682</v>
      </c>
      <c r="F2278" s="222" t="s">
        <v>1682</v>
      </c>
      <c r="G2278" s="223"/>
      <c r="H2278" s="224" t="s">
        <v>1682</v>
      </c>
    </row>
    <row r="2279" spans="2:8" x14ac:dyDescent="0.2">
      <c r="B2279" s="238" t="s">
        <v>1681</v>
      </c>
      <c r="C2279" s="239"/>
      <c r="D2279" s="240"/>
      <c r="E2279" s="239"/>
      <c r="F2279" s="239"/>
      <c r="G2279" s="239"/>
      <c r="H2279" s="241">
        <f>SUM(H2274:H2278)</f>
        <v>5.620000000000001</v>
      </c>
    </row>
    <row r="2280" spans="2:8" x14ac:dyDescent="0.2">
      <c r="B2280" s="227" t="s">
        <v>1684</v>
      </c>
      <c r="C2280" s="132"/>
      <c r="D2280" s="188"/>
      <c r="E2280" s="132"/>
      <c r="F2280" s="132"/>
      <c r="G2280" s="132"/>
      <c r="H2280" s="218"/>
    </row>
    <row r="2281" spans="2:8" ht="25.5" x14ac:dyDescent="0.2">
      <c r="B2281" s="229" t="s">
        <v>1409</v>
      </c>
      <c r="C2281" s="242"/>
      <c r="D2281" s="243"/>
      <c r="E2281" s="232" t="s">
        <v>1408</v>
      </c>
      <c r="F2281" s="231" t="s">
        <v>1679</v>
      </c>
      <c r="G2281" s="232" t="s">
        <v>1683</v>
      </c>
      <c r="H2281" s="234" t="s">
        <v>1675</v>
      </c>
    </row>
    <row r="2282" spans="2:8" x14ac:dyDescent="0.2">
      <c r="B2282" s="214" t="s">
        <v>524</v>
      </c>
      <c r="C2282" s="132"/>
      <c r="D2282" s="188"/>
      <c r="E2282" s="215"/>
      <c r="F2282" s="215"/>
      <c r="G2282" s="216"/>
      <c r="H2282" s="218"/>
    </row>
    <row r="2283" spans="2:8" x14ac:dyDescent="0.2">
      <c r="B2283" s="214" t="s">
        <v>525</v>
      </c>
      <c r="C2283" s="132"/>
      <c r="D2283" s="188"/>
      <c r="E2283" s="215" t="s">
        <v>1506</v>
      </c>
      <c r="F2283" s="215">
        <v>1</v>
      </c>
      <c r="G2283" s="216">
        <v>26.17</v>
      </c>
      <c r="H2283" s="218">
        <f>F2283*G2283</f>
        <v>26.17</v>
      </c>
    </row>
    <row r="2284" spans="2:8" x14ac:dyDescent="0.2">
      <c r="B2284" s="214"/>
      <c r="C2284" s="132"/>
      <c r="D2284" s="188"/>
      <c r="E2284" s="272"/>
      <c r="F2284" s="215"/>
      <c r="G2284" s="216"/>
      <c r="H2284" s="218"/>
    </row>
    <row r="2285" spans="2:8" x14ac:dyDescent="0.2">
      <c r="B2285" s="214" t="s">
        <v>1682</v>
      </c>
      <c r="C2285" s="132"/>
      <c r="D2285" s="245" t="s">
        <v>1682</v>
      </c>
      <c r="E2285" s="272" t="s">
        <v>1682</v>
      </c>
      <c r="F2285" s="215" t="s">
        <v>1682</v>
      </c>
      <c r="G2285" s="216" t="s">
        <v>1682</v>
      </c>
      <c r="H2285" s="218" t="s">
        <v>1682</v>
      </c>
    </row>
    <row r="2286" spans="2:8" x14ac:dyDescent="0.2">
      <c r="B2286" s="238" t="s">
        <v>1692</v>
      </c>
      <c r="C2286" s="239"/>
      <c r="D2286" s="240"/>
      <c r="E2286" s="240"/>
      <c r="F2286" s="240"/>
      <c r="G2286" s="239"/>
      <c r="H2286" s="241">
        <f>SUM(H2282:H2285)</f>
        <v>26.17</v>
      </c>
    </row>
    <row r="2287" spans="2:8" x14ac:dyDescent="0.2">
      <c r="B2287" s="227" t="s">
        <v>1680</v>
      </c>
      <c r="C2287" s="132"/>
      <c r="D2287" s="188"/>
      <c r="E2287" s="132"/>
      <c r="F2287" s="188"/>
      <c r="G2287" s="132"/>
      <c r="H2287" s="218"/>
    </row>
    <row r="2288" spans="2:8" ht="25.5" x14ac:dyDescent="0.2">
      <c r="B2288" s="229" t="s">
        <v>1409</v>
      </c>
      <c r="C2288" s="242"/>
      <c r="D2288" s="243"/>
      <c r="E2288" s="232" t="s">
        <v>1408</v>
      </c>
      <c r="F2288" s="231" t="s">
        <v>1679</v>
      </c>
      <c r="G2288" s="232" t="s">
        <v>1676</v>
      </c>
      <c r="H2288" s="234" t="s">
        <v>1675</v>
      </c>
    </row>
    <row r="2289" spans="2:8" x14ac:dyDescent="0.2">
      <c r="B2289" s="208" t="s">
        <v>975</v>
      </c>
      <c r="C2289" s="209"/>
      <c r="D2289" s="246"/>
      <c r="E2289" s="215" t="s">
        <v>976</v>
      </c>
      <c r="F2289" s="215">
        <v>0.15</v>
      </c>
      <c r="G2289" s="247">
        <v>5</v>
      </c>
      <c r="H2289" s="218">
        <f>F2289*G2289</f>
        <v>0.75</v>
      </c>
    </row>
    <row r="2290" spans="2:8" x14ac:dyDescent="0.2">
      <c r="B2290" s="214"/>
      <c r="C2290" s="132"/>
      <c r="D2290" s="248"/>
      <c r="E2290" s="215"/>
      <c r="F2290" s="215"/>
      <c r="G2290" s="247"/>
      <c r="H2290" s="218"/>
    </row>
    <row r="2291" spans="2:8" x14ac:dyDescent="0.2">
      <c r="B2291" s="219" t="s">
        <v>1682</v>
      </c>
      <c r="C2291" s="220"/>
      <c r="D2291" s="249"/>
      <c r="E2291" s="221" t="s">
        <v>1682</v>
      </c>
      <c r="F2291" s="221"/>
      <c r="G2291" s="222" t="s">
        <v>1682</v>
      </c>
      <c r="H2291" s="224" t="s">
        <v>1682</v>
      </c>
    </row>
    <row r="2292" spans="2:8" ht="13.5" thickBot="1" x14ac:dyDescent="0.25">
      <c r="B2292" s="250" t="s">
        <v>977</v>
      </c>
      <c r="C2292" s="251"/>
      <c r="D2292" s="252"/>
      <c r="E2292" s="252"/>
      <c r="F2292" s="252"/>
      <c r="G2292" s="251"/>
      <c r="H2292" s="253">
        <f>SUM(H2289:H2291)</f>
        <v>0.75</v>
      </c>
    </row>
    <row r="2293" spans="2:8" x14ac:dyDescent="0.2">
      <c r="B2293" s="132"/>
      <c r="C2293" s="132"/>
      <c r="D2293" s="254"/>
      <c r="E2293" s="198"/>
      <c r="F2293" s="198"/>
      <c r="G2293" s="255" t="s">
        <v>978</v>
      </c>
      <c r="H2293" s="256">
        <f>H2271+H2279+H2286+H2292</f>
        <v>33.040000000000006</v>
      </c>
    </row>
    <row r="2294" spans="2:8" x14ac:dyDescent="0.2">
      <c r="B2294" s="132"/>
      <c r="C2294" s="132"/>
      <c r="D2294" s="257"/>
      <c r="E2294" s="239"/>
      <c r="F2294" s="239"/>
      <c r="G2294" s="258" t="s">
        <v>979</v>
      </c>
      <c r="H2294" s="241"/>
    </row>
    <row r="2295" spans="2:8" x14ac:dyDescent="0.2">
      <c r="B2295" s="132"/>
      <c r="C2295" s="132"/>
      <c r="D2295" s="257"/>
      <c r="E2295" s="239"/>
      <c r="F2295" s="239"/>
      <c r="G2295" s="258" t="s">
        <v>980</v>
      </c>
      <c r="H2295" s="241"/>
    </row>
    <row r="2296" spans="2:8" x14ac:dyDescent="0.2">
      <c r="B2296" s="132"/>
      <c r="C2296" s="132"/>
      <c r="D2296" s="257"/>
      <c r="E2296" s="239"/>
      <c r="F2296" s="239"/>
      <c r="G2296" s="259" t="s">
        <v>1670</v>
      </c>
      <c r="H2296" s="260"/>
    </row>
    <row r="2297" spans="2:8" ht="13.5" thickBot="1" x14ac:dyDescent="0.25">
      <c r="B2297" s="193"/>
      <c r="C2297" s="132"/>
      <c r="D2297" s="261"/>
      <c r="E2297" s="251"/>
      <c r="F2297" s="251"/>
      <c r="G2297" s="262" t="s">
        <v>1650</v>
      </c>
      <c r="H2297" s="263"/>
    </row>
    <row r="2298" spans="2:8" ht="15.75" x14ac:dyDescent="0.2">
      <c r="B2298" s="186" t="s">
        <v>1701</v>
      </c>
      <c r="C2298" s="132"/>
      <c r="D2298" s="189" t="s">
        <v>742</v>
      </c>
      <c r="E2298" s="132"/>
      <c r="F2298" s="132"/>
      <c r="G2298" s="188"/>
      <c r="H2298" s="132"/>
    </row>
    <row r="2299" spans="2:8" ht="15.75" x14ac:dyDescent="0.2">
      <c r="B2299" s="186" t="s">
        <v>1700</v>
      </c>
      <c r="C2299" s="189" t="s">
        <v>963</v>
      </c>
      <c r="D2299" s="132"/>
      <c r="E2299" s="132"/>
      <c r="F2299" s="132"/>
      <c r="G2299" s="190"/>
      <c r="H2299" s="191"/>
    </row>
    <row r="2300" spans="2:8" ht="14.25" x14ac:dyDescent="0.2">
      <c r="B2300" s="189"/>
      <c r="C2300" s="189"/>
      <c r="D2300" s="189"/>
      <c r="E2300" s="189"/>
      <c r="F2300" s="189"/>
      <c r="G2300" s="189"/>
      <c r="H2300" s="189"/>
    </row>
    <row r="2301" spans="2:8" ht="15.75" x14ac:dyDescent="0.2">
      <c r="B2301" s="186" t="s">
        <v>1697</v>
      </c>
      <c r="C2301" s="189"/>
      <c r="D2301" s="132"/>
      <c r="E2301" s="132"/>
      <c r="F2301" s="132"/>
      <c r="G2301" s="132"/>
      <c r="H2301" s="132"/>
    </row>
    <row r="2302" spans="2:8" ht="15" x14ac:dyDescent="0.2">
      <c r="B2302" s="192"/>
      <c r="C2302" s="189"/>
      <c r="D2302" s="189"/>
      <c r="E2302" s="189"/>
      <c r="F2302" s="189"/>
      <c r="G2302" s="189"/>
      <c r="H2302" s="189"/>
    </row>
    <row r="2303" spans="2:8" ht="14.25" x14ac:dyDescent="0.2">
      <c r="B2303" s="193" t="s">
        <v>594</v>
      </c>
      <c r="C2303" s="194" t="s">
        <v>526</v>
      </c>
      <c r="D2303" s="132"/>
      <c r="E2303" s="188"/>
      <c r="F2303" s="188"/>
      <c r="G2303" s="195" t="s">
        <v>1696</v>
      </c>
      <c r="H2303" s="189" t="s">
        <v>1506</v>
      </c>
    </row>
    <row r="2304" spans="2:8" ht="14.25" x14ac:dyDescent="0.2">
      <c r="B2304" s="196" t="s">
        <v>964</v>
      </c>
      <c r="C2304" s="194" t="s">
        <v>527</v>
      </c>
      <c r="D2304" s="132"/>
      <c r="E2304" s="132"/>
      <c r="F2304" s="132"/>
      <c r="G2304" s="132"/>
      <c r="H2304" s="132"/>
    </row>
    <row r="2305" spans="2:8" ht="15" thickBot="1" x14ac:dyDescent="0.25">
      <c r="B2305" s="187"/>
      <c r="C2305" s="187"/>
      <c r="D2305" s="189"/>
      <c r="E2305" s="189"/>
      <c r="F2305" s="189"/>
      <c r="G2305" s="189"/>
      <c r="H2305" s="189"/>
    </row>
    <row r="2306" spans="2:8" ht="13.5" thickBot="1" x14ac:dyDescent="0.25">
      <c r="B2306" s="264" t="s">
        <v>1695</v>
      </c>
      <c r="C2306" s="265"/>
      <c r="D2306" s="266"/>
      <c r="E2306" s="265"/>
      <c r="F2306" s="265"/>
      <c r="G2306" s="265"/>
      <c r="H2306" s="267"/>
    </row>
    <row r="2307" spans="2:8" ht="25.5" x14ac:dyDescent="0.2">
      <c r="B2307" s="197" t="s">
        <v>1409</v>
      </c>
      <c r="C2307" s="268"/>
      <c r="D2307" s="269" t="s">
        <v>966</v>
      </c>
      <c r="E2307" s="270" t="s">
        <v>1694</v>
      </c>
      <c r="F2307" s="270" t="s">
        <v>1693</v>
      </c>
      <c r="G2307" s="201" t="s">
        <v>1687</v>
      </c>
      <c r="H2307" s="271" t="s">
        <v>967</v>
      </c>
    </row>
    <row r="2308" spans="2:8" x14ac:dyDescent="0.2">
      <c r="B2308" s="208" t="s">
        <v>1468</v>
      </c>
      <c r="C2308" s="209"/>
      <c r="D2308" s="210">
        <v>1</v>
      </c>
      <c r="E2308" s="211">
        <v>2.5</v>
      </c>
      <c r="F2308" s="211">
        <f>D2308*E2308</f>
        <v>2.5</v>
      </c>
      <c r="G2308" s="212">
        <v>0.2</v>
      </c>
      <c r="H2308" s="213">
        <f>F2308*G2308</f>
        <v>0.5</v>
      </c>
    </row>
    <row r="2309" spans="2:8" x14ac:dyDescent="0.2">
      <c r="B2309" s="214" t="s">
        <v>1682</v>
      </c>
      <c r="C2309" s="132"/>
      <c r="D2309" s="215"/>
      <c r="E2309" s="216" t="s">
        <v>1682</v>
      </c>
      <c r="F2309" s="216" t="s">
        <v>1682</v>
      </c>
      <c r="G2309" s="217"/>
      <c r="H2309" s="218" t="s">
        <v>1682</v>
      </c>
    </row>
    <row r="2310" spans="2:8" x14ac:dyDescent="0.2">
      <c r="B2310" s="219" t="s">
        <v>1682</v>
      </c>
      <c r="C2310" s="220"/>
      <c r="D2310" s="221"/>
      <c r="E2310" s="222" t="s">
        <v>1682</v>
      </c>
      <c r="F2310" s="222" t="s">
        <v>1682</v>
      </c>
      <c r="G2310" s="223"/>
      <c r="H2310" s="224" t="s">
        <v>1682</v>
      </c>
    </row>
    <row r="2311" spans="2:8" x14ac:dyDescent="0.2">
      <c r="B2311" s="219" t="s">
        <v>968</v>
      </c>
      <c r="C2311" s="220"/>
      <c r="D2311" s="225"/>
      <c r="E2311" s="220"/>
      <c r="F2311" s="220"/>
      <c r="G2311" s="226"/>
      <c r="H2311" s="224">
        <f>SUM(H2308:H2310)</f>
        <v>0.5</v>
      </c>
    </row>
    <row r="2312" spans="2:8" x14ac:dyDescent="0.2">
      <c r="B2312" s="227" t="s">
        <v>1503</v>
      </c>
      <c r="C2312" s="132"/>
      <c r="D2312" s="188"/>
      <c r="E2312" s="132"/>
      <c r="F2312" s="132"/>
      <c r="G2312" s="228"/>
      <c r="H2312" s="218"/>
    </row>
    <row r="2313" spans="2:8" ht="25.5" x14ac:dyDescent="0.2">
      <c r="B2313" s="229" t="s">
        <v>1691</v>
      </c>
      <c r="C2313" s="230"/>
      <c r="D2313" s="231" t="s">
        <v>969</v>
      </c>
      <c r="E2313" s="232" t="s">
        <v>1689</v>
      </c>
      <c r="F2313" s="232" t="s">
        <v>1688</v>
      </c>
      <c r="G2313" s="233" t="s">
        <v>1687</v>
      </c>
      <c r="H2313" s="234" t="s">
        <v>1686</v>
      </c>
    </row>
    <row r="2314" spans="2:8" x14ac:dyDescent="0.2">
      <c r="B2314" s="235" t="s">
        <v>243</v>
      </c>
      <c r="C2314" s="132"/>
      <c r="D2314" s="236">
        <v>1</v>
      </c>
      <c r="E2314" s="237">
        <v>2.13</v>
      </c>
      <c r="F2314" s="216">
        <f>D2314*E2314</f>
        <v>2.13</v>
      </c>
      <c r="G2314" s="217">
        <v>1.28</v>
      </c>
      <c r="H2314" s="218">
        <v>2.73</v>
      </c>
    </row>
    <row r="2315" spans="2:8" x14ac:dyDescent="0.2">
      <c r="B2315" s="235" t="s">
        <v>1488</v>
      </c>
      <c r="C2315" s="132"/>
      <c r="D2315" s="236">
        <v>1</v>
      </c>
      <c r="E2315" s="237">
        <v>2.13</v>
      </c>
      <c r="F2315" s="216">
        <f>D2315*E2315</f>
        <v>2.13</v>
      </c>
      <c r="G2315" s="217">
        <v>0.95</v>
      </c>
      <c r="H2315" s="218">
        <v>2.02</v>
      </c>
    </row>
    <row r="2316" spans="2:8" x14ac:dyDescent="0.2">
      <c r="B2316" s="235" t="s">
        <v>590</v>
      </c>
      <c r="C2316" s="132"/>
      <c r="D2316" s="236">
        <v>1</v>
      </c>
      <c r="E2316" s="237">
        <v>2.13</v>
      </c>
      <c r="F2316" s="216">
        <f>D2316*E2316</f>
        <v>2.13</v>
      </c>
      <c r="G2316" s="217">
        <v>0.68</v>
      </c>
      <c r="H2316" s="218">
        <v>1.45</v>
      </c>
    </row>
    <row r="2317" spans="2:8" x14ac:dyDescent="0.2">
      <c r="B2317" s="235"/>
      <c r="C2317" s="132"/>
      <c r="D2317" s="236"/>
      <c r="E2317" s="237"/>
      <c r="F2317" s="216"/>
      <c r="G2317" s="217"/>
      <c r="H2317" s="218"/>
    </row>
    <row r="2318" spans="2:8" x14ac:dyDescent="0.2">
      <c r="B2318" s="219" t="s">
        <v>1682</v>
      </c>
      <c r="C2318" s="220"/>
      <c r="D2318" s="221"/>
      <c r="E2318" s="222" t="s">
        <v>1682</v>
      </c>
      <c r="F2318" s="222" t="s">
        <v>1682</v>
      </c>
      <c r="G2318" s="223"/>
      <c r="H2318" s="224" t="s">
        <v>1682</v>
      </c>
    </row>
    <row r="2319" spans="2:8" x14ac:dyDescent="0.2">
      <c r="B2319" s="238" t="s">
        <v>1681</v>
      </c>
      <c r="C2319" s="239"/>
      <c r="D2319" s="240"/>
      <c r="E2319" s="239"/>
      <c r="F2319" s="239"/>
      <c r="G2319" s="239"/>
      <c r="H2319" s="241">
        <f>SUM(H2314:H2318)</f>
        <v>6.2</v>
      </c>
    </row>
    <row r="2320" spans="2:8" x14ac:dyDescent="0.2">
      <c r="B2320" s="227" t="s">
        <v>1684</v>
      </c>
      <c r="C2320" s="132"/>
      <c r="D2320" s="188"/>
      <c r="E2320" s="132"/>
      <c r="F2320" s="132"/>
      <c r="G2320" s="132"/>
      <c r="H2320" s="218"/>
    </row>
    <row r="2321" spans="2:8" ht="25.5" x14ac:dyDescent="0.2">
      <c r="B2321" s="229" t="s">
        <v>1409</v>
      </c>
      <c r="C2321" s="242"/>
      <c r="D2321" s="243"/>
      <c r="E2321" s="232" t="s">
        <v>1408</v>
      </c>
      <c r="F2321" s="231" t="s">
        <v>1679</v>
      </c>
      <c r="G2321" s="232" t="s">
        <v>1683</v>
      </c>
      <c r="H2321" s="234" t="s">
        <v>1675</v>
      </c>
    </row>
    <row r="2322" spans="2:8" x14ac:dyDescent="0.2">
      <c r="B2322" s="214" t="s">
        <v>524</v>
      </c>
      <c r="C2322" s="132"/>
      <c r="D2322" s="188"/>
      <c r="E2322" s="215"/>
      <c r="F2322" s="215"/>
      <c r="G2322" s="216"/>
      <c r="H2322" s="218"/>
    </row>
    <row r="2323" spans="2:8" x14ac:dyDescent="0.2">
      <c r="B2323" s="214" t="s">
        <v>528</v>
      </c>
      <c r="C2323" s="132"/>
      <c r="D2323" s="188"/>
      <c r="E2323" s="215" t="s">
        <v>1506</v>
      </c>
      <c r="F2323" s="215">
        <v>1</v>
      </c>
      <c r="G2323" s="216">
        <v>58.64</v>
      </c>
      <c r="H2323" s="218">
        <f>F2323*G2323</f>
        <v>58.64</v>
      </c>
    </row>
    <row r="2324" spans="2:8" x14ac:dyDescent="0.2">
      <c r="B2324" s="214"/>
      <c r="C2324" s="132"/>
      <c r="D2324" s="188"/>
      <c r="E2324" s="272"/>
      <c r="F2324" s="215"/>
      <c r="G2324" s="216"/>
      <c r="H2324" s="218"/>
    </row>
    <row r="2325" spans="2:8" x14ac:dyDescent="0.2">
      <c r="B2325" s="214" t="s">
        <v>1682</v>
      </c>
      <c r="C2325" s="132"/>
      <c r="D2325" s="245" t="s">
        <v>1682</v>
      </c>
      <c r="E2325" s="272" t="s">
        <v>1682</v>
      </c>
      <c r="F2325" s="215" t="s">
        <v>1682</v>
      </c>
      <c r="G2325" s="216" t="s">
        <v>1682</v>
      </c>
      <c r="H2325" s="218" t="s">
        <v>1682</v>
      </c>
    </row>
    <row r="2326" spans="2:8" x14ac:dyDescent="0.2">
      <c r="B2326" s="238" t="s">
        <v>1692</v>
      </c>
      <c r="C2326" s="239"/>
      <c r="D2326" s="240"/>
      <c r="E2326" s="240"/>
      <c r="F2326" s="240"/>
      <c r="G2326" s="239"/>
      <c r="H2326" s="241">
        <f>SUM(H2322:H2325)</f>
        <v>58.64</v>
      </c>
    </row>
    <row r="2327" spans="2:8" x14ac:dyDescent="0.2">
      <c r="B2327" s="227" t="s">
        <v>1680</v>
      </c>
      <c r="C2327" s="132"/>
      <c r="D2327" s="188"/>
      <c r="E2327" s="132"/>
      <c r="F2327" s="188"/>
      <c r="G2327" s="132"/>
      <c r="H2327" s="218"/>
    </row>
    <row r="2328" spans="2:8" ht="25.5" x14ac:dyDescent="0.2">
      <c r="B2328" s="229" t="s">
        <v>1409</v>
      </c>
      <c r="C2328" s="242"/>
      <c r="D2328" s="243"/>
      <c r="E2328" s="232" t="s">
        <v>1408</v>
      </c>
      <c r="F2328" s="231" t="s">
        <v>1679</v>
      </c>
      <c r="G2328" s="232" t="s">
        <v>1676</v>
      </c>
      <c r="H2328" s="234" t="s">
        <v>1675</v>
      </c>
    </row>
    <row r="2329" spans="2:8" x14ac:dyDescent="0.2">
      <c r="B2329" s="208" t="s">
        <v>975</v>
      </c>
      <c r="C2329" s="209"/>
      <c r="D2329" s="246"/>
      <c r="E2329" s="215" t="s">
        <v>976</v>
      </c>
      <c r="F2329" s="215">
        <v>0.15</v>
      </c>
      <c r="G2329" s="247">
        <v>5</v>
      </c>
      <c r="H2329" s="218">
        <f>F2329*G2329</f>
        <v>0.75</v>
      </c>
    </row>
    <row r="2330" spans="2:8" x14ac:dyDescent="0.2">
      <c r="B2330" s="214"/>
      <c r="C2330" s="132"/>
      <c r="D2330" s="248"/>
      <c r="E2330" s="215"/>
      <c r="F2330" s="215"/>
      <c r="G2330" s="247"/>
      <c r="H2330" s="218"/>
    </row>
    <row r="2331" spans="2:8" x14ac:dyDescent="0.2">
      <c r="B2331" s="219" t="s">
        <v>1682</v>
      </c>
      <c r="C2331" s="220"/>
      <c r="D2331" s="249"/>
      <c r="E2331" s="221" t="s">
        <v>1682</v>
      </c>
      <c r="F2331" s="221"/>
      <c r="G2331" s="222" t="s">
        <v>1682</v>
      </c>
      <c r="H2331" s="224" t="s">
        <v>1682</v>
      </c>
    </row>
    <row r="2332" spans="2:8" ht="13.5" thickBot="1" x14ac:dyDescent="0.25">
      <c r="B2332" s="250" t="s">
        <v>977</v>
      </c>
      <c r="C2332" s="251"/>
      <c r="D2332" s="252"/>
      <c r="E2332" s="252"/>
      <c r="F2332" s="252"/>
      <c r="G2332" s="251"/>
      <c r="H2332" s="253">
        <f>SUM(H2329:H2331)</f>
        <v>0.75</v>
      </c>
    </row>
    <row r="2333" spans="2:8" x14ac:dyDescent="0.2">
      <c r="B2333" s="132"/>
      <c r="C2333" s="132"/>
      <c r="D2333" s="254"/>
      <c r="E2333" s="198"/>
      <c r="F2333" s="198"/>
      <c r="G2333" s="255" t="s">
        <v>978</v>
      </c>
      <c r="H2333" s="256">
        <f>H2311+H2319+H2326+H2332</f>
        <v>66.09</v>
      </c>
    </row>
    <row r="2334" spans="2:8" x14ac:dyDescent="0.2">
      <c r="B2334" s="132"/>
      <c r="C2334" s="132"/>
      <c r="D2334" s="257"/>
      <c r="E2334" s="239"/>
      <c r="F2334" s="239"/>
      <c r="G2334" s="258" t="s">
        <v>979</v>
      </c>
      <c r="H2334" s="241"/>
    </row>
    <row r="2335" spans="2:8" x14ac:dyDescent="0.2">
      <c r="B2335" s="132"/>
      <c r="C2335" s="132"/>
      <c r="D2335" s="257"/>
      <c r="E2335" s="239"/>
      <c r="F2335" s="239"/>
      <c r="G2335" s="258" t="s">
        <v>980</v>
      </c>
      <c r="H2335" s="241"/>
    </row>
    <row r="2336" spans="2:8" x14ac:dyDescent="0.2">
      <c r="B2336" s="132"/>
      <c r="C2336" s="132"/>
      <c r="D2336" s="257"/>
      <c r="E2336" s="239"/>
      <c r="F2336" s="239"/>
      <c r="G2336" s="259" t="s">
        <v>1670</v>
      </c>
      <c r="H2336" s="260"/>
    </row>
    <row r="2337" spans="2:8" ht="13.5" thickBot="1" x14ac:dyDescent="0.25">
      <c r="B2337" s="193"/>
      <c r="C2337" s="132"/>
      <c r="D2337" s="261"/>
      <c r="E2337" s="251"/>
      <c r="F2337" s="251"/>
      <c r="G2337" s="262" t="s">
        <v>1650</v>
      </c>
      <c r="H2337" s="263"/>
    </row>
    <row r="2338" spans="2:8" ht="15.75" x14ac:dyDescent="0.2">
      <c r="B2338" s="186" t="s">
        <v>1701</v>
      </c>
      <c r="C2338" s="132"/>
      <c r="D2338" s="189" t="s">
        <v>742</v>
      </c>
      <c r="E2338" s="132"/>
      <c r="F2338" s="132"/>
      <c r="G2338" s="188"/>
      <c r="H2338" s="132"/>
    </row>
    <row r="2339" spans="2:8" ht="15.75" x14ac:dyDescent="0.2">
      <c r="B2339" s="186" t="s">
        <v>1700</v>
      </c>
      <c r="C2339" s="189" t="s">
        <v>963</v>
      </c>
      <c r="D2339" s="132"/>
      <c r="E2339" s="132"/>
      <c r="F2339" s="132"/>
      <c r="G2339" s="190"/>
      <c r="H2339" s="191"/>
    </row>
    <row r="2340" spans="2:8" ht="14.25" x14ac:dyDescent="0.2">
      <c r="B2340" s="189"/>
      <c r="C2340" s="189"/>
      <c r="D2340" s="189"/>
      <c r="E2340" s="189"/>
      <c r="F2340" s="189"/>
      <c r="G2340" s="189"/>
      <c r="H2340" s="189"/>
    </row>
    <row r="2341" spans="2:8" ht="15.75" x14ac:dyDescent="0.2">
      <c r="B2341" s="186" t="s">
        <v>1697</v>
      </c>
      <c r="C2341" s="189"/>
      <c r="D2341" s="132"/>
      <c r="E2341" s="132"/>
      <c r="F2341" s="132"/>
      <c r="G2341" s="132"/>
      <c r="H2341" s="132"/>
    </row>
    <row r="2342" spans="2:8" ht="15" x14ac:dyDescent="0.2">
      <c r="B2342" s="192"/>
      <c r="C2342" s="189"/>
      <c r="D2342" s="189"/>
      <c r="E2342" s="189"/>
      <c r="F2342" s="189"/>
      <c r="G2342" s="189"/>
      <c r="H2342" s="189"/>
    </row>
    <row r="2343" spans="2:8" ht="14.25" x14ac:dyDescent="0.2">
      <c r="B2343" s="193" t="s">
        <v>594</v>
      </c>
      <c r="C2343" s="194" t="s">
        <v>529</v>
      </c>
      <c r="D2343" s="132"/>
      <c r="E2343" s="188"/>
      <c r="F2343" s="188"/>
      <c r="G2343" s="195" t="s">
        <v>1696</v>
      </c>
      <c r="H2343" s="189" t="s">
        <v>1506</v>
      </c>
    </row>
    <row r="2344" spans="2:8" ht="14.25" x14ac:dyDescent="0.2">
      <c r="B2344" s="196" t="s">
        <v>964</v>
      </c>
      <c r="C2344" s="194" t="s">
        <v>530</v>
      </c>
      <c r="D2344" s="132"/>
      <c r="E2344" s="132"/>
      <c r="F2344" s="132"/>
      <c r="G2344" s="132"/>
      <c r="H2344" s="132"/>
    </row>
    <row r="2345" spans="2:8" ht="15" thickBot="1" x14ac:dyDescent="0.25">
      <c r="B2345" s="187"/>
      <c r="C2345" s="187"/>
      <c r="D2345" s="189"/>
      <c r="E2345" s="189"/>
      <c r="F2345" s="189"/>
      <c r="G2345" s="189"/>
      <c r="H2345" s="189"/>
    </row>
    <row r="2346" spans="2:8" ht="13.5" thickBot="1" x14ac:dyDescent="0.25">
      <c r="B2346" s="264" t="s">
        <v>1695</v>
      </c>
      <c r="C2346" s="265"/>
      <c r="D2346" s="266"/>
      <c r="E2346" s="265"/>
      <c r="F2346" s="265"/>
      <c r="G2346" s="265"/>
      <c r="H2346" s="267"/>
    </row>
    <row r="2347" spans="2:8" ht="25.5" x14ac:dyDescent="0.2">
      <c r="B2347" s="197" t="s">
        <v>1409</v>
      </c>
      <c r="C2347" s="268"/>
      <c r="D2347" s="269" t="s">
        <v>966</v>
      </c>
      <c r="E2347" s="270" t="s">
        <v>1694</v>
      </c>
      <c r="F2347" s="270" t="s">
        <v>1693</v>
      </c>
      <c r="G2347" s="201" t="s">
        <v>1687</v>
      </c>
      <c r="H2347" s="271" t="s">
        <v>967</v>
      </c>
    </row>
    <row r="2348" spans="2:8" x14ac:dyDescent="0.2">
      <c r="B2348" s="208" t="s">
        <v>1468</v>
      </c>
      <c r="C2348" s="209"/>
      <c r="D2348" s="210">
        <v>1</v>
      </c>
      <c r="E2348" s="211">
        <v>2.5</v>
      </c>
      <c r="F2348" s="211">
        <f>D2348*E2348</f>
        <v>2.5</v>
      </c>
      <c r="G2348" s="212">
        <v>0.2</v>
      </c>
      <c r="H2348" s="213">
        <f>F2348*G2348</f>
        <v>0.5</v>
      </c>
    </row>
    <row r="2349" spans="2:8" x14ac:dyDescent="0.2">
      <c r="B2349" s="214" t="s">
        <v>1682</v>
      </c>
      <c r="C2349" s="132"/>
      <c r="D2349" s="215"/>
      <c r="E2349" s="216" t="s">
        <v>1682</v>
      </c>
      <c r="F2349" s="216" t="s">
        <v>1682</v>
      </c>
      <c r="G2349" s="217"/>
      <c r="H2349" s="218" t="s">
        <v>1682</v>
      </c>
    </row>
    <row r="2350" spans="2:8" x14ac:dyDescent="0.2">
      <c r="B2350" s="219" t="s">
        <v>1682</v>
      </c>
      <c r="C2350" s="220"/>
      <c r="D2350" s="221"/>
      <c r="E2350" s="222" t="s">
        <v>1682</v>
      </c>
      <c r="F2350" s="222" t="s">
        <v>1682</v>
      </c>
      <c r="G2350" s="223"/>
      <c r="H2350" s="224" t="s">
        <v>1682</v>
      </c>
    </row>
    <row r="2351" spans="2:8" x14ac:dyDescent="0.2">
      <c r="B2351" s="219" t="s">
        <v>968</v>
      </c>
      <c r="C2351" s="220"/>
      <c r="D2351" s="225"/>
      <c r="E2351" s="220"/>
      <c r="F2351" s="220"/>
      <c r="G2351" s="226"/>
      <c r="H2351" s="224">
        <f>SUM(H2348:H2350)</f>
        <v>0.5</v>
      </c>
    </row>
    <row r="2352" spans="2:8" x14ac:dyDescent="0.2">
      <c r="B2352" s="227" t="s">
        <v>1503</v>
      </c>
      <c r="C2352" s="132"/>
      <c r="D2352" s="188"/>
      <c r="E2352" s="132"/>
      <c r="F2352" s="132"/>
      <c r="G2352" s="228"/>
      <c r="H2352" s="218"/>
    </row>
    <row r="2353" spans="2:8" ht="25.5" x14ac:dyDescent="0.2">
      <c r="B2353" s="229" t="s">
        <v>1691</v>
      </c>
      <c r="C2353" s="230"/>
      <c r="D2353" s="231" t="s">
        <v>969</v>
      </c>
      <c r="E2353" s="232" t="s">
        <v>1689</v>
      </c>
      <c r="F2353" s="232" t="s">
        <v>1688</v>
      </c>
      <c r="G2353" s="233" t="s">
        <v>1687</v>
      </c>
      <c r="H2353" s="234" t="s">
        <v>1686</v>
      </c>
    </row>
    <row r="2354" spans="2:8" x14ac:dyDescent="0.2">
      <c r="B2354" s="235" t="s">
        <v>243</v>
      </c>
      <c r="C2354" s="132"/>
      <c r="D2354" s="236">
        <v>1</v>
      </c>
      <c r="E2354" s="237">
        <v>2.13</v>
      </c>
      <c r="F2354" s="216">
        <f>D2354*E2354</f>
        <v>2.13</v>
      </c>
      <c r="G2354" s="217">
        <v>1.04</v>
      </c>
      <c r="H2354" s="218">
        <v>2.21</v>
      </c>
    </row>
    <row r="2355" spans="2:8" x14ac:dyDescent="0.2">
      <c r="B2355" s="235" t="s">
        <v>1488</v>
      </c>
      <c r="C2355" s="132"/>
      <c r="D2355" s="236">
        <v>1</v>
      </c>
      <c r="E2355" s="237">
        <v>2.13</v>
      </c>
      <c r="F2355" s="216">
        <f>D2355*E2355</f>
        <v>2.13</v>
      </c>
      <c r="G2355" s="217">
        <v>0.77</v>
      </c>
      <c r="H2355" s="218">
        <v>1.64</v>
      </c>
    </row>
    <row r="2356" spans="2:8" x14ac:dyDescent="0.2">
      <c r="B2356" s="235" t="s">
        <v>590</v>
      </c>
      <c r="C2356" s="132"/>
      <c r="D2356" s="236">
        <v>1</v>
      </c>
      <c r="E2356" s="237">
        <v>2.13</v>
      </c>
      <c r="F2356" s="216">
        <f>D2356*E2356</f>
        <v>2.13</v>
      </c>
      <c r="G2356" s="217">
        <v>0.55000000000000004</v>
      </c>
      <c r="H2356" s="218">
        <v>1.17</v>
      </c>
    </row>
    <row r="2357" spans="2:8" x14ac:dyDescent="0.2">
      <c r="B2357" s="235"/>
      <c r="C2357" s="132"/>
      <c r="D2357" s="236"/>
      <c r="E2357" s="237"/>
      <c r="F2357" s="216"/>
      <c r="G2357" s="217"/>
      <c r="H2357" s="218"/>
    </row>
    <row r="2358" spans="2:8" x14ac:dyDescent="0.2">
      <c r="B2358" s="219" t="s">
        <v>1682</v>
      </c>
      <c r="C2358" s="220"/>
      <c r="D2358" s="221"/>
      <c r="E2358" s="222" t="s">
        <v>1682</v>
      </c>
      <c r="F2358" s="222" t="s">
        <v>1682</v>
      </c>
      <c r="G2358" s="223"/>
      <c r="H2358" s="224" t="s">
        <v>1682</v>
      </c>
    </row>
    <row r="2359" spans="2:8" x14ac:dyDescent="0.2">
      <c r="B2359" s="238" t="s">
        <v>1681</v>
      </c>
      <c r="C2359" s="239"/>
      <c r="D2359" s="240"/>
      <c r="E2359" s="239"/>
      <c r="F2359" s="239"/>
      <c r="G2359" s="239"/>
      <c r="H2359" s="241">
        <f>SUM(H2354:H2358)</f>
        <v>5.0199999999999996</v>
      </c>
    </row>
    <row r="2360" spans="2:8" x14ac:dyDescent="0.2">
      <c r="B2360" s="227" t="s">
        <v>1684</v>
      </c>
      <c r="C2360" s="132"/>
      <c r="D2360" s="188"/>
      <c r="E2360" s="132"/>
      <c r="F2360" s="132"/>
      <c r="G2360" s="132"/>
      <c r="H2360" s="218"/>
    </row>
    <row r="2361" spans="2:8" ht="25.5" x14ac:dyDescent="0.2">
      <c r="B2361" s="229" t="s">
        <v>1409</v>
      </c>
      <c r="C2361" s="242"/>
      <c r="D2361" s="243"/>
      <c r="E2361" s="232" t="s">
        <v>1408</v>
      </c>
      <c r="F2361" s="231" t="s">
        <v>1679</v>
      </c>
      <c r="G2361" s="232" t="s">
        <v>1683</v>
      </c>
      <c r="H2361" s="234" t="s">
        <v>1675</v>
      </c>
    </row>
    <row r="2362" spans="2:8" x14ac:dyDescent="0.2">
      <c r="B2362" s="214" t="s">
        <v>531</v>
      </c>
      <c r="C2362" s="132"/>
      <c r="D2362" s="188"/>
      <c r="E2362" s="215"/>
      <c r="F2362" s="215"/>
      <c r="G2362" s="216"/>
      <c r="H2362" s="218"/>
    </row>
    <row r="2363" spans="2:8" x14ac:dyDescent="0.2">
      <c r="B2363" s="214" t="s">
        <v>532</v>
      </c>
      <c r="C2363" s="132"/>
      <c r="D2363" s="188"/>
      <c r="E2363" s="215" t="s">
        <v>1506</v>
      </c>
      <c r="F2363" s="215">
        <v>1</v>
      </c>
      <c r="G2363" s="216">
        <v>71.989999999999995</v>
      </c>
      <c r="H2363" s="218">
        <f>F2363*G2363</f>
        <v>71.989999999999995</v>
      </c>
    </row>
    <row r="2364" spans="2:8" x14ac:dyDescent="0.2">
      <c r="B2364" s="214"/>
      <c r="C2364" s="132"/>
      <c r="D2364" s="188"/>
      <c r="E2364" s="272"/>
      <c r="F2364" s="215"/>
      <c r="G2364" s="216"/>
      <c r="H2364" s="218"/>
    </row>
    <row r="2365" spans="2:8" x14ac:dyDescent="0.2">
      <c r="B2365" s="214" t="s">
        <v>1682</v>
      </c>
      <c r="C2365" s="132"/>
      <c r="D2365" s="245" t="s">
        <v>1682</v>
      </c>
      <c r="E2365" s="272" t="s">
        <v>1682</v>
      </c>
      <c r="F2365" s="215" t="s">
        <v>1682</v>
      </c>
      <c r="G2365" s="216" t="s">
        <v>1682</v>
      </c>
      <c r="H2365" s="218" t="s">
        <v>1682</v>
      </c>
    </row>
    <row r="2366" spans="2:8" x14ac:dyDescent="0.2">
      <c r="B2366" s="238" t="s">
        <v>1692</v>
      </c>
      <c r="C2366" s="239"/>
      <c r="D2366" s="240"/>
      <c r="E2366" s="240"/>
      <c r="F2366" s="240"/>
      <c r="G2366" s="239"/>
      <c r="H2366" s="241">
        <f>SUM(H2362:H2365)</f>
        <v>71.989999999999995</v>
      </c>
    </row>
    <row r="2367" spans="2:8" x14ac:dyDescent="0.2">
      <c r="B2367" s="227" t="s">
        <v>1680</v>
      </c>
      <c r="C2367" s="132"/>
      <c r="D2367" s="188"/>
      <c r="E2367" s="132"/>
      <c r="F2367" s="188"/>
      <c r="G2367" s="132"/>
      <c r="H2367" s="218"/>
    </row>
    <row r="2368" spans="2:8" ht="25.5" x14ac:dyDescent="0.2">
      <c r="B2368" s="229" t="s">
        <v>1409</v>
      </c>
      <c r="C2368" s="242"/>
      <c r="D2368" s="243"/>
      <c r="E2368" s="232" t="s">
        <v>1408</v>
      </c>
      <c r="F2368" s="231" t="s">
        <v>1679</v>
      </c>
      <c r="G2368" s="232" t="s">
        <v>1676</v>
      </c>
      <c r="H2368" s="234" t="s">
        <v>1675</v>
      </c>
    </row>
    <row r="2369" spans="2:8" x14ac:dyDescent="0.2">
      <c r="B2369" s="208" t="s">
        <v>975</v>
      </c>
      <c r="C2369" s="209"/>
      <c r="D2369" s="246"/>
      <c r="E2369" s="215" t="s">
        <v>976</v>
      </c>
      <c r="F2369" s="215">
        <v>0.15</v>
      </c>
      <c r="G2369" s="247">
        <v>5</v>
      </c>
      <c r="H2369" s="218">
        <f>F2369*G2369</f>
        <v>0.75</v>
      </c>
    </row>
    <row r="2370" spans="2:8" x14ac:dyDescent="0.2">
      <c r="B2370" s="214"/>
      <c r="C2370" s="132"/>
      <c r="D2370" s="248"/>
      <c r="E2370" s="215"/>
      <c r="F2370" s="215"/>
      <c r="G2370" s="247"/>
      <c r="H2370" s="218"/>
    </row>
    <row r="2371" spans="2:8" x14ac:dyDescent="0.2">
      <c r="B2371" s="219" t="s">
        <v>1682</v>
      </c>
      <c r="C2371" s="220"/>
      <c r="D2371" s="249"/>
      <c r="E2371" s="221" t="s">
        <v>1682</v>
      </c>
      <c r="F2371" s="221"/>
      <c r="G2371" s="222" t="s">
        <v>1682</v>
      </c>
      <c r="H2371" s="224" t="s">
        <v>1682</v>
      </c>
    </row>
    <row r="2372" spans="2:8" ht="13.5" thickBot="1" x14ac:dyDescent="0.25">
      <c r="B2372" s="250" t="s">
        <v>977</v>
      </c>
      <c r="C2372" s="251"/>
      <c r="D2372" s="252"/>
      <c r="E2372" s="252"/>
      <c r="F2372" s="252"/>
      <c r="G2372" s="251"/>
      <c r="H2372" s="253">
        <f>SUM(H2369:H2371)</f>
        <v>0.75</v>
      </c>
    </row>
    <row r="2373" spans="2:8" x14ac:dyDescent="0.2">
      <c r="B2373" s="132"/>
      <c r="C2373" s="132"/>
      <c r="D2373" s="254"/>
      <c r="E2373" s="198"/>
      <c r="F2373" s="198"/>
      <c r="G2373" s="255" t="s">
        <v>978</v>
      </c>
      <c r="H2373" s="256">
        <f>H2351+H2359+H2366+H2372</f>
        <v>78.259999999999991</v>
      </c>
    </row>
    <row r="2374" spans="2:8" x14ac:dyDescent="0.2">
      <c r="B2374" s="132"/>
      <c r="C2374" s="132"/>
      <c r="D2374" s="257"/>
      <c r="E2374" s="239"/>
      <c r="F2374" s="239"/>
      <c r="G2374" s="258" t="s">
        <v>979</v>
      </c>
      <c r="H2374" s="241"/>
    </row>
    <row r="2375" spans="2:8" x14ac:dyDescent="0.2">
      <c r="B2375" s="132"/>
      <c r="C2375" s="132"/>
      <c r="D2375" s="257"/>
      <c r="E2375" s="239"/>
      <c r="F2375" s="239"/>
      <c r="G2375" s="258" t="s">
        <v>980</v>
      </c>
      <c r="H2375" s="241"/>
    </row>
    <row r="2376" spans="2:8" x14ac:dyDescent="0.2">
      <c r="B2376" s="132"/>
      <c r="C2376" s="132"/>
      <c r="D2376" s="257"/>
      <c r="E2376" s="239"/>
      <c r="F2376" s="239"/>
      <c r="G2376" s="259" t="s">
        <v>1670</v>
      </c>
      <c r="H2376" s="260"/>
    </row>
    <row r="2377" spans="2:8" ht="13.5" thickBot="1" x14ac:dyDescent="0.25">
      <c r="B2377" s="193"/>
      <c r="C2377" s="132"/>
      <c r="D2377" s="261"/>
      <c r="E2377" s="251"/>
      <c r="F2377" s="251"/>
      <c r="G2377" s="262" t="s">
        <v>1650</v>
      </c>
      <c r="H2377" s="263"/>
    </row>
    <row r="2378" spans="2:8" ht="15.75" x14ac:dyDescent="0.2">
      <c r="B2378" s="186" t="s">
        <v>1701</v>
      </c>
      <c r="C2378" s="132"/>
      <c r="D2378" s="189" t="s">
        <v>742</v>
      </c>
      <c r="E2378" s="132"/>
      <c r="F2378" s="132"/>
      <c r="G2378" s="188"/>
      <c r="H2378" s="132"/>
    </row>
    <row r="2379" spans="2:8" ht="15.75" x14ac:dyDescent="0.2">
      <c r="B2379" s="186" t="s">
        <v>1700</v>
      </c>
      <c r="C2379" s="189" t="s">
        <v>963</v>
      </c>
      <c r="D2379" s="132"/>
      <c r="E2379" s="132"/>
      <c r="F2379" s="132"/>
      <c r="G2379" s="190"/>
      <c r="H2379" s="191"/>
    </row>
    <row r="2380" spans="2:8" ht="14.25" x14ac:dyDescent="0.2">
      <c r="B2380" s="189"/>
      <c r="C2380" s="189"/>
      <c r="D2380" s="189"/>
      <c r="E2380" s="189"/>
      <c r="F2380" s="189"/>
      <c r="G2380" s="189"/>
      <c r="H2380" s="189"/>
    </row>
    <row r="2381" spans="2:8" ht="15.75" x14ac:dyDescent="0.2">
      <c r="B2381" s="186" t="s">
        <v>1697</v>
      </c>
      <c r="C2381" s="189"/>
      <c r="D2381" s="132"/>
      <c r="E2381" s="132"/>
      <c r="F2381" s="132"/>
      <c r="G2381" s="132"/>
      <c r="H2381" s="132"/>
    </row>
    <row r="2382" spans="2:8" ht="15" x14ac:dyDescent="0.2">
      <c r="B2382" s="192"/>
      <c r="C2382" s="189"/>
      <c r="D2382" s="189"/>
      <c r="E2382" s="189"/>
      <c r="F2382" s="189"/>
      <c r="G2382" s="189"/>
      <c r="H2382" s="189"/>
    </row>
    <row r="2383" spans="2:8" ht="14.25" x14ac:dyDescent="0.2">
      <c r="B2383" s="193" t="s">
        <v>594</v>
      </c>
      <c r="C2383" s="194" t="s">
        <v>533</v>
      </c>
      <c r="D2383" s="132"/>
      <c r="E2383" s="188"/>
      <c r="F2383" s="188"/>
      <c r="G2383" s="195" t="s">
        <v>1696</v>
      </c>
      <c r="H2383" s="189" t="s">
        <v>1506</v>
      </c>
    </row>
    <row r="2384" spans="2:8" ht="14.25" x14ac:dyDescent="0.2">
      <c r="B2384" s="196" t="s">
        <v>964</v>
      </c>
      <c r="C2384" s="194" t="s">
        <v>534</v>
      </c>
      <c r="D2384" s="132"/>
      <c r="E2384" s="132"/>
      <c r="F2384" s="132"/>
      <c r="G2384" s="132"/>
      <c r="H2384" s="132"/>
    </row>
    <row r="2385" spans="2:8" ht="15" thickBot="1" x14ac:dyDescent="0.25">
      <c r="B2385" s="187"/>
      <c r="C2385" s="187"/>
      <c r="D2385" s="189"/>
      <c r="E2385" s="189"/>
      <c r="F2385" s="189"/>
      <c r="G2385" s="189"/>
      <c r="H2385" s="189"/>
    </row>
    <row r="2386" spans="2:8" ht="13.5" thickBot="1" x14ac:dyDescent="0.25">
      <c r="B2386" s="264" t="s">
        <v>1695</v>
      </c>
      <c r="C2386" s="265"/>
      <c r="D2386" s="266"/>
      <c r="E2386" s="265"/>
      <c r="F2386" s="265"/>
      <c r="G2386" s="265"/>
      <c r="H2386" s="267"/>
    </row>
    <row r="2387" spans="2:8" ht="25.5" x14ac:dyDescent="0.2">
      <c r="B2387" s="197" t="s">
        <v>1409</v>
      </c>
      <c r="C2387" s="268"/>
      <c r="D2387" s="269" t="s">
        <v>966</v>
      </c>
      <c r="E2387" s="270" t="s">
        <v>1694</v>
      </c>
      <c r="F2387" s="270" t="s">
        <v>1693</v>
      </c>
      <c r="G2387" s="201" t="s">
        <v>1687</v>
      </c>
      <c r="H2387" s="271" t="s">
        <v>967</v>
      </c>
    </row>
    <row r="2388" spans="2:8" x14ac:dyDescent="0.2">
      <c r="B2388" s="208" t="s">
        <v>1468</v>
      </c>
      <c r="C2388" s="209"/>
      <c r="D2388" s="210">
        <v>1</v>
      </c>
      <c r="E2388" s="211">
        <v>2.5</v>
      </c>
      <c r="F2388" s="211">
        <f>D2388*E2388</f>
        <v>2.5</v>
      </c>
      <c r="G2388" s="212">
        <v>0.3</v>
      </c>
      <c r="H2388" s="213">
        <f>F2388*G2388</f>
        <v>0.75</v>
      </c>
    </row>
    <row r="2389" spans="2:8" x14ac:dyDescent="0.2">
      <c r="B2389" s="214" t="s">
        <v>1682</v>
      </c>
      <c r="C2389" s="132"/>
      <c r="D2389" s="215"/>
      <c r="E2389" s="216" t="s">
        <v>1682</v>
      </c>
      <c r="F2389" s="216" t="s">
        <v>1682</v>
      </c>
      <c r="G2389" s="217"/>
      <c r="H2389" s="218" t="s">
        <v>1682</v>
      </c>
    </row>
    <row r="2390" spans="2:8" x14ac:dyDescent="0.2">
      <c r="B2390" s="219" t="s">
        <v>1682</v>
      </c>
      <c r="C2390" s="220"/>
      <c r="D2390" s="221"/>
      <c r="E2390" s="222" t="s">
        <v>1682</v>
      </c>
      <c r="F2390" s="222" t="s">
        <v>1682</v>
      </c>
      <c r="G2390" s="223"/>
      <c r="H2390" s="224" t="s">
        <v>1682</v>
      </c>
    </row>
    <row r="2391" spans="2:8" x14ac:dyDescent="0.2">
      <c r="B2391" s="219" t="s">
        <v>968</v>
      </c>
      <c r="C2391" s="220"/>
      <c r="D2391" s="225"/>
      <c r="E2391" s="220"/>
      <c r="F2391" s="220"/>
      <c r="G2391" s="226"/>
      <c r="H2391" s="224">
        <f>SUM(H2388:H2390)</f>
        <v>0.75</v>
      </c>
    </row>
    <row r="2392" spans="2:8" x14ac:dyDescent="0.2">
      <c r="B2392" s="227" t="s">
        <v>1503</v>
      </c>
      <c r="C2392" s="132"/>
      <c r="D2392" s="188"/>
      <c r="E2392" s="132"/>
      <c r="F2392" s="132"/>
      <c r="G2392" s="228"/>
      <c r="H2392" s="218"/>
    </row>
    <row r="2393" spans="2:8" ht="25.5" x14ac:dyDescent="0.2">
      <c r="B2393" s="229" t="s">
        <v>1691</v>
      </c>
      <c r="C2393" s="230"/>
      <c r="D2393" s="231" t="s">
        <v>969</v>
      </c>
      <c r="E2393" s="232" t="s">
        <v>1689</v>
      </c>
      <c r="F2393" s="232" t="s">
        <v>1688</v>
      </c>
      <c r="G2393" s="233" t="s">
        <v>1687</v>
      </c>
      <c r="H2393" s="234" t="s">
        <v>1686</v>
      </c>
    </row>
    <row r="2394" spans="2:8" x14ac:dyDescent="0.2">
      <c r="B2394" s="235" t="s">
        <v>243</v>
      </c>
      <c r="C2394" s="132"/>
      <c r="D2394" s="236">
        <v>1</v>
      </c>
      <c r="E2394" s="237">
        <v>2.13</v>
      </c>
      <c r="F2394" s="216">
        <f>D2394*E2394</f>
        <v>2.13</v>
      </c>
      <c r="G2394" s="217">
        <v>1.66</v>
      </c>
      <c r="H2394" s="218">
        <f>F2394*G2394</f>
        <v>3.5357999999999996</v>
      </c>
    </row>
    <row r="2395" spans="2:8" x14ac:dyDescent="0.2">
      <c r="B2395" s="235" t="s">
        <v>1488</v>
      </c>
      <c r="C2395" s="132"/>
      <c r="D2395" s="236">
        <v>1</v>
      </c>
      <c r="E2395" s="237">
        <v>2.13</v>
      </c>
      <c r="F2395" s="216">
        <f>D2395*E2395</f>
        <v>2.13</v>
      </c>
      <c r="G2395" s="217">
        <v>1.24</v>
      </c>
      <c r="H2395" s="218">
        <f>F2395*G2395</f>
        <v>2.6412</v>
      </c>
    </row>
    <row r="2396" spans="2:8" x14ac:dyDescent="0.2">
      <c r="B2396" s="235" t="s">
        <v>590</v>
      </c>
      <c r="C2396" s="132"/>
      <c r="D2396" s="236">
        <v>1</v>
      </c>
      <c r="E2396" s="237">
        <v>2.13</v>
      </c>
      <c r="F2396" s="216">
        <f>D2396*E2396</f>
        <v>2.13</v>
      </c>
      <c r="G2396" s="217">
        <v>0.88</v>
      </c>
      <c r="H2396" s="218">
        <f>F2396*G2396</f>
        <v>1.8743999999999998</v>
      </c>
    </row>
    <row r="2397" spans="2:8" x14ac:dyDescent="0.2">
      <c r="B2397" s="235"/>
      <c r="C2397" s="132"/>
      <c r="D2397" s="236"/>
      <c r="E2397" s="237"/>
      <c r="F2397" s="216"/>
      <c r="G2397" s="217"/>
      <c r="H2397" s="218"/>
    </row>
    <row r="2398" spans="2:8" x14ac:dyDescent="0.2">
      <c r="B2398" s="219" t="s">
        <v>1682</v>
      </c>
      <c r="C2398" s="220"/>
      <c r="D2398" s="221"/>
      <c r="E2398" s="222" t="s">
        <v>1682</v>
      </c>
      <c r="F2398" s="222" t="s">
        <v>1682</v>
      </c>
      <c r="G2398" s="223"/>
      <c r="H2398" s="224" t="s">
        <v>1682</v>
      </c>
    </row>
    <row r="2399" spans="2:8" x14ac:dyDescent="0.2">
      <c r="B2399" s="238" t="s">
        <v>1681</v>
      </c>
      <c r="C2399" s="239"/>
      <c r="D2399" s="240"/>
      <c r="E2399" s="239"/>
      <c r="F2399" s="239"/>
      <c r="G2399" s="239"/>
      <c r="H2399" s="241">
        <f>SUM(H2394:H2398)</f>
        <v>8.0513999999999992</v>
      </c>
    </row>
    <row r="2400" spans="2:8" x14ac:dyDescent="0.2">
      <c r="B2400" s="227" t="s">
        <v>1684</v>
      </c>
      <c r="C2400" s="132"/>
      <c r="D2400" s="188"/>
      <c r="E2400" s="132"/>
      <c r="F2400" s="132"/>
      <c r="G2400" s="132"/>
      <c r="H2400" s="218"/>
    </row>
    <row r="2401" spans="2:8" ht="25.5" x14ac:dyDescent="0.2">
      <c r="B2401" s="229" t="s">
        <v>1409</v>
      </c>
      <c r="C2401" s="242"/>
      <c r="D2401" s="243"/>
      <c r="E2401" s="232" t="s">
        <v>1408</v>
      </c>
      <c r="F2401" s="231" t="s">
        <v>1679</v>
      </c>
      <c r="G2401" s="232" t="s">
        <v>1683</v>
      </c>
      <c r="H2401" s="234" t="s">
        <v>1675</v>
      </c>
    </row>
    <row r="2402" spans="2:8" x14ac:dyDescent="0.2">
      <c r="B2402" s="214" t="s">
        <v>535</v>
      </c>
      <c r="C2402" s="132"/>
      <c r="D2402" s="188"/>
      <c r="E2402" s="215"/>
      <c r="F2402" s="215"/>
      <c r="G2402" s="216"/>
      <c r="H2402" s="218"/>
    </row>
    <row r="2403" spans="2:8" x14ac:dyDescent="0.2">
      <c r="B2403" s="214" t="s">
        <v>536</v>
      </c>
      <c r="C2403" s="132"/>
      <c r="D2403" s="188"/>
      <c r="E2403" s="215" t="s">
        <v>1506</v>
      </c>
      <c r="F2403" s="215">
        <v>1</v>
      </c>
      <c r="G2403" s="216">
        <v>53.68</v>
      </c>
      <c r="H2403" s="218">
        <f>F2403*G2403</f>
        <v>53.68</v>
      </c>
    </row>
    <row r="2404" spans="2:8" x14ac:dyDescent="0.2">
      <c r="B2404" s="214" t="s">
        <v>537</v>
      </c>
      <c r="C2404" s="132"/>
      <c r="D2404" s="188"/>
      <c r="E2404" s="215"/>
      <c r="F2404" s="215"/>
      <c r="G2404" s="216"/>
      <c r="H2404" s="218"/>
    </row>
    <row r="2405" spans="2:8" x14ac:dyDescent="0.2">
      <c r="B2405" s="214"/>
      <c r="C2405" s="132"/>
      <c r="D2405" s="188"/>
      <c r="E2405" s="272"/>
      <c r="F2405" s="215"/>
      <c r="G2405" s="216"/>
      <c r="H2405" s="218"/>
    </row>
    <row r="2406" spans="2:8" x14ac:dyDescent="0.2">
      <c r="B2406" s="214" t="s">
        <v>1682</v>
      </c>
      <c r="C2406" s="132"/>
      <c r="D2406" s="245" t="s">
        <v>1682</v>
      </c>
      <c r="E2406" s="272" t="s">
        <v>1682</v>
      </c>
      <c r="F2406" s="215" t="s">
        <v>1682</v>
      </c>
      <c r="G2406" s="216" t="s">
        <v>1682</v>
      </c>
      <c r="H2406" s="218" t="s">
        <v>1682</v>
      </c>
    </row>
    <row r="2407" spans="2:8" x14ac:dyDescent="0.2">
      <c r="B2407" s="238" t="s">
        <v>1692</v>
      </c>
      <c r="C2407" s="239"/>
      <c r="D2407" s="240"/>
      <c r="E2407" s="240"/>
      <c r="F2407" s="240"/>
      <c r="G2407" s="239"/>
      <c r="H2407" s="241">
        <f>SUM(H2402:H2406)</f>
        <v>53.68</v>
      </c>
    </row>
    <row r="2408" spans="2:8" x14ac:dyDescent="0.2">
      <c r="B2408" s="227" t="s">
        <v>1680</v>
      </c>
      <c r="C2408" s="132"/>
      <c r="D2408" s="188"/>
      <c r="E2408" s="132"/>
      <c r="F2408" s="188"/>
      <c r="G2408" s="132"/>
      <c r="H2408" s="218"/>
    </row>
    <row r="2409" spans="2:8" ht="25.5" x14ac:dyDescent="0.2">
      <c r="B2409" s="229" t="s">
        <v>1409</v>
      </c>
      <c r="C2409" s="242"/>
      <c r="D2409" s="243"/>
      <c r="E2409" s="232" t="s">
        <v>1408</v>
      </c>
      <c r="F2409" s="231" t="s">
        <v>1679</v>
      </c>
      <c r="G2409" s="232" t="s">
        <v>1676</v>
      </c>
      <c r="H2409" s="234" t="s">
        <v>1675</v>
      </c>
    </row>
    <row r="2410" spans="2:8" x14ac:dyDescent="0.2">
      <c r="B2410" s="208" t="s">
        <v>975</v>
      </c>
      <c r="C2410" s="209"/>
      <c r="D2410" s="246"/>
      <c r="E2410" s="215" t="s">
        <v>976</v>
      </c>
      <c r="F2410" s="215">
        <v>0.2</v>
      </c>
      <c r="G2410" s="247">
        <v>5</v>
      </c>
      <c r="H2410" s="218">
        <f>F2410*G2410</f>
        <v>1</v>
      </c>
    </row>
    <row r="2411" spans="2:8" x14ac:dyDescent="0.2">
      <c r="B2411" s="214"/>
      <c r="C2411" s="132"/>
      <c r="D2411" s="248"/>
      <c r="E2411" s="215"/>
      <c r="F2411" s="215"/>
      <c r="G2411" s="247"/>
      <c r="H2411" s="218"/>
    </row>
    <row r="2412" spans="2:8" x14ac:dyDescent="0.2">
      <c r="B2412" s="219" t="s">
        <v>1682</v>
      </c>
      <c r="C2412" s="220"/>
      <c r="D2412" s="249"/>
      <c r="E2412" s="221" t="s">
        <v>1682</v>
      </c>
      <c r="F2412" s="221"/>
      <c r="G2412" s="222" t="s">
        <v>1682</v>
      </c>
      <c r="H2412" s="224" t="s">
        <v>1682</v>
      </c>
    </row>
    <row r="2413" spans="2:8" ht="13.5" thickBot="1" x14ac:dyDescent="0.25">
      <c r="B2413" s="250" t="s">
        <v>977</v>
      </c>
      <c r="C2413" s="251"/>
      <c r="D2413" s="252"/>
      <c r="E2413" s="252"/>
      <c r="F2413" s="252"/>
      <c r="G2413" s="251"/>
      <c r="H2413" s="253">
        <f>SUM(H2410:H2412)</f>
        <v>1</v>
      </c>
    </row>
    <row r="2414" spans="2:8" x14ac:dyDescent="0.2">
      <c r="B2414" s="132"/>
      <c r="C2414" s="132"/>
      <c r="D2414" s="254"/>
      <c r="E2414" s="198"/>
      <c r="F2414" s="198"/>
      <c r="G2414" s="255" t="s">
        <v>978</v>
      </c>
      <c r="H2414" s="256">
        <f>H2391+H2399+H2407+H2413</f>
        <v>63.481400000000001</v>
      </c>
    </row>
    <row r="2415" spans="2:8" x14ac:dyDescent="0.2">
      <c r="B2415" s="132"/>
      <c r="C2415" s="132"/>
      <c r="D2415" s="257"/>
      <c r="E2415" s="239"/>
      <c r="F2415" s="239"/>
      <c r="G2415" s="258" t="s">
        <v>979</v>
      </c>
      <c r="H2415" s="241"/>
    </row>
    <row r="2416" spans="2:8" x14ac:dyDescent="0.2">
      <c r="B2416" s="132"/>
      <c r="C2416" s="132"/>
      <c r="D2416" s="257"/>
      <c r="E2416" s="239"/>
      <c r="F2416" s="239"/>
      <c r="G2416" s="258" t="s">
        <v>980</v>
      </c>
      <c r="H2416" s="241"/>
    </row>
    <row r="2417" spans="2:8" x14ac:dyDescent="0.2">
      <c r="B2417" s="132"/>
      <c r="C2417" s="132"/>
      <c r="D2417" s="257"/>
      <c r="E2417" s="239"/>
      <c r="F2417" s="239"/>
      <c r="G2417" s="259" t="s">
        <v>1670</v>
      </c>
      <c r="H2417" s="260"/>
    </row>
    <row r="2418" spans="2:8" ht="13.5" thickBot="1" x14ac:dyDescent="0.25">
      <c r="B2418" s="193"/>
      <c r="C2418" s="132"/>
      <c r="D2418" s="261"/>
      <c r="E2418" s="251"/>
      <c r="F2418" s="251"/>
      <c r="G2418" s="262" t="s">
        <v>1650</v>
      </c>
      <c r="H2418" s="263"/>
    </row>
    <row r="2419" spans="2:8" ht="15.75" x14ac:dyDescent="0.2">
      <c r="B2419" s="186" t="s">
        <v>1701</v>
      </c>
      <c r="C2419" s="132"/>
      <c r="D2419" s="189" t="s">
        <v>742</v>
      </c>
      <c r="E2419" s="132"/>
      <c r="F2419" s="132"/>
      <c r="G2419" s="188"/>
      <c r="H2419" s="132"/>
    </row>
    <row r="2420" spans="2:8" ht="15.75" x14ac:dyDescent="0.2">
      <c r="B2420" s="186" t="s">
        <v>1700</v>
      </c>
      <c r="C2420" s="189" t="s">
        <v>963</v>
      </c>
      <c r="D2420" s="132"/>
      <c r="E2420" s="132"/>
      <c r="F2420" s="132"/>
      <c r="G2420" s="190"/>
      <c r="H2420" s="191"/>
    </row>
    <row r="2421" spans="2:8" ht="14.25" x14ac:dyDescent="0.2">
      <c r="B2421" s="189"/>
      <c r="C2421" s="189"/>
      <c r="D2421" s="189"/>
      <c r="E2421" s="189"/>
      <c r="F2421" s="189"/>
      <c r="G2421" s="189"/>
      <c r="H2421" s="189"/>
    </row>
    <row r="2422" spans="2:8" ht="15.75" x14ac:dyDescent="0.2">
      <c r="B2422" s="186" t="s">
        <v>1697</v>
      </c>
      <c r="C2422" s="189"/>
      <c r="D2422" s="132"/>
      <c r="E2422" s="132"/>
      <c r="F2422" s="132"/>
      <c r="G2422" s="132"/>
      <c r="H2422" s="132"/>
    </row>
    <row r="2423" spans="2:8" ht="15" x14ac:dyDescent="0.2">
      <c r="B2423" s="192"/>
      <c r="C2423" s="189"/>
      <c r="D2423" s="189"/>
      <c r="E2423" s="189"/>
      <c r="F2423" s="189"/>
      <c r="G2423" s="189"/>
      <c r="H2423" s="189"/>
    </row>
    <row r="2424" spans="2:8" ht="14.25" x14ac:dyDescent="0.2">
      <c r="B2424" s="193" t="s">
        <v>594</v>
      </c>
      <c r="C2424" s="194" t="s">
        <v>538</v>
      </c>
      <c r="D2424" s="132"/>
      <c r="E2424" s="188"/>
      <c r="F2424" s="188"/>
      <c r="G2424" s="195" t="s">
        <v>1696</v>
      </c>
      <c r="H2424" s="189" t="s">
        <v>1506</v>
      </c>
    </row>
    <row r="2425" spans="2:8" ht="14.25" x14ac:dyDescent="0.2">
      <c r="B2425" s="196" t="s">
        <v>964</v>
      </c>
      <c r="C2425" s="194" t="s">
        <v>539</v>
      </c>
      <c r="D2425" s="132"/>
      <c r="E2425" s="132"/>
      <c r="F2425" s="132"/>
      <c r="G2425" s="132"/>
      <c r="H2425" s="132"/>
    </row>
    <row r="2426" spans="2:8" ht="15" thickBot="1" x14ac:dyDescent="0.25">
      <c r="B2426" s="187"/>
      <c r="C2426" s="187"/>
      <c r="D2426" s="189"/>
      <c r="E2426" s="189"/>
      <c r="F2426" s="189"/>
      <c r="G2426" s="189"/>
      <c r="H2426" s="189"/>
    </row>
    <row r="2427" spans="2:8" ht="13.5" thickBot="1" x14ac:dyDescent="0.25">
      <c r="B2427" s="264" t="s">
        <v>1695</v>
      </c>
      <c r="C2427" s="265"/>
      <c r="D2427" s="266"/>
      <c r="E2427" s="265"/>
      <c r="F2427" s="265"/>
      <c r="G2427" s="265"/>
      <c r="H2427" s="267"/>
    </row>
    <row r="2428" spans="2:8" ht="25.5" x14ac:dyDescent="0.2">
      <c r="B2428" s="197" t="s">
        <v>1409</v>
      </c>
      <c r="C2428" s="268"/>
      <c r="D2428" s="269" t="s">
        <v>966</v>
      </c>
      <c r="E2428" s="270" t="s">
        <v>1694</v>
      </c>
      <c r="F2428" s="270" t="s">
        <v>1693</v>
      </c>
      <c r="G2428" s="201" t="s">
        <v>1687</v>
      </c>
      <c r="H2428" s="271" t="s">
        <v>967</v>
      </c>
    </row>
    <row r="2429" spans="2:8" x14ac:dyDescent="0.2">
      <c r="B2429" s="208" t="s">
        <v>1468</v>
      </c>
      <c r="C2429" s="209"/>
      <c r="D2429" s="210">
        <v>1</v>
      </c>
      <c r="E2429" s="211">
        <v>2.5</v>
      </c>
      <c r="F2429" s="211">
        <f>D2429*E2429</f>
        <v>2.5</v>
      </c>
      <c r="G2429" s="212">
        <v>0.3</v>
      </c>
      <c r="H2429" s="213">
        <f>F2429*G2429</f>
        <v>0.75</v>
      </c>
    </row>
    <row r="2430" spans="2:8" x14ac:dyDescent="0.2">
      <c r="B2430" s="214" t="s">
        <v>1682</v>
      </c>
      <c r="C2430" s="132"/>
      <c r="D2430" s="215"/>
      <c r="E2430" s="216" t="s">
        <v>1682</v>
      </c>
      <c r="F2430" s="216" t="s">
        <v>1682</v>
      </c>
      <c r="G2430" s="217"/>
      <c r="H2430" s="218" t="s">
        <v>1682</v>
      </c>
    </row>
    <row r="2431" spans="2:8" x14ac:dyDescent="0.2">
      <c r="B2431" s="219" t="s">
        <v>1682</v>
      </c>
      <c r="C2431" s="220"/>
      <c r="D2431" s="221"/>
      <c r="E2431" s="222" t="s">
        <v>1682</v>
      </c>
      <c r="F2431" s="222" t="s">
        <v>1682</v>
      </c>
      <c r="G2431" s="223"/>
      <c r="H2431" s="224" t="s">
        <v>1682</v>
      </c>
    </row>
    <row r="2432" spans="2:8" x14ac:dyDescent="0.2">
      <c r="B2432" s="219" t="s">
        <v>968</v>
      </c>
      <c r="C2432" s="220"/>
      <c r="D2432" s="225"/>
      <c r="E2432" s="220"/>
      <c r="F2432" s="220"/>
      <c r="G2432" s="226"/>
      <c r="H2432" s="224">
        <f>SUM(H2429:H2431)</f>
        <v>0.75</v>
      </c>
    </row>
    <row r="2433" spans="2:8" x14ac:dyDescent="0.2">
      <c r="B2433" s="227" t="s">
        <v>1503</v>
      </c>
      <c r="C2433" s="132"/>
      <c r="D2433" s="188"/>
      <c r="E2433" s="132"/>
      <c r="F2433" s="132"/>
      <c r="G2433" s="228"/>
      <c r="H2433" s="218"/>
    </row>
    <row r="2434" spans="2:8" ht="25.5" x14ac:dyDescent="0.2">
      <c r="B2434" s="229" t="s">
        <v>1691</v>
      </c>
      <c r="C2434" s="230"/>
      <c r="D2434" s="231" t="s">
        <v>969</v>
      </c>
      <c r="E2434" s="232" t="s">
        <v>1689</v>
      </c>
      <c r="F2434" s="232" t="s">
        <v>1688</v>
      </c>
      <c r="G2434" s="233" t="s">
        <v>1687</v>
      </c>
      <c r="H2434" s="234" t="s">
        <v>1686</v>
      </c>
    </row>
    <row r="2435" spans="2:8" x14ac:dyDescent="0.2">
      <c r="B2435" s="235" t="s">
        <v>243</v>
      </c>
      <c r="C2435" s="132"/>
      <c r="D2435" s="236">
        <v>1</v>
      </c>
      <c r="E2435" s="237">
        <v>2.13</v>
      </c>
      <c r="F2435" s="216">
        <f>D2435*E2435</f>
        <v>2.13</v>
      </c>
      <c r="G2435" s="217">
        <v>1.66</v>
      </c>
      <c r="H2435" s="218">
        <f>F2435*G2435</f>
        <v>3.5357999999999996</v>
      </c>
    </row>
    <row r="2436" spans="2:8" x14ac:dyDescent="0.2">
      <c r="B2436" s="235" t="s">
        <v>1488</v>
      </c>
      <c r="C2436" s="132"/>
      <c r="D2436" s="236">
        <v>1</v>
      </c>
      <c r="E2436" s="237">
        <v>2.13</v>
      </c>
      <c r="F2436" s="216">
        <f>D2436*E2436</f>
        <v>2.13</v>
      </c>
      <c r="G2436" s="217">
        <v>1.24</v>
      </c>
      <c r="H2436" s="218">
        <f>F2436*G2436</f>
        <v>2.6412</v>
      </c>
    </row>
    <row r="2437" spans="2:8" x14ac:dyDescent="0.2">
      <c r="B2437" s="235" t="s">
        <v>590</v>
      </c>
      <c r="C2437" s="132"/>
      <c r="D2437" s="236">
        <v>1</v>
      </c>
      <c r="E2437" s="237">
        <v>2.13</v>
      </c>
      <c r="F2437" s="216">
        <f>D2437*E2437</f>
        <v>2.13</v>
      </c>
      <c r="G2437" s="217">
        <v>0.88</v>
      </c>
      <c r="H2437" s="218">
        <f>F2437*G2437</f>
        <v>1.8743999999999998</v>
      </c>
    </row>
    <row r="2438" spans="2:8" x14ac:dyDescent="0.2">
      <c r="B2438" s="235"/>
      <c r="C2438" s="132"/>
      <c r="D2438" s="236"/>
      <c r="E2438" s="237"/>
      <c r="F2438" s="216"/>
      <c r="G2438" s="217"/>
      <c r="H2438" s="218"/>
    </row>
    <row r="2439" spans="2:8" x14ac:dyDescent="0.2">
      <c r="B2439" s="219" t="s">
        <v>1682</v>
      </c>
      <c r="C2439" s="220"/>
      <c r="D2439" s="221"/>
      <c r="E2439" s="222" t="s">
        <v>1682</v>
      </c>
      <c r="F2439" s="222" t="s">
        <v>1682</v>
      </c>
      <c r="G2439" s="223"/>
      <c r="H2439" s="224" t="s">
        <v>1682</v>
      </c>
    </row>
    <row r="2440" spans="2:8" x14ac:dyDescent="0.2">
      <c r="B2440" s="238" t="s">
        <v>1681</v>
      </c>
      <c r="C2440" s="239"/>
      <c r="D2440" s="240"/>
      <c r="E2440" s="239"/>
      <c r="F2440" s="239"/>
      <c r="G2440" s="239"/>
      <c r="H2440" s="241">
        <f>SUM(H2435:H2439)</f>
        <v>8.0513999999999992</v>
      </c>
    </row>
    <row r="2441" spans="2:8" x14ac:dyDescent="0.2">
      <c r="B2441" s="227" t="s">
        <v>1684</v>
      </c>
      <c r="C2441" s="132"/>
      <c r="D2441" s="188"/>
      <c r="E2441" s="132"/>
      <c r="F2441" s="132"/>
      <c r="G2441" s="132"/>
      <c r="H2441" s="218"/>
    </row>
    <row r="2442" spans="2:8" ht="25.5" x14ac:dyDescent="0.2">
      <c r="B2442" s="229" t="s">
        <v>1409</v>
      </c>
      <c r="C2442" s="242"/>
      <c r="D2442" s="243"/>
      <c r="E2442" s="232" t="s">
        <v>1408</v>
      </c>
      <c r="F2442" s="231" t="s">
        <v>1679</v>
      </c>
      <c r="G2442" s="232" t="s">
        <v>1683</v>
      </c>
      <c r="H2442" s="234" t="s">
        <v>1675</v>
      </c>
    </row>
    <row r="2443" spans="2:8" x14ac:dyDescent="0.2">
      <c r="B2443" s="214" t="s">
        <v>535</v>
      </c>
      <c r="C2443" s="132"/>
      <c r="D2443" s="188"/>
      <c r="E2443" s="215"/>
      <c r="F2443" s="215"/>
      <c r="G2443" s="216"/>
      <c r="H2443" s="218"/>
    </row>
    <row r="2444" spans="2:8" x14ac:dyDescent="0.2">
      <c r="B2444" s="214" t="s">
        <v>540</v>
      </c>
      <c r="C2444" s="132"/>
      <c r="D2444" s="188"/>
      <c r="E2444" s="215" t="s">
        <v>1506</v>
      </c>
      <c r="F2444" s="215">
        <v>1</v>
      </c>
      <c r="G2444" s="216">
        <v>43.24</v>
      </c>
      <c r="H2444" s="218">
        <f>F2444*G2444</f>
        <v>43.24</v>
      </c>
    </row>
    <row r="2445" spans="2:8" x14ac:dyDescent="0.2">
      <c r="B2445" s="214" t="s">
        <v>537</v>
      </c>
      <c r="C2445" s="132"/>
      <c r="D2445" s="188"/>
      <c r="E2445" s="215"/>
      <c r="F2445" s="215"/>
      <c r="G2445" s="216"/>
      <c r="H2445" s="218"/>
    </row>
    <row r="2446" spans="2:8" x14ac:dyDescent="0.2">
      <c r="B2446" s="214"/>
      <c r="C2446" s="132"/>
      <c r="D2446" s="188"/>
      <c r="E2446" s="272"/>
      <c r="F2446" s="215"/>
      <c r="G2446" s="216"/>
      <c r="H2446" s="218"/>
    </row>
    <row r="2447" spans="2:8" x14ac:dyDescent="0.2">
      <c r="B2447" s="214" t="s">
        <v>1682</v>
      </c>
      <c r="C2447" s="132"/>
      <c r="D2447" s="245" t="s">
        <v>1682</v>
      </c>
      <c r="E2447" s="272" t="s">
        <v>1682</v>
      </c>
      <c r="F2447" s="215" t="s">
        <v>1682</v>
      </c>
      <c r="G2447" s="216" t="s">
        <v>1682</v>
      </c>
      <c r="H2447" s="218" t="s">
        <v>1682</v>
      </c>
    </row>
    <row r="2448" spans="2:8" x14ac:dyDescent="0.2">
      <c r="B2448" s="238" t="s">
        <v>1692</v>
      </c>
      <c r="C2448" s="239"/>
      <c r="D2448" s="240"/>
      <c r="E2448" s="240"/>
      <c r="F2448" s="240"/>
      <c r="G2448" s="239"/>
      <c r="H2448" s="241">
        <f>SUM(H2443:H2447)</f>
        <v>43.24</v>
      </c>
    </row>
    <row r="2449" spans="2:8" x14ac:dyDescent="0.2">
      <c r="B2449" s="227" t="s">
        <v>1680</v>
      </c>
      <c r="C2449" s="132"/>
      <c r="D2449" s="188"/>
      <c r="E2449" s="132"/>
      <c r="F2449" s="188"/>
      <c r="G2449" s="132"/>
      <c r="H2449" s="218"/>
    </row>
    <row r="2450" spans="2:8" ht="25.5" x14ac:dyDescent="0.2">
      <c r="B2450" s="229" t="s">
        <v>1409</v>
      </c>
      <c r="C2450" s="242"/>
      <c r="D2450" s="243"/>
      <c r="E2450" s="232" t="s">
        <v>1408</v>
      </c>
      <c r="F2450" s="231" t="s">
        <v>1679</v>
      </c>
      <c r="G2450" s="232" t="s">
        <v>1676</v>
      </c>
      <c r="H2450" s="234" t="s">
        <v>1675</v>
      </c>
    </row>
    <row r="2451" spans="2:8" x14ac:dyDescent="0.2">
      <c r="B2451" s="208" t="s">
        <v>975</v>
      </c>
      <c r="C2451" s="209"/>
      <c r="D2451" s="246"/>
      <c r="E2451" s="215" t="s">
        <v>976</v>
      </c>
      <c r="F2451" s="215">
        <v>0.2</v>
      </c>
      <c r="G2451" s="247">
        <v>5</v>
      </c>
      <c r="H2451" s="218">
        <f>F2451*G2451</f>
        <v>1</v>
      </c>
    </row>
    <row r="2452" spans="2:8" x14ac:dyDescent="0.2">
      <c r="B2452" s="214"/>
      <c r="C2452" s="132"/>
      <c r="D2452" s="248"/>
      <c r="E2452" s="215"/>
      <c r="F2452" s="215"/>
      <c r="G2452" s="247"/>
      <c r="H2452" s="218"/>
    </row>
    <row r="2453" spans="2:8" x14ac:dyDescent="0.2">
      <c r="B2453" s="219" t="s">
        <v>1682</v>
      </c>
      <c r="C2453" s="220"/>
      <c r="D2453" s="249"/>
      <c r="E2453" s="221" t="s">
        <v>1682</v>
      </c>
      <c r="F2453" s="221"/>
      <c r="G2453" s="222" t="s">
        <v>1682</v>
      </c>
      <c r="H2453" s="224" t="s">
        <v>1682</v>
      </c>
    </row>
    <row r="2454" spans="2:8" ht="13.5" thickBot="1" x14ac:dyDescent="0.25">
      <c r="B2454" s="250" t="s">
        <v>977</v>
      </c>
      <c r="C2454" s="251"/>
      <c r="D2454" s="252"/>
      <c r="E2454" s="252"/>
      <c r="F2454" s="252"/>
      <c r="G2454" s="251"/>
      <c r="H2454" s="253">
        <f>SUM(H2451:H2453)</f>
        <v>1</v>
      </c>
    </row>
    <row r="2455" spans="2:8" x14ac:dyDescent="0.2">
      <c r="B2455" s="132"/>
      <c r="C2455" s="132"/>
      <c r="D2455" s="254"/>
      <c r="E2455" s="198"/>
      <c r="F2455" s="198"/>
      <c r="G2455" s="255" t="s">
        <v>978</v>
      </c>
      <c r="H2455" s="256">
        <f>H2432+H2440+H2448+H2454</f>
        <v>53.041400000000003</v>
      </c>
    </row>
    <row r="2456" spans="2:8" x14ac:dyDescent="0.2">
      <c r="B2456" s="132"/>
      <c r="C2456" s="132"/>
      <c r="D2456" s="257"/>
      <c r="E2456" s="239"/>
      <c r="F2456" s="239"/>
      <c r="G2456" s="258" t="s">
        <v>979</v>
      </c>
      <c r="H2456" s="241"/>
    </row>
    <row r="2457" spans="2:8" x14ac:dyDescent="0.2">
      <c r="B2457" s="132"/>
      <c r="C2457" s="132"/>
      <c r="D2457" s="257"/>
      <c r="E2457" s="239"/>
      <c r="F2457" s="239"/>
      <c r="G2457" s="258" t="s">
        <v>980</v>
      </c>
      <c r="H2457" s="241"/>
    </row>
    <row r="2458" spans="2:8" x14ac:dyDescent="0.2">
      <c r="B2458" s="132"/>
      <c r="C2458" s="132"/>
      <c r="D2458" s="257"/>
      <c r="E2458" s="239"/>
      <c r="F2458" s="239"/>
      <c r="G2458" s="259" t="s">
        <v>1670</v>
      </c>
      <c r="H2458" s="260"/>
    </row>
    <row r="2459" spans="2:8" ht="13.5" thickBot="1" x14ac:dyDescent="0.25">
      <c r="B2459" s="193"/>
      <c r="C2459" s="132"/>
      <c r="D2459" s="261"/>
      <c r="E2459" s="251"/>
      <c r="F2459" s="251"/>
      <c r="G2459" s="262" t="s">
        <v>1650</v>
      </c>
      <c r="H2459" s="263"/>
    </row>
    <row r="2460" spans="2:8" ht="15.75" x14ac:dyDescent="0.2">
      <c r="B2460" s="186" t="s">
        <v>1701</v>
      </c>
      <c r="C2460" s="132"/>
      <c r="D2460" s="189" t="s">
        <v>742</v>
      </c>
      <c r="E2460" s="132"/>
      <c r="F2460" s="132"/>
      <c r="G2460" s="188"/>
      <c r="H2460" s="132"/>
    </row>
    <row r="2461" spans="2:8" ht="15.75" x14ac:dyDescent="0.2">
      <c r="B2461" s="186" t="s">
        <v>1700</v>
      </c>
      <c r="C2461" s="189" t="s">
        <v>963</v>
      </c>
      <c r="D2461" s="132"/>
      <c r="E2461" s="132"/>
      <c r="F2461" s="132"/>
      <c r="G2461" s="190"/>
      <c r="H2461" s="191"/>
    </row>
    <row r="2462" spans="2:8" ht="14.25" x14ac:dyDescent="0.2">
      <c r="B2462" s="189"/>
      <c r="C2462" s="189"/>
      <c r="D2462" s="189"/>
      <c r="E2462" s="189"/>
      <c r="F2462" s="189"/>
      <c r="G2462" s="189"/>
      <c r="H2462" s="189"/>
    </row>
    <row r="2463" spans="2:8" ht="15.75" x14ac:dyDescent="0.2">
      <c r="B2463" s="186" t="s">
        <v>1697</v>
      </c>
      <c r="C2463" s="189"/>
      <c r="D2463" s="132"/>
      <c r="E2463" s="132"/>
      <c r="F2463" s="132"/>
      <c r="G2463" s="132"/>
      <c r="H2463" s="132"/>
    </row>
    <row r="2464" spans="2:8" ht="15" x14ac:dyDescent="0.2">
      <c r="B2464" s="192"/>
      <c r="C2464" s="189"/>
      <c r="D2464" s="189"/>
      <c r="E2464" s="189"/>
      <c r="F2464" s="189"/>
      <c r="G2464" s="189"/>
      <c r="H2464" s="189"/>
    </row>
    <row r="2465" spans="2:8" ht="14.25" x14ac:dyDescent="0.2">
      <c r="B2465" s="193" t="s">
        <v>594</v>
      </c>
      <c r="C2465" s="194" t="s">
        <v>541</v>
      </c>
      <c r="D2465" s="132"/>
      <c r="E2465" s="188"/>
      <c r="F2465" s="188"/>
      <c r="G2465" s="195" t="s">
        <v>1696</v>
      </c>
      <c r="H2465" s="189" t="s">
        <v>1506</v>
      </c>
    </row>
    <row r="2466" spans="2:8" ht="14.25" x14ac:dyDescent="0.2">
      <c r="B2466" s="196" t="s">
        <v>964</v>
      </c>
      <c r="C2466" s="194" t="s">
        <v>542</v>
      </c>
      <c r="D2466" s="132"/>
      <c r="E2466" s="132"/>
      <c r="F2466" s="132"/>
      <c r="G2466" s="132"/>
      <c r="H2466" s="132"/>
    </row>
    <row r="2467" spans="2:8" ht="15" thickBot="1" x14ac:dyDescent="0.25">
      <c r="B2467" s="187"/>
      <c r="C2467" s="187"/>
      <c r="D2467" s="189"/>
      <c r="E2467" s="189"/>
      <c r="F2467" s="189"/>
      <c r="G2467" s="189"/>
      <c r="H2467" s="189"/>
    </row>
    <row r="2468" spans="2:8" ht="13.5" thickBot="1" x14ac:dyDescent="0.25">
      <c r="B2468" s="264" t="s">
        <v>1695</v>
      </c>
      <c r="C2468" s="265"/>
      <c r="D2468" s="266"/>
      <c r="E2468" s="265"/>
      <c r="F2468" s="265"/>
      <c r="G2468" s="265"/>
      <c r="H2468" s="267"/>
    </row>
    <row r="2469" spans="2:8" ht="25.5" x14ac:dyDescent="0.2">
      <c r="B2469" s="197" t="s">
        <v>1409</v>
      </c>
      <c r="C2469" s="268"/>
      <c r="D2469" s="269" t="s">
        <v>966</v>
      </c>
      <c r="E2469" s="270" t="s">
        <v>1694</v>
      </c>
      <c r="F2469" s="270" t="s">
        <v>1693</v>
      </c>
      <c r="G2469" s="201" t="s">
        <v>1687</v>
      </c>
      <c r="H2469" s="271" t="s">
        <v>967</v>
      </c>
    </row>
    <row r="2470" spans="2:8" x14ac:dyDescent="0.2">
      <c r="B2470" s="208" t="s">
        <v>1468</v>
      </c>
      <c r="C2470" s="209"/>
      <c r="D2470" s="210">
        <v>1</v>
      </c>
      <c r="E2470" s="211">
        <v>2.5</v>
      </c>
      <c r="F2470" s="211">
        <f>D2470*E2470</f>
        <v>2.5</v>
      </c>
      <c r="G2470" s="212">
        <v>0.3</v>
      </c>
      <c r="H2470" s="213">
        <f>F2470*G2470</f>
        <v>0.75</v>
      </c>
    </row>
    <row r="2471" spans="2:8" x14ac:dyDescent="0.2">
      <c r="B2471" s="214" t="s">
        <v>1682</v>
      </c>
      <c r="C2471" s="132"/>
      <c r="D2471" s="215"/>
      <c r="E2471" s="216" t="s">
        <v>1682</v>
      </c>
      <c r="F2471" s="216" t="s">
        <v>1682</v>
      </c>
      <c r="G2471" s="217"/>
      <c r="H2471" s="218" t="s">
        <v>1682</v>
      </c>
    </row>
    <row r="2472" spans="2:8" x14ac:dyDescent="0.2">
      <c r="B2472" s="219" t="s">
        <v>1682</v>
      </c>
      <c r="C2472" s="220"/>
      <c r="D2472" s="221"/>
      <c r="E2472" s="222" t="s">
        <v>1682</v>
      </c>
      <c r="F2472" s="222" t="s">
        <v>1682</v>
      </c>
      <c r="G2472" s="223"/>
      <c r="H2472" s="224" t="s">
        <v>1682</v>
      </c>
    </row>
    <row r="2473" spans="2:8" x14ac:dyDescent="0.2">
      <c r="B2473" s="219" t="s">
        <v>968</v>
      </c>
      <c r="C2473" s="220"/>
      <c r="D2473" s="225"/>
      <c r="E2473" s="220"/>
      <c r="F2473" s="220"/>
      <c r="G2473" s="226"/>
      <c r="H2473" s="224">
        <f>SUM(H2470:H2472)</f>
        <v>0.75</v>
      </c>
    </row>
    <row r="2474" spans="2:8" x14ac:dyDescent="0.2">
      <c r="B2474" s="227" t="s">
        <v>1503</v>
      </c>
      <c r="C2474" s="132"/>
      <c r="D2474" s="188"/>
      <c r="E2474" s="132"/>
      <c r="F2474" s="132"/>
      <c r="G2474" s="228"/>
      <c r="H2474" s="218"/>
    </row>
    <row r="2475" spans="2:8" ht="25.5" x14ac:dyDescent="0.2">
      <c r="B2475" s="229" t="s">
        <v>1691</v>
      </c>
      <c r="C2475" s="230"/>
      <c r="D2475" s="231" t="s">
        <v>969</v>
      </c>
      <c r="E2475" s="232" t="s">
        <v>1689</v>
      </c>
      <c r="F2475" s="232" t="s">
        <v>1688</v>
      </c>
      <c r="G2475" s="233" t="s">
        <v>1687</v>
      </c>
      <c r="H2475" s="234" t="s">
        <v>1686</v>
      </c>
    </row>
    <row r="2476" spans="2:8" x14ac:dyDescent="0.2">
      <c r="B2476" s="235" t="s">
        <v>243</v>
      </c>
      <c r="C2476" s="132"/>
      <c r="D2476" s="236">
        <v>1</v>
      </c>
      <c r="E2476" s="237">
        <v>2.13</v>
      </c>
      <c r="F2476" s="216">
        <f>D2476*E2476</f>
        <v>2.13</v>
      </c>
      <c r="G2476" s="217">
        <v>2.16</v>
      </c>
      <c r="H2476" s="218">
        <f>F2476*G2476</f>
        <v>4.6008000000000004</v>
      </c>
    </row>
    <row r="2477" spans="2:8" x14ac:dyDescent="0.2">
      <c r="B2477" s="235" t="s">
        <v>1488</v>
      </c>
      <c r="C2477" s="132"/>
      <c r="D2477" s="236">
        <v>1</v>
      </c>
      <c r="E2477" s="237">
        <v>2.13</v>
      </c>
      <c r="F2477" s="216">
        <f>D2477*E2477</f>
        <v>2.13</v>
      </c>
      <c r="G2477" s="217">
        <v>1.61</v>
      </c>
      <c r="H2477" s="218">
        <f>F2477*G2477</f>
        <v>3.4293</v>
      </c>
    </row>
    <row r="2478" spans="2:8" x14ac:dyDescent="0.2">
      <c r="B2478" s="235" t="s">
        <v>590</v>
      </c>
      <c r="C2478" s="132"/>
      <c r="D2478" s="236">
        <v>1</v>
      </c>
      <c r="E2478" s="237">
        <v>2.13</v>
      </c>
      <c r="F2478" s="216">
        <f>D2478*E2478</f>
        <v>2.13</v>
      </c>
      <c r="G2478" s="217">
        <v>1.1399999999999999</v>
      </c>
      <c r="H2478" s="218">
        <f>F2478*G2478</f>
        <v>2.4281999999999995</v>
      </c>
    </row>
    <row r="2479" spans="2:8" x14ac:dyDescent="0.2">
      <c r="B2479" s="235"/>
      <c r="C2479" s="132"/>
      <c r="D2479" s="236"/>
      <c r="E2479" s="237"/>
      <c r="F2479" s="216"/>
      <c r="G2479" s="217"/>
      <c r="H2479" s="218"/>
    </row>
    <row r="2480" spans="2:8" x14ac:dyDescent="0.2">
      <c r="B2480" s="219" t="s">
        <v>1682</v>
      </c>
      <c r="C2480" s="220"/>
      <c r="D2480" s="221"/>
      <c r="E2480" s="222" t="s">
        <v>1682</v>
      </c>
      <c r="F2480" s="222" t="s">
        <v>1682</v>
      </c>
      <c r="G2480" s="223"/>
      <c r="H2480" s="224" t="s">
        <v>1682</v>
      </c>
    </row>
    <row r="2481" spans="2:8" x14ac:dyDescent="0.2">
      <c r="B2481" s="238" t="s">
        <v>1681</v>
      </c>
      <c r="C2481" s="239"/>
      <c r="D2481" s="240"/>
      <c r="E2481" s="239"/>
      <c r="F2481" s="239"/>
      <c r="G2481" s="239"/>
      <c r="H2481" s="241">
        <f>SUM(H2476:H2480)</f>
        <v>10.458300000000001</v>
      </c>
    </row>
    <row r="2482" spans="2:8" x14ac:dyDescent="0.2">
      <c r="B2482" s="227" t="s">
        <v>1684</v>
      </c>
      <c r="C2482" s="132"/>
      <c r="D2482" s="188"/>
      <c r="E2482" s="132"/>
      <c r="F2482" s="132"/>
      <c r="G2482" s="132"/>
      <c r="H2482" s="218"/>
    </row>
    <row r="2483" spans="2:8" ht="25.5" x14ac:dyDescent="0.2">
      <c r="B2483" s="229" t="s">
        <v>1409</v>
      </c>
      <c r="C2483" s="242"/>
      <c r="D2483" s="243"/>
      <c r="E2483" s="232" t="s">
        <v>1408</v>
      </c>
      <c r="F2483" s="231" t="s">
        <v>1679</v>
      </c>
      <c r="G2483" s="232" t="s">
        <v>1683</v>
      </c>
      <c r="H2483" s="234" t="s">
        <v>1675</v>
      </c>
    </row>
    <row r="2484" spans="2:8" x14ac:dyDescent="0.2">
      <c r="B2484" s="214" t="s">
        <v>543</v>
      </c>
      <c r="C2484" s="132"/>
      <c r="D2484" s="188"/>
      <c r="E2484" s="215"/>
      <c r="F2484" s="215"/>
      <c r="G2484" s="216"/>
      <c r="H2484" s="218"/>
    </row>
    <row r="2485" spans="2:8" x14ac:dyDescent="0.2">
      <c r="B2485" s="214" t="s">
        <v>544</v>
      </c>
      <c r="C2485" s="132"/>
      <c r="D2485" s="188"/>
      <c r="E2485" s="215" t="s">
        <v>1506</v>
      </c>
      <c r="F2485" s="215">
        <v>1</v>
      </c>
      <c r="G2485" s="216">
        <v>88.66</v>
      </c>
      <c r="H2485" s="218">
        <f>F2485*G2485</f>
        <v>88.66</v>
      </c>
    </row>
    <row r="2486" spans="2:8" x14ac:dyDescent="0.2">
      <c r="B2486" s="214"/>
      <c r="C2486" s="132"/>
      <c r="D2486" s="188"/>
      <c r="E2486" s="272"/>
      <c r="F2486" s="215"/>
      <c r="G2486" s="216"/>
      <c r="H2486" s="218"/>
    </row>
    <row r="2487" spans="2:8" x14ac:dyDescent="0.2">
      <c r="B2487" s="214" t="s">
        <v>1682</v>
      </c>
      <c r="C2487" s="132"/>
      <c r="D2487" s="245" t="s">
        <v>1682</v>
      </c>
      <c r="E2487" s="272" t="s">
        <v>1682</v>
      </c>
      <c r="F2487" s="215" t="s">
        <v>1682</v>
      </c>
      <c r="G2487" s="216" t="s">
        <v>1682</v>
      </c>
      <c r="H2487" s="218" t="s">
        <v>1682</v>
      </c>
    </row>
    <row r="2488" spans="2:8" x14ac:dyDescent="0.2">
      <c r="B2488" s="238" t="s">
        <v>1692</v>
      </c>
      <c r="C2488" s="239"/>
      <c r="D2488" s="240"/>
      <c r="E2488" s="240"/>
      <c r="F2488" s="240"/>
      <c r="G2488" s="239"/>
      <c r="H2488" s="241">
        <f>SUM(H2484:H2487)</f>
        <v>88.66</v>
      </c>
    </row>
    <row r="2489" spans="2:8" x14ac:dyDescent="0.2">
      <c r="B2489" s="227" t="s">
        <v>1680</v>
      </c>
      <c r="C2489" s="132"/>
      <c r="D2489" s="188"/>
      <c r="E2489" s="132"/>
      <c r="F2489" s="188"/>
      <c r="G2489" s="132"/>
      <c r="H2489" s="218"/>
    </row>
    <row r="2490" spans="2:8" ht="25.5" x14ac:dyDescent="0.2">
      <c r="B2490" s="229" t="s">
        <v>1409</v>
      </c>
      <c r="C2490" s="242"/>
      <c r="D2490" s="243"/>
      <c r="E2490" s="232" t="s">
        <v>1408</v>
      </c>
      <c r="F2490" s="231" t="s">
        <v>1679</v>
      </c>
      <c r="G2490" s="232" t="s">
        <v>1676</v>
      </c>
      <c r="H2490" s="234" t="s">
        <v>1675</v>
      </c>
    </row>
    <row r="2491" spans="2:8" x14ac:dyDescent="0.2">
      <c r="B2491" s="208" t="s">
        <v>975</v>
      </c>
      <c r="C2491" s="209"/>
      <c r="D2491" s="246"/>
      <c r="E2491" s="215" t="s">
        <v>976</v>
      </c>
      <c r="F2491" s="215">
        <v>0.2</v>
      </c>
      <c r="G2491" s="247">
        <v>5</v>
      </c>
      <c r="H2491" s="218">
        <f>F2491*G2491</f>
        <v>1</v>
      </c>
    </row>
    <row r="2492" spans="2:8" x14ac:dyDescent="0.2">
      <c r="B2492" s="214"/>
      <c r="C2492" s="132"/>
      <c r="D2492" s="248"/>
      <c r="E2492" s="215"/>
      <c r="F2492" s="215"/>
      <c r="G2492" s="247"/>
      <c r="H2492" s="218"/>
    </row>
    <row r="2493" spans="2:8" x14ac:dyDescent="0.2">
      <c r="B2493" s="219" t="s">
        <v>1682</v>
      </c>
      <c r="C2493" s="220"/>
      <c r="D2493" s="249"/>
      <c r="E2493" s="221" t="s">
        <v>1682</v>
      </c>
      <c r="F2493" s="221"/>
      <c r="G2493" s="222" t="s">
        <v>1682</v>
      </c>
      <c r="H2493" s="224" t="s">
        <v>1682</v>
      </c>
    </row>
    <row r="2494" spans="2:8" ht="13.5" thickBot="1" x14ac:dyDescent="0.25">
      <c r="B2494" s="250" t="s">
        <v>977</v>
      </c>
      <c r="C2494" s="251"/>
      <c r="D2494" s="252"/>
      <c r="E2494" s="252"/>
      <c r="F2494" s="252"/>
      <c r="G2494" s="251"/>
      <c r="H2494" s="253">
        <f>SUM(H2491:H2493)</f>
        <v>1</v>
      </c>
    </row>
    <row r="2495" spans="2:8" x14ac:dyDescent="0.2">
      <c r="B2495" s="132"/>
      <c r="C2495" s="132"/>
      <c r="D2495" s="254"/>
      <c r="E2495" s="198"/>
      <c r="F2495" s="198"/>
      <c r="G2495" s="255" t="s">
        <v>978</v>
      </c>
      <c r="H2495" s="256">
        <f>H2473+H2481+H2488+H2494</f>
        <v>100.8683</v>
      </c>
    </row>
    <row r="2496" spans="2:8" x14ac:dyDescent="0.2">
      <c r="B2496" s="132"/>
      <c r="C2496" s="132"/>
      <c r="D2496" s="257"/>
      <c r="E2496" s="239"/>
      <c r="F2496" s="239"/>
      <c r="G2496" s="258" t="s">
        <v>979</v>
      </c>
      <c r="H2496" s="241"/>
    </row>
    <row r="2497" spans="2:8" x14ac:dyDescent="0.2">
      <c r="B2497" s="132"/>
      <c r="C2497" s="132"/>
      <c r="D2497" s="257"/>
      <c r="E2497" s="239"/>
      <c r="F2497" s="239"/>
      <c r="G2497" s="258" t="s">
        <v>980</v>
      </c>
      <c r="H2497" s="241"/>
    </row>
    <row r="2498" spans="2:8" x14ac:dyDescent="0.2">
      <c r="B2498" s="132"/>
      <c r="C2498" s="132"/>
      <c r="D2498" s="257"/>
      <c r="E2498" s="239"/>
      <c r="F2498" s="239"/>
      <c r="G2498" s="259" t="s">
        <v>1670</v>
      </c>
      <c r="H2498" s="260"/>
    </row>
    <row r="2499" spans="2:8" ht="13.5" thickBot="1" x14ac:dyDescent="0.25">
      <c r="B2499" s="193"/>
      <c r="C2499" s="132"/>
      <c r="D2499" s="261"/>
      <c r="E2499" s="251"/>
      <c r="F2499" s="251"/>
      <c r="G2499" s="262" t="s">
        <v>1650</v>
      </c>
      <c r="H2499" s="263"/>
    </row>
    <row r="2500" spans="2:8" ht="15.75" x14ac:dyDescent="0.2">
      <c r="B2500" s="186" t="s">
        <v>1701</v>
      </c>
      <c r="C2500" s="132"/>
      <c r="D2500" s="189" t="s">
        <v>742</v>
      </c>
      <c r="E2500" s="132"/>
      <c r="F2500" s="132"/>
      <c r="G2500" s="188"/>
      <c r="H2500" s="132"/>
    </row>
    <row r="2501" spans="2:8" ht="15.75" x14ac:dyDescent="0.2">
      <c r="B2501" s="186" t="s">
        <v>1700</v>
      </c>
      <c r="C2501" s="189" t="s">
        <v>963</v>
      </c>
      <c r="D2501" s="132"/>
      <c r="E2501" s="132"/>
      <c r="F2501" s="132"/>
      <c r="G2501" s="190"/>
      <c r="H2501" s="191"/>
    </row>
    <row r="2502" spans="2:8" ht="14.25" x14ac:dyDescent="0.2">
      <c r="B2502" s="189"/>
      <c r="C2502" s="189"/>
      <c r="D2502" s="189"/>
      <c r="E2502" s="189"/>
      <c r="F2502" s="189"/>
      <c r="G2502" s="189"/>
      <c r="H2502" s="189"/>
    </row>
    <row r="2503" spans="2:8" ht="15.75" x14ac:dyDescent="0.2">
      <c r="B2503" s="186" t="s">
        <v>1697</v>
      </c>
      <c r="C2503" s="189"/>
      <c r="D2503" s="132"/>
      <c r="E2503" s="132"/>
      <c r="F2503" s="132"/>
      <c r="G2503" s="132"/>
      <c r="H2503" s="132"/>
    </row>
    <row r="2504" spans="2:8" ht="15" x14ac:dyDescent="0.2">
      <c r="B2504" s="192"/>
      <c r="C2504" s="189"/>
      <c r="D2504" s="189"/>
      <c r="E2504" s="189"/>
      <c r="F2504" s="189"/>
      <c r="G2504" s="189"/>
      <c r="H2504" s="189"/>
    </row>
    <row r="2505" spans="2:8" ht="14.25" x14ac:dyDescent="0.2">
      <c r="B2505" s="193" t="s">
        <v>594</v>
      </c>
      <c r="C2505" s="194" t="s">
        <v>545</v>
      </c>
      <c r="D2505" s="132"/>
      <c r="E2505" s="188"/>
      <c r="F2505" s="188"/>
      <c r="G2505" s="195" t="s">
        <v>1696</v>
      </c>
      <c r="H2505" s="189" t="s">
        <v>1506</v>
      </c>
    </row>
    <row r="2506" spans="2:8" ht="14.25" x14ac:dyDescent="0.2">
      <c r="B2506" s="196" t="s">
        <v>964</v>
      </c>
      <c r="C2506" s="194" t="s">
        <v>546</v>
      </c>
      <c r="D2506" s="132"/>
      <c r="E2506" s="132"/>
      <c r="F2506" s="132"/>
      <c r="G2506" s="132"/>
      <c r="H2506" s="132"/>
    </row>
    <row r="2507" spans="2:8" ht="15" thickBot="1" x14ac:dyDescent="0.25">
      <c r="B2507" s="187"/>
      <c r="C2507" s="187"/>
      <c r="D2507" s="189"/>
      <c r="E2507" s="189"/>
      <c r="F2507" s="189"/>
      <c r="G2507" s="189"/>
      <c r="H2507" s="189"/>
    </row>
    <row r="2508" spans="2:8" ht="13.5" thickBot="1" x14ac:dyDescent="0.25">
      <c r="B2508" s="264" t="s">
        <v>1695</v>
      </c>
      <c r="C2508" s="265"/>
      <c r="D2508" s="266"/>
      <c r="E2508" s="265"/>
      <c r="F2508" s="265"/>
      <c r="G2508" s="265"/>
      <c r="H2508" s="267"/>
    </row>
    <row r="2509" spans="2:8" ht="25.5" x14ac:dyDescent="0.2">
      <c r="B2509" s="197" t="s">
        <v>1409</v>
      </c>
      <c r="C2509" s="268"/>
      <c r="D2509" s="269" t="s">
        <v>966</v>
      </c>
      <c r="E2509" s="270" t="s">
        <v>1694</v>
      </c>
      <c r="F2509" s="270" t="s">
        <v>1693</v>
      </c>
      <c r="G2509" s="201" t="s">
        <v>1687</v>
      </c>
      <c r="H2509" s="271" t="s">
        <v>967</v>
      </c>
    </row>
    <row r="2510" spans="2:8" x14ac:dyDescent="0.2">
      <c r="B2510" s="208" t="s">
        <v>1468</v>
      </c>
      <c r="C2510" s="209"/>
      <c r="D2510" s="210">
        <v>1</v>
      </c>
      <c r="E2510" s="211">
        <v>2.5</v>
      </c>
      <c r="F2510" s="211">
        <f>D2510*E2510</f>
        <v>2.5</v>
      </c>
      <c r="G2510" s="212">
        <v>1</v>
      </c>
      <c r="H2510" s="213">
        <f>F2510*G2510</f>
        <v>2.5</v>
      </c>
    </row>
    <row r="2511" spans="2:8" x14ac:dyDescent="0.2">
      <c r="B2511" s="214" t="s">
        <v>547</v>
      </c>
      <c r="C2511" s="132"/>
      <c r="D2511" s="215">
        <v>2</v>
      </c>
      <c r="E2511" s="216">
        <v>0.22</v>
      </c>
      <c r="F2511" s="216">
        <v>0.44</v>
      </c>
      <c r="G2511" s="217">
        <v>6</v>
      </c>
      <c r="H2511" s="213">
        <f>F2511*G2511</f>
        <v>2.64</v>
      </c>
    </row>
    <row r="2512" spans="2:8" x14ac:dyDescent="0.2">
      <c r="B2512" s="214" t="s">
        <v>1682</v>
      </c>
      <c r="C2512" s="132"/>
      <c r="D2512" s="215"/>
      <c r="E2512" s="216" t="s">
        <v>1682</v>
      </c>
      <c r="F2512" s="216" t="s">
        <v>1682</v>
      </c>
      <c r="G2512" s="217"/>
      <c r="H2512" s="218" t="s">
        <v>1682</v>
      </c>
    </row>
    <row r="2513" spans="2:8" x14ac:dyDescent="0.2">
      <c r="B2513" s="219" t="s">
        <v>1682</v>
      </c>
      <c r="C2513" s="220"/>
      <c r="D2513" s="221"/>
      <c r="E2513" s="222" t="s">
        <v>1682</v>
      </c>
      <c r="F2513" s="222" t="s">
        <v>1682</v>
      </c>
      <c r="G2513" s="223"/>
      <c r="H2513" s="224" t="s">
        <v>1682</v>
      </c>
    </row>
    <row r="2514" spans="2:8" x14ac:dyDescent="0.2">
      <c r="B2514" s="219" t="s">
        <v>968</v>
      </c>
      <c r="C2514" s="220"/>
      <c r="D2514" s="225"/>
      <c r="E2514" s="220"/>
      <c r="F2514" s="220"/>
      <c r="G2514" s="226"/>
      <c r="H2514" s="224">
        <f>SUM(H2510:H2513)</f>
        <v>5.1400000000000006</v>
      </c>
    </row>
    <row r="2515" spans="2:8" x14ac:dyDescent="0.2">
      <c r="B2515" s="227" t="s">
        <v>1503</v>
      </c>
      <c r="C2515" s="132"/>
      <c r="D2515" s="188"/>
      <c r="E2515" s="132"/>
      <c r="F2515" s="132"/>
      <c r="G2515" s="228"/>
      <c r="H2515" s="218"/>
    </row>
    <row r="2516" spans="2:8" ht="25.5" x14ac:dyDescent="0.2">
      <c r="B2516" s="229" t="s">
        <v>1691</v>
      </c>
      <c r="C2516" s="230"/>
      <c r="D2516" s="231" t="s">
        <v>969</v>
      </c>
      <c r="E2516" s="232" t="s">
        <v>1689</v>
      </c>
      <c r="F2516" s="232" t="s">
        <v>1688</v>
      </c>
      <c r="G2516" s="233" t="s">
        <v>1687</v>
      </c>
      <c r="H2516" s="234" t="s">
        <v>1686</v>
      </c>
    </row>
    <row r="2517" spans="2:8" x14ac:dyDescent="0.2">
      <c r="B2517" s="235" t="s">
        <v>243</v>
      </c>
      <c r="C2517" s="132"/>
      <c r="D2517" s="236">
        <v>1</v>
      </c>
      <c r="E2517" s="237">
        <v>2.13</v>
      </c>
      <c r="F2517" s="216">
        <f>D2517*E2517</f>
        <v>2.13</v>
      </c>
      <c r="G2517" s="217">
        <v>2.59</v>
      </c>
      <c r="H2517" s="218">
        <f>F2517*G2517</f>
        <v>5.5166999999999993</v>
      </c>
    </row>
    <row r="2518" spans="2:8" x14ac:dyDescent="0.2">
      <c r="B2518" s="235" t="s">
        <v>1488</v>
      </c>
      <c r="C2518" s="132"/>
      <c r="D2518" s="236">
        <v>1</v>
      </c>
      <c r="E2518" s="237">
        <v>2.13</v>
      </c>
      <c r="F2518" s="216">
        <f>D2518*E2518</f>
        <v>2.13</v>
      </c>
      <c r="G2518" s="217">
        <v>1.93</v>
      </c>
      <c r="H2518" s="218">
        <f>F2518*G2518</f>
        <v>4.1109</v>
      </c>
    </row>
    <row r="2519" spans="2:8" x14ac:dyDescent="0.2">
      <c r="B2519" s="235" t="s">
        <v>590</v>
      </c>
      <c r="C2519" s="132"/>
      <c r="D2519" s="236">
        <v>1</v>
      </c>
      <c r="E2519" s="237">
        <v>2.13</v>
      </c>
      <c r="F2519" s="216">
        <f>D2519*E2519</f>
        <v>2.13</v>
      </c>
      <c r="G2519" s="217">
        <v>1.37</v>
      </c>
      <c r="H2519" s="218">
        <f>F2519*G2519</f>
        <v>2.9180999999999999</v>
      </c>
    </row>
    <row r="2520" spans="2:8" x14ac:dyDescent="0.2">
      <c r="B2520" s="235"/>
      <c r="C2520" s="132"/>
      <c r="D2520" s="236"/>
      <c r="E2520" s="237"/>
      <c r="F2520" s="216"/>
      <c r="G2520" s="217"/>
      <c r="H2520" s="218"/>
    </row>
    <row r="2521" spans="2:8" x14ac:dyDescent="0.2">
      <c r="B2521" s="219" t="s">
        <v>1682</v>
      </c>
      <c r="C2521" s="220"/>
      <c r="D2521" s="221"/>
      <c r="E2521" s="222" t="s">
        <v>1682</v>
      </c>
      <c r="F2521" s="222" t="s">
        <v>1682</v>
      </c>
      <c r="G2521" s="223"/>
      <c r="H2521" s="224" t="s">
        <v>1682</v>
      </c>
    </row>
    <row r="2522" spans="2:8" x14ac:dyDescent="0.2">
      <c r="B2522" s="238" t="s">
        <v>1681</v>
      </c>
      <c r="C2522" s="239"/>
      <c r="D2522" s="240"/>
      <c r="E2522" s="239"/>
      <c r="F2522" s="239"/>
      <c r="G2522" s="239"/>
      <c r="H2522" s="241">
        <f>SUM(H2517:H2521)</f>
        <v>12.5457</v>
      </c>
    </row>
    <row r="2523" spans="2:8" x14ac:dyDescent="0.2">
      <c r="B2523" s="227" t="s">
        <v>1684</v>
      </c>
      <c r="C2523" s="132"/>
      <c r="D2523" s="188"/>
      <c r="E2523" s="132"/>
      <c r="F2523" s="132"/>
      <c r="G2523" s="132"/>
      <c r="H2523" s="218"/>
    </row>
    <row r="2524" spans="2:8" ht="25.5" x14ac:dyDescent="0.2">
      <c r="B2524" s="229" t="s">
        <v>1409</v>
      </c>
      <c r="C2524" s="242"/>
      <c r="D2524" s="243"/>
      <c r="E2524" s="232" t="s">
        <v>1408</v>
      </c>
      <c r="F2524" s="231" t="s">
        <v>1679</v>
      </c>
      <c r="G2524" s="232" t="s">
        <v>1683</v>
      </c>
      <c r="H2524" s="234" t="s">
        <v>1675</v>
      </c>
    </row>
    <row r="2525" spans="2:8" x14ac:dyDescent="0.2">
      <c r="B2525" s="214" t="s">
        <v>548</v>
      </c>
      <c r="C2525" s="132"/>
      <c r="D2525" s="188"/>
      <c r="E2525" s="215"/>
      <c r="F2525" s="215"/>
      <c r="G2525" s="216"/>
      <c r="H2525" s="218"/>
    </row>
    <row r="2526" spans="2:8" x14ac:dyDescent="0.2">
      <c r="B2526" s="214" t="s">
        <v>549</v>
      </c>
      <c r="C2526" s="132"/>
      <c r="D2526" s="188"/>
      <c r="E2526" s="215" t="s">
        <v>1506</v>
      </c>
      <c r="F2526" s="215">
        <v>1</v>
      </c>
      <c r="G2526" s="216">
        <v>120.1</v>
      </c>
      <c r="H2526" s="218">
        <f>F2526*G2526</f>
        <v>120.1</v>
      </c>
    </row>
    <row r="2527" spans="2:8" x14ac:dyDescent="0.2">
      <c r="B2527" s="214" t="s">
        <v>550</v>
      </c>
      <c r="C2527" s="132"/>
      <c r="D2527" s="188"/>
      <c r="E2527" s="215"/>
      <c r="F2527" s="215"/>
      <c r="G2527" s="216"/>
      <c r="H2527" s="218"/>
    </row>
    <row r="2528" spans="2:8" x14ac:dyDescent="0.2">
      <c r="B2528" s="214"/>
      <c r="C2528" s="132"/>
      <c r="D2528" s="188"/>
      <c r="E2528" s="272"/>
      <c r="F2528" s="215"/>
      <c r="G2528" s="216"/>
      <c r="H2528" s="218"/>
    </row>
    <row r="2529" spans="2:8" x14ac:dyDescent="0.2">
      <c r="B2529" s="214" t="s">
        <v>1682</v>
      </c>
      <c r="C2529" s="132"/>
      <c r="D2529" s="245" t="s">
        <v>1682</v>
      </c>
      <c r="E2529" s="272" t="s">
        <v>1682</v>
      </c>
      <c r="F2529" s="215" t="s">
        <v>1682</v>
      </c>
      <c r="G2529" s="216" t="s">
        <v>1682</v>
      </c>
      <c r="H2529" s="218" t="s">
        <v>1682</v>
      </c>
    </row>
    <row r="2530" spans="2:8" x14ac:dyDescent="0.2">
      <c r="B2530" s="238" t="s">
        <v>1692</v>
      </c>
      <c r="C2530" s="239"/>
      <c r="D2530" s="240"/>
      <c r="E2530" s="240"/>
      <c r="F2530" s="240"/>
      <c r="G2530" s="239"/>
      <c r="H2530" s="241">
        <f>SUM(H2525:H2529)</f>
        <v>120.1</v>
      </c>
    </row>
    <row r="2531" spans="2:8" x14ac:dyDescent="0.2">
      <c r="B2531" s="227" t="s">
        <v>1680</v>
      </c>
      <c r="C2531" s="132"/>
      <c r="D2531" s="188"/>
      <c r="E2531" s="132"/>
      <c r="F2531" s="188"/>
      <c r="G2531" s="132"/>
      <c r="H2531" s="218"/>
    </row>
    <row r="2532" spans="2:8" ht="25.5" x14ac:dyDescent="0.2">
      <c r="B2532" s="229" t="s">
        <v>1409</v>
      </c>
      <c r="C2532" s="242"/>
      <c r="D2532" s="243"/>
      <c r="E2532" s="232" t="s">
        <v>1408</v>
      </c>
      <c r="F2532" s="231" t="s">
        <v>1679</v>
      </c>
      <c r="G2532" s="232" t="s">
        <v>1676</v>
      </c>
      <c r="H2532" s="234" t="s">
        <v>1675</v>
      </c>
    </row>
    <row r="2533" spans="2:8" x14ac:dyDescent="0.2">
      <c r="B2533" s="208" t="s">
        <v>975</v>
      </c>
      <c r="C2533" s="209"/>
      <c r="D2533" s="246"/>
      <c r="E2533" s="215" t="s">
        <v>976</v>
      </c>
      <c r="F2533" s="215">
        <v>0.4</v>
      </c>
      <c r="G2533" s="247">
        <v>5</v>
      </c>
      <c r="H2533" s="218">
        <f>F2533*G2533</f>
        <v>2</v>
      </c>
    </row>
    <row r="2534" spans="2:8" x14ac:dyDescent="0.2">
      <c r="B2534" s="214"/>
      <c r="C2534" s="132"/>
      <c r="D2534" s="248"/>
      <c r="E2534" s="215"/>
      <c r="F2534" s="215"/>
      <c r="G2534" s="247"/>
      <c r="H2534" s="218"/>
    </row>
    <row r="2535" spans="2:8" x14ac:dyDescent="0.2">
      <c r="B2535" s="219" t="s">
        <v>1682</v>
      </c>
      <c r="C2535" s="220"/>
      <c r="D2535" s="249"/>
      <c r="E2535" s="221" t="s">
        <v>1682</v>
      </c>
      <c r="F2535" s="221"/>
      <c r="G2535" s="222" t="s">
        <v>1682</v>
      </c>
      <c r="H2535" s="224" t="s">
        <v>1682</v>
      </c>
    </row>
    <row r="2536" spans="2:8" ht="13.5" thickBot="1" x14ac:dyDescent="0.25">
      <c r="B2536" s="250" t="s">
        <v>977</v>
      </c>
      <c r="C2536" s="251"/>
      <c r="D2536" s="252"/>
      <c r="E2536" s="252"/>
      <c r="F2536" s="252"/>
      <c r="G2536" s="251"/>
      <c r="H2536" s="253">
        <f>SUM(H2533:H2535)</f>
        <v>2</v>
      </c>
    </row>
    <row r="2537" spans="2:8" x14ac:dyDescent="0.2">
      <c r="B2537" s="132"/>
      <c r="C2537" s="132"/>
      <c r="D2537" s="254"/>
      <c r="E2537" s="198"/>
      <c r="F2537" s="198"/>
      <c r="G2537" s="255" t="s">
        <v>978</v>
      </c>
      <c r="H2537" s="256">
        <f>H2514+H2522+H2530+H2536</f>
        <v>139.78569999999999</v>
      </c>
    </row>
    <row r="2538" spans="2:8" x14ac:dyDescent="0.2">
      <c r="B2538" s="132"/>
      <c r="C2538" s="132"/>
      <c r="D2538" s="257"/>
      <c r="E2538" s="239"/>
      <c r="F2538" s="239"/>
      <c r="G2538" s="258" t="s">
        <v>979</v>
      </c>
      <c r="H2538" s="241"/>
    </row>
    <row r="2539" spans="2:8" x14ac:dyDescent="0.2">
      <c r="B2539" s="132"/>
      <c r="C2539" s="132"/>
      <c r="D2539" s="257"/>
      <c r="E2539" s="239"/>
      <c r="F2539" s="239"/>
      <c r="G2539" s="258" t="s">
        <v>980</v>
      </c>
      <c r="H2539" s="241"/>
    </row>
    <row r="2540" spans="2:8" x14ac:dyDescent="0.2">
      <c r="B2540" s="132"/>
      <c r="C2540" s="132"/>
      <c r="D2540" s="257"/>
      <c r="E2540" s="239"/>
      <c r="F2540" s="239"/>
      <c r="G2540" s="259" t="s">
        <v>1670</v>
      </c>
      <c r="H2540" s="260"/>
    </row>
    <row r="2541" spans="2:8" ht="13.5" thickBot="1" x14ac:dyDescent="0.25">
      <c r="B2541" s="193"/>
      <c r="C2541" s="132"/>
      <c r="D2541" s="261"/>
      <c r="E2541" s="251"/>
      <c r="F2541" s="251"/>
      <c r="G2541" s="262" t="s">
        <v>1650</v>
      </c>
      <c r="H2541" s="263"/>
    </row>
    <row r="2542" spans="2:8" ht="15.75" x14ac:dyDescent="0.2">
      <c r="B2542" s="186" t="s">
        <v>1701</v>
      </c>
      <c r="C2542" s="132"/>
      <c r="D2542" s="189" t="s">
        <v>742</v>
      </c>
      <c r="E2542" s="132"/>
      <c r="F2542" s="132"/>
      <c r="G2542" s="188"/>
      <c r="H2542" s="132"/>
    </row>
    <row r="2543" spans="2:8" ht="15.75" x14ac:dyDescent="0.2">
      <c r="B2543" s="186" t="s">
        <v>1700</v>
      </c>
      <c r="C2543" s="189" t="s">
        <v>963</v>
      </c>
      <c r="D2543" s="132"/>
      <c r="E2543" s="132"/>
      <c r="F2543" s="132"/>
      <c r="G2543" s="190"/>
      <c r="H2543" s="191"/>
    </row>
    <row r="2544" spans="2:8" ht="14.25" x14ac:dyDescent="0.2">
      <c r="B2544" s="189"/>
      <c r="C2544" s="189"/>
      <c r="D2544" s="189"/>
      <c r="E2544" s="189"/>
      <c r="F2544" s="189"/>
      <c r="G2544" s="189"/>
      <c r="H2544" s="189"/>
    </row>
    <row r="2545" spans="2:8" ht="15.75" x14ac:dyDescent="0.2">
      <c r="B2545" s="186" t="s">
        <v>1697</v>
      </c>
      <c r="C2545" s="189"/>
      <c r="D2545" s="132"/>
      <c r="E2545" s="132"/>
      <c r="F2545" s="132"/>
      <c r="G2545" s="132"/>
      <c r="H2545" s="132"/>
    </row>
    <row r="2546" spans="2:8" ht="15" x14ac:dyDescent="0.2">
      <c r="B2546" s="192"/>
      <c r="C2546" s="189"/>
      <c r="D2546" s="189"/>
      <c r="E2546" s="189"/>
      <c r="F2546" s="189"/>
      <c r="G2546" s="189"/>
      <c r="H2546" s="189"/>
    </row>
    <row r="2547" spans="2:8" ht="14.25" x14ac:dyDescent="0.2">
      <c r="B2547" s="193" t="s">
        <v>594</v>
      </c>
      <c r="C2547" s="194" t="s">
        <v>551</v>
      </c>
      <c r="D2547" s="132"/>
      <c r="E2547" s="188"/>
      <c r="F2547" s="188"/>
      <c r="G2547" s="195" t="s">
        <v>1696</v>
      </c>
      <c r="H2547" s="189" t="s">
        <v>1506</v>
      </c>
    </row>
    <row r="2548" spans="2:8" ht="14.25" x14ac:dyDescent="0.2">
      <c r="B2548" s="196" t="s">
        <v>964</v>
      </c>
      <c r="C2548" s="194" t="s">
        <v>552</v>
      </c>
      <c r="D2548" s="132"/>
      <c r="E2548" s="132"/>
      <c r="F2548" s="132"/>
      <c r="G2548" s="132"/>
      <c r="H2548" s="132"/>
    </row>
    <row r="2549" spans="2:8" ht="15" thickBot="1" x14ac:dyDescent="0.25">
      <c r="B2549" s="187"/>
      <c r="C2549" s="187"/>
      <c r="D2549" s="189"/>
      <c r="E2549" s="189"/>
      <c r="F2549" s="189"/>
      <c r="G2549" s="189"/>
      <c r="H2549" s="189"/>
    </row>
    <row r="2550" spans="2:8" ht="13.5" thickBot="1" x14ac:dyDescent="0.25">
      <c r="B2550" s="264" t="s">
        <v>1695</v>
      </c>
      <c r="C2550" s="265"/>
      <c r="D2550" s="266"/>
      <c r="E2550" s="265"/>
      <c r="F2550" s="265"/>
      <c r="G2550" s="265"/>
      <c r="H2550" s="267"/>
    </row>
    <row r="2551" spans="2:8" ht="25.5" x14ac:dyDescent="0.2">
      <c r="B2551" s="197" t="s">
        <v>1409</v>
      </c>
      <c r="C2551" s="268"/>
      <c r="D2551" s="269" t="s">
        <v>966</v>
      </c>
      <c r="E2551" s="270" t="s">
        <v>1694</v>
      </c>
      <c r="F2551" s="270" t="s">
        <v>1693</v>
      </c>
      <c r="G2551" s="201" t="s">
        <v>1687</v>
      </c>
      <c r="H2551" s="271" t="s">
        <v>967</v>
      </c>
    </row>
    <row r="2552" spans="2:8" x14ac:dyDescent="0.2">
      <c r="B2552" s="208" t="s">
        <v>1468</v>
      </c>
      <c r="C2552" s="209"/>
      <c r="D2552" s="210">
        <v>1</v>
      </c>
      <c r="E2552" s="211">
        <v>2.5</v>
      </c>
      <c r="F2552" s="211">
        <f>D2552*E2552</f>
        <v>2.5</v>
      </c>
      <c r="G2552" s="212">
        <v>0.3</v>
      </c>
      <c r="H2552" s="213">
        <f>F2552*G2552</f>
        <v>0.75</v>
      </c>
    </row>
    <row r="2553" spans="2:8" x14ac:dyDescent="0.2">
      <c r="B2553" s="214" t="s">
        <v>1682</v>
      </c>
      <c r="C2553" s="132"/>
      <c r="D2553" s="215"/>
      <c r="E2553" s="216" t="s">
        <v>1682</v>
      </c>
      <c r="F2553" s="216" t="s">
        <v>1682</v>
      </c>
      <c r="G2553" s="217"/>
      <c r="H2553" s="218" t="s">
        <v>1682</v>
      </c>
    </row>
    <row r="2554" spans="2:8" x14ac:dyDescent="0.2">
      <c r="B2554" s="219" t="s">
        <v>1682</v>
      </c>
      <c r="C2554" s="220"/>
      <c r="D2554" s="221"/>
      <c r="E2554" s="222" t="s">
        <v>1682</v>
      </c>
      <c r="F2554" s="222" t="s">
        <v>1682</v>
      </c>
      <c r="G2554" s="223"/>
      <c r="H2554" s="224" t="s">
        <v>1682</v>
      </c>
    </row>
    <row r="2555" spans="2:8" x14ac:dyDescent="0.2">
      <c r="B2555" s="219" t="s">
        <v>968</v>
      </c>
      <c r="C2555" s="220"/>
      <c r="D2555" s="225"/>
      <c r="E2555" s="220"/>
      <c r="F2555" s="220"/>
      <c r="G2555" s="226"/>
      <c r="H2555" s="224">
        <f>SUM(H2552:H2554)</f>
        <v>0.75</v>
      </c>
    </row>
    <row r="2556" spans="2:8" x14ac:dyDescent="0.2">
      <c r="B2556" s="227" t="s">
        <v>1503</v>
      </c>
      <c r="C2556" s="132"/>
      <c r="D2556" s="188"/>
      <c r="E2556" s="132"/>
      <c r="F2556" s="132"/>
      <c r="G2556" s="228"/>
      <c r="H2556" s="218"/>
    </row>
    <row r="2557" spans="2:8" ht="25.5" x14ac:dyDescent="0.2">
      <c r="B2557" s="229" t="s">
        <v>1691</v>
      </c>
      <c r="C2557" s="230"/>
      <c r="D2557" s="231" t="s">
        <v>969</v>
      </c>
      <c r="E2557" s="232" t="s">
        <v>1689</v>
      </c>
      <c r="F2557" s="232" t="s">
        <v>1688</v>
      </c>
      <c r="G2557" s="233" t="s">
        <v>1687</v>
      </c>
      <c r="H2557" s="234" t="s">
        <v>1686</v>
      </c>
    </row>
    <row r="2558" spans="2:8" x14ac:dyDescent="0.2">
      <c r="B2558" s="235" t="s">
        <v>243</v>
      </c>
      <c r="C2558" s="132"/>
      <c r="D2558" s="236">
        <v>1</v>
      </c>
      <c r="E2558" s="237">
        <v>2.13</v>
      </c>
      <c r="F2558" s="216">
        <f>D2558*E2558</f>
        <v>2.13</v>
      </c>
      <c r="G2558" s="217">
        <v>2.16</v>
      </c>
      <c r="H2558" s="218">
        <f>F2558*G2558</f>
        <v>4.6008000000000004</v>
      </c>
    </row>
    <row r="2559" spans="2:8" x14ac:dyDescent="0.2">
      <c r="B2559" s="235" t="s">
        <v>1488</v>
      </c>
      <c r="C2559" s="132"/>
      <c r="D2559" s="236">
        <v>1</v>
      </c>
      <c r="E2559" s="237">
        <v>2.13</v>
      </c>
      <c r="F2559" s="216">
        <f>D2559*E2559</f>
        <v>2.13</v>
      </c>
      <c r="G2559" s="217">
        <v>1.61</v>
      </c>
      <c r="H2559" s="218">
        <f>F2559*G2559</f>
        <v>3.4293</v>
      </c>
    </row>
    <row r="2560" spans="2:8" x14ac:dyDescent="0.2">
      <c r="B2560" s="235" t="s">
        <v>590</v>
      </c>
      <c r="C2560" s="132"/>
      <c r="D2560" s="236">
        <v>1</v>
      </c>
      <c r="E2560" s="237">
        <v>2.13</v>
      </c>
      <c r="F2560" s="216">
        <f>D2560*E2560</f>
        <v>2.13</v>
      </c>
      <c r="G2560" s="217">
        <v>1.1399999999999999</v>
      </c>
      <c r="H2560" s="218">
        <f>F2560*G2560</f>
        <v>2.4281999999999995</v>
      </c>
    </row>
    <row r="2561" spans="2:8" x14ac:dyDescent="0.2">
      <c r="B2561" s="235"/>
      <c r="C2561" s="132"/>
      <c r="D2561" s="236"/>
      <c r="E2561" s="237"/>
      <c r="F2561" s="216"/>
      <c r="G2561" s="217"/>
      <c r="H2561" s="218"/>
    </row>
    <row r="2562" spans="2:8" x14ac:dyDescent="0.2">
      <c r="B2562" s="219" t="s">
        <v>1682</v>
      </c>
      <c r="C2562" s="220"/>
      <c r="D2562" s="221"/>
      <c r="E2562" s="222" t="s">
        <v>1682</v>
      </c>
      <c r="F2562" s="222" t="s">
        <v>1682</v>
      </c>
      <c r="G2562" s="223"/>
      <c r="H2562" s="224" t="s">
        <v>1682</v>
      </c>
    </row>
    <row r="2563" spans="2:8" x14ac:dyDescent="0.2">
      <c r="B2563" s="238" t="s">
        <v>1681</v>
      </c>
      <c r="C2563" s="239"/>
      <c r="D2563" s="240"/>
      <c r="E2563" s="239"/>
      <c r="F2563" s="239"/>
      <c r="G2563" s="239"/>
      <c r="H2563" s="241">
        <f>SUM(H2558:H2562)</f>
        <v>10.458300000000001</v>
      </c>
    </row>
    <row r="2564" spans="2:8" x14ac:dyDescent="0.2">
      <c r="B2564" s="227" t="s">
        <v>1684</v>
      </c>
      <c r="C2564" s="132"/>
      <c r="D2564" s="188"/>
      <c r="E2564" s="132"/>
      <c r="F2564" s="132"/>
      <c r="G2564" s="132"/>
      <c r="H2564" s="218"/>
    </row>
    <row r="2565" spans="2:8" ht="25.5" x14ac:dyDescent="0.2">
      <c r="B2565" s="229" t="s">
        <v>1409</v>
      </c>
      <c r="C2565" s="242"/>
      <c r="D2565" s="243"/>
      <c r="E2565" s="232" t="s">
        <v>1408</v>
      </c>
      <c r="F2565" s="231" t="s">
        <v>1679</v>
      </c>
      <c r="G2565" s="232" t="s">
        <v>1683</v>
      </c>
      <c r="H2565" s="234" t="s">
        <v>1675</v>
      </c>
    </row>
    <row r="2566" spans="2:8" x14ac:dyDescent="0.2">
      <c r="B2566" s="214" t="s">
        <v>553</v>
      </c>
      <c r="C2566" s="132"/>
      <c r="D2566" s="188"/>
      <c r="E2566" s="215"/>
      <c r="F2566" s="215"/>
      <c r="G2566" s="216"/>
      <c r="H2566" s="218"/>
    </row>
    <row r="2567" spans="2:8" x14ac:dyDescent="0.2">
      <c r="B2567" s="214" t="s">
        <v>554</v>
      </c>
      <c r="C2567" s="132"/>
      <c r="D2567" s="188"/>
      <c r="E2567" s="215" t="s">
        <v>1506</v>
      </c>
      <c r="F2567" s="215">
        <v>1</v>
      </c>
      <c r="G2567" s="216">
        <v>87.79</v>
      </c>
      <c r="H2567" s="218">
        <f>F2567*G2567</f>
        <v>87.79</v>
      </c>
    </row>
    <row r="2568" spans="2:8" x14ac:dyDescent="0.2">
      <c r="B2568" s="214"/>
      <c r="C2568" s="132"/>
      <c r="D2568" s="188"/>
      <c r="E2568" s="272"/>
      <c r="F2568" s="215"/>
      <c r="G2568" s="216"/>
      <c r="H2568" s="218"/>
    </row>
    <row r="2569" spans="2:8" x14ac:dyDescent="0.2">
      <c r="B2569" s="214" t="s">
        <v>1682</v>
      </c>
      <c r="C2569" s="132"/>
      <c r="D2569" s="245" t="s">
        <v>1682</v>
      </c>
      <c r="E2569" s="272" t="s">
        <v>1682</v>
      </c>
      <c r="F2569" s="215" t="s">
        <v>1682</v>
      </c>
      <c r="G2569" s="216" t="s">
        <v>1682</v>
      </c>
      <c r="H2569" s="218" t="s">
        <v>1682</v>
      </c>
    </row>
    <row r="2570" spans="2:8" x14ac:dyDescent="0.2">
      <c r="B2570" s="238" t="s">
        <v>1692</v>
      </c>
      <c r="C2570" s="239"/>
      <c r="D2570" s="240"/>
      <c r="E2570" s="240"/>
      <c r="F2570" s="240"/>
      <c r="G2570" s="239"/>
      <c r="H2570" s="241">
        <f>SUM(H2566:H2569)</f>
        <v>87.79</v>
      </c>
    </row>
    <row r="2571" spans="2:8" x14ac:dyDescent="0.2">
      <c r="B2571" s="227" t="s">
        <v>1680</v>
      </c>
      <c r="C2571" s="132"/>
      <c r="D2571" s="188"/>
      <c r="E2571" s="132"/>
      <c r="F2571" s="188"/>
      <c r="G2571" s="132"/>
      <c r="H2571" s="218"/>
    </row>
    <row r="2572" spans="2:8" ht="25.5" x14ac:dyDescent="0.2">
      <c r="B2572" s="229" t="s">
        <v>1409</v>
      </c>
      <c r="C2572" s="242"/>
      <c r="D2572" s="243"/>
      <c r="E2572" s="232" t="s">
        <v>1408</v>
      </c>
      <c r="F2572" s="231" t="s">
        <v>1679</v>
      </c>
      <c r="G2572" s="232" t="s">
        <v>1676</v>
      </c>
      <c r="H2572" s="234" t="s">
        <v>1675</v>
      </c>
    </row>
    <row r="2573" spans="2:8" x14ac:dyDescent="0.2">
      <c r="B2573" s="208" t="s">
        <v>975</v>
      </c>
      <c r="C2573" s="209"/>
      <c r="D2573" s="246"/>
      <c r="E2573" s="215" t="s">
        <v>976</v>
      </c>
      <c r="F2573" s="215">
        <v>0.2</v>
      </c>
      <c r="G2573" s="247">
        <v>5</v>
      </c>
      <c r="H2573" s="218">
        <f>F2573*G2573</f>
        <v>1</v>
      </c>
    </row>
    <row r="2574" spans="2:8" x14ac:dyDescent="0.2">
      <c r="B2574" s="214"/>
      <c r="C2574" s="132"/>
      <c r="D2574" s="248"/>
      <c r="E2574" s="215"/>
      <c r="F2574" s="215"/>
      <c r="G2574" s="247"/>
      <c r="H2574" s="218"/>
    </row>
    <row r="2575" spans="2:8" x14ac:dyDescent="0.2">
      <c r="B2575" s="219" t="s">
        <v>1682</v>
      </c>
      <c r="C2575" s="220"/>
      <c r="D2575" s="249"/>
      <c r="E2575" s="221" t="s">
        <v>1682</v>
      </c>
      <c r="F2575" s="221"/>
      <c r="G2575" s="222" t="s">
        <v>1682</v>
      </c>
      <c r="H2575" s="224" t="s">
        <v>1682</v>
      </c>
    </row>
    <row r="2576" spans="2:8" ht="13.5" thickBot="1" x14ac:dyDescent="0.25">
      <c r="B2576" s="250" t="s">
        <v>977</v>
      </c>
      <c r="C2576" s="251"/>
      <c r="D2576" s="252"/>
      <c r="E2576" s="252"/>
      <c r="F2576" s="252"/>
      <c r="G2576" s="251"/>
      <c r="H2576" s="253">
        <f>SUM(H2573:H2575)</f>
        <v>1</v>
      </c>
    </row>
    <row r="2577" spans="2:8" x14ac:dyDescent="0.2">
      <c r="B2577" s="132"/>
      <c r="C2577" s="132"/>
      <c r="D2577" s="254"/>
      <c r="E2577" s="198"/>
      <c r="F2577" s="198"/>
      <c r="G2577" s="255" t="s">
        <v>978</v>
      </c>
      <c r="H2577" s="256">
        <f>H2555+H2563+H2570+H2576</f>
        <v>99.9983</v>
      </c>
    </row>
    <row r="2578" spans="2:8" x14ac:dyDescent="0.2">
      <c r="B2578" s="132"/>
      <c r="C2578" s="132"/>
      <c r="D2578" s="257"/>
      <c r="E2578" s="239"/>
      <c r="F2578" s="239"/>
      <c r="G2578" s="258" t="s">
        <v>979</v>
      </c>
      <c r="H2578" s="241"/>
    </row>
    <row r="2579" spans="2:8" x14ac:dyDescent="0.2">
      <c r="B2579" s="132"/>
      <c r="C2579" s="132"/>
      <c r="D2579" s="257"/>
      <c r="E2579" s="239"/>
      <c r="F2579" s="239"/>
      <c r="G2579" s="258" t="s">
        <v>980</v>
      </c>
      <c r="H2579" s="241"/>
    </row>
    <row r="2580" spans="2:8" x14ac:dyDescent="0.2">
      <c r="B2580" s="132"/>
      <c r="C2580" s="132"/>
      <c r="D2580" s="257"/>
      <c r="E2580" s="239"/>
      <c r="F2580" s="239"/>
      <c r="G2580" s="259" t="s">
        <v>1670</v>
      </c>
      <c r="H2580" s="260"/>
    </row>
    <row r="2581" spans="2:8" ht="13.5" thickBot="1" x14ac:dyDescent="0.25">
      <c r="B2581" s="193"/>
      <c r="C2581" s="132"/>
      <c r="D2581" s="261"/>
      <c r="E2581" s="251"/>
      <c r="F2581" s="251"/>
      <c r="G2581" s="262" t="s">
        <v>1650</v>
      </c>
      <c r="H2581" s="263"/>
    </row>
    <row r="2582" spans="2:8" ht="15.75" x14ac:dyDescent="0.2">
      <c r="B2582" s="186" t="s">
        <v>1701</v>
      </c>
      <c r="C2582" s="132"/>
      <c r="D2582" s="189" t="s">
        <v>742</v>
      </c>
      <c r="E2582" s="132"/>
      <c r="F2582" s="132"/>
      <c r="G2582" s="188"/>
      <c r="H2582" s="132"/>
    </row>
    <row r="2583" spans="2:8" ht="15.75" x14ac:dyDescent="0.2">
      <c r="B2583" s="186" t="s">
        <v>1700</v>
      </c>
      <c r="C2583" s="189" t="s">
        <v>963</v>
      </c>
      <c r="D2583" s="132"/>
      <c r="E2583" s="132"/>
      <c r="F2583" s="132"/>
      <c r="G2583" s="190"/>
      <c r="H2583" s="191"/>
    </row>
    <row r="2584" spans="2:8" ht="14.25" x14ac:dyDescent="0.2">
      <c r="B2584" s="189"/>
      <c r="C2584" s="189"/>
      <c r="D2584" s="189"/>
      <c r="E2584" s="189"/>
      <c r="F2584" s="189"/>
      <c r="G2584" s="189"/>
      <c r="H2584" s="189"/>
    </row>
    <row r="2585" spans="2:8" ht="15.75" x14ac:dyDescent="0.2">
      <c r="B2585" s="186" t="s">
        <v>1697</v>
      </c>
      <c r="C2585" s="189"/>
      <c r="D2585" s="132"/>
      <c r="E2585" s="132"/>
      <c r="F2585" s="132"/>
      <c r="G2585" s="132"/>
      <c r="H2585" s="132"/>
    </row>
    <row r="2586" spans="2:8" ht="15" x14ac:dyDescent="0.2">
      <c r="B2586" s="192"/>
      <c r="C2586" s="189"/>
      <c r="D2586" s="189"/>
      <c r="E2586" s="189"/>
      <c r="F2586" s="189"/>
      <c r="G2586" s="189"/>
      <c r="H2586" s="189"/>
    </row>
    <row r="2587" spans="2:8" ht="14.25" x14ac:dyDescent="0.2">
      <c r="B2587" s="193" t="s">
        <v>594</v>
      </c>
      <c r="C2587" s="194" t="s">
        <v>555</v>
      </c>
      <c r="D2587" s="132"/>
      <c r="E2587" s="188"/>
      <c r="F2587" s="188"/>
      <c r="G2587" s="195" t="s">
        <v>1696</v>
      </c>
      <c r="H2587" s="189" t="s">
        <v>1506</v>
      </c>
    </row>
    <row r="2588" spans="2:8" ht="14.25" x14ac:dyDescent="0.2">
      <c r="B2588" s="196" t="s">
        <v>964</v>
      </c>
      <c r="C2588" s="194" t="s">
        <v>556</v>
      </c>
      <c r="D2588" s="132"/>
      <c r="E2588" s="132"/>
      <c r="F2588" s="132"/>
      <c r="G2588" s="132"/>
      <c r="H2588" s="132"/>
    </row>
    <row r="2589" spans="2:8" ht="15" thickBot="1" x14ac:dyDescent="0.25">
      <c r="B2589" s="187"/>
      <c r="C2589" s="187"/>
      <c r="D2589" s="189"/>
      <c r="E2589" s="189"/>
      <c r="F2589" s="189"/>
      <c r="G2589" s="189"/>
      <c r="H2589" s="189"/>
    </row>
    <row r="2590" spans="2:8" ht="13.5" thickBot="1" x14ac:dyDescent="0.25">
      <c r="B2590" s="264" t="s">
        <v>1695</v>
      </c>
      <c r="C2590" s="265"/>
      <c r="D2590" s="266"/>
      <c r="E2590" s="265"/>
      <c r="F2590" s="265"/>
      <c r="G2590" s="265"/>
      <c r="H2590" s="267"/>
    </row>
    <row r="2591" spans="2:8" ht="25.5" x14ac:dyDescent="0.2">
      <c r="B2591" s="197" t="s">
        <v>1409</v>
      </c>
      <c r="C2591" s="268"/>
      <c r="D2591" s="269" t="s">
        <v>966</v>
      </c>
      <c r="E2591" s="270" t="s">
        <v>1694</v>
      </c>
      <c r="F2591" s="270" t="s">
        <v>1693</v>
      </c>
      <c r="G2591" s="201" t="s">
        <v>1687</v>
      </c>
      <c r="H2591" s="271" t="s">
        <v>967</v>
      </c>
    </row>
    <row r="2592" spans="2:8" x14ac:dyDescent="0.2">
      <c r="B2592" s="208" t="s">
        <v>1468</v>
      </c>
      <c r="C2592" s="209"/>
      <c r="D2592" s="210">
        <v>1</v>
      </c>
      <c r="E2592" s="211">
        <v>2.5</v>
      </c>
      <c r="F2592" s="211">
        <f>D2592*E2592</f>
        <v>2.5</v>
      </c>
      <c r="G2592" s="212">
        <v>0.3</v>
      </c>
      <c r="H2592" s="213">
        <f>F2592*G2592</f>
        <v>0.75</v>
      </c>
    </row>
    <row r="2593" spans="2:8" x14ac:dyDescent="0.2">
      <c r="B2593" s="214" t="s">
        <v>1682</v>
      </c>
      <c r="C2593" s="132"/>
      <c r="D2593" s="215"/>
      <c r="E2593" s="216" t="s">
        <v>1682</v>
      </c>
      <c r="F2593" s="216" t="s">
        <v>1682</v>
      </c>
      <c r="G2593" s="217"/>
      <c r="H2593" s="218" t="s">
        <v>1682</v>
      </c>
    </row>
    <row r="2594" spans="2:8" x14ac:dyDescent="0.2">
      <c r="B2594" s="219" t="s">
        <v>1682</v>
      </c>
      <c r="C2594" s="220"/>
      <c r="D2594" s="221"/>
      <c r="E2594" s="222" t="s">
        <v>1682</v>
      </c>
      <c r="F2594" s="222" t="s">
        <v>1682</v>
      </c>
      <c r="G2594" s="223"/>
      <c r="H2594" s="224" t="s">
        <v>1682</v>
      </c>
    </row>
    <row r="2595" spans="2:8" x14ac:dyDescent="0.2">
      <c r="B2595" s="219" t="s">
        <v>968</v>
      </c>
      <c r="C2595" s="220"/>
      <c r="D2595" s="225"/>
      <c r="E2595" s="220"/>
      <c r="F2595" s="220"/>
      <c r="G2595" s="226"/>
      <c r="H2595" s="224">
        <f>SUM(H2592:H2594)</f>
        <v>0.75</v>
      </c>
    </row>
    <row r="2596" spans="2:8" x14ac:dyDescent="0.2">
      <c r="B2596" s="227" t="s">
        <v>1503</v>
      </c>
      <c r="C2596" s="132"/>
      <c r="D2596" s="188"/>
      <c r="E2596" s="132"/>
      <c r="F2596" s="132"/>
      <c r="G2596" s="228"/>
      <c r="H2596" s="218"/>
    </row>
    <row r="2597" spans="2:8" ht="25.5" x14ac:dyDescent="0.2">
      <c r="B2597" s="229" t="s">
        <v>1691</v>
      </c>
      <c r="C2597" s="230"/>
      <c r="D2597" s="231" t="s">
        <v>969</v>
      </c>
      <c r="E2597" s="232" t="s">
        <v>1689</v>
      </c>
      <c r="F2597" s="232" t="s">
        <v>1688</v>
      </c>
      <c r="G2597" s="233" t="s">
        <v>1687</v>
      </c>
      <c r="H2597" s="234" t="s">
        <v>1686</v>
      </c>
    </row>
    <row r="2598" spans="2:8" x14ac:dyDescent="0.2">
      <c r="B2598" s="235" t="s">
        <v>243</v>
      </c>
      <c r="C2598" s="132"/>
      <c r="D2598" s="236">
        <v>1</v>
      </c>
      <c r="E2598" s="237">
        <v>2.13</v>
      </c>
      <c r="F2598" s="216">
        <f>D2598*E2598</f>
        <v>2.13</v>
      </c>
      <c r="G2598" s="217">
        <v>2.16</v>
      </c>
      <c r="H2598" s="218">
        <f>F2598*G2598</f>
        <v>4.6008000000000004</v>
      </c>
    </row>
    <row r="2599" spans="2:8" x14ac:dyDescent="0.2">
      <c r="B2599" s="235" t="s">
        <v>1488</v>
      </c>
      <c r="C2599" s="132"/>
      <c r="D2599" s="236">
        <v>1</v>
      </c>
      <c r="E2599" s="237">
        <v>2.13</v>
      </c>
      <c r="F2599" s="216">
        <f>D2599*E2599</f>
        <v>2.13</v>
      </c>
      <c r="G2599" s="217">
        <v>1.61</v>
      </c>
      <c r="H2599" s="218">
        <f>F2599*G2599</f>
        <v>3.4293</v>
      </c>
    </row>
    <row r="2600" spans="2:8" x14ac:dyDescent="0.2">
      <c r="B2600" s="235" t="s">
        <v>590</v>
      </c>
      <c r="C2600" s="132"/>
      <c r="D2600" s="236">
        <v>1</v>
      </c>
      <c r="E2600" s="237">
        <v>2.13</v>
      </c>
      <c r="F2600" s="216">
        <f>D2600*E2600</f>
        <v>2.13</v>
      </c>
      <c r="G2600" s="217">
        <v>1.1399999999999999</v>
      </c>
      <c r="H2600" s="218">
        <f>F2600*G2600</f>
        <v>2.4281999999999995</v>
      </c>
    </row>
    <row r="2601" spans="2:8" x14ac:dyDescent="0.2">
      <c r="B2601" s="235"/>
      <c r="C2601" s="132"/>
      <c r="D2601" s="236"/>
      <c r="E2601" s="237"/>
      <c r="F2601" s="216"/>
      <c r="G2601" s="217"/>
      <c r="H2601" s="218"/>
    </row>
    <row r="2602" spans="2:8" x14ac:dyDescent="0.2">
      <c r="B2602" s="219" t="s">
        <v>1682</v>
      </c>
      <c r="C2602" s="220"/>
      <c r="D2602" s="221"/>
      <c r="E2602" s="222" t="s">
        <v>1682</v>
      </c>
      <c r="F2602" s="222" t="s">
        <v>1682</v>
      </c>
      <c r="G2602" s="223"/>
      <c r="H2602" s="224" t="s">
        <v>1682</v>
      </c>
    </row>
    <row r="2603" spans="2:8" x14ac:dyDescent="0.2">
      <c r="B2603" s="238" t="s">
        <v>1681</v>
      </c>
      <c r="C2603" s="239"/>
      <c r="D2603" s="240"/>
      <c r="E2603" s="239"/>
      <c r="F2603" s="239"/>
      <c r="G2603" s="239"/>
      <c r="H2603" s="241">
        <f>SUM(H2598:H2602)</f>
        <v>10.458300000000001</v>
      </c>
    </row>
    <row r="2604" spans="2:8" x14ac:dyDescent="0.2">
      <c r="B2604" s="227" t="s">
        <v>1684</v>
      </c>
      <c r="C2604" s="132"/>
      <c r="D2604" s="188"/>
      <c r="E2604" s="132"/>
      <c r="F2604" s="132"/>
      <c r="G2604" s="132"/>
      <c r="H2604" s="218"/>
    </row>
    <row r="2605" spans="2:8" ht="25.5" x14ac:dyDescent="0.2">
      <c r="B2605" s="229" t="s">
        <v>1409</v>
      </c>
      <c r="C2605" s="242"/>
      <c r="D2605" s="243"/>
      <c r="E2605" s="232" t="s">
        <v>1408</v>
      </c>
      <c r="F2605" s="231" t="s">
        <v>1679</v>
      </c>
      <c r="G2605" s="232" t="s">
        <v>1683</v>
      </c>
      <c r="H2605" s="234" t="s">
        <v>1675</v>
      </c>
    </row>
    <row r="2606" spans="2:8" x14ac:dyDescent="0.2">
      <c r="B2606" s="214" t="s">
        <v>557</v>
      </c>
      <c r="C2606" s="132"/>
      <c r="D2606" s="188"/>
      <c r="E2606" s="215"/>
      <c r="F2606" s="215"/>
      <c r="G2606" s="216"/>
      <c r="H2606" s="218"/>
    </row>
    <row r="2607" spans="2:8" x14ac:dyDescent="0.2">
      <c r="B2607" s="214" t="s">
        <v>558</v>
      </c>
      <c r="C2607" s="132"/>
      <c r="D2607" s="188"/>
      <c r="E2607" s="215" t="s">
        <v>1506</v>
      </c>
      <c r="F2607" s="215">
        <v>1</v>
      </c>
      <c r="G2607" s="216">
        <v>52.14</v>
      </c>
      <c r="H2607" s="218">
        <f>F2607*G2607</f>
        <v>52.14</v>
      </c>
    </row>
    <row r="2608" spans="2:8" x14ac:dyDescent="0.2">
      <c r="B2608" s="214" t="s">
        <v>559</v>
      </c>
      <c r="C2608" s="132"/>
      <c r="D2608" s="188"/>
      <c r="E2608" s="215" t="s">
        <v>1506</v>
      </c>
      <c r="F2608" s="215">
        <v>1</v>
      </c>
      <c r="G2608" s="216">
        <v>40</v>
      </c>
      <c r="H2608" s="218">
        <f>F2608*G2608</f>
        <v>40</v>
      </c>
    </row>
    <row r="2609" spans="2:8" x14ac:dyDescent="0.2">
      <c r="B2609" s="214"/>
      <c r="C2609" s="132"/>
      <c r="D2609" s="188"/>
      <c r="E2609" s="272"/>
      <c r="F2609" s="215"/>
      <c r="G2609" s="216"/>
      <c r="H2609" s="218"/>
    </row>
    <row r="2610" spans="2:8" x14ac:dyDescent="0.2">
      <c r="B2610" s="214" t="s">
        <v>1682</v>
      </c>
      <c r="C2610" s="132"/>
      <c r="D2610" s="245" t="s">
        <v>1682</v>
      </c>
      <c r="E2610" s="272" t="s">
        <v>1682</v>
      </c>
      <c r="F2610" s="215" t="s">
        <v>1682</v>
      </c>
      <c r="G2610" s="216" t="s">
        <v>1682</v>
      </c>
      <c r="H2610" s="218" t="s">
        <v>1682</v>
      </c>
    </row>
    <row r="2611" spans="2:8" x14ac:dyDescent="0.2">
      <c r="B2611" s="238" t="s">
        <v>1692</v>
      </c>
      <c r="C2611" s="239"/>
      <c r="D2611" s="240"/>
      <c r="E2611" s="240"/>
      <c r="F2611" s="240"/>
      <c r="G2611" s="239"/>
      <c r="H2611" s="241">
        <f>SUM(H2606:H2610)</f>
        <v>92.14</v>
      </c>
    </row>
    <row r="2612" spans="2:8" x14ac:dyDescent="0.2">
      <c r="B2612" s="227" t="s">
        <v>1680</v>
      </c>
      <c r="C2612" s="132"/>
      <c r="D2612" s="188"/>
      <c r="E2612" s="132"/>
      <c r="F2612" s="188"/>
      <c r="G2612" s="132"/>
      <c r="H2612" s="218"/>
    </row>
    <row r="2613" spans="2:8" ht="25.5" x14ac:dyDescent="0.2">
      <c r="B2613" s="229" t="s">
        <v>1409</v>
      </c>
      <c r="C2613" s="242"/>
      <c r="D2613" s="243"/>
      <c r="E2613" s="232" t="s">
        <v>1408</v>
      </c>
      <c r="F2613" s="231" t="s">
        <v>1679</v>
      </c>
      <c r="G2613" s="232" t="s">
        <v>1676</v>
      </c>
      <c r="H2613" s="234" t="s">
        <v>1675</v>
      </c>
    </row>
    <row r="2614" spans="2:8" x14ac:dyDescent="0.2">
      <c r="B2614" s="208" t="s">
        <v>975</v>
      </c>
      <c r="C2614" s="209"/>
      <c r="D2614" s="246"/>
      <c r="E2614" s="215" t="s">
        <v>976</v>
      </c>
      <c r="F2614" s="215">
        <v>0.2</v>
      </c>
      <c r="G2614" s="247">
        <v>5</v>
      </c>
      <c r="H2614" s="218">
        <f>F2614*G2614</f>
        <v>1</v>
      </c>
    </row>
    <row r="2615" spans="2:8" x14ac:dyDescent="0.2">
      <c r="B2615" s="214"/>
      <c r="C2615" s="132"/>
      <c r="D2615" s="248"/>
      <c r="E2615" s="215"/>
      <c r="F2615" s="215"/>
      <c r="G2615" s="247"/>
      <c r="H2615" s="218"/>
    </row>
    <row r="2616" spans="2:8" x14ac:dyDescent="0.2">
      <c r="B2616" s="219" t="s">
        <v>1682</v>
      </c>
      <c r="C2616" s="220"/>
      <c r="D2616" s="249"/>
      <c r="E2616" s="221" t="s">
        <v>1682</v>
      </c>
      <c r="F2616" s="221"/>
      <c r="G2616" s="222" t="s">
        <v>1682</v>
      </c>
      <c r="H2616" s="224" t="s">
        <v>1682</v>
      </c>
    </row>
    <row r="2617" spans="2:8" ht="13.5" thickBot="1" x14ac:dyDescent="0.25">
      <c r="B2617" s="250" t="s">
        <v>977</v>
      </c>
      <c r="C2617" s="251"/>
      <c r="D2617" s="252"/>
      <c r="E2617" s="252"/>
      <c r="F2617" s="252"/>
      <c r="G2617" s="251"/>
      <c r="H2617" s="253">
        <f>SUM(H2614:H2616)</f>
        <v>1</v>
      </c>
    </row>
    <row r="2618" spans="2:8" x14ac:dyDescent="0.2">
      <c r="B2618" s="132"/>
      <c r="C2618" s="132"/>
      <c r="D2618" s="254"/>
      <c r="E2618" s="198"/>
      <c r="F2618" s="198"/>
      <c r="G2618" s="255" t="s">
        <v>978</v>
      </c>
      <c r="H2618" s="256">
        <f>H2595+H2603+H2611+H2617</f>
        <v>104.34829999999999</v>
      </c>
    </row>
    <row r="2619" spans="2:8" x14ac:dyDescent="0.2">
      <c r="B2619" s="132"/>
      <c r="C2619" s="132"/>
      <c r="D2619" s="257"/>
      <c r="E2619" s="239"/>
      <c r="F2619" s="239"/>
      <c r="G2619" s="258" t="s">
        <v>979</v>
      </c>
      <c r="H2619" s="241"/>
    </row>
    <row r="2620" spans="2:8" x14ac:dyDescent="0.2">
      <c r="B2620" s="132"/>
      <c r="C2620" s="132"/>
      <c r="D2620" s="257"/>
      <c r="E2620" s="239"/>
      <c r="F2620" s="239"/>
      <c r="G2620" s="258" t="s">
        <v>980</v>
      </c>
      <c r="H2620" s="241"/>
    </row>
    <row r="2621" spans="2:8" x14ac:dyDescent="0.2">
      <c r="B2621" s="132"/>
      <c r="C2621" s="132"/>
      <c r="D2621" s="257"/>
      <c r="E2621" s="239"/>
      <c r="F2621" s="239"/>
      <c r="G2621" s="259" t="s">
        <v>1670</v>
      </c>
      <c r="H2621" s="260"/>
    </row>
    <row r="2622" spans="2:8" ht="13.5" thickBot="1" x14ac:dyDescent="0.25">
      <c r="B2622" s="193"/>
      <c r="C2622" s="132"/>
      <c r="D2622" s="261"/>
      <c r="E2622" s="251"/>
      <c r="F2622" s="251"/>
      <c r="G2622" s="262" t="s">
        <v>1650</v>
      </c>
      <c r="H2622" s="263"/>
    </row>
    <row r="2623" spans="2:8" ht="15.75" x14ac:dyDescent="0.2">
      <c r="B2623" s="186" t="s">
        <v>1701</v>
      </c>
      <c r="C2623" s="132"/>
      <c r="D2623" s="189" t="s">
        <v>742</v>
      </c>
      <c r="E2623" s="132"/>
      <c r="F2623" s="132"/>
      <c r="G2623" s="188"/>
      <c r="H2623" s="132"/>
    </row>
    <row r="2624" spans="2:8" ht="15.75" x14ac:dyDescent="0.2">
      <c r="B2624" s="186" t="s">
        <v>1700</v>
      </c>
      <c r="C2624" s="189" t="s">
        <v>963</v>
      </c>
      <c r="D2624" s="132"/>
      <c r="E2624" s="132"/>
      <c r="F2624" s="132"/>
      <c r="G2624" s="190"/>
      <c r="H2624" s="191"/>
    </row>
    <row r="2625" spans="2:8" ht="14.25" x14ac:dyDescent="0.2">
      <c r="B2625" s="189"/>
      <c r="C2625" s="189"/>
      <c r="D2625" s="189"/>
      <c r="E2625" s="189"/>
      <c r="F2625" s="189"/>
      <c r="G2625" s="189"/>
      <c r="H2625" s="189"/>
    </row>
    <row r="2626" spans="2:8" ht="15.75" x14ac:dyDescent="0.2">
      <c r="B2626" s="186" t="s">
        <v>1697</v>
      </c>
      <c r="C2626" s="189"/>
      <c r="D2626" s="132"/>
      <c r="E2626" s="132"/>
      <c r="F2626" s="132"/>
      <c r="G2626" s="132"/>
      <c r="H2626" s="132"/>
    </row>
    <row r="2627" spans="2:8" ht="15" x14ac:dyDescent="0.2">
      <c r="B2627" s="192"/>
      <c r="C2627" s="189"/>
      <c r="D2627" s="189"/>
      <c r="E2627" s="189"/>
      <c r="F2627" s="189"/>
      <c r="G2627" s="189"/>
      <c r="H2627" s="189"/>
    </row>
    <row r="2628" spans="2:8" ht="14.25" x14ac:dyDescent="0.2">
      <c r="B2628" s="193" t="s">
        <v>594</v>
      </c>
      <c r="C2628" s="194" t="s">
        <v>560</v>
      </c>
      <c r="D2628" s="132"/>
      <c r="E2628" s="188"/>
      <c r="F2628" s="188"/>
      <c r="G2628" s="195" t="s">
        <v>1696</v>
      </c>
      <c r="H2628" s="189" t="s">
        <v>1506</v>
      </c>
    </row>
    <row r="2629" spans="2:8" ht="14.25" x14ac:dyDescent="0.2">
      <c r="B2629" s="196" t="s">
        <v>964</v>
      </c>
      <c r="C2629" s="194" t="s">
        <v>561</v>
      </c>
      <c r="D2629" s="132"/>
      <c r="E2629" s="132"/>
      <c r="F2629" s="132"/>
      <c r="G2629" s="132"/>
      <c r="H2629" s="132"/>
    </row>
    <row r="2630" spans="2:8" ht="15" thickBot="1" x14ac:dyDescent="0.25">
      <c r="B2630" s="187"/>
      <c r="C2630" s="187"/>
      <c r="D2630" s="189"/>
      <c r="E2630" s="189"/>
      <c r="F2630" s="189"/>
      <c r="G2630" s="189"/>
      <c r="H2630" s="189"/>
    </row>
    <row r="2631" spans="2:8" ht="13.5" thickBot="1" x14ac:dyDescent="0.25">
      <c r="B2631" s="264" t="s">
        <v>1695</v>
      </c>
      <c r="C2631" s="265"/>
      <c r="D2631" s="266"/>
      <c r="E2631" s="265"/>
      <c r="F2631" s="265"/>
      <c r="G2631" s="265"/>
      <c r="H2631" s="267"/>
    </row>
    <row r="2632" spans="2:8" ht="25.5" x14ac:dyDescent="0.2">
      <c r="B2632" s="197" t="s">
        <v>1409</v>
      </c>
      <c r="C2632" s="268"/>
      <c r="D2632" s="269" t="s">
        <v>966</v>
      </c>
      <c r="E2632" s="270" t="s">
        <v>1694</v>
      </c>
      <c r="F2632" s="270" t="s">
        <v>1693</v>
      </c>
      <c r="G2632" s="201" t="s">
        <v>1687</v>
      </c>
      <c r="H2632" s="271" t="s">
        <v>967</v>
      </c>
    </row>
    <row r="2633" spans="2:8" x14ac:dyDescent="0.2">
      <c r="B2633" s="208" t="s">
        <v>1468</v>
      </c>
      <c r="C2633" s="209"/>
      <c r="D2633" s="210">
        <v>1</v>
      </c>
      <c r="E2633" s="211">
        <v>2.5</v>
      </c>
      <c r="F2633" s="211">
        <f>D2633*E2633</f>
        <v>2.5</v>
      </c>
      <c r="G2633" s="212">
        <v>0.3</v>
      </c>
      <c r="H2633" s="213">
        <f>F2633*G2633</f>
        <v>0.75</v>
      </c>
    </row>
    <row r="2634" spans="2:8" x14ac:dyDescent="0.2">
      <c r="B2634" s="214" t="s">
        <v>1682</v>
      </c>
      <c r="C2634" s="132"/>
      <c r="D2634" s="215"/>
      <c r="E2634" s="216" t="s">
        <v>1682</v>
      </c>
      <c r="F2634" s="216" t="s">
        <v>1682</v>
      </c>
      <c r="G2634" s="217"/>
      <c r="H2634" s="218" t="s">
        <v>1682</v>
      </c>
    </row>
    <row r="2635" spans="2:8" x14ac:dyDescent="0.2">
      <c r="B2635" s="219" t="s">
        <v>1682</v>
      </c>
      <c r="C2635" s="220"/>
      <c r="D2635" s="221"/>
      <c r="E2635" s="222" t="s">
        <v>1682</v>
      </c>
      <c r="F2635" s="222" t="s">
        <v>1682</v>
      </c>
      <c r="G2635" s="223"/>
      <c r="H2635" s="224" t="s">
        <v>1682</v>
      </c>
    </row>
    <row r="2636" spans="2:8" x14ac:dyDescent="0.2">
      <c r="B2636" s="219" t="s">
        <v>968</v>
      </c>
      <c r="C2636" s="220"/>
      <c r="D2636" s="225"/>
      <c r="E2636" s="220"/>
      <c r="F2636" s="220"/>
      <c r="G2636" s="226"/>
      <c r="H2636" s="224">
        <f>SUM(H2633:H2635)</f>
        <v>0.75</v>
      </c>
    </row>
    <row r="2637" spans="2:8" x14ac:dyDescent="0.2">
      <c r="B2637" s="227" t="s">
        <v>1503</v>
      </c>
      <c r="C2637" s="132"/>
      <c r="D2637" s="188"/>
      <c r="E2637" s="132"/>
      <c r="F2637" s="132"/>
      <c r="G2637" s="228"/>
      <c r="H2637" s="218"/>
    </row>
    <row r="2638" spans="2:8" ht="25.5" x14ac:dyDescent="0.2">
      <c r="B2638" s="229" t="s">
        <v>1691</v>
      </c>
      <c r="C2638" s="230"/>
      <c r="D2638" s="231" t="s">
        <v>969</v>
      </c>
      <c r="E2638" s="232" t="s">
        <v>1689</v>
      </c>
      <c r="F2638" s="232" t="s">
        <v>1688</v>
      </c>
      <c r="G2638" s="233" t="s">
        <v>1687</v>
      </c>
      <c r="H2638" s="234" t="s">
        <v>1686</v>
      </c>
    </row>
    <row r="2639" spans="2:8" x14ac:dyDescent="0.2">
      <c r="B2639" s="235" t="s">
        <v>243</v>
      </c>
      <c r="C2639" s="132"/>
      <c r="D2639" s="236">
        <v>1</v>
      </c>
      <c r="E2639" s="237">
        <v>2.13</v>
      </c>
      <c r="F2639" s="216">
        <f>D2639*E2639</f>
        <v>2.13</v>
      </c>
      <c r="G2639" s="217">
        <v>2.16</v>
      </c>
      <c r="H2639" s="218">
        <f>F2639*G2639</f>
        <v>4.6008000000000004</v>
      </c>
    </row>
    <row r="2640" spans="2:8" x14ac:dyDescent="0.2">
      <c r="B2640" s="235" t="s">
        <v>1488</v>
      </c>
      <c r="C2640" s="132"/>
      <c r="D2640" s="236">
        <v>1</v>
      </c>
      <c r="E2640" s="237">
        <v>2.13</v>
      </c>
      <c r="F2640" s="216">
        <f>D2640*E2640</f>
        <v>2.13</v>
      </c>
      <c r="G2640" s="217">
        <v>1.61</v>
      </c>
      <c r="H2640" s="218">
        <f>F2640*G2640</f>
        <v>3.4293</v>
      </c>
    </row>
    <row r="2641" spans="2:8" x14ac:dyDescent="0.2">
      <c r="B2641" s="235" t="s">
        <v>590</v>
      </c>
      <c r="C2641" s="132"/>
      <c r="D2641" s="236">
        <v>1</v>
      </c>
      <c r="E2641" s="237">
        <v>2.13</v>
      </c>
      <c r="F2641" s="216">
        <f>D2641*E2641</f>
        <v>2.13</v>
      </c>
      <c r="G2641" s="217">
        <v>1.1399999999999999</v>
      </c>
      <c r="H2641" s="218">
        <f>F2641*G2641</f>
        <v>2.4281999999999995</v>
      </c>
    </row>
    <row r="2642" spans="2:8" x14ac:dyDescent="0.2">
      <c r="B2642" s="235"/>
      <c r="C2642" s="132"/>
      <c r="D2642" s="236"/>
      <c r="E2642" s="237"/>
      <c r="F2642" s="216"/>
      <c r="G2642" s="217"/>
      <c r="H2642" s="218"/>
    </row>
    <row r="2643" spans="2:8" x14ac:dyDescent="0.2">
      <c r="B2643" s="219" t="s">
        <v>1682</v>
      </c>
      <c r="C2643" s="220"/>
      <c r="D2643" s="221"/>
      <c r="E2643" s="222" t="s">
        <v>1682</v>
      </c>
      <c r="F2643" s="222" t="s">
        <v>1682</v>
      </c>
      <c r="G2643" s="223"/>
      <c r="H2643" s="224" t="s">
        <v>1682</v>
      </c>
    </row>
    <row r="2644" spans="2:8" x14ac:dyDescent="0.2">
      <c r="B2644" s="238" t="s">
        <v>1681</v>
      </c>
      <c r="C2644" s="239"/>
      <c r="D2644" s="240"/>
      <c r="E2644" s="239"/>
      <c r="F2644" s="239"/>
      <c r="G2644" s="239"/>
      <c r="H2644" s="241">
        <f>SUM(H2639:H2643)</f>
        <v>10.458300000000001</v>
      </c>
    </row>
    <row r="2645" spans="2:8" x14ac:dyDescent="0.2">
      <c r="B2645" s="227" t="s">
        <v>1684</v>
      </c>
      <c r="C2645" s="132"/>
      <c r="D2645" s="188"/>
      <c r="E2645" s="132"/>
      <c r="F2645" s="132"/>
      <c r="G2645" s="132"/>
      <c r="H2645" s="218"/>
    </row>
    <row r="2646" spans="2:8" ht="25.5" x14ac:dyDescent="0.2">
      <c r="B2646" s="229" t="s">
        <v>1409</v>
      </c>
      <c r="C2646" s="242"/>
      <c r="D2646" s="243"/>
      <c r="E2646" s="232" t="s">
        <v>1408</v>
      </c>
      <c r="F2646" s="231" t="s">
        <v>1679</v>
      </c>
      <c r="G2646" s="232" t="s">
        <v>1683</v>
      </c>
      <c r="H2646" s="234" t="s">
        <v>1675</v>
      </c>
    </row>
    <row r="2647" spans="2:8" x14ac:dyDescent="0.2">
      <c r="B2647" s="214" t="s">
        <v>562</v>
      </c>
      <c r="C2647" s="132"/>
      <c r="D2647" s="188"/>
      <c r="E2647" s="215"/>
      <c r="F2647" s="215"/>
      <c r="G2647" s="216"/>
      <c r="H2647" s="218"/>
    </row>
    <row r="2648" spans="2:8" x14ac:dyDescent="0.2">
      <c r="B2648" s="214" t="s">
        <v>563</v>
      </c>
      <c r="C2648" s="132"/>
      <c r="D2648" s="188"/>
      <c r="E2648" s="215" t="s">
        <v>1506</v>
      </c>
      <c r="F2648" s="215">
        <v>1</v>
      </c>
      <c r="G2648" s="216">
        <v>118.22</v>
      </c>
      <c r="H2648" s="218">
        <f>F2648*G2648</f>
        <v>118.22</v>
      </c>
    </row>
    <row r="2649" spans="2:8" x14ac:dyDescent="0.2">
      <c r="B2649" s="214"/>
      <c r="C2649" s="132"/>
      <c r="D2649" s="188"/>
      <c r="E2649" s="272"/>
      <c r="F2649" s="215"/>
      <c r="G2649" s="216"/>
      <c r="H2649" s="218"/>
    </row>
    <row r="2650" spans="2:8" x14ac:dyDescent="0.2">
      <c r="B2650" s="214" t="s">
        <v>1682</v>
      </c>
      <c r="C2650" s="132"/>
      <c r="D2650" s="245" t="s">
        <v>1682</v>
      </c>
      <c r="E2650" s="272" t="s">
        <v>1682</v>
      </c>
      <c r="F2650" s="215" t="s">
        <v>1682</v>
      </c>
      <c r="G2650" s="216" t="s">
        <v>1682</v>
      </c>
      <c r="H2650" s="218" t="s">
        <v>1682</v>
      </c>
    </row>
    <row r="2651" spans="2:8" x14ac:dyDescent="0.2">
      <c r="B2651" s="238" t="s">
        <v>1692</v>
      </c>
      <c r="C2651" s="239"/>
      <c r="D2651" s="240"/>
      <c r="E2651" s="240"/>
      <c r="F2651" s="240"/>
      <c r="G2651" s="239"/>
      <c r="H2651" s="241">
        <f>SUM(H2647:H2650)</f>
        <v>118.22</v>
      </c>
    </row>
    <row r="2652" spans="2:8" x14ac:dyDescent="0.2">
      <c r="B2652" s="227" t="s">
        <v>1680</v>
      </c>
      <c r="C2652" s="132"/>
      <c r="D2652" s="188"/>
      <c r="E2652" s="132"/>
      <c r="F2652" s="188"/>
      <c r="G2652" s="132"/>
      <c r="H2652" s="218"/>
    </row>
    <row r="2653" spans="2:8" ht="25.5" x14ac:dyDescent="0.2">
      <c r="B2653" s="229" t="s">
        <v>1409</v>
      </c>
      <c r="C2653" s="242"/>
      <c r="D2653" s="243"/>
      <c r="E2653" s="232" t="s">
        <v>1408</v>
      </c>
      <c r="F2653" s="231" t="s">
        <v>1679</v>
      </c>
      <c r="G2653" s="232" t="s">
        <v>1676</v>
      </c>
      <c r="H2653" s="234" t="s">
        <v>1675</v>
      </c>
    </row>
    <row r="2654" spans="2:8" x14ac:dyDescent="0.2">
      <c r="B2654" s="208" t="s">
        <v>975</v>
      </c>
      <c r="C2654" s="209"/>
      <c r="D2654" s="246"/>
      <c r="E2654" s="215" t="s">
        <v>976</v>
      </c>
      <c r="F2654" s="215">
        <v>0.2</v>
      </c>
      <c r="G2654" s="247">
        <v>5</v>
      </c>
      <c r="H2654" s="218">
        <f>F2654*G2654</f>
        <v>1</v>
      </c>
    </row>
    <row r="2655" spans="2:8" x14ac:dyDescent="0.2">
      <c r="B2655" s="214"/>
      <c r="C2655" s="132"/>
      <c r="D2655" s="248"/>
      <c r="E2655" s="215"/>
      <c r="F2655" s="215"/>
      <c r="G2655" s="247"/>
      <c r="H2655" s="218"/>
    </row>
    <row r="2656" spans="2:8" x14ac:dyDescent="0.2">
      <c r="B2656" s="219" t="s">
        <v>1682</v>
      </c>
      <c r="C2656" s="220"/>
      <c r="D2656" s="249"/>
      <c r="E2656" s="221" t="s">
        <v>1682</v>
      </c>
      <c r="F2656" s="221"/>
      <c r="G2656" s="222" t="s">
        <v>1682</v>
      </c>
      <c r="H2656" s="224" t="s">
        <v>1682</v>
      </c>
    </row>
    <row r="2657" spans="2:8" ht="13.5" thickBot="1" x14ac:dyDescent="0.25">
      <c r="B2657" s="250" t="s">
        <v>977</v>
      </c>
      <c r="C2657" s="251"/>
      <c r="D2657" s="252"/>
      <c r="E2657" s="252"/>
      <c r="F2657" s="252"/>
      <c r="G2657" s="251"/>
      <c r="H2657" s="253">
        <f>SUM(H2654:H2656)</f>
        <v>1</v>
      </c>
    </row>
    <row r="2658" spans="2:8" x14ac:dyDescent="0.2">
      <c r="B2658" s="132"/>
      <c r="C2658" s="132"/>
      <c r="D2658" s="254"/>
      <c r="E2658" s="198"/>
      <c r="F2658" s="198"/>
      <c r="G2658" s="255" t="s">
        <v>978</v>
      </c>
      <c r="H2658" s="256">
        <f>H2636+H2644+H2651+H2657</f>
        <v>130.42830000000001</v>
      </c>
    </row>
    <row r="2659" spans="2:8" x14ac:dyDescent="0.2">
      <c r="B2659" s="132"/>
      <c r="C2659" s="132"/>
      <c r="D2659" s="257"/>
      <c r="E2659" s="239"/>
      <c r="F2659" s="239"/>
      <c r="G2659" s="258" t="s">
        <v>979</v>
      </c>
      <c r="H2659" s="241"/>
    </row>
    <row r="2660" spans="2:8" x14ac:dyDescent="0.2">
      <c r="B2660" s="132"/>
      <c r="C2660" s="132"/>
      <c r="D2660" s="257"/>
      <c r="E2660" s="239"/>
      <c r="F2660" s="239"/>
      <c r="G2660" s="258" t="s">
        <v>980</v>
      </c>
      <c r="H2660" s="241"/>
    </row>
    <row r="2661" spans="2:8" x14ac:dyDescent="0.2">
      <c r="B2661" s="132"/>
      <c r="C2661" s="132"/>
      <c r="D2661" s="257"/>
      <c r="E2661" s="239"/>
      <c r="F2661" s="239"/>
      <c r="G2661" s="259" t="s">
        <v>1670</v>
      </c>
      <c r="H2661" s="260"/>
    </row>
    <row r="2662" spans="2:8" ht="13.5" thickBot="1" x14ac:dyDescent="0.25">
      <c r="B2662" s="193"/>
      <c r="C2662" s="132"/>
      <c r="D2662" s="261"/>
      <c r="E2662" s="251"/>
      <c r="F2662" s="251"/>
      <c r="G2662" s="262" t="s">
        <v>1650</v>
      </c>
      <c r="H2662" s="263"/>
    </row>
    <row r="2663" spans="2:8" ht="15.75" x14ac:dyDescent="0.2">
      <c r="B2663" s="186" t="s">
        <v>1701</v>
      </c>
      <c r="C2663" s="132"/>
      <c r="D2663" s="189" t="s">
        <v>742</v>
      </c>
      <c r="E2663" s="132"/>
      <c r="F2663" s="132"/>
      <c r="G2663" s="188"/>
      <c r="H2663" s="132"/>
    </row>
    <row r="2664" spans="2:8" ht="15.75" x14ac:dyDescent="0.2">
      <c r="B2664" s="186" t="s">
        <v>1700</v>
      </c>
      <c r="C2664" s="189" t="s">
        <v>963</v>
      </c>
      <c r="D2664" s="132"/>
      <c r="E2664" s="132"/>
      <c r="F2664" s="132"/>
      <c r="G2664" s="190"/>
      <c r="H2664" s="191"/>
    </row>
    <row r="2665" spans="2:8" ht="14.25" x14ac:dyDescent="0.2">
      <c r="B2665" s="189"/>
      <c r="C2665" s="189"/>
      <c r="D2665" s="189"/>
      <c r="E2665" s="189"/>
      <c r="F2665" s="189"/>
      <c r="G2665" s="189"/>
      <c r="H2665" s="189"/>
    </row>
    <row r="2666" spans="2:8" ht="15.75" x14ac:dyDescent="0.2">
      <c r="B2666" s="186" t="s">
        <v>1697</v>
      </c>
      <c r="C2666" s="189"/>
      <c r="D2666" s="132"/>
      <c r="E2666" s="132"/>
      <c r="F2666" s="132"/>
      <c r="G2666" s="132"/>
      <c r="H2666" s="132"/>
    </row>
    <row r="2667" spans="2:8" ht="15" x14ac:dyDescent="0.2">
      <c r="B2667" s="192"/>
      <c r="C2667" s="189"/>
      <c r="D2667" s="189"/>
      <c r="E2667" s="189"/>
      <c r="F2667" s="189"/>
      <c r="G2667" s="189"/>
      <c r="H2667" s="189"/>
    </row>
    <row r="2668" spans="2:8" ht="14.25" x14ac:dyDescent="0.2">
      <c r="B2668" s="193" t="s">
        <v>594</v>
      </c>
      <c r="C2668" s="194" t="s">
        <v>564</v>
      </c>
      <c r="D2668" s="132"/>
      <c r="E2668" s="188"/>
      <c r="F2668" s="188"/>
      <c r="G2668" s="195" t="s">
        <v>1696</v>
      </c>
      <c r="H2668" s="189" t="s">
        <v>1506</v>
      </c>
    </row>
    <row r="2669" spans="2:8" ht="14.25" x14ac:dyDescent="0.2">
      <c r="B2669" s="196" t="s">
        <v>964</v>
      </c>
      <c r="C2669" s="194" t="s">
        <v>565</v>
      </c>
      <c r="D2669" s="132"/>
      <c r="E2669" s="132"/>
      <c r="F2669" s="132"/>
      <c r="G2669" s="132"/>
      <c r="H2669" s="132"/>
    </row>
    <row r="2670" spans="2:8" ht="15" thickBot="1" x14ac:dyDescent="0.25">
      <c r="B2670" s="187"/>
      <c r="C2670" s="187"/>
      <c r="D2670" s="189"/>
      <c r="E2670" s="189"/>
      <c r="F2670" s="189"/>
      <c r="G2670" s="189"/>
      <c r="H2670" s="189"/>
    </row>
    <row r="2671" spans="2:8" ht="13.5" thickBot="1" x14ac:dyDescent="0.25">
      <c r="B2671" s="264" t="s">
        <v>1695</v>
      </c>
      <c r="C2671" s="265"/>
      <c r="D2671" s="266"/>
      <c r="E2671" s="265"/>
      <c r="F2671" s="265"/>
      <c r="G2671" s="265"/>
      <c r="H2671" s="267"/>
    </row>
    <row r="2672" spans="2:8" ht="25.5" x14ac:dyDescent="0.2">
      <c r="B2672" s="197" t="s">
        <v>1409</v>
      </c>
      <c r="C2672" s="268"/>
      <c r="D2672" s="269" t="s">
        <v>966</v>
      </c>
      <c r="E2672" s="270" t="s">
        <v>1694</v>
      </c>
      <c r="F2672" s="270" t="s">
        <v>1693</v>
      </c>
      <c r="G2672" s="201" t="s">
        <v>1687</v>
      </c>
      <c r="H2672" s="271" t="s">
        <v>967</v>
      </c>
    </row>
    <row r="2673" spans="2:8" x14ac:dyDescent="0.2">
      <c r="B2673" s="208" t="s">
        <v>1468</v>
      </c>
      <c r="C2673" s="209"/>
      <c r="D2673" s="210">
        <v>1</v>
      </c>
      <c r="E2673" s="211">
        <v>2.5</v>
      </c>
      <c r="F2673" s="211">
        <f>D2673*E2673</f>
        <v>2.5</v>
      </c>
      <c r="G2673" s="212">
        <v>0.2</v>
      </c>
      <c r="H2673" s="213">
        <f>F2673*G2673</f>
        <v>0.5</v>
      </c>
    </row>
    <row r="2674" spans="2:8" x14ac:dyDescent="0.2">
      <c r="B2674" s="214" t="s">
        <v>1682</v>
      </c>
      <c r="C2674" s="132"/>
      <c r="D2674" s="215"/>
      <c r="E2674" s="216" t="s">
        <v>1682</v>
      </c>
      <c r="F2674" s="216" t="s">
        <v>1682</v>
      </c>
      <c r="G2674" s="217"/>
      <c r="H2674" s="218" t="s">
        <v>1682</v>
      </c>
    </row>
    <row r="2675" spans="2:8" x14ac:dyDescent="0.2">
      <c r="B2675" s="219" t="s">
        <v>1682</v>
      </c>
      <c r="C2675" s="220"/>
      <c r="D2675" s="221"/>
      <c r="E2675" s="222" t="s">
        <v>1682</v>
      </c>
      <c r="F2675" s="222" t="s">
        <v>1682</v>
      </c>
      <c r="G2675" s="223"/>
      <c r="H2675" s="224" t="s">
        <v>1682</v>
      </c>
    </row>
    <row r="2676" spans="2:8" x14ac:dyDescent="0.2">
      <c r="B2676" s="219" t="s">
        <v>968</v>
      </c>
      <c r="C2676" s="220"/>
      <c r="D2676" s="225"/>
      <c r="E2676" s="220"/>
      <c r="F2676" s="220"/>
      <c r="G2676" s="226"/>
      <c r="H2676" s="224">
        <f>SUM(H2673:H2675)</f>
        <v>0.5</v>
      </c>
    </row>
    <row r="2677" spans="2:8" x14ac:dyDescent="0.2">
      <c r="B2677" s="227" t="s">
        <v>1503</v>
      </c>
      <c r="C2677" s="132"/>
      <c r="D2677" s="188"/>
      <c r="E2677" s="132"/>
      <c r="F2677" s="132"/>
      <c r="G2677" s="228"/>
      <c r="H2677" s="218"/>
    </row>
    <row r="2678" spans="2:8" ht="25.5" x14ac:dyDescent="0.2">
      <c r="B2678" s="229" t="s">
        <v>1691</v>
      </c>
      <c r="C2678" s="230"/>
      <c r="D2678" s="231" t="s">
        <v>969</v>
      </c>
      <c r="E2678" s="232" t="s">
        <v>1689</v>
      </c>
      <c r="F2678" s="232" t="s">
        <v>1688</v>
      </c>
      <c r="G2678" s="233" t="s">
        <v>1687</v>
      </c>
      <c r="H2678" s="234" t="s">
        <v>1686</v>
      </c>
    </row>
    <row r="2679" spans="2:8" x14ac:dyDescent="0.2">
      <c r="B2679" s="235" t="s">
        <v>243</v>
      </c>
      <c r="C2679" s="132"/>
      <c r="D2679" s="236">
        <v>1</v>
      </c>
      <c r="E2679" s="237">
        <v>2.13</v>
      </c>
      <c r="F2679" s="216">
        <f>D2679*E2679</f>
        <v>2.13</v>
      </c>
      <c r="G2679" s="217">
        <v>1.28</v>
      </c>
      <c r="H2679" s="218">
        <f>F2679*G2679</f>
        <v>2.7263999999999999</v>
      </c>
    </row>
    <row r="2680" spans="2:8" x14ac:dyDescent="0.2">
      <c r="B2680" s="235" t="s">
        <v>1488</v>
      </c>
      <c r="C2680" s="132"/>
      <c r="D2680" s="236">
        <v>1</v>
      </c>
      <c r="E2680" s="237">
        <v>2.13</v>
      </c>
      <c r="F2680" s="216">
        <f>D2680*E2680</f>
        <v>2.13</v>
      </c>
      <c r="G2680" s="217">
        <v>0.95</v>
      </c>
      <c r="H2680" s="218">
        <f>F2680*G2680</f>
        <v>2.0234999999999999</v>
      </c>
    </row>
    <row r="2681" spans="2:8" x14ac:dyDescent="0.2">
      <c r="B2681" s="235" t="s">
        <v>590</v>
      </c>
      <c r="C2681" s="132"/>
      <c r="D2681" s="236">
        <v>1</v>
      </c>
      <c r="E2681" s="237">
        <v>2.13</v>
      </c>
      <c r="F2681" s="216">
        <f>D2681*E2681</f>
        <v>2.13</v>
      </c>
      <c r="G2681" s="217">
        <v>0.68</v>
      </c>
      <c r="H2681" s="218">
        <f>F2681*G2681</f>
        <v>1.4484000000000001</v>
      </c>
    </row>
    <row r="2682" spans="2:8" x14ac:dyDescent="0.2">
      <c r="B2682" s="235"/>
      <c r="C2682" s="132"/>
      <c r="D2682" s="236"/>
      <c r="E2682" s="237"/>
      <c r="F2682" s="216"/>
      <c r="G2682" s="217"/>
      <c r="H2682" s="218"/>
    </row>
    <row r="2683" spans="2:8" x14ac:dyDescent="0.2">
      <c r="B2683" s="219" t="s">
        <v>1682</v>
      </c>
      <c r="C2683" s="220"/>
      <c r="D2683" s="221"/>
      <c r="E2683" s="222" t="s">
        <v>1682</v>
      </c>
      <c r="F2683" s="222" t="s">
        <v>1682</v>
      </c>
      <c r="G2683" s="223"/>
      <c r="H2683" s="224" t="s">
        <v>1682</v>
      </c>
    </row>
    <row r="2684" spans="2:8" x14ac:dyDescent="0.2">
      <c r="B2684" s="238" t="s">
        <v>1681</v>
      </c>
      <c r="C2684" s="239"/>
      <c r="D2684" s="240"/>
      <c r="E2684" s="239"/>
      <c r="F2684" s="239"/>
      <c r="G2684" s="239"/>
      <c r="H2684" s="241">
        <f>SUM(H2679:H2683)</f>
        <v>6.1983000000000006</v>
      </c>
    </row>
    <row r="2685" spans="2:8" x14ac:dyDescent="0.2">
      <c r="B2685" s="227" t="s">
        <v>1684</v>
      </c>
      <c r="C2685" s="132"/>
      <c r="D2685" s="188"/>
      <c r="E2685" s="132"/>
      <c r="F2685" s="132"/>
      <c r="G2685" s="132"/>
      <c r="H2685" s="218"/>
    </row>
    <row r="2686" spans="2:8" ht="25.5" x14ac:dyDescent="0.2">
      <c r="B2686" s="229" t="s">
        <v>1409</v>
      </c>
      <c r="C2686" s="242"/>
      <c r="D2686" s="243"/>
      <c r="E2686" s="232" t="s">
        <v>1408</v>
      </c>
      <c r="F2686" s="231" t="s">
        <v>1679</v>
      </c>
      <c r="G2686" s="232" t="s">
        <v>1683</v>
      </c>
      <c r="H2686" s="234" t="s">
        <v>1675</v>
      </c>
    </row>
    <row r="2687" spans="2:8" x14ac:dyDescent="0.2">
      <c r="B2687" s="214" t="s">
        <v>566</v>
      </c>
      <c r="C2687" s="132"/>
      <c r="D2687" s="188"/>
      <c r="E2687" s="215"/>
      <c r="F2687" s="215"/>
      <c r="G2687" s="216"/>
      <c r="H2687" s="218"/>
    </row>
    <row r="2688" spans="2:8" x14ac:dyDescent="0.2">
      <c r="B2688" s="214" t="s">
        <v>567</v>
      </c>
      <c r="C2688" s="132"/>
      <c r="D2688" s="188"/>
      <c r="E2688" s="215" t="s">
        <v>1506</v>
      </c>
      <c r="F2688" s="215">
        <v>1</v>
      </c>
      <c r="G2688" s="216">
        <v>18.02</v>
      </c>
      <c r="H2688" s="218">
        <f>F2688*G2688</f>
        <v>18.02</v>
      </c>
    </row>
    <row r="2689" spans="2:8" x14ac:dyDescent="0.2">
      <c r="B2689" s="214" t="s">
        <v>568</v>
      </c>
      <c r="C2689" s="132"/>
      <c r="D2689" s="188"/>
      <c r="E2689" s="272"/>
      <c r="F2689" s="215"/>
      <c r="G2689" s="216"/>
      <c r="H2689" s="218"/>
    </row>
    <row r="2690" spans="2:8" x14ac:dyDescent="0.2">
      <c r="B2690" s="214"/>
      <c r="C2690" s="132"/>
      <c r="D2690" s="188"/>
      <c r="E2690" s="272"/>
      <c r="F2690" s="215"/>
      <c r="G2690" s="216"/>
      <c r="H2690" s="218"/>
    </row>
    <row r="2691" spans="2:8" x14ac:dyDescent="0.2">
      <c r="B2691" s="214" t="s">
        <v>1682</v>
      </c>
      <c r="C2691" s="132"/>
      <c r="D2691" s="245" t="s">
        <v>1682</v>
      </c>
      <c r="E2691" s="272" t="s">
        <v>1682</v>
      </c>
      <c r="F2691" s="215" t="s">
        <v>1682</v>
      </c>
      <c r="G2691" s="216" t="s">
        <v>1682</v>
      </c>
      <c r="H2691" s="218" t="s">
        <v>1682</v>
      </c>
    </row>
    <row r="2692" spans="2:8" x14ac:dyDescent="0.2">
      <c r="B2692" s="238" t="s">
        <v>1692</v>
      </c>
      <c r="C2692" s="239"/>
      <c r="D2692" s="240"/>
      <c r="E2692" s="240"/>
      <c r="F2692" s="240"/>
      <c r="G2692" s="239"/>
      <c r="H2692" s="241">
        <f>SUM(H2687:H2691)</f>
        <v>18.02</v>
      </c>
    </row>
    <row r="2693" spans="2:8" x14ac:dyDescent="0.2">
      <c r="B2693" s="227" t="s">
        <v>1680</v>
      </c>
      <c r="C2693" s="132"/>
      <c r="D2693" s="188"/>
      <c r="E2693" s="132"/>
      <c r="F2693" s="188"/>
      <c r="G2693" s="132"/>
      <c r="H2693" s="218"/>
    </row>
    <row r="2694" spans="2:8" ht="25.5" x14ac:dyDescent="0.2">
      <c r="B2694" s="229" t="s">
        <v>1409</v>
      </c>
      <c r="C2694" s="242"/>
      <c r="D2694" s="243"/>
      <c r="E2694" s="232" t="s">
        <v>1408</v>
      </c>
      <c r="F2694" s="231" t="s">
        <v>1679</v>
      </c>
      <c r="G2694" s="232" t="s">
        <v>1676</v>
      </c>
      <c r="H2694" s="234" t="s">
        <v>1675</v>
      </c>
    </row>
    <row r="2695" spans="2:8" x14ac:dyDescent="0.2">
      <c r="B2695" s="208" t="s">
        <v>975</v>
      </c>
      <c r="C2695" s="209"/>
      <c r="D2695" s="246"/>
      <c r="E2695" s="215" t="s">
        <v>976</v>
      </c>
      <c r="F2695" s="215">
        <v>0.1</v>
      </c>
      <c r="G2695" s="247">
        <v>5</v>
      </c>
      <c r="H2695" s="218">
        <f>F2695*G2695</f>
        <v>0.5</v>
      </c>
    </row>
    <row r="2696" spans="2:8" x14ac:dyDescent="0.2">
      <c r="B2696" s="214"/>
      <c r="C2696" s="132"/>
      <c r="D2696" s="248"/>
      <c r="E2696" s="215"/>
      <c r="F2696" s="215"/>
      <c r="G2696" s="247"/>
      <c r="H2696" s="218"/>
    </row>
    <row r="2697" spans="2:8" x14ac:dyDescent="0.2">
      <c r="B2697" s="219" t="s">
        <v>1682</v>
      </c>
      <c r="C2697" s="220"/>
      <c r="D2697" s="249"/>
      <c r="E2697" s="221" t="s">
        <v>1682</v>
      </c>
      <c r="F2697" s="221"/>
      <c r="G2697" s="222" t="s">
        <v>1682</v>
      </c>
      <c r="H2697" s="224" t="s">
        <v>1682</v>
      </c>
    </row>
    <row r="2698" spans="2:8" ht="13.5" thickBot="1" x14ac:dyDescent="0.25">
      <c r="B2698" s="250" t="s">
        <v>977</v>
      </c>
      <c r="C2698" s="251"/>
      <c r="D2698" s="252"/>
      <c r="E2698" s="252"/>
      <c r="F2698" s="252"/>
      <c r="G2698" s="251"/>
      <c r="H2698" s="253">
        <f>SUM(H2695:H2697)</f>
        <v>0.5</v>
      </c>
    </row>
    <row r="2699" spans="2:8" x14ac:dyDescent="0.2">
      <c r="B2699" s="132"/>
      <c r="C2699" s="132"/>
      <c r="D2699" s="254"/>
      <c r="E2699" s="198"/>
      <c r="F2699" s="198"/>
      <c r="G2699" s="255" t="s">
        <v>978</v>
      </c>
      <c r="H2699" s="256">
        <f>H2676+H2684+H2692+H2698</f>
        <v>25.218299999999999</v>
      </c>
    </row>
    <row r="2700" spans="2:8" x14ac:dyDescent="0.2">
      <c r="B2700" s="132"/>
      <c r="C2700" s="132"/>
      <c r="D2700" s="257"/>
      <c r="E2700" s="239"/>
      <c r="F2700" s="239"/>
      <c r="G2700" s="258" t="s">
        <v>979</v>
      </c>
      <c r="H2700" s="241"/>
    </row>
    <row r="2701" spans="2:8" x14ac:dyDescent="0.2">
      <c r="B2701" s="132"/>
      <c r="C2701" s="132"/>
      <c r="D2701" s="257"/>
      <c r="E2701" s="239"/>
      <c r="F2701" s="239"/>
      <c r="G2701" s="258" t="s">
        <v>980</v>
      </c>
      <c r="H2701" s="241"/>
    </row>
    <row r="2702" spans="2:8" x14ac:dyDescent="0.2">
      <c r="B2702" s="132"/>
      <c r="C2702" s="132"/>
      <c r="D2702" s="257"/>
      <c r="E2702" s="239"/>
      <c r="F2702" s="239"/>
      <c r="G2702" s="259" t="s">
        <v>1670</v>
      </c>
      <c r="H2702" s="260"/>
    </row>
    <row r="2703" spans="2:8" ht="13.5" thickBot="1" x14ac:dyDescent="0.25">
      <c r="B2703" s="193"/>
      <c r="C2703" s="132"/>
      <c r="D2703" s="261"/>
      <c r="E2703" s="251"/>
      <c r="F2703" s="251"/>
      <c r="G2703" s="262" t="s">
        <v>1650</v>
      </c>
      <c r="H2703" s="263"/>
    </row>
    <row r="2704" spans="2:8" ht="15.75" x14ac:dyDescent="0.2">
      <c r="B2704" s="186" t="s">
        <v>1701</v>
      </c>
      <c r="C2704" s="132"/>
      <c r="D2704" s="189" t="s">
        <v>742</v>
      </c>
      <c r="E2704" s="132"/>
      <c r="F2704" s="132"/>
      <c r="G2704" s="188"/>
      <c r="H2704" s="132"/>
    </row>
    <row r="2705" spans="2:8" ht="15.75" x14ac:dyDescent="0.2">
      <c r="B2705" s="186" t="s">
        <v>1700</v>
      </c>
      <c r="C2705" s="189" t="s">
        <v>963</v>
      </c>
      <c r="D2705" s="132"/>
      <c r="E2705" s="132"/>
      <c r="F2705" s="132"/>
      <c r="G2705" s="190"/>
      <c r="H2705" s="191"/>
    </row>
    <row r="2706" spans="2:8" ht="14.25" x14ac:dyDescent="0.2">
      <c r="B2706" s="189"/>
      <c r="C2706" s="189"/>
      <c r="D2706" s="189"/>
      <c r="E2706" s="189"/>
      <c r="F2706" s="189"/>
      <c r="G2706" s="189"/>
      <c r="H2706" s="189"/>
    </row>
    <row r="2707" spans="2:8" ht="15.75" x14ac:dyDescent="0.2">
      <c r="B2707" s="186" t="s">
        <v>1697</v>
      </c>
      <c r="C2707" s="189"/>
      <c r="D2707" s="132"/>
      <c r="E2707" s="132"/>
      <c r="F2707" s="132"/>
      <c r="G2707" s="132"/>
      <c r="H2707" s="132"/>
    </row>
    <row r="2708" spans="2:8" ht="15" x14ac:dyDescent="0.2">
      <c r="B2708" s="192"/>
      <c r="C2708" s="189"/>
      <c r="D2708" s="189"/>
      <c r="E2708" s="189"/>
      <c r="F2708" s="189"/>
      <c r="G2708" s="189"/>
      <c r="H2708" s="189"/>
    </row>
    <row r="2709" spans="2:8" ht="14.25" x14ac:dyDescent="0.2">
      <c r="B2709" s="193" t="s">
        <v>594</v>
      </c>
      <c r="C2709" s="194">
        <v>25</v>
      </c>
      <c r="D2709" s="132"/>
      <c r="E2709" s="188"/>
      <c r="F2709" s="188"/>
      <c r="G2709" s="195" t="s">
        <v>1696</v>
      </c>
      <c r="H2709" s="189" t="s">
        <v>1506</v>
      </c>
    </row>
    <row r="2710" spans="2:8" ht="14.25" x14ac:dyDescent="0.2">
      <c r="B2710" s="196" t="s">
        <v>964</v>
      </c>
      <c r="C2710" s="194" t="s">
        <v>569</v>
      </c>
      <c r="D2710" s="132"/>
      <c r="E2710" s="132"/>
      <c r="F2710" s="132"/>
      <c r="G2710" s="132"/>
      <c r="H2710" s="132"/>
    </row>
    <row r="2711" spans="2:8" ht="15" thickBot="1" x14ac:dyDescent="0.25">
      <c r="B2711" s="187"/>
      <c r="C2711" s="187"/>
      <c r="D2711" s="189"/>
      <c r="E2711" s="189"/>
      <c r="F2711" s="189"/>
      <c r="G2711" s="189"/>
      <c r="H2711" s="189"/>
    </row>
    <row r="2712" spans="2:8" ht="13.5" thickBot="1" x14ac:dyDescent="0.25">
      <c r="B2712" s="264" t="s">
        <v>1695</v>
      </c>
      <c r="C2712" s="265"/>
      <c r="D2712" s="266"/>
      <c r="E2712" s="265"/>
      <c r="F2712" s="265"/>
      <c r="G2712" s="265"/>
      <c r="H2712" s="267"/>
    </row>
    <row r="2713" spans="2:8" ht="25.5" x14ac:dyDescent="0.2">
      <c r="B2713" s="197" t="s">
        <v>1409</v>
      </c>
      <c r="C2713" s="268"/>
      <c r="D2713" s="269" t="s">
        <v>966</v>
      </c>
      <c r="E2713" s="270" t="s">
        <v>1694</v>
      </c>
      <c r="F2713" s="270" t="s">
        <v>1693</v>
      </c>
      <c r="G2713" s="201" t="s">
        <v>1687</v>
      </c>
      <c r="H2713" s="271" t="s">
        <v>967</v>
      </c>
    </row>
    <row r="2714" spans="2:8" x14ac:dyDescent="0.2">
      <c r="B2714" s="208" t="s">
        <v>1468</v>
      </c>
      <c r="C2714" s="209"/>
      <c r="D2714" s="210">
        <v>1</v>
      </c>
      <c r="E2714" s="211">
        <v>2.5</v>
      </c>
      <c r="F2714" s="211">
        <f>D2714*E2714</f>
        <v>2.5</v>
      </c>
      <c r="G2714" s="212">
        <v>1</v>
      </c>
      <c r="H2714" s="213">
        <f>F2714*G2714</f>
        <v>2.5</v>
      </c>
    </row>
    <row r="2715" spans="2:8" x14ac:dyDescent="0.2">
      <c r="B2715" s="214" t="s">
        <v>570</v>
      </c>
      <c r="C2715" s="132"/>
      <c r="D2715" s="215">
        <v>1</v>
      </c>
      <c r="E2715" s="216">
        <v>62.5</v>
      </c>
      <c r="F2715" s="211">
        <f>D2715*E2715</f>
        <v>62.5</v>
      </c>
      <c r="G2715" s="217">
        <v>2</v>
      </c>
      <c r="H2715" s="213">
        <f>F2715*G2715</f>
        <v>125</v>
      </c>
    </row>
    <row r="2716" spans="2:8" x14ac:dyDescent="0.2">
      <c r="B2716" s="214" t="s">
        <v>1682</v>
      </c>
      <c r="C2716" s="132"/>
      <c r="D2716" s="215"/>
      <c r="E2716" s="216" t="s">
        <v>1682</v>
      </c>
      <c r="F2716" s="216" t="s">
        <v>1682</v>
      </c>
      <c r="G2716" s="217"/>
      <c r="H2716" s="218" t="s">
        <v>1682</v>
      </c>
    </row>
    <row r="2717" spans="2:8" x14ac:dyDescent="0.2">
      <c r="B2717" s="219" t="s">
        <v>1682</v>
      </c>
      <c r="C2717" s="220"/>
      <c r="D2717" s="221"/>
      <c r="E2717" s="222" t="s">
        <v>1682</v>
      </c>
      <c r="F2717" s="222" t="s">
        <v>1682</v>
      </c>
      <c r="G2717" s="223"/>
      <c r="H2717" s="224" t="s">
        <v>1682</v>
      </c>
    </row>
    <row r="2718" spans="2:8" x14ac:dyDescent="0.2">
      <c r="B2718" s="219" t="s">
        <v>968</v>
      </c>
      <c r="C2718" s="220"/>
      <c r="D2718" s="225"/>
      <c r="E2718" s="220"/>
      <c r="F2718" s="220"/>
      <c r="G2718" s="226"/>
      <c r="H2718" s="224">
        <f>SUM(H2714:H2717)</f>
        <v>127.5</v>
      </c>
    </row>
    <row r="2719" spans="2:8" x14ac:dyDescent="0.2">
      <c r="B2719" s="227" t="s">
        <v>1503</v>
      </c>
      <c r="C2719" s="132"/>
      <c r="D2719" s="188"/>
      <c r="E2719" s="132"/>
      <c r="F2719" s="132"/>
      <c r="G2719" s="228"/>
      <c r="H2719" s="218"/>
    </row>
    <row r="2720" spans="2:8" ht="25.5" x14ac:dyDescent="0.2">
      <c r="B2720" s="229" t="s">
        <v>1691</v>
      </c>
      <c r="C2720" s="230"/>
      <c r="D2720" s="231" t="s">
        <v>969</v>
      </c>
      <c r="E2720" s="232" t="s">
        <v>1689</v>
      </c>
      <c r="F2720" s="232" t="s">
        <v>1688</v>
      </c>
      <c r="G2720" s="233" t="s">
        <v>1687</v>
      </c>
      <c r="H2720" s="234" t="s">
        <v>1686</v>
      </c>
    </row>
    <row r="2721" spans="2:8" x14ac:dyDescent="0.2">
      <c r="B2721" s="235" t="s">
        <v>243</v>
      </c>
      <c r="C2721" s="132"/>
      <c r="D2721" s="236">
        <v>1</v>
      </c>
      <c r="E2721" s="237">
        <v>2.13</v>
      </c>
      <c r="F2721" s="216">
        <f>D2721*E2721</f>
        <v>2.13</v>
      </c>
      <c r="G2721" s="217">
        <v>2.59</v>
      </c>
      <c r="H2721" s="218">
        <f>F2721*G2721</f>
        <v>5.5166999999999993</v>
      </c>
    </row>
    <row r="2722" spans="2:8" x14ac:dyDescent="0.2">
      <c r="B2722" s="235" t="s">
        <v>1488</v>
      </c>
      <c r="C2722" s="132"/>
      <c r="D2722" s="236">
        <v>1</v>
      </c>
      <c r="E2722" s="237">
        <v>2.13</v>
      </c>
      <c r="F2722" s="216">
        <f>D2722*E2722</f>
        <v>2.13</v>
      </c>
      <c r="G2722" s="217">
        <v>1.93</v>
      </c>
      <c r="H2722" s="218">
        <f>F2722*G2722</f>
        <v>4.1109</v>
      </c>
    </row>
    <row r="2723" spans="2:8" x14ac:dyDescent="0.2">
      <c r="B2723" s="235" t="s">
        <v>590</v>
      </c>
      <c r="C2723" s="132"/>
      <c r="D2723" s="236">
        <v>1</v>
      </c>
      <c r="E2723" s="237">
        <v>2.13</v>
      </c>
      <c r="F2723" s="216">
        <f>D2723*E2723</f>
        <v>2.13</v>
      </c>
      <c r="G2723" s="217">
        <v>1.37</v>
      </c>
      <c r="H2723" s="218">
        <f>F2723*G2723</f>
        <v>2.9180999999999999</v>
      </c>
    </row>
    <row r="2724" spans="2:8" x14ac:dyDescent="0.2">
      <c r="B2724" s="235"/>
      <c r="C2724" s="132"/>
      <c r="D2724" s="236"/>
      <c r="E2724" s="237"/>
      <c r="F2724" s="216"/>
      <c r="G2724" s="217"/>
      <c r="H2724" s="218"/>
    </row>
    <row r="2725" spans="2:8" x14ac:dyDescent="0.2">
      <c r="B2725" s="219" t="s">
        <v>1682</v>
      </c>
      <c r="C2725" s="220"/>
      <c r="D2725" s="221"/>
      <c r="E2725" s="222" t="s">
        <v>1682</v>
      </c>
      <c r="F2725" s="222" t="s">
        <v>1682</v>
      </c>
      <c r="G2725" s="223"/>
      <c r="H2725" s="224" t="s">
        <v>1682</v>
      </c>
    </row>
    <row r="2726" spans="2:8" x14ac:dyDescent="0.2">
      <c r="B2726" s="238" t="s">
        <v>1681</v>
      </c>
      <c r="C2726" s="239"/>
      <c r="D2726" s="240"/>
      <c r="E2726" s="239"/>
      <c r="F2726" s="239"/>
      <c r="G2726" s="239"/>
      <c r="H2726" s="241">
        <f>SUM(H2721:H2725)</f>
        <v>12.5457</v>
      </c>
    </row>
    <row r="2727" spans="2:8" x14ac:dyDescent="0.2">
      <c r="B2727" s="227" t="s">
        <v>1684</v>
      </c>
      <c r="C2727" s="132"/>
      <c r="D2727" s="188"/>
      <c r="E2727" s="132"/>
      <c r="F2727" s="132"/>
      <c r="G2727" s="132"/>
      <c r="H2727" s="218"/>
    </row>
    <row r="2728" spans="2:8" ht="25.5" x14ac:dyDescent="0.2">
      <c r="B2728" s="229" t="s">
        <v>1409</v>
      </c>
      <c r="C2728" s="242"/>
      <c r="D2728" s="243"/>
      <c r="E2728" s="232" t="s">
        <v>1408</v>
      </c>
      <c r="F2728" s="231" t="s">
        <v>1679</v>
      </c>
      <c r="G2728" s="232" t="s">
        <v>1683</v>
      </c>
      <c r="H2728" s="234" t="s">
        <v>1675</v>
      </c>
    </row>
    <row r="2729" spans="2:8" x14ac:dyDescent="0.2">
      <c r="B2729" s="244" t="s">
        <v>571</v>
      </c>
      <c r="C2729" s="132"/>
      <c r="D2729" s="188"/>
      <c r="E2729" s="215"/>
      <c r="F2729" s="215"/>
      <c r="G2729" s="216"/>
      <c r="H2729" s="218"/>
    </row>
    <row r="2730" spans="2:8" x14ac:dyDescent="0.2">
      <c r="B2730" s="214" t="s">
        <v>572</v>
      </c>
      <c r="C2730" s="132"/>
      <c r="D2730" s="188"/>
      <c r="E2730" s="215" t="s">
        <v>1506</v>
      </c>
      <c r="F2730" s="215">
        <v>1</v>
      </c>
      <c r="G2730" s="216">
        <v>706.47</v>
      </c>
      <c r="H2730" s="218">
        <f>F2730*G2730</f>
        <v>706.47</v>
      </c>
    </row>
    <row r="2731" spans="2:8" x14ac:dyDescent="0.2">
      <c r="B2731" s="214" t="s">
        <v>559</v>
      </c>
      <c r="C2731" s="132"/>
      <c r="D2731" s="188"/>
      <c r="E2731" s="215" t="s">
        <v>1506</v>
      </c>
      <c r="F2731" s="215">
        <v>1</v>
      </c>
      <c r="G2731" s="216">
        <v>100</v>
      </c>
      <c r="H2731" s="218">
        <f>F2731*G2731</f>
        <v>100</v>
      </c>
    </row>
    <row r="2732" spans="2:8" x14ac:dyDescent="0.2">
      <c r="B2732" s="214"/>
      <c r="C2732" s="132"/>
      <c r="D2732" s="188"/>
      <c r="E2732" s="215"/>
      <c r="F2732" s="215"/>
      <c r="G2732" s="216"/>
      <c r="H2732" s="218"/>
    </row>
    <row r="2733" spans="2:8" x14ac:dyDescent="0.2">
      <c r="B2733" s="214" t="s">
        <v>1682</v>
      </c>
      <c r="C2733" s="132"/>
      <c r="D2733" s="245" t="s">
        <v>1682</v>
      </c>
      <c r="E2733" s="272" t="s">
        <v>1682</v>
      </c>
      <c r="F2733" s="215" t="s">
        <v>1682</v>
      </c>
      <c r="G2733" s="216" t="s">
        <v>1682</v>
      </c>
      <c r="H2733" s="218" t="s">
        <v>1682</v>
      </c>
    </row>
    <row r="2734" spans="2:8" x14ac:dyDescent="0.2">
      <c r="B2734" s="238" t="s">
        <v>1692</v>
      </c>
      <c r="C2734" s="239"/>
      <c r="D2734" s="240"/>
      <c r="E2734" s="240"/>
      <c r="F2734" s="240"/>
      <c r="G2734" s="239"/>
      <c r="H2734" s="241">
        <f>SUM(H2729:H2733)</f>
        <v>806.47</v>
      </c>
    </row>
    <row r="2735" spans="2:8" x14ac:dyDescent="0.2">
      <c r="B2735" s="227" t="s">
        <v>1680</v>
      </c>
      <c r="C2735" s="132"/>
      <c r="D2735" s="188"/>
      <c r="E2735" s="132"/>
      <c r="F2735" s="188"/>
      <c r="G2735" s="132"/>
      <c r="H2735" s="218"/>
    </row>
    <row r="2736" spans="2:8" ht="25.5" x14ac:dyDescent="0.2">
      <c r="B2736" s="229" t="s">
        <v>1409</v>
      </c>
      <c r="C2736" s="242"/>
      <c r="D2736" s="243"/>
      <c r="E2736" s="232" t="s">
        <v>1408</v>
      </c>
      <c r="F2736" s="231" t="s">
        <v>1679</v>
      </c>
      <c r="G2736" s="232" t="s">
        <v>1676</v>
      </c>
      <c r="H2736" s="234" t="s">
        <v>1675</v>
      </c>
    </row>
    <row r="2737" spans="2:8" x14ac:dyDescent="0.2">
      <c r="B2737" s="208" t="s">
        <v>975</v>
      </c>
      <c r="C2737" s="209"/>
      <c r="D2737" s="246"/>
      <c r="E2737" s="215" t="s">
        <v>976</v>
      </c>
      <c r="F2737" s="215">
        <v>2</v>
      </c>
      <c r="G2737" s="247">
        <v>5</v>
      </c>
      <c r="H2737" s="218">
        <f>F2737*G2737</f>
        <v>10</v>
      </c>
    </row>
    <row r="2738" spans="2:8" x14ac:dyDescent="0.2">
      <c r="B2738" s="214"/>
      <c r="C2738" s="132"/>
      <c r="D2738" s="248"/>
      <c r="E2738" s="215"/>
      <c r="F2738" s="215"/>
      <c r="G2738" s="247"/>
      <c r="H2738" s="218"/>
    </row>
    <row r="2739" spans="2:8" x14ac:dyDescent="0.2">
      <c r="B2739" s="219" t="s">
        <v>1682</v>
      </c>
      <c r="C2739" s="220"/>
      <c r="D2739" s="249"/>
      <c r="E2739" s="221" t="s">
        <v>1682</v>
      </c>
      <c r="F2739" s="221"/>
      <c r="G2739" s="222" t="s">
        <v>1682</v>
      </c>
      <c r="H2739" s="224" t="s">
        <v>1682</v>
      </c>
    </row>
    <row r="2740" spans="2:8" ht="13.5" thickBot="1" x14ac:dyDescent="0.25">
      <c r="B2740" s="250" t="s">
        <v>977</v>
      </c>
      <c r="C2740" s="251"/>
      <c r="D2740" s="252"/>
      <c r="E2740" s="252"/>
      <c r="F2740" s="252"/>
      <c r="G2740" s="251"/>
      <c r="H2740" s="253">
        <f>SUM(H2737:H2739)</f>
        <v>10</v>
      </c>
    </row>
    <row r="2741" spans="2:8" x14ac:dyDescent="0.2">
      <c r="B2741" s="132"/>
      <c r="C2741" s="132"/>
      <c r="D2741" s="254"/>
      <c r="E2741" s="198"/>
      <c r="F2741" s="198"/>
      <c r="G2741" s="255" t="s">
        <v>978</v>
      </c>
      <c r="H2741" s="256">
        <f>H2718+H2726+H2734+H2740</f>
        <v>956.51570000000004</v>
      </c>
    </row>
    <row r="2742" spans="2:8" x14ac:dyDescent="0.2">
      <c r="B2742" s="132"/>
      <c r="C2742" s="132"/>
      <c r="D2742" s="257"/>
      <c r="E2742" s="239"/>
      <c r="F2742" s="239"/>
      <c r="G2742" s="258" t="s">
        <v>979</v>
      </c>
      <c r="H2742" s="241"/>
    </row>
    <row r="2743" spans="2:8" x14ac:dyDescent="0.2">
      <c r="B2743" s="132"/>
      <c r="C2743" s="132"/>
      <c r="D2743" s="257"/>
      <c r="E2743" s="239"/>
      <c r="F2743" s="239"/>
      <c r="G2743" s="258" t="s">
        <v>980</v>
      </c>
      <c r="H2743" s="241"/>
    </row>
    <row r="2744" spans="2:8" x14ac:dyDescent="0.2">
      <c r="B2744" s="132"/>
      <c r="C2744" s="132"/>
      <c r="D2744" s="257"/>
      <c r="E2744" s="239"/>
      <c r="F2744" s="239"/>
      <c r="G2744" s="259" t="s">
        <v>1670</v>
      </c>
      <c r="H2744" s="260"/>
    </row>
    <row r="2745" spans="2:8" ht="13.5" thickBot="1" x14ac:dyDescent="0.25">
      <c r="B2745" s="193"/>
      <c r="C2745" s="132"/>
      <c r="D2745" s="261"/>
      <c r="E2745" s="251"/>
      <c r="F2745" s="251"/>
      <c r="G2745" s="262" t="s">
        <v>1650</v>
      </c>
      <c r="H2745" s="263"/>
    </row>
    <row r="2746" spans="2:8" ht="15.75" x14ac:dyDescent="0.2">
      <c r="B2746" s="186" t="s">
        <v>1701</v>
      </c>
      <c r="C2746" s="132"/>
      <c r="D2746" s="189" t="s">
        <v>742</v>
      </c>
      <c r="E2746" s="132"/>
      <c r="F2746" s="132"/>
      <c r="G2746" s="188"/>
      <c r="H2746" s="132"/>
    </row>
    <row r="2747" spans="2:8" ht="15.75" x14ac:dyDescent="0.2">
      <c r="B2747" s="186" t="s">
        <v>1700</v>
      </c>
      <c r="C2747" s="189" t="s">
        <v>963</v>
      </c>
      <c r="D2747" s="132"/>
      <c r="E2747" s="132"/>
      <c r="F2747" s="132"/>
      <c r="G2747" s="190"/>
      <c r="H2747" s="191"/>
    </row>
    <row r="2748" spans="2:8" ht="14.25" x14ac:dyDescent="0.2">
      <c r="B2748" s="189"/>
      <c r="C2748" s="189"/>
      <c r="D2748" s="189"/>
      <c r="E2748" s="189"/>
      <c r="F2748" s="189"/>
      <c r="G2748" s="189"/>
      <c r="H2748" s="189"/>
    </row>
    <row r="2749" spans="2:8" ht="15.75" x14ac:dyDescent="0.2">
      <c r="B2749" s="186" t="s">
        <v>1697</v>
      </c>
      <c r="C2749" s="189"/>
      <c r="D2749" s="132"/>
      <c r="E2749" s="132"/>
      <c r="F2749" s="132"/>
      <c r="G2749" s="132"/>
      <c r="H2749" s="132"/>
    </row>
    <row r="2750" spans="2:8" ht="15" x14ac:dyDescent="0.2">
      <c r="B2750" s="192"/>
      <c r="C2750" s="189"/>
      <c r="D2750" s="189"/>
      <c r="E2750" s="189"/>
      <c r="F2750" s="189"/>
      <c r="G2750" s="189"/>
      <c r="H2750" s="189"/>
    </row>
    <row r="2751" spans="2:8" ht="14.25" x14ac:dyDescent="0.2">
      <c r="B2751" s="193" t="s">
        <v>594</v>
      </c>
      <c r="C2751" s="194" t="s">
        <v>573</v>
      </c>
      <c r="D2751" s="132"/>
      <c r="E2751" s="188"/>
      <c r="F2751" s="188"/>
      <c r="G2751" s="195" t="s">
        <v>1696</v>
      </c>
      <c r="H2751" s="189" t="s">
        <v>1506</v>
      </c>
    </row>
    <row r="2752" spans="2:8" ht="14.25" x14ac:dyDescent="0.2">
      <c r="B2752" s="196" t="s">
        <v>964</v>
      </c>
      <c r="C2752" s="194" t="s">
        <v>574</v>
      </c>
      <c r="D2752" s="132"/>
      <c r="E2752" s="132"/>
      <c r="F2752" s="132"/>
      <c r="G2752" s="132"/>
      <c r="H2752" s="132"/>
    </row>
    <row r="2753" spans="2:8" ht="15" thickBot="1" x14ac:dyDescent="0.25">
      <c r="B2753" s="187"/>
      <c r="C2753" s="187"/>
      <c r="D2753" s="189"/>
      <c r="E2753" s="189"/>
      <c r="F2753" s="189"/>
      <c r="G2753" s="189"/>
      <c r="H2753" s="189"/>
    </row>
    <row r="2754" spans="2:8" ht="13.5" thickBot="1" x14ac:dyDescent="0.25">
      <c r="B2754" s="264" t="s">
        <v>1695</v>
      </c>
      <c r="C2754" s="265"/>
      <c r="D2754" s="266"/>
      <c r="E2754" s="265"/>
      <c r="F2754" s="265"/>
      <c r="G2754" s="265"/>
      <c r="H2754" s="267"/>
    </row>
    <row r="2755" spans="2:8" ht="25.5" x14ac:dyDescent="0.2">
      <c r="B2755" s="197" t="s">
        <v>1409</v>
      </c>
      <c r="C2755" s="268"/>
      <c r="D2755" s="269" t="s">
        <v>966</v>
      </c>
      <c r="E2755" s="270" t="s">
        <v>1694</v>
      </c>
      <c r="F2755" s="270" t="s">
        <v>1693</v>
      </c>
      <c r="G2755" s="201" t="s">
        <v>1687</v>
      </c>
      <c r="H2755" s="271" t="s">
        <v>967</v>
      </c>
    </row>
    <row r="2756" spans="2:8" x14ac:dyDescent="0.2">
      <c r="B2756" s="208" t="s">
        <v>1468</v>
      </c>
      <c r="C2756" s="209"/>
      <c r="D2756" s="210">
        <v>1</v>
      </c>
      <c r="E2756" s="211">
        <v>2.5</v>
      </c>
      <c r="F2756" s="211">
        <f>D2756*E2756</f>
        <v>2.5</v>
      </c>
      <c r="G2756" s="212">
        <v>4</v>
      </c>
      <c r="H2756" s="213">
        <f>F2756*G2756</f>
        <v>10</v>
      </c>
    </row>
    <row r="2757" spans="2:8" x14ac:dyDescent="0.2">
      <c r="B2757" s="214" t="s">
        <v>1682</v>
      </c>
      <c r="C2757" s="132"/>
      <c r="D2757" s="215"/>
      <c r="E2757" s="216" t="s">
        <v>1682</v>
      </c>
      <c r="F2757" s="216" t="s">
        <v>1682</v>
      </c>
      <c r="G2757" s="217"/>
      <c r="H2757" s="218" t="s">
        <v>1682</v>
      </c>
    </row>
    <row r="2758" spans="2:8" x14ac:dyDescent="0.2">
      <c r="B2758" s="219" t="s">
        <v>1682</v>
      </c>
      <c r="C2758" s="220"/>
      <c r="D2758" s="221"/>
      <c r="E2758" s="222" t="s">
        <v>1682</v>
      </c>
      <c r="F2758" s="222" t="s">
        <v>1682</v>
      </c>
      <c r="G2758" s="223"/>
      <c r="H2758" s="224" t="s">
        <v>1682</v>
      </c>
    </row>
    <row r="2759" spans="2:8" x14ac:dyDescent="0.2">
      <c r="B2759" s="219" t="s">
        <v>968</v>
      </c>
      <c r="C2759" s="220"/>
      <c r="D2759" s="225"/>
      <c r="E2759" s="220"/>
      <c r="F2759" s="220"/>
      <c r="G2759" s="226"/>
      <c r="H2759" s="224">
        <f>SUM(H2756:H2758)</f>
        <v>10</v>
      </c>
    </row>
    <row r="2760" spans="2:8" x14ac:dyDescent="0.2">
      <c r="B2760" s="227" t="s">
        <v>1503</v>
      </c>
      <c r="C2760" s="132"/>
      <c r="D2760" s="188"/>
      <c r="E2760" s="132"/>
      <c r="F2760" s="132"/>
      <c r="G2760" s="228"/>
      <c r="H2760" s="218"/>
    </row>
    <row r="2761" spans="2:8" ht="25.5" x14ac:dyDescent="0.2">
      <c r="B2761" s="229" t="s">
        <v>1691</v>
      </c>
      <c r="C2761" s="230"/>
      <c r="D2761" s="231" t="s">
        <v>969</v>
      </c>
      <c r="E2761" s="232" t="s">
        <v>1689</v>
      </c>
      <c r="F2761" s="232" t="s">
        <v>1688</v>
      </c>
      <c r="G2761" s="233" t="s">
        <v>1687</v>
      </c>
      <c r="H2761" s="234" t="s">
        <v>1686</v>
      </c>
    </row>
    <row r="2762" spans="2:8" x14ac:dyDescent="0.2">
      <c r="B2762" s="235" t="s">
        <v>243</v>
      </c>
      <c r="C2762" s="132"/>
      <c r="D2762" s="236">
        <v>1</v>
      </c>
      <c r="E2762" s="237">
        <v>2.13</v>
      </c>
      <c r="F2762" s="216">
        <f>D2762*E2762</f>
        <v>2.13</v>
      </c>
      <c r="G2762" s="217">
        <v>103.06</v>
      </c>
      <c r="H2762" s="218">
        <f>F2762*G2762</f>
        <v>219.51779999999999</v>
      </c>
    </row>
    <row r="2763" spans="2:8" x14ac:dyDescent="0.2">
      <c r="B2763" s="235" t="s">
        <v>1488</v>
      </c>
      <c r="C2763" s="132"/>
      <c r="D2763" s="236">
        <v>2</v>
      </c>
      <c r="E2763" s="237">
        <v>2.13</v>
      </c>
      <c r="F2763" s="216">
        <f>D2763*E2763</f>
        <v>4.26</v>
      </c>
      <c r="G2763" s="217">
        <v>33.450000000000003</v>
      </c>
      <c r="H2763" s="218">
        <f>F2763*G2763</f>
        <v>142.49700000000001</v>
      </c>
    </row>
    <row r="2764" spans="2:8" x14ac:dyDescent="0.2">
      <c r="B2764" s="235" t="s">
        <v>590</v>
      </c>
      <c r="C2764" s="132"/>
      <c r="D2764" s="236">
        <v>2</v>
      </c>
      <c r="E2764" s="237">
        <v>2.13</v>
      </c>
      <c r="F2764" s="216">
        <f>D2764*E2764</f>
        <v>4.26</v>
      </c>
      <c r="G2764" s="217">
        <v>24.08</v>
      </c>
      <c r="H2764" s="218">
        <f>F2764*G2764</f>
        <v>102.58079999999998</v>
      </c>
    </row>
    <row r="2765" spans="2:8" x14ac:dyDescent="0.2">
      <c r="B2765" s="235"/>
      <c r="C2765" s="132"/>
      <c r="D2765" s="236"/>
      <c r="E2765" s="237"/>
      <c r="F2765" s="216"/>
      <c r="G2765" s="217"/>
      <c r="H2765" s="218"/>
    </row>
    <row r="2766" spans="2:8" x14ac:dyDescent="0.2">
      <c r="B2766" s="219" t="s">
        <v>1682</v>
      </c>
      <c r="C2766" s="220"/>
      <c r="D2766" s="221"/>
      <c r="E2766" s="222" t="s">
        <v>1682</v>
      </c>
      <c r="F2766" s="222" t="s">
        <v>1682</v>
      </c>
      <c r="G2766" s="223"/>
      <c r="H2766" s="224" t="s">
        <v>1682</v>
      </c>
    </row>
    <row r="2767" spans="2:8" x14ac:dyDescent="0.2">
      <c r="B2767" s="238" t="s">
        <v>1681</v>
      </c>
      <c r="C2767" s="239"/>
      <c r="D2767" s="240"/>
      <c r="E2767" s="239"/>
      <c r="F2767" s="239"/>
      <c r="G2767" s="239"/>
      <c r="H2767" s="241">
        <f>SUM(H2762:H2766)</f>
        <v>464.59559999999999</v>
      </c>
    </row>
    <row r="2768" spans="2:8" x14ac:dyDescent="0.2">
      <c r="B2768" s="227" t="s">
        <v>1684</v>
      </c>
      <c r="C2768" s="132"/>
      <c r="D2768" s="188"/>
      <c r="E2768" s="132"/>
      <c r="F2768" s="132"/>
      <c r="G2768" s="132"/>
      <c r="H2768" s="218"/>
    </row>
    <row r="2769" spans="2:8" ht="25.5" x14ac:dyDescent="0.2">
      <c r="B2769" s="229" t="s">
        <v>1409</v>
      </c>
      <c r="C2769" s="242"/>
      <c r="D2769" s="243"/>
      <c r="E2769" s="232" t="s">
        <v>1408</v>
      </c>
      <c r="F2769" s="231" t="s">
        <v>1679</v>
      </c>
      <c r="G2769" s="232" t="s">
        <v>1683</v>
      </c>
      <c r="H2769" s="234" t="s">
        <v>1675</v>
      </c>
    </row>
    <row r="2770" spans="2:8" x14ac:dyDescent="0.2">
      <c r="B2770" s="244" t="s">
        <v>575</v>
      </c>
      <c r="C2770" s="132"/>
      <c r="D2770" s="188"/>
      <c r="E2770" s="215" t="s">
        <v>1506</v>
      </c>
      <c r="F2770" s="215">
        <v>35</v>
      </c>
      <c r="G2770" s="216">
        <v>5.05</v>
      </c>
      <c r="H2770" s="218">
        <f>F2770*G2770</f>
        <v>176.75</v>
      </c>
    </row>
    <row r="2771" spans="2:8" x14ac:dyDescent="0.2">
      <c r="B2771" s="214" t="s">
        <v>576</v>
      </c>
      <c r="C2771" s="132"/>
      <c r="D2771" s="188"/>
      <c r="E2771" s="215" t="s">
        <v>1506</v>
      </c>
      <c r="F2771" s="215">
        <v>65</v>
      </c>
      <c r="G2771" s="216">
        <v>2.19</v>
      </c>
      <c r="H2771" s="218">
        <f>F2771*G2771</f>
        <v>142.35</v>
      </c>
    </row>
    <row r="2772" spans="2:8" x14ac:dyDescent="0.2">
      <c r="B2772" s="214" t="s">
        <v>462</v>
      </c>
      <c r="C2772" s="132"/>
      <c r="D2772" s="188"/>
      <c r="E2772" s="215" t="s">
        <v>1708</v>
      </c>
      <c r="F2772" s="215">
        <v>210</v>
      </c>
      <c r="G2772" s="216">
        <v>2</v>
      </c>
      <c r="H2772" s="218">
        <f>F2772*G2772</f>
        <v>420</v>
      </c>
    </row>
    <row r="2773" spans="2:8" x14ac:dyDescent="0.2">
      <c r="B2773" s="214" t="s">
        <v>476</v>
      </c>
      <c r="C2773" s="132"/>
      <c r="D2773" s="188"/>
      <c r="E2773" s="215" t="s">
        <v>1708</v>
      </c>
      <c r="F2773" s="215">
        <v>500</v>
      </c>
      <c r="G2773" s="216">
        <v>0.62</v>
      </c>
      <c r="H2773" s="218">
        <f>F2773*G2773</f>
        <v>310</v>
      </c>
    </row>
    <row r="2774" spans="2:8" x14ac:dyDescent="0.2">
      <c r="B2774" s="214" t="s">
        <v>468</v>
      </c>
      <c r="C2774" s="132"/>
      <c r="D2774" s="188"/>
      <c r="E2774" s="215" t="s">
        <v>1708</v>
      </c>
      <c r="F2774" s="215">
        <v>200</v>
      </c>
      <c r="G2774" s="216">
        <v>0.4</v>
      </c>
      <c r="H2774" s="218">
        <f>F2774*G2774</f>
        <v>80</v>
      </c>
    </row>
    <row r="2775" spans="2:8" x14ac:dyDescent="0.2">
      <c r="B2775" s="214"/>
      <c r="C2775" s="132"/>
      <c r="D2775" s="188"/>
      <c r="E2775" s="215"/>
      <c r="F2775" s="215"/>
      <c r="G2775" s="216"/>
      <c r="H2775" s="218"/>
    </row>
    <row r="2776" spans="2:8" x14ac:dyDescent="0.2">
      <c r="B2776" s="214" t="s">
        <v>1682</v>
      </c>
      <c r="C2776" s="132"/>
      <c r="D2776" s="245" t="s">
        <v>1682</v>
      </c>
      <c r="E2776" s="272" t="s">
        <v>1682</v>
      </c>
      <c r="F2776" s="215" t="s">
        <v>1682</v>
      </c>
      <c r="G2776" s="216" t="s">
        <v>1682</v>
      </c>
      <c r="H2776" s="218" t="s">
        <v>1682</v>
      </c>
    </row>
    <row r="2777" spans="2:8" x14ac:dyDescent="0.2">
      <c r="B2777" s="238" t="s">
        <v>1692</v>
      </c>
      <c r="C2777" s="239"/>
      <c r="D2777" s="240"/>
      <c r="E2777" s="240"/>
      <c r="F2777" s="240"/>
      <c r="G2777" s="239"/>
      <c r="H2777" s="260">
        <f>SUM(H2770:H2776)</f>
        <v>1129.0999999999999</v>
      </c>
    </row>
    <row r="2778" spans="2:8" x14ac:dyDescent="0.2">
      <c r="B2778" s="227" t="s">
        <v>1680</v>
      </c>
      <c r="C2778" s="132"/>
      <c r="D2778" s="188"/>
      <c r="E2778" s="132"/>
      <c r="F2778" s="188"/>
      <c r="G2778" s="132"/>
      <c r="H2778" s="218"/>
    </row>
    <row r="2779" spans="2:8" ht="25.5" x14ac:dyDescent="0.2">
      <c r="B2779" s="229" t="s">
        <v>1409</v>
      </c>
      <c r="C2779" s="242"/>
      <c r="D2779" s="243"/>
      <c r="E2779" s="232" t="s">
        <v>1408</v>
      </c>
      <c r="F2779" s="231" t="s">
        <v>1679</v>
      </c>
      <c r="G2779" s="232" t="s">
        <v>1676</v>
      </c>
      <c r="H2779" s="234" t="s">
        <v>1675</v>
      </c>
    </row>
    <row r="2780" spans="2:8" x14ac:dyDescent="0.2">
      <c r="B2780" s="208" t="s">
        <v>975</v>
      </c>
      <c r="C2780" s="209"/>
      <c r="D2780" s="246"/>
      <c r="E2780" s="215" t="s">
        <v>976</v>
      </c>
      <c r="F2780" s="215">
        <v>3</v>
      </c>
      <c r="G2780" s="247">
        <v>5</v>
      </c>
      <c r="H2780" s="218">
        <f>F2780*G2780</f>
        <v>15</v>
      </c>
    </row>
    <row r="2781" spans="2:8" x14ac:dyDescent="0.2">
      <c r="B2781" s="214"/>
      <c r="C2781" s="132"/>
      <c r="D2781" s="248"/>
      <c r="E2781" s="215"/>
      <c r="F2781" s="215"/>
      <c r="G2781" s="247"/>
      <c r="H2781" s="218"/>
    </row>
    <row r="2782" spans="2:8" x14ac:dyDescent="0.2">
      <c r="B2782" s="219" t="s">
        <v>1682</v>
      </c>
      <c r="C2782" s="220"/>
      <c r="D2782" s="249"/>
      <c r="E2782" s="221" t="s">
        <v>1682</v>
      </c>
      <c r="F2782" s="221"/>
      <c r="G2782" s="222" t="s">
        <v>1682</v>
      </c>
      <c r="H2782" s="224" t="s">
        <v>1682</v>
      </c>
    </row>
    <row r="2783" spans="2:8" ht="13.5" thickBot="1" x14ac:dyDescent="0.25">
      <c r="B2783" s="250" t="s">
        <v>977</v>
      </c>
      <c r="C2783" s="251"/>
      <c r="D2783" s="252"/>
      <c r="E2783" s="252"/>
      <c r="F2783" s="252"/>
      <c r="G2783" s="251"/>
      <c r="H2783" s="253">
        <f>SUM(H2780:H2782)</f>
        <v>15</v>
      </c>
    </row>
    <row r="2784" spans="2:8" x14ac:dyDescent="0.2">
      <c r="B2784" s="132"/>
      <c r="C2784" s="132"/>
      <c r="D2784" s="254"/>
      <c r="E2784" s="198"/>
      <c r="F2784" s="198"/>
      <c r="G2784" s="255" t="s">
        <v>978</v>
      </c>
      <c r="H2784" s="256">
        <f>H2759+H2767+H2777+H2783</f>
        <v>1618.6956</v>
      </c>
    </row>
    <row r="2785" spans="2:8" x14ac:dyDescent="0.2">
      <c r="B2785" s="132"/>
      <c r="C2785" s="132"/>
      <c r="D2785" s="257"/>
      <c r="E2785" s="239"/>
      <c r="F2785" s="239"/>
      <c r="G2785" s="258" t="s">
        <v>979</v>
      </c>
      <c r="H2785" s="241"/>
    </row>
    <row r="2786" spans="2:8" x14ac:dyDescent="0.2">
      <c r="B2786" s="132"/>
      <c r="C2786" s="132"/>
      <c r="D2786" s="257"/>
      <c r="E2786" s="239"/>
      <c r="F2786" s="239"/>
      <c r="G2786" s="258" t="s">
        <v>980</v>
      </c>
      <c r="H2786" s="241"/>
    </row>
    <row r="2787" spans="2:8" x14ac:dyDescent="0.2">
      <c r="B2787" s="132"/>
      <c r="C2787" s="132"/>
      <c r="D2787" s="257"/>
      <c r="E2787" s="239"/>
      <c r="F2787" s="239"/>
      <c r="G2787" s="259" t="s">
        <v>1670</v>
      </c>
      <c r="H2787" s="260"/>
    </row>
    <row r="2788" spans="2:8" ht="13.5" thickBot="1" x14ac:dyDescent="0.25">
      <c r="B2788" s="193"/>
      <c r="C2788" s="132"/>
      <c r="D2788" s="261"/>
      <c r="E2788" s="251"/>
      <c r="F2788" s="251"/>
      <c r="G2788" s="262" t="s">
        <v>1650</v>
      </c>
      <c r="H2788" s="263"/>
    </row>
    <row r="2789" spans="2:8" ht="15.75" x14ac:dyDescent="0.2">
      <c r="B2789" s="186" t="s">
        <v>1701</v>
      </c>
      <c r="C2789" s="132"/>
      <c r="D2789" s="189" t="s">
        <v>742</v>
      </c>
      <c r="E2789" s="132"/>
      <c r="F2789" s="132"/>
      <c r="G2789" s="188"/>
      <c r="H2789" s="132"/>
    </row>
    <row r="2790" spans="2:8" ht="15.75" x14ac:dyDescent="0.2">
      <c r="B2790" s="186" t="s">
        <v>1700</v>
      </c>
      <c r="C2790" s="189" t="s">
        <v>963</v>
      </c>
      <c r="D2790" s="132"/>
      <c r="E2790" s="132"/>
      <c r="F2790" s="132"/>
      <c r="G2790" s="190"/>
      <c r="H2790" s="191"/>
    </row>
    <row r="2791" spans="2:8" ht="14.25" x14ac:dyDescent="0.2">
      <c r="B2791" s="189"/>
      <c r="C2791" s="189"/>
      <c r="D2791" s="189"/>
      <c r="E2791" s="189"/>
      <c r="F2791" s="189"/>
      <c r="G2791" s="189"/>
      <c r="H2791" s="189"/>
    </row>
    <row r="2792" spans="2:8" ht="15.75" x14ac:dyDescent="0.2">
      <c r="B2792" s="186" t="s">
        <v>1697</v>
      </c>
      <c r="C2792" s="189"/>
      <c r="D2792" s="132"/>
      <c r="E2792" s="132"/>
      <c r="F2792" s="132"/>
      <c r="G2792" s="132"/>
      <c r="H2792" s="132"/>
    </row>
    <row r="2793" spans="2:8" ht="15" x14ac:dyDescent="0.2">
      <c r="B2793" s="192"/>
      <c r="C2793" s="189"/>
      <c r="D2793" s="189"/>
      <c r="E2793" s="189"/>
      <c r="F2793" s="189"/>
      <c r="G2793" s="189"/>
      <c r="H2793" s="189"/>
    </row>
    <row r="2794" spans="2:8" ht="14.25" x14ac:dyDescent="0.2">
      <c r="B2794" s="193" t="s">
        <v>594</v>
      </c>
      <c r="C2794" s="194" t="s">
        <v>577</v>
      </c>
      <c r="D2794" s="132"/>
      <c r="E2794" s="188"/>
      <c r="F2794" s="188"/>
      <c r="G2794" s="195" t="s">
        <v>1696</v>
      </c>
      <c r="H2794" s="189" t="s">
        <v>1506</v>
      </c>
    </row>
    <row r="2795" spans="2:8" ht="14.25" x14ac:dyDescent="0.2">
      <c r="B2795" s="196" t="s">
        <v>964</v>
      </c>
      <c r="C2795" s="194" t="s">
        <v>578</v>
      </c>
      <c r="D2795" s="132"/>
      <c r="E2795" s="132"/>
      <c r="F2795" s="132"/>
      <c r="G2795" s="132"/>
      <c r="H2795" s="132"/>
    </row>
    <row r="2796" spans="2:8" ht="15" thickBot="1" x14ac:dyDescent="0.25">
      <c r="B2796" s="187"/>
      <c r="C2796" s="187"/>
      <c r="D2796" s="189"/>
      <c r="E2796" s="189"/>
      <c r="F2796" s="189"/>
      <c r="G2796" s="189"/>
      <c r="H2796" s="189"/>
    </row>
    <row r="2797" spans="2:8" ht="13.5" thickBot="1" x14ac:dyDescent="0.25">
      <c r="B2797" s="264" t="s">
        <v>1695</v>
      </c>
      <c r="C2797" s="265"/>
      <c r="D2797" s="266"/>
      <c r="E2797" s="265"/>
      <c r="F2797" s="265"/>
      <c r="G2797" s="265"/>
      <c r="H2797" s="267"/>
    </row>
    <row r="2798" spans="2:8" ht="25.5" x14ac:dyDescent="0.2">
      <c r="B2798" s="197" t="s">
        <v>1409</v>
      </c>
      <c r="C2798" s="268"/>
      <c r="D2798" s="269" t="s">
        <v>966</v>
      </c>
      <c r="E2798" s="270" t="s">
        <v>1694</v>
      </c>
      <c r="F2798" s="270" t="s">
        <v>1693</v>
      </c>
      <c r="G2798" s="201" t="s">
        <v>1687</v>
      </c>
      <c r="H2798" s="271" t="s">
        <v>967</v>
      </c>
    </row>
    <row r="2799" spans="2:8" x14ac:dyDescent="0.2">
      <c r="B2799" s="208" t="s">
        <v>1468</v>
      </c>
      <c r="C2799" s="209"/>
      <c r="D2799" s="210">
        <v>1</v>
      </c>
      <c r="E2799" s="211">
        <v>2.5</v>
      </c>
      <c r="F2799" s="211">
        <f>D2799*E2799</f>
        <v>2.5</v>
      </c>
      <c r="G2799" s="212">
        <v>3</v>
      </c>
      <c r="H2799" s="213">
        <f>F2799*G2799</f>
        <v>7.5</v>
      </c>
    </row>
    <row r="2800" spans="2:8" x14ac:dyDescent="0.2">
      <c r="B2800" s="214" t="s">
        <v>1682</v>
      </c>
      <c r="C2800" s="132"/>
      <c r="D2800" s="215"/>
      <c r="E2800" s="216" t="s">
        <v>1682</v>
      </c>
      <c r="F2800" s="216" t="s">
        <v>1682</v>
      </c>
      <c r="G2800" s="217"/>
      <c r="H2800" s="218" t="s">
        <v>1682</v>
      </c>
    </row>
    <row r="2801" spans="2:8" x14ac:dyDescent="0.2">
      <c r="B2801" s="219" t="s">
        <v>1682</v>
      </c>
      <c r="C2801" s="220"/>
      <c r="D2801" s="221"/>
      <c r="E2801" s="222" t="s">
        <v>1682</v>
      </c>
      <c r="F2801" s="222" t="s">
        <v>1682</v>
      </c>
      <c r="G2801" s="223"/>
      <c r="H2801" s="224" t="s">
        <v>1682</v>
      </c>
    </row>
    <row r="2802" spans="2:8" x14ac:dyDescent="0.2">
      <c r="B2802" s="219" t="s">
        <v>968</v>
      </c>
      <c r="C2802" s="220"/>
      <c r="D2802" s="225"/>
      <c r="E2802" s="220"/>
      <c r="F2802" s="220"/>
      <c r="G2802" s="226"/>
      <c r="H2802" s="224">
        <f>SUM(H2799:H2801)</f>
        <v>7.5</v>
      </c>
    </row>
    <row r="2803" spans="2:8" x14ac:dyDescent="0.2">
      <c r="B2803" s="227" t="s">
        <v>1503</v>
      </c>
      <c r="C2803" s="132"/>
      <c r="D2803" s="188"/>
      <c r="E2803" s="132"/>
      <c r="F2803" s="132"/>
      <c r="G2803" s="228"/>
      <c r="H2803" s="218"/>
    </row>
    <row r="2804" spans="2:8" ht="25.5" x14ac:dyDescent="0.2">
      <c r="B2804" s="229" t="s">
        <v>1691</v>
      </c>
      <c r="C2804" s="230"/>
      <c r="D2804" s="231" t="s">
        <v>969</v>
      </c>
      <c r="E2804" s="232" t="s">
        <v>1689</v>
      </c>
      <c r="F2804" s="232" t="s">
        <v>1688</v>
      </c>
      <c r="G2804" s="233" t="s">
        <v>1687</v>
      </c>
      <c r="H2804" s="234" t="s">
        <v>1686</v>
      </c>
    </row>
    <row r="2805" spans="2:8" x14ac:dyDescent="0.2">
      <c r="B2805" s="235" t="s">
        <v>243</v>
      </c>
      <c r="C2805" s="132"/>
      <c r="D2805" s="236">
        <v>1</v>
      </c>
      <c r="E2805" s="237">
        <v>2.13</v>
      </c>
      <c r="F2805" s="216">
        <f>D2805*E2805</f>
        <v>2.13</v>
      </c>
      <c r="G2805" s="217">
        <v>81.42</v>
      </c>
      <c r="H2805" s="218">
        <f>F2805*G2805</f>
        <v>173.4246</v>
      </c>
    </row>
    <row r="2806" spans="2:8" x14ac:dyDescent="0.2">
      <c r="B2806" s="235" t="s">
        <v>1488</v>
      </c>
      <c r="C2806" s="132"/>
      <c r="D2806" s="236">
        <v>2</v>
      </c>
      <c r="E2806" s="237">
        <v>2.13</v>
      </c>
      <c r="F2806" s="216">
        <f>D2806*E2806</f>
        <v>4.26</v>
      </c>
      <c r="G2806" s="217">
        <v>26.43</v>
      </c>
      <c r="H2806" s="218">
        <f>F2806*G2806</f>
        <v>112.59179999999999</v>
      </c>
    </row>
    <row r="2807" spans="2:8" x14ac:dyDescent="0.2">
      <c r="B2807" s="235" t="s">
        <v>590</v>
      </c>
      <c r="C2807" s="132"/>
      <c r="D2807" s="236">
        <v>2</v>
      </c>
      <c r="E2807" s="237">
        <v>2.13</v>
      </c>
      <c r="F2807" s="216">
        <f>D2807*E2807</f>
        <v>4.26</v>
      </c>
      <c r="G2807" s="217">
        <v>19.02</v>
      </c>
      <c r="H2807" s="218">
        <f>F2807*G2807</f>
        <v>81.025199999999998</v>
      </c>
    </row>
    <row r="2808" spans="2:8" x14ac:dyDescent="0.2">
      <c r="B2808" s="235"/>
      <c r="C2808" s="132"/>
      <c r="D2808" s="236"/>
      <c r="E2808" s="237"/>
      <c r="F2808" s="216"/>
      <c r="G2808" s="217"/>
      <c r="H2808" s="218"/>
    </row>
    <row r="2809" spans="2:8" x14ac:dyDescent="0.2">
      <c r="B2809" s="219" t="s">
        <v>1682</v>
      </c>
      <c r="C2809" s="220"/>
      <c r="D2809" s="221"/>
      <c r="E2809" s="222" t="s">
        <v>1682</v>
      </c>
      <c r="F2809" s="222" t="s">
        <v>1682</v>
      </c>
      <c r="G2809" s="223"/>
      <c r="H2809" s="224" t="s">
        <v>1682</v>
      </c>
    </row>
    <row r="2810" spans="2:8" x14ac:dyDescent="0.2">
      <c r="B2810" s="238" t="s">
        <v>1681</v>
      </c>
      <c r="C2810" s="239"/>
      <c r="D2810" s="240"/>
      <c r="E2810" s="239"/>
      <c r="F2810" s="239"/>
      <c r="G2810" s="239"/>
      <c r="H2810" s="241">
        <f>SUM(H2805:H2809)</f>
        <v>367.04159999999996</v>
      </c>
    </row>
    <row r="2811" spans="2:8" x14ac:dyDescent="0.2">
      <c r="B2811" s="227" t="s">
        <v>1684</v>
      </c>
      <c r="C2811" s="132"/>
      <c r="D2811" s="188"/>
      <c r="E2811" s="132"/>
      <c r="F2811" s="132"/>
      <c r="G2811" s="132"/>
      <c r="H2811" s="218"/>
    </row>
    <row r="2812" spans="2:8" ht="25.5" x14ac:dyDescent="0.2">
      <c r="B2812" s="229" t="s">
        <v>1409</v>
      </c>
      <c r="C2812" s="242"/>
      <c r="D2812" s="243"/>
      <c r="E2812" s="232" t="s">
        <v>1408</v>
      </c>
      <c r="F2812" s="231" t="s">
        <v>1679</v>
      </c>
      <c r="G2812" s="232" t="s">
        <v>1683</v>
      </c>
      <c r="H2812" s="234" t="s">
        <v>1675</v>
      </c>
    </row>
    <row r="2813" spans="2:8" x14ac:dyDescent="0.2">
      <c r="B2813" s="244" t="s">
        <v>576</v>
      </c>
      <c r="C2813" s="132"/>
      <c r="D2813" s="188"/>
      <c r="E2813" s="215" t="s">
        <v>1506</v>
      </c>
      <c r="F2813" s="215">
        <v>47</v>
      </c>
      <c r="G2813" s="216">
        <v>2.19</v>
      </c>
      <c r="H2813" s="218">
        <f>F2813*G2813</f>
        <v>102.92999999999999</v>
      </c>
    </row>
    <row r="2814" spans="2:8" x14ac:dyDescent="0.2">
      <c r="B2814" s="244" t="s">
        <v>579</v>
      </c>
      <c r="C2814" s="132"/>
      <c r="D2814" s="188"/>
      <c r="E2814" s="215" t="s">
        <v>1506</v>
      </c>
      <c r="F2814" s="215">
        <v>27</v>
      </c>
      <c r="G2814" s="216">
        <v>1.41</v>
      </c>
      <c r="H2814" s="218">
        <f>F2814*G2814</f>
        <v>38.07</v>
      </c>
    </row>
    <row r="2815" spans="2:8" x14ac:dyDescent="0.2">
      <c r="B2815" s="214" t="s">
        <v>476</v>
      </c>
      <c r="C2815" s="132"/>
      <c r="D2815" s="188"/>
      <c r="E2815" s="215" t="s">
        <v>1708</v>
      </c>
      <c r="F2815" s="215">
        <v>300</v>
      </c>
      <c r="G2815" s="216">
        <v>0.62</v>
      </c>
      <c r="H2815" s="218">
        <f>F2815*G2815</f>
        <v>186</v>
      </c>
    </row>
    <row r="2816" spans="2:8" x14ac:dyDescent="0.2">
      <c r="B2816" s="214" t="s">
        <v>468</v>
      </c>
      <c r="C2816" s="132"/>
      <c r="D2816" s="188"/>
      <c r="E2816" s="215" t="s">
        <v>1708</v>
      </c>
      <c r="F2816" s="215">
        <v>310</v>
      </c>
      <c r="G2816" s="216">
        <v>0.4</v>
      </c>
      <c r="H2816" s="218">
        <f>F2816*G2816</f>
        <v>124</v>
      </c>
    </row>
    <row r="2817" spans="2:8" x14ac:dyDescent="0.2">
      <c r="B2817" s="214" t="s">
        <v>481</v>
      </c>
      <c r="C2817" s="132"/>
      <c r="D2817" s="188"/>
      <c r="E2817" s="215" t="s">
        <v>1708</v>
      </c>
      <c r="F2817" s="215">
        <v>90</v>
      </c>
      <c r="G2817" s="216">
        <v>0.25</v>
      </c>
      <c r="H2817" s="218">
        <f>F2817*G2817</f>
        <v>22.5</v>
      </c>
    </row>
    <row r="2818" spans="2:8" x14ac:dyDescent="0.2">
      <c r="B2818" s="214"/>
      <c r="C2818" s="132"/>
      <c r="D2818" s="188"/>
      <c r="E2818" s="215"/>
      <c r="F2818" s="215"/>
      <c r="G2818" s="216"/>
      <c r="H2818" s="218"/>
    </row>
    <row r="2819" spans="2:8" x14ac:dyDescent="0.2">
      <c r="B2819" s="214" t="s">
        <v>1682</v>
      </c>
      <c r="C2819" s="132"/>
      <c r="D2819" s="245" t="s">
        <v>1682</v>
      </c>
      <c r="E2819" s="272" t="s">
        <v>1682</v>
      </c>
      <c r="F2819" s="215" t="s">
        <v>1682</v>
      </c>
      <c r="G2819" s="216" t="s">
        <v>1682</v>
      </c>
      <c r="H2819" s="218" t="s">
        <v>1682</v>
      </c>
    </row>
    <row r="2820" spans="2:8" x14ac:dyDescent="0.2">
      <c r="B2820" s="238" t="s">
        <v>1692</v>
      </c>
      <c r="C2820" s="239"/>
      <c r="D2820" s="240"/>
      <c r="E2820" s="240"/>
      <c r="F2820" s="240"/>
      <c r="G2820" s="239"/>
      <c r="H2820" s="241">
        <f>SUM(H2813:H2819)</f>
        <v>473.5</v>
      </c>
    </row>
    <row r="2821" spans="2:8" x14ac:dyDescent="0.2">
      <c r="B2821" s="227" t="s">
        <v>1680</v>
      </c>
      <c r="C2821" s="132"/>
      <c r="D2821" s="188"/>
      <c r="E2821" s="132"/>
      <c r="F2821" s="188"/>
      <c r="G2821" s="132"/>
      <c r="H2821" s="218"/>
    </row>
    <row r="2822" spans="2:8" ht="25.5" x14ac:dyDescent="0.2">
      <c r="B2822" s="229" t="s">
        <v>1409</v>
      </c>
      <c r="C2822" s="242"/>
      <c r="D2822" s="243"/>
      <c r="E2822" s="232" t="s">
        <v>1408</v>
      </c>
      <c r="F2822" s="231" t="s">
        <v>1679</v>
      </c>
      <c r="G2822" s="232" t="s">
        <v>1676</v>
      </c>
      <c r="H2822" s="234" t="s">
        <v>1675</v>
      </c>
    </row>
    <row r="2823" spans="2:8" x14ac:dyDescent="0.2">
      <c r="B2823" s="208" t="s">
        <v>975</v>
      </c>
      <c r="C2823" s="209"/>
      <c r="D2823" s="246"/>
      <c r="E2823" s="215" t="s">
        <v>976</v>
      </c>
      <c r="F2823" s="215">
        <v>2</v>
      </c>
      <c r="G2823" s="247">
        <v>5</v>
      </c>
      <c r="H2823" s="218">
        <f>F2823*G2823</f>
        <v>10</v>
      </c>
    </row>
    <row r="2824" spans="2:8" x14ac:dyDescent="0.2">
      <c r="B2824" s="214"/>
      <c r="C2824" s="132"/>
      <c r="D2824" s="248"/>
      <c r="E2824" s="215"/>
      <c r="F2824" s="215"/>
      <c r="G2824" s="247"/>
      <c r="H2824" s="218"/>
    </row>
    <row r="2825" spans="2:8" x14ac:dyDescent="0.2">
      <c r="B2825" s="219" t="s">
        <v>1682</v>
      </c>
      <c r="C2825" s="220"/>
      <c r="D2825" s="249"/>
      <c r="E2825" s="221" t="s">
        <v>1682</v>
      </c>
      <c r="F2825" s="221"/>
      <c r="G2825" s="222" t="s">
        <v>1682</v>
      </c>
      <c r="H2825" s="224"/>
    </row>
    <row r="2826" spans="2:8" ht="13.5" thickBot="1" x14ac:dyDescent="0.25">
      <c r="B2826" s="250" t="s">
        <v>977</v>
      </c>
      <c r="C2826" s="251"/>
      <c r="D2826" s="252"/>
      <c r="E2826" s="252"/>
      <c r="F2826" s="252"/>
      <c r="G2826" s="251"/>
      <c r="H2826" s="253">
        <f>SUM(H2823:H2825)</f>
        <v>10</v>
      </c>
    </row>
    <row r="2827" spans="2:8" x14ac:dyDescent="0.2">
      <c r="B2827" s="132"/>
      <c r="C2827" s="132"/>
      <c r="D2827" s="254"/>
      <c r="E2827" s="198"/>
      <c r="F2827" s="198"/>
      <c r="G2827" s="255" t="s">
        <v>978</v>
      </c>
      <c r="H2827" s="256">
        <f>H2802+H2810+H2820+H2826</f>
        <v>858.04160000000002</v>
      </c>
    </row>
    <row r="2828" spans="2:8" x14ac:dyDescent="0.2">
      <c r="B2828" s="132"/>
      <c r="C2828" s="132"/>
      <c r="D2828" s="257"/>
      <c r="E2828" s="239"/>
      <c r="F2828" s="239"/>
      <c r="G2828" s="258" t="s">
        <v>979</v>
      </c>
      <c r="H2828" s="241"/>
    </row>
    <row r="2829" spans="2:8" x14ac:dyDescent="0.2">
      <c r="B2829" s="132"/>
      <c r="C2829" s="132"/>
      <c r="D2829" s="257"/>
      <c r="E2829" s="239"/>
      <c r="F2829" s="239"/>
      <c r="G2829" s="258" t="s">
        <v>980</v>
      </c>
      <c r="H2829" s="241"/>
    </row>
    <row r="2830" spans="2:8" x14ac:dyDescent="0.2">
      <c r="B2830" s="132"/>
      <c r="C2830" s="132"/>
      <c r="D2830" s="257"/>
      <c r="E2830" s="239"/>
      <c r="F2830" s="239"/>
      <c r="G2830" s="259" t="s">
        <v>1670</v>
      </c>
      <c r="H2830" s="260"/>
    </row>
    <row r="2831" spans="2:8" ht="13.5" thickBot="1" x14ac:dyDescent="0.25">
      <c r="B2831" s="193"/>
      <c r="C2831" s="132"/>
      <c r="D2831" s="261"/>
      <c r="E2831" s="251"/>
      <c r="F2831" s="251"/>
      <c r="G2831" s="262" t="s">
        <v>1650</v>
      </c>
      <c r="H2831" s="263"/>
    </row>
  </sheetData>
  <mergeCells count="13">
    <mergeCell ref="B163:D163"/>
    <mergeCell ref="B803:D803"/>
    <mergeCell ref="B755:D755"/>
    <mergeCell ref="B757:D757"/>
    <mergeCell ref="B805:D805"/>
    <mergeCell ref="E221:E222"/>
    <mergeCell ref="F221:F222"/>
    <mergeCell ref="E270:E271"/>
    <mergeCell ref="F270:F271"/>
    <mergeCell ref="B903:D903"/>
    <mergeCell ref="B851:D851"/>
    <mergeCell ref="B854:D854"/>
    <mergeCell ref="B900:D900"/>
  </mergeCells>
  <phoneticPr fontId="2" type="noConversion"/>
  <pageMargins left="0.75" right="0.75" top="1" bottom="1" header="0" footer="0"/>
  <pageSetup paperSize="9" scale="83" orientation="portrait" r:id="rId1"/>
  <headerFooter alignWithMargins="0"/>
  <rowBreaks count="60" manualBreakCount="60">
    <brk id="53" min="1" max="7" man="1"/>
    <brk id="94" min="1" max="7" man="1"/>
    <brk id="138" min="1" max="7" man="1"/>
    <brk id="192" min="1" max="7" man="1"/>
    <brk id="245" min="1" max="7" man="1"/>
    <brk id="333" min="1" max="7" man="1"/>
    <brk id="375" min="1" max="7" man="1"/>
    <brk id="415" min="1" max="7" man="1"/>
    <brk id="455" min="1" max="7" man="1"/>
    <brk id="502" min="1" max="7" man="1"/>
    <brk id="544" min="1" max="7" man="1"/>
    <brk id="588" min="1" max="7" man="1"/>
    <brk id="632" min="1" max="7" man="1"/>
    <brk id="676" min="1" max="7" man="1"/>
    <brk id="723" min="1" max="7" man="1"/>
    <brk id="771" min="1" max="7" man="1"/>
    <brk id="819" min="1" max="7" man="1"/>
    <brk id="868" min="1" max="7" man="1"/>
    <brk id="918" min="1" max="7" man="1"/>
    <brk id="962" min="1" max="7" man="1"/>
    <brk id="1005" min="1" max="7" man="1"/>
    <brk id="1048" min="1" max="7" man="1"/>
    <brk id="1091" min="1" max="7" man="1"/>
    <brk id="1133" min="1" max="7" man="1"/>
    <brk id="1175" min="1" max="7" man="1"/>
    <brk id="1218" min="1" max="7" man="1"/>
    <brk id="1258" min="1" max="7" man="1"/>
    <brk id="1301" min="1" max="7" man="1"/>
    <brk id="1343" min="1" max="7" man="1"/>
    <brk id="1385" min="1" max="7" man="1"/>
    <brk id="1428" min="1" max="7" man="1"/>
    <brk id="1470" min="1" max="7" man="1"/>
    <brk id="1513" min="1" max="7" man="1"/>
    <brk id="1556" min="1" max="7" man="1"/>
    <brk id="1599" min="1" max="7" man="1"/>
    <brk id="1642" min="1" max="7" man="1"/>
    <brk id="1685" min="1" max="7" man="1"/>
    <brk id="1728" min="1" max="7" man="1"/>
    <brk id="1770" min="1" max="7" man="1"/>
    <brk id="1813" min="1" max="7" man="1"/>
    <brk id="1855" min="1" max="7" man="1"/>
    <brk id="1903" min="1" max="7" man="1"/>
    <brk id="1949" min="1" max="7" man="1"/>
    <brk id="2137" min="1" max="7" man="1"/>
    <brk id="2177" min="1" max="7" man="1"/>
    <brk id="2217" min="1" max="7" man="1"/>
    <brk id="2258" min="1" max="7" man="1"/>
    <brk id="2297" min="1" max="7" man="1"/>
    <brk id="2337" min="1" max="7" man="1"/>
    <brk id="2377" min="1" max="7" man="1"/>
    <brk id="2418" min="1" max="7" man="1"/>
    <brk id="2459" min="1" max="7" man="1"/>
    <brk id="2499" min="1" max="7" man="1"/>
    <brk id="2541" min="1" max="7" man="1"/>
    <brk id="2581" min="1" max="7" man="1"/>
    <brk id="2622" min="1" max="7" man="1"/>
    <brk id="2662" min="1" max="7" man="1"/>
    <brk id="2703" min="1" max="7" man="1"/>
    <brk id="2745" min="1" max="7" man="1"/>
    <brk id="2788" min="1" max="7" man="1"/>
  </row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CC665-CCCD-4B61-B7FC-2F2046845B87}">
  <sheetPr codeName="Hoja28"/>
  <dimension ref="A1:G686"/>
  <sheetViews>
    <sheetView topLeftCell="A97" workbookViewId="0">
      <selection activeCell="E28" sqref="E28"/>
    </sheetView>
  </sheetViews>
  <sheetFormatPr baseColWidth="10" defaultColWidth="11.42578125" defaultRowHeight="12.75" x14ac:dyDescent="0.2"/>
  <cols>
    <col min="2" max="2" width="25.42578125" customWidth="1"/>
    <col min="3" max="7" width="13.42578125" customWidth="1"/>
  </cols>
  <sheetData>
    <row r="1" spans="1:7" ht="15.75" x14ac:dyDescent="0.2">
      <c r="A1" s="186" t="s">
        <v>1701</v>
      </c>
      <c r="B1" s="132"/>
      <c r="C1" s="187" t="s">
        <v>742</v>
      </c>
      <c r="D1" s="132"/>
      <c r="E1" s="132"/>
      <c r="F1" s="188"/>
      <c r="G1" s="132"/>
    </row>
    <row r="2" spans="1:7" ht="15.75" x14ac:dyDescent="0.2">
      <c r="A2" s="186" t="s">
        <v>1700</v>
      </c>
      <c r="B2" s="189" t="s">
        <v>963</v>
      </c>
      <c r="C2" s="188"/>
      <c r="D2" s="132"/>
      <c r="E2" s="132"/>
      <c r="F2" s="190"/>
      <c r="G2" s="191"/>
    </row>
    <row r="3" spans="1:7" ht="14.25" x14ac:dyDescent="0.2">
      <c r="A3" s="189"/>
      <c r="B3" s="189"/>
      <c r="C3" s="187"/>
      <c r="D3" s="189"/>
      <c r="E3" s="189"/>
      <c r="F3" s="189"/>
      <c r="G3" s="189"/>
    </row>
    <row r="4" spans="1:7" ht="15.75" x14ac:dyDescent="0.2">
      <c r="A4" s="186" t="s">
        <v>1697</v>
      </c>
      <c r="B4" s="189"/>
      <c r="C4" s="188"/>
      <c r="D4" s="132"/>
      <c r="E4" s="132"/>
      <c r="F4" s="132"/>
      <c r="G4" s="132"/>
    </row>
    <row r="5" spans="1:7" ht="15" x14ac:dyDescent="0.2">
      <c r="A5" s="192"/>
      <c r="B5" s="189"/>
      <c r="C5" s="187"/>
      <c r="D5" s="189"/>
      <c r="E5" s="189"/>
      <c r="F5" s="189"/>
      <c r="G5" s="189"/>
    </row>
    <row r="6" spans="1:7" ht="14.25" x14ac:dyDescent="0.2">
      <c r="A6" s="193" t="s">
        <v>594</v>
      </c>
      <c r="B6" s="194">
        <v>1</v>
      </c>
      <c r="C6" s="188"/>
      <c r="D6" s="188"/>
      <c r="E6" s="188"/>
      <c r="F6" s="195" t="s">
        <v>1696</v>
      </c>
      <c r="G6" s="189" t="s">
        <v>1708</v>
      </c>
    </row>
    <row r="7" spans="1:7" ht="14.25" x14ac:dyDescent="0.2">
      <c r="A7" s="196" t="s">
        <v>964</v>
      </c>
      <c r="B7" s="194" t="s">
        <v>965</v>
      </c>
      <c r="C7" s="188"/>
      <c r="D7" s="132"/>
      <c r="E7" s="132"/>
      <c r="F7" s="132"/>
      <c r="G7" s="132"/>
    </row>
    <row r="8" spans="1:7" ht="15" thickBot="1" x14ac:dyDescent="0.25">
      <c r="A8" s="187"/>
      <c r="B8" s="187"/>
      <c r="C8" s="187"/>
      <c r="D8" s="189"/>
      <c r="E8" s="189"/>
      <c r="F8" s="189"/>
      <c r="G8" s="189"/>
    </row>
    <row r="9" spans="1:7" x14ac:dyDescent="0.2">
      <c r="A9" s="197" t="s">
        <v>1695</v>
      </c>
      <c r="B9" s="198"/>
      <c r="C9" s="199"/>
      <c r="D9" s="198"/>
      <c r="E9" s="198"/>
      <c r="F9" s="198"/>
      <c r="G9" s="200"/>
    </row>
    <row r="10" spans="1:7" ht="25.5" x14ac:dyDescent="0.2">
      <c r="A10" s="202" t="s">
        <v>1409</v>
      </c>
      <c r="B10" s="203"/>
      <c r="C10" s="204" t="s">
        <v>966</v>
      </c>
      <c r="D10" s="205" t="s">
        <v>1694</v>
      </c>
      <c r="E10" s="205" t="s">
        <v>1693</v>
      </c>
      <c r="F10" s="206" t="s">
        <v>1687</v>
      </c>
      <c r="G10" s="207" t="s">
        <v>967</v>
      </c>
    </row>
    <row r="11" spans="1:7" x14ac:dyDescent="0.2">
      <c r="A11" s="208" t="s">
        <v>1468</v>
      </c>
      <c r="B11" s="209"/>
      <c r="C11" s="210">
        <v>1</v>
      </c>
      <c r="D11" s="211">
        <v>3.5</v>
      </c>
      <c r="E11" s="211">
        <f>C11*D11</f>
        <v>3.5</v>
      </c>
      <c r="F11" s="212">
        <v>0.62</v>
      </c>
      <c r="G11" s="213">
        <f>E11*F11</f>
        <v>2.17</v>
      </c>
    </row>
    <row r="12" spans="1:7" x14ac:dyDescent="0.2">
      <c r="A12" s="214"/>
      <c r="B12" s="132"/>
      <c r="C12" s="215"/>
      <c r="D12" s="216"/>
      <c r="E12" s="216"/>
      <c r="F12" s="217"/>
      <c r="G12" s="218"/>
    </row>
    <row r="13" spans="1:7" x14ac:dyDescent="0.2">
      <c r="A13" s="219" t="s">
        <v>1682</v>
      </c>
      <c r="B13" s="220"/>
      <c r="C13" s="221"/>
      <c r="D13" s="222" t="s">
        <v>1682</v>
      </c>
      <c r="E13" s="222" t="s">
        <v>1682</v>
      </c>
      <c r="F13" s="223"/>
      <c r="G13" s="224" t="s">
        <v>1682</v>
      </c>
    </row>
    <row r="14" spans="1:7" x14ac:dyDescent="0.2">
      <c r="A14" s="219" t="s">
        <v>968</v>
      </c>
      <c r="B14" s="220"/>
      <c r="C14" s="225"/>
      <c r="D14" s="220"/>
      <c r="E14" s="220"/>
      <c r="F14" s="226"/>
      <c r="G14" s="224">
        <f>SUM(G11:G13)</f>
        <v>2.17</v>
      </c>
    </row>
    <row r="15" spans="1:7" x14ac:dyDescent="0.2">
      <c r="A15" s="227" t="s">
        <v>1503</v>
      </c>
      <c r="B15" s="132"/>
      <c r="C15" s="188"/>
      <c r="D15" s="132"/>
      <c r="E15" s="132"/>
      <c r="F15" s="228"/>
      <c r="G15" s="218"/>
    </row>
    <row r="16" spans="1:7" ht="25.5" x14ac:dyDescent="0.2">
      <c r="A16" s="229" t="s">
        <v>1691</v>
      </c>
      <c r="B16" s="230"/>
      <c r="C16" s="231" t="s">
        <v>969</v>
      </c>
      <c r="D16" s="232" t="s">
        <v>1689</v>
      </c>
      <c r="E16" s="232" t="s">
        <v>1688</v>
      </c>
      <c r="F16" s="233" t="s">
        <v>1687</v>
      </c>
      <c r="G16" s="234" t="s">
        <v>1686</v>
      </c>
    </row>
    <row r="17" spans="1:7" x14ac:dyDescent="0.2">
      <c r="A17" s="235" t="s">
        <v>970</v>
      </c>
      <c r="B17" s="132"/>
      <c r="C17" s="236">
        <v>1</v>
      </c>
      <c r="D17" s="237">
        <v>2.13</v>
      </c>
      <c r="E17" s="216">
        <v>2.13</v>
      </c>
      <c r="F17" s="217">
        <v>1.04</v>
      </c>
      <c r="G17" s="218">
        <v>2.2200000000000002</v>
      </c>
    </row>
    <row r="18" spans="1:7" x14ac:dyDescent="0.2">
      <c r="A18" s="235" t="s">
        <v>971</v>
      </c>
      <c r="B18" s="132"/>
      <c r="C18" s="236">
        <v>1</v>
      </c>
      <c r="D18" s="237">
        <v>2.13</v>
      </c>
      <c r="E18" s="216">
        <f>C18*D18</f>
        <v>2.13</v>
      </c>
      <c r="F18" s="217">
        <v>0.77</v>
      </c>
      <c r="G18" s="218">
        <v>1.64</v>
      </c>
    </row>
    <row r="19" spans="1:7" x14ac:dyDescent="0.2">
      <c r="A19" s="235" t="s">
        <v>590</v>
      </c>
      <c r="B19" s="132"/>
      <c r="C19" s="236">
        <v>1</v>
      </c>
      <c r="D19" s="237">
        <v>2.13</v>
      </c>
      <c r="E19" s="216">
        <f>C19*D19</f>
        <v>2.13</v>
      </c>
      <c r="F19" s="217">
        <v>0.55000000000000004</v>
      </c>
      <c r="G19" s="218">
        <v>1.17</v>
      </c>
    </row>
    <row r="20" spans="1:7" x14ac:dyDescent="0.2">
      <c r="A20" s="235"/>
      <c r="B20" s="132"/>
      <c r="C20" s="236"/>
      <c r="D20" s="237"/>
      <c r="E20" s="216"/>
      <c r="F20" s="217"/>
      <c r="G20" s="218"/>
    </row>
    <row r="21" spans="1:7" x14ac:dyDescent="0.2">
      <c r="A21" s="219" t="s">
        <v>1682</v>
      </c>
      <c r="B21" s="220"/>
      <c r="C21" s="221"/>
      <c r="D21" s="222" t="s">
        <v>1682</v>
      </c>
      <c r="E21" s="222" t="s">
        <v>1682</v>
      </c>
      <c r="F21" s="223"/>
      <c r="G21" s="224" t="s">
        <v>1682</v>
      </c>
    </row>
    <row r="22" spans="1:7" x14ac:dyDescent="0.2">
      <c r="A22" s="238" t="s">
        <v>1681</v>
      </c>
      <c r="B22" s="239"/>
      <c r="C22" s="240"/>
      <c r="D22" s="239"/>
      <c r="E22" s="239"/>
      <c r="F22" s="239"/>
      <c r="G22" s="241">
        <f>SUM(G17:G21)</f>
        <v>5.03</v>
      </c>
    </row>
    <row r="23" spans="1:7" x14ac:dyDescent="0.2">
      <c r="A23" s="227" t="s">
        <v>1684</v>
      </c>
      <c r="B23" s="132"/>
      <c r="C23" s="188"/>
      <c r="D23" s="132"/>
      <c r="E23" s="132"/>
      <c r="F23" s="132"/>
      <c r="G23" s="218"/>
    </row>
    <row r="24" spans="1:7" ht="25.5" x14ac:dyDescent="0.2">
      <c r="A24" s="229" t="s">
        <v>1409</v>
      </c>
      <c r="B24" s="242"/>
      <c r="C24" s="243"/>
      <c r="D24" s="232" t="s">
        <v>1408</v>
      </c>
      <c r="E24" s="231" t="s">
        <v>1679</v>
      </c>
      <c r="F24" s="232" t="s">
        <v>1683</v>
      </c>
      <c r="G24" s="234" t="s">
        <v>1675</v>
      </c>
    </row>
    <row r="25" spans="1:7" x14ac:dyDescent="0.2">
      <c r="A25" s="244" t="s">
        <v>972</v>
      </c>
      <c r="B25" s="132"/>
      <c r="C25" s="188"/>
      <c r="D25" s="215" t="s">
        <v>1708</v>
      </c>
      <c r="E25" s="215">
        <v>2</v>
      </c>
      <c r="F25" s="216">
        <v>4.17</v>
      </c>
      <c r="G25" s="218">
        <f>E25*F25</f>
        <v>8.34</v>
      </c>
    </row>
    <row r="26" spans="1:7" x14ac:dyDescent="0.2">
      <c r="A26" s="244" t="s">
        <v>973</v>
      </c>
      <c r="B26" s="132"/>
      <c r="C26" s="188"/>
      <c r="D26" s="215" t="s">
        <v>1506</v>
      </c>
      <c r="E26" s="215">
        <v>0.15</v>
      </c>
      <c r="F26" s="216">
        <v>7.9</v>
      </c>
      <c r="G26" s="218">
        <f>E26*F26</f>
        <v>1.1850000000000001</v>
      </c>
    </row>
    <row r="27" spans="1:7" x14ac:dyDescent="0.2">
      <c r="A27" s="244" t="s">
        <v>974</v>
      </c>
      <c r="B27" s="132"/>
      <c r="C27" s="188"/>
      <c r="D27" s="215" t="s">
        <v>1506</v>
      </c>
      <c r="E27" s="215">
        <v>0</v>
      </c>
      <c r="F27" s="216">
        <v>250</v>
      </c>
      <c r="G27" s="218">
        <f>E27*F27</f>
        <v>0</v>
      </c>
    </row>
    <row r="28" spans="1:7" x14ac:dyDescent="0.2">
      <c r="A28" s="244" t="s">
        <v>1378</v>
      </c>
      <c r="B28" s="132"/>
      <c r="C28" s="188"/>
      <c r="D28" s="215" t="s">
        <v>1521</v>
      </c>
      <c r="E28" s="215">
        <v>0.16</v>
      </c>
      <c r="F28" s="216">
        <v>11.2</v>
      </c>
      <c r="G28" s="218">
        <f>E28*F28</f>
        <v>1.7919999999999998</v>
      </c>
    </row>
    <row r="29" spans="1:7" x14ac:dyDescent="0.2">
      <c r="A29" s="214"/>
      <c r="B29" s="132"/>
      <c r="C29" s="245"/>
      <c r="D29" s="215"/>
      <c r="E29" s="215"/>
      <c r="F29" s="216"/>
      <c r="G29" s="218"/>
    </row>
    <row r="30" spans="1:7" x14ac:dyDescent="0.2">
      <c r="A30" s="214"/>
      <c r="B30" s="132"/>
      <c r="C30" s="245"/>
      <c r="D30" s="215"/>
      <c r="E30" s="215"/>
      <c r="F30" s="216"/>
      <c r="G30" s="218"/>
    </row>
    <row r="31" spans="1:7" x14ac:dyDescent="0.2">
      <c r="A31" s="238" t="s">
        <v>1692</v>
      </c>
      <c r="B31" s="239"/>
      <c r="C31" s="240"/>
      <c r="D31" s="240"/>
      <c r="E31" s="240"/>
      <c r="F31" s="239"/>
      <c r="G31" s="241">
        <f>SUM(G25:G30)</f>
        <v>11.317</v>
      </c>
    </row>
    <row r="32" spans="1:7" x14ac:dyDescent="0.2">
      <c r="A32" s="227" t="s">
        <v>1680</v>
      </c>
      <c r="B32" s="132"/>
      <c r="C32" s="188"/>
      <c r="D32" s="132"/>
      <c r="E32" s="188"/>
      <c r="F32" s="132"/>
      <c r="G32" s="218"/>
    </row>
    <row r="33" spans="1:7" ht="25.5" x14ac:dyDescent="0.2">
      <c r="A33" s="229" t="s">
        <v>1409</v>
      </c>
      <c r="B33" s="242"/>
      <c r="C33" s="243"/>
      <c r="D33" s="232" t="s">
        <v>1408</v>
      </c>
      <c r="E33" s="231" t="s">
        <v>1679</v>
      </c>
      <c r="F33" s="232" t="s">
        <v>1676</v>
      </c>
      <c r="G33" s="234" t="s">
        <v>1675</v>
      </c>
    </row>
    <row r="34" spans="1:7" x14ac:dyDescent="0.2">
      <c r="A34" s="208" t="s">
        <v>975</v>
      </c>
      <c r="B34" s="209"/>
      <c r="C34" s="246"/>
      <c r="D34" s="215" t="s">
        <v>976</v>
      </c>
      <c r="E34" s="215">
        <v>0.1</v>
      </c>
      <c r="F34" s="247">
        <v>5</v>
      </c>
      <c r="G34" s="218">
        <f>E34*F34</f>
        <v>0.5</v>
      </c>
    </row>
    <row r="35" spans="1:7" x14ac:dyDescent="0.2">
      <c r="A35" s="214"/>
      <c r="B35" s="132"/>
      <c r="C35" s="248"/>
      <c r="D35" s="215"/>
      <c r="E35" s="215"/>
      <c r="F35" s="247"/>
      <c r="G35" s="218"/>
    </row>
    <row r="36" spans="1:7" x14ac:dyDescent="0.2">
      <c r="A36" s="219" t="s">
        <v>1682</v>
      </c>
      <c r="B36" s="220"/>
      <c r="C36" s="249"/>
      <c r="D36" s="221" t="s">
        <v>1682</v>
      </c>
      <c r="E36" s="221"/>
      <c r="F36" s="222" t="s">
        <v>1682</v>
      </c>
      <c r="G36" s="224" t="s">
        <v>1682</v>
      </c>
    </row>
    <row r="37" spans="1:7" ht="13.5" thickBot="1" x14ac:dyDescent="0.25">
      <c r="A37" s="250" t="s">
        <v>977</v>
      </c>
      <c r="B37" s="251"/>
      <c r="C37" s="252"/>
      <c r="D37" s="252"/>
      <c r="E37" s="252"/>
      <c r="F37" s="251"/>
      <c r="G37" s="253">
        <f>SUM(G34:G36)</f>
        <v>0.5</v>
      </c>
    </row>
    <row r="38" spans="1:7" x14ac:dyDescent="0.2">
      <c r="A38" s="132"/>
      <c r="B38" s="132"/>
      <c r="C38" s="254"/>
      <c r="D38" s="198"/>
      <c r="E38" s="198"/>
      <c r="F38" s="255" t="s">
        <v>978</v>
      </c>
      <c r="G38" s="256">
        <f>G14+G22+G31+G37</f>
        <v>19.016999999999999</v>
      </c>
    </row>
    <row r="39" spans="1:7" x14ac:dyDescent="0.2">
      <c r="A39" s="132"/>
      <c r="B39" s="132"/>
      <c r="C39" s="257"/>
      <c r="D39" s="239"/>
      <c r="E39" s="239"/>
      <c r="F39" s="258" t="s">
        <v>979</v>
      </c>
      <c r="G39" s="241"/>
    </row>
    <row r="40" spans="1:7" x14ac:dyDescent="0.2">
      <c r="A40" s="132"/>
      <c r="B40" s="132"/>
      <c r="C40" s="257"/>
      <c r="D40" s="239"/>
      <c r="E40" s="239"/>
      <c r="F40" s="258" t="s">
        <v>980</v>
      </c>
      <c r="G40" s="241"/>
    </row>
    <row r="41" spans="1:7" x14ac:dyDescent="0.2">
      <c r="A41" s="132"/>
      <c r="B41" s="132"/>
      <c r="C41" s="257"/>
      <c r="D41" s="239"/>
      <c r="E41" s="239"/>
      <c r="F41" s="259" t="s">
        <v>1670</v>
      </c>
      <c r="G41" s="260"/>
    </row>
    <row r="42" spans="1:7" ht="13.5" thickBot="1" x14ac:dyDescent="0.25">
      <c r="A42" s="193"/>
      <c r="B42" s="132"/>
      <c r="C42" s="261"/>
      <c r="D42" s="251"/>
      <c r="E42" s="251"/>
      <c r="F42" s="262" t="s">
        <v>1650</v>
      </c>
      <c r="G42" s="263"/>
    </row>
    <row r="43" spans="1:7" ht="15.75" x14ac:dyDescent="0.2">
      <c r="A43" s="186" t="s">
        <v>1701</v>
      </c>
      <c r="B43" s="132"/>
      <c r="C43" s="187" t="s">
        <v>742</v>
      </c>
      <c r="D43" s="132"/>
      <c r="E43" s="132"/>
      <c r="F43" s="188"/>
      <c r="G43" s="132"/>
    </row>
    <row r="44" spans="1:7" ht="15.75" x14ac:dyDescent="0.2">
      <c r="A44" s="186" t="s">
        <v>1700</v>
      </c>
      <c r="B44" s="189" t="s">
        <v>963</v>
      </c>
      <c r="C44" s="188"/>
      <c r="D44" s="132"/>
      <c r="E44" s="132"/>
      <c r="F44" s="190"/>
      <c r="G44" s="191"/>
    </row>
    <row r="45" spans="1:7" ht="14.25" x14ac:dyDescent="0.2">
      <c r="A45" s="189"/>
      <c r="B45" s="189"/>
      <c r="C45" s="187"/>
      <c r="D45" s="189"/>
      <c r="E45" s="189"/>
      <c r="F45" s="189"/>
      <c r="G45" s="189"/>
    </row>
    <row r="46" spans="1:7" ht="15.75" x14ac:dyDescent="0.2">
      <c r="A46" s="186" t="s">
        <v>1697</v>
      </c>
      <c r="B46" s="189"/>
      <c r="C46" s="188"/>
      <c r="D46" s="132"/>
      <c r="E46" s="132"/>
      <c r="F46" s="132"/>
      <c r="G46" s="132"/>
    </row>
    <row r="47" spans="1:7" ht="15" x14ac:dyDescent="0.2">
      <c r="A47" s="192"/>
      <c r="B47" s="189"/>
      <c r="C47" s="187"/>
      <c r="D47" s="189"/>
      <c r="E47" s="189"/>
      <c r="F47" s="189"/>
      <c r="G47" s="189"/>
    </row>
    <row r="48" spans="1:7" ht="14.25" x14ac:dyDescent="0.2">
      <c r="A48" s="193" t="s">
        <v>594</v>
      </c>
      <c r="B48" s="194">
        <v>2</v>
      </c>
      <c r="C48" s="188"/>
      <c r="D48" s="188"/>
      <c r="E48" s="188"/>
      <c r="F48" s="195" t="s">
        <v>1696</v>
      </c>
      <c r="G48" s="189" t="s">
        <v>1708</v>
      </c>
    </row>
    <row r="49" spans="1:7" ht="14.25" x14ac:dyDescent="0.2">
      <c r="A49" s="196" t="s">
        <v>964</v>
      </c>
      <c r="B49" s="194" t="s">
        <v>965</v>
      </c>
      <c r="C49" s="188"/>
      <c r="D49" s="132"/>
      <c r="E49" s="132"/>
      <c r="F49" s="132"/>
      <c r="G49" s="132"/>
    </row>
    <row r="50" spans="1:7" ht="15" thickBot="1" x14ac:dyDescent="0.25">
      <c r="A50" s="187"/>
      <c r="B50" s="187"/>
      <c r="C50" s="187"/>
      <c r="D50" s="189"/>
      <c r="E50" s="189"/>
      <c r="F50" s="189"/>
      <c r="G50" s="189"/>
    </row>
    <row r="51" spans="1:7" x14ac:dyDescent="0.2">
      <c r="A51" s="197" t="s">
        <v>1695</v>
      </c>
      <c r="B51" s="198"/>
      <c r="C51" s="199"/>
      <c r="D51" s="198"/>
      <c r="E51" s="198"/>
      <c r="F51" s="198"/>
      <c r="G51" s="200"/>
    </row>
    <row r="52" spans="1:7" ht="25.5" x14ac:dyDescent="0.2">
      <c r="A52" s="202" t="s">
        <v>1409</v>
      </c>
      <c r="B52" s="203"/>
      <c r="C52" s="204" t="s">
        <v>966</v>
      </c>
      <c r="D52" s="205" t="s">
        <v>1694</v>
      </c>
      <c r="E52" s="205" t="s">
        <v>1693</v>
      </c>
      <c r="F52" s="206" t="s">
        <v>1687</v>
      </c>
      <c r="G52" s="207" t="s">
        <v>967</v>
      </c>
    </row>
    <row r="53" spans="1:7" x14ac:dyDescent="0.2">
      <c r="A53" s="208" t="s">
        <v>1468</v>
      </c>
      <c r="B53" s="209"/>
      <c r="C53" s="210">
        <v>1</v>
      </c>
      <c r="D53" s="211">
        <v>2.5</v>
      </c>
      <c r="E53" s="211">
        <f>C53*D53</f>
        <v>2.5</v>
      </c>
      <c r="F53" s="212">
        <v>0.16</v>
      </c>
      <c r="G53" s="213">
        <f>E53*F53</f>
        <v>0.4</v>
      </c>
    </row>
    <row r="54" spans="1:7" x14ac:dyDescent="0.2">
      <c r="A54" s="214"/>
      <c r="B54" s="132"/>
      <c r="C54" s="215"/>
      <c r="D54" s="216"/>
      <c r="E54" s="216"/>
      <c r="F54" s="217"/>
      <c r="G54" s="218"/>
    </row>
    <row r="55" spans="1:7" x14ac:dyDescent="0.2">
      <c r="A55" s="219" t="s">
        <v>1682</v>
      </c>
      <c r="B55" s="220"/>
      <c r="C55" s="221"/>
      <c r="D55" s="222" t="s">
        <v>1682</v>
      </c>
      <c r="E55" s="222" t="s">
        <v>1682</v>
      </c>
      <c r="F55" s="223"/>
      <c r="G55" s="224" t="s">
        <v>1682</v>
      </c>
    </row>
    <row r="56" spans="1:7" x14ac:dyDescent="0.2">
      <c r="A56" s="219" t="s">
        <v>968</v>
      </c>
      <c r="B56" s="220"/>
      <c r="C56" s="225"/>
      <c r="D56" s="220"/>
      <c r="E56" s="220"/>
      <c r="F56" s="226"/>
      <c r="G56" s="224">
        <f>SUM(G53:G55)</f>
        <v>0.4</v>
      </c>
    </row>
    <row r="57" spans="1:7" x14ac:dyDescent="0.2">
      <c r="A57" s="227" t="s">
        <v>1503</v>
      </c>
      <c r="B57" s="132"/>
      <c r="C57" s="188"/>
      <c r="D57" s="132"/>
      <c r="E57" s="132"/>
      <c r="F57" s="228"/>
      <c r="G57" s="218"/>
    </row>
    <row r="58" spans="1:7" ht="25.5" x14ac:dyDescent="0.2">
      <c r="A58" s="229" t="s">
        <v>1691</v>
      </c>
      <c r="B58" s="230"/>
      <c r="C58" s="231" t="s">
        <v>969</v>
      </c>
      <c r="D58" s="232" t="s">
        <v>1689</v>
      </c>
      <c r="E58" s="232" t="s">
        <v>1688</v>
      </c>
      <c r="F58" s="233" t="s">
        <v>1687</v>
      </c>
      <c r="G58" s="234" t="s">
        <v>1686</v>
      </c>
    </row>
    <row r="59" spans="1:7" x14ac:dyDescent="0.2">
      <c r="A59" s="235" t="s">
        <v>970</v>
      </c>
      <c r="B59" s="132"/>
      <c r="C59" s="236">
        <v>1</v>
      </c>
      <c r="D59" s="237">
        <v>2.16</v>
      </c>
      <c r="E59" s="216">
        <v>2.16</v>
      </c>
      <c r="F59" s="217">
        <v>0.76</v>
      </c>
      <c r="G59" s="218">
        <v>1.64</v>
      </c>
    </row>
    <row r="60" spans="1:7" x14ac:dyDescent="0.2">
      <c r="A60" s="235" t="s">
        <v>971</v>
      </c>
      <c r="B60" s="132"/>
      <c r="C60" s="236">
        <v>1</v>
      </c>
      <c r="D60" s="237">
        <v>2.13</v>
      </c>
      <c r="E60" s="216">
        <f>C60*D60</f>
        <v>2.13</v>
      </c>
      <c r="F60" s="217">
        <v>0.56999999999999995</v>
      </c>
      <c r="G60" s="218">
        <v>1.21</v>
      </c>
    </row>
    <row r="61" spans="1:7" x14ac:dyDescent="0.2">
      <c r="A61" s="235" t="s">
        <v>590</v>
      </c>
      <c r="B61" s="132"/>
      <c r="C61" s="236">
        <v>1</v>
      </c>
      <c r="D61" s="237">
        <v>2.13</v>
      </c>
      <c r="E61" s="216">
        <f>C61*D61</f>
        <v>2.13</v>
      </c>
      <c r="F61" s="217">
        <v>0.41</v>
      </c>
      <c r="G61" s="218">
        <v>0.87</v>
      </c>
    </row>
    <row r="62" spans="1:7" x14ac:dyDescent="0.2">
      <c r="A62" s="235"/>
      <c r="B62" s="132"/>
      <c r="C62" s="236"/>
      <c r="D62" s="237"/>
      <c r="E62" s="216"/>
      <c r="F62" s="217"/>
      <c r="G62" s="218"/>
    </row>
    <row r="63" spans="1:7" x14ac:dyDescent="0.2">
      <c r="A63" s="219" t="s">
        <v>1682</v>
      </c>
      <c r="B63" s="220"/>
      <c r="C63" s="221"/>
      <c r="D63" s="222" t="s">
        <v>1682</v>
      </c>
      <c r="E63" s="222" t="s">
        <v>1682</v>
      </c>
      <c r="F63" s="223"/>
      <c r="G63" s="224" t="s">
        <v>1682</v>
      </c>
    </row>
    <row r="64" spans="1:7" x14ac:dyDescent="0.2">
      <c r="A64" s="238" t="s">
        <v>1681</v>
      </c>
      <c r="B64" s="239"/>
      <c r="C64" s="240"/>
      <c r="D64" s="239"/>
      <c r="E64" s="239"/>
      <c r="F64" s="239"/>
      <c r="G64" s="241">
        <f>SUM(G59:G63)</f>
        <v>3.7199999999999998</v>
      </c>
    </row>
    <row r="65" spans="1:7" x14ac:dyDescent="0.2">
      <c r="A65" s="227" t="s">
        <v>1684</v>
      </c>
      <c r="B65" s="132"/>
      <c r="C65" s="188"/>
      <c r="D65" s="132"/>
      <c r="E65" s="132"/>
      <c r="F65" s="132"/>
      <c r="G65" s="218"/>
    </row>
    <row r="66" spans="1:7" ht="25.5" x14ac:dyDescent="0.2">
      <c r="A66" s="229" t="s">
        <v>1409</v>
      </c>
      <c r="B66" s="242"/>
      <c r="C66" s="243"/>
      <c r="D66" s="232" t="s">
        <v>1408</v>
      </c>
      <c r="E66" s="231" t="s">
        <v>1679</v>
      </c>
      <c r="F66" s="232" t="s">
        <v>1683</v>
      </c>
      <c r="G66" s="234" t="s">
        <v>1675</v>
      </c>
    </row>
    <row r="67" spans="1:7" x14ac:dyDescent="0.2">
      <c r="A67" s="244" t="s">
        <v>981</v>
      </c>
      <c r="B67" s="132"/>
      <c r="C67" s="188"/>
      <c r="D67" s="215" t="s">
        <v>1708</v>
      </c>
      <c r="E67" s="215">
        <v>1</v>
      </c>
      <c r="F67" s="216">
        <v>11.6</v>
      </c>
      <c r="G67" s="218">
        <v>11.6</v>
      </c>
    </row>
    <row r="68" spans="1:7" x14ac:dyDescent="0.2">
      <c r="A68" s="244" t="s">
        <v>982</v>
      </c>
      <c r="B68" s="132"/>
      <c r="C68" s="188"/>
      <c r="D68" s="215" t="s">
        <v>1506</v>
      </c>
      <c r="E68" s="215">
        <v>0.66</v>
      </c>
      <c r="F68" s="216">
        <v>0.9</v>
      </c>
      <c r="G68" s="218">
        <v>0.59</v>
      </c>
    </row>
    <row r="69" spans="1:7" x14ac:dyDescent="0.2">
      <c r="A69" s="244" t="s">
        <v>983</v>
      </c>
      <c r="B69" s="132"/>
      <c r="C69" s="188"/>
      <c r="D69" s="215" t="s">
        <v>1506</v>
      </c>
      <c r="E69" s="215">
        <v>1.33</v>
      </c>
      <c r="F69" s="216">
        <v>0.5</v>
      </c>
      <c r="G69" s="218">
        <v>0.67</v>
      </c>
    </row>
    <row r="70" spans="1:7" x14ac:dyDescent="0.2">
      <c r="A70" s="244" t="s">
        <v>984</v>
      </c>
      <c r="B70" s="132"/>
      <c r="C70" s="188"/>
      <c r="D70" s="215" t="s">
        <v>1506</v>
      </c>
      <c r="E70" s="215">
        <v>1.33</v>
      </c>
      <c r="F70" s="216">
        <v>0.1</v>
      </c>
      <c r="G70" s="218">
        <v>0.13</v>
      </c>
    </row>
    <row r="71" spans="1:7" x14ac:dyDescent="0.2">
      <c r="A71" s="244" t="s">
        <v>985</v>
      </c>
      <c r="B71" s="132"/>
      <c r="C71" s="188"/>
      <c r="D71" s="215" t="s">
        <v>1708</v>
      </c>
      <c r="E71" s="215">
        <v>0.4</v>
      </c>
      <c r="F71" s="216">
        <v>1.8</v>
      </c>
      <c r="G71" s="218">
        <v>0.72</v>
      </c>
    </row>
    <row r="72" spans="1:7" x14ac:dyDescent="0.2">
      <c r="A72" s="214"/>
      <c r="B72" s="132"/>
      <c r="C72" s="245"/>
      <c r="D72" s="215"/>
      <c r="E72" s="215"/>
      <c r="F72" s="216"/>
      <c r="G72" s="218"/>
    </row>
    <row r="73" spans="1:7" x14ac:dyDescent="0.2">
      <c r="A73" s="214"/>
      <c r="B73" s="132"/>
      <c r="C73" s="245"/>
      <c r="D73" s="215"/>
      <c r="E73" s="215"/>
      <c r="F73" s="216"/>
      <c r="G73" s="218"/>
    </row>
    <row r="74" spans="1:7" x14ac:dyDescent="0.2">
      <c r="A74" s="238" t="s">
        <v>1692</v>
      </c>
      <c r="B74" s="239"/>
      <c r="C74" s="240"/>
      <c r="D74" s="240"/>
      <c r="E74" s="240"/>
      <c r="F74" s="239"/>
      <c r="G74" s="241">
        <f>SUM(G67:G73)</f>
        <v>13.71</v>
      </c>
    </row>
    <row r="75" spans="1:7" x14ac:dyDescent="0.2">
      <c r="A75" s="227" t="s">
        <v>1680</v>
      </c>
      <c r="B75" s="132"/>
      <c r="C75" s="188"/>
      <c r="D75" s="132"/>
      <c r="E75" s="188"/>
      <c r="F75" s="132"/>
      <c r="G75" s="218"/>
    </row>
    <row r="76" spans="1:7" ht="25.5" x14ac:dyDescent="0.2">
      <c r="A76" s="229" t="s">
        <v>1409</v>
      </c>
      <c r="B76" s="242"/>
      <c r="C76" s="243"/>
      <c r="D76" s="232" t="s">
        <v>1408</v>
      </c>
      <c r="E76" s="231" t="s">
        <v>1679</v>
      </c>
      <c r="F76" s="232" t="s">
        <v>1676</v>
      </c>
      <c r="G76" s="234" t="s">
        <v>1675</v>
      </c>
    </row>
    <row r="77" spans="1:7" x14ac:dyDescent="0.2">
      <c r="A77" s="208" t="s">
        <v>975</v>
      </c>
      <c r="B77" s="209"/>
      <c r="C77" s="246"/>
      <c r="D77" s="215" t="s">
        <v>976</v>
      </c>
      <c r="E77" s="215">
        <v>0.04</v>
      </c>
      <c r="F77" s="247">
        <v>5</v>
      </c>
      <c r="G77" s="218">
        <f>E77*F77</f>
        <v>0.2</v>
      </c>
    </row>
    <row r="78" spans="1:7" x14ac:dyDescent="0.2">
      <c r="A78" s="214"/>
      <c r="B78" s="132"/>
      <c r="C78" s="248"/>
      <c r="D78" s="215"/>
      <c r="E78" s="215"/>
      <c r="F78" s="247"/>
      <c r="G78" s="218"/>
    </row>
    <row r="79" spans="1:7" x14ac:dyDescent="0.2">
      <c r="A79" s="219" t="s">
        <v>1682</v>
      </c>
      <c r="B79" s="220"/>
      <c r="C79" s="249"/>
      <c r="D79" s="221" t="s">
        <v>1682</v>
      </c>
      <c r="E79" s="221"/>
      <c r="F79" s="222" t="s">
        <v>1682</v>
      </c>
      <c r="G79" s="224" t="s">
        <v>1682</v>
      </c>
    </row>
    <row r="80" spans="1:7" ht="13.5" thickBot="1" x14ac:dyDescent="0.25">
      <c r="A80" s="250" t="s">
        <v>977</v>
      </c>
      <c r="B80" s="251"/>
      <c r="C80" s="252"/>
      <c r="D80" s="252"/>
      <c r="E80" s="252"/>
      <c r="F80" s="251"/>
      <c r="G80" s="253">
        <f>SUM(G77:G79)</f>
        <v>0.2</v>
      </c>
    </row>
    <row r="81" spans="1:7" x14ac:dyDescent="0.2">
      <c r="A81" s="132"/>
      <c r="B81" s="132"/>
      <c r="C81" s="254"/>
      <c r="D81" s="198"/>
      <c r="E81" s="198"/>
      <c r="F81" s="255" t="s">
        <v>978</v>
      </c>
      <c r="G81" s="256">
        <f>G56+G64+G74+G80</f>
        <v>18.03</v>
      </c>
    </row>
    <row r="82" spans="1:7" x14ac:dyDescent="0.2">
      <c r="A82" s="132"/>
      <c r="B82" s="132"/>
      <c r="C82" s="257"/>
      <c r="D82" s="239"/>
      <c r="E82" s="239"/>
      <c r="F82" s="258" t="s">
        <v>979</v>
      </c>
      <c r="G82" s="241"/>
    </row>
    <row r="83" spans="1:7" x14ac:dyDescent="0.2">
      <c r="A83" s="132"/>
      <c r="B83" s="132"/>
      <c r="C83" s="257"/>
      <c r="D83" s="239"/>
      <c r="E83" s="239"/>
      <c r="F83" s="258" t="s">
        <v>980</v>
      </c>
      <c r="G83" s="241"/>
    </row>
    <row r="84" spans="1:7" x14ac:dyDescent="0.2">
      <c r="A84" s="132"/>
      <c r="B84" s="132"/>
      <c r="C84" s="257"/>
      <c r="D84" s="239"/>
      <c r="E84" s="239"/>
      <c r="F84" s="259" t="s">
        <v>1670</v>
      </c>
      <c r="G84" s="260"/>
    </row>
    <row r="85" spans="1:7" ht="13.5" thickBot="1" x14ac:dyDescent="0.25">
      <c r="A85" s="193"/>
      <c r="B85" s="132"/>
      <c r="C85" s="261"/>
      <c r="D85" s="251"/>
      <c r="E85" s="251"/>
      <c r="F85" s="262" t="s">
        <v>1650</v>
      </c>
      <c r="G85" s="263"/>
    </row>
    <row r="86" spans="1:7" ht="15.75" x14ac:dyDescent="0.2">
      <c r="A86" s="186" t="s">
        <v>1701</v>
      </c>
      <c r="B86" s="132"/>
      <c r="C86" s="187" t="s">
        <v>742</v>
      </c>
      <c r="D86" s="132"/>
      <c r="E86" s="132"/>
      <c r="F86" s="188"/>
      <c r="G86" s="132"/>
    </row>
    <row r="87" spans="1:7" ht="15.75" x14ac:dyDescent="0.2">
      <c r="A87" s="186" t="s">
        <v>1700</v>
      </c>
      <c r="B87" s="189" t="s">
        <v>963</v>
      </c>
      <c r="C87" s="188"/>
      <c r="D87" s="132"/>
      <c r="E87" s="132"/>
      <c r="F87" s="190"/>
      <c r="G87" s="191"/>
    </row>
    <row r="88" spans="1:7" ht="14.25" x14ac:dyDescent="0.2">
      <c r="A88" s="189"/>
      <c r="B88" s="189"/>
      <c r="C88" s="187"/>
      <c r="D88" s="189"/>
      <c r="E88" s="189"/>
      <c r="F88" s="189"/>
      <c r="G88" s="189"/>
    </row>
    <row r="89" spans="1:7" ht="15.75" x14ac:dyDescent="0.2">
      <c r="A89" s="186" t="s">
        <v>1697</v>
      </c>
      <c r="B89" s="189"/>
      <c r="C89" s="188"/>
      <c r="D89" s="132"/>
      <c r="E89" s="132"/>
      <c r="F89" s="132"/>
      <c r="G89" s="132"/>
    </row>
    <row r="90" spans="1:7" ht="15" x14ac:dyDescent="0.2">
      <c r="A90" s="192"/>
      <c r="B90" s="189"/>
      <c r="C90" s="187"/>
      <c r="D90" s="189"/>
      <c r="E90" s="189"/>
      <c r="F90" s="189"/>
      <c r="G90" s="189"/>
    </row>
    <row r="91" spans="1:7" ht="14.25" x14ac:dyDescent="0.2">
      <c r="A91" s="193" t="s">
        <v>594</v>
      </c>
      <c r="B91" s="194">
        <v>3</v>
      </c>
      <c r="C91" s="188"/>
      <c r="D91" s="188"/>
      <c r="E91" s="188"/>
      <c r="F91" s="195" t="s">
        <v>1696</v>
      </c>
      <c r="G91" s="189" t="s">
        <v>1506</v>
      </c>
    </row>
    <row r="92" spans="1:7" ht="14.25" x14ac:dyDescent="0.2">
      <c r="A92" s="196" t="s">
        <v>964</v>
      </c>
      <c r="B92" s="194" t="s">
        <v>986</v>
      </c>
      <c r="C92" s="188"/>
      <c r="D92" s="132"/>
      <c r="E92" s="132"/>
      <c r="F92" s="132"/>
      <c r="G92" s="132"/>
    </row>
    <row r="93" spans="1:7" ht="15" thickBot="1" x14ac:dyDescent="0.25">
      <c r="A93" s="187"/>
      <c r="B93" s="187"/>
      <c r="C93" s="187"/>
      <c r="D93" s="189"/>
      <c r="E93" s="189"/>
      <c r="F93" s="189"/>
      <c r="G93" s="189"/>
    </row>
    <row r="94" spans="1:7" x14ac:dyDescent="0.2">
      <c r="A94" s="197" t="s">
        <v>1695</v>
      </c>
      <c r="B94" s="198"/>
      <c r="C94" s="199"/>
      <c r="D94" s="198"/>
      <c r="E94" s="198"/>
      <c r="F94" s="198"/>
      <c r="G94" s="200"/>
    </row>
    <row r="95" spans="1:7" ht="25.5" x14ac:dyDescent="0.2">
      <c r="A95" s="202" t="s">
        <v>1409</v>
      </c>
      <c r="B95" s="203"/>
      <c r="C95" s="204" t="s">
        <v>966</v>
      </c>
      <c r="D95" s="205" t="s">
        <v>1694</v>
      </c>
      <c r="E95" s="205" t="s">
        <v>1693</v>
      </c>
      <c r="F95" s="206" t="s">
        <v>1687</v>
      </c>
      <c r="G95" s="207" t="s">
        <v>967</v>
      </c>
    </row>
    <row r="96" spans="1:7" x14ac:dyDescent="0.2">
      <c r="A96" s="208" t="s">
        <v>1468</v>
      </c>
      <c r="B96" s="209"/>
      <c r="C96" s="210">
        <v>1</v>
      </c>
      <c r="D96" s="211">
        <v>2.5</v>
      </c>
      <c r="E96" s="211">
        <f>C96*D96</f>
        <v>2.5</v>
      </c>
      <c r="F96" s="212">
        <v>0.24</v>
      </c>
      <c r="G96" s="218">
        <f>E96*F96</f>
        <v>0.6</v>
      </c>
    </row>
    <row r="97" spans="1:7" x14ac:dyDescent="0.2">
      <c r="A97" s="214" t="s">
        <v>987</v>
      </c>
      <c r="B97" s="132"/>
      <c r="C97" s="215">
        <v>1</v>
      </c>
      <c r="D97" s="216">
        <v>13</v>
      </c>
      <c r="E97" s="216">
        <v>13</v>
      </c>
      <c r="F97" s="217">
        <v>0.3</v>
      </c>
      <c r="G97" s="218">
        <f>E97*F97</f>
        <v>3.9</v>
      </c>
    </row>
    <row r="98" spans="1:7" x14ac:dyDescent="0.2">
      <c r="A98" s="214"/>
      <c r="B98" s="132"/>
      <c r="C98" s="215"/>
      <c r="D98" s="216"/>
      <c r="E98" s="216"/>
      <c r="F98" s="217"/>
      <c r="G98" s="218"/>
    </row>
    <row r="99" spans="1:7" x14ac:dyDescent="0.2">
      <c r="A99" s="219" t="s">
        <v>1682</v>
      </c>
      <c r="B99" s="220"/>
      <c r="C99" s="221"/>
      <c r="D99" s="222" t="s">
        <v>1682</v>
      </c>
      <c r="E99" s="222" t="s">
        <v>1682</v>
      </c>
      <c r="F99" s="223"/>
      <c r="G99" s="224" t="s">
        <v>1682</v>
      </c>
    </row>
    <row r="100" spans="1:7" x14ac:dyDescent="0.2">
      <c r="A100" s="219" t="s">
        <v>968</v>
      </c>
      <c r="B100" s="220"/>
      <c r="C100" s="225"/>
      <c r="D100" s="220"/>
      <c r="E100" s="220"/>
      <c r="F100" s="226"/>
      <c r="G100" s="224">
        <f>SUM(G96:G99)</f>
        <v>4.5</v>
      </c>
    </row>
    <row r="101" spans="1:7" x14ac:dyDescent="0.2">
      <c r="A101" s="227" t="s">
        <v>1503</v>
      </c>
      <c r="B101" s="132"/>
      <c r="C101" s="188"/>
      <c r="D101" s="132"/>
      <c r="E101" s="132"/>
      <c r="F101" s="228"/>
      <c r="G101" s="218"/>
    </row>
    <row r="102" spans="1:7" ht="25.5" x14ac:dyDescent="0.2">
      <c r="A102" s="229" t="s">
        <v>1691</v>
      </c>
      <c r="B102" s="230"/>
      <c r="C102" s="231" t="s">
        <v>969</v>
      </c>
      <c r="D102" s="232" t="s">
        <v>1689</v>
      </c>
      <c r="E102" s="232" t="s">
        <v>1688</v>
      </c>
      <c r="F102" s="233" t="s">
        <v>1687</v>
      </c>
      <c r="G102" s="234" t="s">
        <v>1686</v>
      </c>
    </row>
    <row r="103" spans="1:7" x14ac:dyDescent="0.2">
      <c r="A103" s="235" t="s">
        <v>970</v>
      </c>
      <c r="B103" s="132"/>
      <c r="C103" s="236">
        <v>1</v>
      </c>
      <c r="D103" s="237">
        <v>2.16</v>
      </c>
      <c r="E103" s="216">
        <v>2.16</v>
      </c>
      <c r="F103" s="217">
        <v>5.34</v>
      </c>
      <c r="G103" s="218">
        <v>11.53</v>
      </c>
    </row>
    <row r="104" spans="1:7" x14ac:dyDescent="0.2">
      <c r="A104" s="235" t="s">
        <v>971</v>
      </c>
      <c r="B104" s="132"/>
      <c r="C104" s="236">
        <v>1</v>
      </c>
      <c r="D104" s="237">
        <v>2.13</v>
      </c>
      <c r="E104" s="216">
        <f>C104*D104</f>
        <v>2.13</v>
      </c>
      <c r="F104" s="217">
        <v>3.96</v>
      </c>
      <c r="G104" s="218">
        <v>8.43</v>
      </c>
    </row>
    <row r="105" spans="1:7" x14ac:dyDescent="0.2">
      <c r="A105" s="235" t="s">
        <v>590</v>
      </c>
      <c r="B105" s="132"/>
      <c r="C105" s="236">
        <v>1</v>
      </c>
      <c r="D105" s="237">
        <v>2.13</v>
      </c>
      <c r="E105" s="216">
        <f>C105*D105</f>
        <v>2.13</v>
      </c>
      <c r="F105" s="217">
        <v>2.82</v>
      </c>
      <c r="G105" s="218">
        <v>6</v>
      </c>
    </row>
    <row r="106" spans="1:7" x14ac:dyDescent="0.2">
      <c r="A106" s="235"/>
      <c r="B106" s="132"/>
      <c r="C106" s="236"/>
      <c r="D106" s="237"/>
      <c r="E106" s="216"/>
      <c r="F106" s="217"/>
      <c r="G106" s="218"/>
    </row>
    <row r="107" spans="1:7" x14ac:dyDescent="0.2">
      <c r="A107" s="219" t="s">
        <v>1682</v>
      </c>
      <c r="B107" s="220"/>
      <c r="C107" s="221"/>
      <c r="D107" s="222" t="s">
        <v>1682</v>
      </c>
      <c r="E107" s="222" t="s">
        <v>1682</v>
      </c>
      <c r="F107" s="223"/>
      <c r="G107" s="224" t="s">
        <v>1682</v>
      </c>
    </row>
    <row r="108" spans="1:7" x14ac:dyDescent="0.2">
      <c r="A108" s="238" t="s">
        <v>1681</v>
      </c>
      <c r="B108" s="239"/>
      <c r="C108" s="240"/>
      <c r="D108" s="239"/>
      <c r="E108" s="239"/>
      <c r="F108" s="239"/>
      <c r="G108" s="241">
        <f>SUM(G103:G107)</f>
        <v>25.96</v>
      </c>
    </row>
    <row r="109" spans="1:7" x14ac:dyDescent="0.2">
      <c r="A109" s="227" t="s">
        <v>1684</v>
      </c>
      <c r="B109" s="132"/>
      <c r="C109" s="188"/>
      <c r="D109" s="132"/>
      <c r="E109" s="132"/>
      <c r="F109" s="132"/>
      <c r="G109" s="218"/>
    </row>
    <row r="110" spans="1:7" ht="25.5" x14ac:dyDescent="0.2">
      <c r="A110" s="229" t="s">
        <v>1409</v>
      </c>
      <c r="B110" s="242"/>
      <c r="C110" s="243"/>
      <c r="D110" s="232" t="s">
        <v>1408</v>
      </c>
      <c r="E110" s="231" t="s">
        <v>1679</v>
      </c>
      <c r="F110" s="232" t="s">
        <v>1683</v>
      </c>
      <c r="G110" s="234" t="s">
        <v>1675</v>
      </c>
    </row>
    <row r="111" spans="1:7" x14ac:dyDescent="0.2">
      <c r="A111" s="244" t="s">
        <v>988</v>
      </c>
      <c r="B111" s="132"/>
      <c r="C111" s="188"/>
      <c r="D111" s="215" t="s">
        <v>1506</v>
      </c>
      <c r="E111" s="215">
        <v>6</v>
      </c>
      <c r="F111" s="216">
        <v>4.8499999999999996</v>
      </c>
      <c r="G111" s="218">
        <f>E111*F111</f>
        <v>29.099999999999998</v>
      </c>
    </row>
    <row r="112" spans="1:7" x14ac:dyDescent="0.2">
      <c r="A112" s="244" t="s">
        <v>989</v>
      </c>
      <c r="B112" s="132"/>
      <c r="C112" s="188"/>
      <c r="D112" s="215" t="s">
        <v>1506</v>
      </c>
      <c r="E112" s="215">
        <v>8</v>
      </c>
      <c r="F112" s="216">
        <v>0.5</v>
      </c>
      <c r="G112" s="218">
        <f t="shared" ref="G112:G118" si="0">E112*F112</f>
        <v>4</v>
      </c>
    </row>
    <row r="113" spans="1:7" x14ac:dyDescent="0.2">
      <c r="A113" s="244" t="s">
        <v>990</v>
      </c>
      <c r="B113" s="132"/>
      <c r="C113" s="188"/>
      <c r="D113" s="215" t="s">
        <v>1506</v>
      </c>
      <c r="E113" s="215">
        <v>2</v>
      </c>
      <c r="F113" s="216">
        <v>0.5</v>
      </c>
      <c r="G113" s="218">
        <f t="shared" si="0"/>
        <v>1</v>
      </c>
    </row>
    <row r="114" spans="1:7" x14ac:dyDescent="0.2">
      <c r="A114" s="244" t="s">
        <v>991</v>
      </c>
      <c r="B114" s="132"/>
      <c r="C114" s="188"/>
      <c r="D114" s="215" t="s">
        <v>1506</v>
      </c>
      <c r="E114" s="215">
        <v>1</v>
      </c>
      <c r="F114" s="216">
        <v>0.9</v>
      </c>
      <c r="G114" s="218">
        <f t="shared" si="0"/>
        <v>0.9</v>
      </c>
    </row>
    <row r="115" spans="1:7" x14ac:dyDescent="0.2">
      <c r="A115" s="244" t="s">
        <v>992</v>
      </c>
      <c r="B115" s="132"/>
      <c r="C115" s="188"/>
      <c r="D115" s="215" t="s">
        <v>1708</v>
      </c>
      <c r="E115" s="215">
        <v>68</v>
      </c>
      <c r="F115" s="216">
        <v>0.75</v>
      </c>
      <c r="G115" s="218">
        <f t="shared" si="0"/>
        <v>51</v>
      </c>
    </row>
    <row r="116" spans="1:7" x14ac:dyDescent="0.2">
      <c r="A116" s="244" t="s">
        <v>993</v>
      </c>
      <c r="B116" s="132"/>
      <c r="C116" s="188"/>
      <c r="D116" s="215" t="s">
        <v>1506</v>
      </c>
      <c r="E116" s="215">
        <v>90</v>
      </c>
      <c r="F116" s="216">
        <v>0.06</v>
      </c>
      <c r="G116" s="218">
        <f t="shared" si="0"/>
        <v>5.3999999999999995</v>
      </c>
    </row>
    <row r="117" spans="1:7" x14ac:dyDescent="0.2">
      <c r="A117" s="244" t="s">
        <v>994</v>
      </c>
      <c r="B117" s="132"/>
      <c r="C117" s="188"/>
      <c r="D117" s="215" t="s">
        <v>1506</v>
      </c>
      <c r="E117" s="215">
        <v>1</v>
      </c>
      <c r="F117" s="216">
        <v>2.6</v>
      </c>
      <c r="G117" s="218">
        <f t="shared" si="0"/>
        <v>2.6</v>
      </c>
    </row>
    <row r="118" spans="1:7" x14ac:dyDescent="0.2">
      <c r="A118" s="244" t="s">
        <v>995</v>
      </c>
      <c r="B118" s="132"/>
      <c r="C118" s="188"/>
      <c r="D118" s="215" t="s">
        <v>1506</v>
      </c>
      <c r="E118" s="215">
        <v>2</v>
      </c>
      <c r="F118" s="216">
        <v>6.35</v>
      </c>
      <c r="G118" s="218">
        <f t="shared" si="0"/>
        <v>12.7</v>
      </c>
    </row>
    <row r="119" spans="1:7" x14ac:dyDescent="0.2">
      <c r="A119" s="214"/>
      <c r="B119" s="132"/>
      <c r="C119" s="245"/>
      <c r="D119" s="215"/>
      <c r="E119" s="215"/>
      <c r="F119" s="216"/>
      <c r="G119" s="218"/>
    </row>
    <row r="120" spans="1:7" x14ac:dyDescent="0.2">
      <c r="A120" s="214"/>
      <c r="B120" s="132"/>
      <c r="C120" s="245"/>
      <c r="D120" s="215"/>
      <c r="E120" s="215"/>
      <c r="F120" s="216"/>
      <c r="G120" s="218"/>
    </row>
    <row r="121" spans="1:7" x14ac:dyDescent="0.2">
      <c r="A121" s="238" t="s">
        <v>1692</v>
      </c>
      <c r="B121" s="239"/>
      <c r="C121" s="240"/>
      <c r="D121" s="240"/>
      <c r="E121" s="240"/>
      <c r="F121" s="239"/>
      <c r="G121" s="241">
        <f>SUM(G111:G120)</f>
        <v>106.7</v>
      </c>
    </row>
    <row r="122" spans="1:7" x14ac:dyDescent="0.2">
      <c r="A122" s="227" t="s">
        <v>1680</v>
      </c>
      <c r="B122" s="132"/>
      <c r="C122" s="188"/>
      <c r="D122" s="132"/>
      <c r="E122" s="188"/>
      <c r="F122" s="132"/>
      <c r="G122" s="218"/>
    </row>
    <row r="123" spans="1:7" ht="25.5" x14ac:dyDescent="0.2">
      <c r="A123" s="229" t="s">
        <v>1409</v>
      </c>
      <c r="B123" s="242"/>
      <c r="C123" s="243"/>
      <c r="D123" s="232" t="s">
        <v>1408</v>
      </c>
      <c r="E123" s="231" t="s">
        <v>1679</v>
      </c>
      <c r="F123" s="232" t="s">
        <v>1676</v>
      </c>
      <c r="G123" s="234" t="s">
        <v>1675</v>
      </c>
    </row>
    <row r="124" spans="1:7" x14ac:dyDescent="0.2">
      <c r="A124" s="208" t="s">
        <v>975</v>
      </c>
      <c r="B124" s="209"/>
      <c r="C124" s="246"/>
      <c r="D124" s="215" t="s">
        <v>976</v>
      </c>
      <c r="E124" s="215">
        <v>0.2</v>
      </c>
      <c r="F124" s="247">
        <v>5</v>
      </c>
      <c r="G124" s="218">
        <f>E124*F124</f>
        <v>1</v>
      </c>
    </row>
    <row r="125" spans="1:7" x14ac:dyDescent="0.2">
      <c r="A125" s="214"/>
      <c r="B125" s="132"/>
      <c r="C125" s="248"/>
      <c r="D125" s="215"/>
      <c r="E125" s="215"/>
      <c r="F125" s="247"/>
      <c r="G125" s="218"/>
    </row>
    <row r="126" spans="1:7" x14ac:dyDescent="0.2">
      <c r="A126" s="219" t="s">
        <v>1682</v>
      </c>
      <c r="B126" s="220"/>
      <c r="C126" s="249"/>
      <c r="D126" s="221" t="s">
        <v>1682</v>
      </c>
      <c r="E126" s="221"/>
      <c r="F126" s="222" t="s">
        <v>1682</v>
      </c>
      <c r="G126" s="224" t="s">
        <v>1682</v>
      </c>
    </row>
    <row r="127" spans="1:7" ht="13.5" thickBot="1" x14ac:dyDescent="0.25">
      <c r="A127" s="250" t="s">
        <v>977</v>
      </c>
      <c r="B127" s="251"/>
      <c r="C127" s="252"/>
      <c r="D127" s="252"/>
      <c r="E127" s="252"/>
      <c r="F127" s="251"/>
      <c r="G127" s="253">
        <f>SUM(G124:G126)</f>
        <v>1</v>
      </c>
    </row>
    <row r="128" spans="1:7" x14ac:dyDescent="0.2">
      <c r="A128" s="132"/>
      <c r="B128" s="132"/>
      <c r="C128" s="254"/>
      <c r="D128" s="198"/>
      <c r="E128" s="198"/>
      <c r="F128" s="255" t="s">
        <v>978</v>
      </c>
      <c r="G128" s="256">
        <f>G100+G108+G121+G127</f>
        <v>138.16</v>
      </c>
    </row>
    <row r="129" spans="1:7" x14ac:dyDescent="0.2">
      <c r="A129" s="132"/>
      <c r="B129" s="132"/>
      <c r="C129" s="257"/>
      <c r="D129" s="239"/>
      <c r="E129" s="239"/>
      <c r="F129" s="258" t="s">
        <v>979</v>
      </c>
      <c r="G129" s="241"/>
    </row>
    <row r="130" spans="1:7" x14ac:dyDescent="0.2">
      <c r="A130" s="132"/>
      <c r="B130" s="132"/>
      <c r="C130" s="257"/>
      <c r="D130" s="239"/>
      <c r="E130" s="239"/>
      <c r="F130" s="258" t="s">
        <v>980</v>
      </c>
      <c r="G130" s="241"/>
    </row>
    <row r="131" spans="1:7" x14ac:dyDescent="0.2">
      <c r="A131" s="132"/>
      <c r="B131" s="132"/>
      <c r="C131" s="257"/>
      <c r="D131" s="239"/>
      <c r="E131" s="239"/>
      <c r="F131" s="259" t="s">
        <v>1670</v>
      </c>
      <c r="G131" s="260"/>
    </row>
    <row r="132" spans="1:7" ht="13.5" thickBot="1" x14ac:dyDescent="0.25">
      <c r="A132" s="193"/>
      <c r="B132" s="132"/>
      <c r="C132" s="261"/>
      <c r="D132" s="251"/>
      <c r="E132" s="251"/>
      <c r="F132" s="262" t="s">
        <v>1650</v>
      </c>
      <c r="G132" s="263"/>
    </row>
    <row r="133" spans="1:7" ht="15.75" x14ac:dyDescent="0.2">
      <c r="A133" s="186" t="s">
        <v>1701</v>
      </c>
      <c r="B133" s="132"/>
      <c r="C133" s="187" t="s">
        <v>742</v>
      </c>
      <c r="D133" s="132"/>
      <c r="E133" s="132"/>
      <c r="F133" s="188"/>
      <c r="G133" s="132"/>
    </row>
    <row r="134" spans="1:7" ht="15.75" x14ac:dyDescent="0.2">
      <c r="A134" s="186" t="s">
        <v>1700</v>
      </c>
      <c r="B134" s="189" t="s">
        <v>963</v>
      </c>
      <c r="C134" s="188"/>
      <c r="D134" s="132"/>
      <c r="E134" s="132"/>
      <c r="F134" s="190"/>
      <c r="G134" s="191"/>
    </row>
    <row r="135" spans="1:7" ht="14.25" x14ac:dyDescent="0.2">
      <c r="A135" s="189"/>
      <c r="B135" s="189"/>
      <c r="C135" s="187"/>
      <c r="D135" s="189"/>
      <c r="E135" s="189"/>
      <c r="F135" s="189"/>
      <c r="G135" s="189"/>
    </row>
    <row r="136" spans="1:7" ht="15.75" x14ac:dyDescent="0.2">
      <c r="A136" s="186" t="s">
        <v>1697</v>
      </c>
      <c r="B136" s="189"/>
      <c r="C136" s="188"/>
      <c r="D136" s="132"/>
      <c r="E136" s="132"/>
      <c r="F136" s="132"/>
      <c r="G136" s="132"/>
    </row>
    <row r="137" spans="1:7" ht="15" x14ac:dyDescent="0.2">
      <c r="A137" s="192"/>
      <c r="B137" s="189"/>
      <c r="C137" s="187"/>
      <c r="D137" s="189"/>
      <c r="E137" s="189"/>
      <c r="F137" s="189"/>
      <c r="G137" s="189"/>
    </row>
    <row r="138" spans="1:7" ht="14.25" x14ac:dyDescent="0.2">
      <c r="A138" s="193" t="s">
        <v>594</v>
      </c>
      <c r="B138" s="194"/>
      <c r="C138" s="188"/>
      <c r="D138" s="188"/>
      <c r="E138" s="188"/>
      <c r="F138" s="195" t="s">
        <v>1696</v>
      </c>
      <c r="G138" s="189" t="s">
        <v>1506</v>
      </c>
    </row>
    <row r="139" spans="1:7" ht="14.25" x14ac:dyDescent="0.2">
      <c r="A139" s="196" t="s">
        <v>964</v>
      </c>
      <c r="B139" s="194" t="s">
        <v>996</v>
      </c>
      <c r="C139" s="188"/>
      <c r="D139" s="132"/>
      <c r="E139" s="132"/>
      <c r="F139" s="132"/>
      <c r="G139" s="132"/>
    </row>
    <row r="140" spans="1:7" ht="15" thickBot="1" x14ac:dyDescent="0.25">
      <c r="A140" s="187"/>
      <c r="B140" s="187"/>
      <c r="C140" s="187"/>
      <c r="D140" s="189"/>
      <c r="E140" s="189"/>
      <c r="F140" s="189"/>
      <c r="G140" s="189"/>
    </row>
    <row r="141" spans="1:7" x14ac:dyDescent="0.2">
      <c r="A141" s="197" t="s">
        <v>1695</v>
      </c>
      <c r="B141" s="198"/>
      <c r="C141" s="199"/>
      <c r="D141" s="198"/>
      <c r="E141" s="198"/>
      <c r="F141" s="198"/>
      <c r="G141" s="200"/>
    </row>
    <row r="142" spans="1:7" ht="25.5" x14ac:dyDescent="0.2">
      <c r="A142" s="202" t="s">
        <v>1409</v>
      </c>
      <c r="B142" s="203"/>
      <c r="C142" s="204" t="s">
        <v>966</v>
      </c>
      <c r="D142" s="205" t="s">
        <v>1694</v>
      </c>
      <c r="E142" s="205" t="s">
        <v>1693</v>
      </c>
      <c r="F142" s="206" t="s">
        <v>1687</v>
      </c>
      <c r="G142" s="207" t="s">
        <v>967</v>
      </c>
    </row>
    <row r="143" spans="1:7" x14ac:dyDescent="0.2">
      <c r="A143" s="208" t="s">
        <v>1468</v>
      </c>
      <c r="B143" s="209"/>
      <c r="C143" s="210">
        <v>1</v>
      </c>
      <c r="D143" s="211">
        <v>2.5</v>
      </c>
      <c r="E143" s="211">
        <f>C143*D143</f>
        <v>2.5</v>
      </c>
      <c r="F143" s="212">
        <v>4</v>
      </c>
      <c r="G143" s="218">
        <f>E143*F143</f>
        <v>10</v>
      </c>
    </row>
    <row r="144" spans="1:7" x14ac:dyDescent="0.2">
      <c r="A144" s="214"/>
      <c r="B144" s="132"/>
      <c r="C144" s="215"/>
      <c r="D144" s="216"/>
      <c r="E144" s="216"/>
      <c r="F144" s="217"/>
      <c r="G144" s="218"/>
    </row>
    <row r="145" spans="1:7" x14ac:dyDescent="0.2">
      <c r="A145" s="219" t="s">
        <v>1682</v>
      </c>
      <c r="B145" s="220"/>
      <c r="C145" s="221"/>
      <c r="D145" s="222" t="s">
        <v>1682</v>
      </c>
      <c r="E145" s="222" t="s">
        <v>1682</v>
      </c>
      <c r="F145" s="223"/>
      <c r="G145" s="224" t="s">
        <v>1682</v>
      </c>
    </row>
    <row r="146" spans="1:7" x14ac:dyDescent="0.2">
      <c r="A146" s="219" t="s">
        <v>968</v>
      </c>
      <c r="B146" s="220"/>
      <c r="C146" s="225"/>
      <c r="D146" s="220"/>
      <c r="E146" s="220"/>
      <c r="F146" s="226"/>
      <c r="G146" s="224">
        <f>SUM(G143:G145)</f>
        <v>10</v>
      </c>
    </row>
    <row r="147" spans="1:7" x14ac:dyDescent="0.2">
      <c r="A147" s="227" t="s">
        <v>1503</v>
      </c>
      <c r="B147" s="132"/>
      <c r="C147" s="188"/>
      <c r="D147" s="132"/>
      <c r="E147" s="132"/>
      <c r="F147" s="228"/>
      <c r="G147" s="218"/>
    </row>
    <row r="148" spans="1:7" ht="25.5" x14ac:dyDescent="0.2">
      <c r="A148" s="229" t="s">
        <v>1691</v>
      </c>
      <c r="B148" s="230"/>
      <c r="C148" s="231" t="s">
        <v>969</v>
      </c>
      <c r="D148" s="232" t="s">
        <v>1689</v>
      </c>
      <c r="E148" s="232" t="s">
        <v>1688</v>
      </c>
      <c r="F148" s="233" t="s">
        <v>1687</v>
      </c>
      <c r="G148" s="234" t="s">
        <v>1686</v>
      </c>
    </row>
    <row r="149" spans="1:7" x14ac:dyDescent="0.2">
      <c r="A149" s="235" t="s">
        <v>970</v>
      </c>
      <c r="B149" s="132"/>
      <c r="C149" s="236">
        <v>1</v>
      </c>
      <c r="D149" s="237">
        <v>2.16</v>
      </c>
      <c r="E149" s="216">
        <v>2.16</v>
      </c>
      <c r="F149" s="217">
        <v>102.5</v>
      </c>
      <c r="G149" s="218">
        <f>E149*F149</f>
        <v>221.4</v>
      </c>
    </row>
    <row r="150" spans="1:7" x14ac:dyDescent="0.2">
      <c r="A150" s="235" t="s">
        <v>971</v>
      </c>
      <c r="B150" s="132"/>
      <c r="C150" s="236">
        <v>1</v>
      </c>
      <c r="D150" s="237">
        <v>2.13</v>
      </c>
      <c r="E150" s="216">
        <f>C150*D150</f>
        <v>2.13</v>
      </c>
      <c r="F150" s="217">
        <v>76.5</v>
      </c>
      <c r="G150" s="218">
        <f>E150*F150</f>
        <v>162.94499999999999</v>
      </c>
    </row>
    <row r="151" spans="1:7" x14ac:dyDescent="0.2">
      <c r="A151" s="235" t="s">
        <v>590</v>
      </c>
      <c r="B151" s="132"/>
      <c r="C151" s="236">
        <v>1</v>
      </c>
      <c r="D151" s="237">
        <v>2.13</v>
      </c>
      <c r="E151" s="216">
        <f>C151*D151</f>
        <v>2.13</v>
      </c>
      <c r="F151" s="217">
        <v>46.22</v>
      </c>
      <c r="G151" s="218">
        <f>E151*F151</f>
        <v>98.448599999999999</v>
      </c>
    </row>
    <row r="152" spans="1:7" x14ac:dyDescent="0.2">
      <c r="A152" s="235"/>
      <c r="B152" s="132"/>
      <c r="C152" s="236"/>
      <c r="D152" s="237"/>
      <c r="E152" s="216"/>
      <c r="F152" s="217"/>
      <c r="G152" s="218"/>
    </row>
    <row r="153" spans="1:7" x14ac:dyDescent="0.2">
      <c r="A153" s="219" t="s">
        <v>1682</v>
      </c>
      <c r="B153" s="220"/>
      <c r="C153" s="221"/>
      <c r="D153" s="222" t="s">
        <v>1682</v>
      </c>
      <c r="E153" s="222" t="s">
        <v>1682</v>
      </c>
      <c r="F153" s="223"/>
      <c r="G153" s="224" t="s">
        <v>1682</v>
      </c>
    </row>
    <row r="154" spans="1:7" x14ac:dyDescent="0.2">
      <c r="A154" s="238" t="s">
        <v>1681</v>
      </c>
      <c r="B154" s="239"/>
      <c r="C154" s="240"/>
      <c r="D154" s="239"/>
      <c r="E154" s="239"/>
      <c r="F154" s="239"/>
      <c r="G154" s="241">
        <f>SUM(G149:G153)</f>
        <v>482.79360000000003</v>
      </c>
    </row>
    <row r="155" spans="1:7" x14ac:dyDescent="0.2">
      <c r="A155" s="227" t="s">
        <v>1684</v>
      </c>
      <c r="B155" s="132"/>
      <c r="C155" s="188"/>
      <c r="D155" s="132"/>
      <c r="E155" s="132"/>
      <c r="F155" s="132"/>
      <c r="G155" s="218"/>
    </row>
    <row r="156" spans="1:7" ht="25.5" x14ac:dyDescent="0.2">
      <c r="A156" s="229" t="s">
        <v>1409</v>
      </c>
      <c r="B156" s="242"/>
      <c r="C156" s="243"/>
      <c r="D156" s="232" t="s">
        <v>1408</v>
      </c>
      <c r="E156" s="231" t="s">
        <v>1679</v>
      </c>
      <c r="F156" s="232" t="s">
        <v>1683</v>
      </c>
      <c r="G156" s="234" t="s">
        <v>1675</v>
      </c>
    </row>
    <row r="157" spans="1:7" x14ac:dyDescent="0.2">
      <c r="A157" s="244" t="s">
        <v>997</v>
      </c>
      <c r="B157" s="132"/>
      <c r="C157" s="188"/>
      <c r="D157" s="215" t="s">
        <v>1506</v>
      </c>
      <c r="E157" s="215">
        <v>1</v>
      </c>
      <c r="F157" s="216">
        <v>1670</v>
      </c>
      <c r="G157" s="218">
        <f>E157*F157</f>
        <v>1670</v>
      </c>
    </row>
    <row r="158" spans="1:7" x14ac:dyDescent="0.2">
      <c r="A158" s="214"/>
      <c r="B158" s="132"/>
      <c r="C158" s="245"/>
      <c r="D158" s="215"/>
      <c r="E158" s="215"/>
      <c r="F158" s="216"/>
      <c r="G158" s="218"/>
    </row>
    <row r="159" spans="1:7" x14ac:dyDescent="0.2">
      <c r="A159" s="214"/>
      <c r="B159" s="132"/>
      <c r="C159" s="245"/>
      <c r="D159" s="215"/>
      <c r="E159" s="215"/>
      <c r="F159" s="216"/>
      <c r="G159" s="218"/>
    </row>
    <row r="160" spans="1:7" x14ac:dyDescent="0.2">
      <c r="A160" s="238" t="s">
        <v>1692</v>
      </c>
      <c r="B160" s="239"/>
      <c r="C160" s="240"/>
      <c r="D160" s="240"/>
      <c r="E160" s="240"/>
      <c r="F160" s="239"/>
      <c r="G160" s="241">
        <f>SUM(G157:G159)</f>
        <v>1670</v>
      </c>
    </row>
    <row r="161" spans="1:7" x14ac:dyDescent="0.2">
      <c r="A161" s="227" t="s">
        <v>1680</v>
      </c>
      <c r="B161" s="132"/>
      <c r="C161" s="188"/>
      <c r="D161" s="132"/>
      <c r="E161" s="188"/>
      <c r="F161" s="132"/>
      <c r="G161" s="218"/>
    </row>
    <row r="162" spans="1:7" ht="25.5" x14ac:dyDescent="0.2">
      <c r="A162" s="229" t="s">
        <v>1409</v>
      </c>
      <c r="B162" s="242"/>
      <c r="C162" s="243"/>
      <c r="D162" s="232" t="s">
        <v>1408</v>
      </c>
      <c r="E162" s="231" t="s">
        <v>1679</v>
      </c>
      <c r="F162" s="232" t="s">
        <v>1676</v>
      </c>
      <c r="G162" s="234" t="s">
        <v>1675</v>
      </c>
    </row>
    <row r="163" spans="1:7" x14ac:dyDescent="0.2">
      <c r="A163" s="208" t="s">
        <v>975</v>
      </c>
      <c r="B163" s="209"/>
      <c r="C163" s="246"/>
      <c r="D163" s="215" t="s">
        <v>976</v>
      </c>
      <c r="E163" s="215">
        <v>1</v>
      </c>
      <c r="F163" s="247">
        <v>5</v>
      </c>
      <c r="G163" s="218">
        <f>E163*F163</f>
        <v>5</v>
      </c>
    </row>
    <row r="164" spans="1:7" x14ac:dyDescent="0.2">
      <c r="A164" s="214"/>
      <c r="B164" s="132"/>
      <c r="C164" s="248"/>
      <c r="D164" s="215"/>
      <c r="E164" s="215"/>
      <c r="F164" s="247"/>
      <c r="G164" s="218"/>
    </row>
    <row r="165" spans="1:7" x14ac:dyDescent="0.2">
      <c r="A165" s="219" t="s">
        <v>1682</v>
      </c>
      <c r="B165" s="220"/>
      <c r="C165" s="249"/>
      <c r="D165" s="221" t="s">
        <v>1682</v>
      </c>
      <c r="E165" s="221"/>
      <c r="F165" s="222" t="s">
        <v>1682</v>
      </c>
      <c r="G165" s="224" t="s">
        <v>1682</v>
      </c>
    </row>
    <row r="166" spans="1:7" ht="13.5" thickBot="1" x14ac:dyDescent="0.25">
      <c r="A166" s="250" t="s">
        <v>977</v>
      </c>
      <c r="B166" s="251"/>
      <c r="C166" s="252"/>
      <c r="D166" s="252"/>
      <c r="E166" s="252"/>
      <c r="F166" s="251"/>
      <c r="G166" s="253">
        <f>SUM(G163:G165)</f>
        <v>5</v>
      </c>
    </row>
    <row r="167" spans="1:7" x14ac:dyDescent="0.2">
      <c r="A167" s="132"/>
      <c r="B167" s="132"/>
      <c r="C167" s="254"/>
      <c r="D167" s="198"/>
      <c r="E167" s="198"/>
      <c r="F167" s="255" t="s">
        <v>978</v>
      </c>
      <c r="G167" s="256">
        <f>G146+G154+G160+G166</f>
        <v>2167.7936</v>
      </c>
    </row>
    <row r="168" spans="1:7" x14ac:dyDescent="0.2">
      <c r="A168" s="132"/>
      <c r="B168" s="132"/>
      <c r="C168" s="257"/>
      <c r="D168" s="239"/>
      <c r="E168" s="239"/>
      <c r="F168" s="258" t="s">
        <v>979</v>
      </c>
      <c r="G168" s="241"/>
    </row>
    <row r="169" spans="1:7" x14ac:dyDescent="0.2">
      <c r="A169" s="132"/>
      <c r="B169" s="132"/>
      <c r="C169" s="257"/>
      <c r="D169" s="239"/>
      <c r="E169" s="239"/>
      <c r="F169" s="258" t="s">
        <v>980</v>
      </c>
      <c r="G169" s="241"/>
    </row>
    <row r="170" spans="1:7" x14ac:dyDescent="0.2">
      <c r="A170" s="132"/>
      <c r="B170" s="132"/>
      <c r="C170" s="257"/>
      <c r="D170" s="239"/>
      <c r="E170" s="239"/>
      <c r="F170" s="259" t="s">
        <v>1670</v>
      </c>
      <c r="G170" s="260"/>
    </row>
    <row r="171" spans="1:7" ht="13.5" thickBot="1" x14ac:dyDescent="0.25">
      <c r="A171" s="193"/>
      <c r="B171" s="132"/>
      <c r="C171" s="261"/>
      <c r="D171" s="251"/>
      <c r="E171" s="251"/>
      <c r="F171" s="262" t="s">
        <v>1650</v>
      </c>
      <c r="G171" s="263"/>
    </row>
    <row r="172" spans="1:7" ht="15.75" x14ac:dyDescent="0.2">
      <c r="A172" s="186" t="s">
        <v>1701</v>
      </c>
      <c r="B172" s="132"/>
      <c r="C172" s="187" t="s">
        <v>742</v>
      </c>
      <c r="D172" s="132"/>
      <c r="E172" s="132"/>
      <c r="F172" s="188"/>
      <c r="G172" s="132"/>
    </row>
    <row r="173" spans="1:7" ht="15.75" x14ac:dyDescent="0.2">
      <c r="A173" s="186" t="s">
        <v>1700</v>
      </c>
      <c r="B173" s="189" t="s">
        <v>963</v>
      </c>
      <c r="C173" s="188"/>
      <c r="D173" s="132"/>
      <c r="E173" s="132"/>
      <c r="F173" s="190"/>
      <c r="G173" s="191"/>
    </row>
    <row r="174" spans="1:7" ht="14.25" x14ac:dyDescent="0.2">
      <c r="A174" s="189"/>
      <c r="B174" s="189"/>
      <c r="C174" s="187"/>
      <c r="D174" s="189"/>
      <c r="E174" s="189"/>
      <c r="F174" s="189"/>
      <c r="G174" s="189"/>
    </row>
    <row r="175" spans="1:7" ht="15.75" x14ac:dyDescent="0.2">
      <c r="A175" s="186" t="s">
        <v>1697</v>
      </c>
      <c r="B175" s="189"/>
      <c r="C175" s="188"/>
      <c r="D175" s="132"/>
      <c r="E175" s="132"/>
      <c r="F175" s="132"/>
      <c r="G175" s="132"/>
    </row>
    <row r="176" spans="1:7" ht="15" x14ac:dyDescent="0.2">
      <c r="A176" s="192"/>
      <c r="B176" s="189"/>
      <c r="C176" s="187"/>
      <c r="D176" s="189"/>
      <c r="E176" s="189"/>
      <c r="F176" s="189"/>
      <c r="G176" s="189"/>
    </row>
    <row r="177" spans="1:7" ht="14.25" x14ac:dyDescent="0.2">
      <c r="A177" s="193" t="s">
        <v>594</v>
      </c>
      <c r="B177" s="194"/>
      <c r="C177" s="188"/>
      <c r="D177" s="188"/>
      <c r="E177" s="188"/>
      <c r="F177" s="195" t="s">
        <v>1696</v>
      </c>
      <c r="G177" s="189" t="s">
        <v>1506</v>
      </c>
    </row>
    <row r="178" spans="1:7" ht="14.25" x14ac:dyDescent="0.2">
      <c r="A178" s="196" t="s">
        <v>964</v>
      </c>
      <c r="B178" s="194" t="s">
        <v>998</v>
      </c>
      <c r="C178" s="188"/>
      <c r="D178" s="132"/>
      <c r="E178" s="132"/>
      <c r="F178" s="132"/>
      <c r="G178" s="132"/>
    </row>
    <row r="179" spans="1:7" ht="15" thickBot="1" x14ac:dyDescent="0.25">
      <c r="A179" s="187"/>
      <c r="B179" s="187"/>
      <c r="C179" s="187"/>
      <c r="D179" s="189"/>
      <c r="E179" s="189"/>
      <c r="F179" s="189"/>
      <c r="G179" s="189"/>
    </row>
    <row r="180" spans="1:7" x14ac:dyDescent="0.2">
      <c r="A180" s="197" t="s">
        <v>1695</v>
      </c>
      <c r="B180" s="198"/>
      <c r="C180" s="199"/>
      <c r="D180" s="198"/>
      <c r="E180" s="198"/>
      <c r="F180" s="198"/>
      <c r="G180" s="200"/>
    </row>
    <row r="181" spans="1:7" ht="25.5" x14ac:dyDescent="0.2">
      <c r="A181" s="202" t="s">
        <v>1409</v>
      </c>
      <c r="B181" s="203"/>
      <c r="C181" s="204" t="s">
        <v>966</v>
      </c>
      <c r="D181" s="205" t="s">
        <v>1694</v>
      </c>
      <c r="E181" s="205" t="s">
        <v>1693</v>
      </c>
      <c r="F181" s="206" t="s">
        <v>1687</v>
      </c>
      <c r="G181" s="207" t="s">
        <v>967</v>
      </c>
    </row>
    <row r="182" spans="1:7" x14ac:dyDescent="0.2">
      <c r="A182" s="208" t="s">
        <v>1468</v>
      </c>
      <c r="B182" s="209"/>
      <c r="C182" s="210">
        <v>1</v>
      </c>
      <c r="D182" s="211">
        <v>2.5</v>
      </c>
      <c r="E182" s="211">
        <f>C182*D182</f>
        <v>2.5</v>
      </c>
      <c r="F182" s="212">
        <v>2</v>
      </c>
      <c r="G182" s="218">
        <f>E182*F182</f>
        <v>5</v>
      </c>
    </row>
    <row r="183" spans="1:7" x14ac:dyDescent="0.2">
      <c r="A183" s="214"/>
      <c r="B183" s="132"/>
      <c r="C183" s="215"/>
      <c r="D183" s="216"/>
      <c r="E183" s="216"/>
      <c r="F183" s="217"/>
      <c r="G183" s="218"/>
    </row>
    <row r="184" spans="1:7" x14ac:dyDescent="0.2">
      <c r="A184" s="219" t="s">
        <v>1682</v>
      </c>
      <c r="B184" s="220"/>
      <c r="C184" s="221"/>
      <c r="D184" s="222" t="s">
        <v>1682</v>
      </c>
      <c r="E184" s="222" t="s">
        <v>1682</v>
      </c>
      <c r="F184" s="223"/>
      <c r="G184" s="224" t="s">
        <v>1682</v>
      </c>
    </row>
    <row r="185" spans="1:7" x14ac:dyDescent="0.2">
      <c r="A185" s="219" t="s">
        <v>968</v>
      </c>
      <c r="B185" s="220"/>
      <c r="C185" s="225"/>
      <c r="D185" s="220"/>
      <c r="E185" s="220"/>
      <c r="F185" s="226"/>
      <c r="G185" s="224">
        <f>SUM(G182:G184)</f>
        <v>5</v>
      </c>
    </row>
    <row r="186" spans="1:7" x14ac:dyDescent="0.2">
      <c r="A186" s="227" t="s">
        <v>1503</v>
      </c>
      <c r="B186" s="132"/>
      <c r="C186" s="188"/>
      <c r="D186" s="132"/>
      <c r="E186" s="132"/>
      <c r="F186" s="228"/>
      <c r="G186" s="218"/>
    </row>
    <row r="187" spans="1:7" ht="25.5" x14ac:dyDescent="0.2">
      <c r="A187" s="229" t="s">
        <v>1691</v>
      </c>
      <c r="B187" s="230"/>
      <c r="C187" s="231" t="s">
        <v>969</v>
      </c>
      <c r="D187" s="232" t="s">
        <v>1689</v>
      </c>
      <c r="E187" s="232" t="s">
        <v>1688</v>
      </c>
      <c r="F187" s="233" t="s">
        <v>1687</v>
      </c>
      <c r="G187" s="234" t="s">
        <v>1686</v>
      </c>
    </row>
    <row r="188" spans="1:7" x14ac:dyDescent="0.2">
      <c r="A188" s="235" t="s">
        <v>970</v>
      </c>
      <c r="B188" s="132"/>
      <c r="C188" s="236">
        <v>1</v>
      </c>
      <c r="D188" s="237">
        <v>2.16</v>
      </c>
      <c r="E188" s="216">
        <v>2.16</v>
      </c>
      <c r="F188" s="217">
        <v>11.07</v>
      </c>
      <c r="G188" s="218">
        <f>E188*F188</f>
        <v>23.911200000000001</v>
      </c>
    </row>
    <row r="189" spans="1:7" x14ac:dyDescent="0.2">
      <c r="A189" s="235" t="s">
        <v>971</v>
      </c>
      <c r="B189" s="132"/>
      <c r="C189" s="236">
        <v>1</v>
      </c>
      <c r="D189" s="237">
        <v>2.13</v>
      </c>
      <c r="E189" s="216">
        <f>C189*D189</f>
        <v>2.13</v>
      </c>
      <c r="F189" s="217">
        <v>8.25</v>
      </c>
      <c r="G189" s="218">
        <f>E189*F189</f>
        <v>17.572499999999998</v>
      </c>
    </row>
    <row r="190" spans="1:7" x14ac:dyDescent="0.2">
      <c r="A190" s="235" t="s">
        <v>590</v>
      </c>
      <c r="B190" s="132"/>
      <c r="C190" s="236">
        <v>1</v>
      </c>
      <c r="D190" s="237">
        <v>2.13</v>
      </c>
      <c r="E190" s="216">
        <f>C190*D190</f>
        <v>2.13</v>
      </c>
      <c r="F190" s="217">
        <v>5.85</v>
      </c>
      <c r="G190" s="218">
        <f>E190*F190</f>
        <v>12.460499999999998</v>
      </c>
    </row>
    <row r="191" spans="1:7" x14ac:dyDescent="0.2">
      <c r="A191" s="235"/>
      <c r="B191" s="132"/>
      <c r="C191" s="236"/>
      <c r="D191" s="237"/>
      <c r="E191" s="216"/>
      <c r="F191" s="217"/>
      <c r="G191" s="218"/>
    </row>
    <row r="192" spans="1:7" x14ac:dyDescent="0.2">
      <c r="A192" s="219" t="s">
        <v>1682</v>
      </c>
      <c r="B192" s="220"/>
      <c r="C192" s="221"/>
      <c r="D192" s="222" t="s">
        <v>1682</v>
      </c>
      <c r="E192" s="222" t="s">
        <v>1682</v>
      </c>
      <c r="F192" s="223"/>
      <c r="G192" s="224" t="s">
        <v>1682</v>
      </c>
    </row>
    <row r="193" spans="1:7" x14ac:dyDescent="0.2">
      <c r="A193" s="238" t="s">
        <v>1681</v>
      </c>
      <c r="B193" s="239"/>
      <c r="C193" s="240"/>
      <c r="D193" s="239"/>
      <c r="E193" s="239"/>
      <c r="F193" s="239"/>
      <c r="G193" s="241">
        <f>SUM(G188:G192)</f>
        <v>53.944199999999995</v>
      </c>
    </row>
    <row r="194" spans="1:7" x14ac:dyDescent="0.2">
      <c r="A194" s="227" t="s">
        <v>1684</v>
      </c>
      <c r="B194" s="132"/>
      <c r="C194" s="188"/>
      <c r="D194" s="132"/>
      <c r="E194" s="132"/>
      <c r="F194" s="132"/>
      <c r="G194" s="218"/>
    </row>
    <row r="195" spans="1:7" ht="25.5" x14ac:dyDescent="0.2">
      <c r="A195" s="229" t="s">
        <v>1409</v>
      </c>
      <c r="B195" s="242"/>
      <c r="C195" s="243"/>
      <c r="D195" s="232" t="s">
        <v>1408</v>
      </c>
      <c r="E195" s="231" t="s">
        <v>1679</v>
      </c>
      <c r="F195" s="232" t="s">
        <v>1683</v>
      </c>
      <c r="G195" s="234" t="s">
        <v>1675</v>
      </c>
    </row>
    <row r="196" spans="1:7" x14ac:dyDescent="0.2">
      <c r="A196" s="244" t="s">
        <v>999</v>
      </c>
      <c r="B196" s="132"/>
      <c r="C196" s="188"/>
      <c r="D196" s="215" t="s">
        <v>1506</v>
      </c>
      <c r="E196" s="215">
        <v>1</v>
      </c>
      <c r="F196" s="216">
        <v>61.8</v>
      </c>
      <c r="G196" s="218">
        <f>E196*F196</f>
        <v>61.8</v>
      </c>
    </row>
    <row r="197" spans="1:7" x14ac:dyDescent="0.2">
      <c r="A197" s="244" t="s">
        <v>1000</v>
      </c>
      <c r="B197" s="132"/>
      <c r="C197" s="188"/>
      <c r="D197" s="215"/>
      <c r="E197" s="215"/>
      <c r="F197" s="216"/>
      <c r="G197" s="218"/>
    </row>
    <row r="198" spans="1:7" x14ac:dyDescent="0.2">
      <c r="A198" s="214"/>
      <c r="B198" s="132"/>
      <c r="C198" s="245"/>
      <c r="D198" s="215"/>
      <c r="E198" s="215"/>
      <c r="F198" s="216"/>
      <c r="G198" s="218"/>
    </row>
    <row r="199" spans="1:7" x14ac:dyDescent="0.2">
      <c r="A199" s="214"/>
      <c r="B199" s="132"/>
      <c r="C199" s="245"/>
      <c r="D199" s="215"/>
      <c r="E199" s="215"/>
      <c r="F199" s="216"/>
      <c r="G199" s="218"/>
    </row>
    <row r="200" spans="1:7" x14ac:dyDescent="0.2">
      <c r="A200" s="238" t="s">
        <v>1692</v>
      </c>
      <c r="B200" s="239"/>
      <c r="C200" s="240"/>
      <c r="D200" s="240"/>
      <c r="E200" s="240"/>
      <c r="F200" s="239"/>
      <c r="G200" s="241">
        <f>SUM(G196:G199)</f>
        <v>61.8</v>
      </c>
    </row>
    <row r="201" spans="1:7" x14ac:dyDescent="0.2">
      <c r="A201" s="227" t="s">
        <v>1680</v>
      </c>
      <c r="B201" s="132"/>
      <c r="C201" s="188"/>
      <c r="D201" s="132"/>
      <c r="E201" s="188"/>
      <c r="F201" s="132"/>
      <c r="G201" s="218"/>
    </row>
    <row r="202" spans="1:7" ht="25.5" x14ac:dyDescent="0.2">
      <c r="A202" s="229" t="s">
        <v>1409</v>
      </c>
      <c r="B202" s="242"/>
      <c r="C202" s="243"/>
      <c r="D202" s="232" t="s">
        <v>1408</v>
      </c>
      <c r="E202" s="231" t="s">
        <v>1679</v>
      </c>
      <c r="F202" s="232" t="s">
        <v>1676</v>
      </c>
      <c r="G202" s="234" t="s">
        <v>1675</v>
      </c>
    </row>
    <row r="203" spans="1:7" x14ac:dyDescent="0.2">
      <c r="A203" s="208" t="s">
        <v>975</v>
      </c>
      <c r="B203" s="209"/>
      <c r="C203" s="246"/>
      <c r="D203" s="215" t="s">
        <v>976</v>
      </c>
      <c r="E203" s="215">
        <v>0.3</v>
      </c>
      <c r="F203" s="247">
        <v>5</v>
      </c>
      <c r="G203" s="218">
        <f>E203*F203</f>
        <v>1.5</v>
      </c>
    </row>
    <row r="204" spans="1:7" x14ac:dyDescent="0.2">
      <c r="A204" s="214"/>
      <c r="B204" s="132"/>
      <c r="C204" s="248"/>
      <c r="D204" s="215"/>
      <c r="E204" s="215"/>
      <c r="F204" s="247"/>
      <c r="G204" s="218"/>
    </row>
    <row r="205" spans="1:7" x14ac:dyDescent="0.2">
      <c r="A205" s="219" t="s">
        <v>1682</v>
      </c>
      <c r="B205" s="220"/>
      <c r="C205" s="249"/>
      <c r="D205" s="221" t="s">
        <v>1682</v>
      </c>
      <c r="E205" s="221"/>
      <c r="F205" s="222" t="s">
        <v>1682</v>
      </c>
      <c r="G205" s="224" t="s">
        <v>1682</v>
      </c>
    </row>
    <row r="206" spans="1:7" ht="13.5" thickBot="1" x14ac:dyDescent="0.25">
      <c r="A206" s="250" t="s">
        <v>977</v>
      </c>
      <c r="B206" s="251"/>
      <c r="C206" s="252"/>
      <c r="D206" s="252"/>
      <c r="E206" s="252"/>
      <c r="F206" s="251"/>
      <c r="G206" s="253">
        <f>SUM(G203:G205)</f>
        <v>1.5</v>
      </c>
    </row>
    <row r="207" spans="1:7" x14ac:dyDescent="0.2">
      <c r="A207" s="132"/>
      <c r="B207" s="132"/>
      <c r="C207" s="254"/>
      <c r="D207" s="198"/>
      <c r="E207" s="198"/>
      <c r="F207" s="255" t="s">
        <v>978</v>
      </c>
      <c r="G207" s="256">
        <f>G185+G193+G200+G206</f>
        <v>122.24419999999999</v>
      </c>
    </row>
    <row r="208" spans="1:7" x14ac:dyDescent="0.2">
      <c r="A208" s="132"/>
      <c r="B208" s="132"/>
      <c r="C208" s="257"/>
      <c r="D208" s="239"/>
      <c r="E208" s="239"/>
      <c r="F208" s="258" t="s">
        <v>979</v>
      </c>
      <c r="G208" s="241"/>
    </row>
    <row r="209" spans="1:7" x14ac:dyDescent="0.2">
      <c r="A209" s="132"/>
      <c r="B209" s="132"/>
      <c r="C209" s="257"/>
      <c r="D209" s="239"/>
      <c r="E209" s="239"/>
      <c r="F209" s="258" t="s">
        <v>980</v>
      </c>
      <c r="G209" s="241"/>
    </row>
    <row r="210" spans="1:7" x14ac:dyDescent="0.2">
      <c r="A210" s="132"/>
      <c r="B210" s="132"/>
      <c r="C210" s="257"/>
      <c r="D210" s="239"/>
      <c r="E210" s="239"/>
      <c r="F210" s="259" t="s">
        <v>1670</v>
      </c>
      <c r="G210" s="260"/>
    </row>
    <row r="211" spans="1:7" ht="13.5" thickBot="1" x14ac:dyDescent="0.25">
      <c r="A211" s="193"/>
      <c r="B211" s="132"/>
      <c r="C211" s="261"/>
      <c r="D211" s="251"/>
      <c r="E211" s="251"/>
      <c r="F211" s="262" t="s">
        <v>1650</v>
      </c>
      <c r="G211" s="263"/>
    </row>
    <row r="212" spans="1:7" ht="15.75" x14ac:dyDescent="0.2">
      <c r="A212" s="186" t="s">
        <v>1701</v>
      </c>
      <c r="B212" s="132"/>
      <c r="C212" s="187" t="s">
        <v>742</v>
      </c>
      <c r="D212" s="132"/>
      <c r="E212" s="132"/>
      <c r="F212" s="188"/>
      <c r="G212" s="132"/>
    </row>
    <row r="213" spans="1:7" ht="15.75" x14ac:dyDescent="0.2">
      <c r="A213" s="186" t="s">
        <v>1700</v>
      </c>
      <c r="B213" s="189" t="s">
        <v>963</v>
      </c>
      <c r="C213" s="188"/>
      <c r="D213" s="132"/>
      <c r="E213" s="132"/>
      <c r="F213" s="190"/>
      <c r="G213" s="191"/>
    </row>
    <row r="214" spans="1:7" ht="14.25" x14ac:dyDescent="0.2">
      <c r="A214" s="189"/>
      <c r="B214" s="189"/>
      <c r="C214" s="187"/>
      <c r="D214" s="189"/>
      <c r="E214" s="189"/>
      <c r="F214" s="189"/>
      <c r="G214" s="189"/>
    </row>
    <row r="215" spans="1:7" ht="15.75" x14ac:dyDescent="0.2">
      <c r="A215" s="186" t="s">
        <v>1697</v>
      </c>
      <c r="B215" s="189"/>
      <c r="C215" s="188"/>
      <c r="D215" s="132"/>
      <c r="E215" s="132"/>
      <c r="F215" s="132"/>
      <c r="G215" s="132"/>
    </row>
    <row r="216" spans="1:7" ht="15" x14ac:dyDescent="0.2">
      <c r="A216" s="192"/>
      <c r="B216" s="189"/>
      <c r="C216" s="187"/>
      <c r="D216" s="189"/>
      <c r="E216" s="189"/>
      <c r="F216" s="189"/>
      <c r="G216" s="189"/>
    </row>
    <row r="217" spans="1:7" ht="14.25" x14ac:dyDescent="0.2">
      <c r="A217" s="193" t="s">
        <v>594</v>
      </c>
      <c r="B217" s="194"/>
      <c r="C217" s="188"/>
      <c r="D217" s="188"/>
      <c r="E217" s="188"/>
      <c r="F217" s="195" t="s">
        <v>1696</v>
      </c>
      <c r="G217" s="189" t="s">
        <v>1506</v>
      </c>
    </row>
    <row r="218" spans="1:7" ht="14.25" x14ac:dyDescent="0.2">
      <c r="A218" s="196" t="s">
        <v>964</v>
      </c>
      <c r="B218" s="194" t="s">
        <v>1001</v>
      </c>
      <c r="C218" s="188"/>
      <c r="D218" s="132"/>
      <c r="E218" s="132"/>
      <c r="F218" s="132"/>
      <c r="G218" s="132"/>
    </row>
    <row r="219" spans="1:7" ht="15" thickBot="1" x14ac:dyDescent="0.25">
      <c r="A219" s="187"/>
      <c r="B219" s="187"/>
      <c r="C219" s="187"/>
      <c r="D219" s="189"/>
      <c r="E219" s="189"/>
      <c r="F219" s="189"/>
      <c r="G219" s="189"/>
    </row>
    <row r="220" spans="1:7" x14ac:dyDescent="0.2">
      <c r="A220" s="197" t="s">
        <v>1695</v>
      </c>
      <c r="B220" s="198"/>
      <c r="C220" s="199"/>
      <c r="D220" s="198"/>
      <c r="E220" s="198"/>
      <c r="F220" s="198"/>
      <c r="G220" s="200"/>
    </row>
    <row r="221" spans="1:7" ht="25.5" x14ac:dyDescent="0.2">
      <c r="A221" s="202" t="s">
        <v>1409</v>
      </c>
      <c r="B221" s="203"/>
      <c r="C221" s="204" t="s">
        <v>966</v>
      </c>
      <c r="D221" s="205" t="s">
        <v>1694</v>
      </c>
      <c r="E221" s="205" t="s">
        <v>1693</v>
      </c>
      <c r="F221" s="206" t="s">
        <v>1687</v>
      </c>
      <c r="G221" s="207" t="s">
        <v>967</v>
      </c>
    </row>
    <row r="222" spans="1:7" x14ac:dyDescent="0.2">
      <c r="A222" s="208" t="s">
        <v>1468</v>
      </c>
      <c r="B222" s="209"/>
      <c r="C222" s="210">
        <v>1</v>
      </c>
      <c r="D222" s="211">
        <v>2.5</v>
      </c>
      <c r="E222" s="211">
        <f>C222*D222</f>
        <v>2.5</v>
      </c>
      <c r="F222" s="212">
        <v>2</v>
      </c>
      <c r="G222" s="218">
        <f>E222*F222</f>
        <v>5</v>
      </c>
    </row>
    <row r="223" spans="1:7" x14ac:dyDescent="0.2">
      <c r="A223" s="214"/>
      <c r="B223" s="132"/>
      <c r="C223" s="215"/>
      <c r="D223" s="216"/>
      <c r="E223" s="216"/>
      <c r="F223" s="217"/>
      <c r="G223" s="218"/>
    </row>
    <row r="224" spans="1:7" x14ac:dyDescent="0.2">
      <c r="A224" s="219" t="s">
        <v>1682</v>
      </c>
      <c r="B224" s="220"/>
      <c r="C224" s="221"/>
      <c r="D224" s="222" t="s">
        <v>1682</v>
      </c>
      <c r="E224" s="222" t="s">
        <v>1682</v>
      </c>
      <c r="F224" s="223"/>
      <c r="G224" s="224" t="s">
        <v>1682</v>
      </c>
    </row>
    <row r="225" spans="1:7" x14ac:dyDescent="0.2">
      <c r="A225" s="219" t="s">
        <v>968</v>
      </c>
      <c r="B225" s="220"/>
      <c r="C225" s="225"/>
      <c r="D225" s="220"/>
      <c r="E225" s="220"/>
      <c r="F225" s="226"/>
      <c r="G225" s="224">
        <f>SUM(G222:G224)</f>
        <v>5</v>
      </c>
    </row>
    <row r="226" spans="1:7" x14ac:dyDescent="0.2">
      <c r="A226" s="227" t="s">
        <v>1503</v>
      </c>
      <c r="B226" s="132"/>
      <c r="C226" s="188"/>
      <c r="D226" s="132"/>
      <c r="E226" s="132"/>
      <c r="F226" s="228"/>
      <c r="G226" s="218"/>
    </row>
    <row r="227" spans="1:7" ht="25.5" x14ac:dyDescent="0.2">
      <c r="A227" s="229" t="s">
        <v>1691</v>
      </c>
      <c r="B227" s="230"/>
      <c r="C227" s="231" t="s">
        <v>969</v>
      </c>
      <c r="D227" s="232" t="s">
        <v>1689</v>
      </c>
      <c r="E227" s="232" t="s">
        <v>1688</v>
      </c>
      <c r="F227" s="233" t="s">
        <v>1687</v>
      </c>
      <c r="G227" s="234" t="s">
        <v>1686</v>
      </c>
    </row>
    <row r="228" spans="1:7" x14ac:dyDescent="0.2">
      <c r="A228" s="235" t="s">
        <v>970</v>
      </c>
      <c r="B228" s="132"/>
      <c r="C228" s="236">
        <v>1</v>
      </c>
      <c r="D228" s="237">
        <v>2.16</v>
      </c>
      <c r="E228" s="216">
        <v>2.16</v>
      </c>
      <c r="F228" s="217">
        <v>11.07</v>
      </c>
      <c r="G228" s="218">
        <f>E228*F228</f>
        <v>23.911200000000001</v>
      </c>
    </row>
    <row r="229" spans="1:7" x14ac:dyDescent="0.2">
      <c r="A229" s="235" t="s">
        <v>971</v>
      </c>
      <c r="B229" s="132"/>
      <c r="C229" s="236">
        <v>1</v>
      </c>
      <c r="D229" s="237">
        <v>2.13</v>
      </c>
      <c r="E229" s="216">
        <f>C229*D229</f>
        <v>2.13</v>
      </c>
      <c r="F229" s="217">
        <v>8.25</v>
      </c>
      <c r="G229" s="218">
        <f>E229*F229</f>
        <v>17.572499999999998</v>
      </c>
    </row>
    <row r="230" spans="1:7" x14ac:dyDescent="0.2">
      <c r="A230" s="235" t="s">
        <v>590</v>
      </c>
      <c r="B230" s="132"/>
      <c r="C230" s="236">
        <v>1</v>
      </c>
      <c r="D230" s="237">
        <v>2.13</v>
      </c>
      <c r="E230" s="216">
        <f>C230*D230</f>
        <v>2.13</v>
      </c>
      <c r="F230" s="217">
        <v>5.85</v>
      </c>
      <c r="G230" s="218">
        <f>E230*F230</f>
        <v>12.460499999999998</v>
      </c>
    </row>
    <row r="231" spans="1:7" x14ac:dyDescent="0.2">
      <c r="A231" s="235"/>
      <c r="B231" s="132"/>
      <c r="C231" s="236"/>
      <c r="D231" s="237"/>
      <c r="E231" s="216"/>
      <c r="F231" s="217"/>
      <c r="G231" s="218"/>
    </row>
    <row r="232" spans="1:7" x14ac:dyDescent="0.2">
      <c r="A232" s="219" t="s">
        <v>1682</v>
      </c>
      <c r="B232" s="220"/>
      <c r="C232" s="221"/>
      <c r="D232" s="222" t="s">
        <v>1682</v>
      </c>
      <c r="E232" s="222" t="s">
        <v>1682</v>
      </c>
      <c r="F232" s="223"/>
      <c r="G232" s="224" t="s">
        <v>1682</v>
      </c>
    </row>
    <row r="233" spans="1:7" x14ac:dyDescent="0.2">
      <c r="A233" s="238" t="s">
        <v>1681</v>
      </c>
      <c r="B233" s="239"/>
      <c r="C233" s="240"/>
      <c r="D233" s="239"/>
      <c r="E233" s="239"/>
      <c r="F233" s="239"/>
      <c r="G233" s="241">
        <f>SUM(G228:G232)</f>
        <v>53.944199999999995</v>
      </c>
    </row>
    <row r="234" spans="1:7" x14ac:dyDescent="0.2">
      <c r="A234" s="227" t="s">
        <v>1684</v>
      </c>
      <c r="B234" s="132"/>
      <c r="C234" s="188"/>
      <c r="D234" s="132"/>
      <c r="E234" s="132"/>
      <c r="F234" s="132"/>
      <c r="G234" s="218"/>
    </row>
    <row r="235" spans="1:7" ht="25.5" x14ac:dyDescent="0.2">
      <c r="A235" s="229" t="s">
        <v>1409</v>
      </c>
      <c r="B235" s="242"/>
      <c r="C235" s="243"/>
      <c r="D235" s="232" t="s">
        <v>1408</v>
      </c>
      <c r="E235" s="231" t="s">
        <v>1679</v>
      </c>
      <c r="F235" s="232" t="s">
        <v>1683</v>
      </c>
      <c r="G235" s="234" t="s">
        <v>1675</v>
      </c>
    </row>
    <row r="236" spans="1:7" x14ac:dyDescent="0.2">
      <c r="A236" s="244" t="s">
        <v>1002</v>
      </c>
      <c r="B236" s="132"/>
      <c r="C236" s="188"/>
      <c r="D236" s="215" t="s">
        <v>1506</v>
      </c>
      <c r="E236" s="215">
        <v>1</v>
      </c>
      <c r="F236" s="216">
        <v>489.4</v>
      </c>
      <c r="G236" s="218">
        <f>E236*F236</f>
        <v>489.4</v>
      </c>
    </row>
    <row r="237" spans="1:7" x14ac:dyDescent="0.2">
      <c r="A237" s="214"/>
      <c r="B237" s="132"/>
      <c r="C237" s="245"/>
      <c r="D237" s="215"/>
      <c r="E237" s="215"/>
      <c r="F237" s="216"/>
      <c r="G237" s="218"/>
    </row>
    <row r="238" spans="1:7" x14ac:dyDescent="0.2">
      <c r="A238" s="214"/>
      <c r="B238" s="132"/>
      <c r="C238" s="245"/>
      <c r="D238" s="215"/>
      <c r="E238" s="215"/>
      <c r="F238" s="216"/>
      <c r="G238" s="218"/>
    </row>
    <row r="239" spans="1:7" x14ac:dyDescent="0.2">
      <c r="A239" s="238" t="s">
        <v>1692</v>
      </c>
      <c r="B239" s="239"/>
      <c r="C239" s="240"/>
      <c r="D239" s="240"/>
      <c r="E239" s="240"/>
      <c r="F239" s="239"/>
      <c r="G239" s="241">
        <f>SUM(G236:G238)</f>
        <v>489.4</v>
      </c>
    </row>
    <row r="240" spans="1:7" x14ac:dyDescent="0.2">
      <c r="A240" s="227" t="s">
        <v>1680</v>
      </c>
      <c r="B240" s="132"/>
      <c r="C240" s="188"/>
      <c r="D240" s="132"/>
      <c r="E240" s="188"/>
      <c r="F240" s="132"/>
      <c r="G240" s="218"/>
    </row>
    <row r="241" spans="1:7" ht="25.5" x14ac:dyDescent="0.2">
      <c r="A241" s="229" t="s">
        <v>1409</v>
      </c>
      <c r="B241" s="242"/>
      <c r="C241" s="243"/>
      <c r="D241" s="232" t="s">
        <v>1408</v>
      </c>
      <c r="E241" s="231" t="s">
        <v>1679</v>
      </c>
      <c r="F241" s="232" t="s">
        <v>1676</v>
      </c>
      <c r="G241" s="234" t="s">
        <v>1675</v>
      </c>
    </row>
    <row r="242" spans="1:7" x14ac:dyDescent="0.2">
      <c r="A242" s="208" t="s">
        <v>975</v>
      </c>
      <c r="B242" s="209"/>
      <c r="C242" s="246"/>
      <c r="D242" s="215" t="s">
        <v>976</v>
      </c>
      <c r="E242" s="215">
        <v>0.3</v>
      </c>
      <c r="F242" s="247">
        <v>5</v>
      </c>
      <c r="G242" s="218">
        <f>E242*F242</f>
        <v>1.5</v>
      </c>
    </row>
    <row r="243" spans="1:7" x14ac:dyDescent="0.2">
      <c r="A243" s="214"/>
      <c r="B243" s="132"/>
      <c r="C243" s="248"/>
      <c r="D243" s="215"/>
      <c r="E243" s="215"/>
      <c r="F243" s="247"/>
      <c r="G243" s="218"/>
    </row>
    <row r="244" spans="1:7" x14ac:dyDescent="0.2">
      <c r="A244" s="219" t="s">
        <v>1682</v>
      </c>
      <c r="B244" s="220"/>
      <c r="C244" s="249"/>
      <c r="D244" s="221" t="s">
        <v>1682</v>
      </c>
      <c r="E244" s="221"/>
      <c r="F244" s="222" t="s">
        <v>1682</v>
      </c>
      <c r="G244" s="224" t="s">
        <v>1682</v>
      </c>
    </row>
    <row r="245" spans="1:7" ht="13.5" thickBot="1" x14ac:dyDescent="0.25">
      <c r="A245" s="250" t="s">
        <v>977</v>
      </c>
      <c r="B245" s="251"/>
      <c r="C245" s="252"/>
      <c r="D245" s="252"/>
      <c r="E245" s="252"/>
      <c r="F245" s="251"/>
      <c r="G245" s="253">
        <f>SUM(G242:G244)</f>
        <v>1.5</v>
      </c>
    </row>
    <row r="246" spans="1:7" x14ac:dyDescent="0.2">
      <c r="A246" s="132"/>
      <c r="B246" s="132"/>
      <c r="C246" s="254"/>
      <c r="D246" s="198"/>
      <c r="E246" s="198"/>
      <c r="F246" s="255" t="s">
        <v>978</v>
      </c>
      <c r="G246" s="256">
        <f>G225+G233+G239+G245</f>
        <v>549.8442</v>
      </c>
    </row>
    <row r="247" spans="1:7" x14ac:dyDescent="0.2">
      <c r="A247" s="132"/>
      <c r="B247" s="132"/>
      <c r="C247" s="257"/>
      <c r="D247" s="239"/>
      <c r="E247" s="239"/>
      <c r="F247" s="258" t="s">
        <v>979</v>
      </c>
      <c r="G247" s="241"/>
    </row>
    <row r="248" spans="1:7" x14ac:dyDescent="0.2">
      <c r="A248" s="132"/>
      <c r="B248" s="132"/>
      <c r="C248" s="257"/>
      <c r="D248" s="239"/>
      <c r="E248" s="239"/>
      <c r="F248" s="258" t="s">
        <v>980</v>
      </c>
      <c r="G248" s="241"/>
    </row>
    <row r="249" spans="1:7" x14ac:dyDescent="0.2">
      <c r="A249" s="132"/>
      <c r="B249" s="132"/>
      <c r="C249" s="257"/>
      <c r="D249" s="239"/>
      <c r="E249" s="239"/>
      <c r="F249" s="259" t="s">
        <v>1670</v>
      </c>
      <c r="G249" s="260"/>
    </row>
    <row r="250" spans="1:7" ht="13.5" thickBot="1" x14ac:dyDescent="0.25">
      <c r="A250" s="193"/>
      <c r="B250" s="132"/>
      <c r="C250" s="261"/>
      <c r="D250" s="251"/>
      <c r="E250" s="251"/>
      <c r="F250" s="262" t="s">
        <v>1650</v>
      </c>
      <c r="G250" s="263"/>
    </row>
    <row r="251" spans="1:7" ht="15.75" x14ac:dyDescent="0.2">
      <c r="A251" s="186" t="s">
        <v>1701</v>
      </c>
      <c r="B251" s="132"/>
      <c r="C251" s="187" t="s">
        <v>742</v>
      </c>
      <c r="D251" s="132"/>
      <c r="E251" s="132"/>
      <c r="F251" s="188"/>
      <c r="G251" s="132"/>
    </row>
    <row r="252" spans="1:7" ht="15.75" x14ac:dyDescent="0.2">
      <c r="A252" s="186" t="s">
        <v>1700</v>
      </c>
      <c r="B252" s="189" t="s">
        <v>963</v>
      </c>
      <c r="C252" s="188"/>
      <c r="D252" s="132"/>
      <c r="E252" s="132"/>
      <c r="F252" s="190"/>
      <c r="G252" s="191"/>
    </row>
    <row r="253" spans="1:7" ht="14.25" x14ac:dyDescent="0.2">
      <c r="A253" s="189"/>
      <c r="B253" s="189"/>
      <c r="C253" s="187"/>
      <c r="D253" s="189"/>
      <c r="E253" s="189"/>
      <c r="F253" s="189"/>
      <c r="G253" s="189"/>
    </row>
    <row r="254" spans="1:7" ht="15.75" x14ac:dyDescent="0.2">
      <c r="A254" s="186" t="s">
        <v>1697</v>
      </c>
      <c r="B254" s="189"/>
      <c r="C254" s="188"/>
      <c r="D254" s="132"/>
      <c r="E254" s="132"/>
      <c r="F254" s="132"/>
      <c r="G254" s="132"/>
    </row>
    <row r="255" spans="1:7" ht="15" x14ac:dyDescent="0.2">
      <c r="A255" s="192"/>
      <c r="B255" s="189"/>
      <c r="C255" s="187"/>
      <c r="D255" s="189"/>
      <c r="E255" s="189"/>
      <c r="F255" s="189"/>
      <c r="G255" s="189"/>
    </row>
    <row r="256" spans="1:7" ht="14.25" x14ac:dyDescent="0.2">
      <c r="A256" s="193" t="s">
        <v>594</v>
      </c>
      <c r="B256" s="194"/>
      <c r="C256" s="188"/>
      <c r="D256" s="188"/>
      <c r="E256" s="188"/>
      <c r="F256" s="195" t="s">
        <v>1696</v>
      </c>
      <c r="G256" s="189" t="s">
        <v>1506</v>
      </c>
    </row>
    <row r="257" spans="1:7" ht="14.25" x14ac:dyDescent="0.2">
      <c r="A257" s="196" t="s">
        <v>964</v>
      </c>
      <c r="B257" s="194" t="s">
        <v>1003</v>
      </c>
      <c r="C257" s="188"/>
      <c r="D257" s="132"/>
      <c r="E257" s="132"/>
      <c r="F257" s="132"/>
      <c r="G257" s="132"/>
    </row>
    <row r="258" spans="1:7" ht="15" thickBot="1" x14ac:dyDescent="0.25">
      <c r="A258" s="187"/>
      <c r="B258" s="187"/>
      <c r="C258" s="187"/>
      <c r="D258" s="189"/>
      <c r="E258" s="189"/>
      <c r="F258" s="189"/>
      <c r="G258" s="189"/>
    </row>
    <row r="259" spans="1:7" x14ac:dyDescent="0.2">
      <c r="A259" s="197" t="s">
        <v>1695</v>
      </c>
      <c r="B259" s="198"/>
      <c r="C259" s="199"/>
      <c r="D259" s="198"/>
      <c r="E259" s="198"/>
      <c r="F259" s="198"/>
      <c r="G259" s="200"/>
    </row>
    <row r="260" spans="1:7" ht="25.5" x14ac:dyDescent="0.2">
      <c r="A260" s="202" t="s">
        <v>1409</v>
      </c>
      <c r="B260" s="203"/>
      <c r="C260" s="204" t="s">
        <v>966</v>
      </c>
      <c r="D260" s="205" t="s">
        <v>1694</v>
      </c>
      <c r="E260" s="205" t="s">
        <v>1693</v>
      </c>
      <c r="F260" s="206" t="s">
        <v>1687</v>
      </c>
      <c r="G260" s="207" t="s">
        <v>967</v>
      </c>
    </row>
    <row r="261" spans="1:7" x14ac:dyDescent="0.2">
      <c r="A261" s="208" t="s">
        <v>1468</v>
      </c>
      <c r="B261" s="209"/>
      <c r="C261" s="210">
        <v>1</v>
      </c>
      <c r="D261" s="211">
        <v>2.5</v>
      </c>
      <c r="E261" s="211">
        <f>C261*D261</f>
        <v>2.5</v>
      </c>
      <c r="F261" s="212">
        <v>0.3</v>
      </c>
      <c r="G261" s="218">
        <f>E261*F261</f>
        <v>0.75</v>
      </c>
    </row>
    <row r="262" spans="1:7" x14ac:dyDescent="0.2">
      <c r="A262" s="214"/>
      <c r="B262" s="132"/>
      <c r="C262" s="215"/>
      <c r="D262" s="216"/>
      <c r="E262" s="216"/>
      <c r="F262" s="217"/>
      <c r="G262" s="218"/>
    </row>
    <row r="263" spans="1:7" x14ac:dyDescent="0.2">
      <c r="A263" s="219" t="s">
        <v>1682</v>
      </c>
      <c r="B263" s="220"/>
      <c r="C263" s="221"/>
      <c r="D263" s="222" t="s">
        <v>1682</v>
      </c>
      <c r="E263" s="222" t="s">
        <v>1682</v>
      </c>
      <c r="F263" s="223"/>
      <c r="G263" s="224" t="s">
        <v>1682</v>
      </c>
    </row>
    <row r="264" spans="1:7" x14ac:dyDescent="0.2">
      <c r="A264" s="219" t="s">
        <v>968</v>
      </c>
      <c r="B264" s="220"/>
      <c r="C264" s="225"/>
      <c r="D264" s="220"/>
      <c r="E264" s="220"/>
      <c r="F264" s="226"/>
      <c r="G264" s="224">
        <f>SUM(G261:G263)</f>
        <v>0.75</v>
      </c>
    </row>
    <row r="265" spans="1:7" x14ac:dyDescent="0.2">
      <c r="A265" s="227" t="s">
        <v>1503</v>
      </c>
      <c r="B265" s="132"/>
      <c r="C265" s="188"/>
      <c r="D265" s="132"/>
      <c r="E265" s="132"/>
      <c r="F265" s="228"/>
      <c r="G265" s="218"/>
    </row>
    <row r="266" spans="1:7" ht="25.5" x14ac:dyDescent="0.2">
      <c r="A266" s="229" t="s">
        <v>1691</v>
      </c>
      <c r="B266" s="230"/>
      <c r="C266" s="231" t="s">
        <v>969</v>
      </c>
      <c r="D266" s="232" t="s">
        <v>1689</v>
      </c>
      <c r="E266" s="232" t="s">
        <v>1688</v>
      </c>
      <c r="F266" s="233" t="s">
        <v>1687</v>
      </c>
      <c r="G266" s="234" t="s">
        <v>1686</v>
      </c>
    </row>
    <row r="267" spans="1:7" x14ac:dyDescent="0.2">
      <c r="A267" s="235" t="s">
        <v>970</v>
      </c>
      <c r="B267" s="132"/>
      <c r="C267" s="236">
        <v>1</v>
      </c>
      <c r="D267" s="237">
        <v>2.16</v>
      </c>
      <c r="E267" s="216">
        <v>2.16</v>
      </c>
      <c r="F267" s="217">
        <v>1.84</v>
      </c>
      <c r="G267" s="218">
        <f>E267*F267</f>
        <v>3.9744000000000006</v>
      </c>
    </row>
    <row r="268" spans="1:7" x14ac:dyDescent="0.2">
      <c r="A268" s="235" t="s">
        <v>971</v>
      </c>
      <c r="B268" s="132"/>
      <c r="C268" s="236">
        <v>1</v>
      </c>
      <c r="D268" s="237">
        <v>2.13</v>
      </c>
      <c r="E268" s="216">
        <f>C268*D268</f>
        <v>2.13</v>
      </c>
      <c r="F268" s="217">
        <v>1.38</v>
      </c>
      <c r="G268" s="218">
        <f>E268*F268</f>
        <v>2.9393999999999996</v>
      </c>
    </row>
    <row r="269" spans="1:7" x14ac:dyDescent="0.2">
      <c r="A269" s="235" t="s">
        <v>590</v>
      </c>
      <c r="B269" s="132"/>
      <c r="C269" s="236">
        <v>1</v>
      </c>
      <c r="D269" s="237">
        <v>2.13</v>
      </c>
      <c r="E269" s="216">
        <f>C269*D269</f>
        <v>2.13</v>
      </c>
      <c r="F269" s="217">
        <v>0.98</v>
      </c>
      <c r="G269" s="218">
        <f>E269*F269</f>
        <v>2.0873999999999997</v>
      </c>
    </row>
    <row r="270" spans="1:7" x14ac:dyDescent="0.2">
      <c r="A270" s="235"/>
      <c r="B270" s="132"/>
      <c r="C270" s="236"/>
      <c r="D270" s="237"/>
      <c r="E270" s="216"/>
      <c r="F270" s="217"/>
      <c r="G270" s="218"/>
    </row>
    <row r="271" spans="1:7" x14ac:dyDescent="0.2">
      <c r="A271" s="219" t="s">
        <v>1682</v>
      </c>
      <c r="B271" s="220"/>
      <c r="C271" s="221"/>
      <c r="D271" s="222" t="s">
        <v>1682</v>
      </c>
      <c r="E271" s="222" t="s">
        <v>1682</v>
      </c>
      <c r="F271" s="223"/>
      <c r="G271" s="224" t="s">
        <v>1682</v>
      </c>
    </row>
    <row r="272" spans="1:7" x14ac:dyDescent="0.2">
      <c r="A272" s="238" t="s">
        <v>1681</v>
      </c>
      <c r="B272" s="239"/>
      <c r="C272" s="240"/>
      <c r="D272" s="239"/>
      <c r="E272" s="239"/>
      <c r="F272" s="239"/>
      <c r="G272" s="241">
        <f>SUM(G267:G271)</f>
        <v>9.0012000000000008</v>
      </c>
    </row>
    <row r="273" spans="1:7" x14ac:dyDescent="0.2">
      <c r="A273" s="227" t="s">
        <v>1684</v>
      </c>
      <c r="B273" s="132"/>
      <c r="C273" s="188"/>
      <c r="D273" s="132"/>
      <c r="E273" s="132"/>
      <c r="F273" s="132"/>
      <c r="G273" s="218"/>
    </row>
    <row r="274" spans="1:7" ht="25.5" x14ac:dyDescent="0.2">
      <c r="A274" s="229" t="s">
        <v>1409</v>
      </c>
      <c r="B274" s="242"/>
      <c r="C274" s="243"/>
      <c r="D274" s="232" t="s">
        <v>1408</v>
      </c>
      <c r="E274" s="231" t="s">
        <v>1679</v>
      </c>
      <c r="F274" s="232" t="s">
        <v>1683</v>
      </c>
      <c r="G274" s="234" t="s">
        <v>1675</v>
      </c>
    </row>
    <row r="275" spans="1:7" x14ac:dyDescent="0.2">
      <c r="A275" s="244" t="s">
        <v>1004</v>
      </c>
      <c r="B275" s="132"/>
      <c r="C275" s="188"/>
      <c r="D275" s="215" t="s">
        <v>1506</v>
      </c>
      <c r="E275" s="215">
        <v>1</v>
      </c>
      <c r="F275" s="216">
        <v>72</v>
      </c>
      <c r="G275" s="218">
        <f>E275*F275</f>
        <v>72</v>
      </c>
    </row>
    <row r="276" spans="1:7" x14ac:dyDescent="0.2">
      <c r="A276" s="214"/>
      <c r="B276" s="132"/>
      <c r="C276" s="245"/>
      <c r="D276" s="215"/>
      <c r="E276" s="215"/>
      <c r="F276" s="216"/>
      <c r="G276" s="218"/>
    </row>
    <row r="277" spans="1:7" x14ac:dyDescent="0.2">
      <c r="A277" s="214"/>
      <c r="B277" s="132"/>
      <c r="C277" s="245"/>
      <c r="D277" s="215"/>
      <c r="E277" s="215"/>
      <c r="F277" s="216"/>
      <c r="G277" s="218"/>
    </row>
    <row r="278" spans="1:7" x14ac:dyDescent="0.2">
      <c r="A278" s="238" t="s">
        <v>1692</v>
      </c>
      <c r="B278" s="239"/>
      <c r="C278" s="240"/>
      <c r="D278" s="240"/>
      <c r="E278" s="240"/>
      <c r="F278" s="239"/>
      <c r="G278" s="241">
        <f>SUM(G275:G277)</f>
        <v>72</v>
      </c>
    </row>
    <row r="279" spans="1:7" x14ac:dyDescent="0.2">
      <c r="A279" s="227" t="s">
        <v>1680</v>
      </c>
      <c r="B279" s="132"/>
      <c r="C279" s="188"/>
      <c r="D279" s="132"/>
      <c r="E279" s="188"/>
      <c r="F279" s="132"/>
      <c r="G279" s="218"/>
    </row>
    <row r="280" spans="1:7" ht="25.5" x14ac:dyDescent="0.2">
      <c r="A280" s="229" t="s">
        <v>1409</v>
      </c>
      <c r="B280" s="242"/>
      <c r="C280" s="243"/>
      <c r="D280" s="232" t="s">
        <v>1408</v>
      </c>
      <c r="E280" s="231" t="s">
        <v>1679</v>
      </c>
      <c r="F280" s="232" t="s">
        <v>1676</v>
      </c>
      <c r="G280" s="234" t="s">
        <v>1675</v>
      </c>
    </row>
    <row r="281" spans="1:7" x14ac:dyDescent="0.2">
      <c r="A281" s="208" t="s">
        <v>975</v>
      </c>
      <c r="B281" s="209"/>
      <c r="C281" s="246"/>
      <c r="D281" s="215" t="s">
        <v>976</v>
      </c>
      <c r="E281" s="215">
        <v>0.1</v>
      </c>
      <c r="F281" s="247">
        <v>5</v>
      </c>
      <c r="G281" s="218">
        <f>E281*F281</f>
        <v>0.5</v>
      </c>
    </row>
    <row r="282" spans="1:7" x14ac:dyDescent="0.2">
      <c r="A282" s="214"/>
      <c r="B282" s="132"/>
      <c r="C282" s="248"/>
      <c r="D282" s="215"/>
      <c r="E282" s="215"/>
      <c r="F282" s="247"/>
      <c r="G282" s="218"/>
    </row>
    <row r="283" spans="1:7" x14ac:dyDescent="0.2">
      <c r="A283" s="219" t="s">
        <v>1682</v>
      </c>
      <c r="B283" s="220"/>
      <c r="C283" s="249"/>
      <c r="D283" s="221" t="s">
        <v>1682</v>
      </c>
      <c r="E283" s="221"/>
      <c r="F283" s="222" t="s">
        <v>1682</v>
      </c>
      <c r="G283" s="224" t="s">
        <v>1682</v>
      </c>
    </row>
    <row r="284" spans="1:7" ht="13.5" thickBot="1" x14ac:dyDescent="0.25">
      <c r="A284" s="250" t="s">
        <v>977</v>
      </c>
      <c r="B284" s="251"/>
      <c r="C284" s="252"/>
      <c r="D284" s="252"/>
      <c r="E284" s="252"/>
      <c r="F284" s="251"/>
      <c r="G284" s="253">
        <f>SUM(G281:G283)</f>
        <v>0.5</v>
      </c>
    </row>
    <row r="285" spans="1:7" x14ac:dyDescent="0.2">
      <c r="A285" s="132"/>
      <c r="B285" s="132"/>
      <c r="C285" s="254"/>
      <c r="D285" s="198"/>
      <c r="E285" s="198"/>
      <c r="F285" s="255" t="s">
        <v>978</v>
      </c>
      <c r="G285" s="256">
        <f>G264+G272+G278+G284</f>
        <v>82.251199999999997</v>
      </c>
    </row>
    <row r="286" spans="1:7" x14ac:dyDescent="0.2">
      <c r="A286" s="132"/>
      <c r="B286" s="132"/>
      <c r="C286" s="257"/>
      <c r="D286" s="239"/>
      <c r="E286" s="239"/>
      <c r="F286" s="258" t="s">
        <v>979</v>
      </c>
      <c r="G286" s="241"/>
    </row>
    <row r="287" spans="1:7" x14ac:dyDescent="0.2">
      <c r="A287" s="132"/>
      <c r="B287" s="132"/>
      <c r="C287" s="257"/>
      <c r="D287" s="239"/>
      <c r="E287" s="239"/>
      <c r="F287" s="258" t="s">
        <v>980</v>
      </c>
      <c r="G287" s="241"/>
    </row>
    <row r="288" spans="1:7" x14ac:dyDescent="0.2">
      <c r="A288" s="132"/>
      <c r="B288" s="132"/>
      <c r="C288" s="257"/>
      <c r="D288" s="239"/>
      <c r="E288" s="239"/>
      <c r="F288" s="259" t="s">
        <v>1670</v>
      </c>
      <c r="G288" s="260"/>
    </row>
    <row r="289" spans="1:7" ht="13.5" thickBot="1" x14ac:dyDescent="0.25">
      <c r="A289" s="193"/>
      <c r="B289" s="132"/>
      <c r="C289" s="261"/>
      <c r="D289" s="251"/>
      <c r="E289" s="251"/>
      <c r="F289" s="262" t="s">
        <v>1650</v>
      </c>
      <c r="G289" s="263"/>
    </row>
    <row r="290" spans="1:7" ht="15.75" x14ac:dyDescent="0.2">
      <c r="A290" s="186" t="s">
        <v>1701</v>
      </c>
      <c r="B290" s="132"/>
      <c r="C290" s="187" t="s">
        <v>742</v>
      </c>
      <c r="D290" s="132"/>
      <c r="E290" s="132"/>
      <c r="F290" s="188"/>
      <c r="G290" s="132"/>
    </row>
    <row r="291" spans="1:7" ht="15.75" x14ac:dyDescent="0.2">
      <c r="A291" s="186" t="s">
        <v>1700</v>
      </c>
      <c r="B291" s="189" t="s">
        <v>963</v>
      </c>
      <c r="C291" s="188"/>
      <c r="D291" s="132"/>
      <c r="E291" s="132"/>
      <c r="F291" s="190"/>
      <c r="G291" s="191"/>
    </row>
    <row r="292" spans="1:7" ht="14.25" x14ac:dyDescent="0.2">
      <c r="A292" s="189"/>
      <c r="B292" s="189"/>
      <c r="C292" s="187"/>
      <c r="D292" s="189"/>
      <c r="E292" s="189"/>
      <c r="F292" s="189"/>
      <c r="G292" s="189"/>
    </row>
    <row r="293" spans="1:7" ht="15.75" x14ac:dyDescent="0.2">
      <c r="A293" s="186" t="s">
        <v>1697</v>
      </c>
      <c r="B293" s="189"/>
      <c r="C293" s="188"/>
      <c r="D293" s="132"/>
      <c r="E293" s="132"/>
      <c r="F293" s="132"/>
      <c r="G293" s="132"/>
    </row>
    <row r="294" spans="1:7" ht="15" x14ac:dyDescent="0.2">
      <c r="A294" s="192"/>
      <c r="B294" s="189"/>
      <c r="C294" s="187"/>
      <c r="D294" s="189"/>
      <c r="E294" s="189"/>
      <c r="F294" s="189"/>
      <c r="G294" s="189"/>
    </row>
    <row r="295" spans="1:7" ht="14.25" x14ac:dyDescent="0.2">
      <c r="A295" s="193" t="s">
        <v>594</v>
      </c>
      <c r="B295" s="194"/>
      <c r="C295" s="188"/>
      <c r="D295" s="188"/>
      <c r="E295" s="188"/>
      <c r="F295" s="195" t="s">
        <v>1696</v>
      </c>
      <c r="G295" s="189" t="s">
        <v>1506</v>
      </c>
    </row>
    <row r="296" spans="1:7" ht="14.25" x14ac:dyDescent="0.2">
      <c r="A296" s="196" t="s">
        <v>964</v>
      </c>
      <c r="B296" s="194" t="s">
        <v>1005</v>
      </c>
      <c r="C296" s="188"/>
      <c r="D296" s="132"/>
      <c r="E296" s="132"/>
      <c r="F296" s="132"/>
      <c r="G296" s="132"/>
    </row>
    <row r="297" spans="1:7" ht="15" thickBot="1" x14ac:dyDescent="0.25">
      <c r="A297" s="187"/>
      <c r="B297" s="187"/>
      <c r="C297" s="187"/>
      <c r="D297" s="189"/>
      <c r="E297" s="189"/>
      <c r="F297" s="189"/>
      <c r="G297" s="189"/>
    </row>
    <row r="298" spans="1:7" x14ac:dyDescent="0.2">
      <c r="A298" s="197" t="s">
        <v>1695</v>
      </c>
      <c r="B298" s="198"/>
      <c r="C298" s="199"/>
      <c r="D298" s="198"/>
      <c r="E298" s="198"/>
      <c r="F298" s="198"/>
      <c r="G298" s="200"/>
    </row>
    <row r="299" spans="1:7" ht="25.5" x14ac:dyDescent="0.2">
      <c r="A299" s="202" t="s">
        <v>1409</v>
      </c>
      <c r="B299" s="203"/>
      <c r="C299" s="204" t="s">
        <v>966</v>
      </c>
      <c r="D299" s="205" t="s">
        <v>1694</v>
      </c>
      <c r="E299" s="205" t="s">
        <v>1693</v>
      </c>
      <c r="F299" s="206" t="s">
        <v>1687</v>
      </c>
      <c r="G299" s="207" t="s">
        <v>967</v>
      </c>
    </row>
    <row r="300" spans="1:7" x14ac:dyDescent="0.2">
      <c r="A300" s="208" t="s">
        <v>1468</v>
      </c>
      <c r="B300" s="209"/>
      <c r="C300" s="210">
        <v>1</v>
      </c>
      <c r="D300" s="211">
        <v>2.5</v>
      </c>
      <c r="E300" s="211">
        <f>C300*D300</f>
        <v>2.5</v>
      </c>
      <c r="F300" s="212">
        <v>0.3</v>
      </c>
      <c r="G300" s="218">
        <f>E300*F300</f>
        <v>0.75</v>
      </c>
    </row>
    <row r="301" spans="1:7" x14ac:dyDescent="0.2">
      <c r="A301" s="214"/>
      <c r="B301" s="132"/>
      <c r="C301" s="215"/>
      <c r="D301" s="216"/>
      <c r="E301" s="216"/>
      <c r="F301" s="217"/>
      <c r="G301" s="218"/>
    </row>
    <row r="302" spans="1:7" x14ac:dyDescent="0.2">
      <c r="A302" s="219" t="s">
        <v>1682</v>
      </c>
      <c r="B302" s="220"/>
      <c r="C302" s="221"/>
      <c r="D302" s="222" t="s">
        <v>1682</v>
      </c>
      <c r="E302" s="222" t="s">
        <v>1682</v>
      </c>
      <c r="F302" s="223"/>
      <c r="G302" s="224" t="s">
        <v>1682</v>
      </c>
    </row>
    <row r="303" spans="1:7" x14ac:dyDescent="0.2">
      <c r="A303" s="219" t="s">
        <v>968</v>
      </c>
      <c r="B303" s="220"/>
      <c r="C303" s="225"/>
      <c r="D303" s="220"/>
      <c r="E303" s="220"/>
      <c r="F303" s="226"/>
      <c r="G303" s="224">
        <f>SUM(G300:G302)</f>
        <v>0.75</v>
      </c>
    </row>
    <row r="304" spans="1:7" x14ac:dyDescent="0.2">
      <c r="A304" s="227" t="s">
        <v>1503</v>
      </c>
      <c r="B304" s="132"/>
      <c r="C304" s="188"/>
      <c r="D304" s="132"/>
      <c r="E304" s="132"/>
      <c r="F304" s="228"/>
      <c r="G304" s="218"/>
    </row>
    <row r="305" spans="1:7" ht="25.5" x14ac:dyDescent="0.2">
      <c r="A305" s="229" t="s">
        <v>1691</v>
      </c>
      <c r="B305" s="230"/>
      <c r="C305" s="231" t="s">
        <v>969</v>
      </c>
      <c r="D305" s="232" t="s">
        <v>1689</v>
      </c>
      <c r="E305" s="232" t="s">
        <v>1688</v>
      </c>
      <c r="F305" s="233" t="s">
        <v>1687</v>
      </c>
      <c r="G305" s="234" t="s">
        <v>1686</v>
      </c>
    </row>
    <row r="306" spans="1:7" x14ac:dyDescent="0.2">
      <c r="A306" s="235" t="s">
        <v>970</v>
      </c>
      <c r="B306" s="132"/>
      <c r="C306" s="236">
        <v>1</v>
      </c>
      <c r="D306" s="237">
        <v>2.16</v>
      </c>
      <c r="E306" s="216">
        <v>2.16</v>
      </c>
      <c r="F306" s="217">
        <v>1.84</v>
      </c>
      <c r="G306" s="218">
        <f>E306*F306</f>
        <v>3.9744000000000006</v>
      </c>
    </row>
    <row r="307" spans="1:7" x14ac:dyDescent="0.2">
      <c r="A307" s="235" t="s">
        <v>971</v>
      </c>
      <c r="B307" s="132"/>
      <c r="C307" s="236">
        <v>1</v>
      </c>
      <c r="D307" s="237">
        <v>2.13</v>
      </c>
      <c r="E307" s="216">
        <f>C307*D307</f>
        <v>2.13</v>
      </c>
      <c r="F307" s="217">
        <v>1.38</v>
      </c>
      <c r="G307" s="218">
        <f>E307*F307</f>
        <v>2.9393999999999996</v>
      </c>
    </row>
    <row r="308" spans="1:7" x14ac:dyDescent="0.2">
      <c r="A308" s="235" t="s">
        <v>590</v>
      </c>
      <c r="B308" s="132"/>
      <c r="C308" s="236">
        <v>1</v>
      </c>
      <c r="D308" s="237">
        <v>2.13</v>
      </c>
      <c r="E308" s="216">
        <f>C308*D308</f>
        <v>2.13</v>
      </c>
      <c r="F308" s="217">
        <v>0.98</v>
      </c>
      <c r="G308" s="218">
        <f>E308*F308</f>
        <v>2.0873999999999997</v>
      </c>
    </row>
    <row r="309" spans="1:7" x14ac:dyDescent="0.2">
      <c r="A309" s="235"/>
      <c r="B309" s="132"/>
      <c r="C309" s="236"/>
      <c r="D309" s="237"/>
      <c r="E309" s="216"/>
      <c r="F309" s="217"/>
      <c r="G309" s="218"/>
    </row>
    <row r="310" spans="1:7" x14ac:dyDescent="0.2">
      <c r="A310" s="219" t="s">
        <v>1682</v>
      </c>
      <c r="B310" s="220"/>
      <c r="C310" s="221"/>
      <c r="D310" s="222" t="s">
        <v>1682</v>
      </c>
      <c r="E310" s="222" t="s">
        <v>1682</v>
      </c>
      <c r="F310" s="223"/>
      <c r="G310" s="224" t="s">
        <v>1682</v>
      </c>
    </row>
    <row r="311" spans="1:7" x14ac:dyDescent="0.2">
      <c r="A311" s="238" t="s">
        <v>1681</v>
      </c>
      <c r="B311" s="239"/>
      <c r="C311" s="240"/>
      <c r="D311" s="239"/>
      <c r="E311" s="239"/>
      <c r="F311" s="239"/>
      <c r="G311" s="241">
        <f>SUM(G306:G310)</f>
        <v>9.0012000000000008</v>
      </c>
    </row>
    <row r="312" spans="1:7" x14ac:dyDescent="0.2">
      <c r="A312" s="227" t="s">
        <v>1684</v>
      </c>
      <c r="B312" s="132"/>
      <c r="C312" s="188"/>
      <c r="D312" s="132"/>
      <c r="E312" s="132"/>
      <c r="F312" s="132"/>
      <c r="G312" s="218"/>
    </row>
    <row r="313" spans="1:7" ht="25.5" x14ac:dyDescent="0.2">
      <c r="A313" s="229" t="s">
        <v>1409</v>
      </c>
      <c r="B313" s="242"/>
      <c r="C313" s="243"/>
      <c r="D313" s="232" t="s">
        <v>1408</v>
      </c>
      <c r="E313" s="231" t="s">
        <v>1679</v>
      </c>
      <c r="F313" s="232" t="s">
        <v>1683</v>
      </c>
      <c r="G313" s="234" t="s">
        <v>1675</v>
      </c>
    </row>
    <row r="314" spans="1:7" x14ac:dyDescent="0.2">
      <c r="A314" s="244" t="s">
        <v>1006</v>
      </c>
      <c r="B314" s="132"/>
      <c r="C314" s="188"/>
      <c r="D314" s="215" t="s">
        <v>1506</v>
      </c>
      <c r="E314" s="215">
        <v>1</v>
      </c>
      <c r="F314" s="216">
        <v>45</v>
      </c>
      <c r="G314" s="218">
        <f>E314*F314</f>
        <v>45</v>
      </c>
    </row>
    <row r="315" spans="1:7" x14ac:dyDescent="0.2">
      <c r="A315" s="214"/>
      <c r="B315" s="132"/>
      <c r="C315" s="245"/>
      <c r="D315" s="215"/>
      <c r="E315" s="215"/>
      <c r="F315" s="216"/>
      <c r="G315" s="218"/>
    </row>
    <row r="316" spans="1:7" x14ac:dyDescent="0.2">
      <c r="A316" s="214"/>
      <c r="B316" s="132"/>
      <c r="C316" s="245"/>
      <c r="D316" s="215"/>
      <c r="E316" s="215"/>
      <c r="F316" s="216"/>
      <c r="G316" s="218"/>
    </row>
    <row r="317" spans="1:7" x14ac:dyDescent="0.2">
      <c r="A317" s="238" t="s">
        <v>1692</v>
      </c>
      <c r="B317" s="239"/>
      <c r="C317" s="240"/>
      <c r="D317" s="240"/>
      <c r="E317" s="240"/>
      <c r="F317" s="239"/>
      <c r="G317" s="241">
        <f>SUM(G314:G316)</f>
        <v>45</v>
      </c>
    </row>
    <row r="318" spans="1:7" x14ac:dyDescent="0.2">
      <c r="A318" s="227" t="s">
        <v>1680</v>
      </c>
      <c r="B318" s="132"/>
      <c r="C318" s="188"/>
      <c r="D318" s="132"/>
      <c r="E318" s="188"/>
      <c r="F318" s="132"/>
      <c r="G318" s="218"/>
    </row>
    <row r="319" spans="1:7" ht="25.5" x14ac:dyDescent="0.2">
      <c r="A319" s="229" t="s">
        <v>1409</v>
      </c>
      <c r="B319" s="242"/>
      <c r="C319" s="243"/>
      <c r="D319" s="232" t="s">
        <v>1408</v>
      </c>
      <c r="E319" s="231" t="s">
        <v>1679</v>
      </c>
      <c r="F319" s="232" t="s">
        <v>1676</v>
      </c>
      <c r="G319" s="234" t="s">
        <v>1675</v>
      </c>
    </row>
    <row r="320" spans="1:7" x14ac:dyDescent="0.2">
      <c r="A320" s="208" t="s">
        <v>975</v>
      </c>
      <c r="B320" s="209"/>
      <c r="C320" s="246"/>
      <c r="D320" s="215" t="s">
        <v>976</v>
      </c>
      <c r="E320" s="215">
        <v>0.1</v>
      </c>
      <c r="F320" s="247">
        <v>5</v>
      </c>
      <c r="G320" s="218">
        <f>E320*F320</f>
        <v>0.5</v>
      </c>
    </row>
    <row r="321" spans="1:7" x14ac:dyDescent="0.2">
      <c r="A321" s="214"/>
      <c r="B321" s="132"/>
      <c r="C321" s="248"/>
      <c r="D321" s="215"/>
      <c r="E321" s="215"/>
      <c r="F321" s="247"/>
      <c r="G321" s="218"/>
    </row>
    <row r="322" spans="1:7" x14ac:dyDescent="0.2">
      <c r="A322" s="219" t="s">
        <v>1682</v>
      </c>
      <c r="B322" s="220"/>
      <c r="C322" s="249"/>
      <c r="D322" s="221" t="s">
        <v>1682</v>
      </c>
      <c r="E322" s="221"/>
      <c r="F322" s="222" t="s">
        <v>1682</v>
      </c>
      <c r="G322" s="224" t="s">
        <v>1682</v>
      </c>
    </row>
    <row r="323" spans="1:7" ht="13.5" thickBot="1" x14ac:dyDescent="0.25">
      <c r="A323" s="250" t="s">
        <v>977</v>
      </c>
      <c r="B323" s="251"/>
      <c r="C323" s="252"/>
      <c r="D323" s="252"/>
      <c r="E323" s="252"/>
      <c r="F323" s="251"/>
      <c r="G323" s="253">
        <f>SUM(G320:G322)</f>
        <v>0.5</v>
      </c>
    </row>
    <row r="324" spans="1:7" x14ac:dyDescent="0.2">
      <c r="A324" s="132"/>
      <c r="B324" s="132"/>
      <c r="C324" s="254"/>
      <c r="D324" s="198"/>
      <c r="E324" s="198"/>
      <c r="F324" s="255" t="s">
        <v>978</v>
      </c>
      <c r="G324" s="256">
        <f>G303+G311+G317+G323</f>
        <v>55.251199999999997</v>
      </c>
    </row>
    <row r="325" spans="1:7" x14ac:dyDescent="0.2">
      <c r="A325" s="132"/>
      <c r="B325" s="132"/>
      <c r="C325" s="257"/>
      <c r="D325" s="239"/>
      <c r="E325" s="239"/>
      <c r="F325" s="258" t="s">
        <v>979</v>
      </c>
      <c r="G325" s="241"/>
    </row>
    <row r="326" spans="1:7" x14ac:dyDescent="0.2">
      <c r="A326" s="132"/>
      <c r="B326" s="132"/>
      <c r="C326" s="257"/>
      <c r="D326" s="239"/>
      <c r="E326" s="239"/>
      <c r="F326" s="258" t="s">
        <v>980</v>
      </c>
      <c r="G326" s="241"/>
    </row>
    <row r="327" spans="1:7" x14ac:dyDescent="0.2">
      <c r="A327" s="132"/>
      <c r="B327" s="132"/>
      <c r="C327" s="257"/>
      <c r="D327" s="239"/>
      <c r="E327" s="239"/>
      <c r="F327" s="259" t="s">
        <v>1670</v>
      </c>
      <c r="G327" s="260"/>
    </row>
    <row r="328" spans="1:7" ht="13.5" thickBot="1" x14ac:dyDescent="0.25">
      <c r="A328" s="193"/>
      <c r="B328" s="132"/>
      <c r="C328" s="261"/>
      <c r="D328" s="251"/>
      <c r="E328" s="251"/>
      <c r="F328" s="262" t="s">
        <v>1650</v>
      </c>
      <c r="G328" s="263"/>
    </row>
    <row r="329" spans="1:7" ht="15.75" x14ac:dyDescent="0.2">
      <c r="A329" s="186" t="s">
        <v>1701</v>
      </c>
      <c r="B329" s="132"/>
      <c r="C329" s="187" t="s">
        <v>742</v>
      </c>
      <c r="D329" s="132"/>
      <c r="E329" s="132"/>
      <c r="F329" s="188"/>
      <c r="G329" s="132"/>
    </row>
    <row r="330" spans="1:7" ht="15.75" x14ac:dyDescent="0.2">
      <c r="A330" s="186" t="s">
        <v>1700</v>
      </c>
      <c r="B330" s="189" t="s">
        <v>963</v>
      </c>
      <c r="C330" s="188"/>
      <c r="D330" s="132"/>
      <c r="E330" s="132"/>
      <c r="F330" s="190"/>
      <c r="G330" s="191"/>
    </row>
    <row r="331" spans="1:7" ht="14.25" x14ac:dyDescent="0.2">
      <c r="A331" s="189"/>
      <c r="B331" s="189"/>
      <c r="C331" s="187"/>
      <c r="D331" s="189"/>
      <c r="E331" s="189"/>
      <c r="F331" s="189"/>
      <c r="G331" s="189"/>
    </row>
    <row r="332" spans="1:7" ht="15.75" x14ac:dyDescent="0.2">
      <c r="A332" s="186" t="s">
        <v>1697</v>
      </c>
      <c r="B332" s="189"/>
      <c r="C332" s="188"/>
      <c r="D332" s="132"/>
      <c r="E332" s="132"/>
      <c r="F332" s="132"/>
      <c r="G332" s="132"/>
    </row>
    <row r="333" spans="1:7" ht="15" x14ac:dyDescent="0.2">
      <c r="A333" s="192"/>
      <c r="B333" s="189"/>
      <c r="C333" s="187"/>
      <c r="D333" s="189"/>
      <c r="E333" s="189"/>
      <c r="F333" s="189"/>
      <c r="G333" s="189"/>
    </row>
    <row r="334" spans="1:7" ht="14.25" x14ac:dyDescent="0.2">
      <c r="A334" s="193" t="s">
        <v>594</v>
      </c>
      <c r="B334" s="194"/>
      <c r="C334" s="188"/>
      <c r="D334" s="188"/>
      <c r="E334" s="188"/>
      <c r="F334" s="195" t="s">
        <v>1696</v>
      </c>
      <c r="G334" s="189" t="s">
        <v>1506</v>
      </c>
    </row>
    <row r="335" spans="1:7" ht="14.25" x14ac:dyDescent="0.2">
      <c r="A335" s="196" t="s">
        <v>964</v>
      </c>
      <c r="B335" s="194" t="s">
        <v>1007</v>
      </c>
      <c r="C335" s="188"/>
      <c r="D335" s="132"/>
      <c r="E335" s="132"/>
      <c r="F335" s="132"/>
      <c r="G335" s="132"/>
    </row>
    <row r="336" spans="1:7" ht="15" thickBot="1" x14ac:dyDescent="0.25">
      <c r="A336" s="187"/>
      <c r="B336" s="187"/>
      <c r="C336" s="187"/>
      <c r="D336" s="189"/>
      <c r="E336" s="189"/>
      <c r="F336" s="189"/>
      <c r="G336" s="189"/>
    </row>
    <row r="337" spans="1:7" x14ac:dyDescent="0.2">
      <c r="A337" s="197" t="s">
        <v>1695</v>
      </c>
      <c r="B337" s="198"/>
      <c r="C337" s="199"/>
      <c r="D337" s="198"/>
      <c r="E337" s="198"/>
      <c r="F337" s="198"/>
      <c r="G337" s="200"/>
    </row>
    <row r="338" spans="1:7" ht="25.5" x14ac:dyDescent="0.2">
      <c r="A338" s="202" t="s">
        <v>1409</v>
      </c>
      <c r="B338" s="203"/>
      <c r="C338" s="204" t="s">
        <v>966</v>
      </c>
      <c r="D338" s="205" t="s">
        <v>1694</v>
      </c>
      <c r="E338" s="205" t="s">
        <v>1693</v>
      </c>
      <c r="F338" s="206" t="s">
        <v>1687</v>
      </c>
      <c r="G338" s="207" t="s">
        <v>967</v>
      </c>
    </row>
    <row r="339" spans="1:7" x14ac:dyDescent="0.2">
      <c r="A339" s="208" t="s">
        <v>1468</v>
      </c>
      <c r="B339" s="209"/>
      <c r="C339" s="210">
        <v>1</v>
      </c>
      <c r="D339" s="211">
        <v>2.5</v>
      </c>
      <c r="E339" s="211">
        <f>C339*D339</f>
        <v>2.5</v>
      </c>
      <c r="F339" s="212">
        <v>0.3</v>
      </c>
      <c r="G339" s="218">
        <f>E339*F339</f>
        <v>0.75</v>
      </c>
    </row>
    <row r="340" spans="1:7" x14ac:dyDescent="0.2">
      <c r="A340" s="214"/>
      <c r="B340" s="132"/>
      <c r="C340" s="215"/>
      <c r="D340" s="216"/>
      <c r="E340" s="216"/>
      <c r="F340" s="217"/>
      <c r="G340" s="218"/>
    </row>
    <row r="341" spans="1:7" x14ac:dyDescent="0.2">
      <c r="A341" s="219" t="s">
        <v>1682</v>
      </c>
      <c r="B341" s="220"/>
      <c r="C341" s="221"/>
      <c r="D341" s="222" t="s">
        <v>1682</v>
      </c>
      <c r="E341" s="222" t="s">
        <v>1682</v>
      </c>
      <c r="F341" s="223"/>
      <c r="G341" s="224" t="s">
        <v>1682</v>
      </c>
    </row>
    <row r="342" spans="1:7" x14ac:dyDescent="0.2">
      <c r="A342" s="219" t="s">
        <v>968</v>
      </c>
      <c r="B342" s="220"/>
      <c r="C342" s="225"/>
      <c r="D342" s="220"/>
      <c r="E342" s="220"/>
      <c r="F342" s="226"/>
      <c r="G342" s="224">
        <f>SUM(G339:G341)</f>
        <v>0.75</v>
      </c>
    </row>
    <row r="343" spans="1:7" x14ac:dyDescent="0.2">
      <c r="A343" s="227" t="s">
        <v>1503</v>
      </c>
      <c r="B343" s="132"/>
      <c r="C343" s="188"/>
      <c r="D343" s="132"/>
      <c r="E343" s="132"/>
      <c r="F343" s="228"/>
      <c r="G343" s="218"/>
    </row>
    <row r="344" spans="1:7" ht="25.5" x14ac:dyDescent="0.2">
      <c r="A344" s="229" t="s">
        <v>1691</v>
      </c>
      <c r="B344" s="230"/>
      <c r="C344" s="231" t="s">
        <v>969</v>
      </c>
      <c r="D344" s="232" t="s">
        <v>1689</v>
      </c>
      <c r="E344" s="232" t="s">
        <v>1688</v>
      </c>
      <c r="F344" s="233" t="s">
        <v>1687</v>
      </c>
      <c r="G344" s="234" t="s">
        <v>1686</v>
      </c>
    </row>
    <row r="345" spans="1:7" x14ac:dyDescent="0.2">
      <c r="A345" s="235" t="s">
        <v>970</v>
      </c>
      <c r="B345" s="132"/>
      <c r="C345" s="236">
        <v>1</v>
      </c>
      <c r="D345" s="237">
        <v>2.16</v>
      </c>
      <c r="E345" s="216">
        <v>2.16</v>
      </c>
      <c r="F345" s="217">
        <v>1.84</v>
      </c>
      <c r="G345" s="218">
        <f>E345*F345</f>
        <v>3.9744000000000006</v>
      </c>
    </row>
    <row r="346" spans="1:7" x14ac:dyDescent="0.2">
      <c r="A346" s="235" t="s">
        <v>971</v>
      </c>
      <c r="B346" s="132"/>
      <c r="C346" s="236">
        <v>1</v>
      </c>
      <c r="D346" s="237">
        <v>2.13</v>
      </c>
      <c r="E346" s="216">
        <f>C346*D346</f>
        <v>2.13</v>
      </c>
      <c r="F346" s="217">
        <v>1.38</v>
      </c>
      <c r="G346" s="218">
        <f>E346*F346</f>
        <v>2.9393999999999996</v>
      </c>
    </row>
    <row r="347" spans="1:7" x14ac:dyDescent="0.2">
      <c r="A347" s="235" t="s">
        <v>590</v>
      </c>
      <c r="B347" s="132"/>
      <c r="C347" s="236">
        <v>1</v>
      </c>
      <c r="D347" s="237">
        <v>2.13</v>
      </c>
      <c r="E347" s="216">
        <f>C347*D347</f>
        <v>2.13</v>
      </c>
      <c r="F347" s="217">
        <v>0.98</v>
      </c>
      <c r="G347" s="218">
        <f>E347*F347</f>
        <v>2.0873999999999997</v>
      </c>
    </row>
    <row r="348" spans="1:7" x14ac:dyDescent="0.2">
      <c r="A348" s="235"/>
      <c r="B348" s="132"/>
      <c r="C348" s="236"/>
      <c r="D348" s="237"/>
      <c r="E348" s="216"/>
      <c r="F348" s="217"/>
      <c r="G348" s="218"/>
    </row>
    <row r="349" spans="1:7" x14ac:dyDescent="0.2">
      <c r="A349" s="219" t="s">
        <v>1682</v>
      </c>
      <c r="B349" s="220"/>
      <c r="C349" s="221"/>
      <c r="D349" s="222" t="s">
        <v>1682</v>
      </c>
      <c r="E349" s="222" t="s">
        <v>1682</v>
      </c>
      <c r="F349" s="223"/>
      <c r="G349" s="224" t="s">
        <v>1682</v>
      </c>
    </row>
    <row r="350" spans="1:7" x14ac:dyDescent="0.2">
      <c r="A350" s="238" t="s">
        <v>1681</v>
      </c>
      <c r="B350" s="239"/>
      <c r="C350" s="240"/>
      <c r="D350" s="239"/>
      <c r="E350" s="239"/>
      <c r="F350" s="239"/>
      <c r="G350" s="241">
        <f>SUM(G345:G349)</f>
        <v>9.0012000000000008</v>
      </c>
    </row>
    <row r="351" spans="1:7" x14ac:dyDescent="0.2">
      <c r="A351" s="227" t="s">
        <v>1684</v>
      </c>
      <c r="B351" s="132"/>
      <c r="C351" s="188"/>
      <c r="D351" s="132"/>
      <c r="E351" s="132"/>
      <c r="F351" s="132"/>
      <c r="G351" s="218"/>
    </row>
    <row r="352" spans="1:7" ht="25.5" x14ac:dyDescent="0.2">
      <c r="A352" s="229" t="s">
        <v>1409</v>
      </c>
      <c r="B352" s="242"/>
      <c r="C352" s="243"/>
      <c r="D352" s="232" t="s">
        <v>1408</v>
      </c>
      <c r="E352" s="231" t="s">
        <v>1679</v>
      </c>
      <c r="F352" s="232" t="s">
        <v>1683</v>
      </c>
      <c r="G352" s="234" t="s">
        <v>1675</v>
      </c>
    </row>
    <row r="353" spans="1:7" x14ac:dyDescent="0.2">
      <c r="A353" s="244" t="s">
        <v>1007</v>
      </c>
      <c r="B353" s="132"/>
      <c r="C353" s="188"/>
      <c r="D353" s="215" t="s">
        <v>1506</v>
      </c>
      <c r="E353" s="215">
        <v>1</v>
      </c>
      <c r="F353" s="216">
        <v>103</v>
      </c>
      <c r="G353" s="218">
        <f>E353*F353</f>
        <v>103</v>
      </c>
    </row>
    <row r="354" spans="1:7" x14ac:dyDescent="0.2">
      <c r="A354" s="214"/>
      <c r="B354" s="132"/>
      <c r="C354" s="245"/>
      <c r="D354" s="215"/>
      <c r="E354" s="215"/>
      <c r="F354" s="216"/>
      <c r="G354" s="218"/>
    </row>
    <row r="355" spans="1:7" x14ac:dyDescent="0.2">
      <c r="A355" s="214"/>
      <c r="B355" s="132"/>
      <c r="C355" s="245"/>
      <c r="D355" s="215"/>
      <c r="E355" s="215"/>
      <c r="F355" s="216"/>
      <c r="G355" s="218"/>
    </row>
    <row r="356" spans="1:7" x14ac:dyDescent="0.2">
      <c r="A356" s="238" t="s">
        <v>1692</v>
      </c>
      <c r="B356" s="239"/>
      <c r="C356" s="240"/>
      <c r="D356" s="240"/>
      <c r="E356" s="240"/>
      <c r="F356" s="239"/>
      <c r="G356" s="241">
        <f>SUM(G353:G355)</f>
        <v>103</v>
      </c>
    </row>
    <row r="357" spans="1:7" x14ac:dyDescent="0.2">
      <c r="A357" s="227" t="s">
        <v>1680</v>
      </c>
      <c r="B357" s="132"/>
      <c r="C357" s="188"/>
      <c r="D357" s="132"/>
      <c r="E357" s="188"/>
      <c r="F357" s="132"/>
      <c r="G357" s="218"/>
    </row>
    <row r="358" spans="1:7" ht="25.5" x14ac:dyDescent="0.2">
      <c r="A358" s="229" t="s">
        <v>1409</v>
      </c>
      <c r="B358" s="242"/>
      <c r="C358" s="243"/>
      <c r="D358" s="232" t="s">
        <v>1408</v>
      </c>
      <c r="E358" s="231" t="s">
        <v>1679</v>
      </c>
      <c r="F358" s="232" t="s">
        <v>1676</v>
      </c>
      <c r="G358" s="234" t="s">
        <v>1675</v>
      </c>
    </row>
    <row r="359" spans="1:7" x14ac:dyDescent="0.2">
      <c r="A359" s="208" t="s">
        <v>975</v>
      </c>
      <c r="B359" s="209"/>
      <c r="C359" s="246"/>
      <c r="D359" s="215" t="s">
        <v>976</v>
      </c>
      <c r="E359" s="215">
        <v>0.1</v>
      </c>
      <c r="F359" s="247">
        <v>5</v>
      </c>
      <c r="G359" s="218">
        <f>E359*F359</f>
        <v>0.5</v>
      </c>
    </row>
    <row r="360" spans="1:7" x14ac:dyDescent="0.2">
      <c r="A360" s="214"/>
      <c r="B360" s="132"/>
      <c r="C360" s="248"/>
      <c r="D360" s="215"/>
      <c r="E360" s="215"/>
      <c r="F360" s="247"/>
      <c r="G360" s="218"/>
    </row>
    <row r="361" spans="1:7" x14ac:dyDescent="0.2">
      <c r="A361" s="219" t="s">
        <v>1682</v>
      </c>
      <c r="B361" s="220"/>
      <c r="C361" s="249"/>
      <c r="D361" s="221" t="s">
        <v>1682</v>
      </c>
      <c r="E361" s="221"/>
      <c r="F361" s="222" t="s">
        <v>1682</v>
      </c>
      <c r="G361" s="224" t="s">
        <v>1682</v>
      </c>
    </row>
    <row r="362" spans="1:7" ht="13.5" thickBot="1" x14ac:dyDescent="0.25">
      <c r="A362" s="250" t="s">
        <v>977</v>
      </c>
      <c r="B362" s="251"/>
      <c r="C362" s="252"/>
      <c r="D362" s="252"/>
      <c r="E362" s="252"/>
      <c r="F362" s="251"/>
      <c r="G362" s="253">
        <f>SUM(G359:G361)</f>
        <v>0.5</v>
      </c>
    </row>
    <row r="363" spans="1:7" x14ac:dyDescent="0.2">
      <c r="A363" s="132"/>
      <c r="B363" s="132"/>
      <c r="C363" s="254"/>
      <c r="D363" s="198"/>
      <c r="E363" s="198"/>
      <c r="F363" s="255" t="s">
        <v>978</v>
      </c>
      <c r="G363" s="256">
        <f>G342+G350+G356+G362</f>
        <v>113.2512</v>
      </c>
    </row>
    <row r="364" spans="1:7" x14ac:dyDescent="0.2">
      <c r="A364" s="132"/>
      <c r="B364" s="132"/>
      <c r="C364" s="257"/>
      <c r="D364" s="239"/>
      <c r="E364" s="239"/>
      <c r="F364" s="258" t="s">
        <v>979</v>
      </c>
      <c r="G364" s="241"/>
    </row>
    <row r="365" spans="1:7" x14ac:dyDescent="0.2">
      <c r="A365" s="132"/>
      <c r="B365" s="132"/>
      <c r="C365" s="257"/>
      <c r="D365" s="239"/>
      <c r="E365" s="239"/>
      <c r="F365" s="258" t="s">
        <v>980</v>
      </c>
      <c r="G365" s="241"/>
    </row>
    <row r="366" spans="1:7" x14ac:dyDescent="0.2">
      <c r="A366" s="132"/>
      <c r="B366" s="132"/>
      <c r="C366" s="257"/>
      <c r="D366" s="239"/>
      <c r="E366" s="239"/>
      <c r="F366" s="259" t="s">
        <v>1670</v>
      </c>
      <c r="G366" s="260"/>
    </row>
    <row r="367" spans="1:7" ht="13.5" thickBot="1" x14ac:dyDescent="0.25">
      <c r="A367" s="193"/>
      <c r="B367" s="132"/>
      <c r="C367" s="261"/>
      <c r="D367" s="251"/>
      <c r="E367" s="251"/>
      <c r="F367" s="262" t="s">
        <v>1650</v>
      </c>
      <c r="G367" s="263"/>
    </row>
    <row r="368" spans="1:7" ht="15.75" x14ac:dyDescent="0.2">
      <c r="A368" s="186" t="s">
        <v>1701</v>
      </c>
      <c r="B368" s="132"/>
      <c r="C368" s="187" t="s">
        <v>742</v>
      </c>
      <c r="D368" s="132"/>
      <c r="E368" s="132"/>
      <c r="F368" s="188"/>
      <c r="G368" s="132"/>
    </row>
    <row r="369" spans="1:7" ht="15.75" x14ac:dyDescent="0.2">
      <c r="A369" s="186" t="s">
        <v>1700</v>
      </c>
      <c r="B369" s="189" t="s">
        <v>963</v>
      </c>
      <c r="C369" s="188"/>
      <c r="D369" s="132"/>
      <c r="E369" s="132"/>
      <c r="F369" s="190"/>
      <c r="G369" s="191"/>
    </row>
    <row r="370" spans="1:7" ht="14.25" x14ac:dyDescent="0.2">
      <c r="A370" s="189"/>
      <c r="B370" s="189"/>
      <c r="C370" s="187"/>
      <c r="D370" s="189"/>
      <c r="E370" s="189"/>
      <c r="F370" s="189"/>
      <c r="G370" s="189"/>
    </row>
    <row r="371" spans="1:7" ht="15.75" x14ac:dyDescent="0.2">
      <c r="A371" s="186" t="s">
        <v>1697</v>
      </c>
      <c r="B371" s="189"/>
      <c r="C371" s="188"/>
      <c r="D371" s="132"/>
      <c r="E371" s="132"/>
      <c r="F371" s="132"/>
      <c r="G371" s="132"/>
    </row>
    <row r="372" spans="1:7" ht="15" x14ac:dyDescent="0.2">
      <c r="A372" s="192"/>
      <c r="B372" s="189"/>
      <c r="C372" s="187"/>
      <c r="D372" s="189"/>
      <c r="E372" s="189"/>
      <c r="F372" s="189"/>
      <c r="G372" s="189"/>
    </row>
    <row r="373" spans="1:7" ht="14.25" x14ac:dyDescent="0.2">
      <c r="A373" s="193" t="s">
        <v>594</v>
      </c>
      <c r="B373" s="194"/>
      <c r="C373" s="188"/>
      <c r="D373" s="188"/>
      <c r="E373" s="188"/>
      <c r="F373" s="195" t="s">
        <v>1696</v>
      </c>
      <c r="G373" s="189" t="s">
        <v>1506</v>
      </c>
    </row>
    <row r="374" spans="1:7" ht="14.25" x14ac:dyDescent="0.2">
      <c r="A374" s="196" t="s">
        <v>964</v>
      </c>
      <c r="B374" s="194" t="s">
        <v>1008</v>
      </c>
      <c r="C374" s="188"/>
      <c r="D374" s="132"/>
      <c r="E374" s="132"/>
      <c r="F374" s="132"/>
      <c r="G374" s="132"/>
    </row>
    <row r="375" spans="1:7" ht="15" thickBot="1" x14ac:dyDescent="0.25">
      <c r="A375" s="187"/>
      <c r="B375" s="187"/>
      <c r="C375" s="187"/>
      <c r="D375" s="189"/>
      <c r="E375" s="189"/>
      <c r="F375" s="189"/>
      <c r="G375" s="189"/>
    </row>
    <row r="376" spans="1:7" x14ac:dyDescent="0.2">
      <c r="A376" s="197" t="s">
        <v>1695</v>
      </c>
      <c r="B376" s="198"/>
      <c r="C376" s="199"/>
      <c r="D376" s="198"/>
      <c r="E376" s="198"/>
      <c r="F376" s="198"/>
      <c r="G376" s="200"/>
    </row>
    <row r="377" spans="1:7" ht="25.5" x14ac:dyDescent="0.2">
      <c r="A377" s="202" t="s">
        <v>1409</v>
      </c>
      <c r="B377" s="203"/>
      <c r="C377" s="204" t="s">
        <v>966</v>
      </c>
      <c r="D377" s="205" t="s">
        <v>1694</v>
      </c>
      <c r="E377" s="205" t="s">
        <v>1693</v>
      </c>
      <c r="F377" s="206" t="s">
        <v>1687</v>
      </c>
      <c r="G377" s="207" t="s">
        <v>967</v>
      </c>
    </row>
    <row r="378" spans="1:7" x14ac:dyDescent="0.2">
      <c r="A378" s="208" t="s">
        <v>1468</v>
      </c>
      <c r="B378" s="209"/>
      <c r="C378" s="210">
        <v>1</v>
      </c>
      <c r="D378" s="211">
        <v>2.5</v>
      </c>
      <c r="E378" s="211">
        <f>C378*D378</f>
        <v>2.5</v>
      </c>
      <c r="F378" s="212">
        <v>0.3</v>
      </c>
      <c r="G378" s="218">
        <f>E378*F378</f>
        <v>0.75</v>
      </c>
    </row>
    <row r="379" spans="1:7" x14ac:dyDescent="0.2">
      <c r="A379" s="214"/>
      <c r="B379" s="132"/>
      <c r="C379" s="215"/>
      <c r="D379" s="216"/>
      <c r="E379" s="216"/>
      <c r="F379" s="217"/>
      <c r="G379" s="218"/>
    </row>
    <row r="380" spans="1:7" x14ac:dyDescent="0.2">
      <c r="A380" s="219" t="s">
        <v>1682</v>
      </c>
      <c r="B380" s="220"/>
      <c r="C380" s="221"/>
      <c r="D380" s="222" t="s">
        <v>1682</v>
      </c>
      <c r="E380" s="222" t="s">
        <v>1682</v>
      </c>
      <c r="F380" s="223"/>
      <c r="G380" s="224" t="s">
        <v>1682</v>
      </c>
    </row>
    <row r="381" spans="1:7" x14ac:dyDescent="0.2">
      <c r="A381" s="219" t="s">
        <v>968</v>
      </c>
      <c r="B381" s="220"/>
      <c r="C381" s="225"/>
      <c r="D381" s="220"/>
      <c r="E381" s="220"/>
      <c r="F381" s="226"/>
      <c r="G381" s="224">
        <f>SUM(G378:G380)</f>
        <v>0.75</v>
      </c>
    </row>
    <row r="382" spans="1:7" x14ac:dyDescent="0.2">
      <c r="A382" s="227" t="s">
        <v>1503</v>
      </c>
      <c r="B382" s="132"/>
      <c r="C382" s="188"/>
      <c r="D382" s="132"/>
      <c r="E382" s="132"/>
      <c r="F382" s="228"/>
      <c r="G382" s="218"/>
    </row>
    <row r="383" spans="1:7" ht="25.5" x14ac:dyDescent="0.2">
      <c r="A383" s="229" t="s">
        <v>1691</v>
      </c>
      <c r="B383" s="230"/>
      <c r="C383" s="231" t="s">
        <v>969</v>
      </c>
      <c r="D383" s="232" t="s">
        <v>1689</v>
      </c>
      <c r="E383" s="232" t="s">
        <v>1688</v>
      </c>
      <c r="F383" s="233" t="s">
        <v>1687</v>
      </c>
      <c r="G383" s="234" t="s">
        <v>1686</v>
      </c>
    </row>
    <row r="384" spans="1:7" x14ac:dyDescent="0.2">
      <c r="A384" s="235" t="s">
        <v>970</v>
      </c>
      <c r="B384" s="132"/>
      <c r="C384" s="236">
        <v>1</v>
      </c>
      <c r="D384" s="237">
        <v>2.16</v>
      </c>
      <c r="E384" s="216">
        <v>2.16</v>
      </c>
      <c r="F384" s="217">
        <v>1.84</v>
      </c>
      <c r="G384" s="218">
        <f>E384*F384</f>
        <v>3.9744000000000006</v>
      </c>
    </row>
    <row r="385" spans="1:7" x14ac:dyDescent="0.2">
      <c r="A385" s="235" t="s">
        <v>971</v>
      </c>
      <c r="B385" s="132"/>
      <c r="C385" s="236">
        <v>1</v>
      </c>
      <c r="D385" s="237">
        <v>2.13</v>
      </c>
      <c r="E385" s="216">
        <f>C385*D385</f>
        <v>2.13</v>
      </c>
      <c r="F385" s="217">
        <v>1.38</v>
      </c>
      <c r="G385" s="218">
        <f>E385*F385</f>
        <v>2.9393999999999996</v>
      </c>
    </row>
    <row r="386" spans="1:7" x14ac:dyDescent="0.2">
      <c r="A386" s="235" t="s">
        <v>590</v>
      </c>
      <c r="B386" s="132"/>
      <c r="C386" s="236">
        <v>1</v>
      </c>
      <c r="D386" s="237">
        <v>2.13</v>
      </c>
      <c r="E386" s="216">
        <f>C386*D386</f>
        <v>2.13</v>
      </c>
      <c r="F386" s="217">
        <v>0.98</v>
      </c>
      <c r="G386" s="218">
        <f>E386*F386</f>
        <v>2.0873999999999997</v>
      </c>
    </row>
    <row r="387" spans="1:7" x14ac:dyDescent="0.2">
      <c r="A387" s="235"/>
      <c r="B387" s="132"/>
      <c r="C387" s="236"/>
      <c r="D387" s="237"/>
      <c r="E387" s="216"/>
      <c r="F387" s="217"/>
      <c r="G387" s="218"/>
    </row>
    <row r="388" spans="1:7" x14ac:dyDescent="0.2">
      <c r="A388" s="219" t="s">
        <v>1682</v>
      </c>
      <c r="B388" s="220"/>
      <c r="C388" s="221"/>
      <c r="D388" s="222" t="s">
        <v>1682</v>
      </c>
      <c r="E388" s="222" t="s">
        <v>1682</v>
      </c>
      <c r="F388" s="223"/>
      <c r="G388" s="224" t="s">
        <v>1682</v>
      </c>
    </row>
    <row r="389" spans="1:7" x14ac:dyDescent="0.2">
      <c r="A389" s="238" t="s">
        <v>1681</v>
      </c>
      <c r="B389" s="239"/>
      <c r="C389" s="240"/>
      <c r="D389" s="239"/>
      <c r="E389" s="239"/>
      <c r="F389" s="239"/>
      <c r="G389" s="241">
        <f>SUM(G384:G388)</f>
        <v>9.0012000000000008</v>
      </c>
    </row>
    <row r="390" spans="1:7" x14ac:dyDescent="0.2">
      <c r="A390" s="227" t="s">
        <v>1684</v>
      </c>
      <c r="B390" s="132"/>
      <c r="C390" s="188"/>
      <c r="D390" s="132"/>
      <c r="E390" s="132"/>
      <c r="F390" s="132"/>
      <c r="G390" s="218"/>
    </row>
    <row r="391" spans="1:7" ht="25.5" x14ac:dyDescent="0.2">
      <c r="A391" s="229" t="s">
        <v>1409</v>
      </c>
      <c r="B391" s="242"/>
      <c r="C391" s="243"/>
      <c r="D391" s="232" t="s">
        <v>1408</v>
      </c>
      <c r="E391" s="231" t="s">
        <v>1679</v>
      </c>
      <c r="F391" s="232" t="s">
        <v>1683</v>
      </c>
      <c r="G391" s="234" t="s">
        <v>1675</v>
      </c>
    </row>
    <row r="392" spans="1:7" x14ac:dyDescent="0.2">
      <c r="A392" s="244" t="s">
        <v>1009</v>
      </c>
      <c r="B392" s="132"/>
      <c r="C392" s="188"/>
      <c r="D392" s="215" t="s">
        <v>1506</v>
      </c>
      <c r="E392" s="215">
        <v>1</v>
      </c>
      <c r="F392" s="216">
        <v>58</v>
      </c>
      <c r="G392" s="218">
        <f>E392*F392</f>
        <v>58</v>
      </c>
    </row>
    <row r="393" spans="1:7" x14ac:dyDescent="0.2">
      <c r="A393" s="214"/>
      <c r="B393" s="132"/>
      <c r="C393" s="245"/>
      <c r="D393" s="215"/>
      <c r="E393" s="215"/>
      <c r="F393" s="216"/>
      <c r="G393" s="218"/>
    </row>
    <row r="394" spans="1:7" x14ac:dyDescent="0.2">
      <c r="A394" s="214"/>
      <c r="B394" s="132"/>
      <c r="C394" s="245"/>
      <c r="D394" s="215"/>
      <c r="E394" s="215"/>
      <c r="F394" s="216"/>
      <c r="G394" s="218"/>
    </row>
    <row r="395" spans="1:7" x14ac:dyDescent="0.2">
      <c r="A395" s="238" t="s">
        <v>1692</v>
      </c>
      <c r="B395" s="239"/>
      <c r="C395" s="240"/>
      <c r="D395" s="240"/>
      <c r="E395" s="240"/>
      <c r="F395" s="239"/>
      <c r="G395" s="241">
        <f>SUM(G392:G394)</f>
        <v>58</v>
      </c>
    </row>
    <row r="396" spans="1:7" x14ac:dyDescent="0.2">
      <c r="A396" s="227" t="s">
        <v>1680</v>
      </c>
      <c r="B396" s="132"/>
      <c r="C396" s="188"/>
      <c r="D396" s="132"/>
      <c r="E396" s="188"/>
      <c r="F396" s="132"/>
      <c r="G396" s="218"/>
    </row>
    <row r="397" spans="1:7" ht="25.5" x14ac:dyDescent="0.2">
      <c r="A397" s="229" t="s">
        <v>1409</v>
      </c>
      <c r="B397" s="242"/>
      <c r="C397" s="243"/>
      <c r="D397" s="232" t="s">
        <v>1408</v>
      </c>
      <c r="E397" s="231" t="s">
        <v>1679</v>
      </c>
      <c r="F397" s="232" t="s">
        <v>1676</v>
      </c>
      <c r="G397" s="234" t="s">
        <v>1675</v>
      </c>
    </row>
    <row r="398" spans="1:7" x14ac:dyDescent="0.2">
      <c r="A398" s="208" t="s">
        <v>975</v>
      </c>
      <c r="B398" s="209"/>
      <c r="C398" s="246"/>
      <c r="D398" s="215" t="s">
        <v>976</v>
      </c>
      <c r="E398" s="215">
        <v>0.1</v>
      </c>
      <c r="F398" s="247">
        <v>5</v>
      </c>
      <c r="G398" s="218">
        <f>E398*F398</f>
        <v>0.5</v>
      </c>
    </row>
    <row r="399" spans="1:7" x14ac:dyDescent="0.2">
      <c r="A399" s="214"/>
      <c r="B399" s="132"/>
      <c r="C399" s="248"/>
      <c r="D399" s="215"/>
      <c r="E399" s="215"/>
      <c r="F399" s="247"/>
      <c r="G399" s="218"/>
    </row>
    <row r="400" spans="1:7" x14ac:dyDescent="0.2">
      <c r="A400" s="219" t="s">
        <v>1682</v>
      </c>
      <c r="B400" s="220"/>
      <c r="C400" s="249"/>
      <c r="D400" s="221" t="s">
        <v>1682</v>
      </c>
      <c r="E400" s="221"/>
      <c r="F400" s="222" t="s">
        <v>1682</v>
      </c>
      <c r="G400" s="224" t="s">
        <v>1682</v>
      </c>
    </row>
    <row r="401" spans="1:7" ht="13.5" thickBot="1" x14ac:dyDescent="0.25">
      <c r="A401" s="250" t="s">
        <v>977</v>
      </c>
      <c r="B401" s="251"/>
      <c r="C401" s="252"/>
      <c r="D401" s="252"/>
      <c r="E401" s="252"/>
      <c r="F401" s="251"/>
      <c r="G401" s="253">
        <f>SUM(G398:G400)</f>
        <v>0.5</v>
      </c>
    </row>
    <row r="402" spans="1:7" x14ac:dyDescent="0.2">
      <c r="A402" s="132"/>
      <c r="B402" s="132"/>
      <c r="C402" s="254"/>
      <c r="D402" s="198"/>
      <c r="E402" s="198"/>
      <c r="F402" s="255" t="s">
        <v>978</v>
      </c>
      <c r="G402" s="256">
        <f>G381+G389+G395+G401</f>
        <v>68.251199999999997</v>
      </c>
    </row>
    <row r="403" spans="1:7" x14ac:dyDescent="0.2">
      <c r="A403" s="132"/>
      <c r="B403" s="132"/>
      <c r="C403" s="257"/>
      <c r="D403" s="239"/>
      <c r="E403" s="239"/>
      <c r="F403" s="258" t="s">
        <v>979</v>
      </c>
      <c r="G403" s="241"/>
    </row>
    <row r="404" spans="1:7" x14ac:dyDescent="0.2">
      <c r="A404" s="132"/>
      <c r="B404" s="132"/>
      <c r="C404" s="257"/>
      <c r="D404" s="239"/>
      <c r="E404" s="239"/>
      <c r="F404" s="258" t="s">
        <v>980</v>
      </c>
      <c r="G404" s="241"/>
    </row>
    <row r="405" spans="1:7" x14ac:dyDescent="0.2">
      <c r="A405" s="132"/>
      <c r="B405" s="132"/>
      <c r="C405" s="257"/>
      <c r="D405" s="239"/>
      <c r="E405" s="239"/>
      <c r="F405" s="259" t="s">
        <v>1670</v>
      </c>
      <c r="G405" s="260"/>
    </row>
    <row r="406" spans="1:7" ht="13.5" thickBot="1" x14ac:dyDescent="0.25">
      <c r="A406" s="193"/>
      <c r="B406" s="132"/>
      <c r="C406" s="261"/>
      <c r="D406" s="251"/>
      <c r="E406" s="251"/>
      <c r="F406" s="262" t="s">
        <v>1650</v>
      </c>
      <c r="G406" s="263"/>
    </row>
    <row r="407" spans="1:7" ht="15.75" x14ac:dyDescent="0.2">
      <c r="A407" s="186" t="s">
        <v>1701</v>
      </c>
      <c r="B407" s="132"/>
      <c r="C407" s="187" t="s">
        <v>742</v>
      </c>
      <c r="D407" s="132"/>
      <c r="E407" s="132"/>
      <c r="F407" s="188"/>
      <c r="G407" s="132"/>
    </row>
    <row r="408" spans="1:7" ht="15.75" x14ac:dyDescent="0.2">
      <c r="A408" s="186" t="s">
        <v>1700</v>
      </c>
      <c r="B408" s="189" t="s">
        <v>963</v>
      </c>
      <c r="C408" s="188"/>
      <c r="D408" s="132"/>
      <c r="E408" s="132"/>
      <c r="F408" s="190"/>
      <c r="G408" s="191"/>
    </row>
    <row r="409" spans="1:7" ht="14.25" x14ac:dyDescent="0.2">
      <c r="A409" s="189"/>
      <c r="B409" s="189"/>
      <c r="C409" s="187"/>
      <c r="D409" s="189"/>
      <c r="E409" s="189"/>
      <c r="F409" s="189"/>
      <c r="G409" s="189"/>
    </row>
    <row r="410" spans="1:7" ht="15.75" x14ac:dyDescent="0.2">
      <c r="A410" s="186" t="s">
        <v>1697</v>
      </c>
      <c r="B410" s="189"/>
      <c r="C410" s="188"/>
      <c r="D410" s="132"/>
      <c r="E410" s="132"/>
      <c r="F410" s="132"/>
      <c r="G410" s="132"/>
    </row>
    <row r="411" spans="1:7" ht="15" x14ac:dyDescent="0.2">
      <c r="A411" s="192"/>
      <c r="B411" s="189"/>
      <c r="C411" s="187"/>
      <c r="D411" s="189"/>
      <c r="E411" s="189"/>
      <c r="F411" s="189"/>
      <c r="G411" s="189"/>
    </row>
    <row r="412" spans="1:7" ht="14.25" x14ac:dyDescent="0.2">
      <c r="A412" s="193" t="s">
        <v>594</v>
      </c>
      <c r="B412" s="194"/>
      <c r="C412" s="188"/>
      <c r="D412" s="188"/>
      <c r="E412" s="188"/>
      <c r="F412" s="195" t="s">
        <v>1696</v>
      </c>
      <c r="G412" s="189" t="s">
        <v>1506</v>
      </c>
    </row>
    <row r="413" spans="1:7" ht="14.25" x14ac:dyDescent="0.2">
      <c r="A413" s="196" t="s">
        <v>964</v>
      </c>
      <c r="B413" s="194" t="s">
        <v>1010</v>
      </c>
      <c r="C413" s="188"/>
      <c r="D413" s="132"/>
      <c r="E413" s="132"/>
      <c r="F413" s="132"/>
      <c r="G413" s="132"/>
    </row>
    <row r="414" spans="1:7" ht="15" thickBot="1" x14ac:dyDescent="0.25">
      <c r="A414" s="187"/>
      <c r="B414" s="187"/>
      <c r="C414" s="187"/>
      <c r="D414" s="189"/>
      <c r="E414" s="189"/>
      <c r="F414" s="189"/>
      <c r="G414" s="189"/>
    </row>
    <row r="415" spans="1:7" x14ac:dyDescent="0.2">
      <c r="A415" s="197" t="s">
        <v>1695</v>
      </c>
      <c r="B415" s="198"/>
      <c r="C415" s="199"/>
      <c r="D415" s="198"/>
      <c r="E415" s="198"/>
      <c r="F415" s="198"/>
      <c r="G415" s="200"/>
    </row>
    <row r="416" spans="1:7" ht="25.5" x14ac:dyDescent="0.2">
      <c r="A416" s="202" t="s">
        <v>1409</v>
      </c>
      <c r="B416" s="203"/>
      <c r="C416" s="204" t="s">
        <v>966</v>
      </c>
      <c r="D416" s="205" t="s">
        <v>1694</v>
      </c>
      <c r="E416" s="205" t="s">
        <v>1693</v>
      </c>
      <c r="F416" s="206" t="s">
        <v>1687</v>
      </c>
      <c r="G416" s="207" t="s">
        <v>967</v>
      </c>
    </row>
    <row r="417" spans="1:7" x14ac:dyDescent="0.2">
      <c r="A417" s="208" t="s">
        <v>1468</v>
      </c>
      <c r="B417" s="209"/>
      <c r="C417" s="210">
        <v>1</v>
      </c>
      <c r="D417" s="211">
        <v>2.5</v>
      </c>
      <c r="E417" s="211">
        <f>C417*D417</f>
        <v>2.5</v>
      </c>
      <c r="F417" s="212">
        <v>0.3</v>
      </c>
      <c r="G417" s="218">
        <f>E417*F417</f>
        <v>0.75</v>
      </c>
    </row>
    <row r="418" spans="1:7" x14ac:dyDescent="0.2">
      <c r="A418" s="214"/>
      <c r="B418" s="132"/>
      <c r="C418" s="215"/>
      <c r="D418" s="216"/>
      <c r="E418" s="216"/>
      <c r="F418" s="217"/>
      <c r="G418" s="218"/>
    </row>
    <row r="419" spans="1:7" x14ac:dyDescent="0.2">
      <c r="A419" s="219" t="s">
        <v>1682</v>
      </c>
      <c r="B419" s="220"/>
      <c r="C419" s="221"/>
      <c r="D419" s="222" t="s">
        <v>1682</v>
      </c>
      <c r="E419" s="222" t="s">
        <v>1682</v>
      </c>
      <c r="F419" s="223"/>
      <c r="G419" s="224" t="s">
        <v>1682</v>
      </c>
    </row>
    <row r="420" spans="1:7" x14ac:dyDescent="0.2">
      <c r="A420" s="219" t="s">
        <v>968</v>
      </c>
      <c r="B420" s="220"/>
      <c r="C420" s="225"/>
      <c r="D420" s="220"/>
      <c r="E420" s="220"/>
      <c r="F420" s="226"/>
      <c r="G420" s="224">
        <f>SUM(G417:G419)</f>
        <v>0.75</v>
      </c>
    </row>
    <row r="421" spans="1:7" x14ac:dyDescent="0.2">
      <c r="A421" s="227" t="s">
        <v>1503</v>
      </c>
      <c r="B421" s="132"/>
      <c r="C421" s="188"/>
      <c r="D421" s="132"/>
      <c r="E421" s="132"/>
      <c r="F421" s="228"/>
      <c r="G421" s="218"/>
    </row>
    <row r="422" spans="1:7" ht="25.5" x14ac:dyDescent="0.2">
      <c r="A422" s="229" t="s">
        <v>1691</v>
      </c>
      <c r="B422" s="230"/>
      <c r="C422" s="231" t="s">
        <v>969</v>
      </c>
      <c r="D422" s="232" t="s">
        <v>1689</v>
      </c>
      <c r="E422" s="232" t="s">
        <v>1688</v>
      </c>
      <c r="F422" s="233" t="s">
        <v>1687</v>
      </c>
      <c r="G422" s="234" t="s">
        <v>1686</v>
      </c>
    </row>
    <row r="423" spans="1:7" x14ac:dyDescent="0.2">
      <c r="A423" s="235" t="s">
        <v>970</v>
      </c>
      <c r="B423" s="132"/>
      <c r="C423" s="236">
        <v>1</v>
      </c>
      <c r="D423" s="237">
        <v>2.16</v>
      </c>
      <c r="E423" s="216">
        <v>2.16</v>
      </c>
      <c r="F423" s="217">
        <v>1.84</v>
      </c>
      <c r="G423" s="218">
        <f>E423*F423</f>
        <v>3.9744000000000006</v>
      </c>
    </row>
    <row r="424" spans="1:7" x14ac:dyDescent="0.2">
      <c r="A424" s="235" t="s">
        <v>971</v>
      </c>
      <c r="B424" s="132"/>
      <c r="C424" s="236">
        <v>1</v>
      </c>
      <c r="D424" s="237">
        <v>2.13</v>
      </c>
      <c r="E424" s="216">
        <f>C424*D424</f>
        <v>2.13</v>
      </c>
      <c r="F424" s="217">
        <v>1.38</v>
      </c>
      <c r="G424" s="218">
        <f>E424*F424</f>
        <v>2.9393999999999996</v>
      </c>
    </row>
    <row r="425" spans="1:7" x14ac:dyDescent="0.2">
      <c r="A425" s="235" t="s">
        <v>590</v>
      </c>
      <c r="B425" s="132"/>
      <c r="C425" s="236">
        <v>1</v>
      </c>
      <c r="D425" s="237">
        <v>2.13</v>
      </c>
      <c r="E425" s="216">
        <f>C425*D425</f>
        <v>2.13</v>
      </c>
      <c r="F425" s="217">
        <v>0.98</v>
      </c>
      <c r="G425" s="218">
        <f>E425*F425</f>
        <v>2.0873999999999997</v>
      </c>
    </row>
    <row r="426" spans="1:7" x14ac:dyDescent="0.2">
      <c r="A426" s="235"/>
      <c r="B426" s="132"/>
      <c r="C426" s="236"/>
      <c r="D426" s="237"/>
      <c r="E426" s="216"/>
      <c r="F426" s="217"/>
      <c r="G426" s="218"/>
    </row>
    <row r="427" spans="1:7" x14ac:dyDescent="0.2">
      <c r="A427" s="219" t="s">
        <v>1682</v>
      </c>
      <c r="B427" s="220"/>
      <c r="C427" s="221"/>
      <c r="D427" s="222" t="s">
        <v>1682</v>
      </c>
      <c r="E427" s="222" t="s">
        <v>1682</v>
      </c>
      <c r="F427" s="223"/>
      <c r="G427" s="224" t="s">
        <v>1682</v>
      </c>
    </row>
    <row r="428" spans="1:7" x14ac:dyDescent="0.2">
      <c r="A428" s="238" t="s">
        <v>1681</v>
      </c>
      <c r="B428" s="239"/>
      <c r="C428" s="240"/>
      <c r="D428" s="239"/>
      <c r="E428" s="239"/>
      <c r="F428" s="239"/>
      <c r="G428" s="241">
        <f>SUM(G423:G427)</f>
        <v>9.0012000000000008</v>
      </c>
    </row>
    <row r="429" spans="1:7" x14ac:dyDescent="0.2">
      <c r="A429" s="227" t="s">
        <v>1684</v>
      </c>
      <c r="B429" s="132"/>
      <c r="C429" s="188"/>
      <c r="D429" s="132"/>
      <c r="E429" s="132"/>
      <c r="F429" s="132"/>
      <c r="G429" s="218"/>
    </row>
    <row r="430" spans="1:7" ht="25.5" x14ac:dyDescent="0.2">
      <c r="A430" s="229" t="s">
        <v>1409</v>
      </c>
      <c r="B430" s="242"/>
      <c r="C430" s="243"/>
      <c r="D430" s="232" t="s">
        <v>1408</v>
      </c>
      <c r="E430" s="231" t="s">
        <v>1679</v>
      </c>
      <c r="F430" s="232" t="s">
        <v>1683</v>
      </c>
      <c r="G430" s="234" t="s">
        <v>1675</v>
      </c>
    </row>
    <row r="431" spans="1:7" x14ac:dyDescent="0.2">
      <c r="A431" s="244" t="s">
        <v>1011</v>
      </c>
      <c r="B431" s="132"/>
      <c r="C431" s="188"/>
      <c r="D431" s="215" t="s">
        <v>1506</v>
      </c>
      <c r="E431" s="215">
        <v>1</v>
      </c>
      <c r="F431" s="216">
        <v>15.5</v>
      </c>
      <c r="G431" s="218">
        <f>E431*F431</f>
        <v>15.5</v>
      </c>
    </row>
    <row r="432" spans="1:7" x14ac:dyDescent="0.2">
      <c r="A432" s="214"/>
      <c r="B432" s="132"/>
      <c r="C432" s="245"/>
      <c r="D432" s="215"/>
      <c r="E432" s="215"/>
      <c r="F432" s="216"/>
      <c r="G432" s="218"/>
    </row>
    <row r="433" spans="1:7" x14ac:dyDescent="0.2">
      <c r="A433" s="214"/>
      <c r="B433" s="132"/>
      <c r="C433" s="245"/>
      <c r="D433" s="215"/>
      <c r="E433" s="215"/>
      <c r="F433" s="216"/>
      <c r="G433" s="218"/>
    </row>
    <row r="434" spans="1:7" x14ac:dyDescent="0.2">
      <c r="A434" s="238" t="s">
        <v>1692</v>
      </c>
      <c r="B434" s="239"/>
      <c r="C434" s="240"/>
      <c r="D434" s="240"/>
      <c r="E434" s="240"/>
      <c r="F434" s="239"/>
      <c r="G434" s="241">
        <f>SUM(G431:G433)</f>
        <v>15.5</v>
      </c>
    </row>
    <row r="435" spans="1:7" x14ac:dyDescent="0.2">
      <c r="A435" s="227" t="s">
        <v>1680</v>
      </c>
      <c r="B435" s="132"/>
      <c r="C435" s="188"/>
      <c r="D435" s="132"/>
      <c r="E435" s="188"/>
      <c r="F435" s="132"/>
      <c r="G435" s="218"/>
    </row>
    <row r="436" spans="1:7" ht="25.5" x14ac:dyDescent="0.2">
      <c r="A436" s="229" t="s">
        <v>1409</v>
      </c>
      <c r="B436" s="242"/>
      <c r="C436" s="243"/>
      <c r="D436" s="232" t="s">
        <v>1408</v>
      </c>
      <c r="E436" s="231" t="s">
        <v>1679</v>
      </c>
      <c r="F436" s="232" t="s">
        <v>1676</v>
      </c>
      <c r="G436" s="234" t="s">
        <v>1675</v>
      </c>
    </row>
    <row r="437" spans="1:7" x14ac:dyDescent="0.2">
      <c r="A437" s="208" t="s">
        <v>975</v>
      </c>
      <c r="B437" s="209"/>
      <c r="C437" s="246"/>
      <c r="D437" s="215" t="s">
        <v>976</v>
      </c>
      <c r="E437" s="215">
        <v>0.1</v>
      </c>
      <c r="F437" s="247">
        <v>5</v>
      </c>
      <c r="G437" s="218">
        <f>E437*F437</f>
        <v>0.5</v>
      </c>
    </row>
    <row r="438" spans="1:7" x14ac:dyDescent="0.2">
      <c r="A438" s="214"/>
      <c r="B438" s="132"/>
      <c r="C438" s="248"/>
      <c r="D438" s="215"/>
      <c r="E438" s="215"/>
      <c r="F438" s="247"/>
      <c r="G438" s="218"/>
    </row>
    <row r="439" spans="1:7" x14ac:dyDescent="0.2">
      <c r="A439" s="219" t="s">
        <v>1682</v>
      </c>
      <c r="B439" s="220"/>
      <c r="C439" s="249"/>
      <c r="D439" s="221" t="s">
        <v>1682</v>
      </c>
      <c r="E439" s="221"/>
      <c r="F439" s="222" t="s">
        <v>1682</v>
      </c>
      <c r="G439" s="224" t="s">
        <v>1682</v>
      </c>
    </row>
    <row r="440" spans="1:7" ht="13.5" thickBot="1" x14ac:dyDescent="0.25">
      <c r="A440" s="250" t="s">
        <v>977</v>
      </c>
      <c r="B440" s="251"/>
      <c r="C440" s="252"/>
      <c r="D440" s="252"/>
      <c r="E440" s="252"/>
      <c r="F440" s="251"/>
      <c r="G440" s="253">
        <f>SUM(G437:G439)</f>
        <v>0.5</v>
      </c>
    </row>
    <row r="441" spans="1:7" x14ac:dyDescent="0.2">
      <c r="A441" s="132"/>
      <c r="B441" s="132"/>
      <c r="C441" s="254"/>
      <c r="D441" s="198"/>
      <c r="E441" s="198"/>
      <c r="F441" s="255" t="s">
        <v>978</v>
      </c>
      <c r="G441" s="256">
        <f>G420+G428+G434+G440</f>
        <v>25.751200000000001</v>
      </c>
    </row>
    <row r="442" spans="1:7" x14ac:dyDescent="0.2">
      <c r="A442" s="132"/>
      <c r="B442" s="132"/>
      <c r="C442" s="257"/>
      <c r="D442" s="239"/>
      <c r="E442" s="239"/>
      <c r="F442" s="258" t="s">
        <v>979</v>
      </c>
      <c r="G442" s="241"/>
    </row>
    <row r="443" spans="1:7" x14ac:dyDescent="0.2">
      <c r="A443" s="132"/>
      <c r="B443" s="132"/>
      <c r="C443" s="257"/>
      <c r="D443" s="239"/>
      <c r="E443" s="239"/>
      <c r="F443" s="258" t="s">
        <v>980</v>
      </c>
      <c r="G443" s="241"/>
    </row>
    <row r="444" spans="1:7" x14ac:dyDescent="0.2">
      <c r="A444" s="132"/>
      <c r="B444" s="132"/>
      <c r="C444" s="257"/>
      <c r="D444" s="239"/>
      <c r="E444" s="239"/>
      <c r="F444" s="259" t="s">
        <v>1670</v>
      </c>
      <c r="G444" s="260"/>
    </row>
    <row r="445" spans="1:7" ht="13.5" thickBot="1" x14ac:dyDescent="0.25">
      <c r="A445" s="193"/>
      <c r="B445" s="132"/>
      <c r="C445" s="261"/>
      <c r="D445" s="251"/>
      <c r="E445" s="251"/>
      <c r="F445" s="262" t="s">
        <v>1650</v>
      </c>
      <c r="G445" s="263"/>
    </row>
    <row r="446" spans="1:7" ht="15.75" x14ac:dyDescent="0.2">
      <c r="A446" s="186" t="s">
        <v>1701</v>
      </c>
      <c r="B446" s="132"/>
      <c r="C446" s="187" t="s">
        <v>742</v>
      </c>
      <c r="D446" s="132"/>
      <c r="E446" s="132"/>
      <c r="F446" s="188"/>
      <c r="G446" s="132"/>
    </row>
    <row r="447" spans="1:7" ht="15.75" x14ac:dyDescent="0.2">
      <c r="A447" s="186" t="s">
        <v>1700</v>
      </c>
      <c r="B447" s="189" t="s">
        <v>963</v>
      </c>
      <c r="C447" s="188"/>
      <c r="D447" s="132"/>
      <c r="E447" s="132"/>
      <c r="F447" s="190"/>
      <c r="G447" s="191"/>
    </row>
    <row r="448" spans="1:7" ht="14.25" x14ac:dyDescent="0.2">
      <c r="A448" s="189"/>
      <c r="B448" s="189"/>
      <c r="C448" s="187"/>
      <c r="D448" s="189"/>
      <c r="E448" s="189"/>
      <c r="F448" s="189"/>
      <c r="G448" s="189"/>
    </row>
    <row r="449" spans="1:7" ht="15.75" x14ac:dyDescent="0.2">
      <c r="A449" s="186" t="s">
        <v>1697</v>
      </c>
      <c r="B449" s="189"/>
      <c r="C449" s="188"/>
      <c r="D449" s="132"/>
      <c r="E449" s="132"/>
      <c r="F449" s="132"/>
      <c r="G449" s="132"/>
    </row>
    <row r="450" spans="1:7" ht="15" x14ac:dyDescent="0.2">
      <c r="A450" s="192"/>
      <c r="B450" s="189"/>
      <c r="C450" s="187"/>
      <c r="D450" s="189"/>
      <c r="E450" s="189"/>
      <c r="F450" s="189"/>
      <c r="G450" s="189"/>
    </row>
    <row r="451" spans="1:7" ht="14.25" x14ac:dyDescent="0.2">
      <c r="A451" s="193" t="s">
        <v>594</v>
      </c>
      <c r="B451" s="194"/>
      <c r="C451" s="188"/>
      <c r="D451" s="188"/>
      <c r="E451" s="188"/>
      <c r="F451" s="195" t="s">
        <v>1696</v>
      </c>
      <c r="G451" s="189" t="s">
        <v>1506</v>
      </c>
    </row>
    <row r="452" spans="1:7" ht="14.25" x14ac:dyDescent="0.2">
      <c r="A452" s="196" t="s">
        <v>964</v>
      </c>
      <c r="B452" s="194" t="s">
        <v>1012</v>
      </c>
      <c r="C452" s="188"/>
      <c r="D452" s="132"/>
      <c r="E452" s="132"/>
      <c r="F452" s="132"/>
      <c r="G452" s="132"/>
    </row>
    <row r="453" spans="1:7" ht="15" thickBot="1" x14ac:dyDescent="0.25">
      <c r="A453" s="187"/>
      <c r="B453" s="187"/>
      <c r="C453" s="187"/>
      <c r="D453" s="189"/>
      <c r="E453" s="189"/>
      <c r="F453" s="189"/>
      <c r="G453" s="189"/>
    </row>
    <row r="454" spans="1:7" x14ac:dyDescent="0.2">
      <c r="A454" s="197" t="s">
        <v>1695</v>
      </c>
      <c r="B454" s="198"/>
      <c r="C454" s="199"/>
      <c r="D454" s="198"/>
      <c r="E454" s="198"/>
      <c r="F454" s="198"/>
      <c r="G454" s="200"/>
    </row>
    <row r="455" spans="1:7" ht="25.5" x14ac:dyDescent="0.2">
      <c r="A455" s="202" t="s">
        <v>1409</v>
      </c>
      <c r="B455" s="203"/>
      <c r="C455" s="204" t="s">
        <v>966</v>
      </c>
      <c r="D455" s="205" t="s">
        <v>1694</v>
      </c>
      <c r="E455" s="205" t="s">
        <v>1693</v>
      </c>
      <c r="F455" s="206" t="s">
        <v>1687</v>
      </c>
      <c r="G455" s="207" t="s">
        <v>967</v>
      </c>
    </row>
    <row r="456" spans="1:7" x14ac:dyDescent="0.2">
      <c r="A456" s="208" t="s">
        <v>1468</v>
      </c>
      <c r="B456" s="209"/>
      <c r="C456" s="210">
        <v>1</v>
      </c>
      <c r="D456" s="211">
        <v>2.5</v>
      </c>
      <c r="E456" s="211">
        <f>C456*D456</f>
        <v>2.5</v>
      </c>
      <c r="F456" s="212">
        <v>0.3</v>
      </c>
      <c r="G456" s="218">
        <f>E456*F456</f>
        <v>0.75</v>
      </c>
    </row>
    <row r="457" spans="1:7" x14ac:dyDescent="0.2">
      <c r="A457" s="214"/>
      <c r="B457" s="132"/>
      <c r="C457" s="215"/>
      <c r="D457" s="216"/>
      <c r="E457" s="216"/>
      <c r="F457" s="217"/>
      <c r="G457" s="218"/>
    </row>
    <row r="458" spans="1:7" x14ac:dyDescent="0.2">
      <c r="A458" s="219" t="s">
        <v>1682</v>
      </c>
      <c r="B458" s="220"/>
      <c r="C458" s="221"/>
      <c r="D458" s="222" t="s">
        <v>1682</v>
      </c>
      <c r="E458" s="222" t="s">
        <v>1682</v>
      </c>
      <c r="F458" s="223"/>
      <c r="G458" s="224" t="s">
        <v>1682</v>
      </c>
    </row>
    <row r="459" spans="1:7" x14ac:dyDescent="0.2">
      <c r="A459" s="219" t="s">
        <v>968</v>
      </c>
      <c r="B459" s="220"/>
      <c r="C459" s="225"/>
      <c r="D459" s="220"/>
      <c r="E459" s="220"/>
      <c r="F459" s="226"/>
      <c r="G459" s="224">
        <f>SUM(G456:G458)</f>
        <v>0.75</v>
      </c>
    </row>
    <row r="460" spans="1:7" x14ac:dyDescent="0.2">
      <c r="A460" s="227" t="s">
        <v>1503</v>
      </c>
      <c r="B460" s="132"/>
      <c r="C460" s="188"/>
      <c r="D460" s="132"/>
      <c r="E460" s="132"/>
      <c r="F460" s="228"/>
      <c r="G460" s="218"/>
    </row>
    <row r="461" spans="1:7" ht="25.5" x14ac:dyDescent="0.2">
      <c r="A461" s="229" t="s">
        <v>1691</v>
      </c>
      <c r="B461" s="230"/>
      <c r="C461" s="231" t="s">
        <v>969</v>
      </c>
      <c r="D461" s="232" t="s">
        <v>1689</v>
      </c>
      <c r="E461" s="232" t="s">
        <v>1688</v>
      </c>
      <c r="F461" s="233" t="s">
        <v>1687</v>
      </c>
      <c r="G461" s="234" t="s">
        <v>1686</v>
      </c>
    </row>
    <row r="462" spans="1:7" x14ac:dyDescent="0.2">
      <c r="A462" s="235" t="s">
        <v>970</v>
      </c>
      <c r="B462" s="132"/>
      <c r="C462" s="236">
        <v>1</v>
      </c>
      <c r="D462" s="237">
        <v>2.16</v>
      </c>
      <c r="E462" s="216">
        <v>2.16</v>
      </c>
      <c r="F462" s="217">
        <v>1.84</v>
      </c>
      <c r="G462" s="218">
        <f>E462*F462</f>
        <v>3.9744000000000006</v>
      </c>
    </row>
    <row r="463" spans="1:7" x14ac:dyDescent="0.2">
      <c r="A463" s="235" t="s">
        <v>971</v>
      </c>
      <c r="B463" s="132"/>
      <c r="C463" s="236">
        <v>1</v>
      </c>
      <c r="D463" s="237">
        <v>2.13</v>
      </c>
      <c r="E463" s="216">
        <f>C463*D463</f>
        <v>2.13</v>
      </c>
      <c r="F463" s="217">
        <v>1.38</v>
      </c>
      <c r="G463" s="218">
        <f>E463*F463</f>
        <v>2.9393999999999996</v>
      </c>
    </row>
    <row r="464" spans="1:7" x14ac:dyDescent="0.2">
      <c r="A464" s="235" t="s">
        <v>590</v>
      </c>
      <c r="B464" s="132"/>
      <c r="C464" s="236">
        <v>1</v>
      </c>
      <c r="D464" s="237">
        <v>2.13</v>
      </c>
      <c r="E464" s="216">
        <f>C464*D464</f>
        <v>2.13</v>
      </c>
      <c r="F464" s="217">
        <v>0.98</v>
      </c>
      <c r="G464" s="218">
        <f>E464*F464</f>
        <v>2.0873999999999997</v>
      </c>
    </row>
    <row r="465" spans="1:7" x14ac:dyDescent="0.2">
      <c r="A465" s="235"/>
      <c r="B465" s="132"/>
      <c r="C465" s="236"/>
      <c r="D465" s="237"/>
      <c r="E465" s="216"/>
      <c r="F465" s="217"/>
      <c r="G465" s="218"/>
    </row>
    <row r="466" spans="1:7" x14ac:dyDescent="0.2">
      <c r="A466" s="219" t="s">
        <v>1682</v>
      </c>
      <c r="B466" s="220"/>
      <c r="C466" s="221"/>
      <c r="D466" s="222" t="s">
        <v>1682</v>
      </c>
      <c r="E466" s="222" t="s">
        <v>1682</v>
      </c>
      <c r="F466" s="223"/>
      <c r="G466" s="224" t="s">
        <v>1682</v>
      </c>
    </row>
    <row r="467" spans="1:7" x14ac:dyDescent="0.2">
      <c r="A467" s="238" t="s">
        <v>1681</v>
      </c>
      <c r="B467" s="239"/>
      <c r="C467" s="240"/>
      <c r="D467" s="239"/>
      <c r="E467" s="239"/>
      <c r="F467" s="239"/>
      <c r="G467" s="241">
        <f>SUM(G462:G466)</f>
        <v>9.0012000000000008</v>
      </c>
    </row>
    <row r="468" spans="1:7" x14ac:dyDescent="0.2">
      <c r="A468" s="227" t="s">
        <v>1684</v>
      </c>
      <c r="B468" s="132"/>
      <c r="C468" s="188"/>
      <c r="D468" s="132"/>
      <c r="E468" s="132"/>
      <c r="F468" s="132"/>
      <c r="G468" s="218"/>
    </row>
    <row r="469" spans="1:7" ht="25.5" x14ac:dyDescent="0.2">
      <c r="A469" s="229" t="s">
        <v>1409</v>
      </c>
      <c r="B469" s="242"/>
      <c r="C469" s="243"/>
      <c r="D469" s="232" t="s">
        <v>1408</v>
      </c>
      <c r="E469" s="231" t="s">
        <v>1679</v>
      </c>
      <c r="F469" s="232" t="s">
        <v>1683</v>
      </c>
      <c r="G469" s="234" t="s">
        <v>1675</v>
      </c>
    </row>
    <row r="470" spans="1:7" x14ac:dyDescent="0.2">
      <c r="A470" s="244" t="s">
        <v>1013</v>
      </c>
      <c r="B470" s="132"/>
      <c r="C470" s="188"/>
      <c r="D470" s="215" t="s">
        <v>1506</v>
      </c>
      <c r="E470" s="215">
        <v>1</v>
      </c>
      <c r="F470" s="216">
        <v>58</v>
      </c>
      <c r="G470" s="218">
        <f>E470*F470</f>
        <v>58</v>
      </c>
    </row>
    <row r="471" spans="1:7" x14ac:dyDescent="0.2">
      <c r="A471" s="214"/>
      <c r="B471" s="132"/>
      <c r="C471" s="245"/>
      <c r="D471" s="215"/>
      <c r="E471" s="215"/>
      <c r="F471" s="216"/>
      <c r="G471" s="218"/>
    </row>
    <row r="472" spans="1:7" x14ac:dyDescent="0.2">
      <c r="A472" s="214"/>
      <c r="B472" s="132"/>
      <c r="C472" s="245"/>
      <c r="D472" s="215"/>
      <c r="E472" s="215"/>
      <c r="F472" s="216"/>
      <c r="G472" s="218"/>
    </row>
    <row r="473" spans="1:7" x14ac:dyDescent="0.2">
      <c r="A473" s="238" t="s">
        <v>1692</v>
      </c>
      <c r="B473" s="239"/>
      <c r="C473" s="240"/>
      <c r="D473" s="240"/>
      <c r="E473" s="240"/>
      <c r="F473" s="239"/>
      <c r="G473" s="241">
        <f>SUM(G470:G472)</f>
        <v>58</v>
      </c>
    </row>
    <row r="474" spans="1:7" x14ac:dyDescent="0.2">
      <c r="A474" s="227" t="s">
        <v>1680</v>
      </c>
      <c r="B474" s="132"/>
      <c r="C474" s="188"/>
      <c r="D474" s="132"/>
      <c r="E474" s="188"/>
      <c r="F474" s="132"/>
      <c r="G474" s="218"/>
    </row>
    <row r="475" spans="1:7" ht="25.5" x14ac:dyDescent="0.2">
      <c r="A475" s="229" t="s">
        <v>1409</v>
      </c>
      <c r="B475" s="242"/>
      <c r="C475" s="243"/>
      <c r="D475" s="232" t="s">
        <v>1408</v>
      </c>
      <c r="E475" s="231" t="s">
        <v>1679</v>
      </c>
      <c r="F475" s="232" t="s">
        <v>1676</v>
      </c>
      <c r="G475" s="234" t="s">
        <v>1675</v>
      </c>
    </row>
    <row r="476" spans="1:7" x14ac:dyDescent="0.2">
      <c r="A476" s="208" t="s">
        <v>975</v>
      </c>
      <c r="B476" s="209"/>
      <c r="C476" s="246"/>
      <c r="D476" s="215" t="s">
        <v>976</v>
      </c>
      <c r="E476" s="215">
        <v>0.1</v>
      </c>
      <c r="F476" s="247">
        <v>5</v>
      </c>
      <c r="G476" s="218">
        <f>E476*F476</f>
        <v>0.5</v>
      </c>
    </row>
    <row r="477" spans="1:7" x14ac:dyDescent="0.2">
      <c r="A477" s="214"/>
      <c r="B477" s="132"/>
      <c r="C477" s="248"/>
      <c r="D477" s="215"/>
      <c r="E477" s="215"/>
      <c r="F477" s="247"/>
      <c r="G477" s="218"/>
    </row>
    <row r="478" spans="1:7" x14ac:dyDescent="0.2">
      <c r="A478" s="219" t="s">
        <v>1682</v>
      </c>
      <c r="B478" s="220"/>
      <c r="C478" s="249"/>
      <c r="D478" s="221" t="s">
        <v>1682</v>
      </c>
      <c r="E478" s="221"/>
      <c r="F478" s="222" t="s">
        <v>1682</v>
      </c>
      <c r="G478" s="224" t="s">
        <v>1682</v>
      </c>
    </row>
    <row r="479" spans="1:7" ht="13.5" thickBot="1" x14ac:dyDescent="0.25">
      <c r="A479" s="250" t="s">
        <v>977</v>
      </c>
      <c r="B479" s="251"/>
      <c r="C479" s="252"/>
      <c r="D479" s="252"/>
      <c r="E479" s="252"/>
      <c r="F479" s="251"/>
      <c r="G479" s="253">
        <f>SUM(G476:G478)</f>
        <v>0.5</v>
      </c>
    </row>
    <row r="480" spans="1:7" x14ac:dyDescent="0.2">
      <c r="A480" s="132"/>
      <c r="B480" s="132"/>
      <c r="C480" s="254"/>
      <c r="D480" s="198"/>
      <c r="E480" s="198"/>
      <c r="F480" s="255" t="s">
        <v>978</v>
      </c>
      <c r="G480" s="256">
        <f>G459+G467+G473+G479</f>
        <v>68.251199999999997</v>
      </c>
    </row>
    <row r="481" spans="1:7" x14ac:dyDescent="0.2">
      <c r="A481" s="132"/>
      <c r="B481" s="132"/>
      <c r="C481" s="257"/>
      <c r="D481" s="239"/>
      <c r="E481" s="239"/>
      <c r="F481" s="258" t="s">
        <v>979</v>
      </c>
      <c r="G481" s="241"/>
    </row>
    <row r="482" spans="1:7" x14ac:dyDescent="0.2">
      <c r="A482" s="132"/>
      <c r="B482" s="132"/>
      <c r="C482" s="257"/>
      <c r="D482" s="239"/>
      <c r="E482" s="239"/>
      <c r="F482" s="258" t="s">
        <v>980</v>
      </c>
      <c r="G482" s="241"/>
    </row>
    <row r="483" spans="1:7" x14ac:dyDescent="0.2">
      <c r="A483" s="132"/>
      <c r="B483" s="132"/>
      <c r="C483" s="257"/>
      <c r="D483" s="239"/>
      <c r="E483" s="239"/>
      <c r="F483" s="259" t="s">
        <v>1670</v>
      </c>
      <c r="G483" s="260"/>
    </row>
    <row r="484" spans="1:7" ht="13.5" thickBot="1" x14ac:dyDescent="0.25">
      <c r="A484" s="193"/>
      <c r="B484" s="132"/>
      <c r="C484" s="261"/>
      <c r="D484" s="251"/>
      <c r="E484" s="251"/>
      <c r="F484" s="262" t="s">
        <v>1650</v>
      </c>
      <c r="G484" s="263"/>
    </row>
    <row r="485" spans="1:7" ht="15.75" x14ac:dyDescent="0.2">
      <c r="A485" s="186" t="s">
        <v>1701</v>
      </c>
      <c r="B485" s="132"/>
      <c r="C485" s="187" t="s">
        <v>742</v>
      </c>
      <c r="D485" s="132"/>
      <c r="E485" s="132"/>
      <c r="F485" s="188"/>
      <c r="G485" s="132"/>
    </row>
    <row r="486" spans="1:7" ht="15.75" x14ac:dyDescent="0.2">
      <c r="A486" s="186" t="s">
        <v>1700</v>
      </c>
      <c r="B486" s="189" t="s">
        <v>963</v>
      </c>
      <c r="C486" s="188"/>
      <c r="D486" s="132"/>
      <c r="E486" s="132"/>
      <c r="F486" s="190"/>
      <c r="G486" s="191"/>
    </row>
    <row r="487" spans="1:7" ht="14.25" x14ac:dyDescent="0.2">
      <c r="A487" s="189"/>
      <c r="B487" s="189"/>
      <c r="C487" s="187"/>
      <c r="D487" s="189"/>
      <c r="E487" s="189"/>
      <c r="F487" s="189"/>
      <c r="G487" s="189"/>
    </row>
    <row r="488" spans="1:7" ht="15.75" x14ac:dyDescent="0.2">
      <c r="A488" s="186" t="s">
        <v>1697</v>
      </c>
      <c r="B488" s="189"/>
      <c r="C488" s="188"/>
      <c r="D488" s="132"/>
      <c r="E488" s="132"/>
      <c r="F488" s="132"/>
      <c r="G488" s="132"/>
    </row>
    <row r="489" spans="1:7" ht="15" x14ac:dyDescent="0.2">
      <c r="A489" s="192"/>
      <c r="B489" s="189"/>
      <c r="C489" s="187"/>
      <c r="D489" s="189"/>
      <c r="E489" s="189"/>
      <c r="F489" s="189"/>
      <c r="G489" s="189"/>
    </row>
    <row r="490" spans="1:7" ht="14.25" x14ac:dyDescent="0.2">
      <c r="A490" s="193" t="s">
        <v>594</v>
      </c>
      <c r="B490" s="194"/>
      <c r="C490" s="188"/>
      <c r="D490" s="188"/>
      <c r="E490" s="188"/>
      <c r="F490" s="195" t="s">
        <v>1696</v>
      </c>
      <c r="G490" s="189" t="s">
        <v>1506</v>
      </c>
    </row>
    <row r="491" spans="1:7" ht="14.25" x14ac:dyDescent="0.2">
      <c r="A491" s="196" t="s">
        <v>964</v>
      </c>
      <c r="B491" s="194" t="s">
        <v>1014</v>
      </c>
      <c r="C491" s="188"/>
      <c r="D491" s="132"/>
      <c r="E491" s="132"/>
      <c r="F491" s="132"/>
      <c r="G491" s="132"/>
    </row>
    <row r="492" spans="1:7" ht="15" thickBot="1" x14ac:dyDescent="0.25">
      <c r="A492" s="187"/>
      <c r="B492" s="187"/>
      <c r="C492" s="187"/>
      <c r="D492" s="189"/>
      <c r="E492" s="189"/>
      <c r="F492" s="189"/>
      <c r="G492" s="189"/>
    </row>
    <row r="493" spans="1:7" x14ac:dyDescent="0.2">
      <c r="A493" s="197" t="s">
        <v>1695</v>
      </c>
      <c r="B493" s="198"/>
      <c r="C493" s="199"/>
      <c r="D493" s="198"/>
      <c r="E493" s="198"/>
      <c r="F493" s="198"/>
      <c r="G493" s="200"/>
    </row>
    <row r="494" spans="1:7" ht="25.5" x14ac:dyDescent="0.2">
      <c r="A494" s="202" t="s">
        <v>1409</v>
      </c>
      <c r="B494" s="203"/>
      <c r="C494" s="204" t="s">
        <v>966</v>
      </c>
      <c r="D494" s="205" t="s">
        <v>1694</v>
      </c>
      <c r="E494" s="205" t="s">
        <v>1693</v>
      </c>
      <c r="F494" s="206" t="s">
        <v>1687</v>
      </c>
      <c r="G494" s="207" t="s">
        <v>967</v>
      </c>
    </row>
    <row r="495" spans="1:7" x14ac:dyDescent="0.2">
      <c r="A495" s="208" t="s">
        <v>1468</v>
      </c>
      <c r="B495" s="209"/>
      <c r="C495" s="210">
        <v>1</v>
      </c>
      <c r="D495" s="211">
        <v>2.5</v>
      </c>
      <c r="E495" s="211">
        <f>C495*D495</f>
        <v>2.5</v>
      </c>
      <c r="F495" s="212">
        <v>0.1</v>
      </c>
      <c r="G495" s="218">
        <f>E495*F495</f>
        <v>0.25</v>
      </c>
    </row>
    <row r="496" spans="1:7" x14ac:dyDescent="0.2">
      <c r="A496" s="214"/>
      <c r="B496" s="132"/>
      <c r="C496" s="215"/>
      <c r="D496" s="216"/>
      <c r="E496" s="216"/>
      <c r="F496" s="217"/>
      <c r="G496" s="218"/>
    </row>
    <row r="497" spans="1:7" x14ac:dyDescent="0.2">
      <c r="A497" s="219" t="s">
        <v>1682</v>
      </c>
      <c r="B497" s="220"/>
      <c r="C497" s="221"/>
      <c r="D497" s="222" t="s">
        <v>1682</v>
      </c>
      <c r="E497" s="222" t="s">
        <v>1682</v>
      </c>
      <c r="F497" s="223"/>
      <c r="G497" s="224" t="s">
        <v>1682</v>
      </c>
    </row>
    <row r="498" spans="1:7" x14ac:dyDescent="0.2">
      <c r="A498" s="219" t="s">
        <v>968</v>
      </c>
      <c r="B498" s="220"/>
      <c r="C498" s="225"/>
      <c r="D498" s="220"/>
      <c r="E498" s="220"/>
      <c r="F498" s="226"/>
      <c r="G498" s="224">
        <f>SUM(G495:G497)</f>
        <v>0.25</v>
      </c>
    </row>
    <row r="499" spans="1:7" x14ac:dyDescent="0.2">
      <c r="A499" s="227" t="s">
        <v>1503</v>
      </c>
      <c r="B499" s="132"/>
      <c r="C499" s="188"/>
      <c r="D499" s="132"/>
      <c r="E499" s="132"/>
      <c r="F499" s="228"/>
      <c r="G499" s="218"/>
    </row>
    <row r="500" spans="1:7" ht="25.5" x14ac:dyDescent="0.2">
      <c r="A500" s="229" t="s">
        <v>1691</v>
      </c>
      <c r="B500" s="230"/>
      <c r="C500" s="231" t="s">
        <v>969</v>
      </c>
      <c r="D500" s="232" t="s">
        <v>1689</v>
      </c>
      <c r="E500" s="232" t="s">
        <v>1688</v>
      </c>
      <c r="F500" s="233" t="s">
        <v>1687</v>
      </c>
      <c r="G500" s="234" t="s">
        <v>1686</v>
      </c>
    </row>
    <row r="501" spans="1:7" x14ac:dyDescent="0.2">
      <c r="A501" s="235" t="s">
        <v>970</v>
      </c>
      <c r="B501" s="132"/>
      <c r="C501" s="236">
        <v>1</v>
      </c>
      <c r="D501" s="237">
        <v>2.16</v>
      </c>
      <c r="E501" s="216">
        <v>2.16</v>
      </c>
      <c r="F501" s="217">
        <v>0.4</v>
      </c>
      <c r="G501" s="218">
        <f>E501*F501</f>
        <v>0.8640000000000001</v>
      </c>
    </row>
    <row r="502" spans="1:7" x14ac:dyDescent="0.2">
      <c r="A502" s="235" t="s">
        <v>971</v>
      </c>
      <c r="B502" s="132"/>
      <c r="C502" s="236">
        <v>1</v>
      </c>
      <c r="D502" s="237">
        <v>2.13</v>
      </c>
      <c r="E502" s="216">
        <f>C502*D502</f>
        <v>2.13</v>
      </c>
      <c r="F502" s="217">
        <v>0.3</v>
      </c>
      <c r="G502" s="218">
        <f>E502*F502</f>
        <v>0.6389999999999999</v>
      </c>
    </row>
    <row r="503" spans="1:7" x14ac:dyDescent="0.2">
      <c r="A503" s="235" t="s">
        <v>590</v>
      </c>
      <c r="B503" s="132"/>
      <c r="C503" s="236">
        <v>1</v>
      </c>
      <c r="D503" s="237">
        <v>2.13</v>
      </c>
      <c r="E503" s="216">
        <f>C503*D503</f>
        <v>2.13</v>
      </c>
      <c r="F503" s="217">
        <v>0.2</v>
      </c>
      <c r="G503" s="218">
        <f>E503*F503</f>
        <v>0.42599999999999999</v>
      </c>
    </row>
    <row r="504" spans="1:7" x14ac:dyDescent="0.2">
      <c r="A504" s="235"/>
      <c r="B504" s="132"/>
      <c r="C504" s="236"/>
      <c r="D504" s="237"/>
      <c r="E504" s="216"/>
      <c r="F504" s="217"/>
      <c r="G504" s="218"/>
    </row>
    <row r="505" spans="1:7" x14ac:dyDescent="0.2">
      <c r="A505" s="219" t="s">
        <v>1682</v>
      </c>
      <c r="B505" s="220"/>
      <c r="C505" s="221"/>
      <c r="D505" s="222" t="s">
        <v>1682</v>
      </c>
      <c r="E505" s="222" t="s">
        <v>1682</v>
      </c>
      <c r="F505" s="223"/>
      <c r="G505" s="224" t="s">
        <v>1682</v>
      </c>
    </row>
    <row r="506" spans="1:7" x14ac:dyDescent="0.2">
      <c r="A506" s="238" t="s">
        <v>1681</v>
      </c>
      <c r="B506" s="239"/>
      <c r="C506" s="240"/>
      <c r="D506" s="239"/>
      <c r="E506" s="239"/>
      <c r="F506" s="239"/>
      <c r="G506" s="241">
        <f>SUM(G501:G505)</f>
        <v>1.929</v>
      </c>
    </row>
    <row r="507" spans="1:7" x14ac:dyDescent="0.2">
      <c r="A507" s="227" t="s">
        <v>1684</v>
      </c>
      <c r="B507" s="132"/>
      <c r="C507" s="188"/>
      <c r="D507" s="132"/>
      <c r="E507" s="132"/>
      <c r="F507" s="132"/>
      <c r="G507" s="218"/>
    </row>
    <row r="508" spans="1:7" ht="25.5" x14ac:dyDescent="0.2">
      <c r="A508" s="229" t="s">
        <v>1409</v>
      </c>
      <c r="B508" s="242"/>
      <c r="C508" s="243"/>
      <c r="D508" s="232" t="s">
        <v>1408</v>
      </c>
      <c r="E508" s="231" t="s">
        <v>1679</v>
      </c>
      <c r="F508" s="232" t="s">
        <v>1683</v>
      </c>
      <c r="G508" s="234" t="s">
        <v>1675</v>
      </c>
    </row>
    <row r="509" spans="1:7" x14ac:dyDescent="0.2">
      <c r="A509" s="244" t="s">
        <v>1015</v>
      </c>
      <c r="B509" s="132"/>
      <c r="C509" s="188"/>
      <c r="D509" s="215" t="s">
        <v>1506</v>
      </c>
      <c r="E509" s="215">
        <v>1</v>
      </c>
      <c r="F509" s="216">
        <v>7.8</v>
      </c>
      <c r="G509" s="218">
        <f>E509*F509</f>
        <v>7.8</v>
      </c>
    </row>
    <row r="510" spans="1:7" x14ac:dyDescent="0.2">
      <c r="A510" s="214"/>
      <c r="B510" s="132"/>
      <c r="C510" s="245"/>
      <c r="D510" s="215"/>
      <c r="E510" s="215"/>
      <c r="F510" s="216"/>
      <c r="G510" s="218"/>
    </row>
    <row r="511" spans="1:7" x14ac:dyDescent="0.2">
      <c r="A511" s="214"/>
      <c r="B511" s="132"/>
      <c r="C511" s="245"/>
      <c r="D511" s="215"/>
      <c r="E511" s="215"/>
      <c r="F511" s="216"/>
      <c r="G511" s="218"/>
    </row>
    <row r="512" spans="1:7" x14ac:dyDescent="0.2">
      <c r="A512" s="238" t="s">
        <v>1692</v>
      </c>
      <c r="B512" s="239"/>
      <c r="C512" s="240"/>
      <c r="D512" s="240"/>
      <c r="E512" s="240"/>
      <c r="F512" s="239"/>
      <c r="G512" s="241">
        <f>SUM(G509:G511)</f>
        <v>7.8</v>
      </c>
    </row>
    <row r="513" spans="1:7" x14ac:dyDescent="0.2">
      <c r="A513" s="227" t="s">
        <v>1680</v>
      </c>
      <c r="B513" s="132"/>
      <c r="C513" s="188"/>
      <c r="D513" s="132"/>
      <c r="E513" s="188"/>
      <c r="F513" s="132"/>
      <c r="G513" s="218"/>
    </row>
    <row r="514" spans="1:7" ht="25.5" x14ac:dyDescent="0.2">
      <c r="A514" s="229" t="s">
        <v>1409</v>
      </c>
      <c r="B514" s="242"/>
      <c r="C514" s="243"/>
      <c r="D514" s="232" t="s">
        <v>1408</v>
      </c>
      <c r="E514" s="231" t="s">
        <v>1679</v>
      </c>
      <c r="F514" s="232" t="s">
        <v>1676</v>
      </c>
      <c r="G514" s="234" t="s">
        <v>1675</v>
      </c>
    </row>
    <row r="515" spans="1:7" x14ac:dyDescent="0.2">
      <c r="A515" s="208" t="s">
        <v>975</v>
      </c>
      <c r="B515" s="209"/>
      <c r="C515" s="246"/>
      <c r="D515" s="215" t="s">
        <v>976</v>
      </c>
      <c r="E515" s="215">
        <v>0.05</v>
      </c>
      <c r="F515" s="247">
        <v>5</v>
      </c>
      <c r="G515" s="218">
        <f>E515*F515</f>
        <v>0.25</v>
      </c>
    </row>
    <row r="516" spans="1:7" x14ac:dyDescent="0.2">
      <c r="A516" s="214"/>
      <c r="B516" s="132"/>
      <c r="C516" s="248"/>
      <c r="D516" s="215"/>
      <c r="E516" s="215"/>
      <c r="F516" s="247"/>
      <c r="G516" s="218"/>
    </row>
    <row r="517" spans="1:7" x14ac:dyDescent="0.2">
      <c r="A517" s="219" t="s">
        <v>1682</v>
      </c>
      <c r="B517" s="220"/>
      <c r="C517" s="249"/>
      <c r="D517" s="221" t="s">
        <v>1682</v>
      </c>
      <c r="E517" s="221"/>
      <c r="F517" s="222" t="s">
        <v>1682</v>
      </c>
      <c r="G517" s="224" t="s">
        <v>1682</v>
      </c>
    </row>
    <row r="518" spans="1:7" ht="13.5" thickBot="1" x14ac:dyDescent="0.25">
      <c r="A518" s="250" t="s">
        <v>977</v>
      </c>
      <c r="B518" s="251"/>
      <c r="C518" s="252"/>
      <c r="D518" s="252"/>
      <c r="E518" s="252"/>
      <c r="F518" s="251"/>
      <c r="G518" s="253">
        <f>SUM(G515:G517)</f>
        <v>0.25</v>
      </c>
    </row>
    <row r="519" spans="1:7" x14ac:dyDescent="0.2">
      <c r="A519" s="132"/>
      <c r="B519" s="132"/>
      <c r="C519" s="254"/>
      <c r="D519" s="198"/>
      <c r="E519" s="198"/>
      <c r="F519" s="255" t="s">
        <v>978</v>
      </c>
      <c r="G519" s="256">
        <f>G498+G506+G512+G518</f>
        <v>10.228999999999999</v>
      </c>
    </row>
    <row r="520" spans="1:7" x14ac:dyDescent="0.2">
      <c r="A520" s="132"/>
      <c r="B520" s="132"/>
      <c r="C520" s="257"/>
      <c r="D520" s="239"/>
      <c r="E520" s="239"/>
      <c r="F520" s="258" t="s">
        <v>979</v>
      </c>
      <c r="G520" s="241"/>
    </row>
    <row r="521" spans="1:7" x14ac:dyDescent="0.2">
      <c r="A521" s="132"/>
      <c r="B521" s="132"/>
      <c r="C521" s="257"/>
      <c r="D521" s="239"/>
      <c r="E521" s="239"/>
      <c r="F521" s="258" t="s">
        <v>980</v>
      </c>
      <c r="G521" s="241"/>
    </row>
    <row r="522" spans="1:7" x14ac:dyDescent="0.2">
      <c r="A522" s="132"/>
      <c r="B522" s="132"/>
      <c r="C522" s="257"/>
      <c r="D522" s="239"/>
      <c r="E522" s="239"/>
      <c r="F522" s="259" t="s">
        <v>1670</v>
      </c>
      <c r="G522" s="260"/>
    </row>
    <row r="523" spans="1:7" ht="13.5" thickBot="1" x14ac:dyDescent="0.25">
      <c r="A523" s="193"/>
      <c r="B523" s="132"/>
      <c r="C523" s="261"/>
      <c r="D523" s="251"/>
      <c r="E523" s="251"/>
      <c r="F523" s="262" t="s">
        <v>1650</v>
      </c>
      <c r="G523" s="263"/>
    </row>
    <row r="524" spans="1:7" ht="15.75" x14ac:dyDescent="0.2">
      <c r="A524" s="186" t="s">
        <v>1701</v>
      </c>
      <c r="B524" s="132"/>
      <c r="C524" s="187" t="s">
        <v>742</v>
      </c>
      <c r="D524" s="132"/>
      <c r="E524" s="132"/>
      <c r="F524" s="188"/>
      <c r="G524" s="132"/>
    </row>
    <row r="525" spans="1:7" ht="15.75" x14ac:dyDescent="0.2">
      <c r="A525" s="186" t="s">
        <v>1700</v>
      </c>
      <c r="B525" s="189" t="s">
        <v>963</v>
      </c>
      <c r="C525" s="188"/>
      <c r="D525" s="132"/>
      <c r="E525" s="132"/>
      <c r="F525" s="190"/>
      <c r="G525" s="191"/>
    </row>
    <row r="526" spans="1:7" ht="14.25" x14ac:dyDescent="0.2">
      <c r="A526" s="189"/>
      <c r="B526" s="189"/>
      <c r="C526" s="187"/>
      <c r="D526" s="189"/>
      <c r="E526" s="189"/>
      <c r="F526" s="189"/>
      <c r="G526" s="189"/>
    </row>
    <row r="527" spans="1:7" ht="15.75" x14ac:dyDescent="0.2">
      <c r="A527" s="186" t="s">
        <v>1697</v>
      </c>
      <c r="B527" s="189"/>
      <c r="C527" s="188"/>
      <c r="D527" s="132"/>
      <c r="E527" s="132"/>
      <c r="F527" s="132"/>
      <c r="G527" s="132"/>
    </row>
    <row r="528" spans="1:7" ht="15" x14ac:dyDescent="0.2">
      <c r="A528" s="192"/>
      <c r="B528" s="189"/>
      <c r="C528" s="187"/>
      <c r="D528" s="189"/>
      <c r="E528" s="189"/>
      <c r="F528" s="189"/>
      <c r="G528" s="189"/>
    </row>
    <row r="529" spans="1:7" ht="14.25" x14ac:dyDescent="0.2">
      <c r="A529" s="193" t="s">
        <v>594</v>
      </c>
      <c r="B529" s="194"/>
      <c r="C529" s="188"/>
      <c r="D529" s="188"/>
      <c r="E529" s="188"/>
      <c r="F529" s="195" t="s">
        <v>1696</v>
      </c>
      <c r="G529" s="189" t="s">
        <v>1506</v>
      </c>
    </row>
    <row r="530" spans="1:7" ht="14.25" x14ac:dyDescent="0.2">
      <c r="A530" s="196" t="s">
        <v>964</v>
      </c>
      <c r="B530" s="194" t="s">
        <v>1016</v>
      </c>
      <c r="C530" s="188"/>
      <c r="D530" s="132"/>
      <c r="E530" s="132"/>
      <c r="F530" s="132"/>
      <c r="G530" s="132"/>
    </row>
    <row r="531" spans="1:7" ht="15" thickBot="1" x14ac:dyDescent="0.25">
      <c r="A531" s="187"/>
      <c r="B531" s="187"/>
      <c r="C531" s="187"/>
      <c r="D531" s="189"/>
      <c r="E531" s="189"/>
      <c r="F531" s="189"/>
      <c r="G531" s="189"/>
    </row>
    <row r="532" spans="1:7" x14ac:dyDescent="0.2">
      <c r="A532" s="197" t="s">
        <v>1695</v>
      </c>
      <c r="B532" s="198"/>
      <c r="C532" s="199"/>
      <c r="D532" s="198"/>
      <c r="E532" s="198"/>
      <c r="F532" s="198"/>
      <c r="G532" s="200"/>
    </row>
    <row r="533" spans="1:7" ht="25.5" x14ac:dyDescent="0.2">
      <c r="A533" s="202" t="s">
        <v>1409</v>
      </c>
      <c r="B533" s="203"/>
      <c r="C533" s="204" t="s">
        <v>966</v>
      </c>
      <c r="D533" s="205" t="s">
        <v>1694</v>
      </c>
      <c r="E533" s="205" t="s">
        <v>1693</v>
      </c>
      <c r="F533" s="206" t="s">
        <v>1687</v>
      </c>
      <c r="G533" s="207" t="s">
        <v>967</v>
      </c>
    </row>
    <row r="534" spans="1:7" x14ac:dyDescent="0.2">
      <c r="A534" s="208" t="s">
        <v>1468</v>
      </c>
      <c r="B534" s="209"/>
      <c r="C534" s="210">
        <v>1</v>
      </c>
      <c r="D534" s="211">
        <v>2.5</v>
      </c>
      <c r="E534" s="211">
        <f>C534*D534</f>
        <v>2.5</v>
      </c>
      <c r="F534" s="212">
        <v>0.1</v>
      </c>
      <c r="G534" s="218">
        <f>E534*F534</f>
        <v>0.25</v>
      </c>
    </row>
    <row r="535" spans="1:7" x14ac:dyDescent="0.2">
      <c r="A535" s="214"/>
      <c r="B535" s="132"/>
      <c r="C535" s="215"/>
      <c r="D535" s="216"/>
      <c r="E535" s="216"/>
      <c r="F535" s="217"/>
      <c r="G535" s="218"/>
    </row>
    <row r="536" spans="1:7" x14ac:dyDescent="0.2">
      <c r="A536" s="219" t="s">
        <v>1682</v>
      </c>
      <c r="B536" s="220"/>
      <c r="C536" s="221"/>
      <c r="D536" s="222" t="s">
        <v>1682</v>
      </c>
      <c r="E536" s="222" t="s">
        <v>1682</v>
      </c>
      <c r="F536" s="223"/>
      <c r="G536" s="224" t="s">
        <v>1682</v>
      </c>
    </row>
    <row r="537" spans="1:7" x14ac:dyDescent="0.2">
      <c r="A537" s="219" t="s">
        <v>968</v>
      </c>
      <c r="B537" s="220"/>
      <c r="C537" s="225"/>
      <c r="D537" s="220"/>
      <c r="E537" s="220"/>
      <c r="F537" s="226"/>
      <c r="G537" s="224">
        <f>SUM(G534:G536)</f>
        <v>0.25</v>
      </c>
    </row>
    <row r="538" spans="1:7" x14ac:dyDescent="0.2">
      <c r="A538" s="227" t="s">
        <v>1503</v>
      </c>
      <c r="B538" s="132"/>
      <c r="C538" s="188"/>
      <c r="D538" s="132"/>
      <c r="E538" s="132"/>
      <c r="F538" s="228"/>
      <c r="G538" s="218"/>
    </row>
    <row r="539" spans="1:7" ht="25.5" x14ac:dyDescent="0.2">
      <c r="A539" s="229" t="s">
        <v>1691</v>
      </c>
      <c r="B539" s="230"/>
      <c r="C539" s="231" t="s">
        <v>969</v>
      </c>
      <c r="D539" s="232" t="s">
        <v>1689</v>
      </c>
      <c r="E539" s="232" t="s">
        <v>1688</v>
      </c>
      <c r="F539" s="233" t="s">
        <v>1687</v>
      </c>
      <c r="G539" s="234" t="s">
        <v>1686</v>
      </c>
    </row>
    <row r="540" spans="1:7" x14ac:dyDescent="0.2">
      <c r="A540" s="235" t="s">
        <v>970</v>
      </c>
      <c r="B540" s="132"/>
      <c r="C540" s="236">
        <v>1</v>
      </c>
      <c r="D540" s="237">
        <v>2.16</v>
      </c>
      <c r="E540" s="216">
        <v>2.16</v>
      </c>
      <c r="F540" s="217">
        <v>0.4</v>
      </c>
      <c r="G540" s="218">
        <f>E540*F540</f>
        <v>0.8640000000000001</v>
      </c>
    </row>
    <row r="541" spans="1:7" x14ac:dyDescent="0.2">
      <c r="A541" s="235" t="s">
        <v>971</v>
      </c>
      <c r="B541" s="132"/>
      <c r="C541" s="236">
        <v>1</v>
      </c>
      <c r="D541" s="237">
        <v>2.13</v>
      </c>
      <c r="E541" s="216">
        <f>C541*D541</f>
        <v>2.13</v>
      </c>
      <c r="F541" s="217">
        <v>0.3</v>
      </c>
      <c r="G541" s="218">
        <f>E541*F541</f>
        <v>0.6389999999999999</v>
      </c>
    </row>
    <row r="542" spans="1:7" x14ac:dyDescent="0.2">
      <c r="A542" s="235" t="s">
        <v>590</v>
      </c>
      <c r="B542" s="132"/>
      <c r="C542" s="236">
        <v>1</v>
      </c>
      <c r="D542" s="237">
        <v>2.13</v>
      </c>
      <c r="E542" s="216">
        <f>C542*D542</f>
        <v>2.13</v>
      </c>
      <c r="F542" s="217">
        <v>0.2</v>
      </c>
      <c r="G542" s="218">
        <f>E542*F542</f>
        <v>0.42599999999999999</v>
      </c>
    </row>
    <row r="543" spans="1:7" x14ac:dyDescent="0.2">
      <c r="A543" s="235"/>
      <c r="B543" s="132"/>
      <c r="C543" s="236"/>
      <c r="D543" s="237"/>
      <c r="E543" s="216"/>
      <c r="F543" s="217"/>
      <c r="G543" s="218"/>
    </row>
    <row r="544" spans="1:7" x14ac:dyDescent="0.2">
      <c r="A544" s="219" t="s">
        <v>1682</v>
      </c>
      <c r="B544" s="220"/>
      <c r="C544" s="221"/>
      <c r="D544" s="222" t="s">
        <v>1682</v>
      </c>
      <c r="E544" s="222" t="s">
        <v>1682</v>
      </c>
      <c r="F544" s="223"/>
      <c r="G544" s="224" t="s">
        <v>1682</v>
      </c>
    </row>
    <row r="545" spans="1:7" x14ac:dyDescent="0.2">
      <c r="A545" s="238" t="s">
        <v>1681</v>
      </c>
      <c r="B545" s="239"/>
      <c r="C545" s="240"/>
      <c r="D545" s="239"/>
      <c r="E545" s="239"/>
      <c r="F545" s="239"/>
      <c r="G545" s="241">
        <f>SUM(G540:G544)</f>
        <v>1.929</v>
      </c>
    </row>
    <row r="546" spans="1:7" x14ac:dyDescent="0.2">
      <c r="A546" s="227" t="s">
        <v>1684</v>
      </c>
      <c r="B546" s="132"/>
      <c r="C546" s="188"/>
      <c r="D546" s="132"/>
      <c r="E546" s="132"/>
      <c r="F546" s="132"/>
      <c r="G546" s="218"/>
    </row>
    <row r="547" spans="1:7" ht="25.5" x14ac:dyDescent="0.2">
      <c r="A547" s="229" t="s">
        <v>1409</v>
      </c>
      <c r="B547" s="242"/>
      <c r="C547" s="243"/>
      <c r="D547" s="232" t="s">
        <v>1408</v>
      </c>
      <c r="E547" s="231" t="s">
        <v>1679</v>
      </c>
      <c r="F547" s="232" t="s">
        <v>1683</v>
      </c>
      <c r="G547" s="234" t="s">
        <v>1675</v>
      </c>
    </row>
    <row r="548" spans="1:7" x14ac:dyDescent="0.2">
      <c r="A548" s="244" t="s">
        <v>1017</v>
      </c>
      <c r="B548" s="132"/>
      <c r="C548" s="188"/>
      <c r="D548" s="215" t="s">
        <v>1506</v>
      </c>
      <c r="E548" s="215">
        <v>1</v>
      </c>
      <c r="F548" s="216">
        <v>5</v>
      </c>
      <c r="G548" s="218">
        <f>E548*F548</f>
        <v>5</v>
      </c>
    </row>
    <row r="549" spans="1:7" x14ac:dyDescent="0.2">
      <c r="A549" s="214"/>
      <c r="B549" s="132"/>
      <c r="C549" s="245"/>
      <c r="D549" s="215"/>
      <c r="E549" s="215"/>
      <c r="F549" s="216"/>
      <c r="G549" s="218"/>
    </row>
    <row r="550" spans="1:7" x14ac:dyDescent="0.2">
      <c r="A550" s="214"/>
      <c r="B550" s="132"/>
      <c r="C550" s="245"/>
      <c r="D550" s="215"/>
      <c r="E550" s="215"/>
      <c r="F550" s="216"/>
      <c r="G550" s="218"/>
    </row>
    <row r="551" spans="1:7" x14ac:dyDescent="0.2">
      <c r="A551" s="238" t="s">
        <v>1692</v>
      </c>
      <c r="B551" s="239"/>
      <c r="C551" s="240"/>
      <c r="D551" s="240"/>
      <c r="E551" s="240"/>
      <c r="F551" s="239"/>
      <c r="G551" s="241">
        <f>SUM(G548:G550)</f>
        <v>5</v>
      </c>
    </row>
    <row r="552" spans="1:7" x14ac:dyDescent="0.2">
      <c r="A552" s="227" t="s">
        <v>1680</v>
      </c>
      <c r="B552" s="132"/>
      <c r="C552" s="188"/>
      <c r="D552" s="132"/>
      <c r="E552" s="188"/>
      <c r="F552" s="132"/>
      <c r="G552" s="218"/>
    </row>
    <row r="553" spans="1:7" ht="25.5" x14ac:dyDescent="0.2">
      <c r="A553" s="229" t="s">
        <v>1409</v>
      </c>
      <c r="B553" s="242"/>
      <c r="C553" s="243"/>
      <c r="D553" s="232" t="s">
        <v>1408</v>
      </c>
      <c r="E553" s="231" t="s">
        <v>1679</v>
      </c>
      <c r="F553" s="232" t="s">
        <v>1676</v>
      </c>
      <c r="G553" s="234" t="s">
        <v>1675</v>
      </c>
    </row>
    <row r="554" spans="1:7" x14ac:dyDescent="0.2">
      <c r="A554" s="208" t="s">
        <v>975</v>
      </c>
      <c r="B554" s="209"/>
      <c r="C554" s="246"/>
      <c r="D554" s="215" t="s">
        <v>976</v>
      </c>
      <c r="E554" s="215">
        <v>0.05</v>
      </c>
      <c r="F554" s="247">
        <v>5</v>
      </c>
      <c r="G554" s="218">
        <f>E554*F554</f>
        <v>0.25</v>
      </c>
    </row>
    <row r="555" spans="1:7" x14ac:dyDescent="0.2">
      <c r="A555" s="214"/>
      <c r="B555" s="132"/>
      <c r="C555" s="248"/>
      <c r="D555" s="215"/>
      <c r="E555" s="215"/>
      <c r="F555" s="247"/>
      <c r="G555" s="218"/>
    </row>
    <row r="556" spans="1:7" x14ac:dyDescent="0.2">
      <c r="A556" s="219" t="s">
        <v>1682</v>
      </c>
      <c r="B556" s="220"/>
      <c r="C556" s="249"/>
      <c r="D556" s="221" t="s">
        <v>1682</v>
      </c>
      <c r="E556" s="221"/>
      <c r="F556" s="222" t="s">
        <v>1682</v>
      </c>
      <c r="G556" s="224" t="s">
        <v>1682</v>
      </c>
    </row>
    <row r="557" spans="1:7" ht="13.5" thickBot="1" x14ac:dyDescent="0.25">
      <c r="A557" s="250" t="s">
        <v>977</v>
      </c>
      <c r="B557" s="251"/>
      <c r="C557" s="252"/>
      <c r="D557" s="252"/>
      <c r="E557" s="252"/>
      <c r="F557" s="251"/>
      <c r="G557" s="253">
        <f>SUM(G554:G556)</f>
        <v>0.25</v>
      </c>
    </row>
    <row r="558" spans="1:7" x14ac:dyDescent="0.2">
      <c r="A558" s="132"/>
      <c r="B558" s="132"/>
      <c r="C558" s="254"/>
      <c r="D558" s="198"/>
      <c r="E558" s="198"/>
      <c r="F558" s="255" t="s">
        <v>978</v>
      </c>
      <c r="G558" s="256">
        <f>G537+G545+G551+G557</f>
        <v>7.4290000000000003</v>
      </c>
    </row>
    <row r="559" spans="1:7" x14ac:dyDescent="0.2">
      <c r="A559" s="132"/>
      <c r="B559" s="132"/>
      <c r="C559" s="257"/>
      <c r="D559" s="239"/>
      <c r="E559" s="239"/>
      <c r="F559" s="258" t="s">
        <v>979</v>
      </c>
      <c r="G559" s="241"/>
    </row>
    <row r="560" spans="1:7" x14ac:dyDescent="0.2">
      <c r="A560" s="132"/>
      <c r="B560" s="132"/>
      <c r="C560" s="257"/>
      <c r="D560" s="239"/>
      <c r="E560" s="239"/>
      <c r="F560" s="258" t="s">
        <v>980</v>
      </c>
      <c r="G560" s="241"/>
    </row>
    <row r="561" spans="1:7" x14ac:dyDescent="0.2">
      <c r="A561" s="132"/>
      <c r="B561" s="132"/>
      <c r="C561" s="257"/>
      <c r="D561" s="239"/>
      <c r="E561" s="239"/>
      <c r="F561" s="259" t="s">
        <v>1670</v>
      </c>
      <c r="G561" s="260"/>
    </row>
    <row r="562" spans="1:7" ht="13.5" thickBot="1" x14ac:dyDescent="0.25">
      <c r="A562" s="193"/>
      <c r="B562" s="132"/>
      <c r="C562" s="261"/>
      <c r="D562" s="251"/>
      <c r="E562" s="251"/>
      <c r="F562" s="262" t="s">
        <v>1650</v>
      </c>
      <c r="G562" s="263"/>
    </row>
    <row r="563" spans="1:7" ht="15.75" x14ac:dyDescent="0.2">
      <c r="A563" s="186" t="s">
        <v>1701</v>
      </c>
      <c r="B563" s="132"/>
      <c r="C563" s="187" t="s">
        <v>742</v>
      </c>
      <c r="D563" s="132"/>
      <c r="E563" s="132"/>
      <c r="F563" s="188"/>
      <c r="G563" s="132"/>
    </row>
    <row r="564" spans="1:7" ht="15.75" x14ac:dyDescent="0.2">
      <c r="A564" s="186" t="s">
        <v>1700</v>
      </c>
      <c r="B564" s="189" t="s">
        <v>963</v>
      </c>
      <c r="C564" s="188"/>
      <c r="D564" s="132"/>
      <c r="E564" s="132"/>
      <c r="F564" s="190"/>
      <c r="G564" s="191"/>
    </row>
    <row r="565" spans="1:7" ht="14.25" x14ac:dyDescent="0.2">
      <c r="A565" s="189"/>
      <c r="B565" s="189"/>
      <c r="C565" s="187"/>
      <c r="D565" s="189"/>
      <c r="E565" s="189"/>
      <c r="F565" s="189"/>
      <c r="G565" s="189"/>
    </row>
    <row r="566" spans="1:7" ht="15.75" x14ac:dyDescent="0.2">
      <c r="A566" s="186" t="s">
        <v>1697</v>
      </c>
      <c r="B566" s="189"/>
      <c r="C566" s="188"/>
      <c r="D566" s="132"/>
      <c r="E566" s="132"/>
      <c r="F566" s="132"/>
      <c r="G566" s="132"/>
    </row>
    <row r="567" spans="1:7" ht="15" x14ac:dyDescent="0.2">
      <c r="A567" s="192"/>
      <c r="B567" s="189"/>
      <c r="C567" s="187"/>
      <c r="D567" s="189"/>
      <c r="E567" s="189"/>
      <c r="F567" s="189"/>
      <c r="G567" s="189"/>
    </row>
    <row r="568" spans="1:7" ht="14.25" x14ac:dyDescent="0.2">
      <c r="A568" s="193" t="s">
        <v>594</v>
      </c>
      <c r="B568" s="194"/>
      <c r="C568" s="188"/>
      <c r="D568" s="188"/>
      <c r="E568" s="188"/>
      <c r="F568" s="195" t="s">
        <v>1696</v>
      </c>
      <c r="G568" s="189" t="s">
        <v>1506</v>
      </c>
    </row>
    <row r="569" spans="1:7" ht="14.25" x14ac:dyDescent="0.2">
      <c r="A569" s="196" t="s">
        <v>964</v>
      </c>
      <c r="B569" s="194" t="s">
        <v>1018</v>
      </c>
      <c r="C569" s="188"/>
      <c r="D569" s="132"/>
      <c r="E569" s="132"/>
      <c r="F569" s="132"/>
      <c r="G569" s="132"/>
    </row>
    <row r="570" spans="1:7" ht="15" thickBot="1" x14ac:dyDescent="0.25">
      <c r="A570" s="187"/>
      <c r="B570" s="187"/>
      <c r="C570" s="187"/>
      <c r="D570" s="189"/>
      <c r="E570" s="189"/>
      <c r="F570" s="189"/>
      <c r="G570" s="189"/>
    </row>
    <row r="571" spans="1:7" x14ac:dyDescent="0.2">
      <c r="A571" s="197" t="s">
        <v>1695</v>
      </c>
      <c r="B571" s="198"/>
      <c r="C571" s="199"/>
      <c r="D571" s="198"/>
      <c r="E571" s="198"/>
      <c r="F571" s="198"/>
      <c r="G571" s="200"/>
    </row>
    <row r="572" spans="1:7" ht="25.5" x14ac:dyDescent="0.2">
      <c r="A572" s="202" t="s">
        <v>1409</v>
      </c>
      <c r="B572" s="203"/>
      <c r="C572" s="204" t="s">
        <v>966</v>
      </c>
      <c r="D572" s="205" t="s">
        <v>1694</v>
      </c>
      <c r="E572" s="205" t="s">
        <v>1693</v>
      </c>
      <c r="F572" s="206" t="s">
        <v>1687</v>
      </c>
      <c r="G572" s="207" t="s">
        <v>967</v>
      </c>
    </row>
    <row r="573" spans="1:7" x14ac:dyDescent="0.2">
      <c r="A573" s="208" t="s">
        <v>1468</v>
      </c>
      <c r="B573" s="209"/>
      <c r="C573" s="210">
        <v>1</v>
      </c>
      <c r="D573" s="211">
        <v>2.5</v>
      </c>
      <c r="E573" s="211">
        <f>C573*D573</f>
        <v>2.5</v>
      </c>
      <c r="F573" s="212">
        <v>0.6</v>
      </c>
      <c r="G573" s="218">
        <f>E573*F573</f>
        <v>1.5</v>
      </c>
    </row>
    <row r="574" spans="1:7" x14ac:dyDescent="0.2">
      <c r="A574" s="214"/>
      <c r="B574" s="132"/>
      <c r="C574" s="215"/>
      <c r="D574" s="216"/>
      <c r="E574" s="216"/>
      <c r="F574" s="217"/>
      <c r="G574" s="218"/>
    </row>
    <row r="575" spans="1:7" x14ac:dyDescent="0.2">
      <c r="A575" s="219" t="s">
        <v>1682</v>
      </c>
      <c r="B575" s="220"/>
      <c r="C575" s="221"/>
      <c r="D575" s="222" t="s">
        <v>1682</v>
      </c>
      <c r="E575" s="222" t="s">
        <v>1682</v>
      </c>
      <c r="F575" s="223"/>
      <c r="G575" s="224" t="s">
        <v>1682</v>
      </c>
    </row>
    <row r="576" spans="1:7" x14ac:dyDescent="0.2">
      <c r="A576" s="219" t="s">
        <v>968</v>
      </c>
      <c r="B576" s="220"/>
      <c r="C576" s="225"/>
      <c r="D576" s="220"/>
      <c r="E576" s="220"/>
      <c r="F576" s="226"/>
      <c r="G576" s="224">
        <f>SUM(G573:G575)</f>
        <v>1.5</v>
      </c>
    </row>
    <row r="577" spans="1:7" x14ac:dyDescent="0.2">
      <c r="A577" s="227" t="s">
        <v>1503</v>
      </c>
      <c r="B577" s="132"/>
      <c r="C577" s="188"/>
      <c r="D577" s="132"/>
      <c r="E577" s="132"/>
      <c r="F577" s="228"/>
      <c r="G577" s="218"/>
    </row>
    <row r="578" spans="1:7" ht="25.5" x14ac:dyDescent="0.2">
      <c r="A578" s="229" t="s">
        <v>1691</v>
      </c>
      <c r="B578" s="230"/>
      <c r="C578" s="231" t="s">
        <v>969</v>
      </c>
      <c r="D578" s="232" t="s">
        <v>1689</v>
      </c>
      <c r="E578" s="232" t="s">
        <v>1688</v>
      </c>
      <c r="F578" s="233" t="s">
        <v>1687</v>
      </c>
      <c r="G578" s="234" t="s">
        <v>1686</v>
      </c>
    </row>
    <row r="579" spans="1:7" x14ac:dyDescent="0.2">
      <c r="A579" s="235" t="s">
        <v>970</v>
      </c>
      <c r="B579" s="132"/>
      <c r="C579" s="236">
        <v>1</v>
      </c>
      <c r="D579" s="237">
        <v>2.16</v>
      </c>
      <c r="E579" s="216">
        <v>2.16</v>
      </c>
      <c r="F579" s="217">
        <v>21</v>
      </c>
      <c r="G579" s="218">
        <f>E579*F579</f>
        <v>45.36</v>
      </c>
    </row>
    <row r="580" spans="1:7" x14ac:dyDescent="0.2">
      <c r="A580" s="235" t="s">
        <v>971</v>
      </c>
      <c r="B580" s="132"/>
      <c r="C580" s="236">
        <v>1</v>
      </c>
      <c r="D580" s="237">
        <v>2.13</v>
      </c>
      <c r="E580" s="216">
        <f>C580*D580</f>
        <v>2.13</v>
      </c>
      <c r="F580" s="217">
        <v>15.3</v>
      </c>
      <c r="G580" s="218">
        <f>E580*F580</f>
        <v>32.588999999999999</v>
      </c>
    </row>
    <row r="581" spans="1:7" x14ac:dyDescent="0.2">
      <c r="A581" s="235" t="s">
        <v>590</v>
      </c>
      <c r="B581" s="132"/>
      <c r="C581" s="236">
        <v>1</v>
      </c>
      <c r="D581" s="237">
        <v>2.13</v>
      </c>
      <c r="E581" s="216">
        <f>C581*D581</f>
        <v>2.13</v>
      </c>
      <c r="F581" s="217">
        <v>10.9</v>
      </c>
      <c r="G581" s="218">
        <f>E581*F581</f>
        <v>23.216999999999999</v>
      </c>
    </row>
    <row r="582" spans="1:7" x14ac:dyDescent="0.2">
      <c r="A582" s="235"/>
      <c r="B582" s="132"/>
      <c r="C582" s="236"/>
      <c r="D582" s="237"/>
      <c r="E582" s="216"/>
      <c r="F582" s="217"/>
      <c r="G582" s="218"/>
    </row>
    <row r="583" spans="1:7" x14ac:dyDescent="0.2">
      <c r="A583" s="219" t="s">
        <v>1682</v>
      </c>
      <c r="B583" s="220"/>
      <c r="C583" s="221"/>
      <c r="D583" s="222" t="s">
        <v>1682</v>
      </c>
      <c r="E583" s="222" t="s">
        <v>1682</v>
      </c>
      <c r="F583" s="223"/>
      <c r="G583" s="224" t="s">
        <v>1682</v>
      </c>
    </row>
    <row r="584" spans="1:7" x14ac:dyDescent="0.2">
      <c r="A584" s="238" t="s">
        <v>1681</v>
      </c>
      <c r="B584" s="239"/>
      <c r="C584" s="240"/>
      <c r="D584" s="239"/>
      <c r="E584" s="239"/>
      <c r="F584" s="239"/>
      <c r="G584" s="241">
        <f>SUM(G579:G583)</f>
        <v>101.166</v>
      </c>
    </row>
    <row r="585" spans="1:7" x14ac:dyDescent="0.2">
      <c r="A585" s="227" t="s">
        <v>1684</v>
      </c>
      <c r="B585" s="132"/>
      <c r="C585" s="188"/>
      <c r="D585" s="132"/>
      <c r="E585" s="132"/>
      <c r="F585" s="132"/>
      <c r="G585" s="218"/>
    </row>
    <row r="586" spans="1:7" ht="25.5" x14ac:dyDescent="0.2">
      <c r="A586" s="229" t="s">
        <v>1409</v>
      </c>
      <c r="B586" s="242"/>
      <c r="C586" s="243"/>
      <c r="D586" s="232" t="s">
        <v>1408</v>
      </c>
      <c r="E586" s="231" t="s">
        <v>1679</v>
      </c>
      <c r="F586" s="232" t="s">
        <v>1683</v>
      </c>
      <c r="G586" s="234" t="s">
        <v>1675</v>
      </c>
    </row>
    <row r="587" spans="1:7" x14ac:dyDescent="0.2">
      <c r="A587" s="244" t="s">
        <v>1019</v>
      </c>
      <c r="B587" s="132"/>
      <c r="C587" s="188"/>
      <c r="D587" s="215" t="s">
        <v>1506</v>
      </c>
      <c r="E587" s="215">
        <v>1</v>
      </c>
      <c r="F587" s="216">
        <v>890</v>
      </c>
      <c r="G587" s="218">
        <f>E587*F587</f>
        <v>890</v>
      </c>
    </row>
    <row r="588" spans="1:7" x14ac:dyDescent="0.2">
      <c r="A588" s="244" t="s">
        <v>1020</v>
      </c>
      <c r="B588" s="132"/>
      <c r="C588" s="188"/>
      <c r="D588" s="215"/>
      <c r="E588" s="215"/>
      <c r="F588" s="216"/>
      <c r="G588" s="218"/>
    </row>
    <row r="589" spans="1:7" x14ac:dyDescent="0.2">
      <c r="A589" s="244" t="s">
        <v>1021</v>
      </c>
      <c r="B589" s="132"/>
      <c r="C589" s="188"/>
      <c r="D589" s="215" t="s">
        <v>1506</v>
      </c>
      <c r="E589" s="215">
        <v>1</v>
      </c>
      <c r="F589" s="216">
        <v>98</v>
      </c>
      <c r="G589" s="218">
        <f>E589*F589</f>
        <v>98</v>
      </c>
    </row>
    <row r="590" spans="1:7" x14ac:dyDescent="0.2">
      <c r="A590" s="214"/>
      <c r="B590" s="132"/>
      <c r="C590" s="245"/>
      <c r="D590" s="215"/>
      <c r="E590" s="215"/>
      <c r="F590" s="216"/>
      <c r="G590" s="218"/>
    </row>
    <row r="591" spans="1:7" x14ac:dyDescent="0.2">
      <c r="A591" s="214"/>
      <c r="B591" s="132"/>
      <c r="C591" s="245"/>
      <c r="D591" s="215"/>
      <c r="E591" s="215"/>
      <c r="F591" s="216"/>
      <c r="G591" s="218"/>
    </row>
    <row r="592" spans="1:7" x14ac:dyDescent="0.2">
      <c r="A592" s="238" t="s">
        <v>1692</v>
      </c>
      <c r="B592" s="239"/>
      <c r="C592" s="240"/>
      <c r="D592" s="240"/>
      <c r="E592" s="240"/>
      <c r="F592" s="239"/>
      <c r="G592" s="241">
        <f>SUM(G587:G591)</f>
        <v>988</v>
      </c>
    </row>
    <row r="593" spans="1:7" x14ac:dyDescent="0.2">
      <c r="A593" s="227" t="s">
        <v>1680</v>
      </c>
      <c r="B593" s="132"/>
      <c r="C593" s="188"/>
      <c r="D593" s="132"/>
      <c r="E593" s="188"/>
      <c r="F593" s="132"/>
      <c r="G593" s="218"/>
    </row>
    <row r="594" spans="1:7" ht="25.5" x14ac:dyDescent="0.2">
      <c r="A594" s="229" t="s">
        <v>1409</v>
      </c>
      <c r="B594" s="242"/>
      <c r="C594" s="243"/>
      <c r="D594" s="232" t="s">
        <v>1408</v>
      </c>
      <c r="E594" s="231" t="s">
        <v>1679</v>
      </c>
      <c r="F594" s="232" t="s">
        <v>1676</v>
      </c>
      <c r="G594" s="234" t="s">
        <v>1675</v>
      </c>
    </row>
    <row r="595" spans="1:7" x14ac:dyDescent="0.2">
      <c r="A595" s="208" t="s">
        <v>975</v>
      </c>
      <c r="B595" s="209"/>
      <c r="C595" s="246"/>
      <c r="D595" s="215" t="s">
        <v>976</v>
      </c>
      <c r="E595" s="215">
        <v>0.4</v>
      </c>
      <c r="F595" s="247">
        <v>5</v>
      </c>
      <c r="G595" s="218">
        <f>E595*F595</f>
        <v>2</v>
      </c>
    </row>
    <row r="596" spans="1:7" x14ac:dyDescent="0.2">
      <c r="A596" s="214"/>
      <c r="B596" s="132"/>
      <c r="C596" s="248"/>
      <c r="D596" s="215"/>
      <c r="E596" s="215"/>
      <c r="F596" s="247"/>
      <c r="G596" s="218"/>
    </row>
    <row r="597" spans="1:7" x14ac:dyDescent="0.2">
      <c r="A597" s="219" t="s">
        <v>1682</v>
      </c>
      <c r="B597" s="220"/>
      <c r="C597" s="249"/>
      <c r="D597" s="221" t="s">
        <v>1682</v>
      </c>
      <c r="E597" s="221"/>
      <c r="F597" s="222" t="s">
        <v>1682</v>
      </c>
      <c r="G597" s="224" t="s">
        <v>1682</v>
      </c>
    </row>
    <row r="598" spans="1:7" ht="13.5" thickBot="1" x14ac:dyDescent="0.25">
      <c r="A598" s="250" t="s">
        <v>977</v>
      </c>
      <c r="B598" s="251"/>
      <c r="C598" s="252"/>
      <c r="D598" s="252"/>
      <c r="E598" s="252"/>
      <c r="F598" s="251"/>
      <c r="G598" s="253">
        <f>SUM(G595:G597)</f>
        <v>2</v>
      </c>
    </row>
    <row r="599" spans="1:7" x14ac:dyDescent="0.2">
      <c r="A599" s="132"/>
      <c r="B599" s="132"/>
      <c r="C599" s="254"/>
      <c r="D599" s="198"/>
      <c r="E599" s="198"/>
      <c r="F599" s="255" t="s">
        <v>978</v>
      </c>
      <c r="G599" s="256">
        <f>G576+G584+G592+G598</f>
        <v>1092.6659999999999</v>
      </c>
    </row>
    <row r="600" spans="1:7" x14ac:dyDescent="0.2">
      <c r="A600" s="132"/>
      <c r="B600" s="132"/>
      <c r="C600" s="257"/>
      <c r="D600" s="239"/>
      <c r="E600" s="239"/>
      <c r="F600" s="258" t="s">
        <v>979</v>
      </c>
      <c r="G600" s="241"/>
    </row>
    <row r="601" spans="1:7" x14ac:dyDescent="0.2">
      <c r="A601" s="132"/>
      <c r="B601" s="132"/>
      <c r="C601" s="257"/>
      <c r="D601" s="239"/>
      <c r="E601" s="239"/>
      <c r="F601" s="258" t="s">
        <v>980</v>
      </c>
      <c r="G601" s="241"/>
    </row>
    <row r="602" spans="1:7" x14ac:dyDescent="0.2">
      <c r="A602" s="132"/>
      <c r="B602" s="132"/>
      <c r="C602" s="257"/>
      <c r="D602" s="239"/>
      <c r="E602" s="239"/>
      <c r="F602" s="259" t="s">
        <v>1670</v>
      </c>
      <c r="G602" s="260"/>
    </row>
    <row r="603" spans="1:7" ht="13.5" thickBot="1" x14ac:dyDescent="0.25">
      <c r="A603" s="193"/>
      <c r="B603" s="132"/>
      <c r="C603" s="261"/>
      <c r="D603" s="251"/>
      <c r="E603" s="251"/>
      <c r="F603" s="262" t="s">
        <v>1650</v>
      </c>
      <c r="G603" s="263"/>
    </row>
    <row r="604" spans="1:7" ht="15.75" x14ac:dyDescent="0.2">
      <c r="A604" s="186" t="s">
        <v>1701</v>
      </c>
      <c r="B604" s="132"/>
      <c r="C604" s="187" t="s">
        <v>742</v>
      </c>
      <c r="D604" s="132"/>
      <c r="E604" s="132"/>
      <c r="F604" s="188"/>
      <c r="G604" s="132"/>
    </row>
    <row r="605" spans="1:7" ht="15.75" x14ac:dyDescent="0.2">
      <c r="A605" s="186" t="s">
        <v>1700</v>
      </c>
      <c r="B605" s="189" t="s">
        <v>963</v>
      </c>
      <c r="C605" s="188"/>
      <c r="D605" s="132"/>
      <c r="E605" s="132"/>
      <c r="F605" s="190"/>
      <c r="G605" s="191"/>
    </row>
    <row r="606" spans="1:7" ht="14.25" x14ac:dyDescent="0.2">
      <c r="A606" s="189"/>
      <c r="B606" s="189"/>
      <c r="C606" s="187"/>
      <c r="D606" s="189"/>
      <c r="E606" s="189"/>
      <c r="F606" s="189"/>
      <c r="G606" s="189"/>
    </row>
    <row r="607" spans="1:7" ht="15.75" x14ac:dyDescent="0.2">
      <c r="A607" s="186" t="s">
        <v>1697</v>
      </c>
      <c r="B607" s="189"/>
      <c r="C607" s="188"/>
      <c r="D607" s="132"/>
      <c r="E607" s="132"/>
      <c r="F607" s="132"/>
      <c r="G607" s="132"/>
    </row>
    <row r="608" spans="1:7" ht="15" x14ac:dyDescent="0.2">
      <c r="A608" s="192"/>
      <c r="B608" s="189"/>
      <c r="C608" s="187"/>
      <c r="D608" s="189"/>
      <c r="E608" s="189"/>
      <c r="F608" s="189"/>
      <c r="G608" s="189"/>
    </row>
    <row r="609" spans="1:7" ht="14.25" x14ac:dyDescent="0.2">
      <c r="A609" s="193" t="s">
        <v>594</v>
      </c>
      <c r="B609" s="194"/>
      <c r="C609" s="188"/>
      <c r="D609" s="188"/>
      <c r="E609" s="188"/>
      <c r="F609" s="195" t="s">
        <v>1696</v>
      </c>
      <c r="G609" s="189" t="s">
        <v>1506</v>
      </c>
    </row>
    <row r="610" spans="1:7" ht="14.25" x14ac:dyDescent="0.2">
      <c r="A610" s="196" t="s">
        <v>964</v>
      </c>
      <c r="B610" s="194" t="s">
        <v>1022</v>
      </c>
      <c r="C610" s="188"/>
      <c r="D610" s="132"/>
      <c r="E610" s="132"/>
      <c r="F610" s="132"/>
      <c r="G610" s="132"/>
    </row>
    <row r="611" spans="1:7" ht="15" thickBot="1" x14ac:dyDescent="0.25">
      <c r="A611" s="187"/>
      <c r="B611" s="187"/>
      <c r="C611" s="187"/>
      <c r="D611" s="189"/>
      <c r="E611" s="189"/>
      <c r="F611" s="189"/>
      <c r="G611" s="189"/>
    </row>
    <row r="612" spans="1:7" x14ac:dyDescent="0.2">
      <c r="A612" s="197" t="s">
        <v>1695</v>
      </c>
      <c r="B612" s="198"/>
      <c r="C612" s="199"/>
      <c r="D612" s="198"/>
      <c r="E612" s="198"/>
      <c r="F612" s="198"/>
      <c r="G612" s="200"/>
    </row>
    <row r="613" spans="1:7" ht="25.5" x14ac:dyDescent="0.2">
      <c r="A613" s="202" t="s">
        <v>1409</v>
      </c>
      <c r="B613" s="203"/>
      <c r="C613" s="204" t="s">
        <v>966</v>
      </c>
      <c r="D613" s="205" t="s">
        <v>1694</v>
      </c>
      <c r="E613" s="205" t="s">
        <v>1693</v>
      </c>
      <c r="F613" s="206" t="s">
        <v>1687</v>
      </c>
      <c r="G613" s="207" t="s">
        <v>967</v>
      </c>
    </row>
    <row r="614" spans="1:7" x14ac:dyDescent="0.2">
      <c r="A614" s="208" t="s">
        <v>1468</v>
      </c>
      <c r="B614" s="209"/>
      <c r="C614" s="210">
        <v>1</v>
      </c>
      <c r="D614" s="211">
        <v>2.5</v>
      </c>
      <c r="E614" s="211">
        <f>C614*D614</f>
        <v>2.5</v>
      </c>
      <c r="F614" s="212">
        <v>1</v>
      </c>
      <c r="G614" s="218">
        <f>E614*F614</f>
        <v>2.5</v>
      </c>
    </row>
    <row r="615" spans="1:7" x14ac:dyDescent="0.2">
      <c r="A615" s="214" t="s">
        <v>1023</v>
      </c>
      <c r="B615" s="132"/>
      <c r="C615" s="215">
        <v>1</v>
      </c>
      <c r="D615" s="216">
        <v>12.54</v>
      </c>
      <c r="E615" s="216">
        <v>8.16</v>
      </c>
      <c r="F615" s="217">
        <v>1</v>
      </c>
      <c r="G615" s="218">
        <f>E615*F615</f>
        <v>8.16</v>
      </c>
    </row>
    <row r="616" spans="1:7" x14ac:dyDescent="0.2">
      <c r="A616" s="214"/>
      <c r="B616" s="132"/>
      <c r="C616" s="215"/>
      <c r="D616" s="216"/>
      <c r="E616" s="216"/>
      <c r="F616" s="217"/>
      <c r="G616" s="218"/>
    </row>
    <row r="617" spans="1:7" x14ac:dyDescent="0.2">
      <c r="A617" s="219" t="s">
        <v>1682</v>
      </c>
      <c r="B617" s="220"/>
      <c r="C617" s="221"/>
      <c r="D617" s="222" t="s">
        <v>1682</v>
      </c>
      <c r="E617" s="222" t="s">
        <v>1682</v>
      </c>
      <c r="F617" s="223"/>
      <c r="G617" s="224" t="s">
        <v>1682</v>
      </c>
    </row>
    <row r="618" spans="1:7" x14ac:dyDescent="0.2">
      <c r="A618" s="219" t="s">
        <v>968</v>
      </c>
      <c r="B618" s="220"/>
      <c r="C618" s="225"/>
      <c r="D618" s="220"/>
      <c r="E618" s="220"/>
      <c r="F618" s="226"/>
      <c r="G618" s="224">
        <f>SUM(G614:G617)</f>
        <v>10.66</v>
      </c>
    </row>
    <row r="619" spans="1:7" x14ac:dyDescent="0.2">
      <c r="A619" s="227" t="s">
        <v>1503</v>
      </c>
      <c r="B619" s="132"/>
      <c r="C619" s="188"/>
      <c r="D619" s="132"/>
      <c r="E619" s="132"/>
      <c r="F619" s="228"/>
      <c r="G619" s="218"/>
    </row>
    <row r="620" spans="1:7" ht="25.5" x14ac:dyDescent="0.2">
      <c r="A620" s="229" t="s">
        <v>1691</v>
      </c>
      <c r="B620" s="230"/>
      <c r="C620" s="231" t="s">
        <v>969</v>
      </c>
      <c r="D620" s="232" t="s">
        <v>1689</v>
      </c>
      <c r="E620" s="232" t="s">
        <v>1688</v>
      </c>
      <c r="F620" s="233" t="s">
        <v>1687</v>
      </c>
      <c r="G620" s="234" t="s">
        <v>1686</v>
      </c>
    </row>
    <row r="621" spans="1:7" x14ac:dyDescent="0.2">
      <c r="A621" s="235" t="s">
        <v>970</v>
      </c>
      <c r="B621" s="132"/>
      <c r="C621" s="236">
        <v>1</v>
      </c>
      <c r="D621" s="237">
        <v>2.16</v>
      </c>
      <c r="E621" s="216">
        <v>2.16</v>
      </c>
      <c r="F621" s="217">
        <v>31.5</v>
      </c>
      <c r="G621" s="218">
        <f>E621*F621</f>
        <v>68.040000000000006</v>
      </c>
    </row>
    <row r="622" spans="1:7" x14ac:dyDescent="0.2">
      <c r="A622" s="235" t="s">
        <v>971</v>
      </c>
      <c r="B622" s="132"/>
      <c r="C622" s="236">
        <v>1</v>
      </c>
      <c r="D622" s="237">
        <v>2.13</v>
      </c>
      <c r="E622" s="216">
        <f>C622*D622</f>
        <v>2.13</v>
      </c>
      <c r="F622" s="217">
        <v>22.95</v>
      </c>
      <c r="G622" s="218">
        <f>E622*F622</f>
        <v>48.883499999999998</v>
      </c>
    </row>
    <row r="623" spans="1:7" x14ac:dyDescent="0.2">
      <c r="A623" s="235" t="s">
        <v>590</v>
      </c>
      <c r="B623" s="132"/>
      <c r="C623" s="236">
        <v>1</v>
      </c>
      <c r="D623" s="237">
        <v>2.13</v>
      </c>
      <c r="E623" s="216">
        <f>C623*D623</f>
        <v>2.13</v>
      </c>
      <c r="F623" s="217">
        <v>16.350000000000001</v>
      </c>
      <c r="G623" s="218">
        <f>E623*F623</f>
        <v>34.825499999999998</v>
      </c>
    </row>
    <row r="624" spans="1:7" x14ac:dyDescent="0.2">
      <c r="A624" s="235"/>
      <c r="B624" s="132"/>
      <c r="C624" s="236"/>
      <c r="D624" s="237"/>
      <c r="E624" s="216"/>
      <c r="F624" s="217"/>
      <c r="G624" s="218"/>
    </row>
    <row r="625" spans="1:7" x14ac:dyDescent="0.2">
      <c r="A625" s="219" t="s">
        <v>1682</v>
      </c>
      <c r="B625" s="220"/>
      <c r="C625" s="221"/>
      <c r="D625" s="222" t="s">
        <v>1682</v>
      </c>
      <c r="E625" s="222" t="s">
        <v>1682</v>
      </c>
      <c r="F625" s="223"/>
      <c r="G625" s="224" t="s">
        <v>1682</v>
      </c>
    </row>
    <row r="626" spans="1:7" x14ac:dyDescent="0.2">
      <c r="A626" s="238" t="s">
        <v>1681</v>
      </c>
      <c r="B626" s="239"/>
      <c r="C626" s="240"/>
      <c r="D626" s="239"/>
      <c r="E626" s="239"/>
      <c r="F626" s="239"/>
      <c r="G626" s="241">
        <f>SUM(G621:G625)</f>
        <v>151.749</v>
      </c>
    </row>
    <row r="627" spans="1:7" x14ac:dyDescent="0.2">
      <c r="A627" s="227" t="s">
        <v>1684</v>
      </c>
      <c r="B627" s="132"/>
      <c r="C627" s="188"/>
      <c r="D627" s="132"/>
      <c r="E627" s="132"/>
      <c r="F627" s="132"/>
      <c r="G627" s="218"/>
    </row>
    <row r="628" spans="1:7" ht="25.5" x14ac:dyDescent="0.2">
      <c r="A628" s="229" t="s">
        <v>1409</v>
      </c>
      <c r="B628" s="242"/>
      <c r="C628" s="243"/>
      <c r="D628" s="232" t="s">
        <v>1408</v>
      </c>
      <c r="E628" s="231" t="s">
        <v>1679</v>
      </c>
      <c r="F628" s="232" t="s">
        <v>1683</v>
      </c>
      <c r="G628" s="234" t="s">
        <v>1675</v>
      </c>
    </row>
    <row r="629" spans="1:7" x14ac:dyDescent="0.2">
      <c r="A629" s="244" t="s">
        <v>1024</v>
      </c>
      <c r="B629" s="132"/>
      <c r="C629" s="188"/>
      <c r="D629" s="215" t="s">
        <v>1506</v>
      </c>
      <c r="E629" s="215">
        <v>1</v>
      </c>
      <c r="F629" s="216">
        <v>4300</v>
      </c>
      <c r="G629" s="218">
        <f>E629*F629</f>
        <v>4300</v>
      </c>
    </row>
    <row r="630" spans="1:7" x14ac:dyDescent="0.2">
      <c r="A630" s="244" t="s">
        <v>1025</v>
      </c>
      <c r="B630" s="132"/>
      <c r="C630" s="188"/>
      <c r="D630" s="215"/>
      <c r="E630" s="215"/>
      <c r="F630" s="216"/>
      <c r="G630" s="218"/>
    </row>
    <row r="631" spans="1:7" x14ac:dyDescent="0.2">
      <c r="A631" s="244" t="s">
        <v>1021</v>
      </c>
      <c r="B631" s="132"/>
      <c r="C631" s="188"/>
      <c r="D631" s="215" t="s">
        <v>1506</v>
      </c>
      <c r="E631" s="215">
        <v>1</v>
      </c>
      <c r="F631" s="216">
        <v>135</v>
      </c>
      <c r="G631" s="218">
        <f>E631*F631</f>
        <v>135</v>
      </c>
    </row>
    <row r="632" spans="1:7" x14ac:dyDescent="0.2">
      <c r="A632" s="214"/>
      <c r="B632" s="132"/>
      <c r="C632" s="245"/>
      <c r="D632" s="215"/>
      <c r="E632" s="215"/>
      <c r="F632" s="216"/>
      <c r="G632" s="218"/>
    </row>
    <row r="633" spans="1:7" x14ac:dyDescent="0.2">
      <c r="A633" s="214"/>
      <c r="B633" s="132"/>
      <c r="C633" s="245"/>
      <c r="D633" s="215"/>
      <c r="E633" s="215"/>
      <c r="F633" s="216"/>
      <c r="G633" s="218"/>
    </row>
    <row r="634" spans="1:7" x14ac:dyDescent="0.2">
      <c r="A634" s="238" t="s">
        <v>1692</v>
      </c>
      <c r="B634" s="239"/>
      <c r="C634" s="240"/>
      <c r="D634" s="240"/>
      <c r="E634" s="240"/>
      <c r="F634" s="239"/>
      <c r="G634" s="241">
        <f>SUM(G629:G633)</f>
        <v>4435</v>
      </c>
    </row>
    <row r="635" spans="1:7" x14ac:dyDescent="0.2">
      <c r="A635" s="227" t="s">
        <v>1680</v>
      </c>
      <c r="B635" s="132"/>
      <c r="C635" s="188"/>
      <c r="D635" s="132"/>
      <c r="E635" s="188"/>
      <c r="F635" s="132"/>
      <c r="G635" s="218"/>
    </row>
    <row r="636" spans="1:7" ht="25.5" x14ac:dyDescent="0.2">
      <c r="A636" s="229" t="s">
        <v>1409</v>
      </c>
      <c r="B636" s="242"/>
      <c r="C636" s="243"/>
      <c r="D636" s="232" t="s">
        <v>1408</v>
      </c>
      <c r="E636" s="231" t="s">
        <v>1679</v>
      </c>
      <c r="F636" s="232" t="s">
        <v>1676</v>
      </c>
      <c r="G636" s="234" t="s">
        <v>1675</v>
      </c>
    </row>
    <row r="637" spans="1:7" x14ac:dyDescent="0.2">
      <c r="A637" s="208" t="s">
        <v>975</v>
      </c>
      <c r="B637" s="209"/>
      <c r="C637" s="246"/>
      <c r="D637" s="215" t="s">
        <v>976</v>
      </c>
      <c r="E637" s="215">
        <v>1</v>
      </c>
      <c r="F637" s="247">
        <v>5</v>
      </c>
      <c r="G637" s="218">
        <f>E637*F637</f>
        <v>5</v>
      </c>
    </row>
    <row r="638" spans="1:7" x14ac:dyDescent="0.2">
      <c r="A638" s="214"/>
      <c r="B638" s="132"/>
      <c r="C638" s="248"/>
      <c r="D638" s="215"/>
      <c r="E638" s="215"/>
      <c r="F638" s="247"/>
      <c r="G638" s="218"/>
    </row>
    <row r="639" spans="1:7" x14ac:dyDescent="0.2">
      <c r="A639" s="219" t="s">
        <v>1682</v>
      </c>
      <c r="B639" s="220"/>
      <c r="C639" s="249"/>
      <c r="D639" s="221" t="s">
        <v>1682</v>
      </c>
      <c r="E639" s="221"/>
      <c r="F639" s="222" t="s">
        <v>1682</v>
      </c>
      <c r="G639" s="224" t="s">
        <v>1682</v>
      </c>
    </row>
    <row r="640" spans="1:7" ht="13.5" thickBot="1" x14ac:dyDescent="0.25">
      <c r="A640" s="250" t="s">
        <v>977</v>
      </c>
      <c r="B640" s="251"/>
      <c r="C640" s="252"/>
      <c r="D640" s="252"/>
      <c r="E640" s="252"/>
      <c r="F640" s="251"/>
      <c r="G640" s="253">
        <f>SUM(G637:G639)</f>
        <v>5</v>
      </c>
    </row>
    <row r="641" spans="1:7" x14ac:dyDescent="0.2">
      <c r="A641" s="132"/>
      <c r="B641" s="132"/>
      <c r="C641" s="254"/>
      <c r="D641" s="198"/>
      <c r="E641" s="198"/>
      <c r="F641" s="255" t="s">
        <v>978</v>
      </c>
      <c r="G641" s="256">
        <f>G618+G626+G634+G640</f>
        <v>4602.4089999999997</v>
      </c>
    </row>
    <row r="642" spans="1:7" x14ac:dyDescent="0.2">
      <c r="A642" s="132"/>
      <c r="B642" s="132"/>
      <c r="C642" s="257"/>
      <c r="D642" s="239"/>
      <c r="E642" s="239"/>
      <c r="F642" s="258" t="s">
        <v>979</v>
      </c>
      <c r="G642" s="241"/>
    </row>
    <row r="643" spans="1:7" x14ac:dyDescent="0.2">
      <c r="A643" s="132"/>
      <c r="B643" s="132"/>
      <c r="C643" s="257"/>
      <c r="D643" s="239"/>
      <c r="E643" s="239"/>
      <c r="F643" s="258" t="s">
        <v>980</v>
      </c>
      <c r="G643" s="241"/>
    </row>
    <row r="644" spans="1:7" x14ac:dyDescent="0.2">
      <c r="A644" s="132"/>
      <c r="B644" s="132"/>
      <c r="C644" s="257"/>
      <c r="D644" s="239"/>
      <c r="E644" s="239"/>
      <c r="F644" s="259" t="s">
        <v>1670</v>
      </c>
      <c r="G644" s="260"/>
    </row>
    <row r="645" spans="1:7" ht="13.5" thickBot="1" x14ac:dyDescent="0.25">
      <c r="A645" s="193"/>
      <c r="B645" s="132"/>
      <c r="C645" s="261"/>
      <c r="D645" s="251"/>
      <c r="E645" s="251"/>
      <c r="F645" s="262" t="s">
        <v>1650</v>
      </c>
      <c r="G645" s="263"/>
    </row>
    <row r="646" spans="1:7" ht="15.75" x14ac:dyDescent="0.2">
      <c r="A646" s="186" t="s">
        <v>1701</v>
      </c>
      <c r="B646" s="132"/>
      <c r="C646" s="187" t="s">
        <v>742</v>
      </c>
      <c r="D646" s="132"/>
      <c r="E646" s="132"/>
      <c r="F646" s="188"/>
      <c r="G646" s="132"/>
    </row>
    <row r="647" spans="1:7" ht="15.75" x14ac:dyDescent="0.2">
      <c r="A647" s="186" t="s">
        <v>1700</v>
      </c>
      <c r="B647" s="189" t="s">
        <v>963</v>
      </c>
      <c r="C647" s="188"/>
      <c r="D647" s="132"/>
      <c r="E647" s="132"/>
      <c r="F647" s="190"/>
      <c r="G647" s="191"/>
    </row>
    <row r="648" spans="1:7" ht="14.25" x14ac:dyDescent="0.2">
      <c r="A648" s="189"/>
      <c r="B648" s="189"/>
      <c r="C648" s="187"/>
      <c r="D648" s="189"/>
      <c r="E648" s="189"/>
      <c r="F648" s="189"/>
      <c r="G648" s="189"/>
    </row>
    <row r="649" spans="1:7" ht="15.75" x14ac:dyDescent="0.2">
      <c r="A649" s="186" t="s">
        <v>1697</v>
      </c>
      <c r="B649" s="189"/>
      <c r="C649" s="188"/>
      <c r="D649" s="132"/>
      <c r="E649" s="132"/>
      <c r="F649" s="132"/>
      <c r="G649" s="132"/>
    </row>
    <row r="650" spans="1:7" ht="15" x14ac:dyDescent="0.2">
      <c r="A650" s="192"/>
      <c r="B650" s="189"/>
      <c r="C650" s="187"/>
      <c r="D650" s="189"/>
      <c r="E650" s="189"/>
      <c r="F650" s="189"/>
      <c r="G650" s="189"/>
    </row>
    <row r="651" spans="1:7" ht="14.25" x14ac:dyDescent="0.2">
      <c r="A651" s="193" t="s">
        <v>594</v>
      </c>
      <c r="B651" s="194"/>
      <c r="C651" s="188"/>
      <c r="D651" s="188"/>
      <c r="E651" s="188"/>
      <c r="F651" s="195" t="s">
        <v>1696</v>
      </c>
      <c r="G651" s="189" t="s">
        <v>1506</v>
      </c>
    </row>
    <row r="652" spans="1:7" ht="14.25" x14ac:dyDescent="0.2">
      <c r="A652" s="196" t="s">
        <v>964</v>
      </c>
      <c r="B652" s="194" t="s">
        <v>1026</v>
      </c>
      <c r="C652" s="188"/>
      <c r="D652" s="132"/>
      <c r="E652" s="132"/>
      <c r="F652" s="132"/>
      <c r="G652" s="132"/>
    </row>
    <row r="653" spans="1:7" ht="15" thickBot="1" x14ac:dyDescent="0.25">
      <c r="A653" s="187"/>
      <c r="B653" s="187"/>
      <c r="C653" s="187"/>
      <c r="D653" s="189"/>
      <c r="E653" s="189"/>
      <c r="F653" s="189"/>
      <c r="G653" s="189"/>
    </row>
    <row r="654" spans="1:7" x14ac:dyDescent="0.2">
      <c r="A654" s="197" t="s">
        <v>1695</v>
      </c>
      <c r="B654" s="198"/>
      <c r="C654" s="199"/>
      <c r="D654" s="198"/>
      <c r="E654" s="198"/>
      <c r="F654" s="198"/>
      <c r="G654" s="200"/>
    </row>
    <row r="655" spans="1:7" ht="25.5" x14ac:dyDescent="0.2">
      <c r="A655" s="202" t="s">
        <v>1409</v>
      </c>
      <c r="B655" s="203"/>
      <c r="C655" s="204" t="s">
        <v>966</v>
      </c>
      <c r="D655" s="205" t="s">
        <v>1694</v>
      </c>
      <c r="E655" s="205" t="s">
        <v>1693</v>
      </c>
      <c r="F655" s="206" t="s">
        <v>1687</v>
      </c>
      <c r="G655" s="207" t="s">
        <v>967</v>
      </c>
    </row>
    <row r="656" spans="1:7" x14ac:dyDescent="0.2">
      <c r="A656" s="208" t="s">
        <v>1468</v>
      </c>
      <c r="B656" s="209"/>
      <c r="C656" s="210">
        <v>1</v>
      </c>
      <c r="D656" s="211">
        <v>2.5</v>
      </c>
      <c r="E656" s="211">
        <f>C656*D656</f>
        <v>2.5</v>
      </c>
      <c r="F656" s="212">
        <v>1</v>
      </c>
      <c r="G656" s="218">
        <f>E656*F656</f>
        <v>2.5</v>
      </c>
    </row>
    <row r="657" spans="1:7" x14ac:dyDescent="0.2">
      <c r="A657" s="214"/>
      <c r="B657" s="132"/>
      <c r="C657" s="215"/>
      <c r="D657" s="216"/>
      <c r="E657" s="216"/>
      <c r="F657" s="217"/>
      <c r="G657" s="218"/>
    </row>
    <row r="658" spans="1:7" x14ac:dyDescent="0.2">
      <c r="A658" s="219" t="s">
        <v>1682</v>
      </c>
      <c r="B658" s="220"/>
      <c r="C658" s="221"/>
      <c r="D658" s="222" t="s">
        <v>1682</v>
      </c>
      <c r="E658" s="222" t="s">
        <v>1682</v>
      </c>
      <c r="F658" s="223"/>
      <c r="G658" s="224" t="s">
        <v>1682</v>
      </c>
    </row>
    <row r="659" spans="1:7" x14ac:dyDescent="0.2">
      <c r="A659" s="219" t="s">
        <v>968</v>
      </c>
      <c r="B659" s="220"/>
      <c r="C659" s="225"/>
      <c r="D659" s="220"/>
      <c r="E659" s="220"/>
      <c r="F659" s="226"/>
      <c r="G659" s="224">
        <f>SUM(G656:G658)</f>
        <v>2.5</v>
      </c>
    </row>
    <row r="660" spans="1:7" x14ac:dyDescent="0.2">
      <c r="A660" s="227" t="s">
        <v>1503</v>
      </c>
      <c r="B660" s="132"/>
      <c r="C660" s="188"/>
      <c r="D660" s="132"/>
      <c r="E660" s="132"/>
      <c r="F660" s="228"/>
      <c r="G660" s="218"/>
    </row>
    <row r="661" spans="1:7" ht="25.5" x14ac:dyDescent="0.2">
      <c r="A661" s="229" t="s">
        <v>1691</v>
      </c>
      <c r="B661" s="230"/>
      <c r="C661" s="231" t="s">
        <v>969</v>
      </c>
      <c r="D661" s="232" t="s">
        <v>1689</v>
      </c>
      <c r="E661" s="232" t="s">
        <v>1688</v>
      </c>
      <c r="F661" s="233" t="s">
        <v>1687</v>
      </c>
      <c r="G661" s="234" t="s">
        <v>1686</v>
      </c>
    </row>
    <row r="662" spans="1:7" x14ac:dyDescent="0.2">
      <c r="A662" s="235" t="s">
        <v>970</v>
      </c>
      <c r="B662" s="132"/>
      <c r="C662" s="236">
        <v>1</v>
      </c>
      <c r="D662" s="237">
        <v>2.16</v>
      </c>
      <c r="E662" s="216">
        <v>2.16</v>
      </c>
      <c r="F662" s="217">
        <v>61.5</v>
      </c>
      <c r="G662" s="218">
        <f>E662*F662</f>
        <v>132.84</v>
      </c>
    </row>
    <row r="663" spans="1:7" x14ac:dyDescent="0.2">
      <c r="A663" s="235" t="s">
        <v>971</v>
      </c>
      <c r="B663" s="132"/>
      <c r="C663" s="236">
        <v>1</v>
      </c>
      <c r="D663" s="237">
        <v>2.13</v>
      </c>
      <c r="E663" s="216">
        <f>C663*D663</f>
        <v>2.13</v>
      </c>
      <c r="F663" s="217">
        <v>45.9</v>
      </c>
      <c r="G663" s="218">
        <f>E663*F663</f>
        <v>97.766999999999996</v>
      </c>
    </row>
    <row r="664" spans="1:7" x14ac:dyDescent="0.2">
      <c r="A664" s="235" t="s">
        <v>590</v>
      </c>
      <c r="B664" s="132"/>
      <c r="C664" s="236">
        <v>1</v>
      </c>
      <c r="D664" s="237">
        <v>2.13</v>
      </c>
      <c r="E664" s="216">
        <f>C664*D664</f>
        <v>2.13</v>
      </c>
      <c r="F664" s="217">
        <v>32.549999999999997</v>
      </c>
      <c r="G664" s="218">
        <f>E664*F664</f>
        <v>69.331499999999991</v>
      </c>
    </row>
    <row r="665" spans="1:7" x14ac:dyDescent="0.2">
      <c r="A665" s="235"/>
      <c r="B665" s="132"/>
      <c r="C665" s="236"/>
      <c r="D665" s="237"/>
      <c r="E665" s="216"/>
      <c r="F665" s="217"/>
      <c r="G665" s="218"/>
    </row>
    <row r="666" spans="1:7" x14ac:dyDescent="0.2">
      <c r="A666" s="219" t="s">
        <v>1682</v>
      </c>
      <c r="B666" s="220"/>
      <c r="C666" s="221"/>
      <c r="D666" s="222" t="s">
        <v>1682</v>
      </c>
      <c r="E666" s="222" t="s">
        <v>1682</v>
      </c>
      <c r="F666" s="223"/>
      <c r="G666" s="224" t="s">
        <v>1682</v>
      </c>
    </row>
    <row r="667" spans="1:7" x14ac:dyDescent="0.2">
      <c r="A667" s="238" t="s">
        <v>1681</v>
      </c>
      <c r="B667" s="239"/>
      <c r="C667" s="240"/>
      <c r="D667" s="239"/>
      <c r="E667" s="239"/>
      <c r="F667" s="239"/>
      <c r="G667" s="241">
        <f>SUM(G662:G666)</f>
        <v>299.93849999999998</v>
      </c>
    </row>
    <row r="668" spans="1:7" x14ac:dyDescent="0.2">
      <c r="A668" s="227" t="s">
        <v>1684</v>
      </c>
      <c r="B668" s="132"/>
      <c r="C668" s="188"/>
      <c r="D668" s="132"/>
      <c r="E668" s="132"/>
      <c r="F668" s="132"/>
      <c r="G668" s="218"/>
    </row>
    <row r="669" spans="1:7" ht="25.5" x14ac:dyDescent="0.2">
      <c r="A669" s="229" t="s">
        <v>1409</v>
      </c>
      <c r="B669" s="242"/>
      <c r="C669" s="243"/>
      <c r="D669" s="232" t="s">
        <v>1408</v>
      </c>
      <c r="E669" s="231" t="s">
        <v>1679</v>
      </c>
      <c r="F669" s="232" t="s">
        <v>1683</v>
      </c>
      <c r="G669" s="234" t="s">
        <v>1675</v>
      </c>
    </row>
    <row r="670" spans="1:7" x14ac:dyDescent="0.2">
      <c r="A670" s="244" t="s">
        <v>1027</v>
      </c>
      <c r="B670" s="132"/>
      <c r="C670" s="188"/>
      <c r="D670" s="215" t="s">
        <v>1506</v>
      </c>
      <c r="E670" s="215">
        <v>1</v>
      </c>
      <c r="F670" s="216">
        <v>3250</v>
      </c>
      <c r="G670" s="218">
        <f>E670*F670</f>
        <v>3250</v>
      </c>
    </row>
    <row r="671" spans="1:7" x14ac:dyDescent="0.2">
      <c r="A671" s="244" t="s">
        <v>1028</v>
      </c>
      <c r="B671" s="132"/>
      <c r="C671" s="188"/>
      <c r="D671" s="215"/>
      <c r="E671" s="215"/>
      <c r="F671" s="216"/>
      <c r="G671" s="218"/>
    </row>
    <row r="672" spans="1:7" x14ac:dyDescent="0.2">
      <c r="A672" s="244" t="s">
        <v>1029</v>
      </c>
      <c r="B672" s="132"/>
      <c r="C672" s="188"/>
      <c r="D672" s="215" t="s">
        <v>1506</v>
      </c>
      <c r="E672" s="215">
        <v>1</v>
      </c>
      <c r="F672" s="216">
        <v>200</v>
      </c>
      <c r="G672" s="218">
        <f>E672*F672</f>
        <v>200</v>
      </c>
    </row>
    <row r="673" spans="1:7" x14ac:dyDescent="0.2">
      <c r="A673" s="214"/>
      <c r="B673" s="132"/>
      <c r="C673" s="245"/>
      <c r="D673" s="215"/>
      <c r="E673" s="215"/>
      <c r="F673" s="216"/>
      <c r="G673" s="218"/>
    </row>
    <row r="674" spans="1:7" x14ac:dyDescent="0.2">
      <c r="A674" s="214"/>
      <c r="B674" s="132"/>
      <c r="C674" s="245"/>
      <c r="D674" s="215"/>
      <c r="E674" s="215"/>
      <c r="F674" s="216"/>
      <c r="G674" s="218"/>
    </row>
    <row r="675" spans="1:7" x14ac:dyDescent="0.2">
      <c r="A675" s="238" t="s">
        <v>1692</v>
      </c>
      <c r="B675" s="239"/>
      <c r="C675" s="240"/>
      <c r="D675" s="240"/>
      <c r="E675" s="240"/>
      <c r="F675" s="239"/>
      <c r="G675" s="241">
        <f>SUM(G670:G674)</f>
        <v>3450</v>
      </c>
    </row>
    <row r="676" spans="1:7" x14ac:dyDescent="0.2">
      <c r="A676" s="227" t="s">
        <v>1680</v>
      </c>
      <c r="B676" s="132"/>
      <c r="C676" s="188"/>
      <c r="D676" s="132"/>
      <c r="E676" s="188"/>
      <c r="F676" s="132"/>
      <c r="G676" s="218"/>
    </row>
    <row r="677" spans="1:7" ht="25.5" x14ac:dyDescent="0.2">
      <c r="A677" s="229" t="s">
        <v>1409</v>
      </c>
      <c r="B677" s="242"/>
      <c r="C677" s="243"/>
      <c r="D677" s="232" t="s">
        <v>1408</v>
      </c>
      <c r="E677" s="231" t="s">
        <v>1679</v>
      </c>
      <c r="F677" s="232" t="s">
        <v>1676</v>
      </c>
      <c r="G677" s="234" t="s">
        <v>1675</v>
      </c>
    </row>
    <row r="678" spans="1:7" x14ac:dyDescent="0.2">
      <c r="A678" s="208" t="s">
        <v>975</v>
      </c>
      <c r="B678" s="209"/>
      <c r="C678" s="246"/>
      <c r="D678" s="215" t="s">
        <v>976</v>
      </c>
      <c r="E678" s="215">
        <v>0.3</v>
      </c>
      <c r="F678" s="247">
        <v>5</v>
      </c>
      <c r="G678" s="218">
        <f>E678*F678</f>
        <v>1.5</v>
      </c>
    </row>
    <row r="679" spans="1:7" x14ac:dyDescent="0.2">
      <c r="A679" s="214"/>
      <c r="B679" s="132"/>
      <c r="C679" s="248"/>
      <c r="D679" s="215"/>
      <c r="E679" s="215"/>
      <c r="F679" s="247"/>
      <c r="G679" s="218"/>
    </row>
    <row r="680" spans="1:7" x14ac:dyDescent="0.2">
      <c r="A680" s="219" t="s">
        <v>1682</v>
      </c>
      <c r="B680" s="220"/>
      <c r="C680" s="249"/>
      <c r="D680" s="221" t="s">
        <v>1682</v>
      </c>
      <c r="E680" s="221"/>
      <c r="F680" s="222" t="s">
        <v>1682</v>
      </c>
      <c r="G680" s="224" t="s">
        <v>1682</v>
      </c>
    </row>
    <row r="681" spans="1:7" ht="13.5" thickBot="1" x14ac:dyDescent="0.25">
      <c r="A681" s="250" t="s">
        <v>977</v>
      </c>
      <c r="B681" s="251"/>
      <c r="C681" s="252"/>
      <c r="D681" s="252"/>
      <c r="E681" s="252"/>
      <c r="F681" s="251"/>
      <c r="G681" s="253">
        <f>SUM(G678:G680)</f>
        <v>1.5</v>
      </c>
    </row>
    <row r="682" spans="1:7" x14ac:dyDescent="0.2">
      <c r="A682" s="132"/>
      <c r="B682" s="132"/>
      <c r="C682" s="254"/>
      <c r="D682" s="198"/>
      <c r="E682" s="198"/>
      <c r="F682" s="255" t="s">
        <v>978</v>
      </c>
      <c r="G682" s="256">
        <f>G659+G667+G675+G681</f>
        <v>3753.9385000000002</v>
      </c>
    </row>
    <row r="683" spans="1:7" x14ac:dyDescent="0.2">
      <c r="A683" s="132"/>
      <c r="B683" s="132"/>
      <c r="C683" s="257"/>
      <c r="D683" s="239"/>
      <c r="E683" s="239"/>
      <c r="F683" s="258" t="s">
        <v>979</v>
      </c>
      <c r="G683" s="241"/>
    </row>
    <row r="684" spans="1:7" x14ac:dyDescent="0.2">
      <c r="A684" s="132"/>
      <c r="B684" s="132"/>
      <c r="C684" s="257"/>
      <c r="D684" s="239"/>
      <c r="E684" s="239"/>
      <c r="F684" s="258" t="s">
        <v>980</v>
      </c>
      <c r="G684" s="241"/>
    </row>
    <row r="685" spans="1:7" x14ac:dyDescent="0.2">
      <c r="A685" s="132"/>
      <c r="B685" s="132"/>
      <c r="C685" s="257"/>
      <c r="D685" s="239"/>
      <c r="E685" s="239"/>
      <c r="F685" s="259" t="s">
        <v>1670</v>
      </c>
      <c r="G685" s="260"/>
    </row>
    <row r="686" spans="1:7" ht="13.5" thickBot="1" x14ac:dyDescent="0.25">
      <c r="A686" s="193"/>
      <c r="B686" s="132"/>
      <c r="C686" s="261"/>
      <c r="D686" s="251"/>
      <c r="E686" s="251"/>
      <c r="F686" s="262" t="s">
        <v>1650</v>
      </c>
      <c r="G686" s="263"/>
    </row>
  </sheetData>
  <phoneticPr fontId="2" type="noConversion"/>
  <pageMargins left="1.33" right="0.47" top="1.1399999999999999" bottom="0.19" header="0" footer="0"/>
  <pageSetup paperSize="9" scale="80" orientation="portrait" r:id="rId1"/>
  <headerFooter alignWithMargins="0"/>
  <rowBreaks count="16" manualBreakCount="16">
    <brk id="42" max="6" man="1"/>
    <brk id="85" max="6" man="1"/>
    <brk id="132" max="6" man="1"/>
    <brk id="171" max="6" man="1"/>
    <brk id="211" max="6" man="1"/>
    <brk id="250" max="6" man="1"/>
    <brk id="289" max="6" man="1"/>
    <brk id="328" max="6" man="1"/>
    <brk id="367" max="6" man="1"/>
    <brk id="406" max="6" man="1"/>
    <brk id="445" max="6" man="1"/>
    <brk id="484" max="6" man="1"/>
    <brk id="523" max="6" man="1"/>
    <brk id="562" max="6" man="1"/>
    <brk id="603" max="6" man="1"/>
    <brk id="645" max="6" man="1"/>
  </row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C192B-F92B-4EDD-81A9-75C9B0FEFC45}">
  <sheetPr codeName="Hoja29"/>
  <dimension ref="A1:G557"/>
  <sheetViews>
    <sheetView workbookViewId="0"/>
  </sheetViews>
  <sheetFormatPr baseColWidth="10" defaultColWidth="11.42578125" defaultRowHeight="12.75" x14ac:dyDescent="0.2"/>
  <cols>
    <col min="2" max="2" width="25.42578125" customWidth="1"/>
    <col min="3" max="7" width="13.42578125" customWidth="1"/>
  </cols>
  <sheetData>
    <row r="1" spans="1:7" ht="15.75" x14ac:dyDescent="0.2">
      <c r="A1" s="186" t="s">
        <v>1701</v>
      </c>
      <c r="B1" s="132"/>
      <c r="C1" s="187" t="s">
        <v>742</v>
      </c>
      <c r="D1" s="132"/>
      <c r="E1" s="132"/>
      <c r="F1" s="188"/>
      <c r="G1" s="132"/>
    </row>
    <row r="2" spans="1:7" ht="15.75" x14ac:dyDescent="0.2">
      <c r="A2" s="186" t="s">
        <v>1700</v>
      </c>
      <c r="B2" s="189" t="s">
        <v>963</v>
      </c>
      <c r="C2" s="188"/>
      <c r="D2" s="132"/>
      <c r="E2" s="132"/>
      <c r="F2" s="190"/>
      <c r="G2" s="191"/>
    </row>
    <row r="3" spans="1:7" ht="14.25" x14ac:dyDescent="0.2">
      <c r="A3" s="189"/>
      <c r="B3" s="189"/>
      <c r="C3" s="187"/>
      <c r="D3" s="189"/>
      <c r="E3" s="189"/>
      <c r="F3" s="189"/>
      <c r="G3" s="189"/>
    </row>
    <row r="4" spans="1:7" ht="15.75" x14ac:dyDescent="0.2">
      <c r="A4" s="186" t="s">
        <v>1697</v>
      </c>
      <c r="B4" s="189"/>
      <c r="C4" s="188"/>
      <c r="D4" s="132"/>
      <c r="E4" s="132"/>
      <c r="F4" s="132"/>
      <c r="G4" s="132"/>
    </row>
    <row r="5" spans="1:7" ht="15" x14ac:dyDescent="0.2">
      <c r="A5" s="192"/>
      <c r="B5" s="189"/>
      <c r="C5" s="187"/>
      <c r="D5" s="189"/>
      <c r="E5" s="189"/>
      <c r="F5" s="189"/>
      <c r="G5" s="189"/>
    </row>
    <row r="6" spans="1:7" ht="14.25" x14ac:dyDescent="0.2">
      <c r="A6" s="193" t="s">
        <v>594</v>
      </c>
      <c r="B6" s="194">
        <v>1</v>
      </c>
      <c r="C6" s="188"/>
      <c r="D6" s="188"/>
      <c r="E6" s="188"/>
      <c r="F6" s="195" t="s">
        <v>1696</v>
      </c>
      <c r="G6" s="189" t="s">
        <v>1506</v>
      </c>
    </row>
    <row r="7" spans="1:7" ht="14.25" x14ac:dyDescent="0.2">
      <c r="A7" s="196" t="s">
        <v>964</v>
      </c>
      <c r="B7" s="194" t="s">
        <v>1030</v>
      </c>
      <c r="C7" s="188"/>
      <c r="D7" s="132"/>
      <c r="E7" s="132"/>
      <c r="F7" s="132"/>
      <c r="G7" s="132"/>
    </row>
    <row r="8" spans="1:7" ht="15" thickBot="1" x14ac:dyDescent="0.25">
      <c r="A8" s="187"/>
      <c r="B8" s="187"/>
      <c r="C8" s="187"/>
      <c r="D8" s="189"/>
      <c r="E8" s="189"/>
      <c r="F8" s="189"/>
      <c r="G8" s="189"/>
    </row>
    <row r="9" spans="1:7" x14ac:dyDescent="0.2">
      <c r="A9" s="197" t="s">
        <v>1695</v>
      </c>
      <c r="B9" s="198"/>
      <c r="C9" s="199"/>
      <c r="D9" s="198"/>
      <c r="E9" s="198"/>
      <c r="F9" s="198"/>
      <c r="G9" s="200"/>
    </row>
    <row r="10" spans="1:7" ht="25.5" x14ac:dyDescent="0.2">
      <c r="A10" s="202" t="s">
        <v>1409</v>
      </c>
      <c r="B10" s="203"/>
      <c r="C10" s="204" t="s">
        <v>966</v>
      </c>
      <c r="D10" s="205" t="s">
        <v>1694</v>
      </c>
      <c r="E10" s="205" t="s">
        <v>1693</v>
      </c>
      <c r="F10" s="206" t="s">
        <v>1687</v>
      </c>
      <c r="G10" s="207" t="s">
        <v>967</v>
      </c>
    </row>
    <row r="11" spans="1:7" x14ac:dyDescent="0.2">
      <c r="A11" s="208" t="s">
        <v>1468</v>
      </c>
      <c r="B11" s="209"/>
      <c r="C11" s="210">
        <v>1</v>
      </c>
      <c r="D11" s="211">
        <v>2.5</v>
      </c>
      <c r="E11" s="211">
        <f>C11*D11</f>
        <v>2.5</v>
      </c>
      <c r="F11" s="212">
        <v>0.4</v>
      </c>
      <c r="G11" s="213">
        <f>E11*F11</f>
        <v>1</v>
      </c>
    </row>
    <row r="12" spans="1:7" x14ac:dyDescent="0.2">
      <c r="A12" s="214"/>
      <c r="B12" s="132"/>
      <c r="C12" s="215"/>
      <c r="D12" s="216"/>
      <c r="E12" s="216"/>
      <c r="F12" s="217"/>
      <c r="G12" s="218"/>
    </row>
    <row r="13" spans="1:7" x14ac:dyDescent="0.2">
      <c r="A13" s="219" t="s">
        <v>1682</v>
      </c>
      <c r="B13" s="220"/>
      <c r="C13" s="221"/>
      <c r="D13" s="222" t="s">
        <v>1682</v>
      </c>
      <c r="E13" s="222" t="s">
        <v>1682</v>
      </c>
      <c r="F13" s="223"/>
      <c r="G13" s="224" t="s">
        <v>1682</v>
      </c>
    </row>
    <row r="14" spans="1:7" x14ac:dyDescent="0.2">
      <c r="A14" s="219" t="s">
        <v>968</v>
      </c>
      <c r="B14" s="220"/>
      <c r="C14" s="225"/>
      <c r="D14" s="220"/>
      <c r="E14" s="220"/>
      <c r="F14" s="226"/>
      <c r="G14" s="224">
        <f>SUM(G11:G13)</f>
        <v>1</v>
      </c>
    </row>
    <row r="15" spans="1:7" x14ac:dyDescent="0.2">
      <c r="A15" s="227" t="s">
        <v>1503</v>
      </c>
      <c r="B15" s="132"/>
      <c r="C15" s="188"/>
      <c r="D15" s="132"/>
      <c r="E15" s="132"/>
      <c r="F15" s="228"/>
      <c r="G15" s="218"/>
    </row>
    <row r="16" spans="1:7" ht="25.5" x14ac:dyDescent="0.2">
      <c r="A16" s="229" t="s">
        <v>1691</v>
      </c>
      <c r="B16" s="230"/>
      <c r="C16" s="231" t="s">
        <v>969</v>
      </c>
      <c r="D16" s="232" t="s">
        <v>1689</v>
      </c>
      <c r="E16" s="232" t="s">
        <v>1688</v>
      </c>
      <c r="F16" s="233" t="s">
        <v>1687</v>
      </c>
      <c r="G16" s="234" t="s">
        <v>1686</v>
      </c>
    </row>
    <row r="17" spans="1:7" x14ac:dyDescent="0.2">
      <c r="A17" s="235" t="s">
        <v>970</v>
      </c>
      <c r="B17" s="132"/>
      <c r="C17" s="236">
        <v>1</v>
      </c>
      <c r="D17" s="237">
        <v>2.16</v>
      </c>
      <c r="E17" s="216">
        <v>2.16</v>
      </c>
      <c r="F17" s="217">
        <v>4.32</v>
      </c>
      <c r="G17" s="218">
        <f>E17*F17</f>
        <v>9.3312000000000008</v>
      </c>
    </row>
    <row r="18" spans="1:7" x14ac:dyDescent="0.2">
      <c r="A18" s="235" t="s">
        <v>971</v>
      </c>
      <c r="B18" s="132"/>
      <c r="C18" s="236">
        <v>1</v>
      </c>
      <c r="D18" s="237">
        <v>2.13</v>
      </c>
      <c r="E18" s="216">
        <f>C18*D18</f>
        <v>2.13</v>
      </c>
      <c r="F18" s="217">
        <v>3.22</v>
      </c>
      <c r="G18" s="218">
        <f>E18*F18</f>
        <v>6.8586</v>
      </c>
    </row>
    <row r="19" spans="1:7" x14ac:dyDescent="0.2">
      <c r="A19" s="235" t="s">
        <v>590</v>
      </c>
      <c r="B19" s="132"/>
      <c r="C19" s="236">
        <v>1</v>
      </c>
      <c r="D19" s="237">
        <v>2.13</v>
      </c>
      <c r="E19" s="216">
        <f>C19*D19</f>
        <v>2.13</v>
      </c>
      <c r="F19" s="217">
        <v>2.2799999999999998</v>
      </c>
      <c r="G19" s="218">
        <f>E19*F19</f>
        <v>4.8563999999999989</v>
      </c>
    </row>
    <row r="20" spans="1:7" x14ac:dyDescent="0.2">
      <c r="A20" s="235"/>
      <c r="B20" s="132"/>
      <c r="C20" s="236"/>
      <c r="D20" s="237"/>
      <c r="E20" s="216"/>
      <c r="F20" s="217"/>
      <c r="G20" s="218"/>
    </row>
    <row r="21" spans="1:7" x14ac:dyDescent="0.2">
      <c r="A21" s="219" t="s">
        <v>1682</v>
      </c>
      <c r="B21" s="220"/>
      <c r="C21" s="221"/>
      <c r="D21" s="222" t="s">
        <v>1682</v>
      </c>
      <c r="E21" s="222" t="s">
        <v>1682</v>
      </c>
      <c r="F21" s="223"/>
      <c r="G21" s="224" t="s">
        <v>1682</v>
      </c>
    </row>
    <row r="22" spans="1:7" x14ac:dyDescent="0.2">
      <c r="A22" s="238" t="s">
        <v>1681</v>
      </c>
      <c r="B22" s="239"/>
      <c r="C22" s="240"/>
      <c r="D22" s="239"/>
      <c r="E22" s="239"/>
      <c r="F22" s="239"/>
      <c r="G22" s="241">
        <f>SUM(G17:G21)</f>
        <v>21.046199999999999</v>
      </c>
    </row>
    <row r="23" spans="1:7" x14ac:dyDescent="0.2">
      <c r="A23" s="227" t="s">
        <v>1684</v>
      </c>
      <c r="B23" s="132"/>
      <c r="C23" s="188"/>
      <c r="D23" s="132"/>
      <c r="E23" s="132"/>
      <c r="F23" s="132"/>
      <c r="G23" s="218"/>
    </row>
    <row r="24" spans="1:7" ht="25.5" x14ac:dyDescent="0.2">
      <c r="A24" s="229" t="s">
        <v>1409</v>
      </c>
      <c r="B24" s="242"/>
      <c r="C24" s="243"/>
      <c r="D24" s="232" t="s">
        <v>1408</v>
      </c>
      <c r="E24" s="231" t="s">
        <v>1679</v>
      </c>
      <c r="F24" s="232" t="s">
        <v>1683</v>
      </c>
      <c r="G24" s="234" t="s">
        <v>1675</v>
      </c>
    </row>
    <row r="25" spans="1:7" x14ac:dyDescent="0.2">
      <c r="A25" s="244" t="s">
        <v>988</v>
      </c>
      <c r="B25" s="132"/>
      <c r="C25" s="188"/>
      <c r="D25" s="215" t="s">
        <v>1506</v>
      </c>
      <c r="E25" s="215">
        <v>3</v>
      </c>
      <c r="F25" s="216">
        <v>3.15</v>
      </c>
      <c r="G25" s="218">
        <f>E25*F25</f>
        <v>9.4499999999999993</v>
      </c>
    </row>
    <row r="26" spans="1:7" x14ac:dyDescent="0.2">
      <c r="A26" s="214" t="s">
        <v>989</v>
      </c>
      <c r="B26" s="132"/>
      <c r="C26" s="188"/>
      <c r="D26" s="215" t="s">
        <v>1506</v>
      </c>
      <c r="E26" s="215">
        <v>4</v>
      </c>
      <c r="F26" s="216">
        <v>0.3</v>
      </c>
      <c r="G26" s="218">
        <f>E26*F26</f>
        <v>1.2</v>
      </c>
    </row>
    <row r="27" spans="1:7" x14ac:dyDescent="0.2">
      <c r="A27" s="214" t="s">
        <v>990</v>
      </c>
      <c r="B27" s="132"/>
      <c r="C27" s="188"/>
      <c r="D27" s="215" t="s">
        <v>1506</v>
      </c>
      <c r="E27" s="215">
        <v>2</v>
      </c>
      <c r="F27" s="216">
        <v>0.3</v>
      </c>
      <c r="G27" s="218">
        <f>E27*F27</f>
        <v>0.6</v>
      </c>
    </row>
    <row r="28" spans="1:7" x14ac:dyDescent="0.2">
      <c r="A28" s="214" t="s">
        <v>1031</v>
      </c>
      <c r="B28" s="132"/>
      <c r="C28" s="188"/>
      <c r="D28" s="215" t="s">
        <v>1506</v>
      </c>
      <c r="E28" s="215">
        <v>1</v>
      </c>
      <c r="F28" s="216">
        <v>0.5</v>
      </c>
      <c r="G28" s="218">
        <f>E28*F28</f>
        <v>0.5</v>
      </c>
    </row>
    <row r="29" spans="1:7" x14ac:dyDescent="0.2">
      <c r="A29" s="214" t="s">
        <v>1032</v>
      </c>
      <c r="B29" s="132"/>
      <c r="C29" s="188"/>
      <c r="D29" s="215" t="s">
        <v>1708</v>
      </c>
      <c r="E29" s="215">
        <v>55</v>
      </c>
      <c r="F29" s="216">
        <v>0.8</v>
      </c>
      <c r="G29" s="218">
        <f>E29*F29</f>
        <v>44</v>
      </c>
    </row>
    <row r="30" spans="1:7" x14ac:dyDescent="0.2">
      <c r="A30" s="214"/>
      <c r="B30" s="132"/>
      <c r="C30" s="245"/>
      <c r="D30" s="215"/>
      <c r="E30" s="215"/>
      <c r="F30" s="216"/>
      <c r="G30" s="218"/>
    </row>
    <row r="31" spans="1:7" x14ac:dyDescent="0.2">
      <c r="A31" s="214"/>
      <c r="B31" s="132"/>
      <c r="C31" s="245"/>
      <c r="D31" s="215"/>
      <c r="E31" s="215"/>
      <c r="F31" s="216"/>
      <c r="G31" s="218"/>
    </row>
    <row r="32" spans="1:7" x14ac:dyDescent="0.2">
      <c r="A32" s="238" t="s">
        <v>1692</v>
      </c>
      <c r="B32" s="239"/>
      <c r="C32" s="240"/>
      <c r="D32" s="240"/>
      <c r="E32" s="240"/>
      <c r="F32" s="239"/>
      <c r="G32" s="241">
        <f>SUM(G25:G31)</f>
        <v>55.75</v>
      </c>
    </row>
    <row r="33" spans="1:7" x14ac:dyDescent="0.2">
      <c r="A33" s="227" t="s">
        <v>1680</v>
      </c>
      <c r="B33" s="132"/>
      <c r="C33" s="188"/>
      <c r="D33" s="132"/>
      <c r="E33" s="188"/>
      <c r="F33" s="132"/>
      <c r="G33" s="218"/>
    </row>
    <row r="34" spans="1:7" ht="25.5" x14ac:dyDescent="0.2">
      <c r="A34" s="229" t="s">
        <v>1409</v>
      </c>
      <c r="B34" s="242"/>
      <c r="C34" s="243"/>
      <c r="D34" s="232" t="s">
        <v>1408</v>
      </c>
      <c r="E34" s="231" t="s">
        <v>1679</v>
      </c>
      <c r="F34" s="232" t="s">
        <v>1676</v>
      </c>
      <c r="G34" s="234" t="s">
        <v>1675</v>
      </c>
    </row>
    <row r="35" spans="1:7" x14ac:dyDescent="0.2">
      <c r="A35" s="208" t="s">
        <v>975</v>
      </c>
      <c r="B35" s="209"/>
      <c r="C35" s="246"/>
      <c r="D35" s="215" t="s">
        <v>976</v>
      </c>
      <c r="E35" s="215">
        <v>0.2</v>
      </c>
      <c r="F35" s="247">
        <v>5</v>
      </c>
      <c r="G35" s="218">
        <v>1</v>
      </c>
    </row>
    <row r="36" spans="1:7" x14ac:dyDescent="0.2">
      <c r="A36" s="214"/>
      <c r="B36" s="132"/>
      <c r="C36" s="248"/>
      <c r="D36" s="215"/>
      <c r="E36" s="215"/>
      <c r="F36" s="247"/>
      <c r="G36" s="218"/>
    </row>
    <row r="37" spans="1:7" x14ac:dyDescent="0.2">
      <c r="A37" s="219" t="s">
        <v>1682</v>
      </c>
      <c r="B37" s="220"/>
      <c r="C37" s="249"/>
      <c r="D37" s="221" t="s">
        <v>1682</v>
      </c>
      <c r="E37" s="221"/>
      <c r="F37" s="222" t="s">
        <v>1682</v>
      </c>
      <c r="G37" s="224" t="s">
        <v>1682</v>
      </c>
    </row>
    <row r="38" spans="1:7" ht="13.5" thickBot="1" x14ac:dyDescent="0.25">
      <c r="A38" s="250" t="s">
        <v>977</v>
      </c>
      <c r="B38" s="251"/>
      <c r="C38" s="252"/>
      <c r="D38" s="252"/>
      <c r="E38" s="252"/>
      <c r="F38" s="251"/>
      <c r="G38" s="253">
        <f>SUM(G35:G37)</f>
        <v>1</v>
      </c>
    </row>
    <row r="39" spans="1:7" x14ac:dyDescent="0.2">
      <c r="A39" s="132"/>
      <c r="B39" s="132"/>
      <c r="C39" s="254"/>
      <c r="D39" s="198"/>
      <c r="E39" s="198"/>
      <c r="F39" s="255" t="s">
        <v>978</v>
      </c>
      <c r="G39" s="256">
        <f>G14+G22+G32+G38</f>
        <v>78.796199999999999</v>
      </c>
    </row>
    <row r="40" spans="1:7" x14ac:dyDescent="0.2">
      <c r="A40" s="132"/>
      <c r="B40" s="132"/>
      <c r="C40" s="257"/>
      <c r="D40" s="239"/>
      <c r="E40" s="239"/>
      <c r="F40" s="258" t="s">
        <v>979</v>
      </c>
      <c r="G40" s="241"/>
    </row>
    <row r="41" spans="1:7" x14ac:dyDescent="0.2">
      <c r="A41" s="132"/>
      <c r="B41" s="132"/>
      <c r="C41" s="257"/>
      <c r="D41" s="239"/>
      <c r="E41" s="239"/>
      <c r="F41" s="258" t="s">
        <v>980</v>
      </c>
      <c r="G41" s="241"/>
    </row>
    <row r="42" spans="1:7" x14ac:dyDescent="0.2">
      <c r="A42" s="132"/>
      <c r="B42" s="132"/>
      <c r="C42" s="257"/>
      <c r="D42" s="239"/>
      <c r="E42" s="239"/>
      <c r="F42" s="259" t="s">
        <v>1670</v>
      </c>
      <c r="G42" s="260"/>
    </row>
    <row r="43" spans="1:7" ht="13.5" thickBot="1" x14ac:dyDescent="0.25">
      <c r="A43" s="193"/>
      <c r="B43" s="132"/>
      <c r="C43" s="261"/>
      <c r="D43" s="251"/>
      <c r="E43" s="251"/>
      <c r="F43" s="262" t="s">
        <v>1650</v>
      </c>
      <c r="G43" s="263"/>
    </row>
    <row r="44" spans="1:7" ht="15.75" x14ac:dyDescent="0.2">
      <c r="A44" s="186" t="s">
        <v>1701</v>
      </c>
      <c r="B44" s="132"/>
      <c r="C44" s="187" t="s">
        <v>742</v>
      </c>
      <c r="D44" s="132"/>
      <c r="E44" s="132"/>
      <c r="F44" s="188"/>
      <c r="G44" s="132"/>
    </row>
    <row r="45" spans="1:7" ht="15.75" x14ac:dyDescent="0.2">
      <c r="A45" s="186" t="s">
        <v>1700</v>
      </c>
      <c r="B45" s="189" t="s">
        <v>963</v>
      </c>
      <c r="C45" s="188"/>
      <c r="D45" s="132"/>
      <c r="E45" s="132"/>
      <c r="F45" s="190"/>
      <c r="G45" s="191"/>
    </row>
    <row r="46" spans="1:7" ht="14.25" x14ac:dyDescent="0.2">
      <c r="A46" s="189"/>
      <c r="B46" s="189"/>
      <c r="C46" s="187"/>
      <c r="D46" s="189"/>
      <c r="E46" s="189"/>
      <c r="F46" s="189"/>
      <c r="G46" s="189"/>
    </row>
    <row r="47" spans="1:7" ht="15.75" x14ac:dyDescent="0.2">
      <c r="A47" s="186" t="s">
        <v>1697</v>
      </c>
      <c r="B47" s="189"/>
      <c r="C47" s="188"/>
      <c r="D47" s="132"/>
      <c r="E47" s="132"/>
      <c r="F47" s="132"/>
      <c r="G47" s="132"/>
    </row>
    <row r="48" spans="1:7" ht="15" x14ac:dyDescent="0.2">
      <c r="A48" s="192"/>
      <c r="B48" s="189"/>
      <c r="C48" s="187"/>
      <c r="D48" s="189"/>
      <c r="E48" s="189"/>
      <c r="F48" s="189"/>
      <c r="G48" s="189"/>
    </row>
    <row r="49" spans="1:7" ht="14.25" x14ac:dyDescent="0.2">
      <c r="A49" s="193" t="s">
        <v>594</v>
      </c>
      <c r="B49" s="194">
        <v>2</v>
      </c>
      <c r="C49" s="188"/>
      <c r="D49" s="188"/>
      <c r="E49" s="188"/>
      <c r="F49" s="195" t="s">
        <v>1696</v>
      </c>
      <c r="G49" s="189" t="s">
        <v>1506</v>
      </c>
    </row>
    <row r="50" spans="1:7" ht="14.25" x14ac:dyDescent="0.2">
      <c r="A50" s="196" t="s">
        <v>964</v>
      </c>
      <c r="B50" s="194" t="s">
        <v>1033</v>
      </c>
      <c r="C50" s="188"/>
      <c r="D50" s="132"/>
      <c r="E50" s="132"/>
      <c r="F50" s="132"/>
      <c r="G50" s="132"/>
    </row>
    <row r="51" spans="1:7" ht="15" thickBot="1" x14ac:dyDescent="0.25">
      <c r="A51" s="187"/>
      <c r="B51" s="187"/>
      <c r="C51" s="187"/>
      <c r="D51" s="189"/>
      <c r="E51" s="189"/>
      <c r="F51" s="189"/>
      <c r="G51" s="189"/>
    </row>
    <row r="52" spans="1:7" x14ac:dyDescent="0.2">
      <c r="A52" s="197" t="s">
        <v>1695</v>
      </c>
      <c r="B52" s="198"/>
      <c r="C52" s="199"/>
      <c r="D52" s="198"/>
      <c r="E52" s="198"/>
      <c r="F52" s="198"/>
      <c r="G52" s="200"/>
    </row>
    <row r="53" spans="1:7" ht="25.5" x14ac:dyDescent="0.2">
      <c r="A53" s="202" t="s">
        <v>1409</v>
      </c>
      <c r="B53" s="203"/>
      <c r="C53" s="204" t="s">
        <v>966</v>
      </c>
      <c r="D53" s="205" t="s">
        <v>1694</v>
      </c>
      <c r="E53" s="205" t="s">
        <v>1693</v>
      </c>
      <c r="F53" s="206" t="s">
        <v>1687</v>
      </c>
      <c r="G53" s="207" t="s">
        <v>967</v>
      </c>
    </row>
    <row r="54" spans="1:7" x14ac:dyDescent="0.2">
      <c r="A54" s="208" t="s">
        <v>1468</v>
      </c>
      <c r="B54" s="209"/>
      <c r="C54" s="210">
        <v>1</v>
      </c>
      <c r="D54" s="211">
        <v>2.5</v>
      </c>
      <c r="E54" s="211">
        <f>C54*D54</f>
        <v>2.5</v>
      </c>
      <c r="F54" s="212">
        <v>0.3</v>
      </c>
      <c r="G54" s="213">
        <f>E54*F54</f>
        <v>0.75</v>
      </c>
    </row>
    <row r="55" spans="1:7" x14ac:dyDescent="0.2">
      <c r="A55" s="214"/>
      <c r="B55" s="132"/>
      <c r="C55" s="215"/>
      <c r="D55" s="216"/>
      <c r="E55" s="216"/>
      <c r="F55" s="217"/>
      <c r="G55" s="218"/>
    </row>
    <row r="56" spans="1:7" x14ac:dyDescent="0.2">
      <c r="A56" s="219" t="s">
        <v>1682</v>
      </c>
      <c r="B56" s="220"/>
      <c r="C56" s="221"/>
      <c r="D56" s="222" t="s">
        <v>1682</v>
      </c>
      <c r="E56" s="222" t="s">
        <v>1682</v>
      </c>
      <c r="F56" s="223"/>
      <c r="G56" s="224" t="s">
        <v>1682</v>
      </c>
    </row>
    <row r="57" spans="1:7" x14ac:dyDescent="0.2">
      <c r="A57" s="219" t="s">
        <v>968</v>
      </c>
      <c r="B57" s="220"/>
      <c r="C57" s="225"/>
      <c r="D57" s="220"/>
      <c r="E57" s="220"/>
      <c r="F57" s="226"/>
      <c r="G57" s="224">
        <f>SUM(G54:G56)</f>
        <v>0.75</v>
      </c>
    </row>
    <row r="58" spans="1:7" x14ac:dyDescent="0.2">
      <c r="A58" s="227" t="s">
        <v>1503</v>
      </c>
      <c r="B58" s="132"/>
      <c r="C58" s="188"/>
      <c r="D58" s="132"/>
      <c r="E58" s="132"/>
      <c r="F58" s="228"/>
      <c r="G58" s="218"/>
    </row>
    <row r="59" spans="1:7" ht="25.5" x14ac:dyDescent="0.2">
      <c r="A59" s="229" t="s">
        <v>1691</v>
      </c>
      <c r="B59" s="230"/>
      <c r="C59" s="231" t="s">
        <v>969</v>
      </c>
      <c r="D59" s="232" t="s">
        <v>1689</v>
      </c>
      <c r="E59" s="232" t="s">
        <v>1688</v>
      </c>
      <c r="F59" s="233" t="s">
        <v>1687</v>
      </c>
      <c r="G59" s="234" t="s">
        <v>1686</v>
      </c>
    </row>
    <row r="60" spans="1:7" x14ac:dyDescent="0.2">
      <c r="A60" s="235" t="s">
        <v>970</v>
      </c>
      <c r="B60" s="132"/>
      <c r="C60" s="236">
        <v>1</v>
      </c>
      <c r="D60" s="237">
        <v>2.16</v>
      </c>
      <c r="E60" s="216">
        <v>2.16</v>
      </c>
      <c r="F60" s="217">
        <v>3.69</v>
      </c>
      <c r="G60" s="218">
        <f>E60*F60</f>
        <v>7.9704000000000006</v>
      </c>
    </row>
    <row r="61" spans="1:7" x14ac:dyDescent="0.2">
      <c r="A61" s="235" t="s">
        <v>971</v>
      </c>
      <c r="B61" s="132"/>
      <c r="C61" s="236">
        <v>1</v>
      </c>
      <c r="D61" s="237">
        <v>2.13</v>
      </c>
      <c r="E61" s="216">
        <f>C61*D61</f>
        <v>2.13</v>
      </c>
      <c r="F61" s="217">
        <v>2.73</v>
      </c>
      <c r="G61" s="218">
        <f>E61*F61</f>
        <v>5.8148999999999997</v>
      </c>
    </row>
    <row r="62" spans="1:7" x14ac:dyDescent="0.2">
      <c r="A62" s="235" t="s">
        <v>590</v>
      </c>
      <c r="B62" s="132"/>
      <c r="C62" s="236">
        <v>1</v>
      </c>
      <c r="D62" s="237">
        <v>2.13</v>
      </c>
      <c r="E62" s="216">
        <f>C62*D62</f>
        <v>2.13</v>
      </c>
      <c r="F62" s="217">
        <v>1.95</v>
      </c>
      <c r="G62" s="218">
        <f>E62*F62</f>
        <v>4.1534999999999993</v>
      </c>
    </row>
    <row r="63" spans="1:7" x14ac:dyDescent="0.2">
      <c r="A63" s="235"/>
      <c r="B63" s="132"/>
      <c r="C63" s="236"/>
      <c r="D63" s="237"/>
      <c r="E63" s="216"/>
      <c r="F63" s="217"/>
      <c r="G63" s="218"/>
    </row>
    <row r="64" spans="1:7" x14ac:dyDescent="0.2">
      <c r="A64" s="219" t="s">
        <v>1682</v>
      </c>
      <c r="B64" s="220"/>
      <c r="C64" s="221"/>
      <c r="D64" s="222" t="s">
        <v>1682</v>
      </c>
      <c r="E64" s="222" t="s">
        <v>1682</v>
      </c>
      <c r="F64" s="223"/>
      <c r="G64" s="224" t="s">
        <v>1682</v>
      </c>
    </row>
    <row r="65" spans="1:7" x14ac:dyDescent="0.2">
      <c r="A65" s="238" t="s">
        <v>1681</v>
      </c>
      <c r="B65" s="239"/>
      <c r="C65" s="240"/>
      <c r="D65" s="239"/>
      <c r="E65" s="239"/>
      <c r="F65" s="239"/>
      <c r="G65" s="241">
        <f>SUM(G60:G64)</f>
        <v>17.938800000000001</v>
      </c>
    </row>
    <row r="66" spans="1:7" x14ac:dyDescent="0.2">
      <c r="A66" s="227" t="s">
        <v>1684</v>
      </c>
      <c r="B66" s="132"/>
      <c r="C66" s="188"/>
      <c r="D66" s="132"/>
      <c r="E66" s="132"/>
      <c r="F66" s="132"/>
      <c r="G66" s="218"/>
    </row>
    <row r="67" spans="1:7" ht="25.5" x14ac:dyDescent="0.2">
      <c r="A67" s="229" t="s">
        <v>1409</v>
      </c>
      <c r="B67" s="242"/>
      <c r="C67" s="243"/>
      <c r="D67" s="232" t="s">
        <v>1408</v>
      </c>
      <c r="E67" s="231" t="s">
        <v>1679</v>
      </c>
      <c r="F67" s="232" t="s">
        <v>1683</v>
      </c>
      <c r="G67" s="234" t="s">
        <v>1675</v>
      </c>
    </row>
    <row r="68" spans="1:7" x14ac:dyDescent="0.2">
      <c r="A68" s="244" t="s">
        <v>1034</v>
      </c>
      <c r="B68" s="132"/>
      <c r="C68" s="188"/>
      <c r="D68" s="215" t="s">
        <v>1506</v>
      </c>
      <c r="E68" s="215">
        <v>1</v>
      </c>
      <c r="F68" s="216">
        <v>105</v>
      </c>
      <c r="G68" s="218">
        <f>E68*F68</f>
        <v>105</v>
      </c>
    </row>
    <row r="69" spans="1:7" x14ac:dyDescent="0.2">
      <c r="A69" s="214" t="s">
        <v>1035</v>
      </c>
      <c r="B69" s="132"/>
      <c r="C69" s="188"/>
      <c r="D69" s="215"/>
      <c r="E69" s="215"/>
      <c r="F69" s="216"/>
      <c r="G69" s="218"/>
    </row>
    <row r="70" spans="1:7" x14ac:dyDescent="0.2">
      <c r="A70" s="214" t="s">
        <v>1036</v>
      </c>
      <c r="B70" s="132"/>
      <c r="C70" s="188"/>
      <c r="D70" s="215"/>
      <c r="E70" s="215"/>
      <c r="F70" s="216"/>
      <c r="G70" s="218"/>
    </row>
    <row r="71" spans="1:7" x14ac:dyDescent="0.2">
      <c r="A71" s="214" t="s">
        <v>1037</v>
      </c>
      <c r="B71" s="132"/>
      <c r="C71" s="188"/>
      <c r="D71" s="215"/>
      <c r="E71" s="215"/>
      <c r="F71" s="216"/>
      <c r="G71" s="218"/>
    </row>
    <row r="72" spans="1:7" x14ac:dyDescent="0.2">
      <c r="A72" s="214" t="s">
        <v>1038</v>
      </c>
      <c r="B72" s="132"/>
      <c r="C72" s="188"/>
      <c r="D72" s="215"/>
      <c r="E72" s="215"/>
      <c r="F72" s="216"/>
      <c r="G72" s="218"/>
    </row>
    <row r="73" spans="1:7" x14ac:dyDescent="0.2">
      <c r="A73" s="214" t="s">
        <v>1039</v>
      </c>
      <c r="B73" s="132"/>
      <c r="C73" s="188"/>
      <c r="D73" s="215"/>
      <c r="E73" s="215"/>
      <c r="F73" s="216"/>
      <c r="G73" s="218"/>
    </row>
    <row r="74" spans="1:7" x14ac:dyDescent="0.2">
      <c r="A74" s="214"/>
      <c r="B74" s="132"/>
      <c r="C74" s="245"/>
      <c r="D74" s="215"/>
      <c r="E74" s="215"/>
      <c r="F74" s="216"/>
      <c r="G74" s="218"/>
    </row>
    <row r="75" spans="1:7" x14ac:dyDescent="0.2">
      <c r="A75" s="214"/>
      <c r="B75" s="132"/>
      <c r="C75" s="245"/>
      <c r="D75" s="215"/>
      <c r="E75" s="215"/>
      <c r="F75" s="216"/>
      <c r="G75" s="218"/>
    </row>
    <row r="76" spans="1:7" x14ac:dyDescent="0.2">
      <c r="A76" s="238" t="s">
        <v>1692</v>
      </c>
      <c r="B76" s="239"/>
      <c r="C76" s="240"/>
      <c r="D76" s="240"/>
      <c r="E76" s="240"/>
      <c r="F76" s="239"/>
      <c r="G76" s="241">
        <f>SUM(G68:G75)</f>
        <v>105</v>
      </c>
    </row>
    <row r="77" spans="1:7" x14ac:dyDescent="0.2">
      <c r="A77" s="227" t="s">
        <v>1680</v>
      </c>
      <c r="B77" s="132"/>
      <c r="C77" s="188"/>
      <c r="D77" s="132"/>
      <c r="E77" s="188"/>
      <c r="F77" s="132"/>
      <c r="G77" s="218"/>
    </row>
    <row r="78" spans="1:7" ht="25.5" x14ac:dyDescent="0.2">
      <c r="A78" s="229" t="s">
        <v>1409</v>
      </c>
      <c r="B78" s="242"/>
      <c r="C78" s="243"/>
      <c r="D78" s="232" t="s">
        <v>1408</v>
      </c>
      <c r="E78" s="231" t="s">
        <v>1679</v>
      </c>
      <c r="F78" s="232" t="s">
        <v>1676</v>
      </c>
      <c r="G78" s="234" t="s">
        <v>1675</v>
      </c>
    </row>
    <row r="79" spans="1:7" x14ac:dyDescent="0.2">
      <c r="A79" s="208" t="s">
        <v>975</v>
      </c>
      <c r="B79" s="209"/>
      <c r="C79" s="246"/>
      <c r="D79" s="215" t="s">
        <v>976</v>
      </c>
      <c r="E79" s="215">
        <v>0.15</v>
      </c>
      <c r="F79" s="247">
        <v>5</v>
      </c>
      <c r="G79" s="218">
        <f>E79*F79</f>
        <v>0.75</v>
      </c>
    </row>
    <row r="80" spans="1:7" x14ac:dyDescent="0.2">
      <c r="A80" s="214"/>
      <c r="B80" s="132"/>
      <c r="C80" s="248"/>
      <c r="D80" s="215"/>
      <c r="E80" s="215"/>
      <c r="F80" s="247"/>
      <c r="G80" s="218"/>
    </row>
    <row r="81" spans="1:7" x14ac:dyDescent="0.2">
      <c r="A81" s="219" t="s">
        <v>1682</v>
      </c>
      <c r="B81" s="220"/>
      <c r="C81" s="249"/>
      <c r="D81" s="221" t="s">
        <v>1682</v>
      </c>
      <c r="E81" s="221"/>
      <c r="F81" s="222" t="s">
        <v>1682</v>
      </c>
      <c r="G81" s="224" t="s">
        <v>1682</v>
      </c>
    </row>
    <row r="82" spans="1:7" ht="13.5" thickBot="1" x14ac:dyDescent="0.25">
      <c r="A82" s="250" t="s">
        <v>977</v>
      </c>
      <c r="B82" s="251"/>
      <c r="C82" s="252"/>
      <c r="D82" s="252"/>
      <c r="E82" s="252"/>
      <c r="F82" s="251"/>
      <c r="G82" s="253">
        <f>SUM(G79:G81)</f>
        <v>0.75</v>
      </c>
    </row>
    <row r="83" spans="1:7" x14ac:dyDescent="0.2">
      <c r="A83" s="132"/>
      <c r="B83" s="132"/>
      <c r="C83" s="254"/>
      <c r="D83" s="198"/>
      <c r="E83" s="198"/>
      <c r="F83" s="255" t="s">
        <v>978</v>
      </c>
      <c r="G83" s="256">
        <f>G57+G65+G76+G82</f>
        <v>124.4388</v>
      </c>
    </row>
    <row r="84" spans="1:7" x14ac:dyDescent="0.2">
      <c r="A84" s="132"/>
      <c r="B84" s="132"/>
      <c r="C84" s="257"/>
      <c r="D84" s="239"/>
      <c r="E84" s="239"/>
      <c r="F84" s="258" t="s">
        <v>979</v>
      </c>
      <c r="G84" s="241"/>
    </row>
    <row r="85" spans="1:7" x14ac:dyDescent="0.2">
      <c r="A85" s="132"/>
      <c r="B85" s="132"/>
      <c r="C85" s="257"/>
      <c r="D85" s="239"/>
      <c r="E85" s="239"/>
      <c r="F85" s="258" t="s">
        <v>980</v>
      </c>
      <c r="G85" s="241"/>
    </row>
    <row r="86" spans="1:7" x14ac:dyDescent="0.2">
      <c r="A86" s="132"/>
      <c r="B86" s="132"/>
      <c r="C86" s="257"/>
      <c r="D86" s="239"/>
      <c r="E86" s="239"/>
      <c r="F86" s="259" t="s">
        <v>1670</v>
      </c>
      <c r="G86" s="260"/>
    </row>
    <row r="87" spans="1:7" ht="13.5" thickBot="1" x14ac:dyDescent="0.25">
      <c r="A87" s="193"/>
      <c r="B87" s="132"/>
      <c r="C87" s="261"/>
      <c r="D87" s="251"/>
      <c r="E87" s="251"/>
      <c r="F87" s="262" t="s">
        <v>1650</v>
      </c>
      <c r="G87" s="263"/>
    </row>
    <row r="88" spans="1:7" ht="15.75" x14ac:dyDescent="0.2">
      <c r="A88" s="186" t="s">
        <v>1701</v>
      </c>
      <c r="B88" s="132"/>
      <c r="C88" s="187" t="s">
        <v>742</v>
      </c>
      <c r="D88" s="132"/>
      <c r="E88" s="132"/>
      <c r="F88" s="188"/>
      <c r="G88" s="132"/>
    </row>
    <row r="89" spans="1:7" ht="15.75" x14ac:dyDescent="0.2">
      <c r="A89" s="186" t="s">
        <v>1700</v>
      </c>
      <c r="B89" s="189" t="s">
        <v>963</v>
      </c>
      <c r="C89" s="188"/>
      <c r="D89" s="132"/>
      <c r="E89" s="132"/>
      <c r="F89" s="190"/>
      <c r="G89" s="191"/>
    </row>
    <row r="90" spans="1:7" ht="14.25" x14ac:dyDescent="0.2">
      <c r="A90" s="189"/>
      <c r="B90" s="189"/>
      <c r="C90" s="187"/>
      <c r="D90" s="189"/>
      <c r="E90" s="189"/>
      <c r="F90" s="189"/>
      <c r="G90" s="189"/>
    </row>
    <row r="91" spans="1:7" ht="15.75" x14ac:dyDescent="0.2">
      <c r="A91" s="186" t="s">
        <v>1697</v>
      </c>
      <c r="B91" s="189"/>
      <c r="C91" s="188"/>
      <c r="D91" s="132"/>
      <c r="E91" s="132"/>
      <c r="F91" s="132"/>
      <c r="G91" s="132"/>
    </row>
    <row r="92" spans="1:7" ht="15" x14ac:dyDescent="0.2">
      <c r="A92" s="192"/>
      <c r="B92" s="189"/>
      <c r="C92" s="187"/>
      <c r="D92" s="189"/>
      <c r="E92" s="189"/>
      <c r="F92" s="189"/>
      <c r="G92" s="189"/>
    </row>
    <row r="93" spans="1:7" ht="14.25" x14ac:dyDescent="0.2">
      <c r="A93" s="193" t="s">
        <v>594</v>
      </c>
      <c r="B93" s="194">
        <v>3</v>
      </c>
      <c r="C93" s="188"/>
      <c r="D93" s="188"/>
      <c r="E93" s="188"/>
      <c r="F93" s="195" t="s">
        <v>1696</v>
      </c>
      <c r="G93" s="189" t="s">
        <v>1506</v>
      </c>
    </row>
    <row r="94" spans="1:7" ht="14.25" x14ac:dyDescent="0.2">
      <c r="A94" s="196" t="s">
        <v>964</v>
      </c>
      <c r="B94" s="194" t="s">
        <v>1040</v>
      </c>
      <c r="C94" s="188"/>
      <c r="D94" s="132"/>
      <c r="E94" s="132"/>
      <c r="F94" s="132"/>
      <c r="G94" s="132"/>
    </row>
    <row r="95" spans="1:7" ht="15" thickBot="1" x14ac:dyDescent="0.25">
      <c r="A95" s="187"/>
      <c r="B95" s="187"/>
      <c r="C95" s="187"/>
      <c r="D95" s="189"/>
      <c r="E95" s="189"/>
      <c r="F95" s="189"/>
      <c r="G95" s="189"/>
    </row>
    <row r="96" spans="1:7" x14ac:dyDescent="0.2">
      <c r="A96" s="197" t="s">
        <v>1695</v>
      </c>
      <c r="B96" s="198"/>
      <c r="C96" s="199"/>
      <c r="D96" s="198"/>
      <c r="E96" s="198"/>
      <c r="F96" s="198"/>
      <c r="G96" s="200"/>
    </row>
    <row r="97" spans="1:7" ht="25.5" x14ac:dyDescent="0.2">
      <c r="A97" s="202" t="s">
        <v>1409</v>
      </c>
      <c r="B97" s="203"/>
      <c r="C97" s="204" t="s">
        <v>966</v>
      </c>
      <c r="D97" s="205" t="s">
        <v>1694</v>
      </c>
      <c r="E97" s="205" t="s">
        <v>1693</v>
      </c>
      <c r="F97" s="206" t="s">
        <v>1687</v>
      </c>
      <c r="G97" s="207" t="s">
        <v>967</v>
      </c>
    </row>
    <row r="98" spans="1:7" x14ac:dyDescent="0.2">
      <c r="A98" s="208" t="s">
        <v>1468</v>
      </c>
      <c r="B98" s="209"/>
      <c r="C98" s="210">
        <v>1</v>
      </c>
      <c r="D98" s="211">
        <v>2.5</v>
      </c>
      <c r="E98" s="211">
        <f>C98*D98</f>
        <v>2.5</v>
      </c>
      <c r="F98" s="212">
        <v>0.3</v>
      </c>
      <c r="G98" s="213">
        <f>E98*F98</f>
        <v>0.75</v>
      </c>
    </row>
    <row r="99" spans="1:7" x14ac:dyDescent="0.2">
      <c r="A99" s="214"/>
      <c r="B99" s="132"/>
      <c r="C99" s="215"/>
      <c r="D99" s="216"/>
      <c r="E99" s="216"/>
      <c r="F99" s="217"/>
      <c r="G99" s="218"/>
    </row>
    <row r="100" spans="1:7" x14ac:dyDescent="0.2">
      <c r="A100" s="219" t="s">
        <v>1682</v>
      </c>
      <c r="B100" s="220"/>
      <c r="C100" s="221"/>
      <c r="D100" s="222" t="s">
        <v>1682</v>
      </c>
      <c r="E100" s="222" t="s">
        <v>1682</v>
      </c>
      <c r="F100" s="223"/>
      <c r="G100" s="224" t="s">
        <v>1682</v>
      </c>
    </row>
    <row r="101" spans="1:7" x14ac:dyDescent="0.2">
      <c r="A101" s="219" t="s">
        <v>968</v>
      </c>
      <c r="B101" s="220"/>
      <c r="C101" s="225"/>
      <c r="D101" s="220"/>
      <c r="E101" s="220"/>
      <c r="F101" s="226"/>
      <c r="G101" s="224">
        <f>SUM(G98:G100)</f>
        <v>0.75</v>
      </c>
    </row>
    <row r="102" spans="1:7" x14ac:dyDescent="0.2">
      <c r="A102" s="227" t="s">
        <v>1503</v>
      </c>
      <c r="B102" s="132"/>
      <c r="C102" s="188"/>
      <c r="D102" s="132"/>
      <c r="E102" s="132"/>
      <c r="F102" s="228"/>
      <c r="G102" s="218"/>
    </row>
    <row r="103" spans="1:7" ht="25.5" x14ac:dyDescent="0.2">
      <c r="A103" s="229" t="s">
        <v>1691</v>
      </c>
      <c r="B103" s="230"/>
      <c r="C103" s="231" t="s">
        <v>969</v>
      </c>
      <c r="D103" s="232" t="s">
        <v>1689</v>
      </c>
      <c r="E103" s="232" t="s">
        <v>1688</v>
      </c>
      <c r="F103" s="233" t="s">
        <v>1687</v>
      </c>
      <c r="G103" s="234" t="s">
        <v>1686</v>
      </c>
    </row>
    <row r="104" spans="1:7" x14ac:dyDescent="0.2">
      <c r="A104" s="235" t="s">
        <v>970</v>
      </c>
      <c r="B104" s="132"/>
      <c r="C104" s="236">
        <v>1</v>
      </c>
      <c r="D104" s="237">
        <v>2.16</v>
      </c>
      <c r="E104" s="216">
        <v>2.16</v>
      </c>
      <c r="F104" s="217">
        <v>3.69</v>
      </c>
      <c r="G104" s="218">
        <f>E104*F104</f>
        <v>7.9704000000000006</v>
      </c>
    </row>
    <row r="105" spans="1:7" x14ac:dyDescent="0.2">
      <c r="A105" s="235" t="s">
        <v>971</v>
      </c>
      <c r="B105" s="132"/>
      <c r="C105" s="236">
        <v>1</v>
      </c>
      <c r="D105" s="237">
        <v>2.13</v>
      </c>
      <c r="E105" s="216">
        <f>C105*D105</f>
        <v>2.13</v>
      </c>
      <c r="F105" s="217">
        <v>2.73</v>
      </c>
      <c r="G105" s="218">
        <f>E105*F105</f>
        <v>5.8148999999999997</v>
      </c>
    </row>
    <row r="106" spans="1:7" x14ac:dyDescent="0.2">
      <c r="A106" s="235" t="s">
        <v>590</v>
      </c>
      <c r="B106" s="132"/>
      <c r="C106" s="236">
        <v>1</v>
      </c>
      <c r="D106" s="237">
        <v>2.13</v>
      </c>
      <c r="E106" s="216">
        <f>C106*D106</f>
        <v>2.13</v>
      </c>
      <c r="F106" s="217">
        <v>1.95</v>
      </c>
      <c r="G106" s="218">
        <f>E106*F106</f>
        <v>4.1534999999999993</v>
      </c>
    </row>
    <row r="107" spans="1:7" x14ac:dyDescent="0.2">
      <c r="A107" s="235"/>
      <c r="B107" s="132"/>
      <c r="C107" s="236"/>
      <c r="D107" s="237"/>
      <c r="E107" s="216"/>
      <c r="F107" s="217"/>
      <c r="G107" s="218"/>
    </row>
    <row r="108" spans="1:7" x14ac:dyDescent="0.2">
      <c r="A108" s="219" t="s">
        <v>1682</v>
      </c>
      <c r="B108" s="220"/>
      <c r="C108" s="221"/>
      <c r="D108" s="222" t="s">
        <v>1682</v>
      </c>
      <c r="E108" s="222" t="s">
        <v>1682</v>
      </c>
      <c r="F108" s="223"/>
      <c r="G108" s="224" t="s">
        <v>1682</v>
      </c>
    </row>
    <row r="109" spans="1:7" x14ac:dyDescent="0.2">
      <c r="A109" s="238" t="s">
        <v>1681</v>
      </c>
      <c r="B109" s="239"/>
      <c r="C109" s="240"/>
      <c r="D109" s="239"/>
      <c r="E109" s="239"/>
      <c r="F109" s="239"/>
      <c r="G109" s="241">
        <f>SUM(G104:G108)</f>
        <v>17.938800000000001</v>
      </c>
    </row>
    <row r="110" spans="1:7" x14ac:dyDescent="0.2">
      <c r="A110" s="227" t="s">
        <v>1684</v>
      </c>
      <c r="B110" s="132"/>
      <c r="C110" s="188"/>
      <c r="D110" s="132"/>
      <c r="E110" s="132"/>
      <c r="F110" s="132"/>
      <c r="G110" s="218"/>
    </row>
    <row r="111" spans="1:7" ht="25.5" x14ac:dyDescent="0.2">
      <c r="A111" s="229" t="s">
        <v>1409</v>
      </c>
      <c r="B111" s="242"/>
      <c r="C111" s="243"/>
      <c r="D111" s="232" t="s">
        <v>1408</v>
      </c>
      <c r="E111" s="231" t="s">
        <v>1679</v>
      </c>
      <c r="F111" s="232" t="s">
        <v>1683</v>
      </c>
      <c r="G111" s="234" t="s">
        <v>1675</v>
      </c>
    </row>
    <row r="112" spans="1:7" x14ac:dyDescent="0.2">
      <c r="A112" s="244" t="s">
        <v>1041</v>
      </c>
      <c r="B112" s="132"/>
      <c r="C112" s="188"/>
      <c r="D112" s="215" t="s">
        <v>1506</v>
      </c>
      <c r="E112" s="215">
        <v>1</v>
      </c>
      <c r="F112" s="216">
        <v>110</v>
      </c>
      <c r="G112" s="218">
        <f>E112*F112</f>
        <v>110</v>
      </c>
    </row>
    <row r="113" spans="1:7" x14ac:dyDescent="0.2">
      <c r="A113" s="214" t="s">
        <v>1042</v>
      </c>
      <c r="B113" s="132"/>
      <c r="C113" s="188"/>
      <c r="D113" s="215"/>
      <c r="E113" s="215"/>
      <c r="F113" s="216"/>
      <c r="G113" s="218"/>
    </row>
    <row r="114" spans="1:7" x14ac:dyDescent="0.2">
      <c r="A114" s="214" t="s">
        <v>1043</v>
      </c>
      <c r="B114" s="132"/>
      <c r="C114" s="188"/>
      <c r="D114" s="215"/>
      <c r="E114" s="215"/>
      <c r="F114" s="216"/>
      <c r="G114" s="218"/>
    </row>
    <row r="115" spans="1:7" x14ac:dyDescent="0.2">
      <c r="A115" s="214" t="s">
        <v>1044</v>
      </c>
      <c r="B115" s="132"/>
      <c r="C115" s="188"/>
      <c r="D115" s="215"/>
      <c r="E115" s="215"/>
      <c r="F115" s="216"/>
      <c r="G115" s="218"/>
    </row>
    <row r="116" spans="1:7" x14ac:dyDescent="0.2">
      <c r="A116" s="214" t="s">
        <v>1045</v>
      </c>
      <c r="B116" s="132"/>
      <c r="C116" s="188"/>
      <c r="D116" s="215"/>
      <c r="E116" s="215"/>
      <c r="F116" s="216"/>
      <c r="G116" s="218"/>
    </row>
    <row r="117" spans="1:7" x14ac:dyDescent="0.2">
      <c r="A117" s="214" t="s">
        <v>1046</v>
      </c>
      <c r="B117" s="132"/>
      <c r="C117" s="188"/>
      <c r="D117" s="215"/>
      <c r="E117" s="215"/>
      <c r="F117" s="216"/>
      <c r="G117" s="218"/>
    </row>
    <row r="118" spans="1:7" x14ac:dyDescent="0.2">
      <c r="A118" s="214" t="s">
        <v>1039</v>
      </c>
      <c r="B118" s="132"/>
      <c r="C118" s="188"/>
      <c r="D118" s="215"/>
      <c r="E118" s="215"/>
      <c r="F118" s="216"/>
      <c r="G118" s="218"/>
    </row>
    <row r="119" spans="1:7" x14ac:dyDescent="0.2">
      <c r="A119" s="214"/>
      <c r="B119" s="132"/>
      <c r="C119" s="245"/>
      <c r="D119" s="215"/>
      <c r="E119" s="215"/>
      <c r="F119" s="216"/>
      <c r="G119" s="218"/>
    </row>
    <row r="120" spans="1:7" x14ac:dyDescent="0.2">
      <c r="A120" s="214"/>
      <c r="B120" s="132"/>
      <c r="C120" s="245"/>
      <c r="D120" s="215"/>
      <c r="E120" s="215"/>
      <c r="F120" s="216"/>
      <c r="G120" s="218"/>
    </row>
    <row r="121" spans="1:7" x14ac:dyDescent="0.2">
      <c r="A121" s="238" t="s">
        <v>1692</v>
      </c>
      <c r="B121" s="239"/>
      <c r="C121" s="240"/>
      <c r="D121" s="240"/>
      <c r="E121" s="240"/>
      <c r="F121" s="239"/>
      <c r="G121" s="241">
        <f>SUM(G112:G120)</f>
        <v>110</v>
      </c>
    </row>
    <row r="122" spans="1:7" x14ac:dyDescent="0.2">
      <c r="A122" s="227" t="s">
        <v>1680</v>
      </c>
      <c r="B122" s="132"/>
      <c r="C122" s="188"/>
      <c r="D122" s="132"/>
      <c r="E122" s="188"/>
      <c r="F122" s="132"/>
      <c r="G122" s="218"/>
    </row>
    <row r="123" spans="1:7" ht="25.5" x14ac:dyDescent="0.2">
      <c r="A123" s="229" t="s">
        <v>1409</v>
      </c>
      <c r="B123" s="242"/>
      <c r="C123" s="243"/>
      <c r="D123" s="232" t="s">
        <v>1408</v>
      </c>
      <c r="E123" s="231" t="s">
        <v>1679</v>
      </c>
      <c r="F123" s="232" t="s">
        <v>1676</v>
      </c>
      <c r="G123" s="234" t="s">
        <v>1675</v>
      </c>
    </row>
    <row r="124" spans="1:7" x14ac:dyDescent="0.2">
      <c r="A124" s="208" t="s">
        <v>975</v>
      </c>
      <c r="B124" s="209"/>
      <c r="C124" s="246"/>
      <c r="D124" s="215" t="s">
        <v>976</v>
      </c>
      <c r="E124" s="215">
        <v>0.15</v>
      </c>
      <c r="F124" s="247">
        <v>5</v>
      </c>
      <c r="G124" s="218">
        <f>E124*F124</f>
        <v>0.75</v>
      </c>
    </row>
    <row r="125" spans="1:7" x14ac:dyDescent="0.2">
      <c r="A125" s="214"/>
      <c r="B125" s="132"/>
      <c r="C125" s="248"/>
      <c r="D125" s="215"/>
      <c r="E125" s="215"/>
      <c r="F125" s="247"/>
      <c r="G125" s="218"/>
    </row>
    <row r="126" spans="1:7" x14ac:dyDescent="0.2">
      <c r="A126" s="219" t="s">
        <v>1682</v>
      </c>
      <c r="B126" s="220"/>
      <c r="C126" s="249"/>
      <c r="D126" s="221" t="s">
        <v>1682</v>
      </c>
      <c r="E126" s="221"/>
      <c r="F126" s="222" t="s">
        <v>1682</v>
      </c>
      <c r="G126" s="224" t="s">
        <v>1682</v>
      </c>
    </row>
    <row r="127" spans="1:7" ht="13.5" thickBot="1" x14ac:dyDescent="0.25">
      <c r="A127" s="250" t="s">
        <v>977</v>
      </c>
      <c r="B127" s="251"/>
      <c r="C127" s="252"/>
      <c r="D127" s="252"/>
      <c r="E127" s="252"/>
      <c r="F127" s="251"/>
      <c r="G127" s="253">
        <f>SUM(G124:G126)</f>
        <v>0.75</v>
      </c>
    </row>
    <row r="128" spans="1:7" x14ac:dyDescent="0.2">
      <c r="A128" s="132"/>
      <c r="B128" s="132"/>
      <c r="C128" s="254"/>
      <c r="D128" s="198"/>
      <c r="E128" s="198"/>
      <c r="F128" s="255" t="s">
        <v>978</v>
      </c>
      <c r="G128" s="256">
        <f>G101+G109+G121+G127</f>
        <v>129.43880000000001</v>
      </c>
    </row>
    <row r="129" spans="1:7" x14ac:dyDescent="0.2">
      <c r="A129" s="132"/>
      <c r="B129" s="132"/>
      <c r="C129" s="257"/>
      <c r="D129" s="239"/>
      <c r="E129" s="239"/>
      <c r="F129" s="258" t="s">
        <v>979</v>
      </c>
      <c r="G129" s="241"/>
    </row>
    <row r="130" spans="1:7" x14ac:dyDescent="0.2">
      <c r="A130" s="132"/>
      <c r="B130" s="132"/>
      <c r="C130" s="257"/>
      <c r="D130" s="239"/>
      <c r="E130" s="239"/>
      <c r="F130" s="258" t="s">
        <v>980</v>
      </c>
      <c r="G130" s="241"/>
    </row>
    <row r="131" spans="1:7" x14ac:dyDescent="0.2">
      <c r="A131" s="132"/>
      <c r="B131" s="132"/>
      <c r="C131" s="257"/>
      <c r="D131" s="239"/>
      <c r="E131" s="239"/>
      <c r="F131" s="259" t="s">
        <v>1670</v>
      </c>
      <c r="G131" s="260"/>
    </row>
    <row r="132" spans="1:7" ht="13.5" thickBot="1" x14ac:dyDescent="0.25">
      <c r="A132" s="193"/>
      <c r="B132" s="132"/>
      <c r="C132" s="261"/>
      <c r="D132" s="251"/>
      <c r="E132" s="251"/>
      <c r="F132" s="262" t="s">
        <v>1650</v>
      </c>
      <c r="G132" s="263"/>
    </row>
    <row r="133" spans="1:7" ht="15.75" x14ac:dyDescent="0.2">
      <c r="A133" s="186" t="s">
        <v>1701</v>
      </c>
      <c r="B133" s="132"/>
      <c r="C133" s="187" t="s">
        <v>742</v>
      </c>
      <c r="D133" s="132"/>
      <c r="E133" s="132"/>
      <c r="F133" s="188"/>
      <c r="G133" s="132"/>
    </row>
    <row r="134" spans="1:7" ht="15.75" x14ac:dyDescent="0.2">
      <c r="A134" s="186" t="s">
        <v>1700</v>
      </c>
      <c r="B134" s="189" t="s">
        <v>963</v>
      </c>
      <c r="C134" s="188"/>
      <c r="D134" s="132"/>
      <c r="E134" s="132"/>
      <c r="F134" s="190"/>
      <c r="G134" s="191"/>
    </row>
    <row r="135" spans="1:7" ht="14.25" x14ac:dyDescent="0.2">
      <c r="A135" s="189"/>
      <c r="B135" s="189"/>
      <c r="C135" s="187"/>
      <c r="D135" s="189"/>
      <c r="E135" s="189"/>
      <c r="F135" s="189"/>
      <c r="G135" s="189"/>
    </row>
    <row r="136" spans="1:7" ht="15.75" x14ac:dyDescent="0.2">
      <c r="A136" s="186" t="s">
        <v>1697</v>
      </c>
      <c r="B136" s="189"/>
      <c r="C136" s="188"/>
      <c r="D136" s="132"/>
      <c r="E136" s="132"/>
      <c r="F136" s="132"/>
      <c r="G136" s="132"/>
    </row>
    <row r="137" spans="1:7" ht="15" x14ac:dyDescent="0.2">
      <c r="A137" s="192"/>
      <c r="B137" s="189"/>
      <c r="C137" s="187"/>
      <c r="D137" s="189"/>
      <c r="E137" s="189"/>
      <c r="F137" s="189"/>
      <c r="G137" s="189"/>
    </row>
    <row r="138" spans="1:7" ht="14.25" x14ac:dyDescent="0.2">
      <c r="A138" s="193" t="s">
        <v>594</v>
      </c>
      <c r="B138" s="194">
        <v>4</v>
      </c>
      <c r="C138" s="188"/>
      <c r="D138" s="188"/>
      <c r="E138" s="188"/>
      <c r="F138" s="195" t="s">
        <v>1696</v>
      </c>
      <c r="G138" s="189" t="s">
        <v>1506</v>
      </c>
    </row>
    <row r="139" spans="1:7" ht="14.25" x14ac:dyDescent="0.2">
      <c r="A139" s="196" t="s">
        <v>964</v>
      </c>
      <c r="B139" s="194" t="s">
        <v>1047</v>
      </c>
      <c r="C139" s="188"/>
      <c r="D139" s="132"/>
      <c r="E139" s="132"/>
      <c r="F139" s="132"/>
      <c r="G139" s="132"/>
    </row>
    <row r="140" spans="1:7" ht="15" thickBot="1" x14ac:dyDescent="0.25">
      <c r="A140" s="187"/>
      <c r="B140" s="187"/>
      <c r="C140" s="187"/>
      <c r="D140" s="189"/>
      <c r="E140" s="189"/>
      <c r="F140" s="189"/>
      <c r="G140" s="189"/>
    </row>
    <row r="141" spans="1:7" x14ac:dyDescent="0.2">
      <c r="A141" s="197" t="s">
        <v>1695</v>
      </c>
      <c r="B141" s="198"/>
      <c r="C141" s="199"/>
      <c r="D141" s="198"/>
      <c r="E141" s="198"/>
      <c r="F141" s="198"/>
      <c r="G141" s="200"/>
    </row>
    <row r="142" spans="1:7" ht="25.5" x14ac:dyDescent="0.2">
      <c r="A142" s="202" t="s">
        <v>1409</v>
      </c>
      <c r="B142" s="203"/>
      <c r="C142" s="204" t="s">
        <v>966</v>
      </c>
      <c r="D142" s="205" t="s">
        <v>1694</v>
      </c>
      <c r="E142" s="205" t="s">
        <v>1693</v>
      </c>
      <c r="F142" s="206" t="s">
        <v>1687</v>
      </c>
      <c r="G142" s="207" t="s">
        <v>967</v>
      </c>
    </row>
    <row r="143" spans="1:7" x14ac:dyDescent="0.2">
      <c r="A143" s="208" t="s">
        <v>1468</v>
      </c>
      <c r="B143" s="209"/>
      <c r="C143" s="210">
        <v>1</v>
      </c>
      <c r="D143" s="211">
        <v>2.5</v>
      </c>
      <c r="E143" s="211">
        <f>C143*D143</f>
        <v>2.5</v>
      </c>
      <c r="F143" s="212">
        <v>0.3</v>
      </c>
      <c r="G143" s="213">
        <f>E143*F143</f>
        <v>0.75</v>
      </c>
    </row>
    <row r="144" spans="1:7" x14ac:dyDescent="0.2">
      <c r="A144" s="214"/>
      <c r="B144" s="132"/>
      <c r="C144" s="215"/>
      <c r="D144" s="216"/>
      <c r="E144" s="216"/>
      <c r="F144" s="217"/>
      <c r="G144" s="218"/>
    </row>
    <row r="145" spans="1:7" x14ac:dyDescent="0.2">
      <c r="A145" s="219" t="s">
        <v>1682</v>
      </c>
      <c r="B145" s="220"/>
      <c r="C145" s="221"/>
      <c r="D145" s="222" t="s">
        <v>1682</v>
      </c>
      <c r="E145" s="222" t="s">
        <v>1682</v>
      </c>
      <c r="F145" s="223"/>
      <c r="G145" s="224" t="s">
        <v>1682</v>
      </c>
    </row>
    <row r="146" spans="1:7" x14ac:dyDescent="0.2">
      <c r="A146" s="219" t="s">
        <v>968</v>
      </c>
      <c r="B146" s="220"/>
      <c r="C146" s="225"/>
      <c r="D146" s="220"/>
      <c r="E146" s="220"/>
      <c r="F146" s="226"/>
      <c r="G146" s="224">
        <f>SUM(G143:G145)</f>
        <v>0.75</v>
      </c>
    </row>
    <row r="147" spans="1:7" x14ac:dyDescent="0.2">
      <c r="A147" s="227" t="s">
        <v>1503</v>
      </c>
      <c r="B147" s="132"/>
      <c r="C147" s="188"/>
      <c r="D147" s="132"/>
      <c r="E147" s="132"/>
      <c r="F147" s="228"/>
      <c r="G147" s="218"/>
    </row>
    <row r="148" spans="1:7" ht="25.5" x14ac:dyDescent="0.2">
      <c r="A148" s="229" t="s">
        <v>1691</v>
      </c>
      <c r="B148" s="230"/>
      <c r="C148" s="231" t="s">
        <v>969</v>
      </c>
      <c r="D148" s="232" t="s">
        <v>1689</v>
      </c>
      <c r="E148" s="232" t="s">
        <v>1688</v>
      </c>
      <c r="F148" s="233" t="s">
        <v>1687</v>
      </c>
      <c r="G148" s="234" t="s">
        <v>1686</v>
      </c>
    </row>
    <row r="149" spans="1:7" x14ac:dyDescent="0.2">
      <c r="A149" s="235" t="s">
        <v>970</v>
      </c>
      <c r="B149" s="132"/>
      <c r="C149" s="236">
        <v>1</v>
      </c>
      <c r="D149" s="237">
        <v>2.16</v>
      </c>
      <c r="E149" s="216">
        <v>2.16</v>
      </c>
      <c r="F149" s="217">
        <v>3.69</v>
      </c>
      <c r="G149" s="218">
        <f>E149*F149</f>
        <v>7.9704000000000006</v>
      </c>
    </row>
    <row r="150" spans="1:7" x14ac:dyDescent="0.2">
      <c r="A150" s="235" t="s">
        <v>971</v>
      </c>
      <c r="B150" s="132"/>
      <c r="C150" s="236">
        <v>1</v>
      </c>
      <c r="D150" s="237">
        <v>2.13</v>
      </c>
      <c r="E150" s="216">
        <f>C150*D150</f>
        <v>2.13</v>
      </c>
      <c r="F150" s="217">
        <v>2.73</v>
      </c>
      <c r="G150" s="218">
        <f>E150*F150</f>
        <v>5.8148999999999997</v>
      </c>
    </row>
    <row r="151" spans="1:7" x14ac:dyDescent="0.2">
      <c r="A151" s="235" t="s">
        <v>590</v>
      </c>
      <c r="B151" s="132"/>
      <c r="C151" s="236">
        <v>1</v>
      </c>
      <c r="D151" s="237">
        <v>2.13</v>
      </c>
      <c r="E151" s="216">
        <f>C151*D151</f>
        <v>2.13</v>
      </c>
      <c r="F151" s="217">
        <v>1.95</v>
      </c>
      <c r="G151" s="218">
        <f>E151*F151</f>
        <v>4.1534999999999993</v>
      </c>
    </row>
    <row r="152" spans="1:7" x14ac:dyDescent="0.2">
      <c r="A152" s="235"/>
      <c r="B152" s="132"/>
      <c r="C152" s="236"/>
      <c r="D152" s="237"/>
      <c r="E152" s="216"/>
      <c r="F152" s="217"/>
      <c r="G152" s="218"/>
    </row>
    <row r="153" spans="1:7" x14ac:dyDescent="0.2">
      <c r="A153" s="219" t="s">
        <v>1682</v>
      </c>
      <c r="B153" s="220"/>
      <c r="C153" s="221"/>
      <c r="D153" s="222" t="s">
        <v>1682</v>
      </c>
      <c r="E153" s="222" t="s">
        <v>1682</v>
      </c>
      <c r="F153" s="223"/>
      <c r="G153" s="224" t="s">
        <v>1682</v>
      </c>
    </row>
    <row r="154" spans="1:7" x14ac:dyDescent="0.2">
      <c r="A154" s="238" t="s">
        <v>1681</v>
      </c>
      <c r="B154" s="239"/>
      <c r="C154" s="240"/>
      <c r="D154" s="239"/>
      <c r="E154" s="239"/>
      <c r="F154" s="239"/>
      <c r="G154" s="241">
        <f>SUM(G149:G153)</f>
        <v>17.938800000000001</v>
      </c>
    </row>
    <row r="155" spans="1:7" x14ac:dyDescent="0.2">
      <c r="A155" s="227" t="s">
        <v>1684</v>
      </c>
      <c r="B155" s="132"/>
      <c r="C155" s="188"/>
      <c r="D155" s="132"/>
      <c r="E155" s="132"/>
      <c r="F155" s="132"/>
      <c r="G155" s="218"/>
    </row>
    <row r="156" spans="1:7" ht="25.5" x14ac:dyDescent="0.2">
      <c r="A156" s="229" t="s">
        <v>1409</v>
      </c>
      <c r="B156" s="242"/>
      <c r="C156" s="243"/>
      <c r="D156" s="232" t="s">
        <v>1408</v>
      </c>
      <c r="E156" s="231" t="s">
        <v>1679</v>
      </c>
      <c r="F156" s="232" t="s">
        <v>1683</v>
      </c>
      <c r="G156" s="234" t="s">
        <v>1675</v>
      </c>
    </row>
    <row r="157" spans="1:7" x14ac:dyDescent="0.2">
      <c r="A157" s="244" t="s">
        <v>1048</v>
      </c>
      <c r="B157" s="132"/>
      <c r="C157" s="188"/>
      <c r="D157" s="215" t="s">
        <v>1506</v>
      </c>
      <c r="E157" s="215">
        <v>1</v>
      </c>
      <c r="F157" s="216">
        <v>165</v>
      </c>
      <c r="G157" s="218">
        <f>E157*F157</f>
        <v>165</v>
      </c>
    </row>
    <row r="158" spans="1:7" x14ac:dyDescent="0.2">
      <c r="A158" s="214" t="s">
        <v>1049</v>
      </c>
      <c r="B158" s="132"/>
      <c r="C158" s="188"/>
      <c r="D158" s="215"/>
      <c r="E158" s="215"/>
      <c r="F158" s="216"/>
      <c r="G158" s="218"/>
    </row>
    <row r="159" spans="1:7" x14ac:dyDescent="0.2">
      <c r="A159" s="214" t="s">
        <v>1050</v>
      </c>
      <c r="B159" s="132"/>
      <c r="C159" s="188"/>
      <c r="D159" s="215"/>
      <c r="E159" s="215"/>
      <c r="F159" s="216"/>
      <c r="G159" s="218"/>
    </row>
    <row r="160" spans="1:7" x14ac:dyDescent="0.2">
      <c r="A160" s="214"/>
      <c r="B160" s="132"/>
      <c r="C160" s="245"/>
      <c r="D160" s="215"/>
      <c r="E160" s="215"/>
      <c r="F160" s="216"/>
      <c r="G160" s="218"/>
    </row>
    <row r="161" spans="1:7" x14ac:dyDescent="0.2">
      <c r="A161" s="214"/>
      <c r="B161" s="132"/>
      <c r="C161" s="245"/>
      <c r="D161" s="215"/>
      <c r="E161" s="215"/>
      <c r="F161" s="216"/>
      <c r="G161" s="218"/>
    </row>
    <row r="162" spans="1:7" x14ac:dyDescent="0.2">
      <c r="A162" s="238" t="s">
        <v>1692</v>
      </c>
      <c r="B162" s="239"/>
      <c r="C162" s="240"/>
      <c r="D162" s="240"/>
      <c r="E162" s="240"/>
      <c r="F162" s="239"/>
      <c r="G162" s="241">
        <f>SUM(G157:G161)</f>
        <v>165</v>
      </c>
    </row>
    <row r="163" spans="1:7" x14ac:dyDescent="0.2">
      <c r="A163" s="227" t="s">
        <v>1680</v>
      </c>
      <c r="B163" s="132"/>
      <c r="C163" s="188"/>
      <c r="D163" s="132"/>
      <c r="E163" s="188"/>
      <c r="F163" s="132"/>
      <c r="G163" s="218"/>
    </row>
    <row r="164" spans="1:7" ht="25.5" x14ac:dyDescent="0.2">
      <c r="A164" s="229" t="s">
        <v>1409</v>
      </c>
      <c r="B164" s="242"/>
      <c r="C164" s="243"/>
      <c r="D164" s="232" t="s">
        <v>1408</v>
      </c>
      <c r="E164" s="231" t="s">
        <v>1679</v>
      </c>
      <c r="F164" s="232" t="s">
        <v>1676</v>
      </c>
      <c r="G164" s="234" t="s">
        <v>1675</v>
      </c>
    </row>
    <row r="165" spans="1:7" x14ac:dyDescent="0.2">
      <c r="A165" s="208" t="s">
        <v>975</v>
      </c>
      <c r="B165" s="209"/>
      <c r="C165" s="246"/>
      <c r="D165" s="215" t="s">
        <v>976</v>
      </c>
      <c r="E165" s="215">
        <v>0.15</v>
      </c>
      <c r="F165" s="247">
        <v>5</v>
      </c>
      <c r="G165" s="218">
        <f>E165*F165</f>
        <v>0.75</v>
      </c>
    </row>
    <row r="166" spans="1:7" x14ac:dyDescent="0.2">
      <c r="A166" s="214"/>
      <c r="B166" s="132"/>
      <c r="C166" s="248"/>
      <c r="D166" s="215"/>
      <c r="E166" s="215"/>
      <c r="F166" s="247"/>
      <c r="G166" s="218"/>
    </row>
    <row r="167" spans="1:7" x14ac:dyDescent="0.2">
      <c r="A167" s="219" t="s">
        <v>1682</v>
      </c>
      <c r="B167" s="220"/>
      <c r="C167" s="249"/>
      <c r="D167" s="221" t="s">
        <v>1682</v>
      </c>
      <c r="E167" s="221"/>
      <c r="F167" s="222" t="s">
        <v>1682</v>
      </c>
      <c r="G167" s="224" t="s">
        <v>1682</v>
      </c>
    </row>
    <row r="168" spans="1:7" ht="13.5" thickBot="1" x14ac:dyDescent="0.25">
      <c r="A168" s="250" t="s">
        <v>977</v>
      </c>
      <c r="B168" s="251"/>
      <c r="C168" s="252"/>
      <c r="D168" s="252"/>
      <c r="E168" s="252"/>
      <c r="F168" s="251"/>
      <c r="G168" s="253">
        <f>SUM(G165:G167)</f>
        <v>0.75</v>
      </c>
    </row>
    <row r="169" spans="1:7" x14ac:dyDescent="0.2">
      <c r="A169" s="132"/>
      <c r="B169" s="132"/>
      <c r="C169" s="254"/>
      <c r="D169" s="198"/>
      <c r="E169" s="198"/>
      <c r="F169" s="255" t="s">
        <v>978</v>
      </c>
      <c r="G169" s="256">
        <f>G146+G154+G162+G168</f>
        <v>184.43880000000001</v>
      </c>
    </row>
    <row r="170" spans="1:7" x14ac:dyDescent="0.2">
      <c r="A170" s="132"/>
      <c r="B170" s="132"/>
      <c r="C170" s="257"/>
      <c r="D170" s="239"/>
      <c r="E170" s="239"/>
      <c r="F170" s="258" t="s">
        <v>979</v>
      </c>
      <c r="G170" s="241"/>
    </row>
    <row r="171" spans="1:7" x14ac:dyDescent="0.2">
      <c r="A171" s="132"/>
      <c r="B171" s="132"/>
      <c r="C171" s="257"/>
      <c r="D171" s="239"/>
      <c r="E171" s="239"/>
      <c r="F171" s="258" t="s">
        <v>980</v>
      </c>
      <c r="G171" s="241"/>
    </row>
    <row r="172" spans="1:7" x14ac:dyDescent="0.2">
      <c r="A172" s="132"/>
      <c r="B172" s="132"/>
      <c r="C172" s="257"/>
      <c r="D172" s="239"/>
      <c r="E172" s="239"/>
      <c r="F172" s="259" t="s">
        <v>1670</v>
      </c>
      <c r="G172" s="260"/>
    </row>
    <row r="173" spans="1:7" ht="13.5" thickBot="1" x14ac:dyDescent="0.25">
      <c r="A173" s="193"/>
      <c r="B173" s="132"/>
      <c r="C173" s="261"/>
      <c r="D173" s="251"/>
      <c r="E173" s="251"/>
      <c r="F173" s="262" t="s">
        <v>1650</v>
      </c>
      <c r="G173" s="263"/>
    </row>
    <row r="174" spans="1:7" ht="15.75" x14ac:dyDescent="0.2">
      <c r="A174" s="186" t="s">
        <v>1701</v>
      </c>
      <c r="B174" s="132"/>
      <c r="C174" s="187" t="s">
        <v>742</v>
      </c>
      <c r="D174" s="132"/>
      <c r="E174" s="132"/>
      <c r="F174" s="188"/>
      <c r="G174" s="132"/>
    </row>
    <row r="175" spans="1:7" ht="15.75" x14ac:dyDescent="0.2">
      <c r="A175" s="186" t="s">
        <v>1700</v>
      </c>
      <c r="B175" s="189" t="s">
        <v>963</v>
      </c>
      <c r="C175" s="188"/>
      <c r="D175" s="132"/>
      <c r="E175" s="132"/>
      <c r="F175" s="190"/>
      <c r="G175" s="191"/>
    </row>
    <row r="176" spans="1:7" ht="14.25" x14ac:dyDescent="0.2">
      <c r="A176" s="189"/>
      <c r="B176" s="189"/>
      <c r="C176" s="187"/>
      <c r="D176" s="189"/>
      <c r="E176" s="189"/>
      <c r="F176" s="189"/>
      <c r="G176" s="189"/>
    </row>
    <row r="177" spans="1:7" ht="15.75" x14ac:dyDescent="0.2">
      <c r="A177" s="186" t="s">
        <v>1697</v>
      </c>
      <c r="B177" s="189"/>
      <c r="C177" s="188"/>
      <c r="D177" s="132"/>
      <c r="E177" s="132"/>
      <c r="F177" s="132"/>
      <c r="G177" s="132"/>
    </row>
    <row r="178" spans="1:7" ht="15" x14ac:dyDescent="0.2">
      <c r="A178" s="192"/>
      <c r="B178" s="189"/>
      <c r="C178" s="187"/>
      <c r="D178" s="189"/>
      <c r="E178" s="189"/>
      <c r="F178" s="189"/>
      <c r="G178" s="189"/>
    </row>
    <row r="179" spans="1:7" ht="14.25" x14ac:dyDescent="0.2">
      <c r="A179" s="193" t="s">
        <v>594</v>
      </c>
      <c r="B179" s="194">
        <v>5</v>
      </c>
      <c r="C179" s="188"/>
      <c r="D179" s="188"/>
      <c r="E179" s="188"/>
      <c r="F179" s="195" t="s">
        <v>1696</v>
      </c>
      <c r="G179" s="189" t="s">
        <v>1506</v>
      </c>
    </row>
    <row r="180" spans="1:7" ht="14.25" x14ac:dyDescent="0.2">
      <c r="A180" s="196" t="s">
        <v>964</v>
      </c>
      <c r="B180" s="194" t="s">
        <v>1051</v>
      </c>
      <c r="C180" s="188"/>
      <c r="D180" s="132"/>
      <c r="E180" s="132"/>
      <c r="F180" s="132"/>
      <c r="G180" s="132"/>
    </row>
    <row r="181" spans="1:7" ht="15" thickBot="1" x14ac:dyDescent="0.25">
      <c r="A181" s="187"/>
      <c r="B181" s="187"/>
      <c r="C181" s="187"/>
      <c r="D181" s="189"/>
      <c r="E181" s="189"/>
      <c r="F181" s="189"/>
      <c r="G181" s="189"/>
    </row>
    <row r="182" spans="1:7" x14ac:dyDescent="0.2">
      <c r="A182" s="197" t="s">
        <v>1695</v>
      </c>
      <c r="B182" s="198"/>
      <c r="C182" s="199"/>
      <c r="D182" s="198"/>
      <c r="E182" s="198"/>
      <c r="F182" s="198"/>
      <c r="G182" s="200"/>
    </row>
    <row r="183" spans="1:7" ht="25.5" x14ac:dyDescent="0.2">
      <c r="A183" s="202" t="s">
        <v>1409</v>
      </c>
      <c r="B183" s="203"/>
      <c r="C183" s="204" t="s">
        <v>966</v>
      </c>
      <c r="D183" s="205" t="s">
        <v>1694</v>
      </c>
      <c r="E183" s="205" t="s">
        <v>1693</v>
      </c>
      <c r="F183" s="206" t="s">
        <v>1687</v>
      </c>
      <c r="G183" s="207" t="s">
        <v>967</v>
      </c>
    </row>
    <row r="184" spans="1:7" x14ac:dyDescent="0.2">
      <c r="A184" s="208" t="s">
        <v>1468</v>
      </c>
      <c r="B184" s="209"/>
      <c r="C184" s="210">
        <v>1</v>
      </c>
      <c r="D184" s="211">
        <v>2.5</v>
      </c>
      <c r="E184" s="211">
        <f>C184*D184</f>
        <v>2.5</v>
      </c>
      <c r="F184" s="212">
        <v>0.3</v>
      </c>
      <c r="G184" s="213">
        <f>E184*F184</f>
        <v>0.75</v>
      </c>
    </row>
    <row r="185" spans="1:7" x14ac:dyDescent="0.2">
      <c r="A185" s="214"/>
      <c r="B185" s="132"/>
      <c r="C185" s="215"/>
      <c r="D185" s="216"/>
      <c r="E185" s="216"/>
      <c r="F185" s="217"/>
      <c r="G185" s="218"/>
    </row>
    <row r="186" spans="1:7" x14ac:dyDescent="0.2">
      <c r="A186" s="219" t="s">
        <v>1682</v>
      </c>
      <c r="B186" s="220"/>
      <c r="C186" s="221"/>
      <c r="D186" s="222" t="s">
        <v>1682</v>
      </c>
      <c r="E186" s="222" t="s">
        <v>1682</v>
      </c>
      <c r="F186" s="223"/>
      <c r="G186" s="224" t="s">
        <v>1682</v>
      </c>
    </row>
    <row r="187" spans="1:7" x14ac:dyDescent="0.2">
      <c r="A187" s="219" t="s">
        <v>968</v>
      </c>
      <c r="B187" s="220"/>
      <c r="C187" s="225"/>
      <c r="D187" s="220"/>
      <c r="E187" s="220"/>
      <c r="F187" s="226"/>
      <c r="G187" s="224">
        <f>SUM(G184:G186)</f>
        <v>0.75</v>
      </c>
    </row>
    <row r="188" spans="1:7" x14ac:dyDescent="0.2">
      <c r="A188" s="227" t="s">
        <v>1503</v>
      </c>
      <c r="B188" s="132"/>
      <c r="C188" s="188"/>
      <c r="D188" s="132"/>
      <c r="E188" s="132"/>
      <c r="F188" s="228"/>
      <c r="G188" s="218"/>
    </row>
    <row r="189" spans="1:7" ht="25.5" x14ac:dyDescent="0.2">
      <c r="A189" s="229" t="s">
        <v>1691</v>
      </c>
      <c r="B189" s="230"/>
      <c r="C189" s="231" t="s">
        <v>969</v>
      </c>
      <c r="D189" s="232" t="s">
        <v>1689</v>
      </c>
      <c r="E189" s="232" t="s">
        <v>1688</v>
      </c>
      <c r="F189" s="233" t="s">
        <v>1687</v>
      </c>
      <c r="G189" s="234" t="s">
        <v>1686</v>
      </c>
    </row>
    <row r="190" spans="1:7" x14ac:dyDescent="0.2">
      <c r="A190" s="235" t="s">
        <v>970</v>
      </c>
      <c r="B190" s="132"/>
      <c r="C190" s="236">
        <v>1</v>
      </c>
      <c r="D190" s="237">
        <v>2.16</v>
      </c>
      <c r="E190" s="216">
        <v>2.16</v>
      </c>
      <c r="F190" s="217">
        <v>3.69</v>
      </c>
      <c r="G190" s="218">
        <f>E190*F190</f>
        <v>7.9704000000000006</v>
      </c>
    </row>
    <row r="191" spans="1:7" x14ac:dyDescent="0.2">
      <c r="A191" s="235" t="s">
        <v>971</v>
      </c>
      <c r="B191" s="132"/>
      <c r="C191" s="236">
        <v>1</v>
      </c>
      <c r="D191" s="237">
        <v>2.13</v>
      </c>
      <c r="E191" s="216">
        <f>C191*D191</f>
        <v>2.13</v>
      </c>
      <c r="F191" s="217">
        <v>2.73</v>
      </c>
      <c r="G191" s="218">
        <f>E191*F191</f>
        <v>5.8148999999999997</v>
      </c>
    </row>
    <row r="192" spans="1:7" x14ac:dyDescent="0.2">
      <c r="A192" s="235" t="s">
        <v>590</v>
      </c>
      <c r="B192" s="132"/>
      <c r="C192" s="236">
        <v>1</v>
      </c>
      <c r="D192" s="237">
        <v>2.13</v>
      </c>
      <c r="E192" s="216">
        <f>C192*D192</f>
        <v>2.13</v>
      </c>
      <c r="F192" s="217">
        <v>1.95</v>
      </c>
      <c r="G192" s="218">
        <f>E192*F192</f>
        <v>4.1534999999999993</v>
      </c>
    </row>
    <row r="193" spans="1:7" x14ac:dyDescent="0.2">
      <c r="A193" s="235"/>
      <c r="B193" s="132"/>
      <c r="C193" s="236"/>
      <c r="D193" s="237"/>
      <c r="E193" s="216"/>
      <c r="F193" s="217"/>
      <c r="G193" s="218"/>
    </row>
    <row r="194" spans="1:7" x14ac:dyDescent="0.2">
      <c r="A194" s="219" t="s">
        <v>1682</v>
      </c>
      <c r="B194" s="220"/>
      <c r="C194" s="221"/>
      <c r="D194" s="222" t="s">
        <v>1682</v>
      </c>
      <c r="E194" s="222" t="s">
        <v>1682</v>
      </c>
      <c r="F194" s="223"/>
      <c r="G194" s="224" t="s">
        <v>1682</v>
      </c>
    </row>
    <row r="195" spans="1:7" x14ac:dyDescent="0.2">
      <c r="A195" s="238" t="s">
        <v>1681</v>
      </c>
      <c r="B195" s="239"/>
      <c r="C195" s="240"/>
      <c r="D195" s="239"/>
      <c r="E195" s="239"/>
      <c r="F195" s="239"/>
      <c r="G195" s="241">
        <f>SUM(G190:G194)</f>
        <v>17.938800000000001</v>
      </c>
    </row>
    <row r="196" spans="1:7" x14ac:dyDescent="0.2">
      <c r="A196" s="227" t="s">
        <v>1684</v>
      </c>
      <c r="B196" s="132"/>
      <c r="C196" s="188"/>
      <c r="D196" s="132"/>
      <c r="E196" s="132"/>
      <c r="F196" s="132"/>
      <c r="G196" s="218"/>
    </row>
    <row r="197" spans="1:7" ht="25.5" x14ac:dyDescent="0.2">
      <c r="A197" s="229" t="s">
        <v>1409</v>
      </c>
      <c r="B197" s="242"/>
      <c r="C197" s="243"/>
      <c r="D197" s="232" t="s">
        <v>1408</v>
      </c>
      <c r="E197" s="231" t="s">
        <v>1679</v>
      </c>
      <c r="F197" s="232" t="s">
        <v>1683</v>
      </c>
      <c r="G197" s="234" t="s">
        <v>1675</v>
      </c>
    </row>
    <row r="198" spans="1:7" x14ac:dyDescent="0.2">
      <c r="A198" s="244" t="s">
        <v>1052</v>
      </c>
      <c r="B198" s="132"/>
      <c r="C198" s="188"/>
      <c r="D198" s="215" t="s">
        <v>1506</v>
      </c>
      <c r="E198" s="215">
        <v>1</v>
      </c>
      <c r="F198" s="216">
        <v>90</v>
      </c>
      <c r="G198" s="218">
        <f>E198*F198</f>
        <v>90</v>
      </c>
    </row>
    <row r="199" spans="1:7" x14ac:dyDescent="0.2">
      <c r="A199" s="214" t="s">
        <v>1053</v>
      </c>
      <c r="B199" s="132"/>
      <c r="C199" s="188"/>
      <c r="D199" s="215"/>
      <c r="E199" s="215"/>
      <c r="F199" s="216"/>
      <c r="G199" s="218"/>
    </row>
    <row r="200" spans="1:7" x14ac:dyDescent="0.2">
      <c r="A200" s="214" t="s">
        <v>1054</v>
      </c>
      <c r="B200" s="132"/>
      <c r="C200" s="188"/>
      <c r="D200" s="215"/>
      <c r="E200" s="215"/>
      <c r="F200" s="216"/>
      <c r="G200" s="218"/>
    </row>
    <row r="201" spans="1:7" x14ac:dyDescent="0.2">
      <c r="A201" s="214" t="s">
        <v>1055</v>
      </c>
      <c r="B201" s="132"/>
      <c r="C201" s="188"/>
      <c r="D201" s="215"/>
      <c r="E201" s="215"/>
      <c r="F201" s="216"/>
      <c r="G201" s="218"/>
    </row>
    <row r="202" spans="1:7" x14ac:dyDescent="0.2">
      <c r="A202" s="214"/>
      <c r="B202" s="132"/>
      <c r="C202" s="188"/>
      <c r="D202" s="215"/>
      <c r="E202" s="215"/>
      <c r="F202" s="216"/>
      <c r="G202" s="218"/>
    </row>
    <row r="203" spans="1:7" x14ac:dyDescent="0.2">
      <c r="A203" s="214"/>
      <c r="B203" s="132"/>
      <c r="C203" s="245"/>
      <c r="D203" s="215"/>
      <c r="E203" s="215"/>
      <c r="F203" s="216"/>
      <c r="G203" s="218"/>
    </row>
    <row r="204" spans="1:7" x14ac:dyDescent="0.2">
      <c r="A204" s="214"/>
      <c r="B204" s="132"/>
      <c r="C204" s="245"/>
      <c r="D204" s="215"/>
      <c r="E204" s="215"/>
      <c r="F204" s="216"/>
      <c r="G204" s="218"/>
    </row>
    <row r="205" spans="1:7" x14ac:dyDescent="0.2">
      <c r="A205" s="238" t="s">
        <v>1692</v>
      </c>
      <c r="B205" s="239"/>
      <c r="C205" s="240"/>
      <c r="D205" s="240"/>
      <c r="E205" s="240"/>
      <c r="F205" s="239"/>
      <c r="G205" s="241">
        <f>SUM(G198:G204)</f>
        <v>90</v>
      </c>
    </row>
    <row r="206" spans="1:7" x14ac:dyDescent="0.2">
      <c r="A206" s="227" t="s">
        <v>1680</v>
      </c>
      <c r="B206" s="132"/>
      <c r="C206" s="188"/>
      <c r="D206" s="132"/>
      <c r="E206" s="188"/>
      <c r="F206" s="132"/>
      <c r="G206" s="218"/>
    </row>
    <row r="207" spans="1:7" ht="25.5" x14ac:dyDescent="0.2">
      <c r="A207" s="229" t="s">
        <v>1409</v>
      </c>
      <c r="B207" s="242"/>
      <c r="C207" s="243"/>
      <c r="D207" s="232" t="s">
        <v>1408</v>
      </c>
      <c r="E207" s="231" t="s">
        <v>1679</v>
      </c>
      <c r="F207" s="232" t="s">
        <v>1676</v>
      </c>
      <c r="G207" s="234" t="s">
        <v>1675</v>
      </c>
    </row>
    <row r="208" spans="1:7" x14ac:dyDescent="0.2">
      <c r="A208" s="208" t="s">
        <v>975</v>
      </c>
      <c r="B208" s="209"/>
      <c r="C208" s="246"/>
      <c r="D208" s="215" t="s">
        <v>976</v>
      </c>
      <c r="E208" s="215">
        <v>0.15</v>
      </c>
      <c r="F208" s="247">
        <v>5</v>
      </c>
      <c r="G208" s="218">
        <f>E208*F208</f>
        <v>0.75</v>
      </c>
    </row>
    <row r="209" spans="1:7" x14ac:dyDescent="0.2">
      <c r="A209" s="214"/>
      <c r="B209" s="132"/>
      <c r="C209" s="248"/>
      <c r="D209" s="215"/>
      <c r="E209" s="215"/>
      <c r="F209" s="247"/>
      <c r="G209" s="218"/>
    </row>
    <row r="210" spans="1:7" x14ac:dyDescent="0.2">
      <c r="A210" s="219" t="s">
        <v>1682</v>
      </c>
      <c r="B210" s="220"/>
      <c r="C210" s="249"/>
      <c r="D210" s="221" t="s">
        <v>1682</v>
      </c>
      <c r="E210" s="221"/>
      <c r="F210" s="222" t="s">
        <v>1682</v>
      </c>
      <c r="G210" s="224" t="s">
        <v>1682</v>
      </c>
    </row>
    <row r="211" spans="1:7" ht="13.5" thickBot="1" x14ac:dyDescent="0.25">
      <c r="A211" s="250" t="s">
        <v>977</v>
      </c>
      <c r="B211" s="251"/>
      <c r="C211" s="252"/>
      <c r="D211" s="252"/>
      <c r="E211" s="252"/>
      <c r="F211" s="251"/>
      <c r="G211" s="253">
        <f>SUM(G208:G210)</f>
        <v>0.75</v>
      </c>
    </row>
    <row r="212" spans="1:7" x14ac:dyDescent="0.2">
      <c r="A212" s="132"/>
      <c r="B212" s="132"/>
      <c r="C212" s="254"/>
      <c r="D212" s="198"/>
      <c r="E212" s="198"/>
      <c r="F212" s="255" t="s">
        <v>978</v>
      </c>
      <c r="G212" s="256">
        <f>G187+G195+G205+G211</f>
        <v>109.4388</v>
      </c>
    </row>
    <row r="213" spans="1:7" x14ac:dyDescent="0.2">
      <c r="A213" s="132"/>
      <c r="B213" s="132"/>
      <c r="C213" s="257"/>
      <c r="D213" s="239"/>
      <c r="E213" s="239"/>
      <c r="F213" s="258" t="s">
        <v>979</v>
      </c>
      <c r="G213" s="241"/>
    </row>
    <row r="214" spans="1:7" x14ac:dyDescent="0.2">
      <c r="A214" s="132"/>
      <c r="B214" s="132"/>
      <c r="C214" s="257"/>
      <c r="D214" s="239"/>
      <c r="E214" s="239"/>
      <c r="F214" s="258" t="s">
        <v>980</v>
      </c>
      <c r="G214" s="241"/>
    </row>
    <row r="215" spans="1:7" x14ac:dyDescent="0.2">
      <c r="A215" s="132"/>
      <c r="B215" s="132"/>
      <c r="C215" s="257"/>
      <c r="D215" s="239"/>
      <c r="E215" s="239"/>
      <c r="F215" s="259" t="s">
        <v>1670</v>
      </c>
      <c r="G215" s="260"/>
    </row>
    <row r="216" spans="1:7" ht="13.5" thickBot="1" x14ac:dyDescent="0.25">
      <c r="A216" s="193"/>
      <c r="B216" s="132"/>
      <c r="C216" s="261"/>
      <c r="D216" s="251"/>
      <c r="E216" s="251"/>
      <c r="F216" s="262" t="s">
        <v>1650</v>
      </c>
      <c r="G216" s="263"/>
    </row>
    <row r="217" spans="1:7" ht="15.75" x14ac:dyDescent="0.2">
      <c r="A217" s="186" t="s">
        <v>1701</v>
      </c>
      <c r="B217" s="132"/>
      <c r="C217" s="187" t="s">
        <v>742</v>
      </c>
      <c r="D217" s="132"/>
      <c r="E217" s="132"/>
      <c r="F217" s="188"/>
      <c r="G217" s="132"/>
    </row>
    <row r="218" spans="1:7" ht="15.75" x14ac:dyDescent="0.2">
      <c r="A218" s="186" t="s">
        <v>1700</v>
      </c>
      <c r="B218" s="189" t="s">
        <v>963</v>
      </c>
      <c r="C218" s="188"/>
      <c r="D218" s="132"/>
      <c r="E218" s="132"/>
      <c r="F218" s="190"/>
      <c r="G218" s="191"/>
    </row>
    <row r="219" spans="1:7" ht="14.25" x14ac:dyDescent="0.2">
      <c r="A219" s="189"/>
      <c r="B219" s="189"/>
      <c r="C219" s="187"/>
      <c r="D219" s="189"/>
      <c r="E219" s="189"/>
      <c r="F219" s="189"/>
      <c r="G219" s="189"/>
    </row>
    <row r="220" spans="1:7" ht="15.75" x14ac:dyDescent="0.2">
      <c r="A220" s="186" t="s">
        <v>1697</v>
      </c>
      <c r="B220" s="189"/>
      <c r="C220" s="188"/>
      <c r="D220" s="132"/>
      <c r="E220" s="132"/>
      <c r="F220" s="132"/>
      <c r="G220" s="132"/>
    </row>
    <row r="221" spans="1:7" ht="15" x14ac:dyDescent="0.2">
      <c r="A221" s="192"/>
      <c r="B221" s="189"/>
      <c r="C221" s="187"/>
      <c r="D221" s="189"/>
      <c r="E221" s="189"/>
      <c r="F221" s="189"/>
      <c r="G221" s="189"/>
    </row>
    <row r="222" spans="1:7" ht="14.25" x14ac:dyDescent="0.2">
      <c r="A222" s="193" t="s">
        <v>594</v>
      </c>
      <c r="B222" s="194">
        <v>6</v>
      </c>
      <c r="C222" s="188"/>
      <c r="D222" s="188"/>
      <c r="E222" s="188"/>
      <c r="F222" s="195" t="s">
        <v>1696</v>
      </c>
      <c r="G222" s="189" t="s">
        <v>1506</v>
      </c>
    </row>
    <row r="223" spans="1:7" ht="14.25" x14ac:dyDescent="0.2">
      <c r="A223" s="196" t="s">
        <v>964</v>
      </c>
      <c r="B223" s="194" t="s">
        <v>1056</v>
      </c>
      <c r="C223" s="188"/>
      <c r="D223" s="132"/>
      <c r="E223" s="132"/>
      <c r="F223" s="132"/>
      <c r="G223" s="132"/>
    </row>
    <row r="224" spans="1:7" ht="15" thickBot="1" x14ac:dyDescent="0.25">
      <c r="A224" s="187"/>
      <c r="B224" s="187"/>
      <c r="C224" s="187"/>
      <c r="D224" s="189"/>
      <c r="E224" s="189"/>
      <c r="F224" s="189"/>
      <c r="G224" s="189"/>
    </row>
    <row r="225" spans="1:7" x14ac:dyDescent="0.2">
      <c r="A225" s="197" t="s">
        <v>1695</v>
      </c>
      <c r="B225" s="198"/>
      <c r="C225" s="199"/>
      <c r="D225" s="198"/>
      <c r="E225" s="198"/>
      <c r="F225" s="198"/>
      <c r="G225" s="200"/>
    </row>
    <row r="226" spans="1:7" ht="25.5" x14ac:dyDescent="0.2">
      <c r="A226" s="202" t="s">
        <v>1409</v>
      </c>
      <c r="B226" s="203"/>
      <c r="C226" s="204" t="s">
        <v>966</v>
      </c>
      <c r="D226" s="205" t="s">
        <v>1694</v>
      </c>
      <c r="E226" s="205" t="s">
        <v>1693</v>
      </c>
      <c r="F226" s="206" t="s">
        <v>1687</v>
      </c>
      <c r="G226" s="207" t="s">
        <v>967</v>
      </c>
    </row>
    <row r="227" spans="1:7" x14ac:dyDescent="0.2">
      <c r="A227" s="208" t="s">
        <v>1468</v>
      </c>
      <c r="B227" s="209"/>
      <c r="C227" s="210">
        <v>1</v>
      </c>
      <c r="D227" s="211">
        <v>2.5</v>
      </c>
      <c r="E227" s="211">
        <f>C227*D227</f>
        <v>2.5</v>
      </c>
      <c r="F227" s="212">
        <v>0.3</v>
      </c>
      <c r="G227" s="213">
        <f>E227*F227</f>
        <v>0.75</v>
      </c>
    </row>
    <row r="228" spans="1:7" x14ac:dyDescent="0.2">
      <c r="A228" s="214"/>
      <c r="B228" s="132"/>
      <c r="C228" s="215"/>
      <c r="D228" s="216"/>
      <c r="E228" s="216"/>
      <c r="F228" s="217"/>
      <c r="G228" s="218"/>
    </row>
    <row r="229" spans="1:7" x14ac:dyDescent="0.2">
      <c r="A229" s="219" t="s">
        <v>1682</v>
      </c>
      <c r="B229" s="220"/>
      <c r="C229" s="221"/>
      <c r="D229" s="222" t="s">
        <v>1682</v>
      </c>
      <c r="E229" s="222" t="s">
        <v>1682</v>
      </c>
      <c r="F229" s="223"/>
      <c r="G229" s="224" t="s">
        <v>1682</v>
      </c>
    </row>
    <row r="230" spans="1:7" x14ac:dyDescent="0.2">
      <c r="A230" s="219" t="s">
        <v>968</v>
      </c>
      <c r="B230" s="220"/>
      <c r="C230" s="225"/>
      <c r="D230" s="220"/>
      <c r="E230" s="220"/>
      <c r="F230" s="226"/>
      <c r="G230" s="224">
        <f>SUM(G227:G229)</f>
        <v>0.75</v>
      </c>
    </row>
    <row r="231" spans="1:7" x14ac:dyDescent="0.2">
      <c r="A231" s="227" t="s">
        <v>1503</v>
      </c>
      <c r="B231" s="132"/>
      <c r="C231" s="188"/>
      <c r="D231" s="132"/>
      <c r="E231" s="132"/>
      <c r="F231" s="228"/>
      <c r="G231" s="218"/>
    </row>
    <row r="232" spans="1:7" ht="25.5" x14ac:dyDescent="0.2">
      <c r="A232" s="229" t="s">
        <v>1691</v>
      </c>
      <c r="B232" s="230"/>
      <c r="C232" s="231" t="s">
        <v>969</v>
      </c>
      <c r="D232" s="232" t="s">
        <v>1689</v>
      </c>
      <c r="E232" s="232" t="s">
        <v>1688</v>
      </c>
      <c r="F232" s="233" t="s">
        <v>1687</v>
      </c>
      <c r="G232" s="234" t="s">
        <v>1686</v>
      </c>
    </row>
    <row r="233" spans="1:7" x14ac:dyDescent="0.2">
      <c r="A233" s="235" t="s">
        <v>970</v>
      </c>
      <c r="B233" s="132"/>
      <c r="C233" s="236">
        <v>1</v>
      </c>
      <c r="D233" s="237">
        <v>2.16</v>
      </c>
      <c r="E233" s="216">
        <v>2.16</v>
      </c>
      <c r="F233" s="217">
        <v>3.69</v>
      </c>
      <c r="G233" s="218">
        <f>E233*F233</f>
        <v>7.9704000000000006</v>
      </c>
    </row>
    <row r="234" spans="1:7" x14ac:dyDescent="0.2">
      <c r="A234" s="235" t="s">
        <v>971</v>
      </c>
      <c r="B234" s="132"/>
      <c r="C234" s="236">
        <v>1</v>
      </c>
      <c r="D234" s="237">
        <v>2.13</v>
      </c>
      <c r="E234" s="216">
        <f>C234*D234</f>
        <v>2.13</v>
      </c>
      <c r="F234" s="217">
        <v>2.73</v>
      </c>
      <c r="G234" s="218">
        <f>E234*F234</f>
        <v>5.8148999999999997</v>
      </c>
    </row>
    <row r="235" spans="1:7" x14ac:dyDescent="0.2">
      <c r="A235" s="235" t="s">
        <v>590</v>
      </c>
      <c r="B235" s="132"/>
      <c r="C235" s="236">
        <v>1</v>
      </c>
      <c r="D235" s="237">
        <v>2.13</v>
      </c>
      <c r="E235" s="216">
        <f>C235*D235</f>
        <v>2.13</v>
      </c>
      <c r="F235" s="217">
        <v>1.95</v>
      </c>
      <c r="G235" s="218">
        <f>E235*F235</f>
        <v>4.1534999999999993</v>
      </c>
    </row>
    <row r="236" spans="1:7" x14ac:dyDescent="0.2">
      <c r="A236" s="235"/>
      <c r="B236" s="132"/>
      <c r="C236" s="236"/>
      <c r="D236" s="237"/>
      <c r="E236" s="216"/>
      <c r="F236" s="217"/>
      <c r="G236" s="218"/>
    </row>
    <row r="237" spans="1:7" x14ac:dyDescent="0.2">
      <c r="A237" s="219" t="s">
        <v>1682</v>
      </c>
      <c r="B237" s="220"/>
      <c r="C237" s="221"/>
      <c r="D237" s="222" t="s">
        <v>1682</v>
      </c>
      <c r="E237" s="222" t="s">
        <v>1682</v>
      </c>
      <c r="F237" s="223"/>
      <c r="G237" s="224" t="s">
        <v>1682</v>
      </c>
    </row>
    <row r="238" spans="1:7" x14ac:dyDescent="0.2">
      <c r="A238" s="238" t="s">
        <v>1681</v>
      </c>
      <c r="B238" s="239"/>
      <c r="C238" s="240"/>
      <c r="D238" s="239"/>
      <c r="E238" s="239"/>
      <c r="F238" s="239"/>
      <c r="G238" s="241">
        <f>SUM(G233:G237)</f>
        <v>17.938800000000001</v>
      </c>
    </row>
    <row r="239" spans="1:7" x14ac:dyDescent="0.2">
      <c r="A239" s="227" t="s">
        <v>1684</v>
      </c>
      <c r="B239" s="132"/>
      <c r="C239" s="188"/>
      <c r="D239" s="132"/>
      <c r="E239" s="132"/>
      <c r="F239" s="132"/>
      <c r="G239" s="218"/>
    </row>
    <row r="240" spans="1:7" ht="25.5" x14ac:dyDescent="0.2">
      <c r="A240" s="229" t="s">
        <v>1409</v>
      </c>
      <c r="B240" s="242"/>
      <c r="C240" s="243"/>
      <c r="D240" s="232" t="s">
        <v>1408</v>
      </c>
      <c r="E240" s="231" t="s">
        <v>1679</v>
      </c>
      <c r="F240" s="232" t="s">
        <v>1683</v>
      </c>
      <c r="G240" s="234" t="s">
        <v>1675</v>
      </c>
    </row>
    <row r="241" spans="1:7" x14ac:dyDescent="0.2">
      <c r="A241" s="244" t="s">
        <v>1057</v>
      </c>
      <c r="B241" s="132"/>
      <c r="C241" s="188"/>
      <c r="D241" s="215" t="s">
        <v>1506</v>
      </c>
      <c r="E241" s="215">
        <v>1</v>
      </c>
      <c r="F241" s="216">
        <v>780</v>
      </c>
      <c r="G241" s="218">
        <f>E241*F241</f>
        <v>780</v>
      </c>
    </row>
    <row r="242" spans="1:7" x14ac:dyDescent="0.2">
      <c r="A242" s="214" t="s">
        <v>1058</v>
      </c>
      <c r="B242" s="132"/>
      <c r="C242" s="188"/>
      <c r="D242" s="215"/>
      <c r="E242" s="215"/>
      <c r="F242" s="216"/>
      <c r="G242" s="218"/>
    </row>
    <row r="243" spans="1:7" x14ac:dyDescent="0.2">
      <c r="A243" s="214"/>
      <c r="B243" s="132"/>
      <c r="C243" s="245"/>
      <c r="D243" s="215"/>
      <c r="E243" s="215"/>
      <c r="F243" s="216"/>
      <c r="G243" s="218"/>
    </row>
    <row r="244" spans="1:7" x14ac:dyDescent="0.2">
      <c r="A244" s="214"/>
      <c r="B244" s="132"/>
      <c r="C244" s="245"/>
      <c r="D244" s="215"/>
      <c r="E244" s="215"/>
      <c r="F244" s="216"/>
      <c r="G244" s="218"/>
    </row>
    <row r="245" spans="1:7" x14ac:dyDescent="0.2">
      <c r="A245" s="238" t="s">
        <v>1692</v>
      </c>
      <c r="B245" s="239"/>
      <c r="C245" s="240"/>
      <c r="D245" s="240"/>
      <c r="E245" s="240"/>
      <c r="F245" s="239"/>
      <c r="G245" s="241">
        <f>SUM(G241:G244)</f>
        <v>780</v>
      </c>
    </row>
    <row r="246" spans="1:7" x14ac:dyDescent="0.2">
      <c r="A246" s="227" t="s">
        <v>1680</v>
      </c>
      <c r="B246" s="132"/>
      <c r="C246" s="188"/>
      <c r="D246" s="132"/>
      <c r="E246" s="188"/>
      <c r="F246" s="132"/>
      <c r="G246" s="218"/>
    </row>
    <row r="247" spans="1:7" ht="25.5" x14ac:dyDescent="0.2">
      <c r="A247" s="229" t="s">
        <v>1409</v>
      </c>
      <c r="B247" s="242"/>
      <c r="C247" s="243"/>
      <c r="D247" s="232" t="s">
        <v>1408</v>
      </c>
      <c r="E247" s="231" t="s">
        <v>1679</v>
      </c>
      <c r="F247" s="232" t="s">
        <v>1676</v>
      </c>
      <c r="G247" s="234" t="s">
        <v>1675</v>
      </c>
    </row>
    <row r="248" spans="1:7" x14ac:dyDescent="0.2">
      <c r="A248" s="208" t="s">
        <v>975</v>
      </c>
      <c r="B248" s="209"/>
      <c r="C248" s="246"/>
      <c r="D248" s="215" t="s">
        <v>976</v>
      </c>
      <c r="E248" s="215">
        <v>0.15</v>
      </c>
      <c r="F248" s="247">
        <v>5</v>
      </c>
      <c r="G248" s="218">
        <f>E248*F248</f>
        <v>0.75</v>
      </c>
    </row>
    <row r="249" spans="1:7" x14ac:dyDescent="0.2">
      <c r="A249" s="214"/>
      <c r="B249" s="132"/>
      <c r="C249" s="248"/>
      <c r="D249" s="215"/>
      <c r="E249" s="215"/>
      <c r="F249" s="247"/>
      <c r="G249" s="218"/>
    </row>
    <row r="250" spans="1:7" x14ac:dyDescent="0.2">
      <c r="A250" s="219" t="s">
        <v>1682</v>
      </c>
      <c r="B250" s="220"/>
      <c r="C250" s="249"/>
      <c r="D250" s="221" t="s">
        <v>1682</v>
      </c>
      <c r="E250" s="221"/>
      <c r="F250" s="222" t="s">
        <v>1682</v>
      </c>
      <c r="G250" s="224" t="s">
        <v>1682</v>
      </c>
    </row>
    <row r="251" spans="1:7" ht="13.5" thickBot="1" x14ac:dyDescent="0.25">
      <c r="A251" s="250" t="s">
        <v>977</v>
      </c>
      <c r="B251" s="251"/>
      <c r="C251" s="252"/>
      <c r="D251" s="252"/>
      <c r="E251" s="252"/>
      <c r="F251" s="251"/>
      <c r="G251" s="253">
        <f>SUM(G248:G250)</f>
        <v>0.75</v>
      </c>
    </row>
    <row r="252" spans="1:7" x14ac:dyDescent="0.2">
      <c r="A252" s="132"/>
      <c r="B252" s="132"/>
      <c r="C252" s="254"/>
      <c r="D252" s="198"/>
      <c r="E252" s="198"/>
      <c r="F252" s="255" t="s">
        <v>978</v>
      </c>
      <c r="G252" s="256">
        <f>G230+G238+G245+G251</f>
        <v>799.43880000000001</v>
      </c>
    </row>
    <row r="253" spans="1:7" x14ac:dyDescent="0.2">
      <c r="A253" s="132"/>
      <c r="B253" s="132"/>
      <c r="C253" s="257"/>
      <c r="D253" s="239"/>
      <c r="E253" s="239"/>
      <c r="F253" s="258" t="s">
        <v>979</v>
      </c>
      <c r="G253" s="241"/>
    </row>
    <row r="254" spans="1:7" x14ac:dyDescent="0.2">
      <c r="A254" s="132"/>
      <c r="B254" s="132"/>
      <c r="C254" s="257"/>
      <c r="D254" s="239"/>
      <c r="E254" s="239"/>
      <c r="F254" s="258" t="s">
        <v>980</v>
      </c>
      <c r="G254" s="241"/>
    </row>
    <row r="255" spans="1:7" x14ac:dyDescent="0.2">
      <c r="A255" s="132"/>
      <c r="B255" s="132"/>
      <c r="C255" s="257"/>
      <c r="D255" s="239"/>
      <c r="E255" s="239"/>
      <c r="F255" s="259" t="s">
        <v>1670</v>
      </c>
      <c r="G255" s="260"/>
    </row>
    <row r="256" spans="1:7" ht="13.5" thickBot="1" x14ac:dyDescent="0.25">
      <c r="A256" s="193"/>
      <c r="B256" s="132"/>
      <c r="C256" s="261"/>
      <c r="D256" s="251"/>
      <c r="E256" s="251"/>
      <c r="F256" s="262" t="s">
        <v>1650</v>
      </c>
      <c r="G256" s="263"/>
    </row>
    <row r="257" spans="1:7" ht="15.75" x14ac:dyDescent="0.2">
      <c r="A257" s="186" t="s">
        <v>1701</v>
      </c>
      <c r="B257" s="132"/>
      <c r="C257" s="187" t="s">
        <v>742</v>
      </c>
      <c r="D257" s="132"/>
      <c r="E257" s="132"/>
      <c r="F257" s="188"/>
      <c r="G257" s="132"/>
    </row>
    <row r="258" spans="1:7" ht="15.75" x14ac:dyDescent="0.2">
      <c r="A258" s="186" t="s">
        <v>1700</v>
      </c>
      <c r="B258" s="189" t="s">
        <v>963</v>
      </c>
      <c r="C258" s="188"/>
      <c r="D258" s="132"/>
      <c r="E258" s="132"/>
      <c r="F258" s="190"/>
      <c r="G258" s="191"/>
    </row>
    <row r="259" spans="1:7" ht="14.25" x14ac:dyDescent="0.2">
      <c r="A259" s="189"/>
      <c r="B259" s="189"/>
      <c r="C259" s="187"/>
      <c r="D259" s="189"/>
      <c r="E259" s="189"/>
      <c r="F259" s="189"/>
      <c r="G259" s="189"/>
    </row>
    <row r="260" spans="1:7" ht="15.75" x14ac:dyDescent="0.2">
      <c r="A260" s="186" t="s">
        <v>1697</v>
      </c>
      <c r="B260" s="189"/>
      <c r="C260" s="188"/>
      <c r="D260" s="132"/>
      <c r="E260" s="132"/>
      <c r="F260" s="132"/>
      <c r="G260" s="132"/>
    </row>
    <row r="261" spans="1:7" ht="15" x14ac:dyDescent="0.2">
      <c r="A261" s="192"/>
      <c r="B261" s="189"/>
      <c r="C261" s="187"/>
      <c r="D261" s="189"/>
      <c r="E261" s="189"/>
      <c r="F261" s="189"/>
      <c r="G261" s="189"/>
    </row>
    <row r="262" spans="1:7" ht="14.25" x14ac:dyDescent="0.2">
      <c r="A262" s="193" t="s">
        <v>594</v>
      </c>
      <c r="B262" s="194">
        <v>7</v>
      </c>
      <c r="C262" s="188"/>
      <c r="D262" s="188"/>
      <c r="E262" s="188"/>
      <c r="F262" s="195" t="s">
        <v>1696</v>
      </c>
      <c r="G262" s="189" t="s">
        <v>1506</v>
      </c>
    </row>
    <row r="263" spans="1:7" ht="14.25" x14ac:dyDescent="0.2">
      <c r="A263" s="196" t="s">
        <v>964</v>
      </c>
      <c r="B263" s="194" t="s">
        <v>1059</v>
      </c>
      <c r="C263" s="188"/>
      <c r="D263" s="132"/>
      <c r="E263" s="132"/>
      <c r="F263" s="132"/>
      <c r="G263" s="132"/>
    </row>
    <row r="264" spans="1:7" ht="15" thickBot="1" x14ac:dyDescent="0.25">
      <c r="A264" s="187"/>
      <c r="B264" s="187"/>
      <c r="C264" s="187"/>
      <c r="D264" s="189"/>
      <c r="E264" s="189"/>
      <c r="F264" s="189"/>
      <c r="G264" s="189"/>
    </row>
    <row r="265" spans="1:7" x14ac:dyDescent="0.2">
      <c r="A265" s="197" t="s">
        <v>1695</v>
      </c>
      <c r="B265" s="198"/>
      <c r="C265" s="199"/>
      <c r="D265" s="198"/>
      <c r="E265" s="198"/>
      <c r="F265" s="198"/>
      <c r="G265" s="200"/>
    </row>
    <row r="266" spans="1:7" ht="25.5" x14ac:dyDescent="0.2">
      <c r="A266" s="202" t="s">
        <v>1409</v>
      </c>
      <c r="B266" s="203"/>
      <c r="C266" s="204" t="s">
        <v>966</v>
      </c>
      <c r="D266" s="205" t="s">
        <v>1694</v>
      </c>
      <c r="E266" s="205" t="s">
        <v>1693</v>
      </c>
      <c r="F266" s="206" t="s">
        <v>1687</v>
      </c>
      <c r="G266" s="207" t="s">
        <v>967</v>
      </c>
    </row>
    <row r="267" spans="1:7" x14ac:dyDescent="0.2">
      <c r="A267" s="208" t="s">
        <v>1468</v>
      </c>
      <c r="B267" s="209"/>
      <c r="C267" s="210">
        <v>1</v>
      </c>
      <c r="D267" s="211">
        <v>2.5</v>
      </c>
      <c r="E267" s="211">
        <f>C267*D267</f>
        <v>2.5</v>
      </c>
      <c r="F267" s="212">
        <v>0.6</v>
      </c>
      <c r="G267" s="213">
        <f>E267*F267</f>
        <v>1.5</v>
      </c>
    </row>
    <row r="268" spans="1:7" x14ac:dyDescent="0.2">
      <c r="A268" s="214"/>
      <c r="B268" s="132"/>
      <c r="C268" s="215"/>
      <c r="D268" s="216"/>
      <c r="E268" s="216"/>
      <c r="F268" s="217"/>
      <c r="G268" s="218"/>
    </row>
    <row r="269" spans="1:7" x14ac:dyDescent="0.2">
      <c r="A269" s="219" t="s">
        <v>1682</v>
      </c>
      <c r="B269" s="220"/>
      <c r="C269" s="221"/>
      <c r="D269" s="222" t="s">
        <v>1682</v>
      </c>
      <c r="E269" s="222" t="s">
        <v>1682</v>
      </c>
      <c r="F269" s="223"/>
      <c r="G269" s="224" t="s">
        <v>1682</v>
      </c>
    </row>
    <row r="270" spans="1:7" x14ac:dyDescent="0.2">
      <c r="A270" s="219" t="s">
        <v>968</v>
      </c>
      <c r="B270" s="220"/>
      <c r="C270" s="225"/>
      <c r="D270" s="220"/>
      <c r="E270" s="220"/>
      <c r="F270" s="226"/>
      <c r="G270" s="224">
        <f>SUM(G267:G269)</f>
        <v>1.5</v>
      </c>
    </row>
    <row r="271" spans="1:7" x14ac:dyDescent="0.2">
      <c r="A271" s="227" t="s">
        <v>1503</v>
      </c>
      <c r="B271" s="132"/>
      <c r="C271" s="188"/>
      <c r="D271" s="132"/>
      <c r="E271" s="132"/>
      <c r="F271" s="228"/>
      <c r="G271" s="218"/>
    </row>
    <row r="272" spans="1:7" ht="25.5" x14ac:dyDescent="0.2">
      <c r="A272" s="229" t="s">
        <v>1691</v>
      </c>
      <c r="B272" s="230"/>
      <c r="C272" s="231" t="s">
        <v>969</v>
      </c>
      <c r="D272" s="232" t="s">
        <v>1689</v>
      </c>
      <c r="E272" s="232" t="s">
        <v>1688</v>
      </c>
      <c r="F272" s="233" t="s">
        <v>1687</v>
      </c>
      <c r="G272" s="234" t="s">
        <v>1686</v>
      </c>
    </row>
    <row r="273" spans="1:7" x14ac:dyDescent="0.2">
      <c r="A273" s="235" t="s">
        <v>970</v>
      </c>
      <c r="B273" s="132"/>
      <c r="C273" s="236">
        <v>1</v>
      </c>
      <c r="D273" s="237">
        <v>2.16</v>
      </c>
      <c r="E273" s="216">
        <v>2.16</v>
      </c>
      <c r="F273" s="217">
        <v>73.8</v>
      </c>
      <c r="G273" s="218">
        <f>E273*F273</f>
        <v>159.40800000000002</v>
      </c>
    </row>
    <row r="274" spans="1:7" x14ac:dyDescent="0.2">
      <c r="A274" s="235" t="s">
        <v>971</v>
      </c>
      <c r="B274" s="132"/>
      <c r="C274" s="236">
        <v>1</v>
      </c>
      <c r="D274" s="237">
        <v>2.13</v>
      </c>
      <c r="E274" s="216">
        <f>C274*D274</f>
        <v>2.13</v>
      </c>
      <c r="F274" s="217">
        <v>55.08</v>
      </c>
      <c r="G274" s="218">
        <f>E274*F274</f>
        <v>117.32039999999999</v>
      </c>
    </row>
    <row r="275" spans="1:7" x14ac:dyDescent="0.2">
      <c r="A275" s="235" t="s">
        <v>590</v>
      </c>
      <c r="B275" s="132"/>
      <c r="C275" s="236">
        <v>1</v>
      </c>
      <c r="D275" s="237">
        <v>2.13</v>
      </c>
      <c r="E275" s="216">
        <f>C275*D275</f>
        <v>2.13</v>
      </c>
      <c r="F275" s="217">
        <v>39.06</v>
      </c>
      <c r="G275" s="218">
        <f>E275*F275</f>
        <v>83.197800000000001</v>
      </c>
    </row>
    <row r="276" spans="1:7" x14ac:dyDescent="0.2">
      <c r="A276" s="235"/>
      <c r="B276" s="132"/>
      <c r="C276" s="236"/>
      <c r="D276" s="237"/>
      <c r="E276" s="216"/>
      <c r="F276" s="217"/>
      <c r="G276" s="218"/>
    </row>
    <row r="277" spans="1:7" x14ac:dyDescent="0.2">
      <c r="A277" s="219" t="s">
        <v>1682</v>
      </c>
      <c r="B277" s="220"/>
      <c r="C277" s="221"/>
      <c r="D277" s="222" t="s">
        <v>1682</v>
      </c>
      <c r="E277" s="222" t="s">
        <v>1682</v>
      </c>
      <c r="F277" s="223"/>
      <c r="G277" s="224" t="s">
        <v>1682</v>
      </c>
    </row>
    <row r="278" spans="1:7" x14ac:dyDescent="0.2">
      <c r="A278" s="238" t="s">
        <v>1681</v>
      </c>
      <c r="B278" s="239"/>
      <c r="C278" s="240"/>
      <c r="D278" s="239"/>
      <c r="E278" s="239"/>
      <c r="F278" s="239"/>
      <c r="G278" s="241">
        <f>SUM(G273:G277)</f>
        <v>359.92619999999999</v>
      </c>
    </row>
    <row r="279" spans="1:7" x14ac:dyDescent="0.2">
      <c r="A279" s="227" t="s">
        <v>1684</v>
      </c>
      <c r="B279" s="132"/>
      <c r="C279" s="188"/>
      <c r="D279" s="132"/>
      <c r="E279" s="132"/>
      <c r="F279" s="132"/>
      <c r="G279" s="218"/>
    </row>
    <row r="280" spans="1:7" ht="25.5" x14ac:dyDescent="0.2">
      <c r="A280" s="229" t="s">
        <v>1409</v>
      </c>
      <c r="B280" s="242"/>
      <c r="C280" s="243"/>
      <c r="D280" s="232" t="s">
        <v>1408</v>
      </c>
      <c r="E280" s="231" t="s">
        <v>1679</v>
      </c>
      <c r="F280" s="232" t="s">
        <v>1683</v>
      </c>
      <c r="G280" s="234" t="s">
        <v>1675</v>
      </c>
    </row>
    <row r="281" spans="1:7" x14ac:dyDescent="0.2">
      <c r="A281" s="244" t="s">
        <v>1060</v>
      </c>
      <c r="B281" s="132"/>
      <c r="C281" s="188"/>
      <c r="D281" s="215" t="s">
        <v>1506</v>
      </c>
      <c r="E281" s="215">
        <v>1</v>
      </c>
      <c r="F281" s="216">
        <v>1540</v>
      </c>
      <c r="G281" s="218">
        <f>E281*F281</f>
        <v>1540</v>
      </c>
    </row>
    <row r="282" spans="1:7" x14ac:dyDescent="0.2">
      <c r="A282" s="214" t="s">
        <v>1061</v>
      </c>
      <c r="B282" s="132"/>
      <c r="C282" s="188"/>
      <c r="D282" s="215"/>
      <c r="E282" s="215"/>
      <c r="F282" s="216"/>
      <c r="G282" s="218"/>
    </row>
    <row r="283" spans="1:7" x14ac:dyDescent="0.2">
      <c r="A283" s="214" t="s">
        <v>1062</v>
      </c>
      <c r="B283" s="132"/>
      <c r="C283" s="188"/>
      <c r="D283" s="215"/>
      <c r="E283" s="215"/>
      <c r="F283" s="216"/>
      <c r="G283" s="218"/>
    </row>
    <row r="284" spans="1:7" x14ac:dyDescent="0.2">
      <c r="A284" s="214" t="s">
        <v>1063</v>
      </c>
      <c r="B284" s="132"/>
      <c r="C284" s="188"/>
      <c r="D284" s="215"/>
      <c r="E284" s="215"/>
      <c r="F284" s="216"/>
      <c r="G284" s="218"/>
    </row>
    <row r="285" spans="1:7" x14ac:dyDescent="0.2">
      <c r="A285" s="214" t="s">
        <v>1064</v>
      </c>
      <c r="B285" s="132"/>
      <c r="C285" s="188"/>
      <c r="D285" s="215"/>
      <c r="E285" s="215"/>
      <c r="F285" s="216"/>
      <c r="G285" s="218"/>
    </row>
    <row r="286" spans="1:7" x14ac:dyDescent="0.2">
      <c r="A286" s="214" t="s">
        <v>1065</v>
      </c>
      <c r="B286" s="132"/>
      <c r="C286" s="188"/>
      <c r="D286" s="215"/>
      <c r="E286" s="215"/>
      <c r="F286" s="216"/>
      <c r="G286" s="218"/>
    </row>
    <row r="287" spans="1:7" x14ac:dyDescent="0.2">
      <c r="A287" s="214" t="s">
        <v>1066</v>
      </c>
      <c r="B287" s="132"/>
      <c r="C287" s="188"/>
      <c r="D287" s="215"/>
      <c r="E287" s="215"/>
      <c r="F287" s="216"/>
      <c r="G287" s="218"/>
    </row>
    <row r="288" spans="1:7" x14ac:dyDescent="0.2">
      <c r="A288" s="214" t="s">
        <v>1067</v>
      </c>
      <c r="B288" s="132"/>
      <c r="C288" s="188"/>
      <c r="D288" s="215"/>
      <c r="E288" s="215"/>
      <c r="F288" s="216"/>
      <c r="G288" s="218"/>
    </row>
    <row r="289" spans="1:7" x14ac:dyDescent="0.2">
      <c r="A289" s="214" t="s">
        <v>1068</v>
      </c>
      <c r="B289" s="132"/>
      <c r="C289" s="188"/>
      <c r="D289" s="215"/>
      <c r="E289" s="215"/>
      <c r="F289" s="216"/>
      <c r="G289" s="218"/>
    </row>
    <row r="290" spans="1:7" x14ac:dyDescent="0.2">
      <c r="A290" s="214" t="s">
        <v>1069</v>
      </c>
      <c r="B290" s="132"/>
      <c r="C290" s="188"/>
      <c r="D290" s="215" t="s">
        <v>1506</v>
      </c>
      <c r="E290" s="215">
        <v>1</v>
      </c>
      <c r="F290" s="216">
        <v>200</v>
      </c>
      <c r="G290" s="218">
        <f>E290*F290</f>
        <v>200</v>
      </c>
    </row>
    <row r="291" spans="1:7" x14ac:dyDescent="0.2">
      <c r="A291" s="214"/>
      <c r="B291" s="132"/>
      <c r="C291" s="245"/>
      <c r="D291" s="215"/>
      <c r="E291" s="215"/>
      <c r="F291" s="216"/>
      <c r="G291" s="218"/>
    </row>
    <row r="292" spans="1:7" x14ac:dyDescent="0.2">
      <c r="A292" s="214"/>
      <c r="B292" s="132"/>
      <c r="C292" s="245"/>
      <c r="D292" s="215"/>
      <c r="E292" s="215"/>
      <c r="F292" s="216"/>
      <c r="G292" s="218"/>
    </row>
    <row r="293" spans="1:7" x14ac:dyDescent="0.2">
      <c r="A293" s="238" t="s">
        <v>1692</v>
      </c>
      <c r="B293" s="239"/>
      <c r="C293" s="240"/>
      <c r="D293" s="240"/>
      <c r="E293" s="240"/>
      <c r="F293" s="239"/>
      <c r="G293" s="241">
        <f>SUM(G281:G292)</f>
        <v>1740</v>
      </c>
    </row>
    <row r="294" spans="1:7" x14ac:dyDescent="0.2">
      <c r="A294" s="227" t="s">
        <v>1680</v>
      </c>
      <c r="B294" s="132"/>
      <c r="C294" s="188"/>
      <c r="D294" s="132"/>
      <c r="E294" s="188"/>
      <c r="F294" s="132"/>
      <c r="G294" s="218"/>
    </row>
    <row r="295" spans="1:7" ht="25.5" x14ac:dyDescent="0.2">
      <c r="A295" s="229" t="s">
        <v>1409</v>
      </c>
      <c r="B295" s="242"/>
      <c r="C295" s="243"/>
      <c r="D295" s="232" t="s">
        <v>1408</v>
      </c>
      <c r="E295" s="231" t="s">
        <v>1679</v>
      </c>
      <c r="F295" s="232" t="s">
        <v>1676</v>
      </c>
      <c r="G295" s="234" t="s">
        <v>1675</v>
      </c>
    </row>
    <row r="296" spans="1:7" x14ac:dyDescent="0.2">
      <c r="A296" s="208" t="s">
        <v>975</v>
      </c>
      <c r="B296" s="209"/>
      <c r="C296" s="246"/>
      <c r="D296" s="215" t="s">
        <v>976</v>
      </c>
      <c r="E296" s="215">
        <v>0.4</v>
      </c>
      <c r="F296" s="247">
        <v>5</v>
      </c>
      <c r="G296" s="218">
        <f>E296*F296</f>
        <v>2</v>
      </c>
    </row>
    <row r="297" spans="1:7" x14ac:dyDescent="0.2">
      <c r="A297" s="214"/>
      <c r="B297" s="132"/>
      <c r="C297" s="248"/>
      <c r="D297" s="215"/>
      <c r="E297" s="215"/>
      <c r="F297" s="247"/>
      <c r="G297" s="218"/>
    </row>
    <row r="298" spans="1:7" x14ac:dyDescent="0.2">
      <c r="A298" s="219" t="s">
        <v>1682</v>
      </c>
      <c r="B298" s="220"/>
      <c r="C298" s="249"/>
      <c r="D298" s="221" t="s">
        <v>1682</v>
      </c>
      <c r="E298" s="221"/>
      <c r="F298" s="222" t="s">
        <v>1682</v>
      </c>
      <c r="G298" s="224" t="s">
        <v>1682</v>
      </c>
    </row>
    <row r="299" spans="1:7" ht="13.5" thickBot="1" x14ac:dyDescent="0.25">
      <c r="A299" s="250" t="s">
        <v>977</v>
      </c>
      <c r="B299" s="251"/>
      <c r="C299" s="252"/>
      <c r="D299" s="252"/>
      <c r="E299" s="252"/>
      <c r="F299" s="251"/>
      <c r="G299" s="253">
        <f>SUM(G296:G298)</f>
        <v>2</v>
      </c>
    </row>
    <row r="300" spans="1:7" x14ac:dyDescent="0.2">
      <c r="A300" s="132"/>
      <c r="B300" s="132"/>
      <c r="C300" s="254"/>
      <c r="D300" s="198"/>
      <c r="E300" s="198"/>
      <c r="F300" s="255" t="s">
        <v>978</v>
      </c>
      <c r="G300" s="256">
        <f>G270+G278+G293+G299</f>
        <v>2103.4261999999999</v>
      </c>
    </row>
    <row r="301" spans="1:7" x14ac:dyDescent="0.2">
      <c r="A301" s="132"/>
      <c r="B301" s="132"/>
      <c r="C301" s="257"/>
      <c r="D301" s="239"/>
      <c r="E301" s="239"/>
      <c r="F301" s="258" t="s">
        <v>979</v>
      </c>
      <c r="G301" s="241"/>
    </row>
    <row r="302" spans="1:7" x14ac:dyDescent="0.2">
      <c r="A302" s="132"/>
      <c r="B302" s="132"/>
      <c r="C302" s="257"/>
      <c r="D302" s="239"/>
      <c r="E302" s="239"/>
      <c r="F302" s="258" t="s">
        <v>980</v>
      </c>
      <c r="G302" s="241"/>
    </row>
    <row r="303" spans="1:7" x14ac:dyDescent="0.2">
      <c r="A303" s="132"/>
      <c r="B303" s="132"/>
      <c r="C303" s="257"/>
      <c r="D303" s="239"/>
      <c r="E303" s="239"/>
      <c r="F303" s="259" t="s">
        <v>1670</v>
      </c>
      <c r="G303" s="260"/>
    </row>
    <row r="304" spans="1:7" ht="13.5" thickBot="1" x14ac:dyDescent="0.25">
      <c r="A304" s="193"/>
      <c r="B304" s="132"/>
      <c r="C304" s="261"/>
      <c r="D304" s="251"/>
      <c r="E304" s="251"/>
      <c r="F304" s="262" t="s">
        <v>1650</v>
      </c>
      <c r="G304" s="263"/>
    </row>
    <row r="305" spans="1:7" ht="15.75" x14ac:dyDescent="0.2">
      <c r="A305" s="186" t="s">
        <v>1701</v>
      </c>
      <c r="B305" s="132"/>
      <c r="C305" s="187" t="s">
        <v>742</v>
      </c>
      <c r="D305" s="132"/>
      <c r="E305" s="132"/>
      <c r="F305" s="188"/>
      <c r="G305" s="132"/>
    </row>
    <row r="306" spans="1:7" ht="15.75" x14ac:dyDescent="0.2">
      <c r="A306" s="186" t="s">
        <v>1700</v>
      </c>
      <c r="B306" s="189" t="s">
        <v>963</v>
      </c>
      <c r="C306" s="188"/>
      <c r="D306" s="132"/>
      <c r="E306" s="132"/>
      <c r="F306" s="190"/>
      <c r="G306" s="191"/>
    </row>
    <row r="307" spans="1:7" ht="14.25" x14ac:dyDescent="0.2">
      <c r="A307" s="189"/>
      <c r="B307" s="189"/>
      <c r="C307" s="187"/>
      <c r="D307" s="189"/>
      <c r="E307" s="189"/>
      <c r="F307" s="189"/>
      <c r="G307" s="189"/>
    </row>
    <row r="308" spans="1:7" ht="15.75" x14ac:dyDescent="0.2">
      <c r="A308" s="186" t="s">
        <v>1697</v>
      </c>
      <c r="B308" s="189"/>
      <c r="C308" s="188"/>
      <c r="D308" s="132"/>
      <c r="E308" s="132"/>
      <c r="F308" s="132"/>
      <c r="G308" s="132"/>
    </row>
    <row r="309" spans="1:7" ht="15" x14ac:dyDescent="0.2">
      <c r="A309" s="192"/>
      <c r="B309" s="189"/>
      <c r="C309" s="187"/>
      <c r="D309" s="189"/>
      <c r="E309" s="189"/>
      <c r="F309" s="189"/>
      <c r="G309" s="189"/>
    </row>
    <row r="310" spans="1:7" ht="14.25" x14ac:dyDescent="0.2">
      <c r="A310" s="193" t="s">
        <v>594</v>
      </c>
      <c r="B310" s="194">
        <v>8</v>
      </c>
      <c r="C310" s="188"/>
      <c r="D310" s="188"/>
      <c r="E310" s="188"/>
      <c r="F310" s="195" t="s">
        <v>1696</v>
      </c>
      <c r="G310" s="189" t="s">
        <v>1506</v>
      </c>
    </row>
    <row r="311" spans="1:7" ht="14.25" x14ac:dyDescent="0.2">
      <c r="A311" s="196" t="s">
        <v>964</v>
      </c>
      <c r="B311" s="194" t="s">
        <v>1070</v>
      </c>
      <c r="C311" s="188"/>
      <c r="D311" s="132"/>
      <c r="E311" s="132"/>
      <c r="F311" s="132"/>
      <c r="G311" s="132"/>
    </row>
    <row r="312" spans="1:7" ht="15" thickBot="1" x14ac:dyDescent="0.25">
      <c r="A312" s="187"/>
      <c r="B312" s="187"/>
      <c r="C312" s="187"/>
      <c r="D312" s="189"/>
      <c r="E312" s="189"/>
      <c r="F312" s="189"/>
      <c r="G312" s="189"/>
    </row>
    <row r="313" spans="1:7" x14ac:dyDescent="0.2">
      <c r="A313" s="197" t="s">
        <v>1695</v>
      </c>
      <c r="B313" s="198"/>
      <c r="C313" s="199"/>
      <c r="D313" s="198"/>
      <c r="E313" s="198"/>
      <c r="F313" s="198"/>
      <c r="G313" s="200"/>
    </row>
    <row r="314" spans="1:7" ht="25.5" x14ac:dyDescent="0.2">
      <c r="A314" s="202" t="s">
        <v>1409</v>
      </c>
      <c r="B314" s="203"/>
      <c r="C314" s="204" t="s">
        <v>966</v>
      </c>
      <c r="D314" s="205" t="s">
        <v>1694</v>
      </c>
      <c r="E314" s="205" t="s">
        <v>1693</v>
      </c>
      <c r="F314" s="206" t="s">
        <v>1687</v>
      </c>
      <c r="G314" s="207" t="s">
        <v>967</v>
      </c>
    </row>
    <row r="315" spans="1:7" x14ac:dyDescent="0.2">
      <c r="A315" s="208" t="s">
        <v>1468</v>
      </c>
      <c r="B315" s="209"/>
      <c r="C315" s="210">
        <v>1</v>
      </c>
      <c r="D315" s="211">
        <v>2.5</v>
      </c>
      <c r="E315" s="211">
        <f>C315*D315</f>
        <v>2.5</v>
      </c>
      <c r="F315" s="212">
        <v>0.3</v>
      </c>
      <c r="G315" s="213">
        <f>E315*F315</f>
        <v>0.75</v>
      </c>
    </row>
    <row r="316" spans="1:7" x14ac:dyDescent="0.2">
      <c r="A316" s="214"/>
      <c r="B316" s="132"/>
      <c r="C316" s="215"/>
      <c r="D316" s="216"/>
      <c r="E316" s="216"/>
      <c r="F316" s="217"/>
      <c r="G316" s="218"/>
    </row>
    <row r="317" spans="1:7" x14ac:dyDescent="0.2">
      <c r="A317" s="219" t="s">
        <v>1682</v>
      </c>
      <c r="B317" s="220"/>
      <c r="C317" s="221"/>
      <c r="D317" s="222" t="s">
        <v>1682</v>
      </c>
      <c r="E317" s="222" t="s">
        <v>1682</v>
      </c>
      <c r="F317" s="223"/>
      <c r="G317" s="224" t="s">
        <v>1682</v>
      </c>
    </row>
    <row r="318" spans="1:7" x14ac:dyDescent="0.2">
      <c r="A318" s="219" t="s">
        <v>968</v>
      </c>
      <c r="B318" s="220"/>
      <c r="C318" s="225"/>
      <c r="D318" s="220"/>
      <c r="E318" s="220"/>
      <c r="F318" s="226"/>
      <c r="G318" s="224">
        <f>SUM(G315:G317)</f>
        <v>0.75</v>
      </c>
    </row>
    <row r="319" spans="1:7" x14ac:dyDescent="0.2">
      <c r="A319" s="227" t="s">
        <v>1503</v>
      </c>
      <c r="B319" s="132"/>
      <c r="C319" s="188"/>
      <c r="D319" s="132"/>
      <c r="E319" s="132"/>
      <c r="F319" s="228"/>
      <c r="G319" s="218"/>
    </row>
    <row r="320" spans="1:7" ht="25.5" x14ac:dyDescent="0.2">
      <c r="A320" s="229" t="s">
        <v>1691</v>
      </c>
      <c r="B320" s="230"/>
      <c r="C320" s="231" t="s">
        <v>969</v>
      </c>
      <c r="D320" s="232" t="s">
        <v>1689</v>
      </c>
      <c r="E320" s="232" t="s">
        <v>1688</v>
      </c>
      <c r="F320" s="233" t="s">
        <v>1687</v>
      </c>
      <c r="G320" s="234" t="s">
        <v>1686</v>
      </c>
    </row>
    <row r="321" spans="1:7" x14ac:dyDescent="0.2">
      <c r="A321" s="235" t="s">
        <v>970</v>
      </c>
      <c r="B321" s="132"/>
      <c r="C321" s="236">
        <v>1</v>
      </c>
      <c r="D321" s="237">
        <v>2.16</v>
      </c>
      <c r="E321" s="216">
        <v>2.16</v>
      </c>
      <c r="F321" s="217">
        <v>3.69</v>
      </c>
      <c r="G321" s="218">
        <f>E321*F321</f>
        <v>7.9704000000000006</v>
      </c>
    </row>
    <row r="322" spans="1:7" x14ac:dyDescent="0.2">
      <c r="A322" s="235" t="s">
        <v>971</v>
      </c>
      <c r="B322" s="132"/>
      <c r="C322" s="236">
        <v>1</v>
      </c>
      <c r="D322" s="237">
        <v>2.13</v>
      </c>
      <c r="E322" s="216">
        <f>C322*D322</f>
        <v>2.13</v>
      </c>
      <c r="F322" s="217">
        <v>2.73</v>
      </c>
      <c r="G322" s="218">
        <f>E322*F322</f>
        <v>5.8148999999999997</v>
      </c>
    </row>
    <row r="323" spans="1:7" x14ac:dyDescent="0.2">
      <c r="A323" s="235" t="s">
        <v>590</v>
      </c>
      <c r="B323" s="132"/>
      <c r="C323" s="236">
        <v>1</v>
      </c>
      <c r="D323" s="237">
        <v>2.13</v>
      </c>
      <c r="E323" s="216">
        <f>C323*D323</f>
        <v>2.13</v>
      </c>
      <c r="F323" s="217">
        <v>1.95</v>
      </c>
      <c r="G323" s="218">
        <f>E323*F323</f>
        <v>4.1534999999999993</v>
      </c>
    </row>
    <row r="324" spans="1:7" x14ac:dyDescent="0.2">
      <c r="A324" s="235"/>
      <c r="B324" s="132"/>
      <c r="C324" s="236"/>
      <c r="D324" s="237"/>
      <c r="E324" s="216"/>
      <c r="F324" s="217"/>
      <c r="G324" s="218"/>
    </row>
    <row r="325" spans="1:7" x14ac:dyDescent="0.2">
      <c r="A325" s="219" t="s">
        <v>1682</v>
      </c>
      <c r="B325" s="220"/>
      <c r="C325" s="221"/>
      <c r="D325" s="222" t="s">
        <v>1682</v>
      </c>
      <c r="E325" s="222" t="s">
        <v>1682</v>
      </c>
      <c r="F325" s="223"/>
      <c r="G325" s="224" t="s">
        <v>1682</v>
      </c>
    </row>
    <row r="326" spans="1:7" x14ac:dyDescent="0.2">
      <c r="A326" s="238" t="s">
        <v>1681</v>
      </c>
      <c r="B326" s="239"/>
      <c r="C326" s="240"/>
      <c r="D326" s="239"/>
      <c r="E326" s="239"/>
      <c r="F326" s="239"/>
      <c r="G326" s="241">
        <f>SUM(G321:G325)</f>
        <v>17.938800000000001</v>
      </c>
    </row>
    <row r="327" spans="1:7" x14ac:dyDescent="0.2">
      <c r="A327" s="227" t="s">
        <v>1684</v>
      </c>
      <c r="B327" s="132"/>
      <c r="C327" s="188"/>
      <c r="D327" s="132"/>
      <c r="E327" s="132"/>
      <c r="F327" s="132"/>
      <c r="G327" s="218"/>
    </row>
    <row r="328" spans="1:7" ht="25.5" x14ac:dyDescent="0.2">
      <c r="A328" s="229" t="s">
        <v>1409</v>
      </c>
      <c r="B328" s="242"/>
      <c r="C328" s="243"/>
      <c r="D328" s="232" t="s">
        <v>1408</v>
      </c>
      <c r="E328" s="231" t="s">
        <v>1679</v>
      </c>
      <c r="F328" s="232" t="s">
        <v>1683</v>
      </c>
      <c r="G328" s="234" t="s">
        <v>1675</v>
      </c>
    </row>
    <row r="329" spans="1:7" x14ac:dyDescent="0.2">
      <c r="A329" s="244" t="s">
        <v>1071</v>
      </c>
      <c r="B329" s="132"/>
      <c r="C329" s="188"/>
      <c r="D329" s="215" t="s">
        <v>1506</v>
      </c>
      <c r="E329" s="215">
        <v>1</v>
      </c>
      <c r="F329" s="216">
        <v>115</v>
      </c>
      <c r="G329" s="218">
        <f>E329*F329</f>
        <v>115</v>
      </c>
    </row>
    <row r="330" spans="1:7" x14ac:dyDescent="0.2">
      <c r="A330" s="244" t="s">
        <v>1072</v>
      </c>
      <c r="B330" s="132"/>
      <c r="C330" s="188"/>
      <c r="D330" s="215"/>
      <c r="E330" s="215"/>
      <c r="F330" s="216"/>
      <c r="G330" s="218"/>
    </row>
    <row r="331" spans="1:7" x14ac:dyDescent="0.2">
      <c r="A331" s="244" t="s">
        <v>1073</v>
      </c>
      <c r="B331" s="132"/>
      <c r="C331" s="188"/>
      <c r="D331" s="215"/>
      <c r="E331" s="215"/>
      <c r="F331" s="216"/>
      <c r="G331" s="218"/>
    </row>
    <row r="332" spans="1:7" x14ac:dyDescent="0.2">
      <c r="A332" s="214" t="s">
        <v>1074</v>
      </c>
      <c r="B332" s="132"/>
      <c r="C332" s="188"/>
      <c r="D332" s="215"/>
      <c r="E332" s="215"/>
      <c r="F332" s="216"/>
      <c r="G332" s="218"/>
    </row>
    <row r="333" spans="1:7" x14ac:dyDescent="0.2">
      <c r="A333" s="214"/>
      <c r="B333" s="132"/>
      <c r="C333" s="245"/>
      <c r="D333" s="215"/>
      <c r="E333" s="215"/>
      <c r="F333" s="216"/>
      <c r="G333" s="218"/>
    </row>
    <row r="334" spans="1:7" x14ac:dyDescent="0.2">
      <c r="A334" s="214"/>
      <c r="B334" s="132"/>
      <c r="C334" s="245"/>
      <c r="D334" s="215"/>
      <c r="E334" s="215"/>
      <c r="F334" s="216"/>
      <c r="G334" s="218"/>
    </row>
    <row r="335" spans="1:7" x14ac:dyDescent="0.2">
      <c r="A335" s="238" t="s">
        <v>1692</v>
      </c>
      <c r="B335" s="239"/>
      <c r="C335" s="240"/>
      <c r="D335" s="240"/>
      <c r="E335" s="240"/>
      <c r="F335" s="239"/>
      <c r="G335" s="241">
        <f>SUM(G329:G334)</f>
        <v>115</v>
      </c>
    </row>
    <row r="336" spans="1:7" x14ac:dyDescent="0.2">
      <c r="A336" s="227" t="s">
        <v>1680</v>
      </c>
      <c r="B336" s="132"/>
      <c r="C336" s="188"/>
      <c r="D336" s="132"/>
      <c r="E336" s="188"/>
      <c r="F336" s="132"/>
      <c r="G336" s="218"/>
    </row>
    <row r="337" spans="1:7" ht="25.5" x14ac:dyDescent="0.2">
      <c r="A337" s="229" t="s">
        <v>1409</v>
      </c>
      <c r="B337" s="242"/>
      <c r="C337" s="243"/>
      <c r="D337" s="232" t="s">
        <v>1408</v>
      </c>
      <c r="E337" s="231" t="s">
        <v>1679</v>
      </c>
      <c r="F337" s="232" t="s">
        <v>1676</v>
      </c>
      <c r="G337" s="234" t="s">
        <v>1675</v>
      </c>
    </row>
    <row r="338" spans="1:7" x14ac:dyDescent="0.2">
      <c r="A338" s="208" t="s">
        <v>975</v>
      </c>
      <c r="B338" s="209"/>
      <c r="C338" s="246"/>
      <c r="D338" s="215" t="s">
        <v>976</v>
      </c>
      <c r="E338" s="215">
        <v>0.15</v>
      </c>
      <c r="F338" s="247">
        <v>5</v>
      </c>
      <c r="G338" s="218">
        <f>E338*F338</f>
        <v>0.75</v>
      </c>
    </row>
    <row r="339" spans="1:7" x14ac:dyDescent="0.2">
      <c r="A339" s="214"/>
      <c r="B339" s="132"/>
      <c r="C339" s="248"/>
      <c r="D339" s="215"/>
      <c r="E339" s="215"/>
      <c r="F339" s="247"/>
      <c r="G339" s="218"/>
    </row>
    <row r="340" spans="1:7" x14ac:dyDescent="0.2">
      <c r="A340" s="219" t="s">
        <v>1682</v>
      </c>
      <c r="B340" s="220"/>
      <c r="C340" s="249"/>
      <c r="D340" s="221" t="s">
        <v>1682</v>
      </c>
      <c r="E340" s="221"/>
      <c r="F340" s="222" t="s">
        <v>1682</v>
      </c>
      <c r="G340" s="224" t="s">
        <v>1682</v>
      </c>
    </row>
    <row r="341" spans="1:7" ht="13.5" thickBot="1" x14ac:dyDescent="0.25">
      <c r="A341" s="250" t="s">
        <v>977</v>
      </c>
      <c r="B341" s="251"/>
      <c r="C341" s="252"/>
      <c r="D341" s="252"/>
      <c r="E341" s="252"/>
      <c r="F341" s="251"/>
      <c r="G341" s="253">
        <f>SUM(G338:G340)</f>
        <v>0.75</v>
      </c>
    </row>
    <row r="342" spans="1:7" x14ac:dyDescent="0.2">
      <c r="A342" s="132"/>
      <c r="B342" s="132"/>
      <c r="C342" s="254"/>
      <c r="D342" s="198"/>
      <c r="E342" s="198"/>
      <c r="F342" s="255" t="s">
        <v>978</v>
      </c>
      <c r="G342" s="256">
        <f>G318+G326+G335+G341</f>
        <v>134.43880000000001</v>
      </c>
    </row>
    <row r="343" spans="1:7" x14ac:dyDescent="0.2">
      <c r="A343" s="132"/>
      <c r="B343" s="132"/>
      <c r="C343" s="257"/>
      <c r="D343" s="239"/>
      <c r="E343" s="239"/>
      <c r="F343" s="258" t="s">
        <v>979</v>
      </c>
      <c r="G343" s="241"/>
    </row>
    <row r="344" spans="1:7" x14ac:dyDescent="0.2">
      <c r="A344" s="132"/>
      <c r="B344" s="132"/>
      <c r="C344" s="257"/>
      <c r="D344" s="239"/>
      <c r="E344" s="239"/>
      <c r="F344" s="258" t="s">
        <v>980</v>
      </c>
      <c r="G344" s="241"/>
    </row>
    <row r="345" spans="1:7" x14ac:dyDescent="0.2">
      <c r="A345" s="132"/>
      <c r="B345" s="132"/>
      <c r="C345" s="257"/>
      <c r="D345" s="239"/>
      <c r="E345" s="239"/>
      <c r="F345" s="259" t="s">
        <v>1670</v>
      </c>
      <c r="G345" s="260"/>
    </row>
    <row r="346" spans="1:7" ht="13.5" thickBot="1" x14ac:dyDescent="0.25">
      <c r="A346" s="193"/>
      <c r="B346" s="132"/>
      <c r="C346" s="261"/>
      <c r="D346" s="251"/>
      <c r="E346" s="251"/>
      <c r="F346" s="262" t="s">
        <v>1650</v>
      </c>
      <c r="G346" s="263"/>
    </row>
    <row r="347" spans="1:7" ht="15.75" x14ac:dyDescent="0.2">
      <c r="A347" s="186" t="s">
        <v>1701</v>
      </c>
      <c r="B347" s="132"/>
      <c r="C347" s="187" t="s">
        <v>742</v>
      </c>
      <c r="D347" s="132"/>
      <c r="E347" s="132"/>
      <c r="F347" s="188"/>
      <c r="G347" s="132"/>
    </row>
    <row r="348" spans="1:7" ht="15.75" x14ac:dyDescent="0.2">
      <c r="A348" s="186" t="s">
        <v>1700</v>
      </c>
      <c r="B348" s="189" t="s">
        <v>963</v>
      </c>
      <c r="C348" s="188"/>
      <c r="D348" s="132"/>
      <c r="E348" s="132"/>
      <c r="F348" s="190"/>
      <c r="G348" s="191"/>
    </row>
    <row r="349" spans="1:7" ht="14.25" x14ac:dyDescent="0.2">
      <c r="A349" s="189"/>
      <c r="B349" s="189"/>
      <c r="C349" s="187"/>
      <c r="D349" s="189"/>
      <c r="E349" s="189"/>
      <c r="F349" s="189"/>
      <c r="G349" s="189"/>
    </row>
    <row r="350" spans="1:7" ht="15.75" x14ac:dyDescent="0.2">
      <c r="A350" s="186" t="s">
        <v>1697</v>
      </c>
      <c r="B350" s="189"/>
      <c r="C350" s="188"/>
      <c r="D350" s="132"/>
      <c r="E350" s="132"/>
      <c r="F350" s="132"/>
      <c r="G350" s="132"/>
    </row>
    <row r="351" spans="1:7" ht="15" x14ac:dyDescent="0.2">
      <c r="A351" s="192"/>
      <c r="B351" s="189"/>
      <c r="C351" s="187"/>
      <c r="D351" s="189"/>
      <c r="E351" s="189"/>
      <c r="F351" s="189"/>
      <c r="G351" s="189"/>
    </row>
    <row r="352" spans="1:7" ht="14.25" x14ac:dyDescent="0.2">
      <c r="A352" s="193" t="s">
        <v>594</v>
      </c>
      <c r="B352" s="194">
        <v>9</v>
      </c>
      <c r="C352" s="188"/>
      <c r="D352" s="188"/>
      <c r="E352" s="188"/>
      <c r="F352" s="195" t="s">
        <v>1696</v>
      </c>
      <c r="G352" s="189" t="s">
        <v>1506</v>
      </c>
    </row>
    <row r="353" spans="1:7" ht="14.25" x14ac:dyDescent="0.2">
      <c r="A353" s="196" t="s">
        <v>964</v>
      </c>
      <c r="B353" s="194" t="s">
        <v>1075</v>
      </c>
      <c r="C353" s="188"/>
      <c r="D353" s="132"/>
      <c r="E353" s="132"/>
      <c r="F353" s="132"/>
      <c r="G353" s="132"/>
    </row>
    <row r="354" spans="1:7" ht="15" thickBot="1" x14ac:dyDescent="0.25">
      <c r="A354" s="187"/>
      <c r="B354" s="187"/>
      <c r="C354" s="187"/>
      <c r="D354" s="189"/>
      <c r="E354" s="189"/>
      <c r="F354" s="189"/>
      <c r="G354" s="189"/>
    </row>
    <row r="355" spans="1:7" x14ac:dyDescent="0.2">
      <c r="A355" s="197" t="s">
        <v>1695</v>
      </c>
      <c r="B355" s="198"/>
      <c r="C355" s="199"/>
      <c r="D355" s="198"/>
      <c r="E355" s="198"/>
      <c r="F355" s="198"/>
      <c r="G355" s="200"/>
    </row>
    <row r="356" spans="1:7" ht="25.5" x14ac:dyDescent="0.2">
      <c r="A356" s="202" t="s">
        <v>1409</v>
      </c>
      <c r="B356" s="203"/>
      <c r="C356" s="204" t="s">
        <v>966</v>
      </c>
      <c r="D356" s="205" t="s">
        <v>1694</v>
      </c>
      <c r="E356" s="205" t="s">
        <v>1693</v>
      </c>
      <c r="F356" s="206" t="s">
        <v>1687</v>
      </c>
      <c r="G356" s="207" t="s">
        <v>967</v>
      </c>
    </row>
    <row r="357" spans="1:7" x14ac:dyDescent="0.2">
      <c r="A357" s="208" t="s">
        <v>1468</v>
      </c>
      <c r="B357" s="209"/>
      <c r="C357" s="210">
        <v>1</v>
      </c>
      <c r="D357" s="211">
        <v>2.5</v>
      </c>
      <c r="E357" s="211">
        <f>C357*D357</f>
        <v>2.5</v>
      </c>
      <c r="F357" s="212">
        <v>0.3</v>
      </c>
      <c r="G357" s="213">
        <f>E357*F357</f>
        <v>0.75</v>
      </c>
    </row>
    <row r="358" spans="1:7" x14ac:dyDescent="0.2">
      <c r="A358" s="214"/>
      <c r="B358" s="132"/>
      <c r="C358" s="215"/>
      <c r="D358" s="216"/>
      <c r="E358" s="216"/>
      <c r="F358" s="217"/>
      <c r="G358" s="218"/>
    </row>
    <row r="359" spans="1:7" x14ac:dyDescent="0.2">
      <c r="A359" s="219" t="s">
        <v>1682</v>
      </c>
      <c r="B359" s="220"/>
      <c r="C359" s="221"/>
      <c r="D359" s="222" t="s">
        <v>1682</v>
      </c>
      <c r="E359" s="222" t="s">
        <v>1682</v>
      </c>
      <c r="F359" s="223"/>
      <c r="G359" s="224" t="s">
        <v>1682</v>
      </c>
    </row>
    <row r="360" spans="1:7" x14ac:dyDescent="0.2">
      <c r="A360" s="219" t="s">
        <v>968</v>
      </c>
      <c r="B360" s="220"/>
      <c r="C360" s="225"/>
      <c r="D360" s="220"/>
      <c r="E360" s="220"/>
      <c r="F360" s="226"/>
      <c r="G360" s="224">
        <f>SUM(G357:G359)</f>
        <v>0.75</v>
      </c>
    </row>
    <row r="361" spans="1:7" x14ac:dyDescent="0.2">
      <c r="A361" s="227" t="s">
        <v>1503</v>
      </c>
      <c r="B361" s="132"/>
      <c r="C361" s="188"/>
      <c r="D361" s="132"/>
      <c r="E361" s="132"/>
      <c r="F361" s="228"/>
      <c r="G361" s="218"/>
    </row>
    <row r="362" spans="1:7" ht="25.5" x14ac:dyDescent="0.2">
      <c r="A362" s="229" t="s">
        <v>1691</v>
      </c>
      <c r="B362" s="230"/>
      <c r="C362" s="231" t="s">
        <v>969</v>
      </c>
      <c r="D362" s="232" t="s">
        <v>1689</v>
      </c>
      <c r="E362" s="232" t="s">
        <v>1688</v>
      </c>
      <c r="F362" s="233" t="s">
        <v>1687</v>
      </c>
      <c r="G362" s="234" t="s">
        <v>1686</v>
      </c>
    </row>
    <row r="363" spans="1:7" x14ac:dyDescent="0.2">
      <c r="A363" s="235" t="s">
        <v>970</v>
      </c>
      <c r="B363" s="132"/>
      <c r="C363" s="236">
        <v>1</v>
      </c>
      <c r="D363" s="237">
        <v>2.16</v>
      </c>
      <c r="E363" s="216">
        <v>2.16</v>
      </c>
      <c r="F363" s="217">
        <v>3.69</v>
      </c>
      <c r="G363" s="218">
        <f>E363*F363</f>
        <v>7.9704000000000006</v>
      </c>
    </row>
    <row r="364" spans="1:7" x14ac:dyDescent="0.2">
      <c r="A364" s="235" t="s">
        <v>971</v>
      </c>
      <c r="B364" s="132"/>
      <c r="C364" s="236">
        <v>1</v>
      </c>
      <c r="D364" s="237">
        <v>2.13</v>
      </c>
      <c r="E364" s="216">
        <f>C364*D364</f>
        <v>2.13</v>
      </c>
      <c r="F364" s="217">
        <v>2.73</v>
      </c>
      <c r="G364" s="218">
        <f>E364*F364</f>
        <v>5.8148999999999997</v>
      </c>
    </row>
    <row r="365" spans="1:7" x14ac:dyDescent="0.2">
      <c r="A365" s="235" t="s">
        <v>590</v>
      </c>
      <c r="B365" s="132"/>
      <c r="C365" s="236">
        <v>1</v>
      </c>
      <c r="D365" s="237">
        <v>2.13</v>
      </c>
      <c r="E365" s="216">
        <f>C365*D365</f>
        <v>2.13</v>
      </c>
      <c r="F365" s="217">
        <v>1.95</v>
      </c>
      <c r="G365" s="218">
        <f>E365*F365</f>
        <v>4.1534999999999993</v>
      </c>
    </row>
    <row r="366" spans="1:7" x14ac:dyDescent="0.2">
      <c r="A366" s="235"/>
      <c r="B366" s="132"/>
      <c r="C366" s="236"/>
      <c r="D366" s="237"/>
      <c r="E366" s="216"/>
      <c r="F366" s="217"/>
      <c r="G366" s="218"/>
    </row>
    <row r="367" spans="1:7" x14ac:dyDescent="0.2">
      <c r="A367" s="219" t="s">
        <v>1682</v>
      </c>
      <c r="B367" s="220"/>
      <c r="C367" s="221"/>
      <c r="D367" s="222" t="s">
        <v>1682</v>
      </c>
      <c r="E367" s="222" t="s">
        <v>1682</v>
      </c>
      <c r="F367" s="223"/>
      <c r="G367" s="224" t="s">
        <v>1682</v>
      </c>
    </row>
    <row r="368" spans="1:7" x14ac:dyDescent="0.2">
      <c r="A368" s="238" t="s">
        <v>1681</v>
      </c>
      <c r="B368" s="239"/>
      <c r="C368" s="240"/>
      <c r="D368" s="239"/>
      <c r="E368" s="239"/>
      <c r="F368" s="239"/>
      <c r="G368" s="241">
        <f>SUM(G363:G367)</f>
        <v>17.938800000000001</v>
      </c>
    </row>
    <row r="369" spans="1:7" x14ac:dyDescent="0.2">
      <c r="A369" s="227" t="s">
        <v>1684</v>
      </c>
      <c r="B369" s="132"/>
      <c r="C369" s="188"/>
      <c r="D369" s="132"/>
      <c r="E369" s="132"/>
      <c r="F369" s="132"/>
      <c r="G369" s="218"/>
    </row>
    <row r="370" spans="1:7" ht="25.5" x14ac:dyDescent="0.2">
      <c r="A370" s="229" t="s">
        <v>1409</v>
      </c>
      <c r="B370" s="242"/>
      <c r="C370" s="243"/>
      <c r="D370" s="232" t="s">
        <v>1408</v>
      </c>
      <c r="E370" s="231" t="s">
        <v>1679</v>
      </c>
      <c r="F370" s="232" t="s">
        <v>1683</v>
      </c>
      <c r="G370" s="234" t="s">
        <v>1675</v>
      </c>
    </row>
    <row r="371" spans="1:7" x14ac:dyDescent="0.2">
      <c r="A371" s="244" t="s">
        <v>1076</v>
      </c>
      <c r="B371" s="132"/>
      <c r="C371" s="188"/>
      <c r="D371" s="215" t="s">
        <v>1506</v>
      </c>
      <c r="E371" s="215">
        <v>1</v>
      </c>
      <c r="F371" s="216">
        <v>115</v>
      </c>
      <c r="G371" s="218">
        <f>E371*F371</f>
        <v>115</v>
      </c>
    </row>
    <row r="372" spans="1:7" x14ac:dyDescent="0.2">
      <c r="A372" s="244" t="s">
        <v>1077</v>
      </c>
      <c r="B372" s="132"/>
      <c r="C372" s="188"/>
      <c r="D372" s="215"/>
      <c r="E372" s="215"/>
      <c r="F372" s="216"/>
      <c r="G372" s="218"/>
    </row>
    <row r="373" spans="1:7" x14ac:dyDescent="0.2">
      <c r="A373" s="244" t="s">
        <v>1078</v>
      </c>
      <c r="B373" s="132"/>
      <c r="C373" s="188"/>
      <c r="D373" s="215"/>
      <c r="E373" s="215"/>
      <c r="F373" s="216"/>
      <c r="G373" s="218"/>
    </row>
    <row r="374" spans="1:7" x14ac:dyDescent="0.2">
      <c r="A374" s="214" t="s">
        <v>1079</v>
      </c>
      <c r="B374" s="132"/>
      <c r="C374" s="188"/>
      <c r="D374" s="215"/>
      <c r="E374" s="215"/>
      <c r="F374" s="216"/>
      <c r="G374" s="218"/>
    </row>
    <row r="375" spans="1:7" x14ac:dyDescent="0.2">
      <c r="A375" s="214"/>
      <c r="B375" s="132"/>
      <c r="C375" s="245"/>
      <c r="D375" s="215"/>
      <c r="E375" s="215"/>
      <c r="F375" s="216"/>
      <c r="G375" s="218"/>
    </row>
    <row r="376" spans="1:7" x14ac:dyDescent="0.2">
      <c r="A376" s="214"/>
      <c r="B376" s="132"/>
      <c r="C376" s="245"/>
      <c r="D376" s="215"/>
      <c r="E376" s="215"/>
      <c r="F376" s="216"/>
      <c r="G376" s="218"/>
    </row>
    <row r="377" spans="1:7" x14ac:dyDescent="0.2">
      <c r="A377" s="238" t="s">
        <v>1692</v>
      </c>
      <c r="B377" s="239"/>
      <c r="C377" s="240"/>
      <c r="D377" s="240"/>
      <c r="E377" s="240"/>
      <c r="F377" s="239"/>
      <c r="G377" s="241">
        <f>SUM(G371:G376)</f>
        <v>115</v>
      </c>
    </row>
    <row r="378" spans="1:7" x14ac:dyDescent="0.2">
      <c r="A378" s="227" t="s">
        <v>1680</v>
      </c>
      <c r="B378" s="132"/>
      <c r="C378" s="188"/>
      <c r="D378" s="132"/>
      <c r="E378" s="188"/>
      <c r="F378" s="132"/>
      <c r="G378" s="218"/>
    </row>
    <row r="379" spans="1:7" ht="25.5" x14ac:dyDescent="0.2">
      <c r="A379" s="229" t="s">
        <v>1409</v>
      </c>
      <c r="B379" s="242"/>
      <c r="C379" s="243"/>
      <c r="D379" s="232" t="s">
        <v>1408</v>
      </c>
      <c r="E379" s="231" t="s">
        <v>1679</v>
      </c>
      <c r="F379" s="232" t="s">
        <v>1676</v>
      </c>
      <c r="G379" s="234" t="s">
        <v>1675</v>
      </c>
    </row>
    <row r="380" spans="1:7" x14ac:dyDescent="0.2">
      <c r="A380" s="208" t="s">
        <v>975</v>
      </c>
      <c r="B380" s="209"/>
      <c r="C380" s="246"/>
      <c r="D380" s="215" t="s">
        <v>976</v>
      </c>
      <c r="E380" s="215">
        <v>0.15</v>
      </c>
      <c r="F380" s="247">
        <v>5</v>
      </c>
      <c r="G380" s="218">
        <f>E380*F380</f>
        <v>0.75</v>
      </c>
    </row>
    <row r="381" spans="1:7" x14ac:dyDescent="0.2">
      <c r="A381" s="214"/>
      <c r="B381" s="132"/>
      <c r="C381" s="248"/>
      <c r="D381" s="215"/>
      <c r="E381" s="215"/>
      <c r="F381" s="247"/>
      <c r="G381" s="218"/>
    </row>
    <row r="382" spans="1:7" x14ac:dyDescent="0.2">
      <c r="A382" s="219" t="s">
        <v>1682</v>
      </c>
      <c r="B382" s="220"/>
      <c r="C382" s="249"/>
      <c r="D382" s="221" t="s">
        <v>1682</v>
      </c>
      <c r="E382" s="221"/>
      <c r="F382" s="222" t="s">
        <v>1682</v>
      </c>
      <c r="G382" s="224" t="s">
        <v>1682</v>
      </c>
    </row>
    <row r="383" spans="1:7" ht="13.5" thickBot="1" x14ac:dyDescent="0.25">
      <c r="A383" s="250" t="s">
        <v>977</v>
      </c>
      <c r="B383" s="251"/>
      <c r="C383" s="252"/>
      <c r="D383" s="252"/>
      <c r="E383" s="252"/>
      <c r="F383" s="251"/>
      <c r="G383" s="253">
        <f>SUM(G380:G382)</f>
        <v>0.75</v>
      </c>
    </row>
    <row r="384" spans="1:7" x14ac:dyDescent="0.2">
      <c r="A384" s="132"/>
      <c r="B384" s="132"/>
      <c r="C384" s="254"/>
      <c r="D384" s="198"/>
      <c r="E384" s="198"/>
      <c r="F384" s="255" t="s">
        <v>978</v>
      </c>
      <c r="G384" s="256">
        <f>G360+G368+G377+G383</f>
        <v>134.43880000000001</v>
      </c>
    </row>
    <row r="385" spans="1:7" x14ac:dyDescent="0.2">
      <c r="A385" s="132"/>
      <c r="B385" s="132"/>
      <c r="C385" s="257"/>
      <c r="D385" s="239"/>
      <c r="E385" s="239"/>
      <c r="F385" s="258" t="s">
        <v>979</v>
      </c>
      <c r="G385" s="241"/>
    </row>
    <row r="386" spans="1:7" x14ac:dyDescent="0.2">
      <c r="A386" s="132"/>
      <c r="B386" s="132"/>
      <c r="C386" s="257"/>
      <c r="D386" s="239"/>
      <c r="E386" s="239"/>
      <c r="F386" s="258" t="s">
        <v>980</v>
      </c>
      <c r="G386" s="241"/>
    </row>
    <row r="387" spans="1:7" x14ac:dyDescent="0.2">
      <c r="A387" s="132"/>
      <c r="B387" s="132"/>
      <c r="C387" s="257"/>
      <c r="D387" s="239"/>
      <c r="E387" s="239"/>
      <c r="F387" s="259" t="s">
        <v>1670</v>
      </c>
      <c r="G387" s="260"/>
    </row>
    <row r="388" spans="1:7" ht="13.5" thickBot="1" x14ac:dyDescent="0.25">
      <c r="A388" s="193"/>
      <c r="B388" s="132"/>
      <c r="C388" s="261"/>
      <c r="D388" s="251"/>
      <c r="E388" s="251"/>
      <c r="F388" s="262" t="s">
        <v>1650</v>
      </c>
      <c r="G388" s="263"/>
    </row>
    <row r="389" spans="1:7" ht="15.75" x14ac:dyDescent="0.2">
      <c r="A389" s="186" t="s">
        <v>1701</v>
      </c>
      <c r="B389" s="132"/>
      <c r="C389" s="187" t="s">
        <v>742</v>
      </c>
      <c r="D389" s="132"/>
      <c r="E389" s="132"/>
      <c r="F389" s="188"/>
      <c r="G389" s="132"/>
    </row>
    <row r="390" spans="1:7" ht="15.75" x14ac:dyDescent="0.2">
      <c r="A390" s="186" t="s">
        <v>1700</v>
      </c>
      <c r="B390" s="189" t="s">
        <v>963</v>
      </c>
      <c r="C390" s="188"/>
      <c r="D390" s="132"/>
      <c r="E390" s="132"/>
      <c r="F390" s="190"/>
      <c r="G390" s="191"/>
    </row>
    <row r="391" spans="1:7" ht="14.25" x14ac:dyDescent="0.2">
      <c r="A391" s="189"/>
      <c r="B391" s="189"/>
      <c r="C391" s="187"/>
      <c r="D391" s="189"/>
      <c r="E391" s="189"/>
      <c r="F391" s="189"/>
      <c r="G391" s="189"/>
    </row>
    <row r="392" spans="1:7" ht="15.75" x14ac:dyDescent="0.2">
      <c r="A392" s="186" t="s">
        <v>1697</v>
      </c>
      <c r="B392" s="189"/>
      <c r="C392" s="188"/>
      <c r="D392" s="132"/>
      <c r="E392" s="132"/>
      <c r="F392" s="132"/>
      <c r="G392" s="132"/>
    </row>
    <row r="393" spans="1:7" ht="15" x14ac:dyDescent="0.2">
      <c r="A393" s="192"/>
      <c r="B393" s="189"/>
      <c r="C393" s="187"/>
      <c r="D393" s="189"/>
      <c r="E393" s="189"/>
      <c r="F393" s="189"/>
      <c r="G393" s="189"/>
    </row>
    <row r="394" spans="1:7" ht="14.25" x14ac:dyDescent="0.2">
      <c r="A394" s="193" t="s">
        <v>594</v>
      </c>
      <c r="B394" s="194">
        <v>10</v>
      </c>
      <c r="C394" s="188"/>
      <c r="D394" s="188"/>
      <c r="E394" s="188"/>
      <c r="F394" s="195" t="s">
        <v>1696</v>
      </c>
      <c r="G394" s="189" t="s">
        <v>1506</v>
      </c>
    </row>
    <row r="395" spans="1:7" ht="14.25" x14ac:dyDescent="0.2">
      <c r="A395" s="196" t="s">
        <v>964</v>
      </c>
      <c r="B395" s="194" t="s">
        <v>1080</v>
      </c>
      <c r="C395" s="188"/>
      <c r="D395" s="132"/>
      <c r="E395" s="132"/>
      <c r="F395" s="132"/>
      <c r="G395" s="132"/>
    </row>
    <row r="396" spans="1:7" ht="15" thickBot="1" x14ac:dyDescent="0.25">
      <c r="A396" s="187"/>
      <c r="B396" s="187"/>
      <c r="C396" s="187"/>
      <c r="D396" s="189"/>
      <c r="E396" s="189"/>
      <c r="F396" s="189"/>
      <c r="G396" s="189"/>
    </row>
    <row r="397" spans="1:7" x14ac:dyDescent="0.2">
      <c r="A397" s="197" t="s">
        <v>1695</v>
      </c>
      <c r="B397" s="198"/>
      <c r="C397" s="199"/>
      <c r="D397" s="198"/>
      <c r="E397" s="198"/>
      <c r="F397" s="198"/>
      <c r="G397" s="200"/>
    </row>
    <row r="398" spans="1:7" ht="25.5" x14ac:dyDescent="0.2">
      <c r="A398" s="202" t="s">
        <v>1409</v>
      </c>
      <c r="B398" s="203"/>
      <c r="C398" s="204" t="s">
        <v>966</v>
      </c>
      <c r="D398" s="205" t="s">
        <v>1694</v>
      </c>
      <c r="E398" s="205" t="s">
        <v>1693</v>
      </c>
      <c r="F398" s="206" t="s">
        <v>1687</v>
      </c>
      <c r="G398" s="207" t="s">
        <v>967</v>
      </c>
    </row>
    <row r="399" spans="1:7" x14ac:dyDescent="0.2">
      <c r="A399" s="208" t="s">
        <v>1468</v>
      </c>
      <c r="B399" s="209"/>
      <c r="C399" s="210">
        <v>1</v>
      </c>
      <c r="D399" s="211">
        <v>2.5</v>
      </c>
      <c r="E399" s="211">
        <f>C399*D399</f>
        <v>2.5</v>
      </c>
      <c r="F399" s="212">
        <v>0.3</v>
      </c>
      <c r="G399" s="213">
        <f>E399*F399</f>
        <v>0.75</v>
      </c>
    </row>
    <row r="400" spans="1:7" x14ac:dyDescent="0.2">
      <c r="A400" s="214"/>
      <c r="B400" s="132"/>
      <c r="C400" s="215"/>
      <c r="D400" s="216"/>
      <c r="E400" s="216"/>
      <c r="F400" s="217"/>
      <c r="G400" s="218"/>
    </row>
    <row r="401" spans="1:7" x14ac:dyDescent="0.2">
      <c r="A401" s="219" t="s">
        <v>1682</v>
      </c>
      <c r="B401" s="220"/>
      <c r="C401" s="221"/>
      <c r="D401" s="222" t="s">
        <v>1682</v>
      </c>
      <c r="E401" s="222" t="s">
        <v>1682</v>
      </c>
      <c r="F401" s="223"/>
      <c r="G401" s="224" t="s">
        <v>1682</v>
      </c>
    </row>
    <row r="402" spans="1:7" x14ac:dyDescent="0.2">
      <c r="A402" s="219" t="s">
        <v>968</v>
      </c>
      <c r="B402" s="220"/>
      <c r="C402" s="225"/>
      <c r="D402" s="220"/>
      <c r="E402" s="220"/>
      <c r="F402" s="226"/>
      <c r="G402" s="224">
        <f>SUM(G399:G401)</f>
        <v>0.75</v>
      </c>
    </row>
    <row r="403" spans="1:7" x14ac:dyDescent="0.2">
      <c r="A403" s="227" t="s">
        <v>1503</v>
      </c>
      <c r="B403" s="132"/>
      <c r="C403" s="188"/>
      <c r="D403" s="132"/>
      <c r="E403" s="132"/>
      <c r="F403" s="228"/>
      <c r="G403" s="218"/>
    </row>
    <row r="404" spans="1:7" ht="25.5" x14ac:dyDescent="0.2">
      <c r="A404" s="229" t="s">
        <v>1691</v>
      </c>
      <c r="B404" s="230"/>
      <c r="C404" s="231" t="s">
        <v>969</v>
      </c>
      <c r="D404" s="232" t="s">
        <v>1689</v>
      </c>
      <c r="E404" s="232" t="s">
        <v>1688</v>
      </c>
      <c r="F404" s="233" t="s">
        <v>1687</v>
      </c>
      <c r="G404" s="234" t="s">
        <v>1686</v>
      </c>
    </row>
    <row r="405" spans="1:7" x14ac:dyDescent="0.2">
      <c r="A405" s="235" t="s">
        <v>970</v>
      </c>
      <c r="B405" s="132"/>
      <c r="C405" s="236">
        <v>1</v>
      </c>
      <c r="D405" s="237">
        <v>2.16</v>
      </c>
      <c r="E405" s="216">
        <v>2.16</v>
      </c>
      <c r="F405" s="217">
        <v>3.69</v>
      </c>
      <c r="G405" s="218">
        <f>E405*F405</f>
        <v>7.9704000000000006</v>
      </c>
    </row>
    <row r="406" spans="1:7" x14ac:dyDescent="0.2">
      <c r="A406" s="235" t="s">
        <v>971</v>
      </c>
      <c r="B406" s="132"/>
      <c r="C406" s="236">
        <v>1</v>
      </c>
      <c r="D406" s="237">
        <v>2.13</v>
      </c>
      <c r="E406" s="216">
        <f>C406*D406</f>
        <v>2.13</v>
      </c>
      <c r="F406" s="217">
        <v>2.73</v>
      </c>
      <c r="G406" s="218">
        <f>E406*F406</f>
        <v>5.8148999999999997</v>
      </c>
    </row>
    <row r="407" spans="1:7" x14ac:dyDescent="0.2">
      <c r="A407" s="235" t="s">
        <v>590</v>
      </c>
      <c r="B407" s="132"/>
      <c r="C407" s="236">
        <v>1</v>
      </c>
      <c r="D407" s="237">
        <v>2.13</v>
      </c>
      <c r="E407" s="216">
        <f>C407*D407</f>
        <v>2.13</v>
      </c>
      <c r="F407" s="217">
        <v>1.95</v>
      </c>
      <c r="G407" s="218">
        <f>E407*F407</f>
        <v>4.1534999999999993</v>
      </c>
    </row>
    <row r="408" spans="1:7" x14ac:dyDescent="0.2">
      <c r="A408" s="235"/>
      <c r="B408" s="132"/>
      <c r="C408" s="236"/>
      <c r="D408" s="237"/>
      <c r="E408" s="216"/>
      <c r="F408" s="217"/>
      <c r="G408" s="218"/>
    </row>
    <row r="409" spans="1:7" x14ac:dyDescent="0.2">
      <c r="A409" s="219" t="s">
        <v>1682</v>
      </c>
      <c r="B409" s="220"/>
      <c r="C409" s="221"/>
      <c r="D409" s="222" t="s">
        <v>1682</v>
      </c>
      <c r="E409" s="222" t="s">
        <v>1682</v>
      </c>
      <c r="F409" s="223"/>
      <c r="G409" s="224" t="s">
        <v>1682</v>
      </c>
    </row>
    <row r="410" spans="1:7" x14ac:dyDescent="0.2">
      <c r="A410" s="238" t="s">
        <v>1681</v>
      </c>
      <c r="B410" s="239"/>
      <c r="C410" s="240"/>
      <c r="D410" s="239"/>
      <c r="E410" s="239"/>
      <c r="F410" s="239"/>
      <c r="G410" s="241">
        <f>SUM(G405:G409)</f>
        <v>17.938800000000001</v>
      </c>
    </row>
    <row r="411" spans="1:7" x14ac:dyDescent="0.2">
      <c r="A411" s="227" t="s">
        <v>1684</v>
      </c>
      <c r="B411" s="132"/>
      <c r="C411" s="188"/>
      <c r="D411" s="132"/>
      <c r="E411" s="132"/>
      <c r="F411" s="132"/>
      <c r="G411" s="218"/>
    </row>
    <row r="412" spans="1:7" ht="25.5" x14ac:dyDescent="0.2">
      <c r="A412" s="229" t="s">
        <v>1409</v>
      </c>
      <c r="B412" s="242"/>
      <c r="C412" s="243"/>
      <c r="D412" s="232" t="s">
        <v>1408</v>
      </c>
      <c r="E412" s="231" t="s">
        <v>1679</v>
      </c>
      <c r="F412" s="232" t="s">
        <v>1683</v>
      </c>
      <c r="G412" s="234" t="s">
        <v>1675</v>
      </c>
    </row>
    <row r="413" spans="1:7" x14ac:dyDescent="0.2">
      <c r="A413" s="244" t="s">
        <v>1081</v>
      </c>
      <c r="B413" s="132"/>
      <c r="C413" s="188"/>
      <c r="D413" s="215" t="s">
        <v>1506</v>
      </c>
      <c r="E413" s="215">
        <v>1</v>
      </c>
      <c r="F413" s="216">
        <v>90</v>
      </c>
      <c r="G413" s="218">
        <f>E413*F413</f>
        <v>90</v>
      </c>
    </row>
    <row r="414" spans="1:7" x14ac:dyDescent="0.2">
      <c r="A414" s="244" t="s">
        <v>1082</v>
      </c>
      <c r="B414" s="132"/>
      <c r="C414" s="188"/>
      <c r="D414" s="215"/>
      <c r="E414" s="215"/>
      <c r="F414" s="216"/>
      <c r="G414" s="218"/>
    </row>
    <row r="415" spans="1:7" x14ac:dyDescent="0.2">
      <c r="A415" s="244" t="s">
        <v>1083</v>
      </c>
      <c r="B415" s="132"/>
      <c r="C415" s="188"/>
      <c r="D415" s="215"/>
      <c r="E415" s="215"/>
      <c r="F415" s="216"/>
      <c r="G415" s="218"/>
    </row>
    <row r="416" spans="1:7" x14ac:dyDescent="0.2">
      <c r="A416" s="214" t="s">
        <v>1084</v>
      </c>
      <c r="B416" s="132"/>
      <c r="C416" s="188"/>
      <c r="D416" s="215"/>
      <c r="E416" s="215"/>
      <c r="F416" s="216"/>
      <c r="G416" s="218"/>
    </row>
    <row r="417" spans="1:7" x14ac:dyDescent="0.2">
      <c r="A417" s="214" t="s">
        <v>1085</v>
      </c>
      <c r="B417" s="132"/>
      <c r="C417" s="188"/>
      <c r="D417" s="215"/>
      <c r="E417" s="215"/>
      <c r="F417" s="216"/>
      <c r="G417" s="218"/>
    </row>
    <row r="418" spans="1:7" x14ac:dyDescent="0.2">
      <c r="A418" s="214" t="s">
        <v>1086</v>
      </c>
      <c r="B418" s="132"/>
      <c r="C418" s="188"/>
      <c r="D418" s="215"/>
      <c r="E418" s="215"/>
      <c r="F418" s="216"/>
      <c r="G418" s="218"/>
    </row>
    <row r="419" spans="1:7" x14ac:dyDescent="0.2">
      <c r="A419" s="214" t="s">
        <v>1087</v>
      </c>
      <c r="B419" s="132"/>
      <c r="C419" s="188"/>
      <c r="D419" s="215"/>
      <c r="E419" s="215"/>
      <c r="F419" s="216"/>
      <c r="G419" s="218"/>
    </row>
    <row r="420" spans="1:7" x14ac:dyDescent="0.2">
      <c r="A420" s="214" t="s">
        <v>1088</v>
      </c>
      <c r="B420" s="132"/>
      <c r="C420" s="188"/>
      <c r="D420" s="215"/>
      <c r="E420" s="215"/>
      <c r="F420" s="216"/>
      <c r="G420" s="218"/>
    </row>
    <row r="421" spans="1:7" x14ac:dyDescent="0.2">
      <c r="A421" s="214"/>
      <c r="B421" s="132"/>
      <c r="C421" s="245"/>
      <c r="D421" s="215"/>
      <c r="E421" s="215"/>
      <c r="F421" s="216"/>
      <c r="G421" s="218"/>
    </row>
    <row r="422" spans="1:7" x14ac:dyDescent="0.2">
      <c r="A422" s="214"/>
      <c r="B422" s="132"/>
      <c r="C422" s="245"/>
      <c r="D422" s="215"/>
      <c r="E422" s="215"/>
      <c r="F422" s="216"/>
      <c r="G422" s="218"/>
    </row>
    <row r="423" spans="1:7" x14ac:dyDescent="0.2">
      <c r="A423" s="238" t="s">
        <v>1692</v>
      </c>
      <c r="B423" s="239"/>
      <c r="C423" s="240"/>
      <c r="D423" s="240"/>
      <c r="E423" s="240"/>
      <c r="F423" s="239"/>
      <c r="G423" s="241">
        <f>SUM(G413:G422)</f>
        <v>90</v>
      </c>
    </row>
    <row r="424" spans="1:7" x14ac:dyDescent="0.2">
      <c r="A424" s="227" t="s">
        <v>1680</v>
      </c>
      <c r="B424" s="132"/>
      <c r="C424" s="188"/>
      <c r="D424" s="132"/>
      <c r="E424" s="188"/>
      <c r="F424" s="132"/>
      <c r="G424" s="218"/>
    </row>
    <row r="425" spans="1:7" ht="25.5" x14ac:dyDescent="0.2">
      <c r="A425" s="229" t="s">
        <v>1409</v>
      </c>
      <c r="B425" s="242"/>
      <c r="C425" s="243"/>
      <c r="D425" s="232" t="s">
        <v>1408</v>
      </c>
      <c r="E425" s="231" t="s">
        <v>1679</v>
      </c>
      <c r="F425" s="232" t="s">
        <v>1676</v>
      </c>
      <c r="G425" s="234" t="s">
        <v>1675</v>
      </c>
    </row>
    <row r="426" spans="1:7" x14ac:dyDescent="0.2">
      <c r="A426" s="208" t="s">
        <v>975</v>
      </c>
      <c r="B426" s="209"/>
      <c r="C426" s="246"/>
      <c r="D426" s="215" t="s">
        <v>976</v>
      </c>
      <c r="E426" s="215">
        <v>0.15</v>
      </c>
      <c r="F426" s="247">
        <v>5</v>
      </c>
      <c r="G426" s="218">
        <f>E426*F426</f>
        <v>0.75</v>
      </c>
    </row>
    <row r="427" spans="1:7" x14ac:dyDescent="0.2">
      <c r="A427" s="214"/>
      <c r="B427" s="132"/>
      <c r="C427" s="248"/>
      <c r="D427" s="215"/>
      <c r="E427" s="215"/>
      <c r="F427" s="247"/>
      <c r="G427" s="218"/>
    </row>
    <row r="428" spans="1:7" x14ac:dyDescent="0.2">
      <c r="A428" s="219" t="s">
        <v>1682</v>
      </c>
      <c r="B428" s="220"/>
      <c r="C428" s="249"/>
      <c r="D428" s="221" t="s">
        <v>1682</v>
      </c>
      <c r="E428" s="221"/>
      <c r="F428" s="222" t="s">
        <v>1682</v>
      </c>
      <c r="G428" s="224" t="s">
        <v>1682</v>
      </c>
    </row>
    <row r="429" spans="1:7" ht="13.5" thickBot="1" x14ac:dyDescent="0.25">
      <c r="A429" s="250" t="s">
        <v>977</v>
      </c>
      <c r="B429" s="251"/>
      <c r="C429" s="252"/>
      <c r="D429" s="252"/>
      <c r="E429" s="252"/>
      <c r="F429" s="251"/>
      <c r="G429" s="253">
        <f>SUM(G426:G428)</f>
        <v>0.75</v>
      </c>
    </row>
    <row r="430" spans="1:7" x14ac:dyDescent="0.2">
      <c r="A430" s="132"/>
      <c r="B430" s="132"/>
      <c r="C430" s="254"/>
      <c r="D430" s="198"/>
      <c r="E430" s="198"/>
      <c r="F430" s="255" t="s">
        <v>978</v>
      </c>
      <c r="G430" s="256">
        <f>G402+G410+G423+G429</f>
        <v>109.4388</v>
      </c>
    </row>
    <row r="431" spans="1:7" x14ac:dyDescent="0.2">
      <c r="A431" s="132"/>
      <c r="B431" s="132"/>
      <c r="C431" s="257"/>
      <c r="D431" s="239"/>
      <c r="E431" s="239"/>
      <c r="F431" s="258" t="s">
        <v>979</v>
      </c>
      <c r="G431" s="241"/>
    </row>
    <row r="432" spans="1:7" x14ac:dyDescent="0.2">
      <c r="A432" s="132"/>
      <c r="B432" s="132"/>
      <c r="C432" s="257"/>
      <c r="D432" s="239"/>
      <c r="E432" s="239"/>
      <c r="F432" s="258" t="s">
        <v>980</v>
      </c>
      <c r="G432" s="241"/>
    </row>
    <row r="433" spans="1:7" x14ac:dyDescent="0.2">
      <c r="A433" s="132"/>
      <c r="B433" s="132"/>
      <c r="C433" s="257"/>
      <c r="D433" s="239"/>
      <c r="E433" s="239"/>
      <c r="F433" s="259" t="s">
        <v>1670</v>
      </c>
      <c r="G433" s="260"/>
    </row>
    <row r="434" spans="1:7" ht="13.5" thickBot="1" x14ac:dyDescent="0.25">
      <c r="A434" s="193"/>
      <c r="B434" s="132"/>
      <c r="C434" s="261"/>
      <c r="D434" s="251"/>
      <c r="E434" s="251"/>
      <c r="F434" s="262" t="s">
        <v>1650</v>
      </c>
      <c r="G434" s="263"/>
    </row>
    <row r="435" spans="1:7" ht="15.75" x14ac:dyDescent="0.2">
      <c r="A435" s="186" t="s">
        <v>1701</v>
      </c>
      <c r="B435" s="132"/>
      <c r="C435" s="187" t="s">
        <v>742</v>
      </c>
      <c r="D435" s="132"/>
      <c r="E435" s="132"/>
      <c r="F435" s="188"/>
      <c r="G435" s="132"/>
    </row>
    <row r="436" spans="1:7" ht="15.75" x14ac:dyDescent="0.2">
      <c r="A436" s="186" t="s">
        <v>1700</v>
      </c>
      <c r="B436" s="189" t="s">
        <v>963</v>
      </c>
      <c r="C436" s="188"/>
      <c r="D436" s="132"/>
      <c r="E436" s="132"/>
      <c r="F436" s="190"/>
      <c r="G436" s="191"/>
    </row>
    <row r="437" spans="1:7" ht="14.25" x14ac:dyDescent="0.2">
      <c r="A437" s="189"/>
      <c r="B437" s="189"/>
      <c r="C437" s="187"/>
      <c r="D437" s="189"/>
      <c r="E437" s="189"/>
      <c r="F437" s="189"/>
      <c r="G437" s="189"/>
    </row>
    <row r="438" spans="1:7" ht="15.75" x14ac:dyDescent="0.2">
      <c r="A438" s="186" t="s">
        <v>1697</v>
      </c>
      <c r="B438" s="189"/>
      <c r="C438" s="188"/>
      <c r="D438" s="132"/>
      <c r="E438" s="132"/>
      <c r="F438" s="132"/>
      <c r="G438" s="132"/>
    </row>
    <row r="439" spans="1:7" ht="15" x14ac:dyDescent="0.2">
      <c r="A439" s="192"/>
      <c r="B439" s="189"/>
      <c r="C439" s="187"/>
      <c r="D439" s="189"/>
      <c r="E439" s="189"/>
      <c r="F439" s="189"/>
      <c r="G439" s="189"/>
    </row>
    <row r="440" spans="1:7" ht="14.25" x14ac:dyDescent="0.2">
      <c r="A440" s="193" t="s">
        <v>594</v>
      </c>
      <c r="B440" s="194">
        <v>11</v>
      </c>
      <c r="C440" s="188"/>
      <c r="D440" s="188"/>
      <c r="E440" s="188"/>
      <c r="F440" s="195" t="s">
        <v>1696</v>
      </c>
      <c r="G440" s="189" t="s">
        <v>1506</v>
      </c>
    </row>
    <row r="441" spans="1:7" ht="14.25" x14ac:dyDescent="0.2">
      <c r="A441" s="196" t="s">
        <v>964</v>
      </c>
      <c r="B441" s="194" t="s">
        <v>1089</v>
      </c>
      <c r="C441" s="188"/>
      <c r="D441" s="132"/>
      <c r="E441" s="132"/>
      <c r="F441" s="132"/>
      <c r="G441" s="132"/>
    </row>
    <row r="442" spans="1:7" ht="15" thickBot="1" x14ac:dyDescent="0.25">
      <c r="A442" s="187"/>
      <c r="B442" s="187"/>
      <c r="C442" s="187"/>
      <c r="D442" s="189"/>
      <c r="E442" s="189"/>
      <c r="F442" s="189"/>
      <c r="G442" s="189"/>
    </row>
    <row r="443" spans="1:7" x14ac:dyDescent="0.2">
      <c r="A443" s="197" t="s">
        <v>1695</v>
      </c>
      <c r="B443" s="198"/>
      <c r="C443" s="199"/>
      <c r="D443" s="198"/>
      <c r="E443" s="198"/>
      <c r="F443" s="198"/>
      <c r="G443" s="200"/>
    </row>
    <row r="444" spans="1:7" ht="25.5" x14ac:dyDescent="0.2">
      <c r="A444" s="202" t="s">
        <v>1409</v>
      </c>
      <c r="B444" s="203"/>
      <c r="C444" s="204" t="s">
        <v>966</v>
      </c>
      <c r="D444" s="205" t="s">
        <v>1694</v>
      </c>
      <c r="E444" s="205" t="s">
        <v>1693</v>
      </c>
      <c r="F444" s="206" t="s">
        <v>1687</v>
      </c>
      <c r="G444" s="207" t="s">
        <v>967</v>
      </c>
    </row>
    <row r="445" spans="1:7" x14ac:dyDescent="0.2">
      <c r="A445" s="208" t="s">
        <v>1468</v>
      </c>
      <c r="B445" s="209"/>
      <c r="C445" s="210">
        <v>1</v>
      </c>
      <c r="D445" s="211">
        <v>2.5</v>
      </c>
      <c r="E445" s="211">
        <f>C445*D445</f>
        <v>2.5</v>
      </c>
      <c r="F445" s="212">
        <v>0.3</v>
      </c>
      <c r="G445" s="213">
        <f>E445*F445</f>
        <v>0.75</v>
      </c>
    </row>
    <row r="446" spans="1:7" x14ac:dyDescent="0.2">
      <c r="A446" s="214"/>
      <c r="B446" s="132"/>
      <c r="C446" s="215"/>
      <c r="D446" s="216"/>
      <c r="E446" s="216"/>
      <c r="F446" s="217"/>
      <c r="G446" s="218"/>
    </row>
    <row r="447" spans="1:7" x14ac:dyDescent="0.2">
      <c r="A447" s="219" t="s">
        <v>1682</v>
      </c>
      <c r="B447" s="220"/>
      <c r="C447" s="221"/>
      <c r="D447" s="222" t="s">
        <v>1682</v>
      </c>
      <c r="E447" s="222" t="s">
        <v>1682</v>
      </c>
      <c r="F447" s="223"/>
      <c r="G447" s="224" t="s">
        <v>1682</v>
      </c>
    </row>
    <row r="448" spans="1:7" x14ac:dyDescent="0.2">
      <c r="A448" s="219" t="s">
        <v>968</v>
      </c>
      <c r="B448" s="220"/>
      <c r="C448" s="225"/>
      <c r="D448" s="220"/>
      <c r="E448" s="220"/>
      <c r="F448" s="226"/>
      <c r="G448" s="224">
        <f>SUM(G445:G447)</f>
        <v>0.75</v>
      </c>
    </row>
    <row r="449" spans="1:7" x14ac:dyDescent="0.2">
      <c r="A449" s="227" t="s">
        <v>1503</v>
      </c>
      <c r="B449" s="132"/>
      <c r="C449" s="188"/>
      <c r="D449" s="132"/>
      <c r="E449" s="132"/>
      <c r="F449" s="228"/>
      <c r="G449" s="218"/>
    </row>
    <row r="450" spans="1:7" ht="25.5" x14ac:dyDescent="0.2">
      <c r="A450" s="229" t="s">
        <v>1691</v>
      </c>
      <c r="B450" s="230"/>
      <c r="C450" s="231" t="s">
        <v>969</v>
      </c>
      <c r="D450" s="232" t="s">
        <v>1689</v>
      </c>
      <c r="E450" s="232" t="s">
        <v>1688</v>
      </c>
      <c r="F450" s="233" t="s">
        <v>1687</v>
      </c>
      <c r="G450" s="234" t="s">
        <v>1686</v>
      </c>
    </row>
    <row r="451" spans="1:7" x14ac:dyDescent="0.2">
      <c r="A451" s="235" t="s">
        <v>970</v>
      </c>
      <c r="B451" s="132"/>
      <c r="C451" s="236">
        <v>1</v>
      </c>
      <c r="D451" s="237">
        <v>2.16</v>
      </c>
      <c r="E451" s="216">
        <v>2.16</v>
      </c>
      <c r="F451" s="217">
        <v>2.21</v>
      </c>
      <c r="G451" s="218">
        <v>4.7699999999999996</v>
      </c>
    </row>
    <row r="452" spans="1:7" x14ac:dyDescent="0.2">
      <c r="A452" s="235" t="s">
        <v>971</v>
      </c>
      <c r="B452" s="132"/>
      <c r="C452" s="236">
        <v>1</v>
      </c>
      <c r="D452" s="237">
        <v>2.13</v>
      </c>
      <c r="E452" s="216">
        <f>C452*D452</f>
        <v>2.13</v>
      </c>
      <c r="F452" s="217">
        <v>1.64</v>
      </c>
      <c r="G452" s="218">
        <v>3.49</v>
      </c>
    </row>
    <row r="453" spans="1:7" x14ac:dyDescent="0.2">
      <c r="A453" s="235" t="s">
        <v>590</v>
      </c>
      <c r="B453" s="132"/>
      <c r="C453" s="236">
        <v>1</v>
      </c>
      <c r="D453" s="237">
        <v>2.13</v>
      </c>
      <c r="E453" s="216">
        <f>C453*D453</f>
        <v>2.13</v>
      </c>
      <c r="F453" s="217">
        <v>1.17</v>
      </c>
      <c r="G453" s="218">
        <v>2.4900000000000002</v>
      </c>
    </row>
    <row r="454" spans="1:7" x14ac:dyDescent="0.2">
      <c r="A454" s="235"/>
      <c r="B454" s="132"/>
      <c r="C454" s="236"/>
      <c r="D454" s="237"/>
      <c r="E454" s="216"/>
      <c r="F454" s="217"/>
      <c r="G454" s="218"/>
    </row>
    <row r="455" spans="1:7" x14ac:dyDescent="0.2">
      <c r="A455" s="219" t="s">
        <v>1682</v>
      </c>
      <c r="B455" s="220"/>
      <c r="C455" s="221"/>
      <c r="D455" s="222" t="s">
        <v>1682</v>
      </c>
      <c r="E455" s="222" t="s">
        <v>1682</v>
      </c>
      <c r="F455" s="223"/>
      <c r="G455" s="224" t="s">
        <v>1682</v>
      </c>
    </row>
    <row r="456" spans="1:7" x14ac:dyDescent="0.2">
      <c r="A456" s="238" t="s">
        <v>1681</v>
      </c>
      <c r="B456" s="239"/>
      <c r="C456" s="240"/>
      <c r="D456" s="239"/>
      <c r="E456" s="239"/>
      <c r="F456" s="239"/>
      <c r="G456" s="241">
        <f>SUM(G451:G455)</f>
        <v>10.75</v>
      </c>
    </row>
    <row r="457" spans="1:7" x14ac:dyDescent="0.2">
      <c r="A457" s="227" t="s">
        <v>1684</v>
      </c>
      <c r="B457" s="132"/>
      <c r="C457" s="188"/>
      <c r="D457" s="132"/>
      <c r="E457" s="132"/>
      <c r="F457" s="132"/>
      <c r="G457" s="218"/>
    </row>
    <row r="458" spans="1:7" ht="25.5" x14ac:dyDescent="0.2">
      <c r="A458" s="229" t="s">
        <v>1409</v>
      </c>
      <c r="B458" s="242"/>
      <c r="C458" s="243"/>
      <c r="D458" s="232" t="s">
        <v>1408</v>
      </c>
      <c r="E458" s="231" t="s">
        <v>1679</v>
      </c>
      <c r="F458" s="232" t="s">
        <v>1683</v>
      </c>
      <c r="G458" s="234" t="s">
        <v>1675</v>
      </c>
    </row>
    <row r="459" spans="1:7" x14ac:dyDescent="0.2">
      <c r="A459" s="244" t="s">
        <v>1089</v>
      </c>
      <c r="B459" s="132"/>
      <c r="C459" s="188"/>
      <c r="D459" s="215" t="s">
        <v>1506</v>
      </c>
      <c r="E459" s="215">
        <v>1</v>
      </c>
      <c r="F459" s="216">
        <v>55</v>
      </c>
      <c r="G459" s="218">
        <f>E459*F459</f>
        <v>55</v>
      </c>
    </row>
    <row r="460" spans="1:7" x14ac:dyDescent="0.2">
      <c r="A460" s="214"/>
      <c r="B460" s="132"/>
      <c r="C460" s="245"/>
      <c r="D460" s="215"/>
      <c r="E460" s="215"/>
      <c r="F460" s="216"/>
      <c r="G460" s="218"/>
    </row>
    <row r="461" spans="1:7" x14ac:dyDescent="0.2">
      <c r="A461" s="214"/>
      <c r="B461" s="132"/>
      <c r="C461" s="245"/>
      <c r="D461" s="215"/>
      <c r="E461" s="215"/>
      <c r="F461" s="216"/>
      <c r="G461" s="218"/>
    </row>
    <row r="462" spans="1:7" x14ac:dyDescent="0.2">
      <c r="A462" s="238" t="s">
        <v>1692</v>
      </c>
      <c r="B462" s="239"/>
      <c r="C462" s="240"/>
      <c r="D462" s="240"/>
      <c r="E462" s="240"/>
      <c r="F462" s="239"/>
      <c r="G462" s="241">
        <f>SUM(G459:G461)</f>
        <v>55</v>
      </c>
    </row>
    <row r="463" spans="1:7" x14ac:dyDescent="0.2">
      <c r="A463" s="227" t="s">
        <v>1680</v>
      </c>
      <c r="B463" s="132"/>
      <c r="C463" s="188"/>
      <c r="D463" s="132"/>
      <c r="E463" s="188"/>
      <c r="F463" s="132"/>
      <c r="G463" s="218"/>
    </row>
    <row r="464" spans="1:7" ht="25.5" x14ac:dyDescent="0.2">
      <c r="A464" s="229" t="s">
        <v>1409</v>
      </c>
      <c r="B464" s="242"/>
      <c r="C464" s="243"/>
      <c r="D464" s="232" t="s">
        <v>1408</v>
      </c>
      <c r="E464" s="231" t="s">
        <v>1679</v>
      </c>
      <c r="F464" s="232" t="s">
        <v>1676</v>
      </c>
      <c r="G464" s="234" t="s">
        <v>1675</v>
      </c>
    </row>
    <row r="465" spans="1:7" x14ac:dyDescent="0.2">
      <c r="A465" s="208" t="s">
        <v>975</v>
      </c>
      <c r="B465" s="209"/>
      <c r="C465" s="246"/>
      <c r="D465" s="215" t="s">
        <v>976</v>
      </c>
      <c r="E465" s="215">
        <v>0.15</v>
      </c>
      <c r="F465" s="247">
        <v>5</v>
      </c>
      <c r="G465" s="218">
        <f>E465*F465</f>
        <v>0.75</v>
      </c>
    </row>
    <row r="466" spans="1:7" x14ac:dyDescent="0.2">
      <c r="A466" s="214"/>
      <c r="B466" s="132"/>
      <c r="C466" s="248"/>
      <c r="D466" s="215"/>
      <c r="E466" s="215"/>
      <c r="F466" s="247"/>
      <c r="G466" s="218"/>
    </row>
    <row r="467" spans="1:7" x14ac:dyDescent="0.2">
      <c r="A467" s="219" t="s">
        <v>1682</v>
      </c>
      <c r="B467" s="220"/>
      <c r="C467" s="249"/>
      <c r="D467" s="221" t="s">
        <v>1682</v>
      </c>
      <c r="E467" s="221"/>
      <c r="F467" s="222" t="s">
        <v>1682</v>
      </c>
      <c r="G467" s="224" t="s">
        <v>1682</v>
      </c>
    </row>
    <row r="468" spans="1:7" ht="13.5" thickBot="1" x14ac:dyDescent="0.25">
      <c r="A468" s="250" t="s">
        <v>977</v>
      </c>
      <c r="B468" s="251"/>
      <c r="C468" s="252"/>
      <c r="D468" s="252"/>
      <c r="E468" s="252"/>
      <c r="F468" s="251"/>
      <c r="G468" s="253">
        <f>SUM(G465:G467)</f>
        <v>0.75</v>
      </c>
    </row>
    <row r="469" spans="1:7" x14ac:dyDescent="0.2">
      <c r="A469" s="132"/>
      <c r="B469" s="132"/>
      <c r="C469" s="254"/>
      <c r="D469" s="198"/>
      <c r="E469" s="198"/>
      <c r="F469" s="255" t="s">
        <v>978</v>
      </c>
      <c r="G469" s="256">
        <f>G448+G456+G462+G468</f>
        <v>67.25</v>
      </c>
    </row>
    <row r="470" spans="1:7" x14ac:dyDescent="0.2">
      <c r="A470" s="132"/>
      <c r="B470" s="132"/>
      <c r="C470" s="257"/>
      <c r="D470" s="239"/>
      <c r="E470" s="239"/>
      <c r="F470" s="258" t="s">
        <v>979</v>
      </c>
      <c r="G470" s="241"/>
    </row>
    <row r="471" spans="1:7" x14ac:dyDescent="0.2">
      <c r="A471" s="132"/>
      <c r="B471" s="132"/>
      <c r="C471" s="257"/>
      <c r="D471" s="239"/>
      <c r="E471" s="239"/>
      <c r="F471" s="258" t="s">
        <v>980</v>
      </c>
      <c r="G471" s="241"/>
    </row>
    <row r="472" spans="1:7" x14ac:dyDescent="0.2">
      <c r="A472" s="132"/>
      <c r="B472" s="132"/>
      <c r="C472" s="257"/>
      <c r="D472" s="239"/>
      <c r="E472" s="239"/>
      <c r="F472" s="259" t="s">
        <v>1670</v>
      </c>
      <c r="G472" s="260"/>
    </row>
    <row r="473" spans="1:7" ht="13.5" thickBot="1" x14ac:dyDescent="0.25">
      <c r="A473" s="193"/>
      <c r="B473" s="132"/>
      <c r="C473" s="261"/>
      <c r="D473" s="251"/>
      <c r="E473" s="251"/>
      <c r="F473" s="262" t="s">
        <v>1650</v>
      </c>
      <c r="G473" s="263"/>
    </row>
    <row r="474" spans="1:7" ht="15.75" x14ac:dyDescent="0.2">
      <c r="A474" s="186" t="s">
        <v>1701</v>
      </c>
      <c r="B474" s="132"/>
      <c r="C474" s="187" t="s">
        <v>742</v>
      </c>
      <c r="D474" s="132"/>
      <c r="E474" s="132"/>
      <c r="F474" s="188"/>
      <c r="G474" s="132"/>
    </row>
    <row r="475" spans="1:7" ht="15.75" x14ac:dyDescent="0.2">
      <c r="A475" s="186" t="s">
        <v>1700</v>
      </c>
      <c r="B475" s="189" t="s">
        <v>963</v>
      </c>
      <c r="C475" s="188"/>
      <c r="D475" s="132"/>
      <c r="E475" s="132"/>
      <c r="F475" s="190"/>
      <c r="G475" s="191"/>
    </row>
    <row r="476" spans="1:7" ht="14.25" x14ac:dyDescent="0.2">
      <c r="A476" s="189"/>
      <c r="B476" s="189"/>
      <c r="C476" s="187"/>
      <c r="D476" s="189"/>
      <c r="E476" s="189"/>
      <c r="F476" s="189"/>
      <c r="G476" s="189"/>
    </row>
    <row r="477" spans="1:7" ht="15.75" x14ac:dyDescent="0.2">
      <c r="A477" s="186" t="s">
        <v>1697</v>
      </c>
      <c r="B477" s="189"/>
      <c r="C477" s="188"/>
      <c r="D477" s="132"/>
      <c r="E477" s="132"/>
      <c r="F477" s="132"/>
      <c r="G477" s="132"/>
    </row>
    <row r="478" spans="1:7" ht="15" x14ac:dyDescent="0.2">
      <c r="A478" s="192"/>
      <c r="B478" s="189"/>
      <c r="C478" s="187"/>
      <c r="D478" s="189"/>
      <c r="E478" s="189"/>
      <c r="F478" s="189"/>
      <c r="G478" s="189"/>
    </row>
    <row r="479" spans="1:7" ht="14.25" x14ac:dyDescent="0.2">
      <c r="A479" s="193" t="s">
        <v>594</v>
      </c>
      <c r="B479" s="194">
        <v>12</v>
      </c>
      <c r="C479" s="188"/>
      <c r="D479" s="188"/>
      <c r="E479" s="188"/>
      <c r="F479" s="195" t="s">
        <v>1696</v>
      </c>
      <c r="G479" s="189" t="s">
        <v>1506</v>
      </c>
    </row>
    <row r="480" spans="1:7" ht="14.25" x14ac:dyDescent="0.2">
      <c r="A480" s="196" t="s">
        <v>964</v>
      </c>
      <c r="B480" s="194" t="s">
        <v>1090</v>
      </c>
      <c r="C480" s="188"/>
      <c r="D480" s="132"/>
      <c r="E480" s="132"/>
      <c r="F480" s="132"/>
      <c r="G480" s="132"/>
    </row>
    <row r="481" spans="1:7" ht="15" thickBot="1" x14ac:dyDescent="0.25">
      <c r="A481" s="187"/>
      <c r="B481" s="187"/>
      <c r="C481" s="187"/>
      <c r="D481" s="189"/>
      <c r="E481" s="189"/>
      <c r="F481" s="189"/>
      <c r="G481" s="189"/>
    </row>
    <row r="482" spans="1:7" x14ac:dyDescent="0.2">
      <c r="A482" s="197" t="s">
        <v>1695</v>
      </c>
      <c r="B482" s="198"/>
      <c r="C482" s="199"/>
      <c r="D482" s="198"/>
      <c r="E482" s="198"/>
      <c r="F482" s="198"/>
      <c r="G482" s="200"/>
    </row>
    <row r="483" spans="1:7" ht="25.5" x14ac:dyDescent="0.2">
      <c r="A483" s="202" t="s">
        <v>1409</v>
      </c>
      <c r="B483" s="203"/>
      <c r="C483" s="204" t="s">
        <v>966</v>
      </c>
      <c r="D483" s="205" t="s">
        <v>1694</v>
      </c>
      <c r="E483" s="205" t="s">
        <v>1693</v>
      </c>
      <c r="F483" s="206" t="s">
        <v>1687</v>
      </c>
      <c r="G483" s="207" t="s">
        <v>967</v>
      </c>
    </row>
    <row r="484" spans="1:7" x14ac:dyDescent="0.2">
      <c r="A484" s="208" t="s">
        <v>1468</v>
      </c>
      <c r="B484" s="209"/>
      <c r="C484" s="210">
        <v>1</v>
      </c>
      <c r="D484" s="211">
        <v>2.5</v>
      </c>
      <c r="E484" s="211">
        <f>C484*D484</f>
        <v>2.5</v>
      </c>
      <c r="F484" s="212">
        <v>0.3</v>
      </c>
      <c r="G484" s="213">
        <f>E484*F484</f>
        <v>0.75</v>
      </c>
    </row>
    <row r="485" spans="1:7" x14ac:dyDescent="0.2">
      <c r="A485" s="214"/>
      <c r="B485" s="132"/>
      <c r="C485" s="215"/>
      <c r="D485" s="216"/>
      <c r="E485" s="216"/>
      <c r="F485" s="217"/>
      <c r="G485" s="218"/>
    </row>
    <row r="486" spans="1:7" x14ac:dyDescent="0.2">
      <c r="A486" s="219" t="s">
        <v>1682</v>
      </c>
      <c r="B486" s="220"/>
      <c r="C486" s="221"/>
      <c r="D486" s="222" t="s">
        <v>1682</v>
      </c>
      <c r="E486" s="222" t="s">
        <v>1682</v>
      </c>
      <c r="F486" s="223"/>
      <c r="G486" s="224" t="s">
        <v>1682</v>
      </c>
    </row>
    <row r="487" spans="1:7" x14ac:dyDescent="0.2">
      <c r="A487" s="219" t="s">
        <v>968</v>
      </c>
      <c r="B487" s="220"/>
      <c r="C487" s="225"/>
      <c r="D487" s="220"/>
      <c r="E487" s="220"/>
      <c r="F487" s="226"/>
      <c r="G487" s="224">
        <f>SUM(G484:G486)</f>
        <v>0.75</v>
      </c>
    </row>
    <row r="488" spans="1:7" x14ac:dyDescent="0.2">
      <c r="A488" s="227" t="s">
        <v>1503</v>
      </c>
      <c r="B488" s="132"/>
      <c r="C488" s="188"/>
      <c r="D488" s="132"/>
      <c r="E488" s="132"/>
      <c r="F488" s="228"/>
      <c r="G488" s="218"/>
    </row>
    <row r="489" spans="1:7" ht="25.5" x14ac:dyDescent="0.2">
      <c r="A489" s="229" t="s">
        <v>1691</v>
      </c>
      <c r="B489" s="230"/>
      <c r="C489" s="231" t="s">
        <v>969</v>
      </c>
      <c r="D489" s="232" t="s">
        <v>1689</v>
      </c>
      <c r="E489" s="232" t="s">
        <v>1688</v>
      </c>
      <c r="F489" s="233" t="s">
        <v>1687</v>
      </c>
      <c r="G489" s="234" t="s">
        <v>1686</v>
      </c>
    </row>
    <row r="490" spans="1:7" x14ac:dyDescent="0.2">
      <c r="A490" s="235" t="s">
        <v>970</v>
      </c>
      <c r="B490" s="132"/>
      <c r="C490" s="236">
        <v>1</v>
      </c>
      <c r="D490" s="237">
        <v>2.16</v>
      </c>
      <c r="E490" s="216">
        <v>2.16</v>
      </c>
      <c r="F490" s="217">
        <v>1.98</v>
      </c>
      <c r="G490" s="218">
        <f>E490*F490</f>
        <v>4.2768000000000006</v>
      </c>
    </row>
    <row r="491" spans="1:7" x14ac:dyDescent="0.2">
      <c r="A491" s="235" t="s">
        <v>971</v>
      </c>
      <c r="B491" s="132"/>
      <c r="C491" s="236">
        <v>1</v>
      </c>
      <c r="D491" s="237">
        <v>2.13</v>
      </c>
      <c r="E491" s="216">
        <f>C491*D491</f>
        <v>2.13</v>
      </c>
      <c r="F491" s="217">
        <v>1.48</v>
      </c>
      <c r="G491" s="218">
        <f>E491*F491</f>
        <v>3.1523999999999996</v>
      </c>
    </row>
    <row r="492" spans="1:7" x14ac:dyDescent="0.2">
      <c r="A492" s="235" t="s">
        <v>590</v>
      </c>
      <c r="B492" s="132"/>
      <c r="C492" s="236">
        <v>1</v>
      </c>
      <c r="D492" s="237">
        <v>2.13</v>
      </c>
      <c r="E492" s="216">
        <f>C492*D492</f>
        <v>2.13</v>
      </c>
      <c r="F492" s="217">
        <v>1.05</v>
      </c>
      <c r="G492" s="218">
        <f>E492*F492</f>
        <v>2.2364999999999999</v>
      </c>
    </row>
    <row r="493" spans="1:7" x14ac:dyDescent="0.2">
      <c r="A493" s="235"/>
      <c r="B493" s="132"/>
      <c r="C493" s="236"/>
      <c r="D493" s="237"/>
      <c r="E493" s="216"/>
      <c r="F493" s="217"/>
      <c r="G493" s="218"/>
    </row>
    <row r="494" spans="1:7" x14ac:dyDescent="0.2">
      <c r="A494" s="219" t="s">
        <v>1682</v>
      </c>
      <c r="B494" s="220"/>
      <c r="C494" s="221"/>
      <c r="D494" s="222" t="s">
        <v>1682</v>
      </c>
      <c r="E494" s="222" t="s">
        <v>1682</v>
      </c>
      <c r="F494" s="223"/>
      <c r="G494" s="224" t="s">
        <v>1682</v>
      </c>
    </row>
    <row r="495" spans="1:7" x14ac:dyDescent="0.2">
      <c r="A495" s="238" t="s">
        <v>1681</v>
      </c>
      <c r="B495" s="239"/>
      <c r="C495" s="240"/>
      <c r="D495" s="239"/>
      <c r="E495" s="239"/>
      <c r="F495" s="239"/>
      <c r="G495" s="241">
        <f>SUM(G490:G494)</f>
        <v>9.6656999999999993</v>
      </c>
    </row>
    <row r="496" spans="1:7" x14ac:dyDescent="0.2">
      <c r="A496" s="227" t="s">
        <v>1684</v>
      </c>
      <c r="B496" s="132"/>
      <c r="C496" s="188"/>
      <c r="D496" s="132"/>
      <c r="E496" s="132"/>
      <c r="F496" s="132"/>
      <c r="G496" s="218"/>
    </row>
    <row r="497" spans="1:7" ht="25.5" x14ac:dyDescent="0.2">
      <c r="A497" s="229" t="s">
        <v>1409</v>
      </c>
      <c r="B497" s="242"/>
      <c r="C497" s="243"/>
      <c r="D497" s="232" t="s">
        <v>1408</v>
      </c>
      <c r="E497" s="231" t="s">
        <v>1679</v>
      </c>
      <c r="F497" s="232" t="s">
        <v>1683</v>
      </c>
      <c r="G497" s="234" t="s">
        <v>1675</v>
      </c>
    </row>
    <row r="498" spans="1:7" x14ac:dyDescent="0.2">
      <c r="A498" s="244" t="s">
        <v>1091</v>
      </c>
      <c r="B498" s="132"/>
      <c r="C498" s="188"/>
      <c r="D498" s="215" t="s">
        <v>1506</v>
      </c>
      <c r="E498" s="215">
        <v>1</v>
      </c>
      <c r="F498" s="216">
        <v>60</v>
      </c>
      <c r="G498" s="218">
        <f>E498*F498</f>
        <v>60</v>
      </c>
    </row>
    <row r="499" spans="1:7" x14ac:dyDescent="0.2">
      <c r="A499" s="244" t="s">
        <v>1092</v>
      </c>
      <c r="B499" s="132"/>
      <c r="C499" s="188"/>
      <c r="D499" s="215"/>
      <c r="E499" s="215"/>
      <c r="F499" s="216"/>
      <c r="G499" s="218"/>
    </row>
    <row r="500" spans="1:7" x14ac:dyDescent="0.2">
      <c r="A500" s="214"/>
      <c r="B500" s="132"/>
      <c r="C500" s="245"/>
      <c r="D500" s="215"/>
      <c r="E500" s="215"/>
      <c r="F500" s="216"/>
      <c r="G500" s="218"/>
    </row>
    <row r="501" spans="1:7" x14ac:dyDescent="0.2">
      <c r="A501" s="214"/>
      <c r="B501" s="132"/>
      <c r="C501" s="245"/>
      <c r="D501" s="215"/>
      <c r="E501" s="215"/>
      <c r="F501" s="216"/>
      <c r="G501" s="218"/>
    </row>
    <row r="502" spans="1:7" x14ac:dyDescent="0.2">
      <c r="A502" s="238" t="s">
        <v>1692</v>
      </c>
      <c r="B502" s="239"/>
      <c r="C502" s="240"/>
      <c r="D502" s="240"/>
      <c r="E502" s="240"/>
      <c r="F502" s="239"/>
      <c r="G502" s="241">
        <f>SUM(G498:G501)</f>
        <v>60</v>
      </c>
    </row>
    <row r="503" spans="1:7" x14ac:dyDescent="0.2">
      <c r="A503" s="227" t="s">
        <v>1680</v>
      </c>
      <c r="B503" s="132"/>
      <c r="C503" s="188"/>
      <c r="D503" s="132"/>
      <c r="E503" s="188"/>
      <c r="F503" s="132"/>
      <c r="G503" s="218"/>
    </row>
    <row r="504" spans="1:7" ht="25.5" x14ac:dyDescent="0.2">
      <c r="A504" s="229" t="s">
        <v>1409</v>
      </c>
      <c r="B504" s="242"/>
      <c r="C504" s="243"/>
      <c r="D504" s="232" t="s">
        <v>1408</v>
      </c>
      <c r="E504" s="231" t="s">
        <v>1679</v>
      </c>
      <c r="F504" s="232" t="s">
        <v>1676</v>
      </c>
      <c r="G504" s="234" t="s">
        <v>1675</v>
      </c>
    </row>
    <row r="505" spans="1:7" x14ac:dyDescent="0.2">
      <c r="A505" s="208" t="s">
        <v>975</v>
      </c>
      <c r="B505" s="209"/>
      <c r="C505" s="246"/>
      <c r="D505" s="215" t="s">
        <v>976</v>
      </c>
      <c r="E505" s="215">
        <v>0.15</v>
      </c>
      <c r="F505" s="247">
        <v>5</v>
      </c>
      <c r="G505" s="218">
        <f>E505*F505</f>
        <v>0.75</v>
      </c>
    </row>
    <row r="506" spans="1:7" x14ac:dyDescent="0.2">
      <c r="A506" s="214"/>
      <c r="B506" s="132"/>
      <c r="C506" s="248"/>
      <c r="D506" s="215"/>
      <c r="E506" s="215"/>
      <c r="F506" s="247"/>
      <c r="G506" s="218"/>
    </row>
    <row r="507" spans="1:7" x14ac:dyDescent="0.2">
      <c r="A507" s="219" t="s">
        <v>1682</v>
      </c>
      <c r="B507" s="220"/>
      <c r="C507" s="249"/>
      <c r="D507" s="221" t="s">
        <v>1682</v>
      </c>
      <c r="E507" s="221"/>
      <c r="F507" s="222" t="s">
        <v>1682</v>
      </c>
      <c r="G507" s="224" t="s">
        <v>1682</v>
      </c>
    </row>
    <row r="508" spans="1:7" ht="13.5" thickBot="1" x14ac:dyDescent="0.25">
      <c r="A508" s="250" t="s">
        <v>977</v>
      </c>
      <c r="B508" s="251"/>
      <c r="C508" s="252"/>
      <c r="D508" s="252"/>
      <c r="E508" s="252"/>
      <c r="F508" s="251"/>
      <c r="G508" s="253">
        <f>SUM(G505:G507)</f>
        <v>0.75</v>
      </c>
    </row>
    <row r="509" spans="1:7" x14ac:dyDescent="0.2">
      <c r="A509" s="132"/>
      <c r="B509" s="132"/>
      <c r="C509" s="254"/>
      <c r="D509" s="198"/>
      <c r="E509" s="198"/>
      <c r="F509" s="255" t="s">
        <v>978</v>
      </c>
      <c r="G509" s="256">
        <f>G487+G495+G502+G508</f>
        <v>71.165700000000001</v>
      </c>
    </row>
    <row r="510" spans="1:7" x14ac:dyDescent="0.2">
      <c r="A510" s="132"/>
      <c r="B510" s="132"/>
      <c r="C510" s="257"/>
      <c r="D510" s="239"/>
      <c r="E510" s="239"/>
      <c r="F510" s="258" t="s">
        <v>979</v>
      </c>
      <c r="G510" s="241"/>
    </row>
    <row r="511" spans="1:7" x14ac:dyDescent="0.2">
      <c r="A511" s="132"/>
      <c r="B511" s="132"/>
      <c r="C511" s="257"/>
      <c r="D511" s="239"/>
      <c r="E511" s="239"/>
      <c r="F511" s="258" t="s">
        <v>980</v>
      </c>
      <c r="G511" s="241"/>
    </row>
    <row r="512" spans="1:7" x14ac:dyDescent="0.2">
      <c r="A512" s="132"/>
      <c r="B512" s="132"/>
      <c r="C512" s="257"/>
      <c r="D512" s="239"/>
      <c r="E512" s="239"/>
      <c r="F512" s="259" t="s">
        <v>1670</v>
      </c>
      <c r="G512" s="260"/>
    </row>
    <row r="513" spans="1:7" ht="13.5" thickBot="1" x14ac:dyDescent="0.25">
      <c r="A513" s="193"/>
      <c r="B513" s="132"/>
      <c r="C513" s="261"/>
      <c r="D513" s="251"/>
      <c r="E513" s="251"/>
      <c r="F513" s="262" t="s">
        <v>1650</v>
      </c>
      <c r="G513" s="263"/>
    </row>
    <row r="514" spans="1:7" ht="15.75" x14ac:dyDescent="0.2">
      <c r="A514" s="186" t="s">
        <v>1701</v>
      </c>
      <c r="B514" s="132"/>
      <c r="C514" s="187" t="s">
        <v>742</v>
      </c>
      <c r="D514" s="132"/>
      <c r="E514" s="132"/>
      <c r="F514" s="188"/>
      <c r="G514" s="132"/>
    </row>
    <row r="515" spans="1:7" ht="15.75" x14ac:dyDescent="0.2">
      <c r="A515" s="186" t="s">
        <v>1700</v>
      </c>
      <c r="B515" s="189" t="s">
        <v>963</v>
      </c>
      <c r="C515" s="188"/>
      <c r="D515" s="132"/>
      <c r="E515" s="132"/>
      <c r="F515" s="190"/>
      <c r="G515" s="191"/>
    </row>
    <row r="516" spans="1:7" ht="14.25" x14ac:dyDescent="0.2">
      <c r="A516" s="189"/>
      <c r="B516" s="189"/>
      <c r="C516" s="187"/>
      <c r="D516" s="189"/>
      <c r="E516" s="189"/>
      <c r="F516" s="189"/>
      <c r="G516" s="189"/>
    </row>
    <row r="517" spans="1:7" ht="15.75" x14ac:dyDescent="0.2">
      <c r="A517" s="186" t="s">
        <v>1697</v>
      </c>
      <c r="B517" s="189"/>
      <c r="C517" s="188"/>
      <c r="D517" s="132"/>
      <c r="E517" s="132"/>
      <c r="F517" s="132"/>
      <c r="G517" s="132"/>
    </row>
    <row r="518" spans="1:7" ht="15" x14ac:dyDescent="0.2">
      <c r="A518" s="192"/>
      <c r="B518" s="189"/>
      <c r="C518" s="187"/>
      <c r="D518" s="189"/>
      <c r="E518" s="189"/>
      <c r="F518" s="189"/>
      <c r="G518" s="189"/>
    </row>
    <row r="519" spans="1:7" ht="14.25" x14ac:dyDescent="0.2">
      <c r="A519" s="193" t="s">
        <v>594</v>
      </c>
      <c r="B519" s="194">
        <v>13</v>
      </c>
      <c r="C519" s="188"/>
      <c r="D519" s="188"/>
      <c r="E519" s="188"/>
      <c r="F519" s="195" t="s">
        <v>1696</v>
      </c>
      <c r="G519" s="189" t="s">
        <v>1506</v>
      </c>
    </row>
    <row r="520" spans="1:7" ht="14.25" x14ac:dyDescent="0.2">
      <c r="A520" s="196" t="s">
        <v>964</v>
      </c>
      <c r="B520" s="194" t="s">
        <v>1093</v>
      </c>
      <c r="C520" s="188"/>
      <c r="D520" s="132"/>
      <c r="E520" s="132"/>
      <c r="F520" s="132"/>
      <c r="G520" s="132"/>
    </row>
    <row r="521" spans="1:7" ht="15" thickBot="1" x14ac:dyDescent="0.25">
      <c r="A521" s="187"/>
      <c r="B521" s="187"/>
      <c r="C521" s="187"/>
      <c r="D521" s="189"/>
      <c r="E521" s="189"/>
      <c r="F521" s="189"/>
      <c r="G521" s="189"/>
    </row>
    <row r="522" spans="1:7" x14ac:dyDescent="0.2">
      <c r="A522" s="197" t="s">
        <v>1695</v>
      </c>
      <c r="B522" s="198"/>
      <c r="C522" s="199"/>
      <c r="D522" s="198"/>
      <c r="E522" s="198"/>
      <c r="F522" s="198"/>
      <c r="G522" s="200"/>
    </row>
    <row r="523" spans="1:7" ht="25.5" x14ac:dyDescent="0.2">
      <c r="A523" s="202" t="s">
        <v>1409</v>
      </c>
      <c r="B523" s="203"/>
      <c r="C523" s="204" t="s">
        <v>966</v>
      </c>
      <c r="D523" s="205" t="s">
        <v>1694</v>
      </c>
      <c r="E523" s="205" t="s">
        <v>1693</v>
      </c>
      <c r="F523" s="206" t="s">
        <v>1687</v>
      </c>
      <c r="G523" s="207" t="s">
        <v>967</v>
      </c>
    </row>
    <row r="524" spans="1:7" x14ac:dyDescent="0.2">
      <c r="A524" s="208" t="s">
        <v>1468</v>
      </c>
      <c r="B524" s="209"/>
      <c r="C524" s="210">
        <v>1</v>
      </c>
      <c r="D524" s="211">
        <v>2.5</v>
      </c>
      <c r="E524" s="211">
        <f>C524*D524</f>
        <v>2.5</v>
      </c>
      <c r="F524" s="212">
        <v>0.3</v>
      </c>
      <c r="G524" s="213">
        <f>E524*F524</f>
        <v>0.75</v>
      </c>
    </row>
    <row r="525" spans="1:7" x14ac:dyDescent="0.2">
      <c r="A525" s="214"/>
      <c r="B525" s="132"/>
      <c r="C525" s="215"/>
      <c r="D525" s="216"/>
      <c r="E525" s="216"/>
      <c r="F525" s="217"/>
      <c r="G525" s="218"/>
    </row>
    <row r="526" spans="1:7" x14ac:dyDescent="0.2">
      <c r="A526" s="219" t="s">
        <v>1682</v>
      </c>
      <c r="B526" s="220"/>
      <c r="C526" s="221"/>
      <c r="D526" s="222" t="s">
        <v>1682</v>
      </c>
      <c r="E526" s="222" t="s">
        <v>1682</v>
      </c>
      <c r="F526" s="223"/>
      <c r="G526" s="224" t="s">
        <v>1682</v>
      </c>
    </row>
    <row r="527" spans="1:7" x14ac:dyDescent="0.2">
      <c r="A527" s="219" t="s">
        <v>968</v>
      </c>
      <c r="B527" s="220"/>
      <c r="C527" s="225"/>
      <c r="D527" s="220"/>
      <c r="E527" s="220"/>
      <c r="F527" s="226"/>
      <c r="G527" s="224">
        <f>SUM(G524:G526)</f>
        <v>0.75</v>
      </c>
    </row>
    <row r="528" spans="1:7" x14ac:dyDescent="0.2">
      <c r="A528" s="227" t="s">
        <v>1503</v>
      </c>
      <c r="B528" s="132"/>
      <c r="C528" s="188"/>
      <c r="D528" s="132"/>
      <c r="E528" s="132"/>
      <c r="F528" s="228"/>
      <c r="G528" s="218"/>
    </row>
    <row r="529" spans="1:7" ht="25.5" x14ac:dyDescent="0.2">
      <c r="A529" s="229" t="s">
        <v>1691</v>
      </c>
      <c r="B529" s="230"/>
      <c r="C529" s="231" t="s">
        <v>969</v>
      </c>
      <c r="D529" s="232" t="s">
        <v>1689</v>
      </c>
      <c r="E529" s="232" t="s">
        <v>1688</v>
      </c>
      <c r="F529" s="233" t="s">
        <v>1687</v>
      </c>
      <c r="G529" s="234" t="s">
        <v>1686</v>
      </c>
    </row>
    <row r="530" spans="1:7" x14ac:dyDescent="0.2">
      <c r="A530" s="235" t="s">
        <v>970</v>
      </c>
      <c r="B530" s="132"/>
      <c r="C530" s="236">
        <v>1</v>
      </c>
      <c r="D530" s="237">
        <v>2.16</v>
      </c>
      <c r="E530" s="216">
        <v>2.16</v>
      </c>
      <c r="F530" s="217">
        <v>1.58</v>
      </c>
      <c r="G530" s="218">
        <v>3.41</v>
      </c>
    </row>
    <row r="531" spans="1:7" x14ac:dyDescent="0.2">
      <c r="A531" s="235" t="s">
        <v>971</v>
      </c>
      <c r="B531" s="132"/>
      <c r="C531" s="236">
        <v>1</v>
      </c>
      <c r="D531" s="237">
        <v>2.13</v>
      </c>
      <c r="E531" s="216">
        <f>C531*D531</f>
        <v>2.13</v>
      </c>
      <c r="F531" s="217">
        <v>1.18</v>
      </c>
      <c r="G531" s="218">
        <v>2.5099999999999998</v>
      </c>
    </row>
    <row r="532" spans="1:7" x14ac:dyDescent="0.2">
      <c r="A532" s="235" t="s">
        <v>590</v>
      </c>
      <c r="B532" s="132"/>
      <c r="C532" s="236">
        <v>1</v>
      </c>
      <c r="D532" s="237">
        <v>2.13</v>
      </c>
      <c r="E532" s="216">
        <f>C532*D532</f>
        <v>2.13</v>
      </c>
      <c r="F532" s="217">
        <v>0.84</v>
      </c>
      <c r="G532" s="218">
        <v>1.79</v>
      </c>
    </row>
    <row r="533" spans="1:7" x14ac:dyDescent="0.2">
      <c r="A533" s="235"/>
      <c r="B533" s="132"/>
      <c r="C533" s="236"/>
      <c r="D533" s="237"/>
      <c r="E533" s="216"/>
      <c r="F533" s="217"/>
      <c r="G533" s="218"/>
    </row>
    <row r="534" spans="1:7" x14ac:dyDescent="0.2">
      <c r="A534" s="219" t="s">
        <v>1682</v>
      </c>
      <c r="B534" s="220"/>
      <c r="C534" s="221"/>
      <c r="D534" s="222" t="s">
        <v>1682</v>
      </c>
      <c r="E534" s="222" t="s">
        <v>1682</v>
      </c>
      <c r="F534" s="223"/>
      <c r="G534" s="224" t="s">
        <v>1682</v>
      </c>
    </row>
    <row r="535" spans="1:7" x14ac:dyDescent="0.2">
      <c r="A535" s="238" t="s">
        <v>1681</v>
      </c>
      <c r="B535" s="239"/>
      <c r="C535" s="240"/>
      <c r="D535" s="239"/>
      <c r="E535" s="239"/>
      <c r="F535" s="239"/>
      <c r="G535" s="241">
        <f>SUM(G530:G534)</f>
        <v>7.71</v>
      </c>
    </row>
    <row r="536" spans="1:7" x14ac:dyDescent="0.2">
      <c r="A536" s="227" t="s">
        <v>1684</v>
      </c>
      <c r="B536" s="132"/>
      <c r="C536" s="188"/>
      <c r="D536" s="132"/>
      <c r="E536" s="132"/>
      <c r="F536" s="132"/>
      <c r="G536" s="218"/>
    </row>
    <row r="537" spans="1:7" ht="25.5" x14ac:dyDescent="0.2">
      <c r="A537" s="229" t="s">
        <v>1409</v>
      </c>
      <c r="B537" s="242"/>
      <c r="C537" s="243"/>
      <c r="D537" s="232" t="s">
        <v>1408</v>
      </c>
      <c r="E537" s="231" t="s">
        <v>1679</v>
      </c>
      <c r="F537" s="232" t="s">
        <v>1683</v>
      </c>
      <c r="G537" s="234" t="s">
        <v>1675</v>
      </c>
    </row>
    <row r="538" spans="1:7" x14ac:dyDescent="0.2">
      <c r="A538" s="244" t="s">
        <v>1094</v>
      </c>
      <c r="B538" s="132"/>
      <c r="C538" s="188"/>
      <c r="D538" s="215" t="s">
        <v>1506</v>
      </c>
      <c r="E538" s="215">
        <v>1</v>
      </c>
      <c r="F538" s="216">
        <v>65</v>
      </c>
      <c r="G538" s="218">
        <f>E538*F538</f>
        <v>65</v>
      </c>
    </row>
    <row r="539" spans="1:7" x14ac:dyDescent="0.2">
      <c r="A539" s="244" t="s">
        <v>1095</v>
      </c>
      <c r="B539" s="132"/>
      <c r="C539" s="188"/>
      <c r="D539" s="215"/>
      <c r="E539" s="215"/>
      <c r="F539" s="216"/>
      <c r="G539" s="218"/>
    </row>
    <row r="540" spans="1:7" x14ac:dyDescent="0.2">
      <c r="A540" s="244" t="s">
        <v>1096</v>
      </c>
      <c r="B540" s="132"/>
      <c r="C540" s="188"/>
      <c r="D540" s="215"/>
      <c r="E540" s="215"/>
      <c r="F540" s="216"/>
      <c r="G540" s="218"/>
    </row>
    <row r="541" spans="1:7" x14ac:dyDescent="0.2">
      <c r="A541" s="244" t="s">
        <v>1097</v>
      </c>
      <c r="B541" s="132"/>
      <c r="C541" s="188"/>
      <c r="D541" s="215"/>
      <c r="E541" s="215"/>
      <c r="F541" s="216"/>
      <c r="G541" s="218"/>
    </row>
    <row r="542" spans="1:7" x14ac:dyDescent="0.2">
      <c r="A542" s="244" t="s">
        <v>1098</v>
      </c>
      <c r="B542" s="132"/>
      <c r="C542" s="188"/>
      <c r="D542" s="215"/>
      <c r="E542" s="215"/>
      <c r="F542" s="216"/>
      <c r="G542" s="218"/>
    </row>
    <row r="543" spans="1:7" x14ac:dyDescent="0.2">
      <c r="A543" s="244" t="s">
        <v>1099</v>
      </c>
      <c r="B543" s="132"/>
      <c r="C543" s="188"/>
      <c r="D543" s="215"/>
      <c r="E543" s="215"/>
      <c r="F543" s="216"/>
      <c r="G543" s="218"/>
    </row>
    <row r="544" spans="1:7" x14ac:dyDescent="0.2">
      <c r="A544" s="214"/>
      <c r="B544" s="132"/>
      <c r="C544" s="245"/>
      <c r="D544" s="215"/>
      <c r="E544" s="215"/>
      <c r="F544" s="216"/>
      <c r="G544" s="218"/>
    </row>
    <row r="545" spans="1:7" x14ac:dyDescent="0.2">
      <c r="A545" s="214"/>
      <c r="B545" s="132"/>
      <c r="C545" s="245"/>
      <c r="D545" s="215"/>
      <c r="E545" s="215"/>
      <c r="F545" s="216"/>
      <c r="G545" s="218"/>
    </row>
    <row r="546" spans="1:7" x14ac:dyDescent="0.2">
      <c r="A546" s="238" t="s">
        <v>1692</v>
      </c>
      <c r="B546" s="239"/>
      <c r="C546" s="240"/>
      <c r="D546" s="240"/>
      <c r="E546" s="240"/>
      <c r="F546" s="239"/>
      <c r="G546" s="241">
        <f>SUM(G538:G545)</f>
        <v>65</v>
      </c>
    </row>
    <row r="547" spans="1:7" x14ac:dyDescent="0.2">
      <c r="A547" s="227" t="s">
        <v>1680</v>
      </c>
      <c r="B547" s="132"/>
      <c r="C547" s="188"/>
      <c r="D547" s="132"/>
      <c r="E547" s="188"/>
      <c r="F547" s="132"/>
      <c r="G547" s="218"/>
    </row>
    <row r="548" spans="1:7" ht="25.5" x14ac:dyDescent="0.2">
      <c r="A548" s="229" t="s">
        <v>1409</v>
      </c>
      <c r="B548" s="242"/>
      <c r="C548" s="243"/>
      <c r="D548" s="232" t="s">
        <v>1408</v>
      </c>
      <c r="E548" s="231" t="s">
        <v>1679</v>
      </c>
      <c r="F548" s="232" t="s">
        <v>1676</v>
      </c>
      <c r="G548" s="234" t="s">
        <v>1675</v>
      </c>
    </row>
    <row r="549" spans="1:7" x14ac:dyDescent="0.2">
      <c r="A549" s="208" t="s">
        <v>975</v>
      </c>
      <c r="B549" s="209"/>
      <c r="C549" s="246"/>
      <c r="D549" s="215" t="s">
        <v>976</v>
      </c>
      <c r="E549" s="215">
        <v>0.15</v>
      </c>
      <c r="F549" s="247">
        <v>5</v>
      </c>
      <c r="G549" s="218">
        <f>E549*F549</f>
        <v>0.75</v>
      </c>
    </row>
    <row r="550" spans="1:7" x14ac:dyDescent="0.2">
      <c r="A550" s="214"/>
      <c r="B550" s="132"/>
      <c r="C550" s="248"/>
      <c r="D550" s="215"/>
      <c r="E550" s="215"/>
      <c r="F550" s="247"/>
      <c r="G550" s="218"/>
    </row>
    <row r="551" spans="1:7" x14ac:dyDescent="0.2">
      <c r="A551" s="219" t="s">
        <v>1682</v>
      </c>
      <c r="B551" s="220"/>
      <c r="C551" s="249"/>
      <c r="D551" s="221" t="s">
        <v>1682</v>
      </c>
      <c r="E551" s="221"/>
      <c r="F551" s="222" t="s">
        <v>1682</v>
      </c>
      <c r="G551" s="224" t="s">
        <v>1682</v>
      </c>
    </row>
    <row r="552" spans="1:7" ht="13.5" thickBot="1" x14ac:dyDescent="0.25">
      <c r="A552" s="250" t="s">
        <v>977</v>
      </c>
      <c r="B552" s="251"/>
      <c r="C552" s="252"/>
      <c r="D552" s="252"/>
      <c r="E552" s="252"/>
      <c r="F552" s="251"/>
      <c r="G552" s="253">
        <f>SUM(G549:G551)</f>
        <v>0.75</v>
      </c>
    </row>
    <row r="553" spans="1:7" x14ac:dyDescent="0.2">
      <c r="A553" s="132"/>
      <c r="B553" s="132"/>
      <c r="C553" s="254"/>
      <c r="D553" s="198"/>
      <c r="E553" s="198"/>
      <c r="F553" s="255" t="s">
        <v>978</v>
      </c>
      <c r="G553" s="256">
        <f>G527+G535+G546+G552</f>
        <v>74.210000000000008</v>
      </c>
    </row>
    <row r="554" spans="1:7" x14ac:dyDescent="0.2">
      <c r="A554" s="132"/>
      <c r="B554" s="132"/>
      <c r="C554" s="257"/>
      <c r="D554" s="239"/>
      <c r="E554" s="239"/>
      <c r="F554" s="258" t="s">
        <v>979</v>
      </c>
      <c r="G554" s="241"/>
    </row>
    <row r="555" spans="1:7" x14ac:dyDescent="0.2">
      <c r="A555" s="132"/>
      <c r="B555" s="132"/>
      <c r="C555" s="257"/>
      <c r="D555" s="239"/>
      <c r="E555" s="239"/>
      <c r="F555" s="258" t="s">
        <v>980</v>
      </c>
      <c r="G555" s="241"/>
    </row>
    <row r="556" spans="1:7" x14ac:dyDescent="0.2">
      <c r="A556" s="132"/>
      <c r="B556" s="132"/>
      <c r="C556" s="257"/>
      <c r="D556" s="239"/>
      <c r="E556" s="239"/>
      <c r="F556" s="259" t="s">
        <v>1670</v>
      </c>
      <c r="G556" s="260"/>
    </row>
    <row r="557" spans="1:7" ht="13.5" thickBot="1" x14ac:dyDescent="0.25">
      <c r="A557" s="193"/>
      <c r="B557" s="132"/>
      <c r="C557" s="261"/>
      <c r="D557" s="251"/>
      <c r="E557" s="251"/>
      <c r="F557" s="262" t="s">
        <v>1650</v>
      </c>
      <c r="G557" s="263"/>
    </row>
  </sheetData>
  <phoneticPr fontId="2" type="noConversion"/>
  <pageMargins left="1.33" right="0.47" top="1.1399999999999999" bottom="0.19" header="0" footer="0"/>
  <pageSetup paperSize="9" scale="80" orientation="portrait" r:id="rId1"/>
  <headerFooter alignWithMargins="0"/>
  <rowBreaks count="12" manualBreakCount="12">
    <brk id="43" max="6" man="1"/>
    <brk id="87" max="6" man="1"/>
    <brk id="132" max="6" man="1"/>
    <brk id="173" max="6" man="1"/>
    <brk id="216" max="6" man="1"/>
    <brk id="256" max="6" man="1"/>
    <brk id="304" max="6" man="1"/>
    <brk id="346" max="6" man="1"/>
    <brk id="388" max="6" man="1"/>
    <brk id="434" max="6" man="1"/>
    <brk id="473" max="6" man="1"/>
    <brk id="513" max="6" man="1"/>
  </row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FC784-FD3B-4EAC-9BD4-9B741CE09401}">
  <sheetPr codeName="Hoja30"/>
  <dimension ref="A1:G246"/>
  <sheetViews>
    <sheetView workbookViewId="0"/>
  </sheetViews>
  <sheetFormatPr baseColWidth="10" defaultColWidth="11.42578125" defaultRowHeight="12.75" x14ac:dyDescent="0.2"/>
  <cols>
    <col min="2" max="2" width="25.42578125" customWidth="1"/>
    <col min="3" max="7" width="13.42578125" customWidth="1"/>
  </cols>
  <sheetData>
    <row r="1" spans="1:7" ht="15.75" x14ac:dyDescent="0.2">
      <c r="A1" s="186" t="s">
        <v>1701</v>
      </c>
      <c r="B1" s="132"/>
      <c r="C1" s="187" t="s">
        <v>742</v>
      </c>
      <c r="D1" s="132"/>
      <c r="E1" s="132"/>
      <c r="F1" s="188"/>
      <c r="G1" s="132"/>
    </row>
    <row r="2" spans="1:7" ht="15.75" x14ac:dyDescent="0.2">
      <c r="A2" s="186" t="s">
        <v>1700</v>
      </c>
      <c r="B2" s="189" t="s">
        <v>963</v>
      </c>
      <c r="C2" s="188"/>
      <c r="D2" s="132"/>
      <c r="E2" s="132"/>
      <c r="F2" s="190"/>
      <c r="G2" s="191"/>
    </row>
    <row r="3" spans="1:7" ht="14.25" x14ac:dyDescent="0.2">
      <c r="A3" s="189"/>
      <c r="B3" s="189"/>
      <c r="C3" s="187"/>
      <c r="D3" s="189"/>
      <c r="E3" s="189"/>
      <c r="F3" s="189"/>
      <c r="G3" s="189"/>
    </row>
    <row r="4" spans="1:7" ht="15.75" x14ac:dyDescent="0.2">
      <c r="A4" s="186" t="s">
        <v>1697</v>
      </c>
      <c r="B4" s="189"/>
      <c r="C4" s="188"/>
      <c r="D4" s="132"/>
      <c r="E4" s="132"/>
      <c r="F4" s="132"/>
      <c r="G4" s="132"/>
    </row>
    <row r="5" spans="1:7" ht="15" x14ac:dyDescent="0.2">
      <c r="A5" s="192"/>
      <c r="B5" s="189"/>
      <c r="C5" s="187"/>
      <c r="D5" s="189"/>
      <c r="E5" s="189"/>
      <c r="F5" s="189"/>
      <c r="G5" s="189"/>
    </row>
    <row r="6" spans="1:7" ht="14.25" x14ac:dyDescent="0.2">
      <c r="A6" s="193" t="s">
        <v>594</v>
      </c>
      <c r="B6" s="194">
        <v>1</v>
      </c>
      <c r="C6" s="188"/>
      <c r="D6" s="188"/>
      <c r="E6" s="188"/>
      <c r="F6" s="195" t="s">
        <v>1696</v>
      </c>
      <c r="G6" s="189" t="s">
        <v>1506</v>
      </c>
    </row>
    <row r="7" spans="1:7" ht="14.25" x14ac:dyDescent="0.2">
      <c r="A7" s="196" t="s">
        <v>964</v>
      </c>
      <c r="B7" s="194" t="s">
        <v>1100</v>
      </c>
      <c r="C7" s="188"/>
      <c r="D7" s="132"/>
      <c r="E7" s="132"/>
      <c r="F7" s="132"/>
      <c r="G7" s="132"/>
    </row>
    <row r="8" spans="1:7" ht="15" thickBot="1" x14ac:dyDescent="0.25">
      <c r="A8" s="187"/>
      <c r="B8" s="187"/>
      <c r="C8" s="187"/>
      <c r="D8" s="189"/>
      <c r="E8" s="189"/>
      <c r="F8" s="189"/>
      <c r="G8" s="189"/>
    </row>
    <row r="9" spans="1:7" x14ac:dyDescent="0.2">
      <c r="A9" s="197" t="s">
        <v>1695</v>
      </c>
      <c r="B9" s="198"/>
      <c r="C9" s="199"/>
      <c r="D9" s="198"/>
      <c r="E9" s="198"/>
      <c r="F9" s="198"/>
      <c r="G9" s="200"/>
    </row>
    <row r="10" spans="1:7" ht="25.5" x14ac:dyDescent="0.2">
      <c r="A10" s="202" t="s">
        <v>1409</v>
      </c>
      <c r="B10" s="203"/>
      <c r="C10" s="204" t="s">
        <v>966</v>
      </c>
      <c r="D10" s="205" t="s">
        <v>1694</v>
      </c>
      <c r="E10" s="205" t="s">
        <v>1693</v>
      </c>
      <c r="F10" s="206" t="s">
        <v>1687</v>
      </c>
      <c r="G10" s="207" t="s">
        <v>967</v>
      </c>
    </row>
    <row r="11" spans="1:7" x14ac:dyDescent="0.2">
      <c r="A11" s="208" t="s">
        <v>1468</v>
      </c>
      <c r="B11" s="209"/>
      <c r="C11" s="210">
        <v>1</v>
      </c>
      <c r="D11" s="211">
        <v>2.5</v>
      </c>
      <c r="E11" s="211">
        <f>C11*D11</f>
        <v>2.5</v>
      </c>
      <c r="F11" s="212">
        <v>0.4</v>
      </c>
      <c r="G11" s="213">
        <f>E11*F11</f>
        <v>1</v>
      </c>
    </row>
    <row r="12" spans="1:7" x14ac:dyDescent="0.2">
      <c r="A12" s="214"/>
      <c r="B12" s="132"/>
      <c r="C12" s="215"/>
      <c r="D12" s="216"/>
      <c r="E12" s="216"/>
      <c r="F12" s="217"/>
      <c r="G12" s="218"/>
    </row>
    <row r="13" spans="1:7" x14ac:dyDescent="0.2">
      <c r="A13" s="219" t="s">
        <v>1682</v>
      </c>
      <c r="B13" s="220"/>
      <c r="C13" s="221"/>
      <c r="D13" s="222" t="s">
        <v>1682</v>
      </c>
      <c r="E13" s="222" t="s">
        <v>1682</v>
      </c>
      <c r="F13" s="223"/>
      <c r="G13" s="224" t="s">
        <v>1682</v>
      </c>
    </row>
    <row r="14" spans="1:7" x14ac:dyDescent="0.2">
      <c r="A14" s="219" t="s">
        <v>968</v>
      </c>
      <c r="B14" s="220"/>
      <c r="C14" s="225"/>
      <c r="D14" s="220"/>
      <c r="E14" s="220"/>
      <c r="F14" s="226"/>
      <c r="G14" s="224">
        <f>SUM(G11:G13)</f>
        <v>1</v>
      </c>
    </row>
    <row r="15" spans="1:7" x14ac:dyDescent="0.2">
      <c r="A15" s="227" t="s">
        <v>1503</v>
      </c>
      <c r="B15" s="132"/>
      <c r="C15" s="188"/>
      <c r="D15" s="132"/>
      <c r="E15" s="132"/>
      <c r="F15" s="228"/>
      <c r="G15" s="218"/>
    </row>
    <row r="16" spans="1:7" ht="25.5" x14ac:dyDescent="0.2">
      <c r="A16" s="229" t="s">
        <v>1691</v>
      </c>
      <c r="B16" s="230"/>
      <c r="C16" s="231" t="s">
        <v>969</v>
      </c>
      <c r="D16" s="232" t="s">
        <v>1689</v>
      </c>
      <c r="E16" s="232" t="s">
        <v>1688</v>
      </c>
      <c r="F16" s="233" t="s">
        <v>1687</v>
      </c>
      <c r="G16" s="234" t="s">
        <v>1686</v>
      </c>
    </row>
    <row r="17" spans="1:7" x14ac:dyDescent="0.2">
      <c r="A17" s="235" t="s">
        <v>970</v>
      </c>
      <c r="B17" s="132"/>
      <c r="C17" s="236">
        <v>1</v>
      </c>
      <c r="D17" s="237">
        <v>2.16</v>
      </c>
      <c r="E17" s="216">
        <v>2.16</v>
      </c>
      <c r="F17" s="217">
        <v>4.0999999999999996</v>
      </c>
      <c r="G17" s="218">
        <f>E17*F17</f>
        <v>8.8559999999999999</v>
      </c>
    </row>
    <row r="18" spans="1:7" x14ac:dyDescent="0.2">
      <c r="A18" s="235" t="s">
        <v>971</v>
      </c>
      <c r="B18" s="132"/>
      <c r="C18" s="236">
        <v>1</v>
      </c>
      <c r="D18" s="237">
        <v>2.13</v>
      </c>
      <c r="E18" s="216">
        <f>C18*D18</f>
        <v>2.13</v>
      </c>
      <c r="F18" s="217">
        <v>3.06</v>
      </c>
      <c r="G18" s="218">
        <f>E18*F18</f>
        <v>6.5177999999999994</v>
      </c>
    </row>
    <row r="19" spans="1:7" x14ac:dyDescent="0.2">
      <c r="A19" s="235" t="s">
        <v>590</v>
      </c>
      <c r="B19" s="132"/>
      <c r="C19" s="236">
        <v>1</v>
      </c>
      <c r="D19" s="237">
        <v>2.13</v>
      </c>
      <c r="E19" s="216">
        <f>C19*D19</f>
        <v>2.13</v>
      </c>
      <c r="F19" s="217">
        <v>2.17</v>
      </c>
      <c r="G19" s="218">
        <f>E19*F19</f>
        <v>4.6220999999999997</v>
      </c>
    </row>
    <row r="20" spans="1:7" x14ac:dyDescent="0.2">
      <c r="A20" s="235"/>
      <c r="B20" s="132"/>
      <c r="C20" s="236"/>
      <c r="D20" s="237"/>
      <c r="E20" s="216"/>
      <c r="F20" s="217"/>
      <c r="G20" s="218"/>
    </row>
    <row r="21" spans="1:7" x14ac:dyDescent="0.2">
      <c r="A21" s="219" t="s">
        <v>1682</v>
      </c>
      <c r="B21" s="220"/>
      <c r="C21" s="221"/>
      <c r="D21" s="222" t="s">
        <v>1682</v>
      </c>
      <c r="E21" s="222" t="s">
        <v>1682</v>
      </c>
      <c r="F21" s="223"/>
      <c r="G21" s="224" t="s">
        <v>1682</v>
      </c>
    </row>
    <row r="22" spans="1:7" x14ac:dyDescent="0.2">
      <c r="A22" s="238" t="s">
        <v>1681</v>
      </c>
      <c r="B22" s="239"/>
      <c r="C22" s="240"/>
      <c r="D22" s="239"/>
      <c r="E22" s="239"/>
      <c r="F22" s="239"/>
      <c r="G22" s="241">
        <f>SUM(G17:G21)</f>
        <v>19.995899999999999</v>
      </c>
    </row>
    <row r="23" spans="1:7" x14ac:dyDescent="0.2">
      <c r="A23" s="227" t="s">
        <v>1684</v>
      </c>
      <c r="B23" s="132"/>
      <c r="C23" s="188"/>
      <c r="D23" s="132"/>
      <c r="E23" s="132"/>
      <c r="F23" s="132"/>
      <c r="G23" s="218"/>
    </row>
    <row r="24" spans="1:7" ht="25.5" x14ac:dyDescent="0.2">
      <c r="A24" s="229" t="s">
        <v>1409</v>
      </c>
      <c r="B24" s="242"/>
      <c r="C24" s="243"/>
      <c r="D24" s="232" t="s">
        <v>1408</v>
      </c>
      <c r="E24" s="231" t="s">
        <v>1679</v>
      </c>
      <c r="F24" s="232" t="s">
        <v>1683</v>
      </c>
      <c r="G24" s="234" t="s">
        <v>1675</v>
      </c>
    </row>
    <row r="25" spans="1:7" x14ac:dyDescent="0.2">
      <c r="A25" s="244" t="s">
        <v>1101</v>
      </c>
      <c r="B25" s="132"/>
      <c r="C25" s="188"/>
      <c r="D25" s="215" t="s">
        <v>1506</v>
      </c>
      <c r="E25" s="215">
        <v>2</v>
      </c>
      <c r="F25" s="216">
        <v>3.95</v>
      </c>
      <c r="G25" s="218">
        <f>E25*F25</f>
        <v>7.9</v>
      </c>
    </row>
    <row r="26" spans="1:7" x14ac:dyDescent="0.2">
      <c r="A26" s="244" t="s">
        <v>1102</v>
      </c>
      <c r="B26" s="132"/>
      <c r="C26" s="188"/>
      <c r="D26" s="215" t="s">
        <v>1506</v>
      </c>
      <c r="E26" s="215">
        <v>3</v>
      </c>
      <c r="F26" s="216">
        <v>0.4</v>
      </c>
      <c r="G26" s="218">
        <f>E26*F26</f>
        <v>1.2000000000000002</v>
      </c>
    </row>
    <row r="27" spans="1:7" x14ac:dyDescent="0.2">
      <c r="A27" s="244" t="s">
        <v>1103</v>
      </c>
      <c r="B27" s="132"/>
      <c r="C27" s="188"/>
      <c r="D27" s="215" t="s">
        <v>1506</v>
      </c>
      <c r="E27" s="215">
        <v>2</v>
      </c>
      <c r="F27" s="216">
        <v>0.4</v>
      </c>
      <c r="G27" s="218">
        <f>E27*F27</f>
        <v>0.8</v>
      </c>
    </row>
    <row r="28" spans="1:7" x14ac:dyDescent="0.2">
      <c r="A28" s="244" t="s">
        <v>991</v>
      </c>
      <c r="B28" s="132"/>
      <c r="C28" s="188"/>
      <c r="D28" s="215" t="s">
        <v>1506</v>
      </c>
      <c r="E28" s="215">
        <v>1</v>
      </c>
      <c r="F28" s="216">
        <v>0.5</v>
      </c>
      <c r="G28" s="218">
        <f>E28*F28</f>
        <v>0.5</v>
      </c>
    </row>
    <row r="29" spans="1:7" x14ac:dyDescent="0.2">
      <c r="A29" s="244" t="s">
        <v>1104</v>
      </c>
      <c r="B29" s="132"/>
      <c r="C29" s="188"/>
      <c r="D29" s="215" t="s">
        <v>1708</v>
      </c>
      <c r="E29" s="215">
        <v>45</v>
      </c>
      <c r="F29" s="216">
        <v>0.8</v>
      </c>
      <c r="G29" s="218">
        <f>E29*F29</f>
        <v>36</v>
      </c>
    </row>
    <row r="30" spans="1:7" x14ac:dyDescent="0.2">
      <c r="A30" s="214"/>
      <c r="B30" s="132"/>
      <c r="C30" s="245"/>
      <c r="D30" s="215"/>
      <c r="E30" s="215"/>
      <c r="F30" s="216"/>
      <c r="G30" s="218"/>
    </row>
    <row r="31" spans="1:7" x14ac:dyDescent="0.2">
      <c r="A31" s="214"/>
      <c r="B31" s="132"/>
      <c r="C31" s="245"/>
      <c r="D31" s="215"/>
      <c r="E31" s="215"/>
      <c r="F31" s="216"/>
      <c r="G31" s="218"/>
    </row>
    <row r="32" spans="1:7" x14ac:dyDescent="0.2">
      <c r="A32" s="238" t="s">
        <v>1692</v>
      </c>
      <c r="B32" s="239"/>
      <c r="C32" s="240"/>
      <c r="D32" s="240"/>
      <c r="E32" s="240"/>
      <c r="F32" s="239"/>
      <c r="G32" s="241">
        <f>SUM(G25:G31)</f>
        <v>46.400000000000006</v>
      </c>
    </row>
    <row r="33" spans="1:7" x14ac:dyDescent="0.2">
      <c r="A33" s="227" t="s">
        <v>1680</v>
      </c>
      <c r="B33" s="132"/>
      <c r="C33" s="188"/>
      <c r="D33" s="132"/>
      <c r="E33" s="188"/>
      <c r="F33" s="132"/>
      <c r="G33" s="218"/>
    </row>
    <row r="34" spans="1:7" ht="25.5" x14ac:dyDescent="0.2">
      <c r="A34" s="229" t="s">
        <v>1409</v>
      </c>
      <c r="B34" s="242"/>
      <c r="C34" s="243"/>
      <c r="D34" s="232" t="s">
        <v>1408</v>
      </c>
      <c r="E34" s="231" t="s">
        <v>1679</v>
      </c>
      <c r="F34" s="232" t="s">
        <v>1676</v>
      </c>
      <c r="G34" s="234" t="s">
        <v>1675</v>
      </c>
    </row>
    <row r="35" spans="1:7" x14ac:dyDescent="0.2">
      <c r="A35" s="208" t="s">
        <v>975</v>
      </c>
      <c r="B35" s="209"/>
      <c r="C35" s="246"/>
      <c r="D35" s="215" t="s">
        <v>976</v>
      </c>
      <c r="E35" s="215">
        <v>0.15</v>
      </c>
      <c r="F35" s="247">
        <v>5</v>
      </c>
      <c r="G35" s="218">
        <f>E35*F35</f>
        <v>0.75</v>
      </c>
    </row>
    <row r="36" spans="1:7" x14ac:dyDescent="0.2">
      <c r="A36" s="214"/>
      <c r="B36" s="132"/>
      <c r="C36" s="248"/>
      <c r="D36" s="215"/>
      <c r="E36" s="215"/>
      <c r="F36" s="247"/>
      <c r="G36" s="218"/>
    </row>
    <row r="37" spans="1:7" x14ac:dyDescent="0.2">
      <c r="A37" s="219" t="s">
        <v>1682</v>
      </c>
      <c r="B37" s="220"/>
      <c r="C37" s="249"/>
      <c r="D37" s="221" t="s">
        <v>1682</v>
      </c>
      <c r="E37" s="221"/>
      <c r="F37" s="222" t="s">
        <v>1682</v>
      </c>
      <c r="G37" s="224" t="s">
        <v>1682</v>
      </c>
    </row>
    <row r="38" spans="1:7" ht="13.5" thickBot="1" x14ac:dyDescent="0.25">
      <c r="A38" s="250" t="s">
        <v>977</v>
      </c>
      <c r="B38" s="251"/>
      <c r="C38" s="252"/>
      <c r="D38" s="252"/>
      <c r="E38" s="252"/>
      <c r="F38" s="251"/>
      <c r="G38" s="253">
        <f>SUM(G35:G37)</f>
        <v>0.75</v>
      </c>
    </row>
    <row r="39" spans="1:7" x14ac:dyDescent="0.2">
      <c r="A39" s="132"/>
      <c r="B39" s="132"/>
      <c r="C39" s="254"/>
      <c r="D39" s="198"/>
      <c r="E39" s="198"/>
      <c r="F39" s="255" t="s">
        <v>978</v>
      </c>
      <c r="G39" s="256">
        <f>G14+G22+G32+G38</f>
        <v>68.145900000000012</v>
      </c>
    </row>
    <row r="40" spans="1:7" x14ac:dyDescent="0.2">
      <c r="A40" s="132"/>
      <c r="B40" s="132"/>
      <c r="C40" s="257"/>
      <c r="D40" s="239"/>
      <c r="E40" s="239"/>
      <c r="F40" s="258" t="s">
        <v>979</v>
      </c>
      <c r="G40" s="241"/>
    </row>
    <row r="41" spans="1:7" x14ac:dyDescent="0.2">
      <c r="A41" s="132"/>
      <c r="B41" s="132"/>
      <c r="C41" s="257"/>
      <c r="D41" s="239"/>
      <c r="E41" s="239"/>
      <c r="F41" s="258" t="s">
        <v>980</v>
      </c>
      <c r="G41" s="241"/>
    </row>
    <row r="42" spans="1:7" x14ac:dyDescent="0.2">
      <c r="A42" s="132"/>
      <c r="B42" s="132"/>
      <c r="C42" s="257"/>
      <c r="D42" s="239"/>
      <c r="E42" s="239"/>
      <c r="F42" s="259" t="s">
        <v>1670</v>
      </c>
      <c r="G42" s="260"/>
    </row>
    <row r="43" spans="1:7" ht="13.5" thickBot="1" x14ac:dyDescent="0.25">
      <c r="A43" s="193"/>
      <c r="B43" s="132"/>
      <c r="C43" s="261"/>
      <c r="D43" s="251"/>
      <c r="E43" s="251"/>
      <c r="F43" s="262" t="s">
        <v>1650</v>
      </c>
      <c r="G43" s="263"/>
    </row>
    <row r="44" spans="1:7" ht="15.75" x14ac:dyDescent="0.2">
      <c r="A44" s="186" t="s">
        <v>1701</v>
      </c>
      <c r="B44" s="132"/>
      <c r="C44" s="187" t="s">
        <v>742</v>
      </c>
      <c r="D44" s="132"/>
      <c r="E44" s="132"/>
      <c r="F44" s="188"/>
      <c r="G44" s="132"/>
    </row>
    <row r="45" spans="1:7" ht="15.75" x14ac:dyDescent="0.2">
      <c r="A45" s="186" t="s">
        <v>1700</v>
      </c>
      <c r="B45" s="189" t="s">
        <v>963</v>
      </c>
      <c r="C45" s="188"/>
      <c r="D45" s="132"/>
      <c r="E45" s="132"/>
      <c r="F45" s="190"/>
      <c r="G45" s="191"/>
    </row>
    <row r="46" spans="1:7" ht="14.25" x14ac:dyDescent="0.2">
      <c r="A46" s="189"/>
      <c r="B46" s="189"/>
      <c r="C46" s="187"/>
      <c r="D46" s="189"/>
      <c r="E46" s="189"/>
      <c r="F46" s="189"/>
      <c r="G46" s="189"/>
    </row>
    <row r="47" spans="1:7" ht="15.75" x14ac:dyDescent="0.2">
      <c r="A47" s="186" t="s">
        <v>1697</v>
      </c>
      <c r="B47" s="189"/>
      <c r="C47" s="188"/>
      <c r="D47" s="132"/>
      <c r="E47" s="132"/>
      <c r="F47" s="132"/>
      <c r="G47" s="132"/>
    </row>
    <row r="48" spans="1:7" ht="15" x14ac:dyDescent="0.2">
      <c r="A48" s="192"/>
      <c r="B48" s="189"/>
      <c r="C48" s="187"/>
      <c r="D48" s="189"/>
      <c r="E48" s="189"/>
      <c r="F48" s="189"/>
      <c r="G48" s="189"/>
    </row>
    <row r="49" spans="1:7" ht="14.25" x14ac:dyDescent="0.2">
      <c r="A49" s="193" t="s">
        <v>594</v>
      </c>
      <c r="B49" s="194">
        <v>2</v>
      </c>
      <c r="C49" s="188"/>
      <c r="D49" s="188"/>
      <c r="E49" s="188"/>
      <c r="F49" s="195" t="s">
        <v>1696</v>
      </c>
      <c r="G49" s="189" t="s">
        <v>1506</v>
      </c>
    </row>
    <row r="50" spans="1:7" ht="14.25" x14ac:dyDescent="0.2">
      <c r="A50" s="196" t="s">
        <v>964</v>
      </c>
      <c r="B50" s="194" t="s">
        <v>1105</v>
      </c>
      <c r="C50" s="188"/>
      <c r="D50" s="132"/>
      <c r="E50" s="132"/>
      <c r="F50" s="132"/>
      <c r="G50" s="132"/>
    </row>
    <row r="51" spans="1:7" ht="15" thickBot="1" x14ac:dyDescent="0.25">
      <c r="A51" s="187"/>
      <c r="B51" s="187"/>
      <c r="C51" s="187"/>
      <c r="D51" s="189"/>
      <c r="E51" s="189"/>
      <c r="F51" s="189"/>
      <c r="G51" s="189"/>
    </row>
    <row r="52" spans="1:7" x14ac:dyDescent="0.2">
      <c r="A52" s="197" t="s">
        <v>1695</v>
      </c>
      <c r="B52" s="198"/>
      <c r="C52" s="199"/>
      <c r="D52" s="198"/>
      <c r="E52" s="198"/>
      <c r="F52" s="198"/>
      <c r="G52" s="200"/>
    </row>
    <row r="53" spans="1:7" ht="25.5" x14ac:dyDescent="0.2">
      <c r="A53" s="202" t="s">
        <v>1409</v>
      </c>
      <c r="B53" s="203"/>
      <c r="C53" s="204" t="s">
        <v>966</v>
      </c>
      <c r="D53" s="205" t="s">
        <v>1694</v>
      </c>
      <c r="E53" s="205" t="s">
        <v>1693</v>
      </c>
      <c r="F53" s="206" t="s">
        <v>1687</v>
      </c>
      <c r="G53" s="207" t="s">
        <v>967</v>
      </c>
    </row>
    <row r="54" spans="1:7" x14ac:dyDescent="0.2">
      <c r="A54" s="208" t="s">
        <v>1468</v>
      </c>
      <c r="B54" s="209"/>
      <c r="C54" s="210">
        <v>1</v>
      </c>
      <c r="D54" s="211">
        <v>2.5</v>
      </c>
      <c r="E54" s="211">
        <f>C54*D54</f>
        <v>2.5</v>
      </c>
      <c r="F54" s="212">
        <v>0.3</v>
      </c>
      <c r="G54" s="213">
        <f>E54*F54</f>
        <v>0.75</v>
      </c>
    </row>
    <row r="55" spans="1:7" x14ac:dyDescent="0.2">
      <c r="A55" s="214"/>
      <c r="B55" s="132"/>
      <c r="C55" s="215"/>
      <c r="D55" s="216"/>
      <c r="E55" s="216"/>
      <c r="F55" s="217"/>
      <c r="G55" s="218"/>
    </row>
    <row r="56" spans="1:7" x14ac:dyDescent="0.2">
      <c r="A56" s="219" t="s">
        <v>1682</v>
      </c>
      <c r="B56" s="220"/>
      <c r="C56" s="221"/>
      <c r="D56" s="222" t="s">
        <v>1682</v>
      </c>
      <c r="E56" s="222" t="s">
        <v>1682</v>
      </c>
      <c r="F56" s="223"/>
      <c r="G56" s="224" t="s">
        <v>1682</v>
      </c>
    </row>
    <row r="57" spans="1:7" x14ac:dyDescent="0.2">
      <c r="A57" s="219" t="s">
        <v>968</v>
      </c>
      <c r="B57" s="220"/>
      <c r="C57" s="225"/>
      <c r="D57" s="220"/>
      <c r="E57" s="220"/>
      <c r="F57" s="226"/>
      <c r="G57" s="224">
        <f>SUM(G54:G56)</f>
        <v>0.75</v>
      </c>
    </row>
    <row r="58" spans="1:7" x14ac:dyDescent="0.2">
      <c r="A58" s="227" t="s">
        <v>1503</v>
      </c>
      <c r="B58" s="132"/>
      <c r="C58" s="188"/>
      <c r="D58" s="132"/>
      <c r="E58" s="132"/>
      <c r="F58" s="228"/>
      <c r="G58" s="218"/>
    </row>
    <row r="59" spans="1:7" ht="25.5" x14ac:dyDescent="0.2">
      <c r="A59" s="229" t="s">
        <v>1691</v>
      </c>
      <c r="B59" s="230"/>
      <c r="C59" s="231" t="s">
        <v>969</v>
      </c>
      <c r="D59" s="232" t="s">
        <v>1689</v>
      </c>
      <c r="E59" s="232" t="s">
        <v>1688</v>
      </c>
      <c r="F59" s="233" t="s">
        <v>1687</v>
      </c>
      <c r="G59" s="234" t="s">
        <v>1686</v>
      </c>
    </row>
    <row r="60" spans="1:7" x14ac:dyDescent="0.2">
      <c r="A60" s="235" t="s">
        <v>970</v>
      </c>
      <c r="B60" s="132"/>
      <c r="C60" s="236">
        <v>1</v>
      </c>
      <c r="D60" s="237">
        <v>2.16</v>
      </c>
      <c r="E60" s="216">
        <v>2.16</v>
      </c>
      <c r="F60" s="217">
        <v>3.69</v>
      </c>
      <c r="G60" s="218">
        <f>E60*F60</f>
        <v>7.9704000000000006</v>
      </c>
    </row>
    <row r="61" spans="1:7" x14ac:dyDescent="0.2">
      <c r="A61" s="235" t="s">
        <v>971</v>
      </c>
      <c r="B61" s="132"/>
      <c r="C61" s="236">
        <v>1</v>
      </c>
      <c r="D61" s="237">
        <v>2.13</v>
      </c>
      <c r="E61" s="216">
        <f>C61*D61</f>
        <v>2.13</v>
      </c>
      <c r="F61" s="217">
        <v>2.75</v>
      </c>
      <c r="G61" s="218">
        <f>E61*F61</f>
        <v>5.8574999999999999</v>
      </c>
    </row>
    <row r="62" spans="1:7" x14ac:dyDescent="0.2">
      <c r="A62" s="235" t="s">
        <v>590</v>
      </c>
      <c r="B62" s="132"/>
      <c r="C62" s="236">
        <v>1</v>
      </c>
      <c r="D62" s="237">
        <v>2.13</v>
      </c>
      <c r="E62" s="216">
        <f>C62*D62</f>
        <v>2.13</v>
      </c>
      <c r="F62" s="217">
        <v>1.95</v>
      </c>
      <c r="G62" s="218">
        <f>E62*F62</f>
        <v>4.1534999999999993</v>
      </c>
    </row>
    <row r="63" spans="1:7" x14ac:dyDescent="0.2">
      <c r="A63" s="235"/>
      <c r="B63" s="132"/>
      <c r="C63" s="236"/>
      <c r="D63" s="237"/>
      <c r="E63" s="216"/>
      <c r="F63" s="217"/>
      <c r="G63" s="218"/>
    </row>
    <row r="64" spans="1:7" x14ac:dyDescent="0.2">
      <c r="A64" s="219" t="s">
        <v>1682</v>
      </c>
      <c r="B64" s="220"/>
      <c r="C64" s="221"/>
      <c r="D64" s="222" t="s">
        <v>1682</v>
      </c>
      <c r="E64" s="222" t="s">
        <v>1682</v>
      </c>
      <c r="F64" s="223"/>
      <c r="G64" s="224" t="s">
        <v>1682</v>
      </c>
    </row>
    <row r="65" spans="1:7" x14ac:dyDescent="0.2">
      <c r="A65" s="238" t="s">
        <v>1681</v>
      </c>
      <c r="B65" s="239"/>
      <c r="C65" s="240"/>
      <c r="D65" s="239"/>
      <c r="E65" s="239"/>
      <c r="F65" s="239"/>
      <c r="G65" s="241">
        <f>SUM(G60:G64)</f>
        <v>17.981400000000001</v>
      </c>
    </row>
    <row r="66" spans="1:7" x14ac:dyDescent="0.2">
      <c r="A66" s="227" t="s">
        <v>1684</v>
      </c>
      <c r="B66" s="132"/>
      <c r="C66" s="188"/>
      <c r="D66" s="132"/>
      <c r="E66" s="132"/>
      <c r="F66" s="132"/>
      <c r="G66" s="218"/>
    </row>
    <row r="67" spans="1:7" ht="25.5" x14ac:dyDescent="0.2">
      <c r="A67" s="229" t="s">
        <v>1409</v>
      </c>
      <c r="B67" s="242"/>
      <c r="C67" s="243"/>
      <c r="D67" s="232" t="s">
        <v>1408</v>
      </c>
      <c r="E67" s="231" t="s">
        <v>1679</v>
      </c>
      <c r="F67" s="232" t="s">
        <v>1683</v>
      </c>
      <c r="G67" s="234" t="s">
        <v>1675</v>
      </c>
    </row>
    <row r="68" spans="1:7" x14ac:dyDescent="0.2">
      <c r="A68" s="244" t="s">
        <v>1106</v>
      </c>
      <c r="B68" s="132"/>
      <c r="C68" s="188"/>
      <c r="D68" s="215" t="s">
        <v>1506</v>
      </c>
      <c r="E68" s="215">
        <v>1</v>
      </c>
      <c r="F68" s="216">
        <v>680</v>
      </c>
      <c r="G68" s="218">
        <f>E68*F68</f>
        <v>680</v>
      </c>
    </row>
    <row r="69" spans="1:7" x14ac:dyDescent="0.2">
      <c r="A69" s="244" t="s">
        <v>1107</v>
      </c>
      <c r="B69" s="132"/>
      <c r="C69" s="188"/>
      <c r="D69" s="215"/>
      <c r="E69" s="215"/>
      <c r="F69" s="216"/>
      <c r="G69" s="218"/>
    </row>
    <row r="70" spans="1:7" x14ac:dyDescent="0.2">
      <c r="A70" s="244" t="s">
        <v>1108</v>
      </c>
      <c r="B70" s="132"/>
      <c r="C70" s="188"/>
      <c r="D70" s="215" t="s">
        <v>1506</v>
      </c>
      <c r="E70" s="215">
        <v>1</v>
      </c>
      <c r="F70" s="216">
        <v>12</v>
      </c>
      <c r="G70" s="218">
        <f>E70*F70</f>
        <v>12</v>
      </c>
    </row>
    <row r="71" spans="1:7" x14ac:dyDescent="0.2">
      <c r="A71" s="214"/>
      <c r="B71" s="132"/>
      <c r="C71" s="245"/>
      <c r="D71" s="215"/>
      <c r="E71" s="215"/>
      <c r="F71" s="216"/>
      <c r="G71" s="218"/>
    </row>
    <row r="72" spans="1:7" x14ac:dyDescent="0.2">
      <c r="A72" s="214"/>
      <c r="B72" s="132"/>
      <c r="C72" s="245"/>
      <c r="D72" s="215"/>
      <c r="E72" s="215"/>
      <c r="F72" s="216"/>
      <c r="G72" s="218"/>
    </row>
    <row r="73" spans="1:7" x14ac:dyDescent="0.2">
      <c r="A73" s="238" t="s">
        <v>1692</v>
      </c>
      <c r="B73" s="239"/>
      <c r="C73" s="240"/>
      <c r="D73" s="240"/>
      <c r="E73" s="240"/>
      <c r="F73" s="239"/>
      <c r="G73" s="241">
        <f>SUM(G68:G72)</f>
        <v>692</v>
      </c>
    </row>
    <row r="74" spans="1:7" x14ac:dyDescent="0.2">
      <c r="A74" s="227" t="s">
        <v>1680</v>
      </c>
      <c r="B74" s="132"/>
      <c r="C74" s="188"/>
      <c r="D74" s="132"/>
      <c r="E74" s="188"/>
      <c r="F74" s="132"/>
      <c r="G74" s="218"/>
    </row>
    <row r="75" spans="1:7" ht="25.5" x14ac:dyDescent="0.2">
      <c r="A75" s="229" t="s">
        <v>1409</v>
      </c>
      <c r="B75" s="242"/>
      <c r="C75" s="243"/>
      <c r="D75" s="232" t="s">
        <v>1408</v>
      </c>
      <c r="E75" s="231" t="s">
        <v>1679</v>
      </c>
      <c r="F75" s="232" t="s">
        <v>1676</v>
      </c>
      <c r="G75" s="234" t="s">
        <v>1675</v>
      </c>
    </row>
    <row r="76" spans="1:7" x14ac:dyDescent="0.2">
      <c r="A76" s="208" t="s">
        <v>975</v>
      </c>
      <c r="B76" s="209"/>
      <c r="C76" s="246"/>
      <c r="D76" s="215" t="s">
        <v>976</v>
      </c>
      <c r="E76" s="215">
        <v>0.15</v>
      </c>
      <c r="F76" s="247">
        <v>5</v>
      </c>
      <c r="G76" s="218">
        <f>E76*F76</f>
        <v>0.75</v>
      </c>
    </row>
    <row r="77" spans="1:7" x14ac:dyDescent="0.2">
      <c r="A77" s="214"/>
      <c r="B77" s="132"/>
      <c r="C77" s="248"/>
      <c r="D77" s="215"/>
      <c r="E77" s="215"/>
      <c r="F77" s="247"/>
      <c r="G77" s="218"/>
    </row>
    <row r="78" spans="1:7" x14ac:dyDescent="0.2">
      <c r="A78" s="219" t="s">
        <v>1682</v>
      </c>
      <c r="B78" s="220"/>
      <c r="C78" s="249"/>
      <c r="D78" s="221" t="s">
        <v>1682</v>
      </c>
      <c r="E78" s="221"/>
      <c r="F78" s="222" t="s">
        <v>1682</v>
      </c>
      <c r="G78" s="224" t="s">
        <v>1682</v>
      </c>
    </row>
    <row r="79" spans="1:7" ht="13.5" thickBot="1" x14ac:dyDescent="0.25">
      <c r="A79" s="250" t="s">
        <v>977</v>
      </c>
      <c r="B79" s="251"/>
      <c r="C79" s="252"/>
      <c r="D79" s="252"/>
      <c r="E79" s="252"/>
      <c r="F79" s="251"/>
      <c r="G79" s="253">
        <f>SUM(G76:G78)</f>
        <v>0.75</v>
      </c>
    </row>
    <row r="80" spans="1:7" x14ac:dyDescent="0.2">
      <c r="A80" s="132"/>
      <c r="B80" s="132"/>
      <c r="C80" s="254"/>
      <c r="D80" s="198"/>
      <c r="E80" s="198"/>
      <c r="F80" s="255" t="s">
        <v>978</v>
      </c>
      <c r="G80" s="256">
        <f>G57+G65+G73+G79</f>
        <v>711.48140000000001</v>
      </c>
    </row>
    <row r="81" spans="1:7" x14ac:dyDescent="0.2">
      <c r="A81" s="132"/>
      <c r="B81" s="132"/>
      <c r="C81" s="257"/>
      <c r="D81" s="239"/>
      <c r="E81" s="239"/>
      <c r="F81" s="258" t="s">
        <v>979</v>
      </c>
      <c r="G81" s="241"/>
    </row>
    <row r="82" spans="1:7" x14ac:dyDescent="0.2">
      <c r="A82" s="132"/>
      <c r="B82" s="132"/>
      <c r="C82" s="257"/>
      <c r="D82" s="239"/>
      <c r="E82" s="239"/>
      <c r="F82" s="258" t="s">
        <v>980</v>
      </c>
      <c r="G82" s="241"/>
    </row>
    <row r="83" spans="1:7" x14ac:dyDescent="0.2">
      <c r="A83" s="132"/>
      <c r="B83" s="132"/>
      <c r="C83" s="257"/>
      <c r="D83" s="239"/>
      <c r="E83" s="239"/>
      <c r="F83" s="259" t="s">
        <v>1670</v>
      </c>
      <c r="G83" s="260"/>
    </row>
    <row r="84" spans="1:7" ht="13.5" thickBot="1" x14ac:dyDescent="0.25">
      <c r="A84" s="193"/>
      <c r="B84" s="132"/>
      <c r="C84" s="261"/>
      <c r="D84" s="251"/>
      <c r="E84" s="251"/>
      <c r="F84" s="262" t="s">
        <v>1650</v>
      </c>
      <c r="G84" s="263"/>
    </row>
    <row r="85" spans="1:7" ht="15.75" x14ac:dyDescent="0.2">
      <c r="A85" s="186" t="s">
        <v>1701</v>
      </c>
      <c r="B85" s="132"/>
      <c r="C85" s="187" t="s">
        <v>742</v>
      </c>
      <c r="D85" s="132"/>
      <c r="E85" s="132"/>
      <c r="F85" s="188"/>
      <c r="G85" s="132"/>
    </row>
    <row r="86" spans="1:7" ht="15.75" x14ac:dyDescent="0.2">
      <c r="A86" s="186" t="s">
        <v>1700</v>
      </c>
      <c r="B86" s="189" t="s">
        <v>963</v>
      </c>
      <c r="C86" s="188"/>
      <c r="D86" s="132"/>
      <c r="E86" s="132"/>
      <c r="F86" s="190"/>
      <c r="G86" s="191"/>
    </row>
    <row r="87" spans="1:7" ht="14.25" x14ac:dyDescent="0.2">
      <c r="A87" s="189"/>
      <c r="B87" s="189"/>
      <c r="C87" s="187"/>
      <c r="D87" s="189"/>
      <c r="E87" s="189"/>
      <c r="F87" s="189"/>
      <c r="G87" s="189"/>
    </row>
    <row r="88" spans="1:7" ht="15.75" x14ac:dyDescent="0.2">
      <c r="A88" s="186" t="s">
        <v>1697</v>
      </c>
      <c r="B88" s="189"/>
      <c r="C88" s="188"/>
      <c r="D88" s="132"/>
      <c r="E88" s="132"/>
      <c r="F88" s="132"/>
      <c r="G88" s="132"/>
    </row>
    <row r="89" spans="1:7" ht="15" x14ac:dyDescent="0.2">
      <c r="A89" s="192"/>
      <c r="B89" s="189"/>
      <c r="C89" s="187"/>
      <c r="D89" s="189"/>
      <c r="E89" s="189"/>
      <c r="F89" s="189"/>
      <c r="G89" s="189"/>
    </row>
    <row r="90" spans="1:7" ht="14.25" x14ac:dyDescent="0.2">
      <c r="A90" s="193" t="s">
        <v>594</v>
      </c>
      <c r="B90" s="194">
        <v>3</v>
      </c>
      <c r="C90" s="188"/>
      <c r="D90" s="188"/>
      <c r="E90" s="188"/>
      <c r="F90" s="195" t="s">
        <v>1696</v>
      </c>
      <c r="G90" s="189" t="s">
        <v>1506</v>
      </c>
    </row>
    <row r="91" spans="1:7" ht="14.25" x14ac:dyDescent="0.2">
      <c r="A91" s="196" t="s">
        <v>964</v>
      </c>
      <c r="B91" s="194" t="s">
        <v>1113</v>
      </c>
      <c r="C91" s="188"/>
      <c r="D91" s="132"/>
      <c r="E91" s="132"/>
      <c r="F91" s="132"/>
      <c r="G91" s="132"/>
    </row>
    <row r="92" spans="1:7" ht="15" thickBot="1" x14ac:dyDescent="0.25">
      <c r="A92" s="187"/>
      <c r="B92" s="187"/>
      <c r="C92" s="187"/>
      <c r="D92" s="189"/>
      <c r="E92" s="189"/>
      <c r="F92" s="189"/>
      <c r="G92" s="189"/>
    </row>
    <row r="93" spans="1:7" x14ac:dyDescent="0.2">
      <c r="A93" s="197" t="s">
        <v>1695</v>
      </c>
      <c r="B93" s="198"/>
      <c r="C93" s="199"/>
      <c r="D93" s="198"/>
      <c r="E93" s="198"/>
      <c r="F93" s="198"/>
      <c r="G93" s="200"/>
    </row>
    <row r="94" spans="1:7" ht="25.5" x14ac:dyDescent="0.2">
      <c r="A94" s="202" t="s">
        <v>1409</v>
      </c>
      <c r="B94" s="203"/>
      <c r="C94" s="204" t="s">
        <v>966</v>
      </c>
      <c r="D94" s="205" t="s">
        <v>1694</v>
      </c>
      <c r="E94" s="205" t="s">
        <v>1693</v>
      </c>
      <c r="F94" s="206" t="s">
        <v>1687</v>
      </c>
      <c r="G94" s="207" t="s">
        <v>967</v>
      </c>
    </row>
    <row r="95" spans="1:7" x14ac:dyDescent="0.2">
      <c r="A95" s="208" t="s">
        <v>1468</v>
      </c>
      <c r="B95" s="209"/>
      <c r="C95" s="210">
        <v>1</v>
      </c>
      <c r="D95" s="211">
        <v>2.5</v>
      </c>
      <c r="E95" s="211">
        <f>C95*D95</f>
        <v>2.5</v>
      </c>
      <c r="F95" s="212">
        <v>0.3</v>
      </c>
      <c r="G95" s="213">
        <f>E95*F95</f>
        <v>0.75</v>
      </c>
    </row>
    <row r="96" spans="1:7" x14ac:dyDescent="0.2">
      <c r="A96" s="214"/>
      <c r="B96" s="132"/>
      <c r="C96" s="215"/>
      <c r="D96" s="216"/>
      <c r="E96" s="216"/>
      <c r="F96" s="217"/>
      <c r="G96" s="218"/>
    </row>
    <row r="97" spans="1:7" x14ac:dyDescent="0.2">
      <c r="A97" s="219" t="s">
        <v>1682</v>
      </c>
      <c r="B97" s="220"/>
      <c r="C97" s="221"/>
      <c r="D97" s="222" t="s">
        <v>1682</v>
      </c>
      <c r="E97" s="222" t="s">
        <v>1682</v>
      </c>
      <c r="F97" s="223"/>
      <c r="G97" s="224" t="s">
        <v>1682</v>
      </c>
    </row>
    <row r="98" spans="1:7" x14ac:dyDescent="0.2">
      <c r="A98" s="219" t="s">
        <v>968</v>
      </c>
      <c r="B98" s="220"/>
      <c r="C98" s="225"/>
      <c r="D98" s="220"/>
      <c r="E98" s="220"/>
      <c r="F98" s="226"/>
      <c r="G98" s="224">
        <f>SUM(G95:G97)</f>
        <v>0.75</v>
      </c>
    </row>
    <row r="99" spans="1:7" x14ac:dyDescent="0.2">
      <c r="A99" s="227" t="s">
        <v>1503</v>
      </c>
      <c r="B99" s="132"/>
      <c r="C99" s="188"/>
      <c r="D99" s="132"/>
      <c r="E99" s="132"/>
      <c r="F99" s="228"/>
      <c r="G99" s="218"/>
    </row>
    <row r="100" spans="1:7" ht="25.5" x14ac:dyDescent="0.2">
      <c r="A100" s="229" t="s">
        <v>1691</v>
      </c>
      <c r="B100" s="230"/>
      <c r="C100" s="231" t="s">
        <v>969</v>
      </c>
      <c r="D100" s="232" t="s">
        <v>1689</v>
      </c>
      <c r="E100" s="232" t="s">
        <v>1688</v>
      </c>
      <c r="F100" s="233" t="s">
        <v>1687</v>
      </c>
      <c r="G100" s="234" t="s">
        <v>1686</v>
      </c>
    </row>
    <row r="101" spans="1:7" x14ac:dyDescent="0.2">
      <c r="A101" s="235" t="s">
        <v>970</v>
      </c>
      <c r="B101" s="132"/>
      <c r="C101" s="236">
        <v>1</v>
      </c>
      <c r="D101" s="237">
        <v>2.16</v>
      </c>
      <c r="E101" s="216">
        <v>2.16</v>
      </c>
      <c r="F101" s="217">
        <v>3.69</v>
      </c>
      <c r="G101" s="218">
        <f>E101*F101</f>
        <v>7.9704000000000006</v>
      </c>
    </row>
    <row r="102" spans="1:7" x14ac:dyDescent="0.2">
      <c r="A102" s="235" t="s">
        <v>971</v>
      </c>
      <c r="B102" s="132"/>
      <c r="C102" s="236">
        <v>1</v>
      </c>
      <c r="D102" s="237">
        <v>2.13</v>
      </c>
      <c r="E102" s="216">
        <f>C102*D102</f>
        <v>2.13</v>
      </c>
      <c r="F102" s="217">
        <v>2.75</v>
      </c>
      <c r="G102" s="218">
        <f>E102*F102</f>
        <v>5.8574999999999999</v>
      </c>
    </row>
    <row r="103" spans="1:7" x14ac:dyDescent="0.2">
      <c r="A103" s="235" t="s">
        <v>590</v>
      </c>
      <c r="B103" s="132"/>
      <c r="C103" s="236">
        <v>1</v>
      </c>
      <c r="D103" s="237">
        <v>2.13</v>
      </c>
      <c r="E103" s="216">
        <f>C103*D103</f>
        <v>2.13</v>
      </c>
      <c r="F103" s="217">
        <v>1.95</v>
      </c>
      <c r="G103" s="218">
        <f>E103*F103</f>
        <v>4.1534999999999993</v>
      </c>
    </row>
    <row r="104" spans="1:7" x14ac:dyDescent="0.2">
      <c r="A104" s="235"/>
      <c r="B104" s="132"/>
      <c r="C104" s="236"/>
      <c r="D104" s="237"/>
      <c r="E104" s="216"/>
      <c r="F104" s="217"/>
      <c r="G104" s="218"/>
    </row>
    <row r="105" spans="1:7" x14ac:dyDescent="0.2">
      <c r="A105" s="219" t="s">
        <v>1682</v>
      </c>
      <c r="B105" s="220"/>
      <c r="C105" s="221"/>
      <c r="D105" s="222" t="s">
        <v>1682</v>
      </c>
      <c r="E105" s="222" t="s">
        <v>1682</v>
      </c>
      <c r="F105" s="223"/>
      <c r="G105" s="224" t="s">
        <v>1682</v>
      </c>
    </row>
    <row r="106" spans="1:7" x14ac:dyDescent="0.2">
      <c r="A106" s="238" t="s">
        <v>1681</v>
      </c>
      <c r="B106" s="239"/>
      <c r="C106" s="240"/>
      <c r="D106" s="239"/>
      <c r="E106" s="239"/>
      <c r="F106" s="239"/>
      <c r="G106" s="241">
        <f>SUM(G101:G105)</f>
        <v>17.981400000000001</v>
      </c>
    </row>
    <row r="107" spans="1:7" x14ac:dyDescent="0.2">
      <c r="A107" s="227" t="s">
        <v>1684</v>
      </c>
      <c r="B107" s="132"/>
      <c r="C107" s="188"/>
      <c r="D107" s="132"/>
      <c r="E107" s="132"/>
      <c r="F107" s="132"/>
      <c r="G107" s="218"/>
    </row>
    <row r="108" spans="1:7" ht="25.5" x14ac:dyDescent="0.2">
      <c r="A108" s="229" t="s">
        <v>1409</v>
      </c>
      <c r="B108" s="242"/>
      <c r="C108" s="243"/>
      <c r="D108" s="232" t="s">
        <v>1408</v>
      </c>
      <c r="E108" s="231" t="s">
        <v>1679</v>
      </c>
      <c r="F108" s="232" t="s">
        <v>1683</v>
      </c>
      <c r="G108" s="234" t="s">
        <v>1675</v>
      </c>
    </row>
    <row r="109" spans="1:7" x14ac:dyDescent="0.2">
      <c r="A109" s="244" t="s">
        <v>1114</v>
      </c>
      <c r="B109" s="132"/>
      <c r="C109" s="188"/>
      <c r="D109" s="215" t="s">
        <v>1506</v>
      </c>
      <c r="E109" s="215">
        <v>1</v>
      </c>
      <c r="F109" s="216">
        <v>580</v>
      </c>
      <c r="G109" s="218">
        <f>E109*F109</f>
        <v>580</v>
      </c>
    </row>
    <row r="110" spans="1:7" x14ac:dyDescent="0.2">
      <c r="A110" s="244" t="s">
        <v>1115</v>
      </c>
      <c r="B110" s="132"/>
      <c r="C110" s="188"/>
      <c r="D110" s="215"/>
      <c r="E110" s="215"/>
      <c r="F110" s="216"/>
      <c r="G110" s="218"/>
    </row>
    <row r="111" spans="1:7" x14ac:dyDescent="0.2">
      <c r="A111" s="244" t="s">
        <v>1116</v>
      </c>
      <c r="B111" s="132"/>
      <c r="C111" s="188"/>
      <c r="D111" s="215" t="s">
        <v>1506</v>
      </c>
      <c r="E111" s="215">
        <v>1</v>
      </c>
      <c r="F111" s="216">
        <v>12</v>
      </c>
      <c r="G111" s="218">
        <f>E111*F111</f>
        <v>12</v>
      </c>
    </row>
    <row r="112" spans="1:7" x14ac:dyDescent="0.2">
      <c r="A112" s="214"/>
      <c r="B112" s="132"/>
      <c r="C112" s="245"/>
      <c r="D112" s="215"/>
      <c r="E112" s="215"/>
      <c r="F112" s="216"/>
      <c r="G112" s="218"/>
    </row>
    <row r="113" spans="1:7" x14ac:dyDescent="0.2">
      <c r="A113" s="214"/>
      <c r="B113" s="132"/>
      <c r="C113" s="245"/>
      <c r="D113" s="215"/>
      <c r="E113" s="215"/>
      <c r="F113" s="216"/>
      <c r="G113" s="218"/>
    </row>
    <row r="114" spans="1:7" x14ac:dyDescent="0.2">
      <c r="A114" s="238" t="s">
        <v>1692</v>
      </c>
      <c r="B114" s="239"/>
      <c r="C114" s="240"/>
      <c r="D114" s="240"/>
      <c r="E114" s="240"/>
      <c r="F114" s="239"/>
      <c r="G114" s="241">
        <f>SUM(G109:G113)</f>
        <v>592</v>
      </c>
    </row>
    <row r="115" spans="1:7" x14ac:dyDescent="0.2">
      <c r="A115" s="227" t="s">
        <v>1680</v>
      </c>
      <c r="B115" s="132"/>
      <c r="C115" s="188"/>
      <c r="D115" s="132"/>
      <c r="E115" s="188"/>
      <c r="F115" s="132"/>
      <c r="G115" s="218"/>
    </row>
    <row r="116" spans="1:7" ht="25.5" x14ac:dyDescent="0.2">
      <c r="A116" s="229" t="s">
        <v>1409</v>
      </c>
      <c r="B116" s="242"/>
      <c r="C116" s="243"/>
      <c r="D116" s="232" t="s">
        <v>1408</v>
      </c>
      <c r="E116" s="231" t="s">
        <v>1679</v>
      </c>
      <c r="F116" s="232" t="s">
        <v>1676</v>
      </c>
      <c r="G116" s="234" t="s">
        <v>1675</v>
      </c>
    </row>
    <row r="117" spans="1:7" x14ac:dyDescent="0.2">
      <c r="A117" s="208" t="s">
        <v>975</v>
      </c>
      <c r="B117" s="209"/>
      <c r="C117" s="246"/>
      <c r="D117" s="215" t="s">
        <v>976</v>
      </c>
      <c r="E117" s="215">
        <v>0.15</v>
      </c>
      <c r="F117" s="247">
        <v>5</v>
      </c>
      <c r="G117" s="218">
        <f>E117*F117</f>
        <v>0.75</v>
      </c>
    </row>
    <row r="118" spans="1:7" x14ac:dyDescent="0.2">
      <c r="A118" s="214"/>
      <c r="B118" s="132"/>
      <c r="C118" s="248"/>
      <c r="D118" s="215"/>
      <c r="E118" s="215"/>
      <c r="F118" s="247"/>
      <c r="G118" s="218"/>
    </row>
    <row r="119" spans="1:7" x14ac:dyDescent="0.2">
      <c r="A119" s="219" t="s">
        <v>1682</v>
      </c>
      <c r="B119" s="220"/>
      <c r="C119" s="249"/>
      <c r="D119" s="221" t="s">
        <v>1682</v>
      </c>
      <c r="E119" s="221"/>
      <c r="F119" s="222" t="s">
        <v>1682</v>
      </c>
      <c r="G119" s="224" t="s">
        <v>1682</v>
      </c>
    </row>
    <row r="120" spans="1:7" ht="13.5" thickBot="1" x14ac:dyDescent="0.25">
      <c r="A120" s="250" t="s">
        <v>977</v>
      </c>
      <c r="B120" s="251"/>
      <c r="C120" s="252"/>
      <c r="D120" s="252"/>
      <c r="E120" s="252"/>
      <c r="F120" s="251"/>
      <c r="G120" s="253">
        <f>SUM(G117:G119)</f>
        <v>0.75</v>
      </c>
    </row>
    <row r="121" spans="1:7" x14ac:dyDescent="0.2">
      <c r="A121" s="132"/>
      <c r="B121" s="132"/>
      <c r="C121" s="254"/>
      <c r="D121" s="198"/>
      <c r="E121" s="198"/>
      <c r="F121" s="255" t="s">
        <v>978</v>
      </c>
      <c r="G121" s="256">
        <f>G98+G106+G114+G120</f>
        <v>611.48140000000001</v>
      </c>
    </row>
    <row r="122" spans="1:7" x14ac:dyDescent="0.2">
      <c r="A122" s="132"/>
      <c r="B122" s="132"/>
      <c r="C122" s="257"/>
      <c r="D122" s="239"/>
      <c r="E122" s="239"/>
      <c r="F122" s="258" t="s">
        <v>979</v>
      </c>
      <c r="G122" s="241"/>
    </row>
    <row r="123" spans="1:7" x14ac:dyDescent="0.2">
      <c r="A123" s="132"/>
      <c r="B123" s="132"/>
      <c r="C123" s="257"/>
      <c r="D123" s="239"/>
      <c r="E123" s="239"/>
      <c r="F123" s="258" t="s">
        <v>980</v>
      </c>
      <c r="G123" s="241"/>
    </row>
    <row r="124" spans="1:7" x14ac:dyDescent="0.2">
      <c r="A124" s="132"/>
      <c r="B124" s="132"/>
      <c r="C124" s="257"/>
      <c r="D124" s="239"/>
      <c r="E124" s="239"/>
      <c r="F124" s="259" t="s">
        <v>1670</v>
      </c>
      <c r="G124" s="260"/>
    </row>
    <row r="125" spans="1:7" ht="13.5" thickBot="1" x14ac:dyDescent="0.25">
      <c r="A125" s="193"/>
      <c r="B125" s="132"/>
      <c r="C125" s="261"/>
      <c r="D125" s="251"/>
      <c r="E125" s="251"/>
      <c r="F125" s="262" t="s">
        <v>1650</v>
      </c>
      <c r="G125" s="263"/>
    </row>
    <row r="126" spans="1:7" ht="15.75" x14ac:dyDescent="0.2">
      <c r="A126" s="186" t="s">
        <v>1701</v>
      </c>
      <c r="B126" s="132"/>
      <c r="C126" s="187" t="s">
        <v>742</v>
      </c>
      <c r="D126" s="132"/>
      <c r="E126" s="132"/>
      <c r="F126" s="188"/>
      <c r="G126" s="132"/>
    </row>
    <row r="127" spans="1:7" ht="15.75" x14ac:dyDescent="0.2">
      <c r="A127" s="186" t="s">
        <v>1700</v>
      </c>
      <c r="B127" s="189" t="s">
        <v>963</v>
      </c>
      <c r="C127" s="188"/>
      <c r="D127" s="132"/>
      <c r="E127" s="132"/>
      <c r="F127" s="190"/>
      <c r="G127" s="191"/>
    </row>
    <row r="128" spans="1:7" ht="14.25" x14ac:dyDescent="0.2">
      <c r="A128" s="189"/>
      <c r="B128" s="189"/>
      <c r="C128" s="187"/>
      <c r="D128" s="189"/>
      <c r="E128" s="189"/>
      <c r="F128" s="189"/>
      <c r="G128" s="189"/>
    </row>
    <row r="129" spans="1:7" ht="15.75" x14ac:dyDescent="0.2">
      <c r="A129" s="186" t="s">
        <v>1697</v>
      </c>
      <c r="B129" s="189"/>
      <c r="C129" s="188"/>
      <c r="D129" s="132"/>
      <c r="E129" s="132"/>
      <c r="F129" s="132"/>
      <c r="G129" s="132"/>
    </row>
    <row r="130" spans="1:7" ht="15" x14ac:dyDescent="0.2">
      <c r="A130" s="192"/>
      <c r="B130" s="189"/>
      <c r="C130" s="187"/>
      <c r="D130" s="189"/>
      <c r="E130" s="189"/>
      <c r="F130" s="189"/>
      <c r="G130" s="189"/>
    </row>
    <row r="131" spans="1:7" ht="14.25" x14ac:dyDescent="0.2">
      <c r="A131" s="193" t="s">
        <v>594</v>
      </c>
      <c r="B131" s="194">
        <v>4</v>
      </c>
      <c r="C131" s="188"/>
      <c r="D131" s="188"/>
      <c r="E131" s="188"/>
      <c r="F131" s="195" t="s">
        <v>1696</v>
      </c>
      <c r="G131" s="189" t="s">
        <v>1506</v>
      </c>
    </row>
    <row r="132" spans="1:7" ht="14.25" x14ac:dyDescent="0.2">
      <c r="A132" s="196" t="s">
        <v>964</v>
      </c>
      <c r="B132" s="194" t="s">
        <v>215</v>
      </c>
      <c r="C132" s="188"/>
      <c r="D132" s="132"/>
      <c r="E132" s="132"/>
      <c r="F132" s="132"/>
      <c r="G132" s="132"/>
    </row>
    <row r="133" spans="1:7" ht="15" thickBot="1" x14ac:dyDescent="0.25">
      <c r="A133" s="187"/>
      <c r="B133" s="187"/>
      <c r="C133" s="187"/>
      <c r="D133" s="189"/>
      <c r="E133" s="189"/>
      <c r="F133" s="189"/>
      <c r="G133" s="189"/>
    </row>
    <row r="134" spans="1:7" x14ac:dyDescent="0.2">
      <c r="A134" s="197" t="s">
        <v>1695</v>
      </c>
      <c r="B134" s="198"/>
      <c r="C134" s="199"/>
      <c r="D134" s="198"/>
      <c r="E134" s="198"/>
      <c r="F134" s="198"/>
      <c r="G134" s="200"/>
    </row>
    <row r="135" spans="1:7" ht="25.5" x14ac:dyDescent="0.2">
      <c r="A135" s="202" t="s">
        <v>1409</v>
      </c>
      <c r="B135" s="203"/>
      <c r="C135" s="204" t="s">
        <v>966</v>
      </c>
      <c r="D135" s="205" t="s">
        <v>1694</v>
      </c>
      <c r="E135" s="205" t="s">
        <v>1693</v>
      </c>
      <c r="F135" s="206" t="s">
        <v>1687</v>
      </c>
      <c r="G135" s="207" t="s">
        <v>967</v>
      </c>
    </row>
    <row r="136" spans="1:7" x14ac:dyDescent="0.2">
      <c r="A136" s="208" t="s">
        <v>1468</v>
      </c>
      <c r="B136" s="209"/>
      <c r="C136" s="210">
        <v>1</v>
      </c>
      <c r="D136" s="211">
        <v>2.5</v>
      </c>
      <c r="E136" s="211">
        <f>C136*D136</f>
        <v>2.5</v>
      </c>
      <c r="F136" s="212">
        <v>0.6</v>
      </c>
      <c r="G136" s="213">
        <f>E136*F136</f>
        <v>1.5</v>
      </c>
    </row>
    <row r="137" spans="1:7" x14ac:dyDescent="0.2">
      <c r="A137" s="214"/>
      <c r="B137" s="132"/>
      <c r="C137" s="215"/>
      <c r="D137" s="216"/>
      <c r="E137" s="216"/>
      <c r="F137" s="217"/>
      <c r="G137" s="218"/>
    </row>
    <row r="138" spans="1:7" x14ac:dyDescent="0.2">
      <c r="A138" s="219" t="s">
        <v>1682</v>
      </c>
      <c r="B138" s="220"/>
      <c r="C138" s="221"/>
      <c r="D138" s="222" t="s">
        <v>1682</v>
      </c>
      <c r="E138" s="222" t="s">
        <v>1682</v>
      </c>
      <c r="F138" s="223"/>
      <c r="G138" s="224" t="s">
        <v>1682</v>
      </c>
    </row>
    <row r="139" spans="1:7" x14ac:dyDescent="0.2">
      <c r="A139" s="219" t="s">
        <v>968</v>
      </c>
      <c r="B139" s="220"/>
      <c r="C139" s="225"/>
      <c r="D139" s="220"/>
      <c r="E139" s="220"/>
      <c r="F139" s="226"/>
      <c r="G139" s="224">
        <f>SUM(G136:G138)</f>
        <v>1.5</v>
      </c>
    </row>
    <row r="140" spans="1:7" x14ac:dyDescent="0.2">
      <c r="A140" s="227" t="s">
        <v>1503</v>
      </c>
      <c r="B140" s="132"/>
      <c r="C140" s="188"/>
      <c r="D140" s="132"/>
      <c r="E140" s="132"/>
      <c r="F140" s="228"/>
      <c r="G140" s="218"/>
    </row>
    <row r="141" spans="1:7" ht="25.5" x14ac:dyDescent="0.2">
      <c r="A141" s="229" t="s">
        <v>1691</v>
      </c>
      <c r="B141" s="230"/>
      <c r="C141" s="231" t="s">
        <v>969</v>
      </c>
      <c r="D141" s="232" t="s">
        <v>1689</v>
      </c>
      <c r="E141" s="232" t="s">
        <v>1688</v>
      </c>
      <c r="F141" s="233" t="s">
        <v>1687</v>
      </c>
      <c r="G141" s="234" t="s">
        <v>1686</v>
      </c>
    </row>
    <row r="142" spans="1:7" x14ac:dyDescent="0.2">
      <c r="A142" s="235" t="s">
        <v>970</v>
      </c>
      <c r="B142" s="132"/>
      <c r="C142" s="236">
        <v>1</v>
      </c>
      <c r="D142" s="237">
        <v>2.16</v>
      </c>
      <c r="E142" s="216">
        <v>2.16</v>
      </c>
      <c r="F142" s="217">
        <v>41</v>
      </c>
      <c r="G142" s="218">
        <f>E142*F142</f>
        <v>88.56</v>
      </c>
    </row>
    <row r="143" spans="1:7" x14ac:dyDescent="0.2">
      <c r="A143" s="235" t="s">
        <v>971</v>
      </c>
      <c r="B143" s="132"/>
      <c r="C143" s="236">
        <v>1</v>
      </c>
      <c r="D143" s="237">
        <v>2.13</v>
      </c>
      <c r="E143" s="216">
        <f>C143*D143</f>
        <v>2.13</v>
      </c>
      <c r="F143" s="217">
        <v>30.6</v>
      </c>
      <c r="G143" s="218">
        <f>E143*F143</f>
        <v>65.177999999999997</v>
      </c>
    </row>
    <row r="144" spans="1:7" x14ac:dyDescent="0.2">
      <c r="A144" s="235" t="s">
        <v>590</v>
      </c>
      <c r="B144" s="132"/>
      <c r="C144" s="236">
        <v>1</v>
      </c>
      <c r="D144" s="237">
        <v>2.13</v>
      </c>
      <c r="E144" s="216">
        <f>C144*D144</f>
        <v>2.13</v>
      </c>
      <c r="F144" s="217">
        <v>21.7</v>
      </c>
      <c r="G144" s="218">
        <f>E144*F144</f>
        <v>46.220999999999997</v>
      </c>
    </row>
    <row r="145" spans="1:7" x14ac:dyDescent="0.2">
      <c r="A145" s="235"/>
      <c r="B145" s="132"/>
      <c r="C145" s="236"/>
      <c r="D145" s="237"/>
      <c r="E145" s="216"/>
      <c r="F145" s="217"/>
      <c r="G145" s="218"/>
    </row>
    <row r="146" spans="1:7" x14ac:dyDescent="0.2">
      <c r="A146" s="219" t="s">
        <v>1682</v>
      </c>
      <c r="B146" s="220"/>
      <c r="C146" s="221"/>
      <c r="D146" s="222" t="s">
        <v>1682</v>
      </c>
      <c r="E146" s="222" t="s">
        <v>1682</v>
      </c>
      <c r="F146" s="223"/>
      <c r="G146" s="224" t="s">
        <v>1682</v>
      </c>
    </row>
    <row r="147" spans="1:7" x14ac:dyDescent="0.2">
      <c r="A147" s="238" t="s">
        <v>1681</v>
      </c>
      <c r="B147" s="239"/>
      <c r="C147" s="240"/>
      <c r="D147" s="239"/>
      <c r="E147" s="239"/>
      <c r="F147" s="239"/>
      <c r="G147" s="241">
        <f>SUM(G142:G146)</f>
        <v>199.959</v>
      </c>
    </row>
    <row r="148" spans="1:7" x14ac:dyDescent="0.2">
      <c r="A148" s="227" t="s">
        <v>1684</v>
      </c>
      <c r="B148" s="132"/>
      <c r="C148" s="188"/>
      <c r="D148" s="132"/>
      <c r="E148" s="132"/>
      <c r="F148" s="132"/>
      <c r="G148" s="218"/>
    </row>
    <row r="149" spans="1:7" ht="25.5" x14ac:dyDescent="0.2">
      <c r="A149" s="229" t="s">
        <v>1409</v>
      </c>
      <c r="B149" s="242"/>
      <c r="C149" s="243"/>
      <c r="D149" s="232" t="s">
        <v>1408</v>
      </c>
      <c r="E149" s="231" t="s">
        <v>1679</v>
      </c>
      <c r="F149" s="232" t="s">
        <v>1683</v>
      </c>
      <c r="G149" s="234" t="s">
        <v>1675</v>
      </c>
    </row>
    <row r="150" spans="1:7" x14ac:dyDescent="0.2">
      <c r="A150" s="244" t="s">
        <v>1117</v>
      </c>
      <c r="B150" s="132"/>
      <c r="C150" s="188"/>
      <c r="D150" s="215" t="s">
        <v>1506</v>
      </c>
      <c r="E150" s="215">
        <v>1</v>
      </c>
      <c r="F150" s="216">
        <v>4150</v>
      </c>
      <c r="G150" s="218">
        <f>E150*F150</f>
        <v>4150</v>
      </c>
    </row>
    <row r="151" spans="1:7" x14ac:dyDescent="0.2">
      <c r="A151" s="244" t="s">
        <v>1118</v>
      </c>
      <c r="B151" s="132"/>
      <c r="C151" s="188"/>
      <c r="D151" s="215"/>
      <c r="E151" s="215"/>
      <c r="F151" s="216"/>
      <c r="G151" s="218"/>
    </row>
    <row r="152" spans="1:7" x14ac:dyDescent="0.2">
      <c r="A152" s="244" t="s">
        <v>1119</v>
      </c>
      <c r="B152" s="132"/>
      <c r="C152" s="188"/>
      <c r="D152" s="215"/>
      <c r="E152" s="215"/>
      <c r="F152" s="216"/>
      <c r="G152" s="218"/>
    </row>
    <row r="153" spans="1:7" x14ac:dyDescent="0.2">
      <c r="A153" s="214"/>
      <c r="B153" s="132"/>
      <c r="C153" s="245"/>
      <c r="D153" s="215"/>
      <c r="E153" s="215"/>
      <c r="F153" s="216"/>
      <c r="G153" s="218"/>
    </row>
    <row r="154" spans="1:7" x14ac:dyDescent="0.2">
      <c r="A154" s="214"/>
      <c r="B154" s="132"/>
      <c r="C154" s="245"/>
      <c r="D154" s="215"/>
      <c r="E154" s="215"/>
      <c r="F154" s="216"/>
      <c r="G154" s="218"/>
    </row>
    <row r="155" spans="1:7" x14ac:dyDescent="0.2">
      <c r="A155" s="238" t="s">
        <v>1692</v>
      </c>
      <c r="B155" s="239"/>
      <c r="C155" s="240"/>
      <c r="D155" s="240"/>
      <c r="E155" s="240"/>
      <c r="F155" s="239"/>
      <c r="G155" s="241">
        <f>SUM(G150:G154)</f>
        <v>4150</v>
      </c>
    </row>
    <row r="156" spans="1:7" x14ac:dyDescent="0.2">
      <c r="A156" s="227" t="s">
        <v>1680</v>
      </c>
      <c r="B156" s="132"/>
      <c r="C156" s="188"/>
      <c r="D156" s="132"/>
      <c r="E156" s="188"/>
      <c r="F156" s="132"/>
      <c r="G156" s="218"/>
    </row>
    <row r="157" spans="1:7" ht="25.5" x14ac:dyDescent="0.2">
      <c r="A157" s="229" t="s">
        <v>1409</v>
      </c>
      <c r="B157" s="242"/>
      <c r="C157" s="243"/>
      <c r="D157" s="232" t="s">
        <v>1408</v>
      </c>
      <c r="E157" s="231" t="s">
        <v>1679</v>
      </c>
      <c r="F157" s="232" t="s">
        <v>1676</v>
      </c>
      <c r="G157" s="234" t="s">
        <v>1675</v>
      </c>
    </row>
    <row r="158" spans="1:7" x14ac:dyDescent="0.2">
      <c r="A158" s="208" t="s">
        <v>975</v>
      </c>
      <c r="B158" s="209"/>
      <c r="C158" s="246"/>
      <c r="D158" s="215" t="s">
        <v>976</v>
      </c>
      <c r="E158" s="215">
        <v>0.3</v>
      </c>
      <c r="F158" s="247">
        <v>5</v>
      </c>
      <c r="G158" s="218">
        <f>E158*F158</f>
        <v>1.5</v>
      </c>
    </row>
    <row r="159" spans="1:7" x14ac:dyDescent="0.2">
      <c r="A159" s="214"/>
      <c r="B159" s="132"/>
      <c r="C159" s="248"/>
      <c r="D159" s="215"/>
      <c r="E159" s="215"/>
      <c r="F159" s="247"/>
      <c r="G159" s="218"/>
    </row>
    <row r="160" spans="1:7" x14ac:dyDescent="0.2">
      <c r="A160" s="219" t="s">
        <v>1682</v>
      </c>
      <c r="B160" s="220"/>
      <c r="C160" s="249"/>
      <c r="D160" s="221" t="s">
        <v>1682</v>
      </c>
      <c r="E160" s="221"/>
      <c r="F160" s="222" t="s">
        <v>1682</v>
      </c>
      <c r="G160" s="224" t="s">
        <v>1682</v>
      </c>
    </row>
    <row r="161" spans="1:7" ht="13.5" thickBot="1" x14ac:dyDescent="0.25">
      <c r="A161" s="250" t="s">
        <v>977</v>
      </c>
      <c r="B161" s="251"/>
      <c r="C161" s="252"/>
      <c r="D161" s="252"/>
      <c r="E161" s="252"/>
      <c r="F161" s="251"/>
      <c r="G161" s="253">
        <f>SUM(G158:G160)</f>
        <v>1.5</v>
      </c>
    </row>
    <row r="162" spans="1:7" x14ac:dyDescent="0.2">
      <c r="A162" s="132"/>
      <c r="B162" s="132"/>
      <c r="C162" s="254"/>
      <c r="D162" s="198"/>
      <c r="E162" s="198"/>
      <c r="F162" s="255" t="s">
        <v>978</v>
      </c>
      <c r="G162" s="256">
        <f>G139+G147+G155+G161</f>
        <v>4352.9589999999998</v>
      </c>
    </row>
    <row r="163" spans="1:7" x14ac:dyDescent="0.2">
      <c r="A163" s="132"/>
      <c r="B163" s="132"/>
      <c r="C163" s="257"/>
      <c r="D163" s="239"/>
      <c r="E163" s="239"/>
      <c r="F163" s="258" t="s">
        <v>979</v>
      </c>
      <c r="G163" s="241"/>
    </row>
    <row r="164" spans="1:7" x14ac:dyDescent="0.2">
      <c r="A164" s="132"/>
      <c r="B164" s="132"/>
      <c r="C164" s="257"/>
      <c r="D164" s="239"/>
      <c r="E164" s="239"/>
      <c r="F164" s="258" t="s">
        <v>980</v>
      </c>
      <c r="G164" s="241"/>
    </row>
    <row r="165" spans="1:7" x14ac:dyDescent="0.2">
      <c r="A165" s="132"/>
      <c r="B165" s="132"/>
      <c r="C165" s="257"/>
      <c r="D165" s="239"/>
      <c r="E165" s="239"/>
      <c r="F165" s="259" t="s">
        <v>1670</v>
      </c>
      <c r="G165" s="260"/>
    </row>
    <row r="166" spans="1:7" ht="13.5" thickBot="1" x14ac:dyDescent="0.25">
      <c r="A166" s="193"/>
      <c r="B166" s="132"/>
      <c r="C166" s="261"/>
      <c r="D166" s="251"/>
      <c r="E166" s="251"/>
      <c r="F166" s="262" t="s">
        <v>1650</v>
      </c>
      <c r="G166" s="263"/>
    </row>
    <row r="167" spans="1:7" ht="15.75" x14ac:dyDescent="0.2">
      <c r="A167" s="186" t="s">
        <v>1701</v>
      </c>
      <c r="B167" s="132"/>
      <c r="C167" s="187" t="s">
        <v>742</v>
      </c>
      <c r="D167" s="132"/>
      <c r="E167" s="132"/>
      <c r="F167" s="188"/>
      <c r="G167" s="132"/>
    </row>
    <row r="168" spans="1:7" ht="15.75" x14ac:dyDescent="0.2">
      <c r="A168" s="186" t="s">
        <v>1700</v>
      </c>
      <c r="B168" s="189" t="s">
        <v>963</v>
      </c>
      <c r="C168" s="188"/>
      <c r="D168" s="132"/>
      <c r="E168" s="132"/>
      <c r="F168" s="190"/>
      <c r="G168" s="191"/>
    </row>
    <row r="169" spans="1:7" ht="14.25" x14ac:dyDescent="0.2">
      <c r="A169" s="189"/>
      <c r="B169" s="189"/>
      <c r="C169" s="187"/>
      <c r="D169" s="189"/>
      <c r="E169" s="189"/>
      <c r="F169" s="189"/>
      <c r="G169" s="189"/>
    </row>
    <row r="170" spans="1:7" ht="15.75" x14ac:dyDescent="0.2">
      <c r="A170" s="186" t="s">
        <v>1697</v>
      </c>
      <c r="B170" s="189"/>
      <c r="C170" s="188"/>
      <c r="D170" s="132"/>
      <c r="E170" s="132"/>
      <c r="F170" s="132"/>
      <c r="G170" s="132"/>
    </row>
    <row r="171" spans="1:7" ht="15" x14ac:dyDescent="0.2">
      <c r="A171" s="192"/>
      <c r="B171" s="189"/>
      <c r="C171" s="187"/>
      <c r="D171" s="189"/>
      <c r="E171" s="189"/>
      <c r="F171" s="189"/>
      <c r="G171" s="189"/>
    </row>
    <row r="172" spans="1:7" ht="14.25" x14ac:dyDescent="0.2">
      <c r="A172" s="193" t="s">
        <v>594</v>
      </c>
      <c r="B172" s="194">
        <v>5</v>
      </c>
      <c r="C172" s="188"/>
      <c r="D172" s="188"/>
      <c r="E172" s="188"/>
      <c r="F172" s="195" t="s">
        <v>1696</v>
      </c>
      <c r="G172" s="189" t="s">
        <v>1506</v>
      </c>
    </row>
    <row r="173" spans="1:7" ht="14.25" x14ac:dyDescent="0.2">
      <c r="A173" s="196" t="s">
        <v>964</v>
      </c>
      <c r="B173" s="194" t="s">
        <v>1120</v>
      </c>
      <c r="C173" s="188"/>
      <c r="D173" s="132"/>
      <c r="E173" s="132"/>
      <c r="F173" s="132"/>
      <c r="G173" s="132"/>
    </row>
    <row r="174" spans="1:7" ht="15" thickBot="1" x14ac:dyDescent="0.25">
      <c r="A174" s="187"/>
      <c r="B174" s="187"/>
      <c r="C174" s="187"/>
      <c r="D174" s="189"/>
      <c r="E174" s="189"/>
      <c r="F174" s="189"/>
      <c r="G174" s="189"/>
    </row>
    <row r="175" spans="1:7" x14ac:dyDescent="0.2">
      <c r="A175" s="197" t="s">
        <v>1695</v>
      </c>
      <c r="B175" s="198"/>
      <c r="C175" s="199"/>
      <c r="D175" s="198"/>
      <c r="E175" s="198"/>
      <c r="F175" s="198"/>
      <c r="G175" s="200"/>
    </row>
    <row r="176" spans="1:7" ht="25.5" x14ac:dyDescent="0.2">
      <c r="A176" s="202" t="s">
        <v>1409</v>
      </c>
      <c r="B176" s="203"/>
      <c r="C176" s="204" t="s">
        <v>966</v>
      </c>
      <c r="D176" s="205" t="s">
        <v>1694</v>
      </c>
      <c r="E176" s="205" t="s">
        <v>1693</v>
      </c>
      <c r="F176" s="206" t="s">
        <v>1687</v>
      </c>
      <c r="G176" s="207" t="s">
        <v>967</v>
      </c>
    </row>
    <row r="177" spans="1:7" x14ac:dyDescent="0.2">
      <c r="A177" s="208" t="s">
        <v>1468</v>
      </c>
      <c r="B177" s="209"/>
      <c r="C177" s="210">
        <v>1</v>
      </c>
      <c r="D177" s="211">
        <v>2.5</v>
      </c>
      <c r="E177" s="211">
        <f>C177*D177</f>
        <v>2.5</v>
      </c>
      <c r="F177" s="212">
        <v>0.6</v>
      </c>
      <c r="G177" s="213">
        <f>E177*F177</f>
        <v>1.5</v>
      </c>
    </row>
    <row r="178" spans="1:7" x14ac:dyDescent="0.2">
      <c r="A178" s="214"/>
      <c r="B178" s="132"/>
      <c r="C178" s="215"/>
      <c r="D178" s="216"/>
      <c r="E178" s="216"/>
      <c r="F178" s="217"/>
      <c r="G178" s="218"/>
    </row>
    <row r="179" spans="1:7" x14ac:dyDescent="0.2">
      <c r="A179" s="219" t="s">
        <v>1682</v>
      </c>
      <c r="B179" s="220"/>
      <c r="C179" s="221"/>
      <c r="D179" s="222" t="s">
        <v>1682</v>
      </c>
      <c r="E179" s="222" t="s">
        <v>1682</v>
      </c>
      <c r="F179" s="223"/>
      <c r="G179" s="224" t="s">
        <v>1682</v>
      </c>
    </row>
    <row r="180" spans="1:7" x14ac:dyDescent="0.2">
      <c r="A180" s="219" t="s">
        <v>968</v>
      </c>
      <c r="B180" s="220"/>
      <c r="C180" s="225"/>
      <c r="D180" s="220"/>
      <c r="E180" s="220"/>
      <c r="F180" s="226"/>
      <c r="G180" s="224">
        <f>SUM(G177:G179)</f>
        <v>1.5</v>
      </c>
    </row>
    <row r="181" spans="1:7" x14ac:dyDescent="0.2">
      <c r="A181" s="227" t="s">
        <v>1503</v>
      </c>
      <c r="B181" s="132"/>
      <c r="C181" s="188"/>
      <c r="D181" s="132"/>
      <c r="E181" s="132"/>
      <c r="F181" s="228"/>
      <c r="G181" s="218"/>
    </row>
    <row r="182" spans="1:7" ht="25.5" x14ac:dyDescent="0.2">
      <c r="A182" s="229" t="s">
        <v>1691</v>
      </c>
      <c r="B182" s="230"/>
      <c r="C182" s="231" t="s">
        <v>969</v>
      </c>
      <c r="D182" s="232" t="s">
        <v>1689</v>
      </c>
      <c r="E182" s="232" t="s">
        <v>1688</v>
      </c>
      <c r="F182" s="233" t="s">
        <v>1687</v>
      </c>
      <c r="G182" s="234" t="s">
        <v>1686</v>
      </c>
    </row>
    <row r="183" spans="1:7" x14ac:dyDescent="0.2">
      <c r="A183" s="235" t="s">
        <v>970</v>
      </c>
      <c r="B183" s="132"/>
      <c r="C183" s="236">
        <v>1</v>
      </c>
      <c r="D183" s="237">
        <v>2.16</v>
      </c>
      <c r="E183" s="216">
        <v>2.16</v>
      </c>
      <c r="F183" s="217">
        <v>4.0999999999999996</v>
      </c>
      <c r="G183" s="218">
        <f>E183*F183</f>
        <v>8.8559999999999999</v>
      </c>
    </row>
    <row r="184" spans="1:7" x14ac:dyDescent="0.2">
      <c r="A184" s="235" t="s">
        <v>971</v>
      </c>
      <c r="B184" s="132"/>
      <c r="C184" s="236">
        <v>1</v>
      </c>
      <c r="D184" s="237">
        <v>2.13</v>
      </c>
      <c r="E184" s="216">
        <f>C184*D184</f>
        <v>2.13</v>
      </c>
      <c r="F184" s="217">
        <v>3.06</v>
      </c>
      <c r="G184" s="218">
        <f>E184*F184</f>
        <v>6.5177999999999994</v>
      </c>
    </row>
    <row r="185" spans="1:7" x14ac:dyDescent="0.2">
      <c r="A185" s="235" t="s">
        <v>590</v>
      </c>
      <c r="B185" s="132"/>
      <c r="C185" s="236">
        <v>1</v>
      </c>
      <c r="D185" s="237">
        <v>2.13</v>
      </c>
      <c r="E185" s="216">
        <f>C185*D185</f>
        <v>2.13</v>
      </c>
      <c r="F185" s="217">
        <v>2.17</v>
      </c>
      <c r="G185" s="218">
        <f>E185*F185</f>
        <v>4.6220999999999997</v>
      </c>
    </row>
    <row r="186" spans="1:7" x14ac:dyDescent="0.2">
      <c r="A186" s="235"/>
      <c r="B186" s="132"/>
      <c r="C186" s="236"/>
      <c r="D186" s="237"/>
      <c r="E186" s="216"/>
      <c r="F186" s="217"/>
      <c r="G186" s="218"/>
    </row>
    <row r="187" spans="1:7" x14ac:dyDescent="0.2">
      <c r="A187" s="219" t="s">
        <v>1682</v>
      </c>
      <c r="B187" s="220"/>
      <c r="C187" s="221"/>
      <c r="D187" s="222" t="s">
        <v>1682</v>
      </c>
      <c r="E187" s="222" t="s">
        <v>1682</v>
      </c>
      <c r="F187" s="223"/>
      <c r="G187" s="224" t="s">
        <v>1682</v>
      </c>
    </row>
    <row r="188" spans="1:7" x14ac:dyDescent="0.2">
      <c r="A188" s="238" t="s">
        <v>1681</v>
      </c>
      <c r="B188" s="239"/>
      <c r="C188" s="240"/>
      <c r="D188" s="239"/>
      <c r="E188" s="239"/>
      <c r="F188" s="239"/>
      <c r="G188" s="241">
        <f>SUM(G183:G187)</f>
        <v>19.995899999999999</v>
      </c>
    </row>
    <row r="189" spans="1:7" x14ac:dyDescent="0.2">
      <c r="A189" s="227" t="s">
        <v>1684</v>
      </c>
      <c r="B189" s="132"/>
      <c r="C189" s="188"/>
      <c r="D189" s="132"/>
      <c r="E189" s="132"/>
      <c r="F189" s="132"/>
      <c r="G189" s="218"/>
    </row>
    <row r="190" spans="1:7" ht="25.5" x14ac:dyDescent="0.2">
      <c r="A190" s="229" t="s">
        <v>1409</v>
      </c>
      <c r="B190" s="242"/>
      <c r="C190" s="243"/>
      <c r="D190" s="232" t="s">
        <v>1408</v>
      </c>
      <c r="E190" s="231" t="s">
        <v>1679</v>
      </c>
      <c r="F190" s="232" t="s">
        <v>1683</v>
      </c>
      <c r="G190" s="234" t="s">
        <v>1675</v>
      </c>
    </row>
    <row r="191" spans="1:7" x14ac:dyDescent="0.2">
      <c r="A191" s="244" t="s">
        <v>1121</v>
      </c>
      <c r="B191" s="132"/>
      <c r="C191" s="188"/>
      <c r="D191" s="215" t="s">
        <v>1506</v>
      </c>
      <c r="E191" s="215">
        <v>1</v>
      </c>
      <c r="F191" s="216">
        <v>1100</v>
      </c>
      <c r="G191" s="218">
        <f>E191*F191</f>
        <v>1100</v>
      </c>
    </row>
    <row r="192" spans="1:7" x14ac:dyDescent="0.2">
      <c r="A192" s="244" t="s">
        <v>1122</v>
      </c>
      <c r="B192" s="132"/>
      <c r="C192" s="188"/>
      <c r="D192" s="215"/>
      <c r="E192" s="215"/>
      <c r="F192" s="216"/>
      <c r="G192" s="218"/>
    </row>
    <row r="193" spans="1:7" x14ac:dyDescent="0.2">
      <c r="A193" s="214"/>
      <c r="B193" s="132"/>
      <c r="C193" s="245"/>
      <c r="D193" s="215"/>
      <c r="E193" s="215"/>
      <c r="F193" s="216"/>
      <c r="G193" s="218"/>
    </row>
    <row r="194" spans="1:7" x14ac:dyDescent="0.2">
      <c r="A194" s="214"/>
      <c r="B194" s="132"/>
      <c r="C194" s="245"/>
      <c r="D194" s="215"/>
      <c r="E194" s="215"/>
      <c r="F194" s="216"/>
      <c r="G194" s="218"/>
    </row>
    <row r="195" spans="1:7" x14ac:dyDescent="0.2">
      <c r="A195" s="238" t="s">
        <v>1692</v>
      </c>
      <c r="B195" s="239"/>
      <c r="C195" s="240"/>
      <c r="D195" s="240"/>
      <c r="E195" s="240"/>
      <c r="F195" s="239"/>
      <c r="G195" s="241">
        <f>SUM(G191:G194)</f>
        <v>1100</v>
      </c>
    </row>
    <row r="196" spans="1:7" x14ac:dyDescent="0.2">
      <c r="A196" s="227" t="s">
        <v>1680</v>
      </c>
      <c r="B196" s="132"/>
      <c r="C196" s="188"/>
      <c r="D196" s="132"/>
      <c r="E196" s="188"/>
      <c r="F196" s="132"/>
      <c r="G196" s="218"/>
    </row>
    <row r="197" spans="1:7" ht="25.5" x14ac:dyDescent="0.2">
      <c r="A197" s="229" t="s">
        <v>1409</v>
      </c>
      <c r="B197" s="242"/>
      <c r="C197" s="243"/>
      <c r="D197" s="232" t="s">
        <v>1408</v>
      </c>
      <c r="E197" s="231" t="s">
        <v>1679</v>
      </c>
      <c r="F197" s="232" t="s">
        <v>1676</v>
      </c>
      <c r="G197" s="234" t="s">
        <v>1675</v>
      </c>
    </row>
    <row r="198" spans="1:7" x14ac:dyDescent="0.2">
      <c r="A198" s="208" t="s">
        <v>975</v>
      </c>
      <c r="B198" s="209"/>
      <c r="C198" s="246"/>
      <c r="D198" s="215" t="s">
        <v>976</v>
      </c>
      <c r="E198" s="215">
        <v>0.3</v>
      </c>
      <c r="F198" s="247">
        <v>5</v>
      </c>
      <c r="G198" s="218">
        <f>E198*F198</f>
        <v>1.5</v>
      </c>
    </row>
    <row r="199" spans="1:7" x14ac:dyDescent="0.2">
      <c r="A199" s="214"/>
      <c r="B199" s="132"/>
      <c r="C199" s="248"/>
      <c r="D199" s="215"/>
      <c r="E199" s="215"/>
      <c r="F199" s="247"/>
      <c r="G199" s="218"/>
    </row>
    <row r="200" spans="1:7" x14ac:dyDescent="0.2">
      <c r="A200" s="219" t="s">
        <v>1682</v>
      </c>
      <c r="B200" s="220"/>
      <c r="C200" s="249"/>
      <c r="D200" s="221" t="s">
        <v>1682</v>
      </c>
      <c r="E200" s="221"/>
      <c r="F200" s="222" t="s">
        <v>1682</v>
      </c>
      <c r="G200" s="224" t="s">
        <v>1682</v>
      </c>
    </row>
    <row r="201" spans="1:7" ht="13.5" thickBot="1" x14ac:dyDescent="0.25">
      <c r="A201" s="250" t="s">
        <v>977</v>
      </c>
      <c r="B201" s="251"/>
      <c r="C201" s="252"/>
      <c r="D201" s="252"/>
      <c r="E201" s="252"/>
      <c r="F201" s="251"/>
      <c r="G201" s="253">
        <f>SUM(G198:G200)</f>
        <v>1.5</v>
      </c>
    </row>
    <row r="202" spans="1:7" x14ac:dyDescent="0.2">
      <c r="A202" s="132"/>
      <c r="B202" s="132"/>
      <c r="C202" s="254"/>
      <c r="D202" s="198"/>
      <c r="E202" s="198"/>
      <c r="F202" s="255" t="s">
        <v>978</v>
      </c>
      <c r="G202" s="256">
        <f>G180+G188+G195+G201</f>
        <v>1122.9958999999999</v>
      </c>
    </row>
    <row r="203" spans="1:7" x14ac:dyDescent="0.2">
      <c r="A203" s="132"/>
      <c r="B203" s="132"/>
      <c r="C203" s="257"/>
      <c r="D203" s="239"/>
      <c r="E203" s="239"/>
      <c r="F203" s="258" t="s">
        <v>979</v>
      </c>
      <c r="G203" s="241"/>
    </row>
    <row r="204" spans="1:7" x14ac:dyDescent="0.2">
      <c r="A204" s="132"/>
      <c r="B204" s="132"/>
      <c r="C204" s="257"/>
      <c r="D204" s="239"/>
      <c r="E204" s="239"/>
      <c r="F204" s="258" t="s">
        <v>980</v>
      </c>
      <c r="G204" s="241"/>
    </row>
    <row r="205" spans="1:7" x14ac:dyDescent="0.2">
      <c r="A205" s="132"/>
      <c r="B205" s="132"/>
      <c r="C205" s="257"/>
      <c r="D205" s="239"/>
      <c r="E205" s="239"/>
      <c r="F205" s="259" t="s">
        <v>1670</v>
      </c>
      <c r="G205" s="260"/>
    </row>
    <row r="206" spans="1:7" ht="13.5" thickBot="1" x14ac:dyDescent="0.25">
      <c r="A206" s="193"/>
      <c r="B206" s="132"/>
      <c r="C206" s="261"/>
      <c r="D206" s="251"/>
      <c r="E206" s="251"/>
      <c r="F206" s="262" t="s">
        <v>1650</v>
      </c>
      <c r="G206" s="263"/>
    </row>
    <row r="207" spans="1:7" ht="15.75" x14ac:dyDescent="0.2">
      <c r="A207" s="186" t="s">
        <v>1701</v>
      </c>
      <c r="B207" s="132"/>
      <c r="C207" s="187" t="s">
        <v>742</v>
      </c>
      <c r="D207" s="132"/>
      <c r="E207" s="132"/>
      <c r="F207" s="188"/>
      <c r="G207" s="132"/>
    </row>
    <row r="208" spans="1:7" ht="15.75" x14ac:dyDescent="0.2">
      <c r="A208" s="186" t="s">
        <v>1700</v>
      </c>
      <c r="B208" s="189" t="s">
        <v>963</v>
      </c>
      <c r="C208" s="188"/>
      <c r="D208" s="132"/>
      <c r="E208" s="132"/>
      <c r="F208" s="190"/>
      <c r="G208" s="191"/>
    </row>
    <row r="209" spans="1:7" ht="14.25" x14ac:dyDescent="0.2">
      <c r="A209" s="189"/>
      <c r="B209" s="189"/>
      <c r="C209" s="187"/>
      <c r="D209" s="189"/>
      <c r="E209" s="189"/>
      <c r="F209" s="189"/>
      <c r="G209" s="189"/>
    </row>
    <row r="210" spans="1:7" ht="15.75" x14ac:dyDescent="0.2">
      <c r="A210" s="186" t="s">
        <v>1697</v>
      </c>
      <c r="B210" s="189"/>
      <c r="C210" s="188"/>
      <c r="D210" s="132"/>
      <c r="E210" s="132"/>
      <c r="F210" s="132"/>
      <c r="G210" s="132"/>
    </row>
    <row r="211" spans="1:7" ht="15" x14ac:dyDescent="0.2">
      <c r="A211" s="192"/>
      <c r="B211" s="189"/>
      <c r="C211" s="187"/>
      <c r="D211" s="189"/>
      <c r="E211" s="189"/>
      <c r="F211" s="189"/>
      <c r="G211" s="189"/>
    </row>
    <row r="212" spans="1:7" ht="14.25" x14ac:dyDescent="0.2">
      <c r="A212" s="193" t="s">
        <v>594</v>
      </c>
      <c r="B212" s="194">
        <v>6</v>
      </c>
      <c r="C212" s="188"/>
      <c r="D212" s="188"/>
      <c r="E212" s="188"/>
      <c r="F212" s="195" t="s">
        <v>1696</v>
      </c>
      <c r="G212" s="189" t="s">
        <v>1506</v>
      </c>
    </row>
    <row r="213" spans="1:7" ht="14.25" x14ac:dyDescent="0.2">
      <c r="A213" s="196" t="s">
        <v>964</v>
      </c>
      <c r="B213" s="194" t="s">
        <v>1123</v>
      </c>
      <c r="C213" s="188"/>
      <c r="D213" s="132"/>
      <c r="E213" s="132"/>
      <c r="F213" s="132"/>
      <c r="G213" s="132"/>
    </row>
    <row r="214" spans="1:7" ht="15" thickBot="1" x14ac:dyDescent="0.25">
      <c r="A214" s="187"/>
      <c r="B214" s="187"/>
      <c r="C214" s="187"/>
      <c r="D214" s="189"/>
      <c r="E214" s="189"/>
      <c r="F214" s="189"/>
      <c r="G214" s="189"/>
    </row>
    <row r="215" spans="1:7" x14ac:dyDescent="0.2">
      <c r="A215" s="197" t="s">
        <v>1695</v>
      </c>
      <c r="B215" s="198"/>
      <c r="C215" s="199"/>
      <c r="D215" s="198"/>
      <c r="E215" s="198"/>
      <c r="F215" s="198"/>
      <c r="G215" s="200"/>
    </row>
    <row r="216" spans="1:7" ht="25.5" x14ac:dyDescent="0.2">
      <c r="A216" s="202" t="s">
        <v>1409</v>
      </c>
      <c r="B216" s="203"/>
      <c r="C216" s="204" t="s">
        <v>966</v>
      </c>
      <c r="D216" s="205" t="s">
        <v>1694</v>
      </c>
      <c r="E216" s="205" t="s">
        <v>1693</v>
      </c>
      <c r="F216" s="206" t="s">
        <v>1687</v>
      </c>
      <c r="G216" s="207" t="s">
        <v>967</v>
      </c>
    </row>
    <row r="217" spans="1:7" x14ac:dyDescent="0.2">
      <c r="A217" s="208" t="s">
        <v>1468</v>
      </c>
      <c r="B217" s="209"/>
      <c r="C217" s="210">
        <v>1</v>
      </c>
      <c r="D217" s="211">
        <v>2.5</v>
      </c>
      <c r="E217" s="211">
        <f>C217*D217</f>
        <v>2.5</v>
      </c>
      <c r="F217" s="212">
        <v>0.6</v>
      </c>
      <c r="G217" s="213">
        <f>E217*F217</f>
        <v>1.5</v>
      </c>
    </row>
    <row r="218" spans="1:7" x14ac:dyDescent="0.2">
      <c r="A218" s="214"/>
      <c r="B218" s="132"/>
      <c r="C218" s="215"/>
      <c r="D218" s="216"/>
      <c r="E218" s="216"/>
      <c r="F218" s="217"/>
      <c r="G218" s="218"/>
    </row>
    <row r="219" spans="1:7" x14ac:dyDescent="0.2">
      <c r="A219" s="219" t="s">
        <v>1682</v>
      </c>
      <c r="B219" s="220"/>
      <c r="C219" s="221"/>
      <c r="D219" s="222" t="s">
        <v>1682</v>
      </c>
      <c r="E219" s="222" t="s">
        <v>1682</v>
      </c>
      <c r="F219" s="223"/>
      <c r="G219" s="224" t="s">
        <v>1682</v>
      </c>
    </row>
    <row r="220" spans="1:7" x14ac:dyDescent="0.2">
      <c r="A220" s="219" t="s">
        <v>968</v>
      </c>
      <c r="B220" s="220"/>
      <c r="C220" s="225"/>
      <c r="D220" s="220"/>
      <c r="E220" s="220"/>
      <c r="F220" s="226"/>
      <c r="G220" s="224">
        <f>SUM(G217:G219)</f>
        <v>1.5</v>
      </c>
    </row>
    <row r="221" spans="1:7" x14ac:dyDescent="0.2">
      <c r="A221" s="227" t="s">
        <v>1503</v>
      </c>
      <c r="B221" s="132"/>
      <c r="C221" s="188"/>
      <c r="D221" s="132"/>
      <c r="E221" s="132"/>
      <c r="F221" s="228"/>
      <c r="G221" s="218"/>
    </row>
    <row r="222" spans="1:7" ht="25.5" x14ac:dyDescent="0.2">
      <c r="A222" s="229" t="s">
        <v>1691</v>
      </c>
      <c r="B222" s="230"/>
      <c r="C222" s="231" t="s">
        <v>969</v>
      </c>
      <c r="D222" s="232" t="s">
        <v>1689</v>
      </c>
      <c r="E222" s="232" t="s">
        <v>1688</v>
      </c>
      <c r="F222" s="233" t="s">
        <v>1687</v>
      </c>
      <c r="G222" s="234" t="s">
        <v>1686</v>
      </c>
    </row>
    <row r="223" spans="1:7" x14ac:dyDescent="0.2">
      <c r="A223" s="235" t="s">
        <v>970</v>
      </c>
      <c r="B223" s="132"/>
      <c r="C223" s="236">
        <v>1</v>
      </c>
      <c r="D223" s="237">
        <v>2.16</v>
      </c>
      <c r="E223" s="216">
        <v>2.16</v>
      </c>
      <c r="F223" s="217">
        <v>10.25</v>
      </c>
      <c r="G223" s="218">
        <v>22.14</v>
      </c>
    </row>
    <row r="224" spans="1:7" x14ac:dyDescent="0.2">
      <c r="A224" s="235" t="s">
        <v>971</v>
      </c>
      <c r="B224" s="132"/>
      <c r="C224" s="236">
        <v>1</v>
      </c>
      <c r="D224" s="237">
        <v>2.13</v>
      </c>
      <c r="E224" s="216">
        <f>C224*D224</f>
        <v>2.13</v>
      </c>
      <c r="F224" s="217">
        <v>7.65</v>
      </c>
      <c r="G224" s="218">
        <v>16.29</v>
      </c>
    </row>
    <row r="225" spans="1:7" x14ac:dyDescent="0.2">
      <c r="A225" s="235" t="s">
        <v>590</v>
      </c>
      <c r="B225" s="132"/>
      <c r="C225" s="236">
        <v>1</v>
      </c>
      <c r="D225" s="237">
        <v>2.13</v>
      </c>
      <c r="E225" s="216">
        <f>C225*D225</f>
        <v>2.13</v>
      </c>
      <c r="F225" s="217">
        <v>5.42</v>
      </c>
      <c r="G225" s="218">
        <f>E225*F225</f>
        <v>11.544599999999999</v>
      </c>
    </row>
    <row r="226" spans="1:7" x14ac:dyDescent="0.2">
      <c r="A226" s="235"/>
      <c r="B226" s="132"/>
      <c r="C226" s="236"/>
      <c r="D226" s="237"/>
      <c r="E226" s="216"/>
      <c r="F226" s="217"/>
      <c r="G226" s="218"/>
    </row>
    <row r="227" spans="1:7" x14ac:dyDescent="0.2">
      <c r="A227" s="219" t="s">
        <v>1682</v>
      </c>
      <c r="B227" s="220"/>
      <c r="C227" s="221"/>
      <c r="D227" s="222" t="s">
        <v>1682</v>
      </c>
      <c r="E227" s="222" t="s">
        <v>1682</v>
      </c>
      <c r="F227" s="223"/>
      <c r="G227" s="224" t="s">
        <v>1682</v>
      </c>
    </row>
    <row r="228" spans="1:7" x14ac:dyDescent="0.2">
      <c r="A228" s="238" t="s">
        <v>1681</v>
      </c>
      <c r="B228" s="239"/>
      <c r="C228" s="240"/>
      <c r="D228" s="239"/>
      <c r="E228" s="239"/>
      <c r="F228" s="239"/>
      <c r="G228" s="241">
        <f>SUM(G223:G227)</f>
        <v>49.974599999999995</v>
      </c>
    </row>
    <row r="229" spans="1:7" x14ac:dyDescent="0.2">
      <c r="A229" s="227" t="s">
        <v>1684</v>
      </c>
      <c r="B229" s="132"/>
      <c r="C229" s="188"/>
      <c r="D229" s="132"/>
      <c r="E229" s="132"/>
      <c r="F229" s="132"/>
      <c r="G229" s="218"/>
    </row>
    <row r="230" spans="1:7" ht="25.5" x14ac:dyDescent="0.2">
      <c r="A230" s="229" t="s">
        <v>1409</v>
      </c>
      <c r="B230" s="242"/>
      <c r="C230" s="243"/>
      <c r="D230" s="232" t="s">
        <v>1408</v>
      </c>
      <c r="E230" s="231" t="s">
        <v>1679</v>
      </c>
      <c r="F230" s="232" t="s">
        <v>1683</v>
      </c>
      <c r="G230" s="234" t="s">
        <v>1675</v>
      </c>
    </row>
    <row r="231" spans="1:7" x14ac:dyDescent="0.2">
      <c r="A231" s="244" t="s">
        <v>1124</v>
      </c>
      <c r="B231" s="132"/>
      <c r="C231" s="188"/>
      <c r="D231" s="215" t="s">
        <v>1506</v>
      </c>
      <c r="E231" s="215">
        <v>1</v>
      </c>
      <c r="F231" s="216">
        <v>310</v>
      </c>
      <c r="G231" s="218">
        <f>E231*F231</f>
        <v>310</v>
      </c>
    </row>
    <row r="232" spans="1:7" x14ac:dyDescent="0.2">
      <c r="A232" s="244" t="s">
        <v>1125</v>
      </c>
      <c r="B232" s="132"/>
      <c r="C232" s="188"/>
      <c r="D232" s="215"/>
      <c r="E232" s="215"/>
      <c r="F232" s="216"/>
      <c r="G232" s="218"/>
    </row>
    <row r="233" spans="1:7" x14ac:dyDescent="0.2">
      <c r="A233" s="214"/>
      <c r="B233" s="132"/>
      <c r="C233" s="245"/>
      <c r="D233" s="215"/>
      <c r="E233" s="215"/>
      <c r="F233" s="216"/>
      <c r="G233" s="218"/>
    </row>
    <row r="234" spans="1:7" x14ac:dyDescent="0.2">
      <c r="A234" s="214"/>
      <c r="B234" s="132"/>
      <c r="C234" s="245"/>
      <c r="D234" s="215"/>
      <c r="E234" s="215"/>
      <c r="F234" s="216"/>
      <c r="G234" s="218"/>
    </row>
    <row r="235" spans="1:7" x14ac:dyDescent="0.2">
      <c r="A235" s="238" t="s">
        <v>1692</v>
      </c>
      <c r="B235" s="239"/>
      <c r="C235" s="240"/>
      <c r="D235" s="240"/>
      <c r="E235" s="240"/>
      <c r="F235" s="239"/>
      <c r="G235" s="241">
        <f>SUM(G231:G234)</f>
        <v>310</v>
      </c>
    </row>
    <row r="236" spans="1:7" x14ac:dyDescent="0.2">
      <c r="A236" s="227" t="s">
        <v>1680</v>
      </c>
      <c r="B236" s="132"/>
      <c r="C236" s="188"/>
      <c r="D236" s="132"/>
      <c r="E236" s="188"/>
      <c r="F236" s="132"/>
      <c r="G236" s="218"/>
    </row>
    <row r="237" spans="1:7" ht="25.5" x14ac:dyDescent="0.2">
      <c r="A237" s="229" t="s">
        <v>1409</v>
      </c>
      <c r="B237" s="242"/>
      <c r="C237" s="243"/>
      <c r="D237" s="232" t="s">
        <v>1408</v>
      </c>
      <c r="E237" s="231" t="s">
        <v>1679</v>
      </c>
      <c r="F237" s="232" t="s">
        <v>1676</v>
      </c>
      <c r="G237" s="234" t="s">
        <v>1675</v>
      </c>
    </row>
    <row r="238" spans="1:7" x14ac:dyDescent="0.2">
      <c r="A238" s="208" t="s">
        <v>975</v>
      </c>
      <c r="B238" s="209"/>
      <c r="C238" s="246"/>
      <c r="D238" s="215" t="s">
        <v>976</v>
      </c>
      <c r="E238" s="215">
        <v>0.3</v>
      </c>
      <c r="F238" s="247">
        <v>5</v>
      </c>
      <c r="G238" s="218">
        <f>E238*F238</f>
        <v>1.5</v>
      </c>
    </row>
    <row r="239" spans="1:7" x14ac:dyDescent="0.2">
      <c r="A239" s="214"/>
      <c r="B239" s="132"/>
      <c r="C239" s="248"/>
      <c r="D239" s="215"/>
      <c r="E239" s="215"/>
      <c r="F239" s="247"/>
      <c r="G239" s="218"/>
    </row>
    <row r="240" spans="1:7" x14ac:dyDescent="0.2">
      <c r="A240" s="219" t="s">
        <v>1682</v>
      </c>
      <c r="B240" s="220"/>
      <c r="C240" s="249"/>
      <c r="D240" s="221" t="s">
        <v>1682</v>
      </c>
      <c r="E240" s="221"/>
      <c r="F240" s="222" t="s">
        <v>1682</v>
      </c>
      <c r="G240" s="224" t="s">
        <v>1682</v>
      </c>
    </row>
    <row r="241" spans="1:7" ht="13.5" thickBot="1" x14ac:dyDescent="0.25">
      <c r="A241" s="250" t="s">
        <v>977</v>
      </c>
      <c r="B241" s="251"/>
      <c r="C241" s="252"/>
      <c r="D241" s="252"/>
      <c r="E241" s="252"/>
      <c r="F241" s="251"/>
      <c r="G241" s="253">
        <f>SUM(G238:G240)</f>
        <v>1.5</v>
      </c>
    </row>
    <row r="242" spans="1:7" x14ac:dyDescent="0.2">
      <c r="A242" s="132"/>
      <c r="B242" s="132"/>
      <c r="C242" s="254"/>
      <c r="D242" s="198"/>
      <c r="E242" s="198"/>
      <c r="F242" s="255" t="s">
        <v>978</v>
      </c>
      <c r="G242" s="256">
        <f>G220+G228+G235+G241</f>
        <v>362.97460000000001</v>
      </c>
    </row>
    <row r="243" spans="1:7" x14ac:dyDescent="0.2">
      <c r="A243" s="132"/>
      <c r="B243" s="132"/>
      <c r="C243" s="257"/>
      <c r="D243" s="239"/>
      <c r="E243" s="239"/>
      <c r="F243" s="258" t="s">
        <v>979</v>
      </c>
      <c r="G243" s="241"/>
    </row>
    <row r="244" spans="1:7" x14ac:dyDescent="0.2">
      <c r="A244" s="132"/>
      <c r="B244" s="132"/>
      <c r="C244" s="257"/>
      <c r="D244" s="239"/>
      <c r="E244" s="239"/>
      <c r="F244" s="258" t="s">
        <v>980</v>
      </c>
      <c r="G244" s="241"/>
    </row>
    <row r="245" spans="1:7" x14ac:dyDescent="0.2">
      <c r="A245" s="132"/>
      <c r="B245" s="132"/>
      <c r="C245" s="257"/>
      <c r="D245" s="239"/>
      <c r="E245" s="239"/>
      <c r="F245" s="259" t="s">
        <v>1670</v>
      </c>
      <c r="G245" s="260"/>
    </row>
    <row r="246" spans="1:7" ht="13.5" thickBot="1" x14ac:dyDescent="0.25">
      <c r="A246" s="193"/>
      <c r="B246" s="132"/>
      <c r="C246" s="261"/>
      <c r="D246" s="251"/>
      <c r="E246" s="251"/>
      <c r="F246" s="262" t="s">
        <v>1650</v>
      </c>
      <c r="G246" s="263"/>
    </row>
  </sheetData>
  <phoneticPr fontId="2" type="noConversion"/>
  <pageMargins left="0.75" right="0.75" top="1" bottom="1" header="0" footer="0"/>
  <pageSetup paperSize="9" scale="83" orientation="portrait" r:id="rId1"/>
  <headerFooter alignWithMargins="0"/>
  <rowBreaks count="5" manualBreakCount="5">
    <brk id="43" max="6" man="1"/>
    <brk id="84" max="6" man="1"/>
    <brk id="125" max="6" man="1"/>
    <brk id="166" max="6" man="1"/>
    <brk id="206" max="6" man="1"/>
  </row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C456A-F2DD-4E70-8F44-0A3F28BC83E6}">
  <sheetPr codeName="Hoja31"/>
  <dimension ref="A1:G291"/>
  <sheetViews>
    <sheetView workbookViewId="0"/>
  </sheetViews>
  <sheetFormatPr baseColWidth="10" defaultColWidth="11.42578125" defaultRowHeight="12.75" x14ac:dyDescent="0.2"/>
  <cols>
    <col min="2" max="2" width="25.42578125" customWidth="1"/>
    <col min="3" max="7" width="13.42578125" customWidth="1"/>
  </cols>
  <sheetData>
    <row r="1" spans="1:7" ht="15.75" x14ac:dyDescent="0.2">
      <c r="A1" s="186" t="s">
        <v>1701</v>
      </c>
      <c r="B1" s="132"/>
      <c r="C1" s="187" t="s">
        <v>742</v>
      </c>
      <c r="D1" s="132"/>
      <c r="E1" s="132"/>
      <c r="F1" s="188"/>
      <c r="G1" s="132"/>
    </row>
    <row r="2" spans="1:7" ht="15.75" x14ac:dyDescent="0.2">
      <c r="A2" s="186" t="s">
        <v>1700</v>
      </c>
      <c r="B2" s="189" t="s">
        <v>963</v>
      </c>
      <c r="C2" s="188"/>
      <c r="D2" s="132"/>
      <c r="E2" s="132"/>
      <c r="F2" s="190"/>
      <c r="G2" s="191"/>
    </row>
    <row r="3" spans="1:7" ht="14.25" x14ac:dyDescent="0.2">
      <c r="A3" s="189"/>
      <c r="B3" s="189"/>
      <c r="C3" s="187"/>
      <c r="D3" s="189"/>
      <c r="E3" s="189"/>
      <c r="F3" s="189"/>
      <c r="G3" s="189"/>
    </row>
    <row r="4" spans="1:7" ht="15.75" x14ac:dyDescent="0.2">
      <c r="A4" s="186" t="s">
        <v>1697</v>
      </c>
      <c r="B4" s="189"/>
      <c r="C4" s="188"/>
      <c r="D4" s="132"/>
      <c r="E4" s="132"/>
      <c r="F4" s="132"/>
      <c r="G4" s="132"/>
    </row>
    <row r="5" spans="1:7" ht="15" x14ac:dyDescent="0.2">
      <c r="A5" s="192"/>
      <c r="B5" s="189"/>
      <c r="C5" s="187"/>
      <c r="D5" s="189"/>
      <c r="E5" s="189"/>
      <c r="F5" s="189"/>
      <c r="G5" s="189"/>
    </row>
    <row r="6" spans="1:7" ht="14.25" x14ac:dyDescent="0.2">
      <c r="A6" s="193" t="s">
        <v>594</v>
      </c>
      <c r="B6" s="194">
        <v>1</v>
      </c>
      <c r="C6" s="188"/>
      <c r="D6" s="188"/>
      <c r="E6" s="188"/>
      <c r="F6" s="195" t="s">
        <v>1696</v>
      </c>
      <c r="G6" s="189" t="s">
        <v>1506</v>
      </c>
    </row>
    <row r="7" spans="1:7" ht="14.25" x14ac:dyDescent="0.2">
      <c r="A7" s="196" t="s">
        <v>964</v>
      </c>
      <c r="B7" s="194" t="s">
        <v>1126</v>
      </c>
      <c r="C7" s="188"/>
      <c r="D7" s="132"/>
      <c r="E7" s="132"/>
      <c r="F7" s="132"/>
      <c r="G7" s="132"/>
    </row>
    <row r="8" spans="1:7" ht="15" thickBot="1" x14ac:dyDescent="0.25">
      <c r="A8" s="187"/>
      <c r="B8" s="187"/>
      <c r="C8" s="187"/>
      <c r="D8" s="189"/>
      <c r="E8" s="189"/>
      <c r="F8" s="189"/>
      <c r="G8" s="189"/>
    </row>
    <row r="9" spans="1:7" x14ac:dyDescent="0.2">
      <c r="A9" s="197" t="s">
        <v>1695</v>
      </c>
      <c r="B9" s="198"/>
      <c r="C9" s="199"/>
      <c r="D9" s="198"/>
      <c r="E9" s="198"/>
      <c r="F9" s="198"/>
      <c r="G9" s="200"/>
    </row>
    <row r="10" spans="1:7" ht="25.5" x14ac:dyDescent="0.2">
      <c r="A10" s="202" t="s">
        <v>1409</v>
      </c>
      <c r="B10" s="203"/>
      <c r="C10" s="204" t="s">
        <v>966</v>
      </c>
      <c r="D10" s="205" t="s">
        <v>1694</v>
      </c>
      <c r="E10" s="205" t="s">
        <v>1693</v>
      </c>
      <c r="F10" s="206" t="s">
        <v>1687</v>
      </c>
      <c r="G10" s="207" t="s">
        <v>967</v>
      </c>
    </row>
    <row r="11" spans="1:7" x14ac:dyDescent="0.2">
      <c r="A11" s="208" t="s">
        <v>1468</v>
      </c>
      <c r="B11" s="209"/>
      <c r="C11" s="210">
        <v>1</v>
      </c>
      <c r="D11" s="211">
        <v>2.5</v>
      </c>
      <c r="E11" s="211">
        <f>C11*D11</f>
        <v>2.5</v>
      </c>
      <c r="F11" s="212">
        <v>0.4</v>
      </c>
      <c r="G11" s="213">
        <f>E11*F11</f>
        <v>1</v>
      </c>
    </row>
    <row r="12" spans="1:7" x14ac:dyDescent="0.2">
      <c r="A12" s="214"/>
      <c r="B12" s="132"/>
      <c r="C12" s="215"/>
      <c r="D12" s="216"/>
      <c r="E12" s="216"/>
      <c r="F12" s="217"/>
      <c r="G12" s="218"/>
    </row>
    <row r="13" spans="1:7" x14ac:dyDescent="0.2">
      <c r="A13" s="219" t="s">
        <v>1682</v>
      </c>
      <c r="B13" s="220"/>
      <c r="C13" s="221"/>
      <c r="D13" s="222" t="s">
        <v>1682</v>
      </c>
      <c r="E13" s="222" t="s">
        <v>1682</v>
      </c>
      <c r="F13" s="223"/>
      <c r="G13" s="224" t="s">
        <v>1682</v>
      </c>
    </row>
    <row r="14" spans="1:7" x14ac:dyDescent="0.2">
      <c r="A14" s="219" t="s">
        <v>968</v>
      </c>
      <c r="B14" s="220"/>
      <c r="C14" s="225"/>
      <c r="D14" s="220"/>
      <c r="E14" s="220"/>
      <c r="F14" s="226"/>
      <c r="G14" s="224">
        <f>SUM(G11:G13)</f>
        <v>1</v>
      </c>
    </row>
    <row r="15" spans="1:7" x14ac:dyDescent="0.2">
      <c r="A15" s="227" t="s">
        <v>1503</v>
      </c>
      <c r="B15" s="132"/>
      <c r="C15" s="188"/>
      <c r="D15" s="132"/>
      <c r="E15" s="132"/>
      <c r="F15" s="228"/>
      <c r="G15" s="218"/>
    </row>
    <row r="16" spans="1:7" ht="25.5" x14ac:dyDescent="0.2">
      <c r="A16" s="229" t="s">
        <v>1691</v>
      </c>
      <c r="B16" s="230"/>
      <c r="C16" s="231" t="s">
        <v>969</v>
      </c>
      <c r="D16" s="232" t="s">
        <v>1689</v>
      </c>
      <c r="E16" s="232" t="s">
        <v>1688</v>
      </c>
      <c r="F16" s="233" t="s">
        <v>1687</v>
      </c>
      <c r="G16" s="234" t="s">
        <v>1686</v>
      </c>
    </row>
    <row r="17" spans="1:7" x14ac:dyDescent="0.2">
      <c r="A17" s="235" t="s">
        <v>970</v>
      </c>
      <c r="B17" s="132"/>
      <c r="C17" s="236">
        <v>1</v>
      </c>
      <c r="D17" s="237">
        <v>2.16</v>
      </c>
      <c r="E17" s="216">
        <v>2.16</v>
      </c>
      <c r="F17" s="217">
        <v>4.32</v>
      </c>
      <c r="G17" s="218">
        <f>E17*F17</f>
        <v>9.3312000000000008</v>
      </c>
    </row>
    <row r="18" spans="1:7" x14ac:dyDescent="0.2">
      <c r="A18" s="235" t="s">
        <v>971</v>
      </c>
      <c r="B18" s="132"/>
      <c r="C18" s="236">
        <v>1</v>
      </c>
      <c r="D18" s="237">
        <v>2.13</v>
      </c>
      <c r="E18" s="216">
        <f>C18*D18</f>
        <v>2.13</v>
      </c>
      <c r="F18" s="217">
        <v>3.22</v>
      </c>
      <c r="G18" s="218">
        <f>E18*F18</f>
        <v>6.8586</v>
      </c>
    </row>
    <row r="19" spans="1:7" x14ac:dyDescent="0.2">
      <c r="A19" s="235" t="s">
        <v>590</v>
      </c>
      <c r="B19" s="132"/>
      <c r="C19" s="236">
        <v>1</v>
      </c>
      <c r="D19" s="237">
        <v>2.13</v>
      </c>
      <c r="E19" s="216">
        <f>C19*D19</f>
        <v>2.13</v>
      </c>
      <c r="F19" s="217">
        <v>2.2799999999999998</v>
      </c>
      <c r="G19" s="218">
        <f>E19*F19</f>
        <v>4.8563999999999989</v>
      </c>
    </row>
    <row r="20" spans="1:7" x14ac:dyDescent="0.2">
      <c r="A20" s="235"/>
      <c r="B20" s="132"/>
      <c r="C20" s="236"/>
      <c r="D20" s="237"/>
      <c r="E20" s="216"/>
      <c r="F20" s="217"/>
      <c r="G20" s="218"/>
    </row>
    <row r="21" spans="1:7" x14ac:dyDescent="0.2">
      <c r="A21" s="219" t="s">
        <v>1682</v>
      </c>
      <c r="B21" s="220"/>
      <c r="C21" s="221"/>
      <c r="D21" s="222" t="s">
        <v>1682</v>
      </c>
      <c r="E21" s="222" t="s">
        <v>1682</v>
      </c>
      <c r="F21" s="223"/>
      <c r="G21" s="224" t="s">
        <v>1682</v>
      </c>
    </row>
    <row r="22" spans="1:7" x14ac:dyDescent="0.2">
      <c r="A22" s="238" t="s">
        <v>1681</v>
      </c>
      <c r="B22" s="239"/>
      <c r="C22" s="240"/>
      <c r="D22" s="239"/>
      <c r="E22" s="239"/>
      <c r="F22" s="239"/>
      <c r="G22" s="241">
        <f>SUM(G17:G21)</f>
        <v>21.046199999999999</v>
      </c>
    </row>
    <row r="23" spans="1:7" x14ac:dyDescent="0.2">
      <c r="A23" s="227" t="s">
        <v>1684</v>
      </c>
      <c r="B23" s="132"/>
      <c r="C23" s="188"/>
      <c r="D23" s="132"/>
      <c r="E23" s="132"/>
      <c r="F23" s="132"/>
      <c r="G23" s="218"/>
    </row>
    <row r="24" spans="1:7" ht="25.5" x14ac:dyDescent="0.2">
      <c r="A24" s="229" t="s">
        <v>1409</v>
      </c>
      <c r="B24" s="242"/>
      <c r="C24" s="243"/>
      <c r="D24" s="232" t="s">
        <v>1408</v>
      </c>
      <c r="E24" s="231" t="s">
        <v>1679</v>
      </c>
      <c r="F24" s="232" t="s">
        <v>1683</v>
      </c>
      <c r="G24" s="234" t="s">
        <v>1675</v>
      </c>
    </row>
    <row r="25" spans="1:7" x14ac:dyDescent="0.2">
      <c r="A25" s="244" t="s">
        <v>1101</v>
      </c>
      <c r="B25" s="132"/>
      <c r="C25" s="188"/>
      <c r="D25" s="215" t="s">
        <v>1506</v>
      </c>
      <c r="E25" s="215">
        <v>3</v>
      </c>
      <c r="F25" s="216">
        <v>3.95</v>
      </c>
      <c r="G25" s="218">
        <f>E25*F25</f>
        <v>11.850000000000001</v>
      </c>
    </row>
    <row r="26" spans="1:7" x14ac:dyDescent="0.2">
      <c r="A26" s="244" t="s">
        <v>1102</v>
      </c>
      <c r="B26" s="132"/>
      <c r="C26" s="188"/>
      <c r="D26" s="215" t="s">
        <v>1506</v>
      </c>
      <c r="E26" s="215">
        <v>4</v>
      </c>
      <c r="F26" s="216">
        <v>0.4</v>
      </c>
      <c r="G26" s="218">
        <f>E26*F26</f>
        <v>1.6</v>
      </c>
    </row>
    <row r="27" spans="1:7" x14ac:dyDescent="0.2">
      <c r="A27" s="244" t="s">
        <v>1103</v>
      </c>
      <c r="B27" s="132"/>
      <c r="C27" s="188"/>
      <c r="D27" s="215" t="s">
        <v>1506</v>
      </c>
      <c r="E27" s="215">
        <v>2</v>
      </c>
      <c r="F27" s="216">
        <v>0.4</v>
      </c>
      <c r="G27" s="218">
        <f>E27*F27</f>
        <v>0.8</v>
      </c>
    </row>
    <row r="28" spans="1:7" x14ac:dyDescent="0.2">
      <c r="A28" s="244" t="s">
        <v>991</v>
      </c>
      <c r="B28" s="132"/>
      <c r="C28" s="188"/>
      <c r="D28" s="215" t="s">
        <v>1506</v>
      </c>
      <c r="E28" s="215">
        <v>1</v>
      </c>
      <c r="F28" s="216">
        <v>0.7</v>
      </c>
      <c r="G28" s="218">
        <f>E28*F28</f>
        <v>0.7</v>
      </c>
    </row>
    <row r="29" spans="1:7" x14ac:dyDescent="0.2">
      <c r="A29" s="244" t="s">
        <v>1127</v>
      </c>
      <c r="B29" s="132"/>
      <c r="C29" s="188"/>
      <c r="D29" s="215" t="s">
        <v>1708</v>
      </c>
      <c r="E29" s="215">
        <v>45</v>
      </c>
      <c r="F29" s="216">
        <v>1.3</v>
      </c>
      <c r="G29" s="218">
        <f>E29*F29</f>
        <v>58.5</v>
      </c>
    </row>
    <row r="30" spans="1:7" x14ac:dyDescent="0.2">
      <c r="A30" s="244" t="s">
        <v>1128</v>
      </c>
      <c r="B30" s="132"/>
      <c r="C30" s="188"/>
      <c r="D30" s="215"/>
      <c r="E30" s="215"/>
      <c r="F30" s="216"/>
      <c r="G30" s="218"/>
    </row>
    <row r="31" spans="1:7" x14ac:dyDescent="0.2">
      <c r="A31" s="214"/>
      <c r="B31" s="132"/>
      <c r="C31" s="245"/>
      <c r="D31" s="215"/>
      <c r="E31" s="215"/>
      <c r="F31" s="216"/>
      <c r="G31" s="218"/>
    </row>
    <row r="32" spans="1:7" x14ac:dyDescent="0.2">
      <c r="A32" s="214"/>
      <c r="B32" s="132"/>
      <c r="C32" s="245"/>
      <c r="D32" s="215"/>
      <c r="E32" s="215"/>
      <c r="F32" s="216"/>
      <c r="G32" s="218"/>
    </row>
    <row r="33" spans="1:7" x14ac:dyDescent="0.2">
      <c r="A33" s="238" t="s">
        <v>1692</v>
      </c>
      <c r="B33" s="239"/>
      <c r="C33" s="240"/>
      <c r="D33" s="240"/>
      <c r="E33" s="240"/>
      <c r="F33" s="239"/>
      <c r="G33" s="241">
        <f>SUM(G25:G32)</f>
        <v>73.45</v>
      </c>
    </row>
    <row r="34" spans="1:7" x14ac:dyDescent="0.2">
      <c r="A34" s="227" t="s">
        <v>1680</v>
      </c>
      <c r="B34" s="132"/>
      <c r="C34" s="188"/>
      <c r="D34" s="132"/>
      <c r="E34" s="188"/>
      <c r="F34" s="132"/>
      <c r="G34" s="218"/>
    </row>
    <row r="35" spans="1:7" ht="25.5" x14ac:dyDescent="0.2">
      <c r="A35" s="229" t="s">
        <v>1409</v>
      </c>
      <c r="B35" s="242"/>
      <c r="C35" s="243"/>
      <c r="D35" s="232" t="s">
        <v>1408</v>
      </c>
      <c r="E35" s="231" t="s">
        <v>1679</v>
      </c>
      <c r="F35" s="232" t="s">
        <v>1676</v>
      </c>
      <c r="G35" s="234" t="s">
        <v>1675</v>
      </c>
    </row>
    <row r="36" spans="1:7" x14ac:dyDescent="0.2">
      <c r="A36" s="208" t="s">
        <v>975</v>
      </c>
      <c r="B36" s="209"/>
      <c r="C36" s="246"/>
      <c r="D36" s="215" t="s">
        <v>976</v>
      </c>
      <c r="E36" s="215">
        <v>0.2</v>
      </c>
      <c r="F36" s="247">
        <v>5</v>
      </c>
      <c r="G36" s="218">
        <f>E36*F36</f>
        <v>1</v>
      </c>
    </row>
    <row r="37" spans="1:7" x14ac:dyDescent="0.2">
      <c r="A37" s="214"/>
      <c r="B37" s="132"/>
      <c r="C37" s="248"/>
      <c r="D37" s="215"/>
      <c r="E37" s="215"/>
      <c r="F37" s="247"/>
      <c r="G37" s="218"/>
    </row>
    <row r="38" spans="1:7" x14ac:dyDescent="0.2">
      <c r="A38" s="219" t="s">
        <v>1682</v>
      </c>
      <c r="B38" s="220"/>
      <c r="C38" s="249"/>
      <c r="D38" s="221" t="s">
        <v>1682</v>
      </c>
      <c r="E38" s="221"/>
      <c r="F38" s="222" t="s">
        <v>1682</v>
      </c>
      <c r="G38" s="224" t="s">
        <v>1682</v>
      </c>
    </row>
    <row r="39" spans="1:7" ht="13.5" thickBot="1" x14ac:dyDescent="0.25">
      <c r="A39" s="250" t="s">
        <v>977</v>
      </c>
      <c r="B39" s="251"/>
      <c r="C39" s="252"/>
      <c r="D39" s="252"/>
      <c r="E39" s="252"/>
      <c r="F39" s="251"/>
      <c r="G39" s="253">
        <f>SUM(G36:G38)</f>
        <v>1</v>
      </c>
    </row>
    <row r="40" spans="1:7" x14ac:dyDescent="0.2">
      <c r="A40" s="132"/>
      <c r="B40" s="132"/>
      <c r="C40" s="254"/>
      <c r="D40" s="198"/>
      <c r="E40" s="198"/>
      <c r="F40" s="255" t="s">
        <v>978</v>
      </c>
      <c r="G40" s="256">
        <f>G14+G22+G33+G39</f>
        <v>96.496200000000002</v>
      </c>
    </row>
    <row r="41" spans="1:7" x14ac:dyDescent="0.2">
      <c r="A41" s="132"/>
      <c r="B41" s="132"/>
      <c r="C41" s="257"/>
      <c r="D41" s="239"/>
      <c r="E41" s="239"/>
      <c r="F41" s="258" t="s">
        <v>979</v>
      </c>
      <c r="G41" s="241"/>
    </row>
    <row r="42" spans="1:7" x14ac:dyDescent="0.2">
      <c r="A42" s="132"/>
      <c r="B42" s="132"/>
      <c r="C42" s="257"/>
      <c r="D42" s="239"/>
      <c r="E42" s="239"/>
      <c r="F42" s="258" t="s">
        <v>980</v>
      </c>
      <c r="G42" s="241"/>
    </row>
    <row r="43" spans="1:7" x14ac:dyDescent="0.2">
      <c r="A43" s="132"/>
      <c r="B43" s="132"/>
      <c r="C43" s="257"/>
      <c r="D43" s="239"/>
      <c r="E43" s="239"/>
      <c r="F43" s="259" t="s">
        <v>1670</v>
      </c>
      <c r="G43" s="260"/>
    </row>
    <row r="44" spans="1:7" ht="13.5" thickBot="1" x14ac:dyDescent="0.25">
      <c r="A44" s="193"/>
      <c r="B44" s="132"/>
      <c r="C44" s="261"/>
      <c r="D44" s="251"/>
      <c r="E44" s="251"/>
      <c r="F44" s="262" t="s">
        <v>1650</v>
      </c>
      <c r="G44" s="263"/>
    </row>
    <row r="45" spans="1:7" ht="15.75" x14ac:dyDescent="0.2">
      <c r="A45" s="186" t="s">
        <v>1701</v>
      </c>
      <c r="B45" s="132"/>
      <c r="C45" s="187" t="s">
        <v>742</v>
      </c>
      <c r="D45" s="132"/>
      <c r="E45" s="132"/>
      <c r="F45" s="188"/>
      <c r="G45" s="132"/>
    </row>
    <row r="46" spans="1:7" ht="15.75" x14ac:dyDescent="0.2">
      <c r="A46" s="186" t="s">
        <v>1700</v>
      </c>
      <c r="B46" s="189" t="s">
        <v>963</v>
      </c>
      <c r="C46" s="188"/>
      <c r="D46" s="132"/>
      <c r="E46" s="132"/>
      <c r="F46" s="190"/>
      <c r="G46" s="191"/>
    </row>
    <row r="47" spans="1:7" ht="14.25" x14ac:dyDescent="0.2">
      <c r="A47" s="189"/>
      <c r="B47" s="189"/>
      <c r="C47" s="187"/>
      <c r="D47" s="189"/>
      <c r="E47" s="189"/>
      <c r="F47" s="189"/>
      <c r="G47" s="189"/>
    </row>
    <row r="48" spans="1:7" ht="15.75" x14ac:dyDescent="0.2">
      <c r="A48" s="186" t="s">
        <v>1697</v>
      </c>
      <c r="B48" s="189"/>
      <c r="C48" s="188"/>
      <c r="D48" s="132"/>
      <c r="E48" s="132"/>
      <c r="F48" s="132"/>
      <c r="G48" s="132"/>
    </row>
    <row r="49" spans="1:7" ht="15" x14ac:dyDescent="0.2">
      <c r="A49" s="192"/>
      <c r="B49" s="189"/>
      <c r="C49" s="187"/>
      <c r="D49" s="189"/>
      <c r="E49" s="189"/>
      <c r="F49" s="189"/>
      <c r="G49" s="189"/>
    </row>
    <row r="50" spans="1:7" ht="14.25" x14ac:dyDescent="0.2">
      <c r="A50" s="193" t="s">
        <v>594</v>
      </c>
      <c r="B50" s="194">
        <v>2</v>
      </c>
      <c r="C50" s="188"/>
      <c r="D50" s="188"/>
      <c r="E50" s="188"/>
      <c r="F50" s="195" t="s">
        <v>1696</v>
      </c>
      <c r="G50" s="189" t="s">
        <v>1506</v>
      </c>
    </row>
    <row r="51" spans="1:7" ht="14.25" x14ac:dyDescent="0.2">
      <c r="A51" s="196" t="s">
        <v>964</v>
      </c>
      <c r="B51" s="194" t="s">
        <v>1129</v>
      </c>
      <c r="C51" s="188"/>
      <c r="D51" s="132"/>
      <c r="E51" s="132"/>
      <c r="F51" s="132"/>
      <c r="G51" s="132"/>
    </row>
    <row r="52" spans="1:7" ht="15" thickBot="1" x14ac:dyDescent="0.25">
      <c r="A52" s="187"/>
      <c r="B52" s="187"/>
      <c r="C52" s="187"/>
      <c r="D52" s="189"/>
      <c r="E52" s="189"/>
      <c r="F52" s="189"/>
      <c r="G52" s="189"/>
    </row>
    <row r="53" spans="1:7" x14ac:dyDescent="0.2">
      <c r="A53" s="197" t="s">
        <v>1695</v>
      </c>
      <c r="B53" s="198"/>
      <c r="C53" s="199"/>
      <c r="D53" s="198"/>
      <c r="E53" s="198"/>
      <c r="F53" s="198"/>
      <c r="G53" s="200"/>
    </row>
    <row r="54" spans="1:7" ht="25.5" x14ac:dyDescent="0.2">
      <c r="A54" s="202" t="s">
        <v>1409</v>
      </c>
      <c r="B54" s="203"/>
      <c r="C54" s="204" t="s">
        <v>966</v>
      </c>
      <c r="D54" s="205" t="s">
        <v>1694</v>
      </c>
      <c r="E54" s="205" t="s">
        <v>1693</v>
      </c>
      <c r="F54" s="206" t="s">
        <v>1687</v>
      </c>
      <c r="G54" s="207" t="s">
        <v>967</v>
      </c>
    </row>
    <row r="55" spans="1:7" x14ac:dyDescent="0.2">
      <c r="A55" s="208" t="s">
        <v>1468</v>
      </c>
      <c r="B55" s="209"/>
      <c r="C55" s="210">
        <v>1</v>
      </c>
      <c r="D55" s="211">
        <v>2.5</v>
      </c>
      <c r="E55" s="211">
        <f>C55*D55</f>
        <v>2.5</v>
      </c>
      <c r="F55" s="212">
        <v>0.3</v>
      </c>
      <c r="G55" s="213">
        <f>E55*F55</f>
        <v>0.75</v>
      </c>
    </row>
    <row r="56" spans="1:7" x14ac:dyDescent="0.2">
      <c r="A56" s="214"/>
      <c r="B56" s="132"/>
      <c r="C56" s="215"/>
      <c r="D56" s="216"/>
      <c r="E56" s="216"/>
      <c r="F56" s="217"/>
      <c r="G56" s="218"/>
    </row>
    <row r="57" spans="1:7" x14ac:dyDescent="0.2">
      <c r="A57" s="219" t="s">
        <v>1682</v>
      </c>
      <c r="B57" s="220"/>
      <c r="C57" s="221"/>
      <c r="D57" s="222" t="s">
        <v>1682</v>
      </c>
      <c r="E57" s="222" t="s">
        <v>1682</v>
      </c>
      <c r="F57" s="223"/>
      <c r="G57" s="224" t="s">
        <v>1682</v>
      </c>
    </row>
    <row r="58" spans="1:7" x14ac:dyDescent="0.2">
      <c r="A58" s="219" t="s">
        <v>968</v>
      </c>
      <c r="B58" s="220"/>
      <c r="C58" s="225"/>
      <c r="D58" s="220"/>
      <c r="E58" s="220"/>
      <c r="F58" s="226"/>
      <c r="G58" s="224">
        <f>SUM(G55:G57)</f>
        <v>0.75</v>
      </c>
    </row>
    <row r="59" spans="1:7" x14ac:dyDescent="0.2">
      <c r="A59" s="227" t="s">
        <v>1503</v>
      </c>
      <c r="B59" s="132"/>
      <c r="C59" s="188"/>
      <c r="D59" s="132"/>
      <c r="E59" s="132"/>
      <c r="F59" s="228"/>
      <c r="G59" s="218"/>
    </row>
    <row r="60" spans="1:7" ht="25.5" x14ac:dyDescent="0.2">
      <c r="A60" s="229" t="s">
        <v>1691</v>
      </c>
      <c r="B60" s="230"/>
      <c r="C60" s="231" t="s">
        <v>969</v>
      </c>
      <c r="D60" s="232" t="s">
        <v>1689</v>
      </c>
      <c r="E60" s="232" t="s">
        <v>1688</v>
      </c>
      <c r="F60" s="233" t="s">
        <v>1687</v>
      </c>
      <c r="G60" s="234" t="s">
        <v>1686</v>
      </c>
    </row>
    <row r="61" spans="1:7" x14ac:dyDescent="0.2">
      <c r="A61" s="235" t="s">
        <v>970</v>
      </c>
      <c r="B61" s="132"/>
      <c r="C61" s="236">
        <v>1</v>
      </c>
      <c r="D61" s="237">
        <v>2.16</v>
      </c>
      <c r="E61" s="216">
        <v>2.16</v>
      </c>
      <c r="F61" s="217">
        <v>3.69</v>
      </c>
      <c r="G61" s="218">
        <f>E61*F61</f>
        <v>7.9704000000000006</v>
      </c>
    </row>
    <row r="62" spans="1:7" x14ac:dyDescent="0.2">
      <c r="A62" s="235" t="s">
        <v>971</v>
      </c>
      <c r="B62" s="132"/>
      <c r="C62" s="236">
        <v>1</v>
      </c>
      <c r="D62" s="237">
        <v>2.13</v>
      </c>
      <c r="E62" s="216">
        <f>C62*D62</f>
        <v>2.13</v>
      </c>
      <c r="F62" s="217">
        <v>2.75</v>
      </c>
      <c r="G62" s="218">
        <f>E62*F62</f>
        <v>5.8574999999999999</v>
      </c>
    </row>
    <row r="63" spans="1:7" x14ac:dyDescent="0.2">
      <c r="A63" s="235" t="s">
        <v>590</v>
      </c>
      <c r="B63" s="132"/>
      <c r="C63" s="236">
        <v>1</v>
      </c>
      <c r="D63" s="237">
        <v>2.13</v>
      </c>
      <c r="E63" s="216">
        <f>C63*D63</f>
        <v>2.13</v>
      </c>
      <c r="F63" s="217">
        <v>1.95</v>
      </c>
      <c r="G63" s="218">
        <f>E63*F63</f>
        <v>4.1534999999999993</v>
      </c>
    </row>
    <row r="64" spans="1:7" x14ac:dyDescent="0.2">
      <c r="A64" s="235"/>
      <c r="B64" s="132"/>
      <c r="C64" s="236"/>
      <c r="D64" s="237"/>
      <c r="E64" s="216"/>
      <c r="F64" s="217"/>
      <c r="G64" s="218"/>
    </row>
    <row r="65" spans="1:7" x14ac:dyDescent="0.2">
      <c r="A65" s="219" t="s">
        <v>1682</v>
      </c>
      <c r="B65" s="220"/>
      <c r="C65" s="221"/>
      <c r="D65" s="222" t="s">
        <v>1682</v>
      </c>
      <c r="E65" s="222" t="s">
        <v>1682</v>
      </c>
      <c r="F65" s="223"/>
      <c r="G65" s="224" t="s">
        <v>1682</v>
      </c>
    </row>
    <row r="66" spans="1:7" x14ac:dyDescent="0.2">
      <c r="A66" s="238" t="s">
        <v>1681</v>
      </c>
      <c r="B66" s="239"/>
      <c r="C66" s="240"/>
      <c r="D66" s="239"/>
      <c r="E66" s="239"/>
      <c r="F66" s="239"/>
      <c r="G66" s="241">
        <f>SUM(G61:G65)</f>
        <v>17.981400000000001</v>
      </c>
    </row>
    <row r="67" spans="1:7" x14ac:dyDescent="0.2">
      <c r="A67" s="227" t="s">
        <v>1684</v>
      </c>
      <c r="B67" s="132"/>
      <c r="C67" s="188"/>
      <c r="D67" s="132"/>
      <c r="E67" s="132"/>
      <c r="F67" s="132"/>
      <c r="G67" s="218"/>
    </row>
    <row r="68" spans="1:7" ht="25.5" x14ac:dyDescent="0.2">
      <c r="A68" s="229" t="s">
        <v>1409</v>
      </c>
      <c r="B68" s="242"/>
      <c r="C68" s="243"/>
      <c r="D68" s="232" t="s">
        <v>1408</v>
      </c>
      <c r="E68" s="231" t="s">
        <v>1679</v>
      </c>
      <c r="F68" s="232" t="s">
        <v>1683</v>
      </c>
      <c r="G68" s="234" t="s">
        <v>1675</v>
      </c>
    </row>
    <row r="69" spans="1:7" x14ac:dyDescent="0.2">
      <c r="A69" s="244" t="s">
        <v>1130</v>
      </c>
      <c r="B69" s="132"/>
      <c r="C69" s="188"/>
      <c r="D69" s="215" t="s">
        <v>1506</v>
      </c>
      <c r="E69" s="215">
        <v>1</v>
      </c>
      <c r="F69" s="216">
        <v>155</v>
      </c>
      <c r="G69" s="218">
        <f>E69*F69</f>
        <v>155</v>
      </c>
    </row>
    <row r="70" spans="1:7" x14ac:dyDescent="0.2">
      <c r="A70" s="244" t="s">
        <v>1131</v>
      </c>
      <c r="B70" s="132"/>
      <c r="C70" s="188"/>
      <c r="D70" s="215"/>
      <c r="E70" s="215"/>
      <c r="F70" s="216"/>
      <c r="G70" s="218"/>
    </row>
    <row r="71" spans="1:7" x14ac:dyDescent="0.2">
      <c r="A71" s="244" t="s">
        <v>1132</v>
      </c>
      <c r="B71" s="132"/>
      <c r="C71" s="188"/>
      <c r="D71" s="215"/>
      <c r="E71" s="215"/>
      <c r="F71" s="216"/>
      <c r="G71" s="218"/>
    </row>
    <row r="72" spans="1:7" x14ac:dyDescent="0.2">
      <c r="A72" s="214"/>
      <c r="B72" s="132"/>
      <c r="C72" s="245"/>
      <c r="D72" s="215"/>
      <c r="E72" s="215"/>
      <c r="F72" s="216"/>
      <c r="G72" s="218"/>
    </row>
    <row r="73" spans="1:7" x14ac:dyDescent="0.2">
      <c r="A73" s="214"/>
      <c r="B73" s="132"/>
      <c r="C73" s="245"/>
      <c r="D73" s="215"/>
      <c r="E73" s="215"/>
      <c r="F73" s="216"/>
      <c r="G73" s="218"/>
    </row>
    <row r="74" spans="1:7" x14ac:dyDescent="0.2">
      <c r="A74" s="238" t="s">
        <v>1692</v>
      </c>
      <c r="B74" s="239"/>
      <c r="C74" s="240"/>
      <c r="D74" s="240"/>
      <c r="E74" s="240"/>
      <c r="F74" s="239"/>
      <c r="G74" s="241">
        <f>SUM(G69:G73)</f>
        <v>155</v>
      </c>
    </row>
    <row r="75" spans="1:7" x14ac:dyDescent="0.2">
      <c r="A75" s="227" t="s">
        <v>1680</v>
      </c>
      <c r="B75" s="132"/>
      <c r="C75" s="188"/>
      <c r="D75" s="132"/>
      <c r="E75" s="188"/>
      <c r="F75" s="132"/>
      <c r="G75" s="218"/>
    </row>
    <row r="76" spans="1:7" ht="25.5" x14ac:dyDescent="0.2">
      <c r="A76" s="229" t="s">
        <v>1409</v>
      </c>
      <c r="B76" s="242"/>
      <c r="C76" s="243"/>
      <c r="D76" s="232" t="s">
        <v>1408</v>
      </c>
      <c r="E76" s="231" t="s">
        <v>1679</v>
      </c>
      <c r="F76" s="232" t="s">
        <v>1676</v>
      </c>
      <c r="G76" s="234" t="s">
        <v>1675</v>
      </c>
    </row>
    <row r="77" spans="1:7" x14ac:dyDescent="0.2">
      <c r="A77" s="208" t="s">
        <v>975</v>
      </c>
      <c r="B77" s="209"/>
      <c r="C77" s="246"/>
      <c r="D77" s="215" t="s">
        <v>976</v>
      </c>
      <c r="E77" s="215">
        <v>0.15</v>
      </c>
      <c r="F77" s="247">
        <v>5</v>
      </c>
      <c r="G77" s="218">
        <f>E77*F77</f>
        <v>0.75</v>
      </c>
    </row>
    <row r="78" spans="1:7" x14ac:dyDescent="0.2">
      <c r="A78" s="214"/>
      <c r="B78" s="132"/>
      <c r="C78" s="248"/>
      <c r="D78" s="215"/>
      <c r="E78" s="215"/>
      <c r="F78" s="247"/>
      <c r="G78" s="218"/>
    </row>
    <row r="79" spans="1:7" x14ac:dyDescent="0.2">
      <c r="A79" s="219" t="s">
        <v>1682</v>
      </c>
      <c r="B79" s="220"/>
      <c r="C79" s="249"/>
      <c r="D79" s="221" t="s">
        <v>1682</v>
      </c>
      <c r="E79" s="221"/>
      <c r="F79" s="222" t="s">
        <v>1682</v>
      </c>
      <c r="G79" s="224" t="s">
        <v>1682</v>
      </c>
    </row>
    <row r="80" spans="1:7" ht="13.5" thickBot="1" x14ac:dyDescent="0.25">
      <c r="A80" s="250" t="s">
        <v>977</v>
      </c>
      <c r="B80" s="251"/>
      <c r="C80" s="252"/>
      <c r="D80" s="252"/>
      <c r="E80" s="252"/>
      <c r="F80" s="251"/>
      <c r="G80" s="253">
        <f>SUM(G77:G79)</f>
        <v>0.75</v>
      </c>
    </row>
    <row r="81" spans="1:7" x14ac:dyDescent="0.2">
      <c r="A81" s="132"/>
      <c r="B81" s="132"/>
      <c r="C81" s="254"/>
      <c r="D81" s="198"/>
      <c r="E81" s="198"/>
      <c r="F81" s="255" t="s">
        <v>978</v>
      </c>
      <c r="G81" s="256">
        <f>G58+G66+G74+G80</f>
        <v>174.48140000000001</v>
      </c>
    </row>
    <row r="82" spans="1:7" x14ac:dyDescent="0.2">
      <c r="A82" s="132"/>
      <c r="B82" s="132"/>
      <c r="C82" s="257"/>
      <c r="D82" s="239"/>
      <c r="E82" s="239"/>
      <c r="F82" s="258" t="s">
        <v>979</v>
      </c>
      <c r="G82" s="241"/>
    </row>
    <row r="83" spans="1:7" x14ac:dyDescent="0.2">
      <c r="A83" s="132"/>
      <c r="B83" s="132"/>
      <c r="C83" s="257"/>
      <c r="D83" s="239"/>
      <c r="E83" s="239"/>
      <c r="F83" s="258" t="s">
        <v>980</v>
      </c>
      <c r="G83" s="241"/>
    </row>
    <row r="84" spans="1:7" x14ac:dyDescent="0.2">
      <c r="A84" s="132"/>
      <c r="B84" s="132"/>
      <c r="C84" s="257"/>
      <c r="D84" s="239"/>
      <c r="E84" s="239"/>
      <c r="F84" s="259" t="s">
        <v>1670</v>
      </c>
      <c r="G84" s="260"/>
    </row>
    <row r="85" spans="1:7" ht="13.5" thickBot="1" x14ac:dyDescent="0.25">
      <c r="A85" s="193"/>
      <c r="B85" s="132"/>
      <c r="C85" s="261"/>
      <c r="D85" s="251"/>
      <c r="E85" s="251"/>
      <c r="F85" s="262" t="s">
        <v>1650</v>
      </c>
      <c r="G85" s="263"/>
    </row>
    <row r="86" spans="1:7" ht="15.75" x14ac:dyDescent="0.2">
      <c r="A86" s="186" t="s">
        <v>1701</v>
      </c>
      <c r="B86" s="132"/>
      <c r="C86" s="187" t="s">
        <v>742</v>
      </c>
      <c r="D86" s="132"/>
      <c r="E86" s="132"/>
      <c r="F86" s="188"/>
      <c r="G86" s="132"/>
    </row>
    <row r="87" spans="1:7" ht="15.75" x14ac:dyDescent="0.2">
      <c r="A87" s="186" t="s">
        <v>1700</v>
      </c>
      <c r="B87" s="189" t="s">
        <v>963</v>
      </c>
      <c r="C87" s="188"/>
      <c r="D87" s="132"/>
      <c r="E87" s="132"/>
      <c r="F87" s="190"/>
      <c r="G87" s="191"/>
    </row>
    <row r="88" spans="1:7" ht="14.25" x14ac:dyDescent="0.2">
      <c r="A88" s="189"/>
      <c r="B88" s="189"/>
      <c r="C88" s="187"/>
      <c r="D88" s="189"/>
      <c r="E88" s="189"/>
      <c r="F88" s="189"/>
      <c r="G88" s="189"/>
    </row>
    <row r="89" spans="1:7" ht="15.75" x14ac:dyDescent="0.2">
      <c r="A89" s="186" t="s">
        <v>1697</v>
      </c>
      <c r="B89" s="189"/>
      <c r="C89" s="188"/>
      <c r="D89" s="132"/>
      <c r="E89" s="132"/>
      <c r="F89" s="132"/>
      <c r="G89" s="132"/>
    </row>
    <row r="90" spans="1:7" ht="15" x14ac:dyDescent="0.2">
      <c r="A90" s="192"/>
      <c r="B90" s="189"/>
      <c r="C90" s="187"/>
      <c r="D90" s="189"/>
      <c r="E90" s="189"/>
      <c r="F90" s="189"/>
      <c r="G90" s="189"/>
    </row>
    <row r="91" spans="1:7" ht="14.25" x14ac:dyDescent="0.2">
      <c r="A91" s="193" t="s">
        <v>594</v>
      </c>
      <c r="B91" s="194">
        <v>3</v>
      </c>
      <c r="C91" s="188"/>
      <c r="D91" s="188"/>
      <c r="E91" s="188"/>
      <c r="F91" s="195" t="s">
        <v>1696</v>
      </c>
      <c r="G91" s="189" t="s">
        <v>1506</v>
      </c>
    </row>
    <row r="92" spans="1:7" ht="14.25" x14ac:dyDescent="0.2">
      <c r="A92" s="196" t="s">
        <v>964</v>
      </c>
      <c r="B92" s="194" t="s">
        <v>1133</v>
      </c>
      <c r="C92" s="188"/>
      <c r="D92" s="132"/>
      <c r="E92" s="132"/>
      <c r="F92" s="132"/>
      <c r="G92" s="132"/>
    </row>
    <row r="93" spans="1:7" ht="15" thickBot="1" x14ac:dyDescent="0.25">
      <c r="A93" s="187"/>
      <c r="B93" s="187"/>
      <c r="C93" s="187"/>
      <c r="D93" s="189"/>
      <c r="E93" s="189"/>
      <c r="F93" s="189"/>
      <c r="G93" s="189"/>
    </row>
    <row r="94" spans="1:7" x14ac:dyDescent="0.2">
      <c r="A94" s="197" t="s">
        <v>1695</v>
      </c>
      <c r="B94" s="198"/>
      <c r="C94" s="199"/>
      <c r="D94" s="198"/>
      <c r="E94" s="198"/>
      <c r="F94" s="198"/>
      <c r="G94" s="200"/>
    </row>
    <row r="95" spans="1:7" ht="25.5" x14ac:dyDescent="0.2">
      <c r="A95" s="202" t="s">
        <v>1409</v>
      </c>
      <c r="B95" s="203"/>
      <c r="C95" s="204" t="s">
        <v>966</v>
      </c>
      <c r="D95" s="205" t="s">
        <v>1694</v>
      </c>
      <c r="E95" s="205" t="s">
        <v>1693</v>
      </c>
      <c r="F95" s="206" t="s">
        <v>1687</v>
      </c>
      <c r="G95" s="207" t="s">
        <v>967</v>
      </c>
    </row>
    <row r="96" spans="1:7" x14ac:dyDescent="0.2">
      <c r="A96" s="208" t="s">
        <v>1468</v>
      </c>
      <c r="B96" s="209"/>
      <c r="C96" s="210">
        <v>1</v>
      </c>
      <c r="D96" s="211">
        <v>2.5</v>
      </c>
      <c r="E96" s="211">
        <f>C96*D96</f>
        <v>2.5</v>
      </c>
      <c r="F96" s="212">
        <v>0.3</v>
      </c>
      <c r="G96" s="213">
        <f>E96*F96</f>
        <v>0.75</v>
      </c>
    </row>
    <row r="97" spans="1:7" x14ac:dyDescent="0.2">
      <c r="A97" s="214"/>
      <c r="B97" s="132"/>
      <c r="C97" s="215"/>
      <c r="D97" s="216"/>
      <c r="E97" s="216"/>
      <c r="F97" s="217"/>
      <c r="G97" s="218"/>
    </row>
    <row r="98" spans="1:7" x14ac:dyDescent="0.2">
      <c r="A98" s="219" t="s">
        <v>1682</v>
      </c>
      <c r="B98" s="220"/>
      <c r="C98" s="221"/>
      <c r="D98" s="222" t="s">
        <v>1682</v>
      </c>
      <c r="E98" s="222" t="s">
        <v>1682</v>
      </c>
      <c r="F98" s="223"/>
      <c r="G98" s="224" t="s">
        <v>1682</v>
      </c>
    </row>
    <row r="99" spans="1:7" x14ac:dyDescent="0.2">
      <c r="A99" s="219" t="s">
        <v>968</v>
      </c>
      <c r="B99" s="220"/>
      <c r="C99" s="225"/>
      <c r="D99" s="220"/>
      <c r="E99" s="220"/>
      <c r="F99" s="226"/>
      <c r="G99" s="224">
        <f>SUM(G96:G98)</f>
        <v>0.75</v>
      </c>
    </row>
    <row r="100" spans="1:7" x14ac:dyDescent="0.2">
      <c r="A100" s="227" t="s">
        <v>1503</v>
      </c>
      <c r="B100" s="132"/>
      <c r="C100" s="188"/>
      <c r="D100" s="132"/>
      <c r="E100" s="132"/>
      <c r="F100" s="228"/>
      <c r="G100" s="218"/>
    </row>
    <row r="101" spans="1:7" ht="25.5" x14ac:dyDescent="0.2">
      <c r="A101" s="229" t="s">
        <v>1691</v>
      </c>
      <c r="B101" s="230"/>
      <c r="C101" s="231" t="s">
        <v>969</v>
      </c>
      <c r="D101" s="232" t="s">
        <v>1689</v>
      </c>
      <c r="E101" s="232" t="s">
        <v>1688</v>
      </c>
      <c r="F101" s="233" t="s">
        <v>1687</v>
      </c>
      <c r="G101" s="234" t="s">
        <v>1686</v>
      </c>
    </row>
    <row r="102" spans="1:7" x14ac:dyDescent="0.2">
      <c r="A102" s="235" t="s">
        <v>970</v>
      </c>
      <c r="B102" s="132"/>
      <c r="C102" s="236">
        <v>1</v>
      </c>
      <c r="D102" s="237">
        <v>2.16</v>
      </c>
      <c r="E102" s="216">
        <v>2.16</v>
      </c>
      <c r="F102" s="217">
        <v>3.69</v>
      </c>
      <c r="G102" s="218">
        <f>E102*F102</f>
        <v>7.9704000000000006</v>
      </c>
    </row>
    <row r="103" spans="1:7" x14ac:dyDescent="0.2">
      <c r="A103" s="235" t="s">
        <v>971</v>
      </c>
      <c r="B103" s="132"/>
      <c r="C103" s="236">
        <v>1</v>
      </c>
      <c r="D103" s="237">
        <v>2.13</v>
      </c>
      <c r="E103" s="216">
        <f>C103*D103</f>
        <v>2.13</v>
      </c>
      <c r="F103" s="217">
        <v>2.75</v>
      </c>
      <c r="G103" s="218">
        <f>E103*F103</f>
        <v>5.8574999999999999</v>
      </c>
    </row>
    <row r="104" spans="1:7" x14ac:dyDescent="0.2">
      <c r="A104" s="235" t="s">
        <v>590</v>
      </c>
      <c r="B104" s="132"/>
      <c r="C104" s="236">
        <v>1</v>
      </c>
      <c r="D104" s="237">
        <v>2.13</v>
      </c>
      <c r="E104" s="216">
        <f>C104*D104</f>
        <v>2.13</v>
      </c>
      <c r="F104" s="217">
        <v>1.95</v>
      </c>
      <c r="G104" s="218">
        <f>E104*F104</f>
        <v>4.1534999999999993</v>
      </c>
    </row>
    <row r="105" spans="1:7" x14ac:dyDescent="0.2">
      <c r="A105" s="235"/>
      <c r="B105" s="132"/>
      <c r="C105" s="236"/>
      <c r="D105" s="237"/>
      <c r="E105" s="216"/>
      <c r="F105" s="217"/>
      <c r="G105" s="218"/>
    </row>
    <row r="106" spans="1:7" x14ac:dyDescent="0.2">
      <c r="A106" s="219" t="s">
        <v>1682</v>
      </c>
      <c r="B106" s="220"/>
      <c r="C106" s="221"/>
      <c r="D106" s="222" t="s">
        <v>1682</v>
      </c>
      <c r="E106" s="222" t="s">
        <v>1682</v>
      </c>
      <c r="F106" s="223"/>
      <c r="G106" s="224" t="s">
        <v>1682</v>
      </c>
    </row>
    <row r="107" spans="1:7" x14ac:dyDescent="0.2">
      <c r="A107" s="238" t="s">
        <v>1681</v>
      </c>
      <c r="B107" s="239"/>
      <c r="C107" s="240"/>
      <c r="D107" s="239"/>
      <c r="E107" s="239"/>
      <c r="F107" s="239"/>
      <c r="G107" s="241">
        <f>SUM(G102:G106)</f>
        <v>17.981400000000001</v>
      </c>
    </row>
    <row r="108" spans="1:7" x14ac:dyDescent="0.2">
      <c r="A108" s="227" t="s">
        <v>1684</v>
      </c>
      <c r="B108" s="132"/>
      <c r="C108" s="188"/>
      <c r="D108" s="132"/>
      <c r="E108" s="132"/>
      <c r="F108" s="132"/>
      <c r="G108" s="218"/>
    </row>
    <row r="109" spans="1:7" ht="25.5" x14ac:dyDescent="0.2">
      <c r="A109" s="229" t="s">
        <v>1409</v>
      </c>
      <c r="B109" s="242"/>
      <c r="C109" s="243"/>
      <c r="D109" s="232" t="s">
        <v>1408</v>
      </c>
      <c r="E109" s="231" t="s">
        <v>1679</v>
      </c>
      <c r="F109" s="232" t="s">
        <v>1683</v>
      </c>
      <c r="G109" s="234" t="s">
        <v>1675</v>
      </c>
    </row>
    <row r="110" spans="1:7" x14ac:dyDescent="0.2">
      <c r="A110" s="244" t="s">
        <v>1133</v>
      </c>
      <c r="B110" s="132"/>
      <c r="C110" s="188"/>
      <c r="D110" s="215" t="s">
        <v>1506</v>
      </c>
      <c r="E110" s="215">
        <v>1</v>
      </c>
      <c r="F110" s="216">
        <v>105.5</v>
      </c>
      <c r="G110" s="218">
        <f>E110*F110</f>
        <v>105.5</v>
      </c>
    </row>
    <row r="111" spans="1:7" x14ac:dyDescent="0.2">
      <c r="A111" s="214"/>
      <c r="B111" s="132"/>
      <c r="C111" s="245"/>
      <c r="D111" s="215"/>
      <c r="E111" s="215"/>
      <c r="F111" s="216"/>
      <c r="G111" s="218"/>
    </row>
    <row r="112" spans="1:7" x14ac:dyDescent="0.2">
      <c r="A112" s="214"/>
      <c r="B112" s="132"/>
      <c r="C112" s="245"/>
      <c r="D112" s="215"/>
      <c r="E112" s="215"/>
      <c r="F112" s="216"/>
      <c r="G112" s="218"/>
    </row>
    <row r="113" spans="1:7" x14ac:dyDescent="0.2">
      <c r="A113" s="238" t="s">
        <v>1692</v>
      </c>
      <c r="B113" s="239"/>
      <c r="C113" s="240"/>
      <c r="D113" s="240"/>
      <c r="E113" s="240"/>
      <c r="F113" s="239"/>
      <c r="G113" s="241">
        <f>SUM(G110:G112)</f>
        <v>105.5</v>
      </c>
    </row>
    <row r="114" spans="1:7" x14ac:dyDescent="0.2">
      <c r="A114" s="227" t="s">
        <v>1680</v>
      </c>
      <c r="B114" s="132"/>
      <c r="C114" s="188"/>
      <c r="D114" s="132"/>
      <c r="E114" s="188"/>
      <c r="F114" s="132"/>
      <c r="G114" s="218"/>
    </row>
    <row r="115" spans="1:7" ht="25.5" x14ac:dyDescent="0.2">
      <c r="A115" s="229" t="s">
        <v>1409</v>
      </c>
      <c r="B115" s="242"/>
      <c r="C115" s="243"/>
      <c r="D115" s="232" t="s">
        <v>1408</v>
      </c>
      <c r="E115" s="231" t="s">
        <v>1679</v>
      </c>
      <c r="F115" s="232" t="s">
        <v>1676</v>
      </c>
      <c r="G115" s="234" t="s">
        <v>1675</v>
      </c>
    </row>
    <row r="116" spans="1:7" x14ac:dyDescent="0.2">
      <c r="A116" s="208" t="s">
        <v>975</v>
      </c>
      <c r="B116" s="209"/>
      <c r="C116" s="246"/>
      <c r="D116" s="215" t="s">
        <v>976</v>
      </c>
      <c r="E116" s="215">
        <v>0.15</v>
      </c>
      <c r="F116" s="247">
        <v>5</v>
      </c>
      <c r="G116" s="218">
        <f>E116*F116</f>
        <v>0.75</v>
      </c>
    </row>
    <row r="117" spans="1:7" x14ac:dyDescent="0.2">
      <c r="A117" s="214"/>
      <c r="B117" s="132"/>
      <c r="C117" s="248"/>
      <c r="D117" s="215"/>
      <c r="E117" s="215"/>
      <c r="F117" s="247"/>
      <c r="G117" s="218"/>
    </row>
    <row r="118" spans="1:7" x14ac:dyDescent="0.2">
      <c r="A118" s="219" t="s">
        <v>1682</v>
      </c>
      <c r="B118" s="220"/>
      <c r="C118" s="249"/>
      <c r="D118" s="221" t="s">
        <v>1682</v>
      </c>
      <c r="E118" s="221"/>
      <c r="F118" s="222" t="s">
        <v>1682</v>
      </c>
      <c r="G118" s="224" t="s">
        <v>1682</v>
      </c>
    </row>
    <row r="119" spans="1:7" ht="13.5" thickBot="1" x14ac:dyDescent="0.25">
      <c r="A119" s="250" t="s">
        <v>977</v>
      </c>
      <c r="B119" s="251"/>
      <c r="C119" s="252"/>
      <c r="D119" s="252"/>
      <c r="E119" s="252"/>
      <c r="F119" s="251"/>
      <c r="G119" s="253">
        <f>SUM(G116:G118)</f>
        <v>0.75</v>
      </c>
    </row>
    <row r="120" spans="1:7" x14ac:dyDescent="0.2">
      <c r="A120" s="132"/>
      <c r="B120" s="132"/>
      <c r="C120" s="254"/>
      <c r="D120" s="198"/>
      <c r="E120" s="198"/>
      <c r="F120" s="255" t="s">
        <v>978</v>
      </c>
      <c r="G120" s="256">
        <f>G99+G107+G113+G119</f>
        <v>124.98140000000001</v>
      </c>
    </row>
    <row r="121" spans="1:7" x14ac:dyDescent="0.2">
      <c r="A121" s="132"/>
      <c r="B121" s="132"/>
      <c r="C121" s="257"/>
      <c r="D121" s="239"/>
      <c r="E121" s="239"/>
      <c r="F121" s="258" t="s">
        <v>979</v>
      </c>
      <c r="G121" s="241"/>
    </row>
    <row r="122" spans="1:7" x14ac:dyDescent="0.2">
      <c r="A122" s="132"/>
      <c r="B122" s="132"/>
      <c r="C122" s="257"/>
      <c r="D122" s="239"/>
      <c r="E122" s="239"/>
      <c r="F122" s="258" t="s">
        <v>980</v>
      </c>
      <c r="G122" s="241"/>
    </row>
    <row r="123" spans="1:7" x14ac:dyDescent="0.2">
      <c r="A123" s="132"/>
      <c r="B123" s="132"/>
      <c r="C123" s="257"/>
      <c r="D123" s="239"/>
      <c r="E123" s="239"/>
      <c r="F123" s="259" t="s">
        <v>1670</v>
      </c>
      <c r="G123" s="260"/>
    </row>
    <row r="124" spans="1:7" ht="13.5" thickBot="1" x14ac:dyDescent="0.25">
      <c r="A124" s="193"/>
      <c r="B124" s="132"/>
      <c r="C124" s="261"/>
      <c r="D124" s="251"/>
      <c r="E124" s="251"/>
      <c r="F124" s="262" t="s">
        <v>1650</v>
      </c>
      <c r="G124" s="263"/>
    </row>
    <row r="125" spans="1:7" ht="15.75" x14ac:dyDescent="0.2">
      <c r="A125" s="186" t="s">
        <v>1701</v>
      </c>
      <c r="B125" s="132"/>
      <c r="C125" s="187" t="s">
        <v>742</v>
      </c>
      <c r="D125" s="132"/>
      <c r="E125" s="132"/>
      <c r="F125" s="188"/>
      <c r="G125" s="132"/>
    </row>
    <row r="126" spans="1:7" ht="15.75" x14ac:dyDescent="0.2">
      <c r="A126" s="186" t="s">
        <v>1700</v>
      </c>
      <c r="B126" s="189" t="s">
        <v>963</v>
      </c>
      <c r="C126" s="188"/>
      <c r="D126" s="132"/>
      <c r="E126" s="132"/>
      <c r="F126" s="190"/>
      <c r="G126" s="191"/>
    </row>
    <row r="127" spans="1:7" ht="14.25" x14ac:dyDescent="0.2">
      <c r="A127" s="189"/>
      <c r="B127" s="189"/>
      <c r="C127" s="187"/>
      <c r="D127" s="189"/>
      <c r="E127" s="189"/>
      <c r="F127" s="189"/>
      <c r="G127" s="189"/>
    </row>
    <row r="128" spans="1:7" ht="15.75" x14ac:dyDescent="0.2">
      <c r="A128" s="186" t="s">
        <v>1697</v>
      </c>
      <c r="B128" s="189"/>
      <c r="C128" s="188"/>
      <c r="D128" s="132"/>
      <c r="E128" s="132"/>
      <c r="F128" s="132"/>
      <c r="G128" s="132"/>
    </row>
    <row r="129" spans="1:7" ht="15" x14ac:dyDescent="0.2">
      <c r="A129" s="192"/>
      <c r="B129" s="189"/>
      <c r="C129" s="187"/>
      <c r="D129" s="189"/>
      <c r="E129" s="189"/>
      <c r="F129" s="189"/>
      <c r="G129" s="189"/>
    </row>
    <row r="130" spans="1:7" ht="14.25" x14ac:dyDescent="0.2">
      <c r="A130" s="193" t="s">
        <v>594</v>
      </c>
      <c r="B130" s="194">
        <v>4</v>
      </c>
      <c r="C130" s="188"/>
      <c r="D130" s="188"/>
      <c r="E130" s="188"/>
      <c r="F130" s="195" t="s">
        <v>1696</v>
      </c>
      <c r="G130" s="189" t="s">
        <v>1506</v>
      </c>
    </row>
    <row r="131" spans="1:7" ht="14.25" x14ac:dyDescent="0.2">
      <c r="A131" s="196" t="s">
        <v>964</v>
      </c>
      <c r="B131" s="194" t="s">
        <v>1134</v>
      </c>
      <c r="C131" s="188"/>
      <c r="D131" s="132"/>
      <c r="E131" s="132"/>
      <c r="F131" s="132"/>
      <c r="G131" s="132"/>
    </row>
    <row r="132" spans="1:7" ht="15" thickBot="1" x14ac:dyDescent="0.25">
      <c r="A132" s="187"/>
      <c r="B132" s="187"/>
      <c r="C132" s="187"/>
      <c r="D132" s="189"/>
      <c r="E132" s="189"/>
      <c r="F132" s="189"/>
      <c r="G132" s="189"/>
    </row>
    <row r="133" spans="1:7" x14ac:dyDescent="0.2">
      <c r="A133" s="197" t="s">
        <v>1695</v>
      </c>
      <c r="B133" s="198"/>
      <c r="C133" s="199"/>
      <c r="D133" s="198"/>
      <c r="E133" s="198"/>
      <c r="F133" s="198"/>
      <c r="G133" s="200"/>
    </row>
    <row r="134" spans="1:7" ht="25.5" x14ac:dyDescent="0.2">
      <c r="A134" s="202" t="s">
        <v>1409</v>
      </c>
      <c r="B134" s="203"/>
      <c r="C134" s="204" t="s">
        <v>966</v>
      </c>
      <c r="D134" s="205" t="s">
        <v>1694</v>
      </c>
      <c r="E134" s="205" t="s">
        <v>1693</v>
      </c>
      <c r="F134" s="206" t="s">
        <v>1687</v>
      </c>
      <c r="G134" s="207" t="s">
        <v>967</v>
      </c>
    </row>
    <row r="135" spans="1:7" x14ac:dyDescent="0.2">
      <c r="A135" s="208" t="s">
        <v>1468</v>
      </c>
      <c r="B135" s="209"/>
      <c r="C135" s="210">
        <v>1</v>
      </c>
      <c r="D135" s="211">
        <v>2.5</v>
      </c>
      <c r="E135" s="211">
        <f>C135*D135</f>
        <v>2.5</v>
      </c>
      <c r="F135" s="212">
        <v>0.3</v>
      </c>
      <c r="G135" s="213">
        <f>E135*F135</f>
        <v>0.75</v>
      </c>
    </row>
    <row r="136" spans="1:7" x14ac:dyDescent="0.2">
      <c r="A136" s="214"/>
      <c r="B136" s="132"/>
      <c r="C136" s="215"/>
      <c r="D136" s="216"/>
      <c r="E136" s="216"/>
      <c r="F136" s="217"/>
      <c r="G136" s="218"/>
    </row>
    <row r="137" spans="1:7" x14ac:dyDescent="0.2">
      <c r="A137" s="219" t="s">
        <v>1682</v>
      </c>
      <c r="B137" s="220"/>
      <c r="C137" s="221"/>
      <c r="D137" s="222" t="s">
        <v>1682</v>
      </c>
      <c r="E137" s="222" t="s">
        <v>1682</v>
      </c>
      <c r="F137" s="223"/>
      <c r="G137" s="224" t="s">
        <v>1682</v>
      </c>
    </row>
    <row r="138" spans="1:7" x14ac:dyDescent="0.2">
      <c r="A138" s="219" t="s">
        <v>968</v>
      </c>
      <c r="B138" s="220"/>
      <c r="C138" s="225"/>
      <c r="D138" s="220"/>
      <c r="E138" s="220"/>
      <c r="F138" s="226"/>
      <c r="G138" s="224">
        <f>SUM(G135:G137)</f>
        <v>0.75</v>
      </c>
    </row>
    <row r="139" spans="1:7" x14ac:dyDescent="0.2">
      <c r="A139" s="227" t="s">
        <v>1503</v>
      </c>
      <c r="B139" s="132"/>
      <c r="C139" s="188"/>
      <c r="D139" s="132"/>
      <c r="E139" s="132"/>
      <c r="F139" s="228"/>
      <c r="G139" s="218"/>
    </row>
    <row r="140" spans="1:7" ht="25.5" x14ac:dyDescent="0.2">
      <c r="A140" s="229" t="s">
        <v>1691</v>
      </c>
      <c r="B140" s="230"/>
      <c r="C140" s="231" t="s">
        <v>969</v>
      </c>
      <c r="D140" s="232" t="s">
        <v>1689</v>
      </c>
      <c r="E140" s="232" t="s">
        <v>1688</v>
      </c>
      <c r="F140" s="233" t="s">
        <v>1687</v>
      </c>
      <c r="G140" s="234" t="s">
        <v>1686</v>
      </c>
    </row>
    <row r="141" spans="1:7" x14ac:dyDescent="0.2">
      <c r="A141" s="235" t="s">
        <v>970</v>
      </c>
      <c r="B141" s="132"/>
      <c r="C141" s="236">
        <v>1</v>
      </c>
      <c r="D141" s="237">
        <v>2.16</v>
      </c>
      <c r="E141" s="216">
        <v>2.16</v>
      </c>
      <c r="F141" s="217">
        <v>3.69</v>
      </c>
      <c r="G141" s="218">
        <f>E141*F141</f>
        <v>7.9704000000000006</v>
      </c>
    </row>
    <row r="142" spans="1:7" x14ac:dyDescent="0.2">
      <c r="A142" s="235" t="s">
        <v>971</v>
      </c>
      <c r="B142" s="132"/>
      <c r="C142" s="236">
        <v>1</v>
      </c>
      <c r="D142" s="237">
        <v>2.13</v>
      </c>
      <c r="E142" s="216">
        <f>C142*D142</f>
        <v>2.13</v>
      </c>
      <c r="F142" s="217">
        <v>2.75</v>
      </c>
      <c r="G142" s="218">
        <f>E142*F142</f>
        <v>5.8574999999999999</v>
      </c>
    </row>
    <row r="143" spans="1:7" x14ac:dyDescent="0.2">
      <c r="A143" s="235" t="s">
        <v>590</v>
      </c>
      <c r="B143" s="132"/>
      <c r="C143" s="236">
        <v>1</v>
      </c>
      <c r="D143" s="237">
        <v>2.13</v>
      </c>
      <c r="E143" s="216">
        <f>C143*D143</f>
        <v>2.13</v>
      </c>
      <c r="F143" s="217">
        <v>1.95</v>
      </c>
      <c r="G143" s="218">
        <f>E143*F143</f>
        <v>4.1534999999999993</v>
      </c>
    </row>
    <row r="144" spans="1:7" x14ac:dyDescent="0.2">
      <c r="A144" s="235"/>
      <c r="B144" s="132"/>
      <c r="C144" s="236"/>
      <c r="D144" s="237"/>
      <c r="E144" s="216"/>
      <c r="F144" s="217"/>
      <c r="G144" s="218"/>
    </row>
    <row r="145" spans="1:7" x14ac:dyDescent="0.2">
      <c r="A145" s="219" t="s">
        <v>1682</v>
      </c>
      <c r="B145" s="220"/>
      <c r="C145" s="221"/>
      <c r="D145" s="222" t="s">
        <v>1682</v>
      </c>
      <c r="E145" s="222" t="s">
        <v>1682</v>
      </c>
      <c r="F145" s="223"/>
      <c r="G145" s="224" t="s">
        <v>1682</v>
      </c>
    </row>
    <row r="146" spans="1:7" x14ac:dyDescent="0.2">
      <c r="A146" s="238" t="s">
        <v>1681</v>
      </c>
      <c r="B146" s="239"/>
      <c r="C146" s="240"/>
      <c r="D146" s="239"/>
      <c r="E146" s="239"/>
      <c r="F146" s="239"/>
      <c r="G146" s="241">
        <f>SUM(G141:G145)</f>
        <v>17.981400000000001</v>
      </c>
    </row>
    <row r="147" spans="1:7" x14ac:dyDescent="0.2">
      <c r="A147" s="227" t="s">
        <v>1684</v>
      </c>
      <c r="B147" s="132"/>
      <c r="C147" s="188"/>
      <c r="D147" s="132"/>
      <c r="E147" s="132"/>
      <c r="F147" s="132"/>
      <c r="G147" s="218"/>
    </row>
    <row r="148" spans="1:7" ht="25.5" x14ac:dyDescent="0.2">
      <c r="A148" s="229" t="s">
        <v>1409</v>
      </c>
      <c r="B148" s="242"/>
      <c r="C148" s="243"/>
      <c r="D148" s="232" t="s">
        <v>1408</v>
      </c>
      <c r="E148" s="231" t="s">
        <v>1679</v>
      </c>
      <c r="F148" s="232" t="s">
        <v>1683</v>
      </c>
      <c r="G148" s="234" t="s">
        <v>1675</v>
      </c>
    </row>
    <row r="149" spans="1:7" x14ac:dyDescent="0.2">
      <c r="A149" s="244" t="s">
        <v>1135</v>
      </c>
      <c r="B149" s="132"/>
      <c r="C149" s="188"/>
      <c r="D149" s="215" t="s">
        <v>1506</v>
      </c>
      <c r="E149" s="215">
        <v>1</v>
      </c>
      <c r="F149" s="216">
        <v>89.2</v>
      </c>
      <c r="G149" s="218">
        <f>E149*F149</f>
        <v>89.2</v>
      </c>
    </row>
    <row r="150" spans="1:7" x14ac:dyDescent="0.2">
      <c r="A150" s="244" t="s">
        <v>1136</v>
      </c>
      <c r="B150" s="132"/>
      <c r="C150" s="188"/>
      <c r="D150" s="215"/>
      <c r="E150" s="215"/>
      <c r="F150" s="216"/>
      <c r="G150" s="218"/>
    </row>
    <row r="151" spans="1:7" x14ac:dyDescent="0.2">
      <c r="A151" s="244" t="s">
        <v>1137</v>
      </c>
      <c r="B151" s="132"/>
      <c r="C151" s="188"/>
      <c r="D151" s="215"/>
      <c r="E151" s="215"/>
      <c r="F151" s="216"/>
      <c r="G151" s="218"/>
    </row>
    <row r="152" spans="1:7" x14ac:dyDescent="0.2">
      <c r="A152" s="244" t="s">
        <v>1138</v>
      </c>
      <c r="B152" s="132"/>
      <c r="C152" s="188"/>
      <c r="D152" s="215"/>
      <c r="E152" s="215"/>
      <c r="F152" s="216"/>
      <c r="G152" s="218"/>
    </row>
    <row r="153" spans="1:7" x14ac:dyDescent="0.2">
      <c r="A153" s="244" t="s">
        <v>1139</v>
      </c>
      <c r="B153" s="132"/>
      <c r="C153" s="188"/>
      <c r="D153" s="215" t="s">
        <v>1506</v>
      </c>
      <c r="E153" s="215">
        <v>1</v>
      </c>
      <c r="F153" s="216">
        <v>42</v>
      </c>
      <c r="G153" s="218">
        <f>E153*F153</f>
        <v>42</v>
      </c>
    </row>
    <row r="154" spans="1:7" x14ac:dyDescent="0.2">
      <c r="A154" s="244"/>
      <c r="B154" s="132"/>
      <c r="C154" s="188"/>
      <c r="D154" s="215"/>
      <c r="E154" s="215"/>
      <c r="F154" s="216"/>
      <c r="G154" s="218"/>
    </row>
    <row r="155" spans="1:7" x14ac:dyDescent="0.2">
      <c r="A155" s="214"/>
      <c r="B155" s="132"/>
      <c r="C155" s="245"/>
      <c r="D155" s="215"/>
      <c r="E155" s="215"/>
      <c r="F155" s="216"/>
      <c r="G155" s="218"/>
    </row>
    <row r="156" spans="1:7" x14ac:dyDescent="0.2">
      <c r="A156" s="214"/>
      <c r="B156" s="132"/>
      <c r="C156" s="245"/>
      <c r="D156" s="215"/>
      <c r="E156" s="215"/>
      <c r="F156" s="216"/>
      <c r="G156" s="218"/>
    </row>
    <row r="157" spans="1:7" x14ac:dyDescent="0.2">
      <c r="A157" s="238" t="s">
        <v>1692</v>
      </c>
      <c r="B157" s="239"/>
      <c r="C157" s="240"/>
      <c r="D157" s="240"/>
      <c r="E157" s="240"/>
      <c r="F157" s="239"/>
      <c r="G157" s="241">
        <f>SUM(G149:G156)</f>
        <v>131.19999999999999</v>
      </c>
    </row>
    <row r="158" spans="1:7" x14ac:dyDescent="0.2">
      <c r="A158" s="227" t="s">
        <v>1680</v>
      </c>
      <c r="B158" s="132"/>
      <c r="C158" s="188"/>
      <c r="D158" s="132"/>
      <c r="E158" s="188"/>
      <c r="F158" s="132"/>
      <c r="G158" s="218"/>
    </row>
    <row r="159" spans="1:7" ht="25.5" x14ac:dyDescent="0.2">
      <c r="A159" s="229" t="s">
        <v>1409</v>
      </c>
      <c r="B159" s="242"/>
      <c r="C159" s="243"/>
      <c r="D159" s="232" t="s">
        <v>1408</v>
      </c>
      <c r="E159" s="231" t="s">
        <v>1679</v>
      </c>
      <c r="F159" s="232" t="s">
        <v>1676</v>
      </c>
      <c r="G159" s="234" t="s">
        <v>1675</v>
      </c>
    </row>
    <row r="160" spans="1:7" x14ac:dyDescent="0.2">
      <c r="A160" s="208" t="s">
        <v>975</v>
      </c>
      <c r="B160" s="209"/>
      <c r="C160" s="246"/>
      <c r="D160" s="215" t="s">
        <v>976</v>
      </c>
      <c r="E160" s="215">
        <v>0.15</v>
      </c>
      <c r="F160" s="247">
        <v>5</v>
      </c>
      <c r="G160" s="218">
        <f>E160*F160</f>
        <v>0.75</v>
      </c>
    </row>
    <row r="161" spans="1:7" x14ac:dyDescent="0.2">
      <c r="A161" s="214"/>
      <c r="B161" s="132"/>
      <c r="C161" s="248"/>
      <c r="D161" s="215"/>
      <c r="E161" s="215"/>
      <c r="F161" s="247"/>
      <c r="G161" s="218"/>
    </row>
    <row r="162" spans="1:7" x14ac:dyDescent="0.2">
      <c r="A162" s="219" t="s">
        <v>1682</v>
      </c>
      <c r="B162" s="220"/>
      <c r="C162" s="249"/>
      <c r="D162" s="221" t="s">
        <v>1682</v>
      </c>
      <c r="E162" s="221"/>
      <c r="F162" s="222" t="s">
        <v>1682</v>
      </c>
      <c r="G162" s="224" t="s">
        <v>1682</v>
      </c>
    </row>
    <row r="163" spans="1:7" ht="13.5" thickBot="1" x14ac:dyDescent="0.25">
      <c r="A163" s="250" t="s">
        <v>977</v>
      </c>
      <c r="B163" s="251"/>
      <c r="C163" s="252"/>
      <c r="D163" s="252"/>
      <c r="E163" s="252"/>
      <c r="F163" s="251"/>
      <c r="G163" s="253">
        <f>SUM(G160:G162)</f>
        <v>0.75</v>
      </c>
    </row>
    <row r="164" spans="1:7" x14ac:dyDescent="0.2">
      <c r="A164" s="132"/>
      <c r="B164" s="132"/>
      <c r="C164" s="254"/>
      <c r="D164" s="198"/>
      <c r="E164" s="198"/>
      <c r="F164" s="255" t="s">
        <v>978</v>
      </c>
      <c r="G164" s="256">
        <f>G138+G146+G157+G163</f>
        <v>150.6814</v>
      </c>
    </row>
    <row r="165" spans="1:7" x14ac:dyDescent="0.2">
      <c r="A165" s="132"/>
      <c r="B165" s="132"/>
      <c r="C165" s="257"/>
      <c r="D165" s="239"/>
      <c r="E165" s="239"/>
      <c r="F165" s="258" t="s">
        <v>979</v>
      </c>
      <c r="G165" s="241"/>
    </row>
    <row r="166" spans="1:7" x14ac:dyDescent="0.2">
      <c r="A166" s="132"/>
      <c r="B166" s="132"/>
      <c r="C166" s="257"/>
      <c r="D166" s="239"/>
      <c r="E166" s="239"/>
      <c r="F166" s="258" t="s">
        <v>980</v>
      </c>
      <c r="G166" s="241"/>
    </row>
    <row r="167" spans="1:7" x14ac:dyDescent="0.2">
      <c r="A167" s="132"/>
      <c r="B167" s="132"/>
      <c r="C167" s="257"/>
      <c r="D167" s="239"/>
      <c r="E167" s="239"/>
      <c r="F167" s="259" t="s">
        <v>1670</v>
      </c>
      <c r="G167" s="260"/>
    </row>
    <row r="168" spans="1:7" ht="13.5" thickBot="1" x14ac:dyDescent="0.25">
      <c r="A168" s="193"/>
      <c r="B168" s="132"/>
      <c r="C168" s="261"/>
      <c r="D168" s="251"/>
      <c r="E168" s="251"/>
      <c r="F168" s="262" t="s">
        <v>1650</v>
      </c>
      <c r="G168" s="263"/>
    </row>
    <row r="169" spans="1:7" ht="15.75" x14ac:dyDescent="0.2">
      <c r="A169" s="186" t="s">
        <v>1701</v>
      </c>
      <c r="B169" s="132"/>
      <c r="C169" s="187" t="s">
        <v>742</v>
      </c>
      <c r="D169" s="132"/>
      <c r="E169" s="132"/>
      <c r="F169" s="188"/>
      <c r="G169" s="132"/>
    </row>
    <row r="170" spans="1:7" ht="15.75" x14ac:dyDescent="0.2">
      <c r="A170" s="186" t="s">
        <v>1700</v>
      </c>
      <c r="B170" s="189" t="s">
        <v>963</v>
      </c>
      <c r="C170" s="188"/>
      <c r="D170" s="132"/>
      <c r="E170" s="132"/>
      <c r="F170" s="190"/>
      <c r="G170" s="191"/>
    </row>
    <row r="171" spans="1:7" ht="14.25" x14ac:dyDescent="0.2">
      <c r="A171" s="189"/>
      <c r="B171" s="189"/>
      <c r="C171" s="187"/>
      <c r="D171" s="189"/>
      <c r="E171" s="189"/>
      <c r="F171" s="189"/>
      <c r="G171" s="189"/>
    </row>
    <row r="172" spans="1:7" ht="15.75" x14ac:dyDescent="0.2">
      <c r="A172" s="186" t="s">
        <v>1697</v>
      </c>
      <c r="B172" s="189"/>
      <c r="C172" s="188"/>
      <c r="D172" s="132"/>
      <c r="E172" s="132"/>
      <c r="F172" s="132"/>
      <c r="G172" s="132"/>
    </row>
    <row r="173" spans="1:7" ht="15" x14ac:dyDescent="0.2">
      <c r="A173" s="192"/>
      <c r="B173" s="189"/>
      <c r="C173" s="187"/>
      <c r="D173" s="189"/>
      <c r="E173" s="189"/>
      <c r="F173" s="189"/>
      <c r="G173" s="189"/>
    </row>
    <row r="174" spans="1:7" ht="14.25" x14ac:dyDescent="0.2">
      <c r="A174" s="193" t="s">
        <v>594</v>
      </c>
      <c r="B174" s="194">
        <v>5</v>
      </c>
      <c r="C174" s="188"/>
      <c r="D174" s="188"/>
      <c r="E174" s="188"/>
      <c r="F174" s="195" t="s">
        <v>1696</v>
      </c>
      <c r="G174" s="189" t="s">
        <v>1506</v>
      </c>
    </row>
    <row r="175" spans="1:7" ht="14.25" x14ac:dyDescent="0.2">
      <c r="A175" s="196" t="s">
        <v>964</v>
      </c>
      <c r="B175" s="194" t="s">
        <v>1140</v>
      </c>
      <c r="C175" s="188"/>
      <c r="D175" s="132"/>
      <c r="E175" s="132"/>
      <c r="F175" s="132"/>
      <c r="G175" s="132"/>
    </row>
    <row r="176" spans="1:7" ht="15" thickBot="1" x14ac:dyDescent="0.25">
      <c r="A176" s="187"/>
      <c r="B176" s="187"/>
      <c r="C176" s="187"/>
      <c r="D176" s="189"/>
      <c r="E176" s="189"/>
      <c r="F176" s="189"/>
      <c r="G176" s="189"/>
    </row>
    <row r="177" spans="1:7" x14ac:dyDescent="0.2">
      <c r="A177" s="197" t="s">
        <v>1695</v>
      </c>
      <c r="B177" s="198"/>
      <c r="C177" s="199"/>
      <c r="D177" s="198"/>
      <c r="E177" s="198"/>
      <c r="F177" s="198"/>
      <c r="G177" s="200"/>
    </row>
    <row r="178" spans="1:7" ht="25.5" x14ac:dyDescent="0.2">
      <c r="A178" s="202" t="s">
        <v>1409</v>
      </c>
      <c r="B178" s="203"/>
      <c r="C178" s="204" t="s">
        <v>966</v>
      </c>
      <c r="D178" s="205" t="s">
        <v>1694</v>
      </c>
      <c r="E178" s="205" t="s">
        <v>1693</v>
      </c>
      <c r="F178" s="206" t="s">
        <v>1687</v>
      </c>
      <c r="G178" s="207" t="s">
        <v>967</v>
      </c>
    </row>
    <row r="179" spans="1:7" x14ac:dyDescent="0.2">
      <c r="A179" s="208" t="s">
        <v>1468</v>
      </c>
      <c r="B179" s="209"/>
      <c r="C179" s="210">
        <v>1</v>
      </c>
      <c r="D179" s="211">
        <v>2.5</v>
      </c>
      <c r="E179" s="211">
        <f>C179*D179</f>
        <v>2.5</v>
      </c>
      <c r="F179" s="212">
        <v>0.6</v>
      </c>
      <c r="G179" s="213">
        <f>E179*F179</f>
        <v>1.5</v>
      </c>
    </row>
    <row r="180" spans="1:7" x14ac:dyDescent="0.2">
      <c r="A180" s="214"/>
      <c r="B180" s="132"/>
      <c r="C180" s="215"/>
      <c r="D180" s="216"/>
      <c r="E180" s="216"/>
      <c r="F180" s="217"/>
      <c r="G180" s="218"/>
    </row>
    <row r="181" spans="1:7" x14ac:dyDescent="0.2">
      <c r="A181" s="219" t="s">
        <v>1682</v>
      </c>
      <c r="B181" s="220"/>
      <c r="C181" s="221"/>
      <c r="D181" s="222" t="s">
        <v>1682</v>
      </c>
      <c r="E181" s="222" t="s">
        <v>1682</v>
      </c>
      <c r="F181" s="223"/>
      <c r="G181" s="224" t="s">
        <v>1682</v>
      </c>
    </row>
    <row r="182" spans="1:7" x14ac:dyDescent="0.2">
      <c r="A182" s="219" t="s">
        <v>968</v>
      </c>
      <c r="B182" s="220"/>
      <c r="C182" s="225"/>
      <c r="D182" s="220"/>
      <c r="E182" s="220"/>
      <c r="F182" s="226"/>
      <c r="G182" s="224">
        <f>SUM(G179:G181)</f>
        <v>1.5</v>
      </c>
    </row>
    <row r="183" spans="1:7" x14ac:dyDescent="0.2">
      <c r="A183" s="227" t="s">
        <v>1503</v>
      </c>
      <c r="B183" s="132"/>
      <c r="C183" s="188"/>
      <c r="D183" s="132"/>
      <c r="E183" s="132"/>
      <c r="F183" s="228"/>
      <c r="G183" s="218"/>
    </row>
    <row r="184" spans="1:7" ht="25.5" x14ac:dyDescent="0.2">
      <c r="A184" s="229" t="s">
        <v>1691</v>
      </c>
      <c r="B184" s="230"/>
      <c r="C184" s="231" t="s">
        <v>969</v>
      </c>
      <c r="D184" s="232" t="s">
        <v>1689</v>
      </c>
      <c r="E184" s="232" t="s">
        <v>1688</v>
      </c>
      <c r="F184" s="233" t="s">
        <v>1687</v>
      </c>
      <c r="G184" s="234" t="s">
        <v>1686</v>
      </c>
    </row>
    <row r="185" spans="1:7" x14ac:dyDescent="0.2">
      <c r="A185" s="235" t="s">
        <v>970</v>
      </c>
      <c r="B185" s="132"/>
      <c r="C185" s="236">
        <v>1</v>
      </c>
      <c r="D185" s="237">
        <v>2.16</v>
      </c>
      <c r="E185" s="216">
        <v>2.16</v>
      </c>
      <c r="F185" s="217">
        <v>41</v>
      </c>
      <c r="G185" s="218">
        <f>E185*F185</f>
        <v>88.56</v>
      </c>
    </row>
    <row r="186" spans="1:7" x14ac:dyDescent="0.2">
      <c r="A186" s="235" t="s">
        <v>971</v>
      </c>
      <c r="B186" s="132"/>
      <c r="C186" s="236">
        <v>1</v>
      </c>
      <c r="D186" s="237">
        <v>2.13</v>
      </c>
      <c r="E186" s="216">
        <f>C186*D186</f>
        <v>2.13</v>
      </c>
      <c r="F186" s="217">
        <v>30.6</v>
      </c>
      <c r="G186" s="218">
        <f>E186*F186</f>
        <v>65.177999999999997</v>
      </c>
    </row>
    <row r="187" spans="1:7" x14ac:dyDescent="0.2">
      <c r="A187" s="235" t="s">
        <v>590</v>
      </c>
      <c r="B187" s="132"/>
      <c r="C187" s="236">
        <v>1</v>
      </c>
      <c r="D187" s="237">
        <v>2.13</v>
      </c>
      <c r="E187" s="216">
        <f>C187*D187</f>
        <v>2.13</v>
      </c>
      <c r="F187" s="217">
        <v>21.7</v>
      </c>
      <c r="G187" s="218">
        <f>E187*F187</f>
        <v>46.220999999999997</v>
      </c>
    </row>
    <row r="188" spans="1:7" x14ac:dyDescent="0.2">
      <c r="A188" s="235"/>
      <c r="B188" s="132"/>
      <c r="C188" s="236"/>
      <c r="D188" s="237"/>
      <c r="E188" s="216"/>
      <c r="F188" s="217"/>
      <c r="G188" s="218"/>
    </row>
    <row r="189" spans="1:7" x14ac:dyDescent="0.2">
      <c r="A189" s="219" t="s">
        <v>1682</v>
      </c>
      <c r="B189" s="220"/>
      <c r="C189" s="221"/>
      <c r="D189" s="222" t="s">
        <v>1682</v>
      </c>
      <c r="E189" s="222" t="s">
        <v>1682</v>
      </c>
      <c r="F189" s="223"/>
      <c r="G189" s="224" t="s">
        <v>1682</v>
      </c>
    </row>
    <row r="190" spans="1:7" x14ac:dyDescent="0.2">
      <c r="A190" s="238" t="s">
        <v>1681</v>
      </c>
      <c r="B190" s="239"/>
      <c r="C190" s="240"/>
      <c r="D190" s="239"/>
      <c r="E190" s="239"/>
      <c r="F190" s="239"/>
      <c r="G190" s="241">
        <f>SUM(G185:G189)</f>
        <v>199.959</v>
      </c>
    </row>
    <row r="191" spans="1:7" x14ac:dyDescent="0.2">
      <c r="A191" s="227" t="s">
        <v>1684</v>
      </c>
      <c r="B191" s="132"/>
      <c r="C191" s="188"/>
      <c r="D191" s="132"/>
      <c r="E191" s="132"/>
      <c r="F191" s="132"/>
      <c r="G191" s="218"/>
    </row>
    <row r="192" spans="1:7" ht="25.5" x14ac:dyDescent="0.2">
      <c r="A192" s="229" t="s">
        <v>1409</v>
      </c>
      <c r="B192" s="242"/>
      <c r="C192" s="243"/>
      <c r="D192" s="232" t="s">
        <v>1408</v>
      </c>
      <c r="E192" s="231" t="s">
        <v>1679</v>
      </c>
      <c r="F192" s="232" t="s">
        <v>1683</v>
      </c>
      <c r="G192" s="234" t="s">
        <v>1675</v>
      </c>
    </row>
    <row r="193" spans="1:7" x14ac:dyDescent="0.2">
      <c r="A193" s="244" t="s">
        <v>1141</v>
      </c>
      <c r="B193" s="132"/>
      <c r="C193" s="188"/>
      <c r="D193" s="215" t="s">
        <v>1506</v>
      </c>
      <c r="E193" s="215">
        <v>1</v>
      </c>
      <c r="F193" s="216">
        <v>1150.5</v>
      </c>
      <c r="G193" s="218">
        <f>E193*F193</f>
        <v>1150.5</v>
      </c>
    </row>
    <row r="194" spans="1:7" x14ac:dyDescent="0.2">
      <c r="A194" s="244" t="s">
        <v>1142</v>
      </c>
      <c r="B194" s="132"/>
      <c r="C194" s="188"/>
      <c r="D194" s="215" t="s">
        <v>1506</v>
      </c>
      <c r="E194" s="215">
        <v>1</v>
      </c>
      <c r="F194" s="216">
        <v>90</v>
      </c>
      <c r="G194" s="218">
        <f>E194*F194</f>
        <v>90</v>
      </c>
    </row>
    <row r="195" spans="1:7" x14ac:dyDescent="0.2">
      <c r="A195" s="244" t="s">
        <v>1143</v>
      </c>
      <c r="B195" s="132"/>
      <c r="C195" s="188"/>
      <c r="D195" s="215" t="s">
        <v>1506</v>
      </c>
      <c r="E195" s="215">
        <v>1</v>
      </c>
      <c r="F195" s="216">
        <v>122.3</v>
      </c>
      <c r="G195" s="218">
        <f>E195*F195</f>
        <v>122.3</v>
      </c>
    </row>
    <row r="196" spans="1:7" x14ac:dyDescent="0.2">
      <c r="A196" s="244" t="s">
        <v>1144</v>
      </c>
      <c r="B196" s="132"/>
      <c r="C196" s="188"/>
      <c r="D196" s="215"/>
      <c r="E196" s="215"/>
      <c r="F196" s="216"/>
      <c r="G196" s="218"/>
    </row>
    <row r="197" spans="1:7" x14ac:dyDescent="0.2">
      <c r="A197" s="244"/>
      <c r="B197" s="132"/>
      <c r="C197" s="188"/>
      <c r="D197" s="215"/>
      <c r="E197" s="215"/>
      <c r="F197" s="216"/>
      <c r="G197" s="218"/>
    </row>
    <row r="198" spans="1:7" x14ac:dyDescent="0.2">
      <c r="A198" s="244"/>
      <c r="B198" s="132"/>
      <c r="C198" s="188"/>
      <c r="D198" s="215"/>
      <c r="E198" s="215"/>
      <c r="F198" s="216"/>
      <c r="G198" s="218"/>
    </row>
    <row r="199" spans="1:7" x14ac:dyDescent="0.2">
      <c r="A199" s="214"/>
      <c r="B199" s="132"/>
      <c r="C199" s="245"/>
      <c r="D199" s="215"/>
      <c r="E199" s="215"/>
      <c r="F199" s="216"/>
      <c r="G199" s="218"/>
    </row>
    <row r="200" spans="1:7" x14ac:dyDescent="0.2">
      <c r="A200" s="214"/>
      <c r="B200" s="132"/>
      <c r="C200" s="245"/>
      <c r="D200" s="215"/>
      <c r="E200" s="215"/>
      <c r="F200" s="216"/>
      <c r="G200" s="218"/>
    </row>
    <row r="201" spans="1:7" x14ac:dyDescent="0.2">
      <c r="A201" s="238" t="s">
        <v>1692</v>
      </c>
      <c r="B201" s="239"/>
      <c r="C201" s="240"/>
      <c r="D201" s="240"/>
      <c r="E201" s="240"/>
      <c r="F201" s="239"/>
      <c r="G201" s="241">
        <f>SUM(G193:G200)</f>
        <v>1362.8</v>
      </c>
    </row>
    <row r="202" spans="1:7" x14ac:dyDescent="0.2">
      <c r="A202" s="227" t="s">
        <v>1680</v>
      </c>
      <c r="B202" s="132"/>
      <c r="C202" s="188"/>
      <c r="D202" s="132"/>
      <c r="E202" s="188"/>
      <c r="F202" s="132"/>
      <c r="G202" s="218"/>
    </row>
    <row r="203" spans="1:7" ht="25.5" x14ac:dyDescent="0.2">
      <c r="A203" s="229" t="s">
        <v>1409</v>
      </c>
      <c r="B203" s="242"/>
      <c r="C203" s="243"/>
      <c r="D203" s="232" t="s">
        <v>1408</v>
      </c>
      <c r="E203" s="231" t="s">
        <v>1679</v>
      </c>
      <c r="F203" s="232" t="s">
        <v>1676</v>
      </c>
      <c r="G203" s="234" t="s">
        <v>1675</v>
      </c>
    </row>
    <row r="204" spans="1:7" x14ac:dyDescent="0.2">
      <c r="A204" s="208" t="s">
        <v>975</v>
      </c>
      <c r="B204" s="209"/>
      <c r="C204" s="246"/>
      <c r="D204" s="215" t="s">
        <v>976</v>
      </c>
      <c r="E204" s="215">
        <v>0.4</v>
      </c>
      <c r="F204" s="247">
        <v>5</v>
      </c>
      <c r="G204" s="218">
        <f>E204*F204</f>
        <v>2</v>
      </c>
    </row>
    <row r="205" spans="1:7" x14ac:dyDescent="0.2">
      <c r="A205" s="214"/>
      <c r="B205" s="132"/>
      <c r="C205" s="248"/>
      <c r="D205" s="215"/>
      <c r="E205" s="215"/>
      <c r="F205" s="247"/>
      <c r="G205" s="218"/>
    </row>
    <row r="206" spans="1:7" x14ac:dyDescent="0.2">
      <c r="A206" s="219" t="s">
        <v>1682</v>
      </c>
      <c r="B206" s="220"/>
      <c r="C206" s="249"/>
      <c r="D206" s="221" t="s">
        <v>1682</v>
      </c>
      <c r="E206" s="221"/>
      <c r="F206" s="222" t="s">
        <v>1682</v>
      </c>
      <c r="G206" s="224" t="s">
        <v>1682</v>
      </c>
    </row>
    <row r="207" spans="1:7" ht="13.5" thickBot="1" x14ac:dyDescent="0.25">
      <c r="A207" s="250" t="s">
        <v>977</v>
      </c>
      <c r="B207" s="251"/>
      <c r="C207" s="252"/>
      <c r="D207" s="252"/>
      <c r="E207" s="252"/>
      <c r="F207" s="251"/>
      <c r="G207" s="253">
        <f>SUM(G204:G206)</f>
        <v>2</v>
      </c>
    </row>
    <row r="208" spans="1:7" x14ac:dyDescent="0.2">
      <c r="A208" s="132"/>
      <c r="B208" s="132"/>
      <c r="C208" s="254"/>
      <c r="D208" s="198"/>
      <c r="E208" s="198"/>
      <c r="F208" s="255" t="s">
        <v>978</v>
      </c>
      <c r="G208" s="256">
        <f>G182+G190+G201+G207</f>
        <v>1566.259</v>
      </c>
    </row>
    <row r="209" spans="1:7" x14ac:dyDescent="0.2">
      <c r="A209" s="132"/>
      <c r="B209" s="132"/>
      <c r="C209" s="257"/>
      <c r="D209" s="239"/>
      <c r="E209" s="239"/>
      <c r="F209" s="258" t="s">
        <v>979</v>
      </c>
      <c r="G209" s="241"/>
    </row>
    <row r="210" spans="1:7" x14ac:dyDescent="0.2">
      <c r="A210" s="132"/>
      <c r="B210" s="132"/>
      <c r="C210" s="257"/>
      <c r="D210" s="239"/>
      <c r="E210" s="239"/>
      <c r="F210" s="258" t="s">
        <v>980</v>
      </c>
      <c r="G210" s="241"/>
    </row>
    <row r="211" spans="1:7" x14ac:dyDescent="0.2">
      <c r="A211" s="132"/>
      <c r="B211" s="132"/>
      <c r="C211" s="257"/>
      <c r="D211" s="239"/>
      <c r="E211" s="239"/>
      <c r="F211" s="259" t="s">
        <v>1670</v>
      </c>
      <c r="G211" s="260"/>
    </row>
    <row r="212" spans="1:7" ht="13.5" thickBot="1" x14ac:dyDescent="0.25">
      <c r="A212" s="193"/>
      <c r="B212" s="132"/>
      <c r="C212" s="261"/>
      <c r="D212" s="251"/>
      <c r="E212" s="251"/>
      <c r="F212" s="262" t="s">
        <v>1650</v>
      </c>
      <c r="G212" s="263"/>
    </row>
    <row r="213" spans="1:7" ht="15.75" x14ac:dyDescent="0.2">
      <c r="A213" s="186" t="s">
        <v>1701</v>
      </c>
      <c r="B213" s="132"/>
      <c r="C213" s="187" t="s">
        <v>742</v>
      </c>
      <c r="D213" s="132"/>
      <c r="E213" s="132"/>
      <c r="F213" s="188"/>
      <c r="G213" s="132"/>
    </row>
    <row r="214" spans="1:7" ht="15.75" x14ac:dyDescent="0.2">
      <c r="A214" s="186" t="s">
        <v>1700</v>
      </c>
      <c r="B214" s="189" t="s">
        <v>963</v>
      </c>
      <c r="C214" s="188"/>
      <c r="D214" s="132"/>
      <c r="E214" s="132"/>
      <c r="F214" s="190"/>
      <c r="G214" s="191"/>
    </row>
    <row r="215" spans="1:7" ht="14.25" x14ac:dyDescent="0.2">
      <c r="A215" s="189"/>
      <c r="B215" s="189"/>
      <c r="C215" s="187"/>
      <c r="D215" s="189"/>
      <c r="E215" s="189"/>
      <c r="F215" s="189"/>
      <c r="G215" s="189"/>
    </row>
    <row r="216" spans="1:7" ht="15.75" x14ac:dyDescent="0.2">
      <c r="A216" s="186" t="s">
        <v>1697</v>
      </c>
      <c r="B216" s="189"/>
      <c r="C216" s="188"/>
      <c r="D216" s="132"/>
      <c r="E216" s="132"/>
      <c r="F216" s="132"/>
      <c r="G216" s="132"/>
    </row>
    <row r="217" spans="1:7" ht="15" x14ac:dyDescent="0.2">
      <c r="A217" s="192"/>
      <c r="B217" s="189"/>
      <c r="C217" s="187"/>
      <c r="D217" s="189"/>
      <c r="E217" s="189"/>
      <c r="F217" s="189"/>
      <c r="G217" s="189"/>
    </row>
    <row r="218" spans="1:7" ht="14.25" x14ac:dyDescent="0.2">
      <c r="A218" s="193" t="s">
        <v>594</v>
      </c>
      <c r="B218" s="194">
        <v>6</v>
      </c>
      <c r="C218" s="188"/>
      <c r="D218" s="188"/>
      <c r="E218" s="188"/>
      <c r="F218" s="195" t="s">
        <v>1696</v>
      </c>
      <c r="G218" s="189" t="s">
        <v>1506</v>
      </c>
    </row>
    <row r="219" spans="1:7" ht="14.25" x14ac:dyDescent="0.2">
      <c r="A219" s="196" t="s">
        <v>964</v>
      </c>
      <c r="B219" s="194" t="s">
        <v>1145</v>
      </c>
      <c r="C219" s="188"/>
      <c r="D219" s="132"/>
      <c r="E219" s="132"/>
      <c r="F219" s="132"/>
      <c r="G219" s="132"/>
    </row>
    <row r="220" spans="1:7" ht="15" thickBot="1" x14ac:dyDescent="0.25">
      <c r="A220" s="187"/>
      <c r="B220" s="187"/>
      <c r="C220" s="187"/>
      <c r="D220" s="189"/>
      <c r="E220" s="189"/>
      <c r="F220" s="189"/>
      <c r="G220" s="189"/>
    </row>
    <row r="221" spans="1:7" x14ac:dyDescent="0.2">
      <c r="A221" s="197" t="s">
        <v>1695</v>
      </c>
      <c r="B221" s="198"/>
      <c r="C221" s="199"/>
      <c r="D221" s="198"/>
      <c r="E221" s="198"/>
      <c r="F221" s="198"/>
      <c r="G221" s="200"/>
    </row>
    <row r="222" spans="1:7" ht="25.5" x14ac:dyDescent="0.2">
      <c r="A222" s="202" t="s">
        <v>1409</v>
      </c>
      <c r="B222" s="203"/>
      <c r="C222" s="204" t="s">
        <v>966</v>
      </c>
      <c r="D222" s="205" t="s">
        <v>1694</v>
      </c>
      <c r="E222" s="205" t="s">
        <v>1693</v>
      </c>
      <c r="F222" s="206" t="s">
        <v>1687</v>
      </c>
      <c r="G222" s="207" t="s">
        <v>967</v>
      </c>
    </row>
    <row r="223" spans="1:7" x14ac:dyDescent="0.2">
      <c r="A223" s="208" t="s">
        <v>1468</v>
      </c>
      <c r="B223" s="209"/>
      <c r="C223" s="210">
        <v>0</v>
      </c>
      <c r="D223" s="211">
        <v>0</v>
      </c>
      <c r="E223" s="211">
        <f>C223*D223</f>
        <v>0</v>
      </c>
      <c r="F223" s="212">
        <v>0</v>
      </c>
      <c r="G223" s="213">
        <f>E223*F223</f>
        <v>0</v>
      </c>
    </row>
    <row r="224" spans="1:7" x14ac:dyDescent="0.2">
      <c r="A224" s="214"/>
      <c r="B224" s="132"/>
      <c r="C224" s="215"/>
      <c r="D224" s="216"/>
      <c r="E224" s="216"/>
      <c r="F224" s="217"/>
      <c r="G224" s="218"/>
    </row>
    <row r="225" spans="1:7" x14ac:dyDescent="0.2">
      <c r="A225" s="219" t="s">
        <v>1682</v>
      </c>
      <c r="B225" s="220"/>
      <c r="C225" s="221"/>
      <c r="D225" s="222" t="s">
        <v>1682</v>
      </c>
      <c r="E225" s="222" t="s">
        <v>1682</v>
      </c>
      <c r="F225" s="223"/>
      <c r="G225" s="224" t="s">
        <v>1682</v>
      </c>
    </row>
    <row r="226" spans="1:7" x14ac:dyDescent="0.2">
      <c r="A226" s="219" t="s">
        <v>968</v>
      </c>
      <c r="B226" s="220"/>
      <c r="C226" s="225"/>
      <c r="D226" s="220"/>
      <c r="E226" s="220"/>
      <c r="F226" s="226"/>
      <c r="G226" s="224">
        <f>SUM(G223:G225)</f>
        <v>0</v>
      </c>
    </row>
    <row r="227" spans="1:7" x14ac:dyDescent="0.2">
      <c r="A227" s="227" t="s">
        <v>1503</v>
      </c>
      <c r="B227" s="132"/>
      <c r="C227" s="188"/>
      <c r="D227" s="132"/>
      <c r="E227" s="132"/>
      <c r="F227" s="228"/>
      <c r="G227" s="218"/>
    </row>
    <row r="228" spans="1:7" ht="25.5" x14ac:dyDescent="0.2">
      <c r="A228" s="229" t="s">
        <v>1691</v>
      </c>
      <c r="B228" s="230"/>
      <c r="C228" s="231" t="s">
        <v>969</v>
      </c>
      <c r="D228" s="232" t="s">
        <v>1689</v>
      </c>
      <c r="E228" s="232" t="s">
        <v>1688</v>
      </c>
      <c r="F228" s="233" t="s">
        <v>1687</v>
      </c>
      <c r="G228" s="234" t="s">
        <v>1686</v>
      </c>
    </row>
    <row r="229" spans="1:7" x14ac:dyDescent="0.2">
      <c r="A229" s="235" t="s">
        <v>970</v>
      </c>
      <c r="B229" s="132"/>
      <c r="C229" s="236">
        <v>1</v>
      </c>
      <c r="D229" s="237">
        <v>2.16</v>
      </c>
      <c r="E229" s="216">
        <v>2.16</v>
      </c>
      <c r="F229" s="217">
        <v>0.4</v>
      </c>
      <c r="G229" s="218">
        <f>E229*F229</f>
        <v>0.8640000000000001</v>
      </c>
    </row>
    <row r="230" spans="1:7" x14ac:dyDescent="0.2">
      <c r="A230" s="235" t="s">
        <v>971</v>
      </c>
      <c r="B230" s="132"/>
      <c r="C230" s="236">
        <v>1</v>
      </c>
      <c r="D230" s="237">
        <v>2.13</v>
      </c>
      <c r="E230" s="216">
        <f>C230*D230</f>
        <v>2.13</v>
      </c>
      <c r="F230" s="217">
        <v>0.3</v>
      </c>
      <c r="G230" s="218">
        <f>E230*F230</f>
        <v>0.6389999999999999</v>
      </c>
    </row>
    <row r="231" spans="1:7" x14ac:dyDescent="0.2">
      <c r="A231" s="235" t="s">
        <v>590</v>
      </c>
      <c r="B231" s="132"/>
      <c r="C231" s="236">
        <v>1</v>
      </c>
      <c r="D231" s="237">
        <v>2.13</v>
      </c>
      <c r="E231" s="216">
        <f>C231*D231</f>
        <v>2.13</v>
      </c>
      <c r="F231" s="217">
        <v>0.2</v>
      </c>
      <c r="G231" s="218">
        <f>E231*F231</f>
        <v>0.42599999999999999</v>
      </c>
    </row>
    <row r="232" spans="1:7" x14ac:dyDescent="0.2">
      <c r="A232" s="235"/>
      <c r="B232" s="132"/>
      <c r="C232" s="236"/>
      <c r="D232" s="237"/>
      <c r="E232" s="216"/>
      <c r="F232" s="217"/>
      <c r="G232" s="218"/>
    </row>
    <row r="233" spans="1:7" x14ac:dyDescent="0.2">
      <c r="A233" s="219" t="s">
        <v>1682</v>
      </c>
      <c r="B233" s="220"/>
      <c r="C233" s="221"/>
      <c r="D233" s="222" t="s">
        <v>1682</v>
      </c>
      <c r="E233" s="222" t="s">
        <v>1682</v>
      </c>
      <c r="F233" s="223"/>
      <c r="G233" s="224" t="s">
        <v>1682</v>
      </c>
    </row>
    <row r="234" spans="1:7" x14ac:dyDescent="0.2">
      <c r="A234" s="238" t="s">
        <v>1681</v>
      </c>
      <c r="B234" s="239"/>
      <c r="C234" s="240"/>
      <c r="D234" s="239"/>
      <c r="E234" s="239"/>
      <c r="F234" s="239"/>
      <c r="G234" s="241">
        <f>SUM(G229:G233)</f>
        <v>1.929</v>
      </c>
    </row>
    <row r="235" spans="1:7" x14ac:dyDescent="0.2">
      <c r="A235" s="227" t="s">
        <v>1684</v>
      </c>
      <c r="B235" s="132"/>
      <c r="C235" s="188"/>
      <c r="D235" s="132"/>
      <c r="E235" s="132"/>
      <c r="F235" s="132"/>
      <c r="G235" s="218"/>
    </row>
    <row r="236" spans="1:7" ht="25.5" x14ac:dyDescent="0.2">
      <c r="A236" s="229" t="s">
        <v>1409</v>
      </c>
      <c r="B236" s="242"/>
      <c r="C236" s="243"/>
      <c r="D236" s="232" t="s">
        <v>1408</v>
      </c>
      <c r="E236" s="231" t="s">
        <v>1679</v>
      </c>
      <c r="F236" s="232" t="s">
        <v>1683</v>
      </c>
      <c r="G236" s="234" t="s">
        <v>1675</v>
      </c>
    </row>
    <row r="237" spans="1:7" x14ac:dyDescent="0.2">
      <c r="A237" s="244" t="s">
        <v>1146</v>
      </c>
      <c r="B237" s="132"/>
      <c r="C237" s="188"/>
      <c r="D237" s="215" t="s">
        <v>1506</v>
      </c>
      <c r="E237" s="215">
        <v>1</v>
      </c>
      <c r="F237" s="216">
        <v>4.5</v>
      </c>
      <c r="G237" s="218">
        <f>E237*F237</f>
        <v>4.5</v>
      </c>
    </row>
    <row r="238" spans="1:7" x14ac:dyDescent="0.2">
      <c r="A238" s="244" t="s">
        <v>1147</v>
      </c>
      <c r="B238" s="132"/>
      <c r="C238" s="188"/>
      <c r="D238" s="215"/>
      <c r="E238" s="215"/>
      <c r="F238" s="216"/>
      <c r="G238" s="218"/>
    </row>
    <row r="239" spans="1:7" x14ac:dyDescent="0.2">
      <c r="A239" s="214"/>
      <c r="B239" s="132"/>
      <c r="C239" s="245"/>
      <c r="D239" s="215"/>
      <c r="E239" s="215"/>
      <c r="F239" s="216"/>
      <c r="G239" s="218"/>
    </row>
    <row r="240" spans="1:7" x14ac:dyDescent="0.2">
      <c r="A240" s="214"/>
      <c r="B240" s="132"/>
      <c r="C240" s="245"/>
      <c r="D240" s="215"/>
      <c r="E240" s="215"/>
      <c r="F240" s="216"/>
      <c r="G240" s="218"/>
    </row>
    <row r="241" spans="1:7" x14ac:dyDescent="0.2">
      <c r="A241" s="238" t="s">
        <v>1692</v>
      </c>
      <c r="B241" s="239"/>
      <c r="C241" s="240"/>
      <c r="D241" s="240"/>
      <c r="E241" s="240"/>
      <c r="F241" s="239"/>
      <c r="G241" s="241">
        <f>SUM(G237:G240)</f>
        <v>4.5</v>
      </c>
    </row>
    <row r="242" spans="1:7" x14ac:dyDescent="0.2">
      <c r="A242" s="227" t="s">
        <v>1680</v>
      </c>
      <c r="B242" s="132"/>
      <c r="C242" s="188"/>
      <c r="D242" s="132"/>
      <c r="E242" s="188"/>
      <c r="F242" s="132"/>
      <c r="G242" s="218"/>
    </row>
    <row r="243" spans="1:7" ht="25.5" x14ac:dyDescent="0.2">
      <c r="A243" s="229" t="s">
        <v>1409</v>
      </c>
      <c r="B243" s="242"/>
      <c r="C243" s="243"/>
      <c r="D243" s="232" t="s">
        <v>1408</v>
      </c>
      <c r="E243" s="231" t="s">
        <v>1679</v>
      </c>
      <c r="F243" s="232" t="s">
        <v>1676</v>
      </c>
      <c r="G243" s="234" t="s">
        <v>1675</v>
      </c>
    </row>
    <row r="244" spans="1:7" x14ac:dyDescent="0.2">
      <c r="A244" s="208" t="s">
        <v>975</v>
      </c>
      <c r="B244" s="209"/>
      <c r="C244" s="246"/>
      <c r="D244" s="215" t="s">
        <v>976</v>
      </c>
      <c r="E244" s="215">
        <v>0</v>
      </c>
      <c r="F244" s="247">
        <v>0</v>
      </c>
      <c r="G244" s="218">
        <f>E244*F244</f>
        <v>0</v>
      </c>
    </row>
    <row r="245" spans="1:7" x14ac:dyDescent="0.2">
      <c r="A245" s="214"/>
      <c r="B245" s="132"/>
      <c r="C245" s="248"/>
      <c r="D245" s="215"/>
      <c r="E245" s="215"/>
      <c r="F245" s="247"/>
      <c r="G245" s="218"/>
    </row>
    <row r="246" spans="1:7" x14ac:dyDescent="0.2">
      <c r="A246" s="219" t="s">
        <v>1682</v>
      </c>
      <c r="B246" s="220"/>
      <c r="C246" s="249"/>
      <c r="D246" s="221" t="s">
        <v>1682</v>
      </c>
      <c r="E246" s="221"/>
      <c r="F246" s="222" t="s">
        <v>1682</v>
      </c>
      <c r="G246" s="224" t="s">
        <v>1682</v>
      </c>
    </row>
    <row r="247" spans="1:7" ht="13.5" thickBot="1" x14ac:dyDescent="0.25">
      <c r="A247" s="250" t="s">
        <v>977</v>
      </c>
      <c r="B247" s="251"/>
      <c r="C247" s="252"/>
      <c r="D247" s="252"/>
      <c r="E247" s="252"/>
      <c r="F247" s="251"/>
      <c r="G247" s="253">
        <f>SUM(G244:G246)</f>
        <v>0</v>
      </c>
    </row>
    <row r="248" spans="1:7" x14ac:dyDescent="0.2">
      <c r="A248" s="132"/>
      <c r="B248" s="132"/>
      <c r="C248" s="254"/>
      <c r="D248" s="198"/>
      <c r="E248" s="198"/>
      <c r="F248" s="255" t="s">
        <v>978</v>
      </c>
      <c r="G248" s="256">
        <f>G226+G234+G241+G247</f>
        <v>6.4290000000000003</v>
      </c>
    </row>
    <row r="249" spans="1:7" x14ac:dyDescent="0.2">
      <c r="A249" s="132"/>
      <c r="B249" s="132"/>
      <c r="C249" s="257"/>
      <c r="D249" s="239"/>
      <c r="E249" s="239"/>
      <c r="F249" s="258" t="s">
        <v>979</v>
      </c>
      <c r="G249" s="241"/>
    </row>
    <row r="250" spans="1:7" x14ac:dyDescent="0.2">
      <c r="A250" s="132"/>
      <c r="B250" s="132"/>
      <c r="C250" s="257"/>
      <c r="D250" s="239"/>
      <c r="E250" s="239"/>
      <c r="F250" s="258" t="s">
        <v>980</v>
      </c>
      <c r="G250" s="241"/>
    </row>
    <row r="251" spans="1:7" x14ac:dyDescent="0.2">
      <c r="A251" s="132"/>
      <c r="B251" s="132"/>
      <c r="C251" s="257"/>
      <c r="D251" s="239"/>
      <c r="E251" s="239"/>
      <c r="F251" s="259" t="s">
        <v>1670</v>
      </c>
      <c r="G251" s="260"/>
    </row>
    <row r="252" spans="1:7" ht="13.5" thickBot="1" x14ac:dyDescent="0.25">
      <c r="A252" s="193"/>
      <c r="B252" s="132"/>
      <c r="C252" s="261"/>
      <c r="D252" s="251"/>
      <c r="E252" s="251"/>
      <c r="F252" s="262" t="s">
        <v>1650</v>
      </c>
      <c r="G252" s="263"/>
    </row>
    <row r="253" spans="1:7" ht="15.75" x14ac:dyDescent="0.2">
      <c r="A253" s="186" t="s">
        <v>1701</v>
      </c>
      <c r="B253" s="132"/>
      <c r="C253" s="187" t="s">
        <v>742</v>
      </c>
      <c r="D253" s="132"/>
      <c r="E253" s="132"/>
      <c r="F253" s="188"/>
      <c r="G253" s="132"/>
    </row>
    <row r="254" spans="1:7" ht="15.75" x14ac:dyDescent="0.2">
      <c r="A254" s="186" t="s">
        <v>1700</v>
      </c>
      <c r="B254" s="189" t="s">
        <v>963</v>
      </c>
      <c r="C254" s="188"/>
      <c r="D254" s="132"/>
      <c r="E254" s="132"/>
      <c r="F254" s="190"/>
      <c r="G254" s="191"/>
    </row>
    <row r="255" spans="1:7" ht="14.25" x14ac:dyDescent="0.2">
      <c r="A255" s="189"/>
      <c r="B255" s="189"/>
      <c r="C255" s="187"/>
      <c r="D255" s="189"/>
      <c r="E255" s="189"/>
      <c r="F255" s="189"/>
      <c r="G255" s="189"/>
    </row>
    <row r="256" spans="1:7" ht="15.75" x14ac:dyDescent="0.2">
      <c r="A256" s="186" t="s">
        <v>1697</v>
      </c>
      <c r="B256" s="189"/>
      <c r="C256" s="188"/>
      <c r="D256" s="132"/>
      <c r="E256" s="132"/>
      <c r="F256" s="132"/>
      <c r="G256" s="132"/>
    </row>
    <row r="257" spans="1:7" ht="15" x14ac:dyDescent="0.2">
      <c r="A257" s="192"/>
      <c r="B257" s="189"/>
      <c r="C257" s="187"/>
      <c r="D257" s="189"/>
      <c r="E257" s="189"/>
      <c r="F257" s="189"/>
      <c r="G257" s="189"/>
    </row>
    <row r="258" spans="1:7" ht="14.25" x14ac:dyDescent="0.2">
      <c r="A258" s="193" t="s">
        <v>594</v>
      </c>
      <c r="B258" s="194">
        <v>7</v>
      </c>
      <c r="C258" s="188"/>
      <c r="D258" s="188"/>
      <c r="E258" s="188"/>
      <c r="F258" s="195" t="s">
        <v>1696</v>
      </c>
      <c r="G258" s="189" t="s">
        <v>1506</v>
      </c>
    </row>
    <row r="259" spans="1:7" ht="14.25" x14ac:dyDescent="0.2">
      <c r="A259" s="196" t="s">
        <v>964</v>
      </c>
      <c r="B259" s="194" t="s">
        <v>1140</v>
      </c>
      <c r="C259" s="188"/>
      <c r="D259" s="132"/>
      <c r="E259" s="132"/>
      <c r="F259" s="132"/>
      <c r="G259" s="132"/>
    </row>
    <row r="260" spans="1:7" ht="15" thickBot="1" x14ac:dyDescent="0.25">
      <c r="A260" s="187"/>
      <c r="B260" s="187"/>
      <c r="C260" s="187"/>
      <c r="D260" s="189"/>
      <c r="E260" s="189"/>
      <c r="F260" s="189"/>
      <c r="G260" s="189"/>
    </row>
    <row r="261" spans="1:7" x14ac:dyDescent="0.2">
      <c r="A261" s="197" t="s">
        <v>1695</v>
      </c>
      <c r="B261" s="198"/>
      <c r="C261" s="199"/>
      <c r="D261" s="198"/>
      <c r="E261" s="198"/>
      <c r="F261" s="198"/>
      <c r="G261" s="200"/>
    </row>
    <row r="262" spans="1:7" ht="25.5" x14ac:dyDescent="0.2">
      <c r="A262" s="202" t="s">
        <v>1409</v>
      </c>
      <c r="B262" s="203"/>
      <c r="C262" s="204" t="s">
        <v>966</v>
      </c>
      <c r="D262" s="205" t="s">
        <v>1694</v>
      </c>
      <c r="E262" s="205" t="s">
        <v>1693</v>
      </c>
      <c r="F262" s="206" t="s">
        <v>1687</v>
      </c>
      <c r="G262" s="207" t="s">
        <v>967</v>
      </c>
    </row>
    <row r="263" spans="1:7" x14ac:dyDescent="0.2">
      <c r="A263" s="208" t="s">
        <v>1468</v>
      </c>
      <c r="B263" s="209"/>
      <c r="C263" s="210">
        <v>1</v>
      </c>
      <c r="D263" s="211">
        <v>2.5</v>
      </c>
      <c r="E263" s="211">
        <f>C263*D263</f>
        <v>2.5</v>
      </c>
      <c r="F263" s="212">
        <v>0.3</v>
      </c>
      <c r="G263" s="213">
        <f>E263*F263</f>
        <v>0.75</v>
      </c>
    </row>
    <row r="264" spans="1:7" x14ac:dyDescent="0.2">
      <c r="A264" s="214"/>
      <c r="B264" s="132"/>
      <c r="C264" s="215"/>
      <c r="D264" s="216"/>
      <c r="E264" s="216"/>
      <c r="F264" s="217"/>
      <c r="G264" s="218"/>
    </row>
    <row r="265" spans="1:7" x14ac:dyDescent="0.2">
      <c r="A265" s="219" t="s">
        <v>1682</v>
      </c>
      <c r="B265" s="220"/>
      <c r="C265" s="221"/>
      <c r="D265" s="222" t="s">
        <v>1682</v>
      </c>
      <c r="E265" s="222" t="s">
        <v>1682</v>
      </c>
      <c r="F265" s="223"/>
      <c r="G265" s="224" t="s">
        <v>1682</v>
      </c>
    </row>
    <row r="266" spans="1:7" x14ac:dyDescent="0.2">
      <c r="A266" s="219" t="s">
        <v>968</v>
      </c>
      <c r="B266" s="220"/>
      <c r="C266" s="225"/>
      <c r="D266" s="220"/>
      <c r="E266" s="220"/>
      <c r="F266" s="226"/>
      <c r="G266" s="224">
        <f>SUM(G263:G265)</f>
        <v>0.75</v>
      </c>
    </row>
    <row r="267" spans="1:7" x14ac:dyDescent="0.2">
      <c r="A267" s="227" t="s">
        <v>1503</v>
      </c>
      <c r="B267" s="132"/>
      <c r="C267" s="188"/>
      <c r="D267" s="132"/>
      <c r="E267" s="132"/>
      <c r="F267" s="228"/>
      <c r="G267" s="218"/>
    </row>
    <row r="268" spans="1:7" ht="25.5" x14ac:dyDescent="0.2">
      <c r="A268" s="229" t="s">
        <v>1691</v>
      </c>
      <c r="B268" s="230"/>
      <c r="C268" s="231" t="s">
        <v>969</v>
      </c>
      <c r="D268" s="232" t="s">
        <v>1689</v>
      </c>
      <c r="E268" s="232" t="s">
        <v>1688</v>
      </c>
      <c r="F268" s="233" t="s">
        <v>1687</v>
      </c>
      <c r="G268" s="234" t="s">
        <v>1686</v>
      </c>
    </row>
    <row r="269" spans="1:7" x14ac:dyDescent="0.2">
      <c r="A269" s="235" t="s">
        <v>970</v>
      </c>
      <c r="B269" s="132"/>
      <c r="C269" s="236">
        <v>1</v>
      </c>
      <c r="D269" s="237">
        <v>2.16</v>
      </c>
      <c r="E269" s="216">
        <v>2.16</v>
      </c>
      <c r="F269" s="217">
        <v>1.58</v>
      </c>
      <c r="G269" s="218">
        <v>3.41</v>
      </c>
    </row>
    <row r="270" spans="1:7" x14ac:dyDescent="0.2">
      <c r="A270" s="235" t="s">
        <v>971</v>
      </c>
      <c r="B270" s="132"/>
      <c r="C270" s="236">
        <v>1</v>
      </c>
      <c r="D270" s="237">
        <v>2.13</v>
      </c>
      <c r="E270" s="216">
        <f>C270*D270</f>
        <v>2.13</v>
      </c>
      <c r="F270" s="217">
        <v>1.18</v>
      </c>
      <c r="G270" s="218">
        <v>2.5099999999999998</v>
      </c>
    </row>
    <row r="271" spans="1:7" x14ac:dyDescent="0.2">
      <c r="A271" s="235" t="s">
        <v>590</v>
      </c>
      <c r="B271" s="132"/>
      <c r="C271" s="236">
        <v>1</v>
      </c>
      <c r="D271" s="237">
        <v>2.13</v>
      </c>
      <c r="E271" s="216">
        <f>C271*D271</f>
        <v>2.13</v>
      </c>
      <c r="F271" s="217">
        <v>0.84</v>
      </c>
      <c r="G271" s="218">
        <v>1.79</v>
      </c>
    </row>
    <row r="272" spans="1:7" x14ac:dyDescent="0.2">
      <c r="A272" s="235"/>
      <c r="B272" s="132"/>
      <c r="C272" s="236"/>
      <c r="D272" s="237"/>
      <c r="E272" s="216"/>
      <c r="F272" s="217"/>
      <c r="G272" s="218"/>
    </row>
    <row r="273" spans="1:7" x14ac:dyDescent="0.2">
      <c r="A273" s="219" t="s">
        <v>1682</v>
      </c>
      <c r="B273" s="220"/>
      <c r="C273" s="221"/>
      <c r="D273" s="222" t="s">
        <v>1682</v>
      </c>
      <c r="E273" s="222" t="s">
        <v>1682</v>
      </c>
      <c r="F273" s="223"/>
      <c r="G273" s="224" t="s">
        <v>1682</v>
      </c>
    </row>
    <row r="274" spans="1:7" x14ac:dyDescent="0.2">
      <c r="A274" s="238" t="s">
        <v>1681</v>
      </c>
      <c r="B274" s="239"/>
      <c r="C274" s="240"/>
      <c r="D274" s="239"/>
      <c r="E274" s="239"/>
      <c r="F274" s="239"/>
      <c r="G274" s="241">
        <f>SUM(G269:G273)</f>
        <v>7.71</v>
      </c>
    </row>
    <row r="275" spans="1:7" x14ac:dyDescent="0.2">
      <c r="A275" s="227" t="s">
        <v>1684</v>
      </c>
      <c r="B275" s="132"/>
      <c r="C275" s="188"/>
      <c r="D275" s="132"/>
      <c r="E275" s="132"/>
      <c r="F275" s="132"/>
      <c r="G275" s="218"/>
    </row>
    <row r="276" spans="1:7" ht="25.5" x14ac:dyDescent="0.2">
      <c r="A276" s="229" t="s">
        <v>1409</v>
      </c>
      <c r="B276" s="242"/>
      <c r="C276" s="243"/>
      <c r="D276" s="232" t="s">
        <v>1408</v>
      </c>
      <c r="E276" s="231" t="s">
        <v>1679</v>
      </c>
      <c r="F276" s="232" t="s">
        <v>1683</v>
      </c>
      <c r="G276" s="234" t="s">
        <v>1675</v>
      </c>
    </row>
    <row r="277" spans="1:7" x14ac:dyDescent="0.2">
      <c r="A277" s="244" t="s">
        <v>1148</v>
      </c>
      <c r="B277" s="132"/>
      <c r="C277" s="188"/>
      <c r="D277" s="215" t="s">
        <v>1506</v>
      </c>
      <c r="E277" s="215">
        <v>1</v>
      </c>
      <c r="F277" s="216">
        <v>33.6</v>
      </c>
      <c r="G277" s="218">
        <f>E277*F277</f>
        <v>33.6</v>
      </c>
    </row>
    <row r="278" spans="1:7" x14ac:dyDescent="0.2">
      <c r="A278" s="214"/>
      <c r="B278" s="132"/>
      <c r="C278" s="245"/>
      <c r="D278" s="215"/>
      <c r="E278" s="215"/>
      <c r="F278" s="216"/>
      <c r="G278" s="218"/>
    </row>
    <row r="279" spans="1:7" x14ac:dyDescent="0.2">
      <c r="A279" s="214"/>
      <c r="B279" s="132"/>
      <c r="C279" s="245"/>
      <c r="D279" s="215"/>
      <c r="E279" s="215"/>
      <c r="F279" s="216"/>
      <c r="G279" s="218"/>
    </row>
    <row r="280" spans="1:7" x14ac:dyDescent="0.2">
      <c r="A280" s="238" t="s">
        <v>1692</v>
      </c>
      <c r="B280" s="239"/>
      <c r="C280" s="240"/>
      <c r="D280" s="240"/>
      <c r="E280" s="240"/>
      <c r="F280" s="239"/>
      <c r="G280" s="241">
        <f>SUM(G277:G279)</f>
        <v>33.6</v>
      </c>
    </row>
    <row r="281" spans="1:7" x14ac:dyDescent="0.2">
      <c r="A281" s="227" t="s">
        <v>1680</v>
      </c>
      <c r="B281" s="132"/>
      <c r="C281" s="188"/>
      <c r="D281" s="132"/>
      <c r="E281" s="188"/>
      <c r="F281" s="132"/>
      <c r="G281" s="218"/>
    </row>
    <row r="282" spans="1:7" ht="25.5" x14ac:dyDescent="0.2">
      <c r="A282" s="229" t="s">
        <v>1409</v>
      </c>
      <c r="B282" s="242"/>
      <c r="C282" s="243"/>
      <c r="D282" s="232" t="s">
        <v>1408</v>
      </c>
      <c r="E282" s="231" t="s">
        <v>1679</v>
      </c>
      <c r="F282" s="232" t="s">
        <v>1676</v>
      </c>
      <c r="G282" s="234" t="s">
        <v>1675</v>
      </c>
    </row>
    <row r="283" spans="1:7" x14ac:dyDescent="0.2">
      <c r="A283" s="208" t="s">
        <v>975</v>
      </c>
      <c r="B283" s="209"/>
      <c r="C283" s="246"/>
      <c r="D283" s="215" t="s">
        <v>976</v>
      </c>
      <c r="E283" s="215">
        <v>0.1</v>
      </c>
      <c r="F283" s="247">
        <v>5</v>
      </c>
      <c r="G283" s="218">
        <f>E283*F283</f>
        <v>0.5</v>
      </c>
    </row>
    <row r="284" spans="1:7" x14ac:dyDescent="0.2">
      <c r="A284" s="214"/>
      <c r="B284" s="132"/>
      <c r="C284" s="248"/>
      <c r="D284" s="215"/>
      <c r="E284" s="215"/>
      <c r="F284" s="247"/>
      <c r="G284" s="218"/>
    </row>
    <row r="285" spans="1:7" x14ac:dyDescent="0.2">
      <c r="A285" s="219" t="s">
        <v>1682</v>
      </c>
      <c r="B285" s="220"/>
      <c r="C285" s="249"/>
      <c r="D285" s="221" t="s">
        <v>1682</v>
      </c>
      <c r="E285" s="221"/>
      <c r="F285" s="222" t="s">
        <v>1682</v>
      </c>
      <c r="G285" s="224" t="s">
        <v>1682</v>
      </c>
    </row>
    <row r="286" spans="1:7" ht="13.5" thickBot="1" x14ac:dyDescent="0.25">
      <c r="A286" s="250" t="s">
        <v>977</v>
      </c>
      <c r="B286" s="251"/>
      <c r="C286" s="252"/>
      <c r="D286" s="252"/>
      <c r="E286" s="252"/>
      <c r="F286" s="251"/>
      <c r="G286" s="253">
        <f>SUM(G283:G285)</f>
        <v>0.5</v>
      </c>
    </row>
    <row r="287" spans="1:7" x14ac:dyDescent="0.2">
      <c r="A287" s="132"/>
      <c r="B287" s="132"/>
      <c r="C287" s="254"/>
      <c r="D287" s="198"/>
      <c r="E287" s="198"/>
      <c r="F287" s="255" t="s">
        <v>978</v>
      </c>
      <c r="G287" s="256">
        <f>G266+G274+G280+G286</f>
        <v>42.56</v>
      </c>
    </row>
    <row r="288" spans="1:7" x14ac:dyDescent="0.2">
      <c r="A288" s="132"/>
      <c r="B288" s="132"/>
      <c r="C288" s="257"/>
      <c r="D288" s="239"/>
      <c r="E288" s="239"/>
      <c r="F288" s="258" t="s">
        <v>979</v>
      </c>
      <c r="G288" s="241"/>
    </row>
    <row r="289" spans="1:7" x14ac:dyDescent="0.2">
      <c r="A289" s="132"/>
      <c r="B289" s="132"/>
      <c r="C289" s="257"/>
      <c r="D289" s="239"/>
      <c r="E289" s="239"/>
      <c r="F289" s="258" t="s">
        <v>980</v>
      </c>
      <c r="G289" s="241"/>
    </row>
    <row r="290" spans="1:7" x14ac:dyDescent="0.2">
      <c r="A290" s="132"/>
      <c r="B290" s="132"/>
      <c r="C290" s="257"/>
      <c r="D290" s="239"/>
      <c r="E290" s="239"/>
      <c r="F290" s="259" t="s">
        <v>1670</v>
      </c>
      <c r="G290" s="260"/>
    </row>
    <row r="291" spans="1:7" ht="13.5" thickBot="1" x14ac:dyDescent="0.25">
      <c r="A291" s="193"/>
      <c r="B291" s="132"/>
      <c r="C291" s="261"/>
      <c r="D291" s="251"/>
      <c r="E291" s="251"/>
      <c r="F291" s="262" t="s">
        <v>1650</v>
      </c>
      <c r="G291" s="263"/>
    </row>
  </sheetData>
  <phoneticPr fontId="2" type="noConversion"/>
  <pageMargins left="0.75" right="0.75" top="1" bottom="1" header="0" footer="0"/>
  <pageSetup paperSize="9" scale="83" orientation="portrait" r:id="rId1"/>
  <headerFooter alignWithMargins="0"/>
  <rowBreaks count="6" manualBreakCount="6">
    <brk id="44" max="6" man="1"/>
    <brk id="85" max="6" man="1"/>
    <brk id="124" max="6" man="1"/>
    <brk id="168" max="6" man="1"/>
    <brk id="212" max="6" man="1"/>
    <brk id="252" max="6" man="1"/>
  </row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CF890-8BA7-4420-931C-21D1342F410F}">
  <sheetPr codeName="Hoja32"/>
  <dimension ref="A1:G299"/>
  <sheetViews>
    <sheetView workbookViewId="0"/>
  </sheetViews>
  <sheetFormatPr baseColWidth="10" defaultColWidth="11.42578125" defaultRowHeight="12.75" x14ac:dyDescent="0.2"/>
  <cols>
    <col min="2" max="2" width="25.42578125" customWidth="1"/>
    <col min="3" max="7" width="13.42578125" customWidth="1"/>
  </cols>
  <sheetData>
    <row r="1" spans="1:7" ht="15.75" x14ac:dyDescent="0.2">
      <c r="A1" s="186" t="s">
        <v>1701</v>
      </c>
      <c r="B1" s="132"/>
      <c r="C1" s="187" t="s">
        <v>742</v>
      </c>
      <c r="D1" s="132"/>
      <c r="E1" s="132"/>
      <c r="F1" s="188"/>
      <c r="G1" s="132"/>
    </row>
    <row r="2" spans="1:7" ht="15.75" x14ac:dyDescent="0.2">
      <c r="A2" s="186" t="s">
        <v>1700</v>
      </c>
      <c r="B2" s="189" t="s">
        <v>963</v>
      </c>
      <c r="C2" s="188"/>
      <c r="D2" s="132"/>
      <c r="E2" s="132"/>
      <c r="F2" s="190"/>
      <c r="G2" s="191"/>
    </row>
    <row r="3" spans="1:7" ht="14.25" x14ac:dyDescent="0.2">
      <c r="A3" s="189"/>
      <c r="B3" s="189"/>
      <c r="C3" s="187"/>
      <c r="D3" s="189"/>
      <c r="E3" s="189"/>
      <c r="F3" s="189"/>
      <c r="G3" s="189"/>
    </row>
    <row r="4" spans="1:7" ht="15.75" x14ac:dyDescent="0.2">
      <c r="A4" s="186" t="s">
        <v>1697</v>
      </c>
      <c r="B4" s="189"/>
      <c r="C4" s="188"/>
      <c r="D4" s="132"/>
      <c r="E4" s="132"/>
      <c r="F4" s="132"/>
      <c r="G4" s="132"/>
    </row>
    <row r="5" spans="1:7" ht="15" x14ac:dyDescent="0.2">
      <c r="A5" s="192"/>
      <c r="B5" s="189"/>
      <c r="C5" s="187"/>
      <c r="D5" s="189"/>
      <c r="E5" s="189"/>
      <c r="F5" s="189"/>
      <c r="G5" s="189"/>
    </row>
    <row r="6" spans="1:7" ht="14.25" x14ac:dyDescent="0.2">
      <c r="A6" s="193" t="s">
        <v>594</v>
      </c>
      <c r="B6" s="194">
        <v>1</v>
      </c>
      <c r="C6" s="188"/>
      <c r="D6" s="188"/>
      <c r="E6" s="188"/>
      <c r="F6" s="195" t="s">
        <v>1696</v>
      </c>
      <c r="G6" s="189" t="s">
        <v>1506</v>
      </c>
    </row>
    <row r="7" spans="1:7" ht="14.25" x14ac:dyDescent="0.2">
      <c r="A7" s="196" t="s">
        <v>964</v>
      </c>
      <c r="B7" s="194" t="s">
        <v>1149</v>
      </c>
      <c r="C7" s="188"/>
      <c r="D7" s="132"/>
      <c r="E7" s="132"/>
      <c r="F7" s="132"/>
      <c r="G7" s="132"/>
    </row>
    <row r="8" spans="1:7" ht="15" thickBot="1" x14ac:dyDescent="0.25">
      <c r="A8" s="187"/>
      <c r="B8" s="187"/>
      <c r="C8" s="187"/>
      <c r="D8" s="189"/>
      <c r="E8" s="189"/>
      <c r="F8" s="189"/>
      <c r="G8" s="189"/>
    </row>
    <row r="9" spans="1:7" x14ac:dyDescent="0.2">
      <c r="A9" s="197" t="s">
        <v>1695</v>
      </c>
      <c r="B9" s="198"/>
      <c r="C9" s="199"/>
      <c r="D9" s="198"/>
      <c r="E9" s="198"/>
      <c r="F9" s="198"/>
      <c r="G9" s="200"/>
    </row>
    <row r="10" spans="1:7" ht="25.5" x14ac:dyDescent="0.2">
      <c r="A10" s="202" t="s">
        <v>1409</v>
      </c>
      <c r="B10" s="203"/>
      <c r="C10" s="204" t="s">
        <v>966</v>
      </c>
      <c r="D10" s="205" t="s">
        <v>1694</v>
      </c>
      <c r="E10" s="205" t="s">
        <v>1693</v>
      </c>
      <c r="F10" s="206" t="s">
        <v>1687</v>
      </c>
      <c r="G10" s="207" t="s">
        <v>967</v>
      </c>
    </row>
    <row r="11" spans="1:7" x14ac:dyDescent="0.2">
      <c r="A11" s="208" t="s">
        <v>1468</v>
      </c>
      <c r="B11" s="209"/>
      <c r="C11" s="210">
        <v>1</v>
      </c>
      <c r="D11" s="211">
        <v>2.5</v>
      </c>
      <c r="E11" s="211">
        <f>C11*D11</f>
        <v>2.5</v>
      </c>
      <c r="F11" s="212">
        <v>0.4</v>
      </c>
      <c r="G11" s="213">
        <f>E11*F11</f>
        <v>1</v>
      </c>
    </row>
    <row r="12" spans="1:7" x14ac:dyDescent="0.2">
      <c r="A12" s="214"/>
      <c r="B12" s="132"/>
      <c r="C12" s="215"/>
      <c r="D12" s="216"/>
      <c r="E12" s="216"/>
      <c r="F12" s="217"/>
      <c r="G12" s="218"/>
    </row>
    <row r="13" spans="1:7" x14ac:dyDescent="0.2">
      <c r="A13" s="219" t="s">
        <v>1682</v>
      </c>
      <c r="B13" s="220"/>
      <c r="C13" s="221"/>
      <c r="D13" s="222" t="s">
        <v>1682</v>
      </c>
      <c r="E13" s="222" t="s">
        <v>1682</v>
      </c>
      <c r="F13" s="223"/>
      <c r="G13" s="224" t="s">
        <v>1682</v>
      </c>
    </row>
    <row r="14" spans="1:7" x14ac:dyDescent="0.2">
      <c r="A14" s="219" t="s">
        <v>968</v>
      </c>
      <c r="B14" s="220"/>
      <c r="C14" s="225"/>
      <c r="D14" s="220"/>
      <c r="E14" s="220"/>
      <c r="F14" s="226"/>
      <c r="G14" s="224">
        <f>SUM(G11:G13)</f>
        <v>1</v>
      </c>
    </row>
    <row r="15" spans="1:7" x14ac:dyDescent="0.2">
      <c r="A15" s="227" t="s">
        <v>1503</v>
      </c>
      <c r="B15" s="132"/>
      <c r="C15" s="188"/>
      <c r="D15" s="132"/>
      <c r="E15" s="132"/>
      <c r="F15" s="228"/>
      <c r="G15" s="218"/>
    </row>
    <row r="16" spans="1:7" ht="25.5" x14ac:dyDescent="0.2">
      <c r="A16" s="229" t="s">
        <v>1691</v>
      </c>
      <c r="B16" s="230"/>
      <c r="C16" s="231" t="s">
        <v>969</v>
      </c>
      <c r="D16" s="232" t="s">
        <v>1689</v>
      </c>
      <c r="E16" s="232" t="s">
        <v>1688</v>
      </c>
      <c r="F16" s="233" t="s">
        <v>1687</v>
      </c>
      <c r="G16" s="234" t="s">
        <v>1686</v>
      </c>
    </row>
    <row r="17" spans="1:7" x14ac:dyDescent="0.2">
      <c r="A17" s="235" t="s">
        <v>970</v>
      </c>
      <c r="B17" s="132"/>
      <c r="C17" s="236">
        <v>1</v>
      </c>
      <c r="D17" s="237">
        <v>2.16</v>
      </c>
      <c r="E17" s="216">
        <v>2.16</v>
      </c>
      <c r="F17" s="217">
        <v>4.32</v>
      </c>
      <c r="G17" s="218">
        <f>E17*F17</f>
        <v>9.3312000000000008</v>
      </c>
    </row>
    <row r="18" spans="1:7" x14ac:dyDescent="0.2">
      <c r="A18" s="235" t="s">
        <v>971</v>
      </c>
      <c r="B18" s="132"/>
      <c r="C18" s="236">
        <v>1</v>
      </c>
      <c r="D18" s="237">
        <v>2.13</v>
      </c>
      <c r="E18" s="216">
        <f>C18*D18</f>
        <v>2.13</v>
      </c>
      <c r="F18" s="217">
        <v>3.22</v>
      </c>
      <c r="G18" s="218">
        <f>E18*F18</f>
        <v>6.8586</v>
      </c>
    </row>
    <row r="19" spans="1:7" x14ac:dyDescent="0.2">
      <c r="A19" s="235" t="s">
        <v>590</v>
      </c>
      <c r="B19" s="132"/>
      <c r="C19" s="236">
        <v>1</v>
      </c>
      <c r="D19" s="237">
        <v>2.13</v>
      </c>
      <c r="E19" s="216">
        <f>C19*D19</f>
        <v>2.13</v>
      </c>
      <c r="F19" s="217">
        <v>2.2799999999999998</v>
      </c>
      <c r="G19" s="218">
        <f>E19*F19</f>
        <v>4.8563999999999989</v>
      </c>
    </row>
    <row r="20" spans="1:7" x14ac:dyDescent="0.2">
      <c r="A20" s="235"/>
      <c r="B20" s="132"/>
      <c r="C20" s="236"/>
      <c r="D20" s="237"/>
      <c r="E20" s="216"/>
      <c r="F20" s="217"/>
      <c r="G20" s="218"/>
    </row>
    <row r="21" spans="1:7" x14ac:dyDescent="0.2">
      <c r="A21" s="219" t="s">
        <v>1682</v>
      </c>
      <c r="B21" s="220"/>
      <c r="C21" s="221"/>
      <c r="D21" s="222" t="s">
        <v>1682</v>
      </c>
      <c r="E21" s="222" t="s">
        <v>1682</v>
      </c>
      <c r="F21" s="223"/>
      <c r="G21" s="224" t="s">
        <v>1682</v>
      </c>
    </row>
    <row r="22" spans="1:7" x14ac:dyDescent="0.2">
      <c r="A22" s="238" t="s">
        <v>1681</v>
      </c>
      <c r="B22" s="239"/>
      <c r="C22" s="240"/>
      <c r="D22" s="239"/>
      <c r="E22" s="239"/>
      <c r="F22" s="239"/>
      <c r="G22" s="241">
        <f>SUM(G17:G21)</f>
        <v>21.046199999999999</v>
      </c>
    </row>
    <row r="23" spans="1:7" x14ac:dyDescent="0.2">
      <c r="A23" s="227" t="s">
        <v>1684</v>
      </c>
      <c r="B23" s="132"/>
      <c r="C23" s="188"/>
      <c r="D23" s="132"/>
      <c r="E23" s="132"/>
      <c r="F23" s="132"/>
      <c r="G23" s="218"/>
    </row>
    <row r="24" spans="1:7" ht="25.5" x14ac:dyDescent="0.2">
      <c r="A24" s="229" t="s">
        <v>1409</v>
      </c>
      <c r="B24" s="242"/>
      <c r="C24" s="243"/>
      <c r="D24" s="232" t="s">
        <v>1408</v>
      </c>
      <c r="E24" s="231" t="s">
        <v>1679</v>
      </c>
      <c r="F24" s="232" t="s">
        <v>1683</v>
      </c>
      <c r="G24" s="234" t="s">
        <v>1675</v>
      </c>
    </row>
    <row r="25" spans="1:7" x14ac:dyDescent="0.2">
      <c r="A25" s="244" t="s">
        <v>1150</v>
      </c>
      <c r="B25" s="132"/>
      <c r="C25" s="188"/>
      <c r="D25" s="215" t="s">
        <v>1506</v>
      </c>
      <c r="E25" s="215">
        <v>3</v>
      </c>
      <c r="F25" s="216">
        <v>2.6</v>
      </c>
      <c r="G25" s="218">
        <f>E25*F25</f>
        <v>7.8000000000000007</v>
      </c>
    </row>
    <row r="26" spans="1:7" x14ac:dyDescent="0.2">
      <c r="A26" s="244" t="s">
        <v>989</v>
      </c>
      <c r="B26" s="132"/>
      <c r="C26" s="188"/>
      <c r="D26" s="215" t="s">
        <v>1506</v>
      </c>
      <c r="E26" s="215">
        <v>4</v>
      </c>
      <c r="F26" s="216">
        <v>0.25</v>
      </c>
      <c r="G26" s="218">
        <f>E26*F26</f>
        <v>1</v>
      </c>
    </row>
    <row r="27" spans="1:7" x14ac:dyDescent="0.2">
      <c r="A27" s="244" t="s">
        <v>990</v>
      </c>
      <c r="B27" s="132"/>
      <c r="C27" s="188"/>
      <c r="D27" s="215" t="s">
        <v>1506</v>
      </c>
      <c r="E27" s="215">
        <v>2</v>
      </c>
      <c r="F27" s="216">
        <v>0.25</v>
      </c>
      <c r="G27" s="218">
        <f>E27*F27</f>
        <v>0.5</v>
      </c>
    </row>
    <row r="28" spans="1:7" x14ac:dyDescent="0.2">
      <c r="A28" s="244" t="s">
        <v>991</v>
      </c>
      <c r="B28" s="132"/>
      <c r="C28" s="188"/>
      <c r="D28" s="215" t="s">
        <v>1506</v>
      </c>
      <c r="E28" s="215">
        <v>1</v>
      </c>
      <c r="F28" s="216">
        <v>0.5</v>
      </c>
      <c r="G28" s="218">
        <f>E28*F28</f>
        <v>0.5</v>
      </c>
    </row>
    <row r="29" spans="1:7" x14ac:dyDescent="0.2">
      <c r="A29" s="244" t="s">
        <v>1151</v>
      </c>
      <c r="B29" s="132"/>
      <c r="C29" s="188"/>
      <c r="D29" s="215" t="s">
        <v>1708</v>
      </c>
      <c r="E29" s="215">
        <v>64</v>
      </c>
      <c r="F29" s="216">
        <v>0.5</v>
      </c>
      <c r="G29" s="218">
        <f>E29*F29</f>
        <v>32</v>
      </c>
    </row>
    <row r="30" spans="1:7" x14ac:dyDescent="0.2">
      <c r="A30" s="244"/>
      <c r="B30" s="132"/>
      <c r="C30" s="188"/>
      <c r="D30" s="215"/>
      <c r="E30" s="215"/>
      <c r="F30" s="216"/>
      <c r="G30" s="218"/>
    </row>
    <row r="31" spans="1:7" x14ac:dyDescent="0.2">
      <c r="A31" s="214"/>
      <c r="B31" s="132"/>
      <c r="C31" s="245"/>
      <c r="D31" s="215"/>
      <c r="E31" s="215"/>
      <c r="F31" s="216"/>
      <c r="G31" s="218"/>
    </row>
    <row r="32" spans="1:7" x14ac:dyDescent="0.2">
      <c r="A32" s="214"/>
      <c r="B32" s="132"/>
      <c r="C32" s="245"/>
      <c r="D32" s="215"/>
      <c r="E32" s="215"/>
      <c r="F32" s="216"/>
      <c r="G32" s="218"/>
    </row>
    <row r="33" spans="1:7" x14ac:dyDescent="0.2">
      <c r="A33" s="238" t="s">
        <v>1692</v>
      </c>
      <c r="B33" s="239"/>
      <c r="C33" s="240"/>
      <c r="D33" s="240"/>
      <c r="E33" s="240"/>
      <c r="F33" s="239"/>
      <c r="G33" s="241">
        <f>SUM(G25:G32)</f>
        <v>41.8</v>
      </c>
    </row>
    <row r="34" spans="1:7" x14ac:dyDescent="0.2">
      <c r="A34" s="227" t="s">
        <v>1680</v>
      </c>
      <c r="B34" s="132"/>
      <c r="C34" s="188"/>
      <c r="D34" s="132"/>
      <c r="E34" s="188"/>
      <c r="F34" s="132"/>
      <c r="G34" s="218"/>
    </row>
    <row r="35" spans="1:7" ht="25.5" x14ac:dyDescent="0.2">
      <c r="A35" s="229" t="s">
        <v>1409</v>
      </c>
      <c r="B35" s="242"/>
      <c r="C35" s="243"/>
      <c r="D35" s="232" t="s">
        <v>1408</v>
      </c>
      <c r="E35" s="231" t="s">
        <v>1679</v>
      </c>
      <c r="F35" s="232" t="s">
        <v>1676</v>
      </c>
      <c r="G35" s="234" t="s">
        <v>1675</v>
      </c>
    </row>
    <row r="36" spans="1:7" x14ac:dyDescent="0.2">
      <c r="A36" s="208" t="s">
        <v>975</v>
      </c>
      <c r="B36" s="209"/>
      <c r="C36" s="246"/>
      <c r="D36" s="215" t="s">
        <v>976</v>
      </c>
      <c r="E36" s="215">
        <v>0.2</v>
      </c>
      <c r="F36" s="247">
        <v>5</v>
      </c>
      <c r="G36" s="218">
        <f>E36*F36</f>
        <v>1</v>
      </c>
    </row>
    <row r="37" spans="1:7" x14ac:dyDescent="0.2">
      <c r="A37" s="214"/>
      <c r="B37" s="132"/>
      <c r="C37" s="248"/>
      <c r="D37" s="215"/>
      <c r="E37" s="215"/>
      <c r="F37" s="247"/>
      <c r="G37" s="218"/>
    </row>
    <row r="38" spans="1:7" x14ac:dyDescent="0.2">
      <c r="A38" s="219" t="s">
        <v>1682</v>
      </c>
      <c r="B38" s="220"/>
      <c r="C38" s="249"/>
      <c r="D38" s="221" t="s">
        <v>1682</v>
      </c>
      <c r="E38" s="221"/>
      <c r="F38" s="222" t="s">
        <v>1682</v>
      </c>
      <c r="G38" s="224" t="s">
        <v>1682</v>
      </c>
    </row>
    <row r="39" spans="1:7" ht="13.5" thickBot="1" x14ac:dyDescent="0.25">
      <c r="A39" s="250" t="s">
        <v>977</v>
      </c>
      <c r="B39" s="251"/>
      <c r="C39" s="252"/>
      <c r="D39" s="252"/>
      <c r="E39" s="252"/>
      <c r="F39" s="251"/>
      <c r="G39" s="253">
        <f>SUM(G36:G38)</f>
        <v>1</v>
      </c>
    </row>
    <row r="40" spans="1:7" x14ac:dyDescent="0.2">
      <c r="A40" s="132"/>
      <c r="B40" s="132"/>
      <c r="C40" s="254"/>
      <c r="D40" s="198"/>
      <c r="E40" s="198"/>
      <c r="F40" s="255" t="s">
        <v>978</v>
      </c>
      <c r="G40" s="256">
        <f>G14+G22+G33+G39</f>
        <v>64.846199999999996</v>
      </c>
    </row>
    <row r="41" spans="1:7" x14ac:dyDescent="0.2">
      <c r="A41" s="132"/>
      <c r="B41" s="132"/>
      <c r="C41" s="257"/>
      <c r="D41" s="239"/>
      <c r="E41" s="239"/>
      <c r="F41" s="258" t="s">
        <v>979</v>
      </c>
      <c r="G41" s="241"/>
    </row>
    <row r="42" spans="1:7" x14ac:dyDescent="0.2">
      <c r="A42" s="132"/>
      <c r="B42" s="132"/>
      <c r="C42" s="257"/>
      <c r="D42" s="239"/>
      <c r="E42" s="239"/>
      <c r="F42" s="258" t="s">
        <v>980</v>
      </c>
      <c r="G42" s="241"/>
    </row>
    <row r="43" spans="1:7" x14ac:dyDescent="0.2">
      <c r="A43" s="132"/>
      <c r="B43" s="132"/>
      <c r="C43" s="257"/>
      <c r="D43" s="239"/>
      <c r="E43" s="239"/>
      <c r="F43" s="259" t="s">
        <v>1670</v>
      </c>
      <c r="G43" s="260"/>
    </row>
    <row r="44" spans="1:7" ht="13.5" thickBot="1" x14ac:dyDescent="0.25">
      <c r="A44" s="193"/>
      <c r="B44" s="132"/>
      <c r="C44" s="261"/>
      <c r="D44" s="251"/>
      <c r="E44" s="251"/>
      <c r="F44" s="262" t="s">
        <v>1650</v>
      </c>
      <c r="G44" s="263"/>
    </row>
    <row r="45" spans="1:7" ht="15.75" x14ac:dyDescent="0.2">
      <c r="A45" s="186" t="s">
        <v>1701</v>
      </c>
      <c r="B45" s="132"/>
      <c r="C45" s="187" t="s">
        <v>742</v>
      </c>
      <c r="D45" s="132"/>
      <c r="E45" s="132"/>
      <c r="F45" s="188"/>
      <c r="G45" s="132"/>
    </row>
    <row r="46" spans="1:7" ht="15.75" x14ac:dyDescent="0.2">
      <c r="A46" s="186" t="s">
        <v>1700</v>
      </c>
      <c r="B46" s="189" t="s">
        <v>963</v>
      </c>
      <c r="C46" s="188"/>
      <c r="D46" s="132"/>
      <c r="E46" s="132"/>
      <c r="F46" s="190"/>
      <c r="G46" s="191"/>
    </row>
    <row r="47" spans="1:7" ht="14.25" x14ac:dyDescent="0.2">
      <c r="A47" s="189"/>
      <c r="B47" s="189"/>
      <c r="C47" s="187"/>
      <c r="D47" s="189"/>
      <c r="E47" s="189"/>
      <c r="F47" s="189"/>
      <c r="G47" s="189"/>
    </row>
    <row r="48" spans="1:7" ht="15.75" x14ac:dyDescent="0.2">
      <c r="A48" s="186" t="s">
        <v>1697</v>
      </c>
      <c r="B48" s="189"/>
      <c r="C48" s="188"/>
      <c r="D48" s="132"/>
      <c r="E48" s="132"/>
      <c r="F48" s="132"/>
      <c r="G48" s="132"/>
    </row>
    <row r="49" spans="1:7" ht="15" x14ac:dyDescent="0.2">
      <c r="A49" s="192"/>
      <c r="B49" s="189"/>
      <c r="C49" s="187"/>
      <c r="D49" s="189"/>
      <c r="E49" s="189"/>
      <c r="F49" s="189"/>
      <c r="G49" s="189"/>
    </row>
    <row r="50" spans="1:7" ht="14.25" x14ac:dyDescent="0.2">
      <c r="A50" s="193" t="s">
        <v>594</v>
      </c>
      <c r="B50" s="194">
        <v>2</v>
      </c>
      <c r="C50" s="188"/>
      <c r="D50" s="188"/>
      <c r="E50" s="188"/>
      <c r="F50" s="195" t="s">
        <v>1696</v>
      </c>
      <c r="G50" s="189" t="s">
        <v>1506</v>
      </c>
    </row>
    <row r="51" spans="1:7" ht="14.25" x14ac:dyDescent="0.2">
      <c r="A51" s="196" t="s">
        <v>964</v>
      </c>
      <c r="B51" s="194" t="s">
        <v>1152</v>
      </c>
      <c r="C51" s="188"/>
      <c r="D51" s="132"/>
      <c r="E51" s="132"/>
      <c r="F51" s="132"/>
      <c r="G51" s="132"/>
    </row>
    <row r="52" spans="1:7" ht="15" thickBot="1" x14ac:dyDescent="0.25">
      <c r="A52" s="187"/>
      <c r="B52" s="187"/>
      <c r="C52" s="187"/>
      <c r="D52" s="189"/>
      <c r="E52" s="189"/>
      <c r="F52" s="189"/>
      <c r="G52" s="189"/>
    </row>
    <row r="53" spans="1:7" x14ac:dyDescent="0.2">
      <c r="A53" s="197" t="s">
        <v>1695</v>
      </c>
      <c r="B53" s="198"/>
      <c r="C53" s="199"/>
      <c r="D53" s="198"/>
      <c r="E53" s="198"/>
      <c r="F53" s="198"/>
      <c r="G53" s="200"/>
    </row>
    <row r="54" spans="1:7" ht="25.5" x14ac:dyDescent="0.2">
      <c r="A54" s="202" t="s">
        <v>1409</v>
      </c>
      <c r="B54" s="203"/>
      <c r="C54" s="204" t="s">
        <v>966</v>
      </c>
      <c r="D54" s="205" t="s">
        <v>1694</v>
      </c>
      <c r="E54" s="205" t="s">
        <v>1693</v>
      </c>
      <c r="F54" s="206" t="s">
        <v>1687</v>
      </c>
      <c r="G54" s="207" t="s">
        <v>967</v>
      </c>
    </row>
    <row r="55" spans="1:7" x14ac:dyDescent="0.2">
      <c r="A55" s="208" t="s">
        <v>1468</v>
      </c>
      <c r="B55" s="209"/>
      <c r="C55" s="210">
        <v>1</v>
      </c>
      <c r="D55" s="211">
        <v>2.5</v>
      </c>
      <c r="E55" s="211">
        <f>C55*D55</f>
        <v>2.5</v>
      </c>
      <c r="F55" s="212">
        <v>0.3</v>
      </c>
      <c r="G55" s="213">
        <f>E55*F55</f>
        <v>0.75</v>
      </c>
    </row>
    <row r="56" spans="1:7" x14ac:dyDescent="0.2">
      <c r="A56" s="214"/>
      <c r="B56" s="132"/>
      <c r="C56" s="215"/>
      <c r="D56" s="216"/>
      <c r="E56" s="216"/>
      <c r="F56" s="217"/>
      <c r="G56" s="218"/>
    </row>
    <row r="57" spans="1:7" x14ac:dyDescent="0.2">
      <c r="A57" s="219" t="s">
        <v>1682</v>
      </c>
      <c r="B57" s="220"/>
      <c r="C57" s="221"/>
      <c r="D57" s="222" t="s">
        <v>1682</v>
      </c>
      <c r="E57" s="222" t="s">
        <v>1682</v>
      </c>
      <c r="F57" s="223"/>
      <c r="G57" s="224" t="s">
        <v>1682</v>
      </c>
    </row>
    <row r="58" spans="1:7" x14ac:dyDescent="0.2">
      <c r="A58" s="219" t="s">
        <v>968</v>
      </c>
      <c r="B58" s="220"/>
      <c r="C58" s="225"/>
      <c r="D58" s="220"/>
      <c r="E58" s="220"/>
      <c r="F58" s="226"/>
      <c r="G58" s="224">
        <f>SUM(G55:G57)</f>
        <v>0.75</v>
      </c>
    </row>
    <row r="59" spans="1:7" x14ac:dyDescent="0.2">
      <c r="A59" s="227" t="s">
        <v>1503</v>
      </c>
      <c r="B59" s="132"/>
      <c r="C59" s="188"/>
      <c r="D59" s="132"/>
      <c r="E59" s="132"/>
      <c r="F59" s="228"/>
      <c r="G59" s="218"/>
    </row>
    <row r="60" spans="1:7" ht="25.5" x14ac:dyDescent="0.2">
      <c r="A60" s="229" t="s">
        <v>1691</v>
      </c>
      <c r="B60" s="230"/>
      <c r="C60" s="231" t="s">
        <v>969</v>
      </c>
      <c r="D60" s="232" t="s">
        <v>1689</v>
      </c>
      <c r="E60" s="232" t="s">
        <v>1688</v>
      </c>
      <c r="F60" s="233" t="s">
        <v>1687</v>
      </c>
      <c r="G60" s="234" t="s">
        <v>1686</v>
      </c>
    </row>
    <row r="61" spans="1:7" x14ac:dyDescent="0.2">
      <c r="A61" s="235" t="s">
        <v>970</v>
      </c>
      <c r="B61" s="132"/>
      <c r="C61" s="236">
        <v>1</v>
      </c>
      <c r="D61" s="237">
        <v>2.16</v>
      </c>
      <c r="E61" s="216">
        <v>2.16</v>
      </c>
      <c r="F61" s="217">
        <v>3.69</v>
      </c>
      <c r="G61" s="218">
        <f>E61*F61</f>
        <v>7.9704000000000006</v>
      </c>
    </row>
    <row r="62" spans="1:7" x14ac:dyDescent="0.2">
      <c r="A62" s="235" t="s">
        <v>971</v>
      </c>
      <c r="B62" s="132"/>
      <c r="C62" s="236">
        <v>1</v>
      </c>
      <c r="D62" s="237">
        <v>2.13</v>
      </c>
      <c r="E62" s="216">
        <f>C62*D62</f>
        <v>2.13</v>
      </c>
      <c r="F62" s="217">
        <v>2.75</v>
      </c>
      <c r="G62" s="218">
        <f>E62*F62</f>
        <v>5.8574999999999999</v>
      </c>
    </row>
    <row r="63" spans="1:7" x14ac:dyDescent="0.2">
      <c r="A63" s="235" t="s">
        <v>590</v>
      </c>
      <c r="B63" s="132"/>
      <c r="C63" s="236">
        <v>1</v>
      </c>
      <c r="D63" s="237">
        <v>2.13</v>
      </c>
      <c r="E63" s="216">
        <f>C63*D63</f>
        <v>2.13</v>
      </c>
      <c r="F63" s="217">
        <v>1.95</v>
      </c>
      <c r="G63" s="218">
        <f>E63*F63</f>
        <v>4.1534999999999993</v>
      </c>
    </row>
    <row r="64" spans="1:7" x14ac:dyDescent="0.2">
      <c r="A64" s="235"/>
      <c r="B64" s="132"/>
      <c r="C64" s="236"/>
      <c r="D64" s="237"/>
      <c r="E64" s="216"/>
      <c r="F64" s="217"/>
      <c r="G64" s="218"/>
    </row>
    <row r="65" spans="1:7" x14ac:dyDescent="0.2">
      <c r="A65" s="219" t="s">
        <v>1682</v>
      </c>
      <c r="B65" s="220"/>
      <c r="C65" s="221"/>
      <c r="D65" s="222" t="s">
        <v>1682</v>
      </c>
      <c r="E65" s="222" t="s">
        <v>1682</v>
      </c>
      <c r="F65" s="223"/>
      <c r="G65" s="224" t="s">
        <v>1682</v>
      </c>
    </row>
    <row r="66" spans="1:7" x14ac:dyDescent="0.2">
      <c r="A66" s="238" t="s">
        <v>1681</v>
      </c>
      <c r="B66" s="239"/>
      <c r="C66" s="240"/>
      <c r="D66" s="239"/>
      <c r="E66" s="239"/>
      <c r="F66" s="239"/>
      <c r="G66" s="241">
        <f>SUM(G61:G65)</f>
        <v>17.981400000000001</v>
      </c>
    </row>
    <row r="67" spans="1:7" x14ac:dyDescent="0.2">
      <c r="A67" s="227" t="s">
        <v>1684</v>
      </c>
      <c r="B67" s="132"/>
      <c r="C67" s="188"/>
      <c r="D67" s="132"/>
      <c r="E67" s="132"/>
      <c r="F67" s="132"/>
      <c r="G67" s="218"/>
    </row>
    <row r="68" spans="1:7" ht="25.5" x14ac:dyDescent="0.2">
      <c r="A68" s="229" t="s">
        <v>1409</v>
      </c>
      <c r="B68" s="242"/>
      <c r="C68" s="243"/>
      <c r="D68" s="232" t="s">
        <v>1408</v>
      </c>
      <c r="E68" s="231" t="s">
        <v>1679</v>
      </c>
      <c r="F68" s="232" t="s">
        <v>1683</v>
      </c>
      <c r="G68" s="234" t="s">
        <v>1675</v>
      </c>
    </row>
    <row r="69" spans="1:7" x14ac:dyDescent="0.2">
      <c r="A69" s="244" t="s">
        <v>1153</v>
      </c>
      <c r="B69" s="132"/>
      <c r="C69" s="188"/>
      <c r="D69" s="215" t="s">
        <v>1506</v>
      </c>
      <c r="E69" s="215">
        <v>1</v>
      </c>
      <c r="F69" s="216">
        <v>170</v>
      </c>
      <c r="G69" s="218">
        <f>E69*F69</f>
        <v>170</v>
      </c>
    </row>
    <row r="70" spans="1:7" x14ac:dyDescent="0.2">
      <c r="A70" s="244" t="s">
        <v>1154</v>
      </c>
      <c r="B70" s="132"/>
      <c r="C70" s="188"/>
      <c r="D70" s="215"/>
      <c r="E70" s="215"/>
      <c r="F70" s="216"/>
      <c r="G70" s="218"/>
    </row>
    <row r="71" spans="1:7" x14ac:dyDescent="0.2">
      <c r="A71" s="244" t="s">
        <v>1155</v>
      </c>
      <c r="B71" s="132"/>
      <c r="C71" s="188"/>
      <c r="D71" s="215"/>
      <c r="E71" s="215"/>
      <c r="F71" s="216"/>
      <c r="G71" s="218"/>
    </row>
    <row r="72" spans="1:7" x14ac:dyDescent="0.2">
      <c r="A72" s="244" t="s">
        <v>1156</v>
      </c>
      <c r="B72" s="132"/>
      <c r="C72" s="188"/>
      <c r="D72" s="215"/>
      <c r="E72" s="215"/>
      <c r="F72" s="216"/>
      <c r="G72" s="218"/>
    </row>
    <row r="73" spans="1:7" x14ac:dyDescent="0.2">
      <c r="A73" s="244" t="s">
        <v>1157</v>
      </c>
      <c r="B73" s="132"/>
      <c r="C73" s="188"/>
      <c r="D73" s="215"/>
      <c r="E73" s="215"/>
      <c r="F73" s="216"/>
      <c r="G73" s="218"/>
    </row>
    <row r="74" spans="1:7" x14ac:dyDescent="0.2">
      <c r="A74" s="244"/>
      <c r="B74" s="132"/>
      <c r="C74" s="188"/>
      <c r="D74" s="215"/>
      <c r="E74" s="215"/>
      <c r="F74" s="216"/>
      <c r="G74" s="218"/>
    </row>
    <row r="75" spans="1:7" x14ac:dyDescent="0.2">
      <c r="A75" s="214"/>
      <c r="B75" s="132"/>
      <c r="C75" s="245"/>
      <c r="D75" s="215"/>
      <c r="E75" s="215"/>
      <c r="F75" s="216"/>
      <c r="G75" s="218"/>
    </row>
    <row r="76" spans="1:7" x14ac:dyDescent="0.2">
      <c r="A76" s="214"/>
      <c r="B76" s="132"/>
      <c r="C76" s="245"/>
      <c r="D76" s="215"/>
      <c r="E76" s="215"/>
      <c r="F76" s="216"/>
      <c r="G76" s="218"/>
    </row>
    <row r="77" spans="1:7" x14ac:dyDescent="0.2">
      <c r="A77" s="238" t="s">
        <v>1692</v>
      </c>
      <c r="B77" s="239"/>
      <c r="C77" s="240"/>
      <c r="D77" s="240"/>
      <c r="E77" s="240"/>
      <c r="F77" s="239"/>
      <c r="G77" s="241">
        <f>SUM(G69:G76)</f>
        <v>170</v>
      </c>
    </row>
    <row r="78" spans="1:7" x14ac:dyDescent="0.2">
      <c r="A78" s="227" t="s">
        <v>1680</v>
      </c>
      <c r="B78" s="132"/>
      <c r="C78" s="188"/>
      <c r="D78" s="132"/>
      <c r="E78" s="188"/>
      <c r="F78" s="132"/>
      <c r="G78" s="218"/>
    </row>
    <row r="79" spans="1:7" ht="25.5" x14ac:dyDescent="0.2">
      <c r="A79" s="229" t="s">
        <v>1409</v>
      </c>
      <c r="B79" s="242"/>
      <c r="C79" s="243"/>
      <c r="D79" s="232" t="s">
        <v>1408</v>
      </c>
      <c r="E79" s="231" t="s">
        <v>1679</v>
      </c>
      <c r="F79" s="232" t="s">
        <v>1676</v>
      </c>
      <c r="G79" s="234" t="s">
        <v>1675</v>
      </c>
    </row>
    <row r="80" spans="1:7" x14ac:dyDescent="0.2">
      <c r="A80" s="208" t="s">
        <v>975</v>
      </c>
      <c r="B80" s="209"/>
      <c r="C80" s="246"/>
      <c r="D80" s="215" t="s">
        <v>976</v>
      </c>
      <c r="E80" s="215">
        <v>0.15</v>
      </c>
      <c r="F80" s="247">
        <v>5</v>
      </c>
      <c r="G80" s="218">
        <f>E80*F80</f>
        <v>0.75</v>
      </c>
    </row>
    <row r="81" spans="1:7" x14ac:dyDescent="0.2">
      <c r="A81" s="214"/>
      <c r="B81" s="132"/>
      <c r="C81" s="248"/>
      <c r="D81" s="215"/>
      <c r="E81" s="215"/>
      <c r="F81" s="247"/>
      <c r="G81" s="218"/>
    </row>
    <row r="82" spans="1:7" x14ac:dyDescent="0.2">
      <c r="A82" s="219" t="s">
        <v>1682</v>
      </c>
      <c r="B82" s="220"/>
      <c r="C82" s="249"/>
      <c r="D82" s="221" t="s">
        <v>1682</v>
      </c>
      <c r="E82" s="221"/>
      <c r="F82" s="222" t="s">
        <v>1682</v>
      </c>
      <c r="G82" s="224" t="s">
        <v>1682</v>
      </c>
    </row>
    <row r="83" spans="1:7" ht="13.5" thickBot="1" x14ac:dyDescent="0.25">
      <c r="A83" s="250" t="s">
        <v>977</v>
      </c>
      <c r="B83" s="251"/>
      <c r="C83" s="252"/>
      <c r="D83" s="252"/>
      <c r="E83" s="252"/>
      <c r="F83" s="251"/>
      <c r="G83" s="253">
        <f>SUM(G80:G82)</f>
        <v>0.75</v>
      </c>
    </row>
    <row r="84" spans="1:7" x14ac:dyDescent="0.2">
      <c r="A84" s="132"/>
      <c r="B84" s="132"/>
      <c r="C84" s="254"/>
      <c r="D84" s="198"/>
      <c r="E84" s="198"/>
      <c r="F84" s="255" t="s">
        <v>978</v>
      </c>
      <c r="G84" s="256">
        <f>G58+G66+G77+G83</f>
        <v>189.48140000000001</v>
      </c>
    </row>
    <row r="85" spans="1:7" x14ac:dyDescent="0.2">
      <c r="A85" s="132"/>
      <c r="B85" s="132"/>
      <c r="C85" s="257"/>
      <c r="D85" s="239"/>
      <c r="E85" s="239"/>
      <c r="F85" s="258" t="s">
        <v>979</v>
      </c>
      <c r="G85" s="241"/>
    </row>
    <row r="86" spans="1:7" x14ac:dyDescent="0.2">
      <c r="A86" s="132"/>
      <c r="B86" s="132"/>
      <c r="C86" s="257"/>
      <c r="D86" s="239"/>
      <c r="E86" s="239"/>
      <c r="F86" s="258" t="s">
        <v>980</v>
      </c>
      <c r="G86" s="241"/>
    </row>
    <row r="87" spans="1:7" x14ac:dyDescent="0.2">
      <c r="A87" s="132"/>
      <c r="B87" s="132"/>
      <c r="C87" s="257"/>
      <c r="D87" s="239"/>
      <c r="E87" s="239"/>
      <c r="F87" s="259" t="s">
        <v>1670</v>
      </c>
      <c r="G87" s="260"/>
    </row>
    <row r="88" spans="1:7" ht="13.5" thickBot="1" x14ac:dyDescent="0.25">
      <c r="A88" s="193"/>
      <c r="B88" s="132"/>
      <c r="C88" s="261"/>
      <c r="D88" s="251"/>
      <c r="E88" s="251"/>
      <c r="F88" s="262" t="s">
        <v>1650</v>
      </c>
      <c r="G88" s="263"/>
    </row>
    <row r="89" spans="1:7" ht="15.75" x14ac:dyDescent="0.2">
      <c r="A89" s="186" t="s">
        <v>1701</v>
      </c>
      <c r="B89" s="132"/>
      <c r="C89" s="187" t="s">
        <v>742</v>
      </c>
      <c r="D89" s="132"/>
      <c r="E89" s="132"/>
      <c r="F89" s="188"/>
      <c r="G89" s="132"/>
    </row>
    <row r="90" spans="1:7" ht="15.75" x14ac:dyDescent="0.2">
      <c r="A90" s="186" t="s">
        <v>1700</v>
      </c>
      <c r="B90" s="189" t="s">
        <v>963</v>
      </c>
      <c r="C90" s="188"/>
      <c r="D90" s="132"/>
      <c r="E90" s="132"/>
      <c r="F90" s="190"/>
      <c r="G90" s="191"/>
    </row>
    <row r="91" spans="1:7" ht="14.25" x14ac:dyDescent="0.2">
      <c r="A91" s="189"/>
      <c r="B91" s="189"/>
      <c r="C91" s="187"/>
      <c r="D91" s="189"/>
      <c r="E91" s="189"/>
      <c r="F91" s="189"/>
      <c r="G91" s="189"/>
    </row>
    <row r="92" spans="1:7" ht="15.75" x14ac:dyDescent="0.2">
      <c r="A92" s="186" t="s">
        <v>1697</v>
      </c>
      <c r="B92" s="189"/>
      <c r="C92" s="188"/>
      <c r="D92" s="132"/>
      <c r="E92" s="132"/>
      <c r="F92" s="132"/>
      <c r="G92" s="132"/>
    </row>
    <row r="93" spans="1:7" ht="15" x14ac:dyDescent="0.2">
      <c r="A93" s="192"/>
      <c r="B93" s="189"/>
      <c r="C93" s="187"/>
      <c r="D93" s="189"/>
      <c r="E93" s="189"/>
      <c r="F93" s="189"/>
      <c r="G93" s="189"/>
    </row>
    <row r="94" spans="1:7" ht="14.25" x14ac:dyDescent="0.2">
      <c r="A94" s="193" t="s">
        <v>594</v>
      </c>
      <c r="B94" s="194">
        <v>3</v>
      </c>
      <c r="C94" s="188"/>
      <c r="D94" s="188"/>
      <c r="E94" s="188"/>
      <c r="F94" s="195" t="s">
        <v>1696</v>
      </c>
      <c r="G94" s="189" t="s">
        <v>1506</v>
      </c>
    </row>
    <row r="95" spans="1:7" ht="14.25" x14ac:dyDescent="0.2">
      <c r="A95" s="196" t="s">
        <v>964</v>
      </c>
      <c r="B95" s="194" t="s">
        <v>1158</v>
      </c>
      <c r="C95" s="188"/>
      <c r="D95" s="132"/>
      <c r="E95" s="132"/>
      <c r="F95" s="132"/>
      <c r="G95" s="132"/>
    </row>
    <row r="96" spans="1:7" ht="15" thickBot="1" x14ac:dyDescent="0.25">
      <c r="A96" s="187"/>
      <c r="B96" s="187"/>
      <c r="C96" s="187"/>
      <c r="D96" s="189"/>
      <c r="E96" s="189"/>
      <c r="F96" s="189"/>
      <c r="G96" s="189"/>
    </row>
    <row r="97" spans="1:7" x14ac:dyDescent="0.2">
      <c r="A97" s="197" t="s">
        <v>1695</v>
      </c>
      <c r="B97" s="198"/>
      <c r="C97" s="199"/>
      <c r="D97" s="198"/>
      <c r="E97" s="198"/>
      <c r="F97" s="198"/>
      <c r="G97" s="200"/>
    </row>
    <row r="98" spans="1:7" ht="25.5" x14ac:dyDescent="0.2">
      <c r="A98" s="202" t="s">
        <v>1409</v>
      </c>
      <c r="B98" s="203"/>
      <c r="C98" s="204" t="s">
        <v>966</v>
      </c>
      <c r="D98" s="205" t="s">
        <v>1694</v>
      </c>
      <c r="E98" s="205" t="s">
        <v>1693</v>
      </c>
      <c r="F98" s="206" t="s">
        <v>1687</v>
      </c>
      <c r="G98" s="207" t="s">
        <v>967</v>
      </c>
    </row>
    <row r="99" spans="1:7" x14ac:dyDescent="0.2">
      <c r="A99" s="208" t="s">
        <v>1468</v>
      </c>
      <c r="B99" s="209"/>
      <c r="C99" s="210">
        <v>1</v>
      </c>
      <c r="D99" s="211">
        <v>2.5</v>
      </c>
      <c r="E99" s="211">
        <f>C99*D99</f>
        <v>2.5</v>
      </c>
      <c r="F99" s="212">
        <v>0.3</v>
      </c>
      <c r="G99" s="213">
        <f>E99*F99</f>
        <v>0.75</v>
      </c>
    </row>
    <row r="100" spans="1:7" x14ac:dyDescent="0.2">
      <c r="A100" s="214"/>
      <c r="B100" s="132"/>
      <c r="C100" s="215"/>
      <c r="D100" s="216"/>
      <c r="E100" s="216"/>
      <c r="F100" s="217"/>
      <c r="G100" s="218"/>
    </row>
    <row r="101" spans="1:7" x14ac:dyDescent="0.2">
      <c r="A101" s="219" t="s">
        <v>1682</v>
      </c>
      <c r="B101" s="220"/>
      <c r="C101" s="221"/>
      <c r="D101" s="222" t="s">
        <v>1682</v>
      </c>
      <c r="E101" s="222" t="s">
        <v>1682</v>
      </c>
      <c r="F101" s="223"/>
      <c r="G101" s="224" t="s">
        <v>1682</v>
      </c>
    </row>
    <row r="102" spans="1:7" x14ac:dyDescent="0.2">
      <c r="A102" s="219" t="s">
        <v>968</v>
      </c>
      <c r="B102" s="220"/>
      <c r="C102" s="225"/>
      <c r="D102" s="220"/>
      <c r="E102" s="220"/>
      <c r="F102" s="226"/>
      <c r="G102" s="224">
        <f>SUM(G99:G101)</f>
        <v>0.75</v>
      </c>
    </row>
    <row r="103" spans="1:7" x14ac:dyDescent="0.2">
      <c r="A103" s="227" t="s">
        <v>1503</v>
      </c>
      <c r="B103" s="132"/>
      <c r="C103" s="188"/>
      <c r="D103" s="132"/>
      <c r="E103" s="132"/>
      <c r="F103" s="228"/>
      <c r="G103" s="218"/>
    </row>
    <row r="104" spans="1:7" ht="25.5" x14ac:dyDescent="0.2">
      <c r="A104" s="229" t="s">
        <v>1691</v>
      </c>
      <c r="B104" s="230"/>
      <c r="C104" s="231" t="s">
        <v>969</v>
      </c>
      <c r="D104" s="232" t="s">
        <v>1689</v>
      </c>
      <c r="E104" s="232" t="s">
        <v>1688</v>
      </c>
      <c r="F104" s="233" t="s">
        <v>1687</v>
      </c>
      <c r="G104" s="234" t="s">
        <v>1686</v>
      </c>
    </row>
    <row r="105" spans="1:7" x14ac:dyDescent="0.2">
      <c r="A105" s="235" t="s">
        <v>970</v>
      </c>
      <c r="B105" s="132"/>
      <c r="C105" s="236">
        <v>1</v>
      </c>
      <c r="D105" s="237">
        <v>2.16</v>
      </c>
      <c r="E105" s="216">
        <v>2.16</v>
      </c>
      <c r="F105" s="217">
        <v>3.69</v>
      </c>
      <c r="G105" s="218">
        <f>E105*F105</f>
        <v>7.9704000000000006</v>
      </c>
    </row>
    <row r="106" spans="1:7" x14ac:dyDescent="0.2">
      <c r="A106" s="235" t="s">
        <v>971</v>
      </c>
      <c r="B106" s="132"/>
      <c r="C106" s="236">
        <v>1</v>
      </c>
      <c r="D106" s="237">
        <v>2.13</v>
      </c>
      <c r="E106" s="216">
        <f>C106*D106</f>
        <v>2.13</v>
      </c>
      <c r="F106" s="217">
        <v>2.75</v>
      </c>
      <c r="G106" s="218">
        <f>E106*F106</f>
        <v>5.8574999999999999</v>
      </c>
    </row>
    <row r="107" spans="1:7" x14ac:dyDescent="0.2">
      <c r="A107" s="235" t="s">
        <v>590</v>
      </c>
      <c r="B107" s="132"/>
      <c r="C107" s="236">
        <v>1</v>
      </c>
      <c r="D107" s="237">
        <v>2.13</v>
      </c>
      <c r="E107" s="216">
        <f>C107*D107</f>
        <v>2.13</v>
      </c>
      <c r="F107" s="217">
        <v>1.95</v>
      </c>
      <c r="G107" s="218">
        <f>E107*F107</f>
        <v>4.1534999999999993</v>
      </c>
    </row>
    <row r="108" spans="1:7" x14ac:dyDescent="0.2">
      <c r="A108" s="235"/>
      <c r="B108" s="132"/>
      <c r="C108" s="236"/>
      <c r="D108" s="237"/>
      <c r="E108" s="216"/>
      <c r="F108" s="217"/>
      <c r="G108" s="218"/>
    </row>
    <row r="109" spans="1:7" x14ac:dyDescent="0.2">
      <c r="A109" s="219" t="s">
        <v>1682</v>
      </c>
      <c r="B109" s="220"/>
      <c r="C109" s="221"/>
      <c r="D109" s="222" t="s">
        <v>1682</v>
      </c>
      <c r="E109" s="222" t="s">
        <v>1682</v>
      </c>
      <c r="F109" s="223"/>
      <c r="G109" s="224" t="s">
        <v>1682</v>
      </c>
    </row>
    <row r="110" spans="1:7" x14ac:dyDescent="0.2">
      <c r="A110" s="238" t="s">
        <v>1681</v>
      </c>
      <c r="B110" s="239"/>
      <c r="C110" s="240"/>
      <c r="D110" s="239"/>
      <c r="E110" s="239"/>
      <c r="F110" s="239"/>
      <c r="G110" s="241">
        <f>SUM(G105:G109)</f>
        <v>17.981400000000001</v>
      </c>
    </row>
    <row r="111" spans="1:7" x14ac:dyDescent="0.2">
      <c r="A111" s="227" t="s">
        <v>1684</v>
      </c>
      <c r="B111" s="132"/>
      <c r="C111" s="188"/>
      <c r="D111" s="132"/>
      <c r="E111" s="132"/>
      <c r="F111" s="132"/>
      <c r="G111" s="218"/>
    </row>
    <row r="112" spans="1:7" ht="25.5" x14ac:dyDescent="0.2">
      <c r="A112" s="229" t="s">
        <v>1409</v>
      </c>
      <c r="B112" s="242"/>
      <c r="C112" s="243"/>
      <c r="D112" s="232" t="s">
        <v>1408</v>
      </c>
      <c r="E112" s="231" t="s">
        <v>1679</v>
      </c>
      <c r="F112" s="232" t="s">
        <v>1683</v>
      </c>
      <c r="G112" s="234" t="s">
        <v>1675</v>
      </c>
    </row>
    <row r="113" spans="1:7" x14ac:dyDescent="0.2">
      <c r="A113" s="244" t="s">
        <v>1159</v>
      </c>
      <c r="B113" s="132"/>
      <c r="C113" s="188"/>
      <c r="D113" s="215" t="s">
        <v>1506</v>
      </c>
      <c r="E113" s="215">
        <v>1</v>
      </c>
      <c r="F113" s="216">
        <v>95</v>
      </c>
      <c r="G113" s="218">
        <f>E113*F113</f>
        <v>95</v>
      </c>
    </row>
    <row r="114" spans="1:7" x14ac:dyDescent="0.2">
      <c r="A114" s="244" t="s">
        <v>1160</v>
      </c>
      <c r="B114" s="132"/>
      <c r="C114" s="188"/>
      <c r="D114" s="215"/>
      <c r="E114" s="215"/>
      <c r="F114" s="216"/>
      <c r="G114" s="218"/>
    </row>
    <row r="115" spans="1:7" x14ac:dyDescent="0.2">
      <c r="A115" s="244" t="s">
        <v>1161</v>
      </c>
      <c r="B115" s="132"/>
      <c r="C115" s="188"/>
      <c r="D115" s="215"/>
      <c r="E115" s="215"/>
      <c r="F115" s="216"/>
      <c r="G115" s="218"/>
    </row>
    <row r="116" spans="1:7" x14ac:dyDescent="0.2">
      <c r="A116" s="244" t="s">
        <v>1162</v>
      </c>
      <c r="B116" s="132"/>
      <c r="C116" s="188"/>
      <c r="D116" s="215"/>
      <c r="E116" s="215"/>
      <c r="F116" s="216"/>
      <c r="G116" s="218"/>
    </row>
    <row r="117" spans="1:7" x14ac:dyDescent="0.2">
      <c r="A117" s="214"/>
      <c r="B117" s="132"/>
      <c r="C117" s="245"/>
      <c r="D117" s="215"/>
      <c r="E117" s="215"/>
      <c r="F117" s="216"/>
      <c r="G117" s="218"/>
    </row>
    <row r="118" spans="1:7" x14ac:dyDescent="0.2">
      <c r="A118" s="214"/>
      <c r="B118" s="132"/>
      <c r="C118" s="245"/>
      <c r="D118" s="215"/>
      <c r="E118" s="215"/>
      <c r="F118" s="216"/>
      <c r="G118" s="218"/>
    </row>
    <row r="119" spans="1:7" x14ac:dyDescent="0.2">
      <c r="A119" s="238" t="s">
        <v>1692</v>
      </c>
      <c r="B119" s="239"/>
      <c r="C119" s="240"/>
      <c r="D119" s="240"/>
      <c r="E119" s="240"/>
      <c r="F119" s="239"/>
      <c r="G119" s="241">
        <f>SUM(G113:G118)</f>
        <v>95</v>
      </c>
    </row>
    <row r="120" spans="1:7" x14ac:dyDescent="0.2">
      <c r="A120" s="227" t="s">
        <v>1680</v>
      </c>
      <c r="B120" s="132"/>
      <c r="C120" s="188"/>
      <c r="D120" s="132"/>
      <c r="E120" s="188"/>
      <c r="F120" s="132"/>
      <c r="G120" s="218"/>
    </row>
    <row r="121" spans="1:7" ht="25.5" x14ac:dyDescent="0.2">
      <c r="A121" s="229" t="s">
        <v>1409</v>
      </c>
      <c r="B121" s="242"/>
      <c r="C121" s="243"/>
      <c r="D121" s="232" t="s">
        <v>1408</v>
      </c>
      <c r="E121" s="231" t="s">
        <v>1679</v>
      </c>
      <c r="F121" s="232" t="s">
        <v>1676</v>
      </c>
      <c r="G121" s="234" t="s">
        <v>1675</v>
      </c>
    </row>
    <row r="122" spans="1:7" x14ac:dyDescent="0.2">
      <c r="A122" s="208" t="s">
        <v>975</v>
      </c>
      <c r="B122" s="209"/>
      <c r="C122" s="246"/>
      <c r="D122" s="215" t="s">
        <v>976</v>
      </c>
      <c r="E122" s="215">
        <v>0.15</v>
      </c>
      <c r="F122" s="247">
        <v>5</v>
      </c>
      <c r="G122" s="218">
        <f>E122*F122</f>
        <v>0.75</v>
      </c>
    </row>
    <row r="123" spans="1:7" x14ac:dyDescent="0.2">
      <c r="A123" s="214"/>
      <c r="B123" s="132"/>
      <c r="C123" s="248"/>
      <c r="D123" s="215"/>
      <c r="E123" s="215"/>
      <c r="F123" s="247"/>
      <c r="G123" s="218"/>
    </row>
    <row r="124" spans="1:7" x14ac:dyDescent="0.2">
      <c r="A124" s="219" t="s">
        <v>1682</v>
      </c>
      <c r="B124" s="220"/>
      <c r="C124" s="249"/>
      <c r="D124" s="221" t="s">
        <v>1682</v>
      </c>
      <c r="E124" s="221"/>
      <c r="F124" s="222" t="s">
        <v>1682</v>
      </c>
      <c r="G124" s="224" t="s">
        <v>1682</v>
      </c>
    </row>
    <row r="125" spans="1:7" ht="13.5" thickBot="1" x14ac:dyDescent="0.25">
      <c r="A125" s="250" t="s">
        <v>977</v>
      </c>
      <c r="B125" s="251"/>
      <c r="C125" s="252"/>
      <c r="D125" s="252"/>
      <c r="E125" s="252"/>
      <c r="F125" s="251"/>
      <c r="G125" s="253">
        <f>SUM(G122:G124)</f>
        <v>0.75</v>
      </c>
    </row>
    <row r="126" spans="1:7" x14ac:dyDescent="0.2">
      <c r="A126" s="132"/>
      <c r="B126" s="132"/>
      <c r="C126" s="254"/>
      <c r="D126" s="198"/>
      <c r="E126" s="198"/>
      <c r="F126" s="255" t="s">
        <v>978</v>
      </c>
      <c r="G126" s="256">
        <f>G102+G110+G119+G125</f>
        <v>114.48140000000001</v>
      </c>
    </row>
    <row r="127" spans="1:7" x14ac:dyDescent="0.2">
      <c r="A127" s="132"/>
      <c r="B127" s="132"/>
      <c r="C127" s="257"/>
      <c r="D127" s="239"/>
      <c r="E127" s="239"/>
      <c r="F127" s="258" t="s">
        <v>979</v>
      </c>
      <c r="G127" s="241"/>
    </row>
    <row r="128" spans="1:7" x14ac:dyDescent="0.2">
      <c r="A128" s="132"/>
      <c r="B128" s="132"/>
      <c r="C128" s="257"/>
      <c r="D128" s="239"/>
      <c r="E128" s="239"/>
      <c r="F128" s="258" t="s">
        <v>980</v>
      </c>
      <c r="G128" s="241"/>
    </row>
    <row r="129" spans="1:7" x14ac:dyDescent="0.2">
      <c r="A129" s="132"/>
      <c r="B129" s="132"/>
      <c r="C129" s="257"/>
      <c r="D129" s="239"/>
      <c r="E129" s="239"/>
      <c r="F129" s="259" t="s">
        <v>1670</v>
      </c>
      <c r="G129" s="260"/>
    </row>
    <row r="130" spans="1:7" ht="13.5" thickBot="1" x14ac:dyDescent="0.25">
      <c r="A130" s="193"/>
      <c r="B130" s="132"/>
      <c r="C130" s="261"/>
      <c r="D130" s="251"/>
      <c r="E130" s="251"/>
      <c r="F130" s="262" t="s">
        <v>1650</v>
      </c>
      <c r="G130" s="263"/>
    </row>
    <row r="131" spans="1:7" ht="15.75" x14ac:dyDescent="0.2">
      <c r="A131" s="186" t="s">
        <v>1701</v>
      </c>
      <c r="B131" s="132"/>
      <c r="C131" s="187" t="s">
        <v>742</v>
      </c>
      <c r="D131" s="132"/>
      <c r="E131" s="132"/>
      <c r="F131" s="188"/>
      <c r="G131" s="132"/>
    </row>
    <row r="132" spans="1:7" ht="15.75" x14ac:dyDescent="0.2">
      <c r="A132" s="186" t="s">
        <v>1700</v>
      </c>
      <c r="B132" s="189" t="s">
        <v>963</v>
      </c>
      <c r="C132" s="188"/>
      <c r="D132" s="132"/>
      <c r="E132" s="132"/>
      <c r="F132" s="190"/>
      <c r="G132" s="191"/>
    </row>
    <row r="133" spans="1:7" ht="14.25" x14ac:dyDescent="0.2">
      <c r="A133" s="189"/>
      <c r="B133" s="189"/>
      <c r="C133" s="187"/>
      <c r="D133" s="189"/>
      <c r="E133" s="189"/>
      <c r="F133" s="189"/>
      <c r="G133" s="189"/>
    </row>
    <row r="134" spans="1:7" ht="15.75" x14ac:dyDescent="0.2">
      <c r="A134" s="186" t="s">
        <v>1697</v>
      </c>
      <c r="B134" s="189"/>
      <c r="C134" s="188"/>
      <c r="D134" s="132"/>
      <c r="E134" s="132"/>
      <c r="F134" s="132"/>
      <c r="G134" s="132"/>
    </row>
    <row r="135" spans="1:7" ht="15" x14ac:dyDescent="0.2">
      <c r="A135" s="192"/>
      <c r="B135" s="189"/>
      <c r="C135" s="187"/>
      <c r="D135" s="189"/>
      <c r="E135" s="189"/>
      <c r="F135" s="189"/>
      <c r="G135" s="189"/>
    </row>
    <row r="136" spans="1:7" ht="14.25" x14ac:dyDescent="0.2">
      <c r="A136" s="193" t="s">
        <v>594</v>
      </c>
      <c r="B136" s="194">
        <v>4</v>
      </c>
      <c r="C136" s="188"/>
      <c r="D136" s="188"/>
      <c r="E136" s="188"/>
      <c r="F136" s="195" t="s">
        <v>1696</v>
      </c>
      <c r="G136" s="189" t="s">
        <v>1506</v>
      </c>
    </row>
    <row r="137" spans="1:7" ht="14.25" x14ac:dyDescent="0.2">
      <c r="A137" s="196" t="s">
        <v>964</v>
      </c>
      <c r="B137" s="194" t="s">
        <v>1163</v>
      </c>
      <c r="C137" s="188"/>
      <c r="D137" s="132"/>
      <c r="E137" s="132"/>
      <c r="F137" s="132"/>
      <c r="G137" s="132"/>
    </row>
    <row r="138" spans="1:7" ht="15" thickBot="1" x14ac:dyDescent="0.25">
      <c r="A138" s="187"/>
      <c r="B138" s="187"/>
      <c r="C138" s="187"/>
      <c r="D138" s="189"/>
      <c r="E138" s="189"/>
      <c r="F138" s="189"/>
      <c r="G138" s="189"/>
    </row>
    <row r="139" spans="1:7" x14ac:dyDescent="0.2">
      <c r="A139" s="197" t="s">
        <v>1695</v>
      </c>
      <c r="B139" s="198"/>
      <c r="C139" s="199"/>
      <c r="D139" s="198"/>
      <c r="E139" s="198"/>
      <c r="F139" s="198"/>
      <c r="G139" s="200"/>
    </row>
    <row r="140" spans="1:7" ht="25.5" x14ac:dyDescent="0.2">
      <c r="A140" s="202" t="s">
        <v>1409</v>
      </c>
      <c r="B140" s="203"/>
      <c r="C140" s="204" t="s">
        <v>966</v>
      </c>
      <c r="D140" s="205" t="s">
        <v>1694</v>
      </c>
      <c r="E140" s="205" t="s">
        <v>1693</v>
      </c>
      <c r="F140" s="206" t="s">
        <v>1687</v>
      </c>
      <c r="G140" s="207" t="s">
        <v>967</v>
      </c>
    </row>
    <row r="141" spans="1:7" x14ac:dyDescent="0.2">
      <c r="A141" s="208" t="s">
        <v>1468</v>
      </c>
      <c r="B141" s="209"/>
      <c r="C141" s="210">
        <v>1</v>
      </c>
      <c r="D141" s="211">
        <v>2.5</v>
      </c>
      <c r="E141" s="211">
        <f>C141*D141</f>
        <v>2.5</v>
      </c>
      <c r="F141" s="212">
        <v>0.3</v>
      </c>
      <c r="G141" s="213">
        <f>E141*F141</f>
        <v>0.75</v>
      </c>
    </row>
    <row r="142" spans="1:7" x14ac:dyDescent="0.2">
      <c r="A142" s="214"/>
      <c r="B142" s="132"/>
      <c r="C142" s="215"/>
      <c r="D142" s="216"/>
      <c r="E142" s="216"/>
      <c r="F142" s="217"/>
      <c r="G142" s="218"/>
    </row>
    <row r="143" spans="1:7" x14ac:dyDescent="0.2">
      <c r="A143" s="219" t="s">
        <v>1682</v>
      </c>
      <c r="B143" s="220"/>
      <c r="C143" s="221"/>
      <c r="D143" s="222" t="s">
        <v>1682</v>
      </c>
      <c r="E143" s="222" t="s">
        <v>1682</v>
      </c>
      <c r="F143" s="223"/>
      <c r="G143" s="224" t="s">
        <v>1682</v>
      </c>
    </row>
    <row r="144" spans="1:7" x14ac:dyDescent="0.2">
      <c r="A144" s="219" t="s">
        <v>968</v>
      </c>
      <c r="B144" s="220"/>
      <c r="C144" s="225"/>
      <c r="D144" s="220"/>
      <c r="E144" s="220"/>
      <c r="F144" s="226"/>
      <c r="G144" s="224">
        <f>SUM(G141:G143)</f>
        <v>0.75</v>
      </c>
    </row>
    <row r="145" spans="1:7" x14ac:dyDescent="0.2">
      <c r="A145" s="227" t="s">
        <v>1503</v>
      </c>
      <c r="B145" s="132"/>
      <c r="C145" s="188"/>
      <c r="D145" s="132"/>
      <c r="E145" s="132"/>
      <c r="F145" s="228"/>
      <c r="G145" s="218"/>
    </row>
    <row r="146" spans="1:7" ht="25.5" x14ac:dyDescent="0.2">
      <c r="A146" s="229" t="s">
        <v>1691</v>
      </c>
      <c r="B146" s="230"/>
      <c r="C146" s="231" t="s">
        <v>969</v>
      </c>
      <c r="D146" s="232" t="s">
        <v>1689</v>
      </c>
      <c r="E146" s="232" t="s">
        <v>1688</v>
      </c>
      <c r="F146" s="233" t="s">
        <v>1687</v>
      </c>
      <c r="G146" s="234" t="s">
        <v>1686</v>
      </c>
    </row>
    <row r="147" spans="1:7" x14ac:dyDescent="0.2">
      <c r="A147" s="235" t="s">
        <v>970</v>
      </c>
      <c r="B147" s="132"/>
      <c r="C147" s="236">
        <v>1</v>
      </c>
      <c r="D147" s="237">
        <v>2.16</v>
      </c>
      <c r="E147" s="216">
        <v>2.16</v>
      </c>
      <c r="F147" s="217">
        <v>3.69</v>
      </c>
      <c r="G147" s="218">
        <f>E147*F147</f>
        <v>7.9704000000000006</v>
      </c>
    </row>
    <row r="148" spans="1:7" x14ac:dyDescent="0.2">
      <c r="A148" s="235" t="s">
        <v>971</v>
      </c>
      <c r="B148" s="132"/>
      <c r="C148" s="236">
        <v>1</v>
      </c>
      <c r="D148" s="237">
        <v>2.13</v>
      </c>
      <c r="E148" s="216">
        <f>C148*D148</f>
        <v>2.13</v>
      </c>
      <c r="F148" s="217">
        <v>2.75</v>
      </c>
      <c r="G148" s="218">
        <f>E148*F148</f>
        <v>5.8574999999999999</v>
      </c>
    </row>
    <row r="149" spans="1:7" x14ac:dyDescent="0.2">
      <c r="A149" s="235" t="s">
        <v>590</v>
      </c>
      <c r="B149" s="132"/>
      <c r="C149" s="236">
        <v>1</v>
      </c>
      <c r="D149" s="237">
        <v>2.13</v>
      </c>
      <c r="E149" s="216">
        <f>C149*D149</f>
        <v>2.13</v>
      </c>
      <c r="F149" s="217">
        <v>1.95</v>
      </c>
      <c r="G149" s="218">
        <f>E149*F149</f>
        <v>4.1534999999999993</v>
      </c>
    </row>
    <row r="150" spans="1:7" x14ac:dyDescent="0.2">
      <c r="A150" s="235"/>
      <c r="B150" s="132"/>
      <c r="C150" s="236"/>
      <c r="D150" s="237"/>
      <c r="E150" s="216"/>
      <c r="F150" s="217"/>
      <c r="G150" s="218"/>
    </row>
    <row r="151" spans="1:7" x14ac:dyDescent="0.2">
      <c r="A151" s="219" t="s">
        <v>1682</v>
      </c>
      <c r="B151" s="220"/>
      <c r="C151" s="221"/>
      <c r="D151" s="222" t="s">
        <v>1682</v>
      </c>
      <c r="E151" s="222" t="s">
        <v>1682</v>
      </c>
      <c r="F151" s="223"/>
      <c r="G151" s="224" t="s">
        <v>1682</v>
      </c>
    </row>
    <row r="152" spans="1:7" x14ac:dyDescent="0.2">
      <c r="A152" s="238" t="s">
        <v>1681</v>
      </c>
      <c r="B152" s="239"/>
      <c r="C152" s="240"/>
      <c r="D152" s="239"/>
      <c r="E152" s="239"/>
      <c r="F152" s="239"/>
      <c r="G152" s="241">
        <f>SUM(G147:G151)</f>
        <v>17.981400000000001</v>
      </c>
    </row>
    <row r="153" spans="1:7" x14ac:dyDescent="0.2">
      <c r="A153" s="227" t="s">
        <v>1684</v>
      </c>
      <c r="B153" s="132"/>
      <c r="C153" s="188"/>
      <c r="D153" s="132"/>
      <c r="E153" s="132"/>
      <c r="F153" s="132"/>
      <c r="G153" s="218"/>
    </row>
    <row r="154" spans="1:7" ht="25.5" x14ac:dyDescent="0.2">
      <c r="A154" s="229" t="s">
        <v>1409</v>
      </c>
      <c r="B154" s="242"/>
      <c r="C154" s="243"/>
      <c r="D154" s="232" t="s">
        <v>1408</v>
      </c>
      <c r="E154" s="231" t="s">
        <v>1679</v>
      </c>
      <c r="F154" s="232" t="s">
        <v>1683</v>
      </c>
      <c r="G154" s="234" t="s">
        <v>1675</v>
      </c>
    </row>
    <row r="155" spans="1:7" x14ac:dyDescent="0.2">
      <c r="A155" s="244" t="s">
        <v>1164</v>
      </c>
      <c r="B155" s="132"/>
      <c r="C155" s="188"/>
      <c r="D155" s="215" t="s">
        <v>1506</v>
      </c>
      <c r="E155" s="215">
        <v>1</v>
      </c>
      <c r="F155" s="216">
        <v>112</v>
      </c>
      <c r="G155" s="218">
        <f>E155*F155</f>
        <v>112</v>
      </c>
    </row>
    <row r="156" spans="1:7" x14ac:dyDescent="0.2">
      <c r="A156" s="244" t="s">
        <v>1165</v>
      </c>
      <c r="B156" s="132"/>
      <c r="C156" s="188"/>
      <c r="D156" s="215"/>
      <c r="E156" s="215"/>
      <c r="F156" s="216"/>
      <c r="G156" s="218"/>
    </row>
    <row r="157" spans="1:7" x14ac:dyDescent="0.2">
      <c r="A157" s="244" t="s">
        <v>1166</v>
      </c>
      <c r="B157" s="132"/>
      <c r="C157" s="188"/>
      <c r="D157" s="215"/>
      <c r="E157" s="215"/>
      <c r="F157" s="216"/>
      <c r="G157" s="218"/>
    </row>
    <row r="158" spans="1:7" x14ac:dyDescent="0.2">
      <c r="A158" s="244" t="s">
        <v>1167</v>
      </c>
      <c r="B158" s="132"/>
      <c r="C158" s="188"/>
      <c r="D158" s="215"/>
      <c r="E158" s="215"/>
      <c r="F158" s="216"/>
      <c r="G158" s="218"/>
    </row>
    <row r="159" spans="1:7" x14ac:dyDescent="0.2">
      <c r="A159" s="244" t="s">
        <v>1168</v>
      </c>
      <c r="B159" s="132"/>
      <c r="C159" s="188"/>
      <c r="D159" s="215"/>
      <c r="E159" s="215"/>
      <c r="F159" s="216"/>
      <c r="G159" s="218"/>
    </row>
    <row r="160" spans="1:7" x14ac:dyDescent="0.2">
      <c r="A160" s="214"/>
      <c r="B160" s="132"/>
      <c r="C160" s="245"/>
      <c r="D160" s="215"/>
      <c r="E160" s="215"/>
      <c r="F160" s="216"/>
      <c r="G160" s="218"/>
    </row>
    <row r="161" spans="1:7" x14ac:dyDescent="0.2">
      <c r="A161" s="214"/>
      <c r="B161" s="132"/>
      <c r="C161" s="245"/>
      <c r="D161" s="215"/>
      <c r="E161" s="215"/>
      <c r="F161" s="216"/>
      <c r="G161" s="218"/>
    </row>
    <row r="162" spans="1:7" x14ac:dyDescent="0.2">
      <c r="A162" s="238" t="s">
        <v>1692</v>
      </c>
      <c r="B162" s="239"/>
      <c r="C162" s="240"/>
      <c r="D162" s="240"/>
      <c r="E162" s="240"/>
      <c r="F162" s="239"/>
      <c r="G162" s="241">
        <f>SUM(G155:G161)</f>
        <v>112</v>
      </c>
    </row>
    <row r="163" spans="1:7" x14ac:dyDescent="0.2">
      <c r="A163" s="227" t="s">
        <v>1680</v>
      </c>
      <c r="B163" s="132"/>
      <c r="C163" s="188"/>
      <c r="D163" s="132"/>
      <c r="E163" s="188"/>
      <c r="F163" s="132"/>
      <c r="G163" s="218"/>
    </row>
    <row r="164" spans="1:7" ht="25.5" x14ac:dyDescent="0.2">
      <c r="A164" s="229" t="s">
        <v>1409</v>
      </c>
      <c r="B164" s="242"/>
      <c r="C164" s="243"/>
      <c r="D164" s="232" t="s">
        <v>1408</v>
      </c>
      <c r="E164" s="231" t="s">
        <v>1679</v>
      </c>
      <c r="F164" s="232" t="s">
        <v>1676</v>
      </c>
      <c r="G164" s="234" t="s">
        <v>1675</v>
      </c>
    </row>
    <row r="165" spans="1:7" x14ac:dyDescent="0.2">
      <c r="A165" s="208" t="s">
        <v>975</v>
      </c>
      <c r="B165" s="209"/>
      <c r="C165" s="246"/>
      <c r="D165" s="215" t="s">
        <v>976</v>
      </c>
      <c r="E165" s="215">
        <v>0.15</v>
      </c>
      <c r="F165" s="247">
        <v>5</v>
      </c>
      <c r="G165" s="218">
        <f>E165*F165</f>
        <v>0.75</v>
      </c>
    </row>
    <row r="166" spans="1:7" x14ac:dyDescent="0.2">
      <c r="A166" s="214"/>
      <c r="B166" s="132"/>
      <c r="C166" s="248"/>
      <c r="D166" s="215"/>
      <c r="E166" s="215"/>
      <c r="F166" s="247"/>
      <c r="G166" s="218"/>
    </row>
    <row r="167" spans="1:7" x14ac:dyDescent="0.2">
      <c r="A167" s="219" t="s">
        <v>1682</v>
      </c>
      <c r="B167" s="220"/>
      <c r="C167" s="249"/>
      <c r="D167" s="221" t="s">
        <v>1682</v>
      </c>
      <c r="E167" s="221"/>
      <c r="F167" s="222" t="s">
        <v>1682</v>
      </c>
      <c r="G167" s="224" t="s">
        <v>1682</v>
      </c>
    </row>
    <row r="168" spans="1:7" ht="13.5" thickBot="1" x14ac:dyDescent="0.25">
      <c r="A168" s="250" t="s">
        <v>977</v>
      </c>
      <c r="B168" s="251"/>
      <c r="C168" s="252"/>
      <c r="D168" s="252"/>
      <c r="E168" s="252"/>
      <c r="F168" s="251"/>
      <c r="G168" s="253">
        <f>SUM(G165:G167)</f>
        <v>0.75</v>
      </c>
    </row>
    <row r="169" spans="1:7" x14ac:dyDescent="0.2">
      <c r="A169" s="132"/>
      <c r="B169" s="132"/>
      <c r="C169" s="254"/>
      <c r="D169" s="198"/>
      <c r="E169" s="198"/>
      <c r="F169" s="255" t="s">
        <v>978</v>
      </c>
      <c r="G169" s="256">
        <f>G144+G152+G162+G168</f>
        <v>131.48140000000001</v>
      </c>
    </row>
    <row r="170" spans="1:7" x14ac:dyDescent="0.2">
      <c r="A170" s="132"/>
      <c r="B170" s="132"/>
      <c r="C170" s="257"/>
      <c r="D170" s="239"/>
      <c r="E170" s="239"/>
      <c r="F170" s="258" t="s">
        <v>979</v>
      </c>
      <c r="G170" s="241"/>
    </row>
    <row r="171" spans="1:7" x14ac:dyDescent="0.2">
      <c r="A171" s="132"/>
      <c r="B171" s="132"/>
      <c r="C171" s="257"/>
      <c r="D171" s="239"/>
      <c r="E171" s="239"/>
      <c r="F171" s="258" t="s">
        <v>980</v>
      </c>
      <c r="G171" s="241"/>
    </row>
    <row r="172" spans="1:7" x14ac:dyDescent="0.2">
      <c r="A172" s="132"/>
      <c r="B172" s="132"/>
      <c r="C172" s="257"/>
      <c r="D172" s="239"/>
      <c r="E172" s="239"/>
      <c r="F172" s="259" t="s">
        <v>1670</v>
      </c>
      <c r="G172" s="260"/>
    </row>
    <row r="173" spans="1:7" ht="13.5" thickBot="1" x14ac:dyDescent="0.25">
      <c r="A173" s="193"/>
      <c r="B173" s="132"/>
      <c r="C173" s="261"/>
      <c r="D173" s="251"/>
      <c r="E173" s="251"/>
      <c r="F173" s="262" t="s">
        <v>1650</v>
      </c>
      <c r="G173" s="263"/>
    </row>
    <row r="174" spans="1:7" ht="15.75" x14ac:dyDescent="0.2">
      <c r="A174" s="186" t="s">
        <v>1701</v>
      </c>
      <c r="B174" s="132"/>
      <c r="C174" s="187" t="s">
        <v>742</v>
      </c>
      <c r="D174" s="132"/>
      <c r="E174" s="132"/>
      <c r="F174" s="188"/>
      <c r="G174" s="132"/>
    </row>
    <row r="175" spans="1:7" ht="15.75" x14ac:dyDescent="0.2">
      <c r="A175" s="186" t="s">
        <v>1700</v>
      </c>
      <c r="B175" s="189" t="s">
        <v>963</v>
      </c>
      <c r="C175" s="188"/>
      <c r="D175" s="132"/>
      <c r="E175" s="132"/>
      <c r="F175" s="190"/>
      <c r="G175" s="191"/>
    </row>
    <row r="176" spans="1:7" ht="14.25" x14ac:dyDescent="0.2">
      <c r="A176" s="189"/>
      <c r="B176" s="189"/>
      <c r="C176" s="187"/>
      <c r="D176" s="189"/>
      <c r="E176" s="189"/>
      <c r="F176" s="189"/>
      <c r="G176" s="189"/>
    </row>
    <row r="177" spans="1:7" ht="15.75" x14ac:dyDescent="0.2">
      <c r="A177" s="186" t="s">
        <v>1697</v>
      </c>
      <c r="B177" s="189"/>
      <c r="C177" s="188"/>
      <c r="D177" s="132"/>
      <c r="E177" s="132"/>
      <c r="F177" s="132"/>
      <c r="G177" s="132"/>
    </row>
    <row r="178" spans="1:7" ht="15" x14ac:dyDescent="0.2">
      <c r="A178" s="192"/>
      <c r="B178" s="189"/>
      <c r="C178" s="187"/>
      <c r="D178" s="189"/>
      <c r="E178" s="189"/>
      <c r="F178" s="189"/>
      <c r="G178" s="189"/>
    </row>
    <row r="179" spans="1:7" ht="14.25" x14ac:dyDescent="0.2">
      <c r="A179" s="193" t="s">
        <v>594</v>
      </c>
      <c r="B179" s="194">
        <v>5</v>
      </c>
      <c r="C179" s="188"/>
      <c r="D179" s="188"/>
      <c r="E179" s="188"/>
      <c r="F179" s="195" t="s">
        <v>1696</v>
      </c>
      <c r="G179" s="189" t="s">
        <v>1506</v>
      </c>
    </row>
    <row r="180" spans="1:7" ht="14.25" x14ac:dyDescent="0.2">
      <c r="A180" s="196" t="s">
        <v>964</v>
      </c>
      <c r="B180" s="194" t="s">
        <v>1169</v>
      </c>
      <c r="C180" s="188"/>
      <c r="D180" s="132"/>
      <c r="E180" s="132"/>
      <c r="F180" s="132"/>
      <c r="G180" s="132"/>
    </row>
    <row r="181" spans="1:7" ht="15" thickBot="1" x14ac:dyDescent="0.25">
      <c r="A181" s="187"/>
      <c r="B181" s="187"/>
      <c r="C181" s="187"/>
      <c r="D181" s="189"/>
      <c r="E181" s="189"/>
      <c r="F181" s="189"/>
      <c r="G181" s="189"/>
    </row>
    <row r="182" spans="1:7" x14ac:dyDescent="0.2">
      <c r="A182" s="197" t="s">
        <v>1695</v>
      </c>
      <c r="B182" s="198"/>
      <c r="C182" s="199"/>
      <c r="D182" s="198"/>
      <c r="E182" s="198"/>
      <c r="F182" s="198"/>
      <c r="G182" s="200"/>
    </row>
    <row r="183" spans="1:7" ht="25.5" x14ac:dyDescent="0.2">
      <c r="A183" s="202" t="s">
        <v>1409</v>
      </c>
      <c r="B183" s="203"/>
      <c r="C183" s="204" t="s">
        <v>966</v>
      </c>
      <c r="D183" s="205" t="s">
        <v>1694</v>
      </c>
      <c r="E183" s="205" t="s">
        <v>1693</v>
      </c>
      <c r="F183" s="206" t="s">
        <v>1687</v>
      </c>
      <c r="G183" s="207" t="s">
        <v>967</v>
      </c>
    </row>
    <row r="184" spans="1:7" x14ac:dyDescent="0.2">
      <c r="A184" s="208" t="s">
        <v>1468</v>
      </c>
      <c r="B184" s="209"/>
      <c r="C184" s="210">
        <v>1</v>
      </c>
      <c r="D184" s="211">
        <v>2.5</v>
      </c>
      <c r="E184" s="211">
        <f>C184*D184</f>
        <v>2.5</v>
      </c>
      <c r="F184" s="212">
        <v>0.6</v>
      </c>
      <c r="G184" s="213">
        <f>E184*F184</f>
        <v>1.5</v>
      </c>
    </row>
    <row r="185" spans="1:7" x14ac:dyDescent="0.2">
      <c r="A185" s="214"/>
      <c r="B185" s="132"/>
      <c r="C185" s="215"/>
      <c r="D185" s="216"/>
      <c r="E185" s="216"/>
      <c r="F185" s="217"/>
      <c r="G185" s="218"/>
    </row>
    <row r="186" spans="1:7" x14ac:dyDescent="0.2">
      <c r="A186" s="219" t="s">
        <v>1682</v>
      </c>
      <c r="B186" s="220"/>
      <c r="C186" s="221"/>
      <c r="D186" s="222" t="s">
        <v>1682</v>
      </c>
      <c r="E186" s="222" t="s">
        <v>1682</v>
      </c>
      <c r="F186" s="223"/>
      <c r="G186" s="224" t="s">
        <v>1682</v>
      </c>
    </row>
    <row r="187" spans="1:7" x14ac:dyDescent="0.2">
      <c r="A187" s="219" t="s">
        <v>968</v>
      </c>
      <c r="B187" s="220"/>
      <c r="C187" s="225"/>
      <c r="D187" s="220"/>
      <c r="E187" s="220"/>
      <c r="F187" s="226"/>
      <c r="G187" s="224">
        <f>SUM(G184:G186)</f>
        <v>1.5</v>
      </c>
    </row>
    <row r="188" spans="1:7" x14ac:dyDescent="0.2">
      <c r="A188" s="227" t="s">
        <v>1503</v>
      </c>
      <c r="B188" s="132"/>
      <c r="C188" s="188"/>
      <c r="D188" s="132"/>
      <c r="E188" s="132"/>
      <c r="F188" s="228"/>
      <c r="G188" s="218"/>
    </row>
    <row r="189" spans="1:7" ht="25.5" x14ac:dyDescent="0.2">
      <c r="A189" s="229" t="s">
        <v>1691</v>
      </c>
      <c r="B189" s="230"/>
      <c r="C189" s="231" t="s">
        <v>969</v>
      </c>
      <c r="D189" s="232" t="s">
        <v>1689</v>
      </c>
      <c r="E189" s="232" t="s">
        <v>1688</v>
      </c>
      <c r="F189" s="233" t="s">
        <v>1687</v>
      </c>
      <c r="G189" s="234" t="s">
        <v>1686</v>
      </c>
    </row>
    <row r="190" spans="1:7" x14ac:dyDescent="0.2">
      <c r="A190" s="235" t="s">
        <v>970</v>
      </c>
      <c r="B190" s="132"/>
      <c r="C190" s="236">
        <v>1</v>
      </c>
      <c r="D190" s="237">
        <v>2.16</v>
      </c>
      <c r="E190" s="216">
        <v>2.16</v>
      </c>
      <c r="F190" s="217">
        <v>41</v>
      </c>
      <c r="G190" s="218">
        <f>E190*F190</f>
        <v>88.56</v>
      </c>
    </row>
    <row r="191" spans="1:7" x14ac:dyDescent="0.2">
      <c r="A191" s="235" t="s">
        <v>971</v>
      </c>
      <c r="B191" s="132"/>
      <c r="C191" s="236">
        <v>1</v>
      </c>
      <c r="D191" s="237">
        <v>2.13</v>
      </c>
      <c r="E191" s="216">
        <f>C191*D191</f>
        <v>2.13</v>
      </c>
      <c r="F191" s="217">
        <v>30.6</v>
      </c>
      <c r="G191" s="218">
        <f>E191*F191</f>
        <v>65.177999999999997</v>
      </c>
    </row>
    <row r="192" spans="1:7" x14ac:dyDescent="0.2">
      <c r="A192" s="235" t="s">
        <v>590</v>
      </c>
      <c r="B192" s="132"/>
      <c r="C192" s="236">
        <v>1</v>
      </c>
      <c r="D192" s="237">
        <v>2.13</v>
      </c>
      <c r="E192" s="216">
        <f>C192*D192</f>
        <v>2.13</v>
      </c>
      <c r="F192" s="217">
        <v>21.7</v>
      </c>
      <c r="G192" s="218">
        <f>E192*F192</f>
        <v>46.220999999999997</v>
      </c>
    </row>
    <row r="193" spans="1:7" x14ac:dyDescent="0.2">
      <c r="A193" s="235"/>
      <c r="B193" s="132"/>
      <c r="C193" s="236"/>
      <c r="D193" s="237"/>
      <c r="E193" s="216"/>
      <c r="F193" s="217"/>
      <c r="G193" s="218"/>
    </row>
    <row r="194" spans="1:7" x14ac:dyDescent="0.2">
      <c r="A194" s="219" t="s">
        <v>1682</v>
      </c>
      <c r="B194" s="220"/>
      <c r="C194" s="221"/>
      <c r="D194" s="222" t="s">
        <v>1682</v>
      </c>
      <c r="E194" s="222" t="s">
        <v>1682</v>
      </c>
      <c r="F194" s="223"/>
      <c r="G194" s="224" t="s">
        <v>1682</v>
      </c>
    </row>
    <row r="195" spans="1:7" x14ac:dyDescent="0.2">
      <c r="A195" s="238" t="s">
        <v>1681</v>
      </c>
      <c r="B195" s="239"/>
      <c r="C195" s="240"/>
      <c r="D195" s="239"/>
      <c r="E195" s="239"/>
      <c r="F195" s="239"/>
      <c r="G195" s="241">
        <f>SUM(G190:G194)</f>
        <v>199.959</v>
      </c>
    </row>
    <row r="196" spans="1:7" x14ac:dyDescent="0.2">
      <c r="A196" s="227" t="s">
        <v>1684</v>
      </c>
      <c r="B196" s="132"/>
      <c r="C196" s="188"/>
      <c r="D196" s="132"/>
      <c r="E196" s="132"/>
      <c r="F196" s="132"/>
      <c r="G196" s="218"/>
    </row>
    <row r="197" spans="1:7" ht="25.5" x14ac:dyDescent="0.2">
      <c r="A197" s="229" t="s">
        <v>1409</v>
      </c>
      <c r="B197" s="242"/>
      <c r="C197" s="243"/>
      <c r="D197" s="232" t="s">
        <v>1408</v>
      </c>
      <c r="E197" s="231" t="s">
        <v>1679</v>
      </c>
      <c r="F197" s="232" t="s">
        <v>1683</v>
      </c>
      <c r="G197" s="234" t="s">
        <v>1675</v>
      </c>
    </row>
    <row r="198" spans="1:7" x14ac:dyDescent="0.2">
      <c r="A198" s="244" t="s">
        <v>1170</v>
      </c>
      <c r="B198" s="132"/>
      <c r="C198" s="188"/>
      <c r="D198" s="215" t="s">
        <v>1506</v>
      </c>
      <c r="E198" s="215">
        <v>1</v>
      </c>
      <c r="F198" s="216">
        <v>550</v>
      </c>
      <c r="G198" s="218">
        <f>E198*F198</f>
        <v>550</v>
      </c>
    </row>
    <row r="199" spans="1:7" x14ac:dyDescent="0.2">
      <c r="A199" s="244" t="s">
        <v>1171</v>
      </c>
      <c r="B199" s="132"/>
      <c r="C199" s="188"/>
      <c r="D199" s="215"/>
      <c r="E199" s="215"/>
      <c r="F199" s="216"/>
      <c r="G199" s="218"/>
    </row>
    <row r="200" spans="1:7" x14ac:dyDescent="0.2">
      <c r="A200" s="244" t="s">
        <v>1172</v>
      </c>
      <c r="B200" s="132"/>
      <c r="C200" s="188"/>
      <c r="D200" s="215"/>
      <c r="E200" s="215"/>
      <c r="F200" s="216"/>
      <c r="G200" s="218"/>
    </row>
    <row r="201" spans="1:7" x14ac:dyDescent="0.2">
      <c r="A201" s="244" t="s">
        <v>1173</v>
      </c>
      <c r="B201" s="132"/>
      <c r="C201" s="188"/>
      <c r="D201" s="215"/>
      <c r="E201" s="215"/>
      <c r="F201" s="216"/>
      <c r="G201" s="218"/>
    </row>
    <row r="202" spans="1:7" x14ac:dyDescent="0.2">
      <c r="A202" s="244" t="s">
        <v>1174</v>
      </c>
      <c r="B202" s="132"/>
      <c r="C202" s="188"/>
      <c r="D202" s="215"/>
      <c r="E202" s="215"/>
      <c r="F202" s="216"/>
      <c r="G202" s="218"/>
    </row>
    <row r="203" spans="1:7" x14ac:dyDescent="0.2">
      <c r="A203" s="244" t="s">
        <v>1175</v>
      </c>
      <c r="B203" s="132"/>
      <c r="C203" s="188"/>
      <c r="D203" s="215"/>
      <c r="E203" s="215"/>
      <c r="F203" s="216"/>
      <c r="G203" s="218"/>
    </row>
    <row r="204" spans="1:7" x14ac:dyDescent="0.2">
      <c r="A204" s="244" t="s">
        <v>1176</v>
      </c>
      <c r="B204" s="132"/>
      <c r="C204" s="188"/>
      <c r="D204" s="215"/>
      <c r="E204" s="215"/>
      <c r="F204" s="216"/>
      <c r="G204" s="218"/>
    </row>
    <row r="205" spans="1:7" x14ac:dyDescent="0.2">
      <c r="A205" s="214"/>
      <c r="B205" s="132"/>
      <c r="C205" s="245"/>
      <c r="D205" s="215"/>
      <c r="E205" s="215"/>
      <c r="F205" s="216"/>
      <c r="G205" s="218"/>
    </row>
    <row r="206" spans="1:7" x14ac:dyDescent="0.2">
      <c r="A206" s="214"/>
      <c r="B206" s="132"/>
      <c r="C206" s="245"/>
      <c r="D206" s="215"/>
      <c r="E206" s="215"/>
      <c r="F206" s="216"/>
      <c r="G206" s="218"/>
    </row>
    <row r="207" spans="1:7" x14ac:dyDescent="0.2">
      <c r="A207" s="238" t="s">
        <v>1692</v>
      </c>
      <c r="B207" s="239"/>
      <c r="C207" s="240"/>
      <c r="D207" s="240"/>
      <c r="E207" s="240"/>
      <c r="F207" s="239"/>
      <c r="G207" s="241">
        <f>SUM(G198:G206)</f>
        <v>550</v>
      </c>
    </row>
    <row r="208" spans="1:7" x14ac:dyDescent="0.2">
      <c r="A208" s="227" t="s">
        <v>1680</v>
      </c>
      <c r="B208" s="132"/>
      <c r="C208" s="188"/>
      <c r="D208" s="132"/>
      <c r="E208" s="188"/>
      <c r="F208" s="132"/>
      <c r="G208" s="218"/>
    </row>
    <row r="209" spans="1:7" ht="25.5" x14ac:dyDescent="0.2">
      <c r="A209" s="229" t="s">
        <v>1409</v>
      </c>
      <c r="B209" s="242"/>
      <c r="C209" s="243"/>
      <c r="D209" s="232" t="s">
        <v>1408</v>
      </c>
      <c r="E209" s="231" t="s">
        <v>1679</v>
      </c>
      <c r="F209" s="232" t="s">
        <v>1676</v>
      </c>
      <c r="G209" s="234" t="s">
        <v>1675</v>
      </c>
    </row>
    <row r="210" spans="1:7" x14ac:dyDescent="0.2">
      <c r="A210" s="208" t="s">
        <v>975</v>
      </c>
      <c r="B210" s="209"/>
      <c r="C210" s="246"/>
      <c r="D210" s="215" t="s">
        <v>976</v>
      </c>
      <c r="E210" s="215">
        <v>0.4</v>
      </c>
      <c r="F210" s="247">
        <v>5</v>
      </c>
      <c r="G210" s="218">
        <f>E210*F210</f>
        <v>2</v>
      </c>
    </row>
    <row r="211" spans="1:7" x14ac:dyDescent="0.2">
      <c r="A211" s="214"/>
      <c r="B211" s="132"/>
      <c r="C211" s="248"/>
      <c r="D211" s="215"/>
      <c r="E211" s="215"/>
      <c r="F211" s="247"/>
      <c r="G211" s="218"/>
    </row>
    <row r="212" spans="1:7" x14ac:dyDescent="0.2">
      <c r="A212" s="219" t="s">
        <v>1682</v>
      </c>
      <c r="B212" s="220"/>
      <c r="C212" s="249"/>
      <c r="D212" s="221" t="s">
        <v>1682</v>
      </c>
      <c r="E212" s="221"/>
      <c r="F212" s="222" t="s">
        <v>1682</v>
      </c>
      <c r="G212" s="224" t="s">
        <v>1682</v>
      </c>
    </row>
    <row r="213" spans="1:7" ht="13.5" thickBot="1" x14ac:dyDescent="0.25">
      <c r="A213" s="250" t="s">
        <v>977</v>
      </c>
      <c r="B213" s="251"/>
      <c r="C213" s="252"/>
      <c r="D213" s="252"/>
      <c r="E213" s="252"/>
      <c r="F213" s="251"/>
      <c r="G213" s="253">
        <f>SUM(G210:G212)</f>
        <v>2</v>
      </c>
    </row>
    <row r="214" spans="1:7" x14ac:dyDescent="0.2">
      <c r="A214" s="132"/>
      <c r="B214" s="132"/>
      <c r="C214" s="254"/>
      <c r="D214" s="198"/>
      <c r="E214" s="198"/>
      <c r="F214" s="255" t="s">
        <v>978</v>
      </c>
      <c r="G214" s="256">
        <f>G187+G195+G207+G213</f>
        <v>753.45900000000006</v>
      </c>
    </row>
    <row r="215" spans="1:7" x14ac:dyDescent="0.2">
      <c r="A215" s="132"/>
      <c r="B215" s="132"/>
      <c r="C215" s="257"/>
      <c r="D215" s="239"/>
      <c r="E215" s="239"/>
      <c r="F215" s="258" t="s">
        <v>979</v>
      </c>
      <c r="G215" s="241"/>
    </row>
    <row r="216" spans="1:7" x14ac:dyDescent="0.2">
      <c r="A216" s="132"/>
      <c r="B216" s="132"/>
      <c r="C216" s="257"/>
      <c r="D216" s="239"/>
      <c r="E216" s="239"/>
      <c r="F216" s="258" t="s">
        <v>980</v>
      </c>
      <c r="G216" s="241"/>
    </row>
    <row r="217" spans="1:7" x14ac:dyDescent="0.2">
      <c r="A217" s="132"/>
      <c r="B217" s="132"/>
      <c r="C217" s="257"/>
      <c r="D217" s="239"/>
      <c r="E217" s="239"/>
      <c r="F217" s="259" t="s">
        <v>1670</v>
      </c>
      <c r="G217" s="260"/>
    </row>
    <row r="218" spans="1:7" ht="13.5" thickBot="1" x14ac:dyDescent="0.25">
      <c r="A218" s="193"/>
      <c r="B218" s="132"/>
      <c r="C218" s="261"/>
      <c r="D218" s="251"/>
      <c r="E218" s="251"/>
      <c r="F218" s="262" t="s">
        <v>1650</v>
      </c>
      <c r="G218" s="263"/>
    </row>
    <row r="219" spans="1:7" ht="15.75" x14ac:dyDescent="0.2">
      <c r="A219" s="186" t="s">
        <v>1701</v>
      </c>
      <c r="B219" s="132"/>
      <c r="C219" s="187" t="s">
        <v>742</v>
      </c>
      <c r="D219" s="132"/>
      <c r="E219" s="132"/>
      <c r="F219" s="188"/>
      <c r="G219" s="132"/>
    </row>
    <row r="220" spans="1:7" ht="15.75" x14ac:dyDescent="0.2">
      <c r="A220" s="186" t="s">
        <v>1700</v>
      </c>
      <c r="B220" s="189" t="s">
        <v>963</v>
      </c>
      <c r="C220" s="188"/>
      <c r="D220" s="132"/>
      <c r="E220" s="132"/>
      <c r="F220" s="190"/>
      <c r="G220" s="191"/>
    </row>
    <row r="221" spans="1:7" ht="14.25" x14ac:dyDescent="0.2">
      <c r="A221" s="189"/>
      <c r="B221" s="189"/>
      <c r="C221" s="187"/>
      <c r="D221" s="189"/>
      <c r="E221" s="189"/>
      <c r="F221" s="189"/>
      <c r="G221" s="189"/>
    </row>
    <row r="222" spans="1:7" ht="15.75" x14ac:dyDescent="0.2">
      <c r="A222" s="186" t="s">
        <v>1697</v>
      </c>
      <c r="B222" s="189"/>
      <c r="C222" s="188"/>
      <c r="D222" s="132"/>
      <c r="E222" s="132"/>
      <c r="F222" s="132"/>
      <c r="G222" s="132"/>
    </row>
    <row r="223" spans="1:7" ht="15" x14ac:dyDescent="0.2">
      <c r="A223" s="192"/>
      <c r="B223" s="189"/>
      <c r="C223" s="187"/>
      <c r="D223" s="189"/>
      <c r="E223" s="189"/>
      <c r="F223" s="189"/>
      <c r="G223" s="189"/>
    </row>
    <row r="224" spans="1:7" ht="14.25" x14ac:dyDescent="0.2">
      <c r="A224" s="193" t="s">
        <v>594</v>
      </c>
      <c r="B224" s="194">
        <v>6</v>
      </c>
      <c r="C224" s="188"/>
      <c r="D224" s="188"/>
      <c r="E224" s="188"/>
      <c r="F224" s="195" t="s">
        <v>1696</v>
      </c>
      <c r="G224" s="189" t="s">
        <v>1506</v>
      </c>
    </row>
    <row r="225" spans="1:7" ht="14.25" x14ac:dyDescent="0.2">
      <c r="A225" s="196" t="s">
        <v>964</v>
      </c>
      <c r="B225" s="194" t="s">
        <v>1177</v>
      </c>
      <c r="C225" s="188"/>
      <c r="D225" s="132"/>
      <c r="E225" s="132"/>
      <c r="F225" s="132"/>
      <c r="G225" s="132"/>
    </row>
    <row r="226" spans="1:7" ht="15" thickBot="1" x14ac:dyDescent="0.25">
      <c r="A226" s="187"/>
      <c r="B226" s="187"/>
      <c r="C226" s="187"/>
      <c r="D226" s="189"/>
      <c r="E226" s="189"/>
      <c r="F226" s="189"/>
      <c r="G226" s="189"/>
    </row>
    <row r="227" spans="1:7" x14ac:dyDescent="0.2">
      <c r="A227" s="197" t="s">
        <v>1695</v>
      </c>
      <c r="B227" s="198"/>
      <c r="C227" s="199"/>
      <c r="D227" s="198"/>
      <c r="E227" s="198"/>
      <c r="F227" s="198"/>
      <c r="G227" s="200"/>
    </row>
    <row r="228" spans="1:7" ht="25.5" x14ac:dyDescent="0.2">
      <c r="A228" s="202" t="s">
        <v>1409</v>
      </c>
      <c r="B228" s="203"/>
      <c r="C228" s="204" t="s">
        <v>966</v>
      </c>
      <c r="D228" s="205" t="s">
        <v>1694</v>
      </c>
      <c r="E228" s="205" t="s">
        <v>1693</v>
      </c>
      <c r="F228" s="206" t="s">
        <v>1687</v>
      </c>
      <c r="G228" s="207" t="s">
        <v>967</v>
      </c>
    </row>
    <row r="229" spans="1:7" x14ac:dyDescent="0.2">
      <c r="A229" s="208" t="s">
        <v>1468</v>
      </c>
      <c r="B229" s="209"/>
      <c r="C229" s="210">
        <v>1</v>
      </c>
      <c r="D229" s="211">
        <v>2.5</v>
      </c>
      <c r="E229" s="211">
        <f>C229*D229</f>
        <v>2.5</v>
      </c>
      <c r="F229" s="212">
        <v>0.3</v>
      </c>
      <c r="G229" s="213">
        <f>E229*F229</f>
        <v>0.75</v>
      </c>
    </row>
    <row r="230" spans="1:7" x14ac:dyDescent="0.2">
      <c r="A230" s="214"/>
      <c r="B230" s="132"/>
      <c r="C230" s="215"/>
      <c r="D230" s="216"/>
      <c r="E230" s="216"/>
      <c r="F230" s="217"/>
      <c r="G230" s="218"/>
    </row>
    <row r="231" spans="1:7" x14ac:dyDescent="0.2">
      <c r="A231" s="219" t="s">
        <v>1682</v>
      </c>
      <c r="B231" s="220"/>
      <c r="C231" s="221"/>
      <c r="D231" s="222" t="s">
        <v>1682</v>
      </c>
      <c r="E231" s="222" t="s">
        <v>1682</v>
      </c>
      <c r="F231" s="223"/>
      <c r="G231" s="224" t="s">
        <v>1682</v>
      </c>
    </row>
    <row r="232" spans="1:7" x14ac:dyDescent="0.2">
      <c r="A232" s="219" t="s">
        <v>968</v>
      </c>
      <c r="B232" s="220"/>
      <c r="C232" s="225"/>
      <c r="D232" s="220"/>
      <c r="E232" s="220"/>
      <c r="F232" s="226"/>
      <c r="G232" s="224">
        <f>SUM(G229:G231)</f>
        <v>0.75</v>
      </c>
    </row>
    <row r="233" spans="1:7" x14ac:dyDescent="0.2">
      <c r="A233" s="227" t="s">
        <v>1503</v>
      </c>
      <c r="B233" s="132"/>
      <c r="C233" s="188"/>
      <c r="D233" s="132"/>
      <c r="E233" s="132"/>
      <c r="F233" s="228"/>
      <c r="G233" s="218"/>
    </row>
    <row r="234" spans="1:7" ht="25.5" x14ac:dyDescent="0.2">
      <c r="A234" s="229" t="s">
        <v>1691</v>
      </c>
      <c r="B234" s="230"/>
      <c r="C234" s="231" t="s">
        <v>969</v>
      </c>
      <c r="D234" s="232" t="s">
        <v>1689</v>
      </c>
      <c r="E234" s="232" t="s">
        <v>1688</v>
      </c>
      <c r="F234" s="233" t="s">
        <v>1687</v>
      </c>
      <c r="G234" s="234" t="s">
        <v>1686</v>
      </c>
    </row>
    <row r="235" spans="1:7" x14ac:dyDescent="0.2">
      <c r="A235" s="235" t="s">
        <v>970</v>
      </c>
      <c r="B235" s="132"/>
      <c r="C235" s="236">
        <v>1</v>
      </c>
      <c r="D235" s="237">
        <v>2.16</v>
      </c>
      <c r="E235" s="216">
        <v>2.16</v>
      </c>
      <c r="F235" s="217">
        <v>3.69</v>
      </c>
      <c r="G235" s="218">
        <f>E235*F235</f>
        <v>7.9704000000000006</v>
      </c>
    </row>
    <row r="236" spans="1:7" x14ac:dyDescent="0.2">
      <c r="A236" s="235" t="s">
        <v>971</v>
      </c>
      <c r="B236" s="132"/>
      <c r="C236" s="236">
        <v>1</v>
      </c>
      <c r="D236" s="237">
        <v>2.13</v>
      </c>
      <c r="E236" s="216">
        <f>C236*D236</f>
        <v>2.13</v>
      </c>
      <c r="F236" s="217">
        <v>2.75</v>
      </c>
      <c r="G236" s="218">
        <f>E236*F236</f>
        <v>5.8574999999999999</v>
      </c>
    </row>
    <row r="237" spans="1:7" x14ac:dyDescent="0.2">
      <c r="A237" s="235" t="s">
        <v>590</v>
      </c>
      <c r="B237" s="132"/>
      <c r="C237" s="236">
        <v>1</v>
      </c>
      <c r="D237" s="237">
        <v>2.13</v>
      </c>
      <c r="E237" s="216">
        <f>C237*D237</f>
        <v>2.13</v>
      </c>
      <c r="F237" s="217">
        <v>1.95</v>
      </c>
      <c r="G237" s="218">
        <f>E237*F237</f>
        <v>4.1534999999999993</v>
      </c>
    </row>
    <row r="238" spans="1:7" x14ac:dyDescent="0.2">
      <c r="A238" s="235"/>
      <c r="B238" s="132"/>
      <c r="C238" s="236"/>
      <c r="D238" s="237"/>
      <c r="E238" s="216"/>
      <c r="F238" s="217"/>
      <c r="G238" s="218"/>
    </row>
    <row r="239" spans="1:7" x14ac:dyDescent="0.2">
      <c r="A239" s="219" t="s">
        <v>1682</v>
      </c>
      <c r="B239" s="220"/>
      <c r="C239" s="221"/>
      <c r="D239" s="222" t="s">
        <v>1682</v>
      </c>
      <c r="E239" s="222" t="s">
        <v>1682</v>
      </c>
      <c r="F239" s="223"/>
      <c r="G239" s="224" t="s">
        <v>1682</v>
      </c>
    </row>
    <row r="240" spans="1:7" x14ac:dyDescent="0.2">
      <c r="A240" s="238" t="s">
        <v>1681</v>
      </c>
      <c r="B240" s="239"/>
      <c r="C240" s="240"/>
      <c r="D240" s="239"/>
      <c r="E240" s="239"/>
      <c r="F240" s="239"/>
      <c r="G240" s="241">
        <f>SUM(G235:G239)</f>
        <v>17.981400000000001</v>
      </c>
    </row>
    <row r="241" spans="1:7" x14ac:dyDescent="0.2">
      <c r="A241" s="227" t="s">
        <v>1684</v>
      </c>
      <c r="B241" s="132"/>
      <c r="C241" s="188"/>
      <c r="D241" s="132"/>
      <c r="E241" s="132"/>
      <c r="F241" s="132"/>
      <c r="G241" s="218"/>
    </row>
    <row r="242" spans="1:7" ht="25.5" x14ac:dyDescent="0.2">
      <c r="A242" s="229" t="s">
        <v>1409</v>
      </c>
      <c r="B242" s="242"/>
      <c r="C242" s="243"/>
      <c r="D242" s="232" t="s">
        <v>1408</v>
      </c>
      <c r="E242" s="231" t="s">
        <v>1679</v>
      </c>
      <c r="F242" s="232" t="s">
        <v>1683</v>
      </c>
      <c r="G242" s="234" t="s">
        <v>1675</v>
      </c>
    </row>
    <row r="243" spans="1:7" x14ac:dyDescent="0.2">
      <c r="A243" s="244" t="s">
        <v>1178</v>
      </c>
      <c r="B243" s="132"/>
      <c r="C243" s="188"/>
      <c r="D243" s="215" t="s">
        <v>1506</v>
      </c>
      <c r="E243" s="215">
        <v>1</v>
      </c>
      <c r="F243" s="216">
        <v>180</v>
      </c>
      <c r="G243" s="218">
        <f>E243*F243</f>
        <v>180</v>
      </c>
    </row>
    <row r="244" spans="1:7" x14ac:dyDescent="0.2">
      <c r="A244" s="244" t="s">
        <v>1179</v>
      </c>
      <c r="B244" s="132"/>
      <c r="C244" s="188"/>
      <c r="D244" s="215"/>
      <c r="E244" s="215"/>
      <c r="F244" s="216"/>
      <c r="G244" s="218"/>
    </row>
    <row r="245" spans="1:7" x14ac:dyDescent="0.2">
      <c r="A245" s="244" t="s">
        <v>1180</v>
      </c>
      <c r="B245" s="132"/>
      <c r="C245" s="188"/>
      <c r="D245" s="215"/>
      <c r="E245" s="215"/>
      <c r="F245" s="216"/>
      <c r="G245" s="218"/>
    </row>
    <row r="246" spans="1:7" x14ac:dyDescent="0.2">
      <c r="A246" s="214"/>
      <c r="B246" s="132"/>
      <c r="C246" s="245"/>
      <c r="D246" s="215"/>
      <c r="E246" s="215"/>
      <c r="F246" s="216"/>
      <c r="G246" s="218"/>
    </row>
    <row r="247" spans="1:7" x14ac:dyDescent="0.2">
      <c r="A247" s="214"/>
      <c r="B247" s="132"/>
      <c r="C247" s="245"/>
      <c r="D247" s="215"/>
      <c r="E247" s="215"/>
      <c r="F247" s="216"/>
      <c r="G247" s="218"/>
    </row>
    <row r="248" spans="1:7" x14ac:dyDescent="0.2">
      <c r="A248" s="238" t="s">
        <v>1692</v>
      </c>
      <c r="B248" s="239"/>
      <c r="C248" s="240"/>
      <c r="D248" s="240"/>
      <c r="E248" s="240"/>
      <c r="F248" s="239"/>
      <c r="G248" s="241">
        <f>SUM(G243:G247)</f>
        <v>180</v>
      </c>
    </row>
    <row r="249" spans="1:7" x14ac:dyDescent="0.2">
      <c r="A249" s="227" t="s">
        <v>1680</v>
      </c>
      <c r="B249" s="132"/>
      <c r="C249" s="188"/>
      <c r="D249" s="132"/>
      <c r="E249" s="188"/>
      <c r="F249" s="132"/>
      <c r="G249" s="218"/>
    </row>
    <row r="250" spans="1:7" ht="25.5" x14ac:dyDescent="0.2">
      <c r="A250" s="229" t="s">
        <v>1409</v>
      </c>
      <c r="B250" s="242"/>
      <c r="C250" s="243"/>
      <c r="D250" s="232" t="s">
        <v>1408</v>
      </c>
      <c r="E250" s="231" t="s">
        <v>1679</v>
      </c>
      <c r="F250" s="232" t="s">
        <v>1676</v>
      </c>
      <c r="G250" s="234" t="s">
        <v>1675</v>
      </c>
    </row>
    <row r="251" spans="1:7" x14ac:dyDescent="0.2">
      <c r="A251" s="208" t="s">
        <v>975</v>
      </c>
      <c r="B251" s="209"/>
      <c r="C251" s="246"/>
      <c r="D251" s="215" t="s">
        <v>976</v>
      </c>
      <c r="E251" s="215">
        <v>0.15</v>
      </c>
      <c r="F251" s="247">
        <v>5</v>
      </c>
      <c r="G251" s="218">
        <f>E251*F251</f>
        <v>0.75</v>
      </c>
    </row>
    <row r="252" spans="1:7" x14ac:dyDescent="0.2">
      <c r="A252" s="214"/>
      <c r="B252" s="132"/>
      <c r="C252" s="248"/>
      <c r="D252" s="215"/>
      <c r="E252" s="215"/>
      <c r="F252" s="247"/>
      <c r="G252" s="218"/>
    </row>
    <row r="253" spans="1:7" x14ac:dyDescent="0.2">
      <c r="A253" s="219" t="s">
        <v>1682</v>
      </c>
      <c r="B253" s="220"/>
      <c r="C253" s="249"/>
      <c r="D253" s="221" t="s">
        <v>1682</v>
      </c>
      <c r="E253" s="221"/>
      <c r="F253" s="222" t="s">
        <v>1682</v>
      </c>
      <c r="G253" s="224" t="s">
        <v>1682</v>
      </c>
    </row>
    <row r="254" spans="1:7" ht="13.5" thickBot="1" x14ac:dyDescent="0.25">
      <c r="A254" s="250" t="s">
        <v>977</v>
      </c>
      <c r="B254" s="251"/>
      <c r="C254" s="252"/>
      <c r="D254" s="252"/>
      <c r="E254" s="252"/>
      <c r="F254" s="251"/>
      <c r="G254" s="253">
        <f>SUM(G251:G253)</f>
        <v>0.75</v>
      </c>
    </row>
    <row r="255" spans="1:7" x14ac:dyDescent="0.2">
      <c r="A255" s="132"/>
      <c r="B255" s="132"/>
      <c r="C255" s="254"/>
      <c r="D255" s="198"/>
      <c r="E255" s="198"/>
      <c r="F255" s="255" t="s">
        <v>978</v>
      </c>
      <c r="G255" s="256">
        <f>G232+G240+G248+G254</f>
        <v>199.48140000000001</v>
      </c>
    </row>
    <row r="256" spans="1:7" x14ac:dyDescent="0.2">
      <c r="A256" s="132"/>
      <c r="B256" s="132"/>
      <c r="C256" s="257"/>
      <c r="D256" s="239"/>
      <c r="E256" s="239"/>
      <c r="F256" s="258" t="s">
        <v>979</v>
      </c>
      <c r="G256" s="241"/>
    </row>
    <row r="257" spans="1:7" x14ac:dyDescent="0.2">
      <c r="A257" s="132"/>
      <c r="B257" s="132"/>
      <c r="C257" s="257"/>
      <c r="D257" s="239"/>
      <c r="E257" s="239"/>
      <c r="F257" s="258" t="s">
        <v>980</v>
      </c>
      <c r="G257" s="241"/>
    </row>
    <row r="258" spans="1:7" x14ac:dyDescent="0.2">
      <c r="A258" s="132"/>
      <c r="B258" s="132"/>
      <c r="C258" s="257"/>
      <c r="D258" s="239"/>
      <c r="E258" s="239"/>
      <c r="F258" s="259" t="s">
        <v>1670</v>
      </c>
      <c r="G258" s="260"/>
    </row>
    <row r="259" spans="1:7" ht="13.5" thickBot="1" x14ac:dyDescent="0.25">
      <c r="A259" s="193"/>
      <c r="B259" s="132"/>
      <c r="C259" s="261"/>
      <c r="D259" s="251"/>
      <c r="E259" s="251"/>
      <c r="F259" s="262" t="s">
        <v>1650</v>
      </c>
      <c r="G259" s="263"/>
    </row>
    <row r="260" spans="1:7" ht="15.75" x14ac:dyDescent="0.2">
      <c r="A260" s="186" t="s">
        <v>1701</v>
      </c>
      <c r="B260" s="132"/>
      <c r="C260" s="187" t="s">
        <v>742</v>
      </c>
      <c r="D260" s="132"/>
      <c r="E260" s="132"/>
      <c r="F260" s="188"/>
      <c r="G260" s="132"/>
    </row>
    <row r="261" spans="1:7" ht="15.75" x14ac:dyDescent="0.2">
      <c r="A261" s="186" t="s">
        <v>1700</v>
      </c>
      <c r="B261" s="189" t="s">
        <v>963</v>
      </c>
      <c r="C261" s="188"/>
      <c r="D261" s="132"/>
      <c r="E261" s="132"/>
      <c r="F261" s="190"/>
      <c r="G261" s="191"/>
    </row>
    <row r="262" spans="1:7" ht="14.25" x14ac:dyDescent="0.2">
      <c r="A262" s="189"/>
      <c r="B262" s="189"/>
      <c r="C262" s="187"/>
      <c r="D262" s="189"/>
      <c r="E262" s="189"/>
      <c r="F262" s="189"/>
      <c r="G262" s="189"/>
    </row>
    <row r="263" spans="1:7" ht="15.75" x14ac:dyDescent="0.2">
      <c r="A263" s="186" t="s">
        <v>1697</v>
      </c>
      <c r="B263" s="189"/>
      <c r="C263" s="188"/>
      <c r="D263" s="132"/>
      <c r="E263" s="132"/>
      <c r="F263" s="132"/>
      <c r="G263" s="132"/>
    </row>
    <row r="264" spans="1:7" ht="15" x14ac:dyDescent="0.2">
      <c r="A264" s="192"/>
      <c r="B264" s="189"/>
      <c r="C264" s="187"/>
      <c r="D264" s="189"/>
      <c r="E264" s="189"/>
      <c r="F264" s="189"/>
      <c r="G264" s="189"/>
    </row>
    <row r="265" spans="1:7" ht="14.25" x14ac:dyDescent="0.2">
      <c r="A265" s="193" t="s">
        <v>594</v>
      </c>
      <c r="B265" s="194">
        <v>7</v>
      </c>
      <c r="C265" s="188"/>
      <c r="D265" s="188"/>
      <c r="E265" s="188"/>
      <c r="F265" s="195" t="s">
        <v>1696</v>
      </c>
      <c r="G265" s="189" t="s">
        <v>1506</v>
      </c>
    </row>
    <row r="266" spans="1:7" ht="14.25" x14ac:dyDescent="0.2">
      <c r="A266" s="196" t="s">
        <v>964</v>
      </c>
      <c r="B266" s="194" t="s">
        <v>1181</v>
      </c>
      <c r="C266" s="188"/>
      <c r="D266" s="132"/>
      <c r="E266" s="132"/>
      <c r="F266" s="132"/>
      <c r="G266" s="132"/>
    </row>
    <row r="267" spans="1:7" ht="15" thickBot="1" x14ac:dyDescent="0.25">
      <c r="A267" s="187"/>
      <c r="B267" s="187"/>
      <c r="C267" s="187"/>
      <c r="D267" s="189"/>
      <c r="E267" s="189"/>
      <c r="F267" s="189"/>
      <c r="G267" s="189"/>
    </row>
    <row r="268" spans="1:7" x14ac:dyDescent="0.2">
      <c r="A268" s="197" t="s">
        <v>1695</v>
      </c>
      <c r="B268" s="198"/>
      <c r="C268" s="199"/>
      <c r="D268" s="198"/>
      <c r="E268" s="198"/>
      <c r="F268" s="198"/>
      <c r="G268" s="200"/>
    </row>
    <row r="269" spans="1:7" ht="25.5" x14ac:dyDescent="0.2">
      <c r="A269" s="202" t="s">
        <v>1409</v>
      </c>
      <c r="B269" s="203"/>
      <c r="C269" s="204" t="s">
        <v>966</v>
      </c>
      <c r="D269" s="205" t="s">
        <v>1694</v>
      </c>
      <c r="E269" s="205" t="s">
        <v>1693</v>
      </c>
      <c r="F269" s="206" t="s">
        <v>1687</v>
      </c>
      <c r="G269" s="207" t="s">
        <v>967</v>
      </c>
    </row>
    <row r="270" spans="1:7" x14ac:dyDescent="0.2">
      <c r="A270" s="208" t="s">
        <v>1468</v>
      </c>
      <c r="B270" s="209"/>
      <c r="C270" s="210">
        <v>1</v>
      </c>
      <c r="D270" s="211">
        <v>2.5</v>
      </c>
      <c r="E270" s="211">
        <f>C270*D270</f>
        <v>2.5</v>
      </c>
      <c r="F270" s="212">
        <v>0.3</v>
      </c>
      <c r="G270" s="213">
        <f>E270*F270</f>
        <v>0.75</v>
      </c>
    </row>
    <row r="271" spans="1:7" x14ac:dyDescent="0.2">
      <c r="A271" s="214"/>
      <c r="B271" s="132"/>
      <c r="C271" s="215"/>
      <c r="D271" s="216"/>
      <c r="E271" s="216"/>
      <c r="F271" s="217"/>
      <c r="G271" s="218"/>
    </row>
    <row r="272" spans="1:7" x14ac:dyDescent="0.2">
      <c r="A272" s="219" t="s">
        <v>1682</v>
      </c>
      <c r="B272" s="220"/>
      <c r="C272" s="221"/>
      <c r="D272" s="222" t="s">
        <v>1682</v>
      </c>
      <c r="E272" s="222" t="s">
        <v>1682</v>
      </c>
      <c r="F272" s="223"/>
      <c r="G272" s="224" t="s">
        <v>1682</v>
      </c>
    </row>
    <row r="273" spans="1:7" x14ac:dyDescent="0.2">
      <c r="A273" s="219" t="s">
        <v>968</v>
      </c>
      <c r="B273" s="220"/>
      <c r="C273" s="225"/>
      <c r="D273" s="220"/>
      <c r="E273" s="220"/>
      <c r="F273" s="226"/>
      <c r="G273" s="224">
        <f>SUM(G270:G272)</f>
        <v>0.75</v>
      </c>
    </row>
    <row r="274" spans="1:7" x14ac:dyDescent="0.2">
      <c r="A274" s="227" t="s">
        <v>1503</v>
      </c>
      <c r="B274" s="132"/>
      <c r="C274" s="188"/>
      <c r="D274" s="132"/>
      <c r="E274" s="132"/>
      <c r="F274" s="228"/>
      <c r="G274" s="218"/>
    </row>
    <row r="275" spans="1:7" ht="25.5" x14ac:dyDescent="0.2">
      <c r="A275" s="229" t="s">
        <v>1691</v>
      </c>
      <c r="B275" s="230"/>
      <c r="C275" s="231" t="s">
        <v>969</v>
      </c>
      <c r="D275" s="232" t="s">
        <v>1689</v>
      </c>
      <c r="E275" s="232" t="s">
        <v>1688</v>
      </c>
      <c r="F275" s="233" t="s">
        <v>1687</v>
      </c>
      <c r="G275" s="234" t="s">
        <v>1686</v>
      </c>
    </row>
    <row r="276" spans="1:7" x14ac:dyDescent="0.2">
      <c r="A276" s="235" t="s">
        <v>970</v>
      </c>
      <c r="B276" s="132"/>
      <c r="C276" s="236">
        <v>1</v>
      </c>
      <c r="D276" s="237">
        <v>2.16</v>
      </c>
      <c r="E276" s="216">
        <v>2.16</v>
      </c>
      <c r="F276" s="217">
        <v>3.69</v>
      </c>
      <c r="G276" s="218">
        <f>E276*F276</f>
        <v>7.9704000000000006</v>
      </c>
    </row>
    <row r="277" spans="1:7" x14ac:dyDescent="0.2">
      <c r="A277" s="235" t="s">
        <v>971</v>
      </c>
      <c r="B277" s="132"/>
      <c r="C277" s="236">
        <v>1</v>
      </c>
      <c r="D277" s="237">
        <v>2.13</v>
      </c>
      <c r="E277" s="216">
        <f>C277*D277</f>
        <v>2.13</v>
      </c>
      <c r="F277" s="217">
        <v>2.75</v>
      </c>
      <c r="G277" s="218">
        <f>E277*F277</f>
        <v>5.8574999999999999</v>
      </c>
    </row>
    <row r="278" spans="1:7" x14ac:dyDescent="0.2">
      <c r="A278" s="235" t="s">
        <v>590</v>
      </c>
      <c r="B278" s="132"/>
      <c r="C278" s="236">
        <v>1</v>
      </c>
      <c r="D278" s="237">
        <v>2.13</v>
      </c>
      <c r="E278" s="216">
        <f>C278*D278</f>
        <v>2.13</v>
      </c>
      <c r="F278" s="217">
        <v>1.95</v>
      </c>
      <c r="G278" s="218">
        <f>E278*F278</f>
        <v>4.1534999999999993</v>
      </c>
    </row>
    <row r="279" spans="1:7" x14ac:dyDescent="0.2">
      <c r="A279" s="235"/>
      <c r="B279" s="132"/>
      <c r="C279" s="236"/>
      <c r="D279" s="237"/>
      <c r="E279" s="216"/>
      <c r="F279" s="217"/>
      <c r="G279" s="218"/>
    </row>
    <row r="280" spans="1:7" x14ac:dyDescent="0.2">
      <c r="A280" s="219" t="s">
        <v>1682</v>
      </c>
      <c r="B280" s="220"/>
      <c r="C280" s="221"/>
      <c r="D280" s="222" t="s">
        <v>1682</v>
      </c>
      <c r="E280" s="222" t="s">
        <v>1682</v>
      </c>
      <c r="F280" s="223"/>
      <c r="G280" s="224" t="s">
        <v>1682</v>
      </c>
    </row>
    <row r="281" spans="1:7" x14ac:dyDescent="0.2">
      <c r="A281" s="238" t="s">
        <v>1681</v>
      </c>
      <c r="B281" s="239"/>
      <c r="C281" s="240"/>
      <c r="D281" s="239"/>
      <c r="E281" s="239"/>
      <c r="F281" s="239"/>
      <c r="G281" s="241">
        <f>SUM(G276:G280)</f>
        <v>17.981400000000001</v>
      </c>
    </row>
    <row r="282" spans="1:7" x14ac:dyDescent="0.2">
      <c r="A282" s="227" t="s">
        <v>1684</v>
      </c>
      <c r="B282" s="132"/>
      <c r="C282" s="188"/>
      <c r="D282" s="132"/>
      <c r="E282" s="132"/>
      <c r="F282" s="132"/>
      <c r="G282" s="218"/>
    </row>
    <row r="283" spans="1:7" ht="25.5" x14ac:dyDescent="0.2">
      <c r="A283" s="229" t="s">
        <v>1409</v>
      </c>
      <c r="B283" s="242"/>
      <c r="C283" s="243"/>
      <c r="D283" s="232" t="s">
        <v>1408</v>
      </c>
      <c r="E283" s="231" t="s">
        <v>1679</v>
      </c>
      <c r="F283" s="232" t="s">
        <v>1683</v>
      </c>
      <c r="G283" s="234" t="s">
        <v>1675</v>
      </c>
    </row>
    <row r="284" spans="1:7" x14ac:dyDescent="0.2">
      <c r="A284" s="244" t="s">
        <v>1182</v>
      </c>
      <c r="B284" s="132"/>
      <c r="C284" s="188"/>
      <c r="D284" s="215" t="s">
        <v>1506</v>
      </c>
      <c r="E284" s="215">
        <v>1</v>
      </c>
      <c r="F284" s="216">
        <v>110</v>
      </c>
      <c r="G284" s="218">
        <f>E284*F284</f>
        <v>110</v>
      </c>
    </row>
    <row r="285" spans="1:7" x14ac:dyDescent="0.2">
      <c r="A285" s="244" t="s">
        <v>1183</v>
      </c>
      <c r="B285" s="132"/>
      <c r="C285" s="188"/>
      <c r="D285" s="215"/>
      <c r="E285" s="215"/>
      <c r="F285" s="216"/>
      <c r="G285" s="218"/>
    </row>
    <row r="286" spans="1:7" x14ac:dyDescent="0.2">
      <c r="A286" s="214"/>
      <c r="B286" s="132"/>
      <c r="C286" s="245"/>
      <c r="D286" s="215"/>
      <c r="E286" s="215"/>
      <c r="F286" s="216"/>
      <c r="G286" s="218"/>
    </row>
    <row r="287" spans="1:7" x14ac:dyDescent="0.2">
      <c r="A287" s="214"/>
      <c r="B287" s="132"/>
      <c r="C287" s="245"/>
      <c r="D287" s="215"/>
      <c r="E287" s="215"/>
      <c r="F287" s="216"/>
      <c r="G287" s="218"/>
    </row>
    <row r="288" spans="1:7" x14ac:dyDescent="0.2">
      <c r="A288" s="238" t="s">
        <v>1692</v>
      </c>
      <c r="B288" s="239"/>
      <c r="C288" s="240"/>
      <c r="D288" s="240"/>
      <c r="E288" s="240"/>
      <c r="F288" s="239"/>
      <c r="G288" s="241">
        <f>SUM(G284:G287)</f>
        <v>110</v>
      </c>
    </row>
    <row r="289" spans="1:7" x14ac:dyDescent="0.2">
      <c r="A289" s="227" t="s">
        <v>1680</v>
      </c>
      <c r="B289" s="132"/>
      <c r="C289" s="188"/>
      <c r="D289" s="132"/>
      <c r="E289" s="188"/>
      <c r="F289" s="132"/>
      <c r="G289" s="218"/>
    </row>
    <row r="290" spans="1:7" ht="25.5" x14ac:dyDescent="0.2">
      <c r="A290" s="229" t="s">
        <v>1409</v>
      </c>
      <c r="B290" s="242"/>
      <c r="C290" s="243"/>
      <c r="D290" s="232" t="s">
        <v>1408</v>
      </c>
      <c r="E290" s="231" t="s">
        <v>1679</v>
      </c>
      <c r="F290" s="232" t="s">
        <v>1676</v>
      </c>
      <c r="G290" s="234" t="s">
        <v>1675</v>
      </c>
    </row>
    <row r="291" spans="1:7" x14ac:dyDescent="0.2">
      <c r="A291" s="208" t="s">
        <v>975</v>
      </c>
      <c r="B291" s="209"/>
      <c r="C291" s="246"/>
      <c r="D291" s="215" t="s">
        <v>976</v>
      </c>
      <c r="E291" s="215">
        <v>0.15</v>
      </c>
      <c r="F291" s="247">
        <v>5</v>
      </c>
      <c r="G291" s="218">
        <f>E291*F291</f>
        <v>0.75</v>
      </c>
    </row>
    <row r="292" spans="1:7" x14ac:dyDescent="0.2">
      <c r="A292" s="214"/>
      <c r="B292" s="132"/>
      <c r="C292" s="248"/>
      <c r="D292" s="215"/>
      <c r="E292" s="215"/>
      <c r="F292" s="247"/>
      <c r="G292" s="218"/>
    </row>
    <row r="293" spans="1:7" x14ac:dyDescent="0.2">
      <c r="A293" s="219" t="s">
        <v>1682</v>
      </c>
      <c r="B293" s="220"/>
      <c r="C293" s="249"/>
      <c r="D293" s="221" t="s">
        <v>1682</v>
      </c>
      <c r="E293" s="221"/>
      <c r="F293" s="222" t="s">
        <v>1682</v>
      </c>
      <c r="G293" s="224" t="s">
        <v>1682</v>
      </c>
    </row>
    <row r="294" spans="1:7" ht="13.5" thickBot="1" x14ac:dyDescent="0.25">
      <c r="A294" s="250" t="s">
        <v>977</v>
      </c>
      <c r="B294" s="251"/>
      <c r="C294" s="252"/>
      <c r="D294" s="252"/>
      <c r="E294" s="252"/>
      <c r="F294" s="251"/>
      <c r="G294" s="253">
        <f>SUM(G291:G293)</f>
        <v>0.75</v>
      </c>
    </row>
    <row r="295" spans="1:7" x14ac:dyDescent="0.2">
      <c r="A295" s="132"/>
      <c r="B295" s="132"/>
      <c r="C295" s="254"/>
      <c r="D295" s="198"/>
      <c r="E295" s="198"/>
      <c r="F295" s="255" t="s">
        <v>978</v>
      </c>
      <c r="G295" s="256">
        <f>G273+G281+G288+G294</f>
        <v>129.48140000000001</v>
      </c>
    </row>
    <row r="296" spans="1:7" x14ac:dyDescent="0.2">
      <c r="A296" s="132"/>
      <c r="B296" s="132"/>
      <c r="C296" s="257"/>
      <c r="D296" s="239"/>
      <c r="E296" s="239"/>
      <c r="F296" s="258" t="s">
        <v>979</v>
      </c>
      <c r="G296" s="241"/>
    </row>
    <row r="297" spans="1:7" x14ac:dyDescent="0.2">
      <c r="A297" s="132"/>
      <c r="B297" s="132"/>
      <c r="C297" s="257"/>
      <c r="D297" s="239"/>
      <c r="E297" s="239"/>
      <c r="F297" s="258" t="s">
        <v>980</v>
      </c>
      <c r="G297" s="241"/>
    </row>
    <row r="298" spans="1:7" x14ac:dyDescent="0.2">
      <c r="A298" s="132"/>
      <c r="B298" s="132"/>
      <c r="C298" s="257"/>
      <c r="D298" s="239"/>
      <c r="E298" s="239"/>
      <c r="F298" s="259" t="s">
        <v>1670</v>
      </c>
      <c r="G298" s="260"/>
    </row>
    <row r="299" spans="1:7" ht="13.5" thickBot="1" x14ac:dyDescent="0.25">
      <c r="A299" s="193"/>
      <c r="B299" s="132"/>
      <c r="C299" s="261"/>
      <c r="D299" s="251"/>
      <c r="E299" s="251"/>
      <c r="F299" s="262" t="s">
        <v>1650</v>
      </c>
      <c r="G299" s="263"/>
    </row>
  </sheetData>
  <phoneticPr fontId="7" type="noConversion"/>
  <pageMargins left="0.75" right="0.75" top="1" bottom="1" header="0" footer="0"/>
  <pageSetup paperSize="9" scale="83" orientation="portrait" r:id="rId1"/>
  <headerFooter alignWithMargins="0"/>
  <rowBreaks count="6" manualBreakCount="6">
    <brk id="44" max="6" man="1"/>
    <brk id="88" max="6" man="1"/>
    <brk id="130" max="6" man="1"/>
    <brk id="173" max="6" man="1"/>
    <brk id="218" max="6" man="1"/>
    <brk id="259" max="6" man="1"/>
  </row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397FC-4353-420D-85E9-8494D60597B0}">
  <sheetPr codeName="Hoja33"/>
  <dimension ref="A1:P56"/>
  <sheetViews>
    <sheetView workbookViewId="0"/>
  </sheetViews>
  <sheetFormatPr baseColWidth="10" defaultColWidth="11.42578125" defaultRowHeight="15" x14ac:dyDescent="0.25"/>
  <cols>
    <col min="1" max="1" width="7" style="103" bestFit="1" customWidth="1"/>
    <col min="2" max="2" width="12.140625" style="1" customWidth="1"/>
    <col min="3" max="3" width="26.28515625" style="1" customWidth="1"/>
    <col min="4" max="4" width="10.7109375" style="1" customWidth="1"/>
    <col min="5" max="5" width="12.140625" style="1" customWidth="1"/>
    <col min="6" max="6" width="13.28515625" style="1" customWidth="1"/>
    <col min="7" max="7" width="13.85546875" style="1" customWidth="1"/>
    <col min="8" max="8" width="12.42578125" style="1" customWidth="1"/>
    <col min="9" max="9" width="3.140625" style="1" bestFit="1" customWidth="1"/>
    <col min="10" max="10" width="3.5703125" style="1" customWidth="1"/>
    <col min="11" max="11" width="8.42578125" style="1" customWidth="1"/>
    <col min="12" max="12" width="5.140625" style="1" bestFit="1" customWidth="1"/>
    <col min="13" max="13" width="33.85546875" style="1" bestFit="1" customWidth="1"/>
    <col min="14" max="14" width="6" style="1" bestFit="1" customWidth="1"/>
    <col min="15" max="28" width="8.42578125" style="1" customWidth="1"/>
    <col min="29" max="16384" width="11.42578125" style="1"/>
  </cols>
  <sheetData>
    <row r="1" spans="1:15" ht="15.75" x14ac:dyDescent="0.25">
      <c r="B1" s="34" t="s">
        <v>1701</v>
      </c>
      <c r="C1" s="2"/>
      <c r="D1" s="3" t="str">
        <f>'1.1'!$D$1</f>
        <v>ESPOL</v>
      </c>
      <c r="E1" s="2"/>
      <c r="F1" s="2"/>
      <c r="H1" s="2" t="s">
        <v>108</v>
      </c>
      <c r="I1" s="2"/>
      <c r="L1" s="40">
        <f>A5</f>
        <v>2</v>
      </c>
      <c r="M1" s="1" t="str">
        <f>C6</f>
        <v>ASCENSOR</v>
      </c>
      <c r="N1" s="2" t="str">
        <f>H5</f>
        <v>KG</v>
      </c>
      <c r="O1" s="2">
        <f>H56</f>
        <v>47471.59</v>
      </c>
    </row>
    <row r="2" spans="1:15" ht="15.75" x14ac:dyDescent="0.25">
      <c r="B2" s="34" t="s">
        <v>1700</v>
      </c>
      <c r="C2" s="3">
        <f>'1.1'!$C$2</f>
        <v>0</v>
      </c>
      <c r="D2" s="2"/>
      <c r="E2" s="2"/>
      <c r="F2" s="2"/>
      <c r="G2" s="41" t="s">
        <v>1699</v>
      </c>
      <c r="H2" s="42"/>
      <c r="I2" s="2" t="s">
        <v>1698</v>
      </c>
    </row>
    <row r="3" spans="1:15" ht="15.75" x14ac:dyDescent="0.25">
      <c r="B3" s="34"/>
      <c r="C3" s="3">
        <f>'1.1'!$C$3</f>
        <v>0</v>
      </c>
      <c r="D3" s="2"/>
      <c r="E3" s="2"/>
      <c r="F3" s="2"/>
      <c r="G3" s="2"/>
      <c r="H3" s="2"/>
      <c r="I3" s="2"/>
    </row>
    <row r="4" spans="1:15" ht="15.75" x14ac:dyDescent="0.25">
      <c r="B4" s="34" t="s">
        <v>1697</v>
      </c>
      <c r="C4" s="3"/>
      <c r="D4" s="2"/>
      <c r="E4" s="2"/>
      <c r="F4" s="2"/>
      <c r="G4" s="2"/>
      <c r="H4" s="2"/>
      <c r="I4" s="2"/>
    </row>
    <row r="5" spans="1:15" x14ac:dyDescent="0.25">
      <c r="A5" s="104">
        <v>2</v>
      </c>
      <c r="B5" s="2" t="s">
        <v>1586</v>
      </c>
      <c r="C5" s="36" t="s">
        <v>675</v>
      </c>
      <c r="D5" s="2"/>
      <c r="G5" s="2" t="s">
        <v>1696</v>
      </c>
      <c r="H5" s="3" t="s">
        <v>901</v>
      </c>
      <c r="I5" s="2"/>
    </row>
    <row r="6" spans="1:15" x14ac:dyDescent="0.25">
      <c r="B6" s="1" t="s">
        <v>1585</v>
      </c>
      <c r="C6" s="36" t="s">
        <v>676</v>
      </c>
      <c r="D6" s="2"/>
      <c r="E6" s="2"/>
      <c r="F6" s="2"/>
      <c r="G6" s="2"/>
      <c r="H6" s="2"/>
      <c r="I6" s="2"/>
    </row>
    <row r="7" spans="1:15" ht="15.75" thickBot="1" x14ac:dyDescent="0.3">
      <c r="D7" s="2"/>
      <c r="E7" s="2"/>
      <c r="F7" s="2"/>
      <c r="G7" s="2"/>
      <c r="H7" s="2"/>
      <c r="I7" s="2"/>
    </row>
    <row r="8" spans="1:15" ht="15.75" thickBot="1" x14ac:dyDescent="0.3">
      <c r="B8" s="43" t="s">
        <v>1695</v>
      </c>
      <c r="C8" s="44"/>
      <c r="D8" s="44"/>
      <c r="E8" s="44"/>
      <c r="F8" s="44"/>
      <c r="G8" s="44"/>
      <c r="H8" s="45"/>
      <c r="I8" s="2"/>
    </row>
    <row r="9" spans="1:15" ht="25.5" x14ac:dyDescent="0.25">
      <c r="B9" s="46" t="s">
        <v>1409</v>
      </c>
      <c r="C9" s="47"/>
      <c r="D9" s="48" t="s">
        <v>1690</v>
      </c>
      <c r="E9" s="48" t="s">
        <v>1694</v>
      </c>
      <c r="F9" s="48" t="s">
        <v>1693</v>
      </c>
      <c r="G9" s="49" t="s">
        <v>1687</v>
      </c>
      <c r="H9" s="50" t="s">
        <v>1686</v>
      </c>
      <c r="I9" s="2"/>
    </row>
    <row r="10" spans="1:15" x14ac:dyDescent="0.25">
      <c r="A10" s="103">
        <v>19015</v>
      </c>
      <c r="B10" s="51" t="str">
        <f>IF($A10=0,"",VLOOKUP($A10,'BASE EQUIPO'!$A:$D,2))</f>
        <v>HERRAMIENTA MENOR</v>
      </c>
      <c r="C10" s="52"/>
      <c r="D10" s="53">
        <v>1</v>
      </c>
      <c r="E10" s="53">
        <f>IF($A10=0,"",VLOOKUP($A10,'BASE EQUIPO'!$A:$D,4)*H26)</f>
        <v>53.856000000000002</v>
      </c>
      <c r="F10" s="53">
        <f t="shared" ref="F10:F15" si="0">IF($A10=0,"",ROUND(D10*E10,2))</f>
        <v>53.86</v>
      </c>
      <c r="G10" s="105">
        <v>1</v>
      </c>
      <c r="H10" s="54">
        <f t="shared" ref="H10:H15" si="1">IF($A10=0,"",ROUND(G10*F10,2))</f>
        <v>53.86</v>
      </c>
      <c r="I10" s="2"/>
    </row>
    <row r="11" spans="1:15" x14ac:dyDescent="0.25">
      <c r="B11" s="38" t="str">
        <f>IF($A11=0,"",VLOOKUP($A11,'BASE EQUIPO'!$A:$D,2))</f>
        <v/>
      </c>
      <c r="C11" s="2"/>
      <c r="D11" s="55"/>
      <c r="E11" s="55" t="str">
        <f>IF($A11=0,"",VLOOKUP($A11,'BASE EQUIPO'!$A:$D,4))</f>
        <v/>
      </c>
      <c r="F11" s="55" t="str">
        <f t="shared" si="0"/>
        <v/>
      </c>
      <c r="G11" s="106"/>
      <c r="H11" s="56" t="str">
        <f t="shared" si="1"/>
        <v/>
      </c>
      <c r="I11" s="2"/>
    </row>
    <row r="12" spans="1:15" x14ac:dyDescent="0.25">
      <c r="B12" s="38" t="str">
        <f>IF($A12=0,"",VLOOKUP($A12,'BASE EQUIPO'!$A:$D,2))</f>
        <v/>
      </c>
      <c r="C12" s="2"/>
      <c r="D12" s="55"/>
      <c r="E12" s="55" t="str">
        <f>IF($A12=0,"",VLOOKUP($A12,'BASE EQUIPO'!$A:$D,4))</f>
        <v/>
      </c>
      <c r="F12" s="55" t="str">
        <f t="shared" si="0"/>
        <v/>
      </c>
      <c r="G12" s="106"/>
      <c r="H12" s="56" t="str">
        <f t="shared" si="1"/>
        <v/>
      </c>
      <c r="I12" s="2"/>
    </row>
    <row r="13" spans="1:15" x14ac:dyDescent="0.25">
      <c r="B13" s="38" t="str">
        <f>IF($A13=0,"",VLOOKUP($A13,'BASE EQUIPO'!$A:$D,2))</f>
        <v/>
      </c>
      <c r="C13" s="2"/>
      <c r="D13" s="55"/>
      <c r="E13" s="55" t="str">
        <f>IF($A13=0,"",VLOOKUP($A13,'BASE EQUIPO'!$A:$D,4))</f>
        <v/>
      </c>
      <c r="F13" s="55" t="str">
        <f t="shared" si="0"/>
        <v/>
      </c>
      <c r="G13" s="106"/>
      <c r="H13" s="56" t="str">
        <f t="shared" si="1"/>
        <v/>
      </c>
      <c r="I13" s="2"/>
    </row>
    <row r="14" spans="1:15" x14ac:dyDescent="0.25">
      <c r="B14" s="38" t="str">
        <f>IF($A14=0,"",VLOOKUP($A14,'BASE EQUIPO'!$A:$D,2))</f>
        <v/>
      </c>
      <c r="C14" s="2"/>
      <c r="D14" s="55"/>
      <c r="E14" s="55" t="str">
        <f>IF($A14=0,"",VLOOKUP($A14,'BASE EQUIPO'!$A:$D,4))</f>
        <v/>
      </c>
      <c r="F14" s="55" t="str">
        <f t="shared" si="0"/>
        <v/>
      </c>
      <c r="G14" s="106"/>
      <c r="H14" s="56" t="str">
        <f t="shared" si="1"/>
        <v/>
      </c>
      <c r="I14" s="2"/>
    </row>
    <row r="15" spans="1:15" x14ac:dyDescent="0.25">
      <c r="B15" s="57" t="str">
        <f>IF($A15=0,"",VLOOKUP($A15,'BASE EQUIPO'!$A:$D,2))</f>
        <v/>
      </c>
      <c r="C15" s="58"/>
      <c r="D15" s="59"/>
      <c r="E15" s="59" t="str">
        <f>IF($A15=0,"",VLOOKUP($A15,'BASE EQUIPO'!$A:$D,4))</f>
        <v/>
      </c>
      <c r="F15" s="59" t="str">
        <f t="shared" si="0"/>
        <v/>
      </c>
      <c r="G15" s="107"/>
      <c r="H15" s="60" t="str">
        <f t="shared" si="1"/>
        <v/>
      </c>
      <c r="I15" s="2"/>
    </row>
    <row r="16" spans="1:15" x14ac:dyDescent="0.25">
      <c r="B16" s="57" t="s">
        <v>1692</v>
      </c>
      <c r="C16" s="58"/>
      <c r="D16" s="61"/>
      <c r="E16" s="61"/>
      <c r="F16" s="61"/>
      <c r="G16" s="62"/>
      <c r="H16" s="60">
        <f>ROUND(SUM(H9:H15),2)</f>
        <v>53.86</v>
      </c>
      <c r="I16" s="2"/>
    </row>
    <row r="17" spans="1:16" x14ac:dyDescent="0.25">
      <c r="B17" s="38" t="s">
        <v>1503</v>
      </c>
      <c r="C17" s="2"/>
      <c r="D17" s="3"/>
      <c r="E17" s="3"/>
      <c r="F17" s="3"/>
      <c r="G17" s="63"/>
      <c r="H17" s="56"/>
      <c r="I17" s="2"/>
    </row>
    <row r="18" spans="1:16" ht="25.5" x14ac:dyDescent="0.25">
      <c r="B18" s="64" t="s">
        <v>1691</v>
      </c>
      <c r="C18" s="65"/>
      <c r="D18" s="66" t="s">
        <v>1690</v>
      </c>
      <c r="E18" s="66" t="s">
        <v>1689</v>
      </c>
      <c r="F18" s="66" t="s">
        <v>1688</v>
      </c>
      <c r="G18" s="67" t="s">
        <v>1687</v>
      </c>
      <c r="H18" s="68" t="s">
        <v>1686</v>
      </c>
      <c r="I18" s="2"/>
    </row>
    <row r="19" spans="1:16" x14ac:dyDescent="0.25">
      <c r="B19" s="69" t="str">
        <f>IF($A19=0,"",VLOOKUP($A19,'BASE M-OBRA'!$A:$D,2))</f>
        <v/>
      </c>
      <c r="C19" s="2"/>
      <c r="D19" s="108"/>
      <c r="E19" s="70" t="str">
        <f>IF($A19=0,"",VLOOKUP($A19,'BASE M-OBRA'!$A:$D,4))</f>
        <v/>
      </c>
      <c r="F19" s="55" t="str">
        <f t="shared" ref="F19:F25" si="2">IF($A19=0,"",ROUND(D19*E19,2))</f>
        <v/>
      </c>
      <c r="G19" s="106" t="str">
        <f>IF($A19=0,"",ROUND(H19/F19,2))</f>
        <v/>
      </c>
      <c r="H19" s="56" t="str">
        <f>IF($A19=0,"",ROUND(SUM(H20:H25)*'BASE M-OBRA'!$D$23,2))</f>
        <v/>
      </c>
      <c r="I19" s="2"/>
    </row>
    <row r="20" spans="1:16" x14ac:dyDescent="0.25">
      <c r="A20" s="103">
        <v>20019</v>
      </c>
      <c r="B20" s="69" t="str">
        <f>IF($A20=0,"",VLOOKUP($A20,'BASE M-OBRA'!$A:$D,2))</f>
        <v>INSTALADOR</v>
      </c>
      <c r="C20" s="2"/>
      <c r="D20" s="108">
        <v>2</v>
      </c>
      <c r="E20" s="70">
        <f>IF($A20=0,"",VLOOKUP($A20,'BASE M-OBRA'!$A:$D,4))</f>
        <v>2.82</v>
      </c>
      <c r="F20" s="55">
        <f t="shared" si="2"/>
        <v>5.64</v>
      </c>
      <c r="G20" s="106">
        <v>160</v>
      </c>
      <c r="H20" s="56">
        <f t="shared" ref="H20:H25" si="3">IF($A20=0,"",ROUND(G20*F20,2))</f>
        <v>902.4</v>
      </c>
      <c r="I20" s="2"/>
    </row>
    <row r="21" spans="1:16" x14ac:dyDescent="0.25">
      <c r="A21" s="103">
        <v>20011</v>
      </c>
      <c r="B21" s="69" t="str">
        <f>IF($A21=0,"",VLOOKUP($A21,'BASE M-OBRA'!$A:$D,2))</f>
        <v>AYUDANTE ESPECIALISTA</v>
      </c>
      <c r="C21" s="2"/>
      <c r="D21" s="108">
        <v>2</v>
      </c>
      <c r="E21" s="70">
        <f>IF($A21=0,"",VLOOKUP($A21,'BASE M-OBRA'!$A:$D,4))</f>
        <v>2.79</v>
      </c>
      <c r="F21" s="55">
        <f t="shared" si="2"/>
        <v>5.58</v>
      </c>
      <c r="G21" s="106">
        <f>+G20</f>
        <v>160</v>
      </c>
      <c r="H21" s="56">
        <f t="shared" si="3"/>
        <v>892.8</v>
      </c>
      <c r="I21" s="2"/>
    </row>
    <row r="22" spans="1:16" x14ac:dyDescent="0.25">
      <c r="B22" s="71" t="str">
        <f>IF($A22=0,"",VLOOKUP($A22,'BASE M-OBRA'!$A:$D,2))</f>
        <v/>
      </c>
      <c r="C22" s="2"/>
      <c r="D22" s="108"/>
      <c r="E22" s="70" t="str">
        <f>IF($A22=0,"",VLOOKUP($A22,'BASE M-OBRA'!$A:$D,4))</f>
        <v/>
      </c>
      <c r="F22" s="55" t="str">
        <f t="shared" si="2"/>
        <v/>
      </c>
      <c r="G22" s="106"/>
      <c r="H22" s="56" t="str">
        <f t="shared" si="3"/>
        <v/>
      </c>
      <c r="I22" s="2"/>
      <c r="K22" s="1">
        <f>3*2.9</f>
        <v>8.6999999999999993</v>
      </c>
    </row>
    <row r="23" spans="1:16" x14ac:dyDescent="0.25">
      <c r="B23" s="72" t="str">
        <f>IF($A23=0,"",VLOOKUP($A23,'BASE M-OBRA'!$A:$D,2))</f>
        <v/>
      </c>
      <c r="C23" s="2"/>
      <c r="D23" s="108"/>
      <c r="E23" s="70" t="str">
        <f>IF($A23=0,"",VLOOKUP($A23,'BASE M-OBRA'!$A:$D,4))</f>
        <v/>
      </c>
      <c r="F23" s="55" t="str">
        <f t="shared" si="2"/>
        <v/>
      </c>
      <c r="G23" s="106"/>
      <c r="H23" s="56" t="str">
        <f t="shared" si="3"/>
        <v/>
      </c>
      <c r="I23" s="2"/>
      <c r="K23" s="1">
        <f>70*0.15</f>
        <v>10.5</v>
      </c>
    </row>
    <row r="24" spans="1:16" x14ac:dyDescent="0.25">
      <c r="B24" s="38" t="str">
        <f>IF($A24=0,"",VLOOKUP($A24,'BASE M-OBRA'!$A:$D,2))</f>
        <v/>
      </c>
      <c r="C24" s="2"/>
      <c r="D24" s="55"/>
      <c r="E24" s="55" t="str">
        <f>IF($A24=0,"",VLOOKUP($A24,'BASE M-OBRA'!$A:$D,4))</f>
        <v/>
      </c>
      <c r="F24" s="55" t="str">
        <f t="shared" si="2"/>
        <v/>
      </c>
      <c r="G24" s="106"/>
      <c r="H24" s="56" t="str">
        <f t="shared" si="3"/>
        <v/>
      </c>
      <c r="I24" s="2"/>
    </row>
    <row r="25" spans="1:16" x14ac:dyDescent="0.25">
      <c r="B25" s="57" t="str">
        <f>IF($A25=0,"",VLOOKUP($A25,'BASE M-OBRA'!$A:$D,2))</f>
        <v/>
      </c>
      <c r="C25" s="58"/>
      <c r="D25" s="59"/>
      <c r="E25" s="59" t="str">
        <f>IF($A25=0,"",VLOOKUP($A25,'BASE M-OBRA'!$A:$D,4))</f>
        <v/>
      </c>
      <c r="F25" s="59" t="str">
        <f t="shared" si="2"/>
        <v/>
      </c>
      <c r="G25" s="107"/>
      <c r="H25" s="60" t="str">
        <f t="shared" si="3"/>
        <v/>
      </c>
      <c r="I25" s="2"/>
    </row>
    <row r="26" spans="1:16" x14ac:dyDescent="0.25">
      <c r="B26" s="73" t="s">
        <v>1685</v>
      </c>
      <c r="C26" s="65"/>
      <c r="D26" s="74"/>
      <c r="E26" s="74"/>
      <c r="F26" s="74"/>
      <c r="G26" s="74"/>
      <c r="H26" s="75">
        <f>ROUND(SUM(H18:H25),2)</f>
        <v>1795.2</v>
      </c>
      <c r="I26" s="2"/>
    </row>
    <row r="27" spans="1:16" x14ac:dyDescent="0.25">
      <c r="B27" s="38" t="s">
        <v>1684</v>
      </c>
      <c r="C27" s="2"/>
      <c r="D27" s="3"/>
      <c r="E27" s="3"/>
      <c r="F27" s="3"/>
      <c r="G27" s="3"/>
      <c r="H27" s="56"/>
      <c r="I27" s="2"/>
    </row>
    <row r="28" spans="1:16" ht="25.5" x14ac:dyDescent="0.25">
      <c r="B28" s="64" t="s">
        <v>1409</v>
      </c>
      <c r="C28" s="65"/>
      <c r="D28" s="76"/>
      <c r="E28" s="66" t="s">
        <v>1408</v>
      </c>
      <c r="F28" s="66" t="s">
        <v>1679</v>
      </c>
      <c r="G28" s="66" t="s">
        <v>1683</v>
      </c>
      <c r="H28" s="68" t="s">
        <v>1675</v>
      </c>
      <c r="I28" s="2"/>
    </row>
    <row r="29" spans="1:16" x14ac:dyDescent="0.25">
      <c r="A29" s="103">
        <v>1</v>
      </c>
      <c r="B29" s="109" t="s">
        <v>676</v>
      </c>
      <c r="C29" s="2"/>
      <c r="D29" s="77"/>
      <c r="E29" s="78" t="s">
        <v>744</v>
      </c>
      <c r="F29" s="55">
        <v>1</v>
      </c>
      <c r="G29" s="55">
        <f>46700-H26+539.42</f>
        <v>45444.22</v>
      </c>
      <c r="H29" s="56">
        <f t="shared" ref="H29:H43" si="4">IF($A29=0,"",ROUND(F29*G29,2))</f>
        <v>45444.22</v>
      </c>
      <c r="I29" s="2"/>
      <c r="L29" s="2"/>
      <c r="M29" s="2"/>
      <c r="N29" s="39"/>
      <c r="O29" s="2"/>
      <c r="P29" s="2"/>
    </row>
    <row r="30" spans="1:16" x14ac:dyDescent="0.25">
      <c r="B30" s="38" t="str">
        <f>IF($A30=0,"",VLOOKUP($A30,'BASE MATERIAL'!$A:$D,2))</f>
        <v/>
      </c>
      <c r="C30" s="2"/>
      <c r="D30" s="77"/>
      <c r="E30" s="78" t="str">
        <f>IF($A30=0,"",VLOOKUP($A30,'BASE MATERIAL'!$A:$D,3))</f>
        <v/>
      </c>
      <c r="F30" s="80"/>
      <c r="G30" s="55" t="str">
        <f>IF($A30=0,"",VLOOKUP($A30,'BASE MATERIAL'!$A:$D,4))</f>
        <v/>
      </c>
      <c r="H30" s="56" t="str">
        <f t="shared" si="4"/>
        <v/>
      </c>
      <c r="I30" s="2"/>
      <c r="L30" s="2"/>
      <c r="M30" s="2"/>
      <c r="N30" s="39"/>
      <c r="O30" s="2"/>
      <c r="P30" s="2"/>
    </row>
    <row r="31" spans="1:16" x14ac:dyDescent="0.25">
      <c r="B31" s="38" t="str">
        <f>IF($A31=0,"",VLOOKUP($A31,'BASE MATERIAL'!$A:$D,2))</f>
        <v/>
      </c>
      <c r="C31" s="2"/>
      <c r="D31" s="77"/>
      <c r="E31" s="78" t="str">
        <f>IF($A31=0,"",VLOOKUP($A31,'BASE MATERIAL'!$A:$D,3))</f>
        <v/>
      </c>
      <c r="F31" s="80"/>
      <c r="G31" s="55" t="str">
        <f>IF($A31=0,"",VLOOKUP($A31,'BASE MATERIAL'!$A:$D,4))</f>
        <v/>
      </c>
      <c r="H31" s="56" t="str">
        <f t="shared" si="4"/>
        <v/>
      </c>
      <c r="I31" s="2"/>
      <c r="L31" s="2"/>
      <c r="M31" s="2"/>
      <c r="N31" s="39"/>
      <c r="O31" s="2"/>
      <c r="P31" s="2"/>
    </row>
    <row r="32" spans="1:16" x14ac:dyDescent="0.25">
      <c r="B32" s="38" t="str">
        <f>IF($A32=0,"",VLOOKUP($A32,'BASE MATERIAL'!$A:$D,2))</f>
        <v/>
      </c>
      <c r="C32" s="2"/>
      <c r="D32" s="77"/>
      <c r="E32" s="78" t="str">
        <f>IF($A32=0,"",VLOOKUP($A32,'BASE MATERIAL'!$A:$D,3))</f>
        <v/>
      </c>
      <c r="F32" s="80"/>
      <c r="G32" s="55" t="str">
        <f>IF($A32=0,"",VLOOKUP($A32,'BASE MATERIAL'!$A:$D,4))</f>
        <v/>
      </c>
      <c r="H32" s="56" t="str">
        <f t="shared" si="4"/>
        <v/>
      </c>
      <c r="I32" s="2"/>
      <c r="L32" s="2"/>
      <c r="M32" s="2"/>
      <c r="N32" s="39"/>
      <c r="O32" s="2"/>
      <c r="P32" s="2"/>
    </row>
    <row r="33" spans="1:16" x14ac:dyDescent="0.25">
      <c r="B33" s="38" t="str">
        <f>IF($A33=0,"",VLOOKUP($A33,'BASE MATERIAL'!$A:$D,2))</f>
        <v/>
      </c>
      <c r="C33" s="2"/>
      <c r="D33" s="77"/>
      <c r="E33" s="78" t="str">
        <f>IF($A33=0,"",VLOOKUP($A33,'BASE MATERIAL'!$A:$D,3))</f>
        <v/>
      </c>
      <c r="F33" s="80"/>
      <c r="G33" s="55" t="str">
        <f>IF($A33=0,"",VLOOKUP($A33,'BASE MATERIAL'!$A:$D,4))</f>
        <v/>
      </c>
      <c r="H33" s="56" t="str">
        <f t="shared" si="4"/>
        <v/>
      </c>
      <c r="I33" s="2"/>
      <c r="L33" s="2"/>
      <c r="M33" s="2"/>
      <c r="N33" s="39"/>
      <c r="O33" s="2"/>
      <c r="P33" s="2"/>
    </row>
    <row r="34" spans="1:16" x14ac:dyDescent="0.25">
      <c r="B34" s="38" t="str">
        <f>IF($A34=0,"",VLOOKUP($A34,'BASE MATERIAL'!$A:$D,2))</f>
        <v/>
      </c>
      <c r="C34" s="2"/>
      <c r="D34" s="77"/>
      <c r="E34" s="78" t="str">
        <f>IF($A34=0,"",VLOOKUP($A34,'BASE MATERIAL'!$A:$D,3))</f>
        <v/>
      </c>
      <c r="F34" s="55"/>
      <c r="G34" s="55" t="str">
        <f>IF($A34=0,"",VLOOKUP($A34,'BASE MATERIAL'!$A:$D,4))</f>
        <v/>
      </c>
      <c r="H34" s="56" t="str">
        <f t="shared" si="4"/>
        <v/>
      </c>
      <c r="I34" s="2"/>
      <c r="L34" s="2"/>
      <c r="M34" s="2"/>
      <c r="N34" s="39"/>
      <c r="O34" s="2"/>
      <c r="P34" s="2"/>
    </row>
    <row r="35" spans="1:16" x14ac:dyDescent="0.25">
      <c r="B35" s="38" t="str">
        <f>IF($A35=0,"",VLOOKUP($A35,'BASE MATERIAL'!$A:$D,2))</f>
        <v/>
      </c>
      <c r="C35" s="2"/>
      <c r="D35" s="77"/>
      <c r="E35" s="78" t="str">
        <f>IF($A35=0,"",VLOOKUP($A35,'BASE MATERIAL'!$A:$D,3))</f>
        <v/>
      </c>
      <c r="F35" s="55"/>
      <c r="G35" s="55" t="str">
        <f>IF($A35=0,"",VLOOKUP($A35,'BASE MATERIAL'!$A:$D,4))</f>
        <v/>
      </c>
      <c r="H35" s="56" t="str">
        <f t="shared" si="4"/>
        <v/>
      </c>
      <c r="I35" s="2"/>
      <c r="L35" s="2"/>
      <c r="M35" s="2"/>
      <c r="N35" s="39"/>
      <c r="O35" s="2"/>
      <c r="P35" s="2"/>
    </row>
    <row r="36" spans="1:16" x14ac:dyDescent="0.25">
      <c r="B36" s="38" t="str">
        <f>IF($A36=0,"",VLOOKUP($A36,'BASE MATERIAL'!$A:$D,2))</f>
        <v/>
      </c>
      <c r="C36" s="2"/>
      <c r="D36" s="77"/>
      <c r="E36" s="78" t="str">
        <f>IF($A36=0,"",VLOOKUP($A36,'BASE MATERIAL'!$A:$D,3))</f>
        <v/>
      </c>
      <c r="F36" s="55"/>
      <c r="G36" s="55" t="str">
        <f>IF($A36=0,"",VLOOKUP($A36,'BASE MATERIAL'!$A:$D,4))</f>
        <v/>
      </c>
      <c r="H36" s="56" t="str">
        <f t="shared" si="4"/>
        <v/>
      </c>
      <c r="I36" s="2"/>
      <c r="L36" s="2"/>
      <c r="M36" s="2"/>
      <c r="N36" s="39"/>
      <c r="O36" s="2"/>
      <c r="P36" s="2"/>
    </row>
    <row r="37" spans="1:16" x14ac:dyDescent="0.25">
      <c r="B37" s="38" t="str">
        <f>IF($A37=0,"",VLOOKUP($A37,'BASE MATERIAL'!$A:$D,2))</f>
        <v/>
      </c>
      <c r="C37" s="2"/>
      <c r="D37" s="77"/>
      <c r="E37" s="78" t="str">
        <f>IF($A37=0,"",VLOOKUP($A37,'BASE MATERIAL'!$A:$D,3))</f>
        <v/>
      </c>
      <c r="F37" s="55"/>
      <c r="G37" s="80" t="str">
        <f>IF($A37=0,"",VLOOKUP($A37,'BASE MATERIAL'!$A:$D,4))</f>
        <v/>
      </c>
      <c r="H37" s="56" t="str">
        <f t="shared" si="4"/>
        <v/>
      </c>
      <c r="I37" s="2"/>
    </row>
    <row r="38" spans="1:16" x14ac:dyDescent="0.25">
      <c r="B38" s="38" t="str">
        <f>IF($A38=0,"",VLOOKUP($A38,'BASE MATERIAL'!$A:$D,2))</f>
        <v/>
      </c>
      <c r="C38" s="2"/>
      <c r="D38" s="77"/>
      <c r="E38" s="78" t="str">
        <f>IF($A38=0,"",VLOOKUP($A38,'BASE MATERIAL'!$A:$D,3))</f>
        <v/>
      </c>
      <c r="F38" s="55"/>
      <c r="G38" s="80" t="str">
        <f>IF($A38=0,"",VLOOKUP($A38,'BASE MATERIAL'!$A:$D,4))</f>
        <v/>
      </c>
      <c r="H38" s="56" t="str">
        <f t="shared" si="4"/>
        <v/>
      </c>
      <c r="I38" s="2"/>
      <c r="L38" s="2"/>
      <c r="M38" s="2"/>
      <c r="N38" s="39"/>
      <c r="O38" s="2"/>
      <c r="P38" s="2"/>
    </row>
    <row r="39" spans="1:16" x14ac:dyDescent="0.25">
      <c r="B39" s="38" t="str">
        <f>IF($A39=0,"",VLOOKUP($A39,'BASE MATERIAL'!$A:$D,2))</f>
        <v/>
      </c>
      <c r="C39" s="2"/>
      <c r="D39" s="77"/>
      <c r="E39" s="78" t="str">
        <f>IF($A39=0,"",VLOOKUP($A39,'BASE MATERIAL'!$A:$D,3))</f>
        <v/>
      </c>
      <c r="F39" s="55"/>
      <c r="G39" s="55" t="str">
        <f>IF($A39=0,"",VLOOKUP($A39,'BASE MATERIAL'!$A:$D,4))</f>
        <v/>
      </c>
      <c r="H39" s="56" t="str">
        <f t="shared" si="4"/>
        <v/>
      </c>
      <c r="I39" s="2"/>
      <c r="L39" s="2"/>
      <c r="M39" s="2"/>
      <c r="N39" s="39"/>
      <c r="O39" s="2"/>
      <c r="P39" s="2"/>
    </row>
    <row r="40" spans="1:16" x14ac:dyDescent="0.25">
      <c r="B40" s="38" t="str">
        <f>IF($A40=0,"",VLOOKUP($A40,'BASE MATERIAL'!$A:$D,2))</f>
        <v/>
      </c>
      <c r="C40" s="2"/>
      <c r="D40" s="77"/>
      <c r="E40" s="78" t="str">
        <f>IF($A40=0,"",VLOOKUP($A40,'BASE MATERIAL'!$A:$D,3))</f>
        <v/>
      </c>
      <c r="F40" s="55"/>
      <c r="G40" s="55" t="str">
        <f>IF($A40=0,"",VLOOKUP($A40,'BASE MATERIAL'!$A:$D,4))</f>
        <v/>
      </c>
      <c r="H40" s="56" t="str">
        <f t="shared" si="4"/>
        <v/>
      </c>
      <c r="I40" s="2"/>
    </row>
    <row r="41" spans="1:16" x14ac:dyDescent="0.25">
      <c r="B41" s="38" t="str">
        <f>IF($A41=0,"",VLOOKUP($A41,'BASE MATERIAL'!$A:$D,2))</f>
        <v/>
      </c>
      <c r="C41" s="2"/>
      <c r="D41" s="77"/>
      <c r="E41" s="78" t="str">
        <f>IF($A41=0,"",VLOOKUP($A41,'BASE MATERIAL'!$A:$D,3))</f>
        <v/>
      </c>
      <c r="F41" s="55"/>
      <c r="G41" s="55" t="str">
        <f>IF($A41=0,"",VLOOKUP($A41,'BASE MATERIAL'!$A:$D,4))</f>
        <v/>
      </c>
      <c r="H41" s="56" t="str">
        <f t="shared" si="4"/>
        <v/>
      </c>
      <c r="I41" s="2"/>
    </row>
    <row r="42" spans="1:16" x14ac:dyDescent="0.25">
      <c r="B42" s="38" t="str">
        <f>IF($A42=0,"",VLOOKUP($A42,'BASE MATERIAL'!$A:$D,2))</f>
        <v/>
      </c>
      <c r="C42" s="2"/>
      <c r="D42" s="77"/>
      <c r="E42" s="78" t="str">
        <f>IF($A42=0,"",VLOOKUP($A42,'BASE MATERIAL'!$A:$D,3))</f>
        <v/>
      </c>
      <c r="F42" s="55"/>
      <c r="G42" s="55" t="str">
        <f>IF($A42=0,"",VLOOKUP($A42,'BASE MATERIAL'!$A:$D,4))</f>
        <v/>
      </c>
      <c r="H42" s="56" t="str">
        <f t="shared" si="4"/>
        <v/>
      </c>
      <c r="I42" s="2"/>
    </row>
    <row r="43" spans="1:16" x14ac:dyDescent="0.25">
      <c r="B43" s="38" t="str">
        <f>IF($A43=0,"",VLOOKUP($A43,'BASE MATERIAL'!$A:$D,2))</f>
        <v/>
      </c>
      <c r="C43" s="2"/>
      <c r="D43" s="77"/>
      <c r="E43" s="78" t="str">
        <f>IF($A43=0,"",VLOOKUP($A43,'BASE MATERIAL'!$A:$D,3))</f>
        <v/>
      </c>
      <c r="F43" s="55"/>
      <c r="G43" s="55" t="str">
        <f>IF($A43=0,"",VLOOKUP($A43,'BASE MATERIAL'!$A:$D,4))</f>
        <v/>
      </c>
      <c r="H43" s="56" t="str">
        <f t="shared" si="4"/>
        <v/>
      </c>
      <c r="I43" s="2"/>
    </row>
    <row r="44" spans="1:16" x14ac:dyDescent="0.25">
      <c r="B44" s="38" t="str">
        <f>IF($A44=0,"",VLOOKUP($A44,'BASE MATERIAL'!$A:$D,2))</f>
        <v/>
      </c>
      <c r="C44" s="2"/>
      <c r="D44" s="81" t="s">
        <v>1682</v>
      </c>
      <c r="E44" s="55" t="str">
        <f>IF($A44=0,"",VLOOKUP($A44,'BASE MATERIAL'!$A:$D,3))</f>
        <v/>
      </c>
      <c r="F44" s="55" t="s">
        <v>1682</v>
      </c>
      <c r="G44" s="55" t="str">
        <f>IF($A44=0,"",VLOOKUP($A44,'BASE MATERIAL'!$A:$D,4))</f>
        <v/>
      </c>
      <c r="H44" s="56" t="str">
        <f>IF($A44=0,"",ROUND(E44*F44,2))</f>
        <v/>
      </c>
      <c r="I44" s="2"/>
    </row>
    <row r="45" spans="1:16" x14ac:dyDescent="0.25">
      <c r="B45" s="73" t="s">
        <v>1681</v>
      </c>
      <c r="C45" s="65"/>
      <c r="D45" s="74"/>
      <c r="E45" s="74"/>
      <c r="F45" s="74"/>
      <c r="G45" s="74"/>
      <c r="H45" s="75">
        <f>ROUND(SUM(H28:H44),2)</f>
        <v>45444.22</v>
      </c>
      <c r="I45" s="2"/>
    </row>
    <row r="46" spans="1:16" x14ac:dyDescent="0.25">
      <c r="B46" s="38" t="s">
        <v>1680</v>
      </c>
      <c r="C46" s="2"/>
      <c r="D46" s="3"/>
      <c r="E46" s="3"/>
      <c r="F46" s="3"/>
      <c r="G46" s="3"/>
      <c r="H46" s="56"/>
      <c r="I46" s="2"/>
    </row>
    <row r="47" spans="1:16" ht="25.5" x14ac:dyDescent="0.25">
      <c r="B47" s="64" t="s">
        <v>1409</v>
      </c>
      <c r="C47" s="65"/>
      <c r="D47" s="76"/>
      <c r="E47" s="66" t="s">
        <v>1408</v>
      </c>
      <c r="F47" s="66" t="s">
        <v>1679</v>
      </c>
      <c r="G47" s="66" t="s">
        <v>1676</v>
      </c>
      <c r="H47" s="68" t="s">
        <v>1675</v>
      </c>
      <c r="I47" s="2"/>
    </row>
    <row r="48" spans="1:16" x14ac:dyDescent="0.25">
      <c r="A48" s="103">
        <v>19019</v>
      </c>
      <c r="B48" s="51" t="str">
        <f>IF($A48=0,"",VLOOKUP($A48,'BASE EQUIPO'!$A:$D,2))</f>
        <v>TRANSPORTE DE MATERIAL</v>
      </c>
      <c r="C48" s="52"/>
      <c r="D48" s="82"/>
      <c r="E48" s="78" t="str">
        <f>IF($A48=0,"",VLOOKUP($A48,'BASE EQUIPO'!$A:$D,3))</f>
        <v>GLOBAL</v>
      </c>
      <c r="F48" s="55">
        <v>1</v>
      </c>
      <c r="G48" s="83">
        <v>178.31</v>
      </c>
      <c r="H48" s="56">
        <f>IF($A48=0,"",ROUND(F48*G48,2))</f>
        <v>178.31</v>
      </c>
      <c r="I48" s="2"/>
    </row>
    <row r="49" spans="1:9" x14ac:dyDescent="0.25">
      <c r="B49" s="38" t="str">
        <f>IF($A49=0,"",VLOOKUP($A49,'BASE EQUIPO'!$A:$D,2))</f>
        <v/>
      </c>
      <c r="C49" s="2"/>
      <c r="D49" s="84"/>
      <c r="E49" s="78" t="str">
        <f>IF($A49=0,"",VLOOKUP($A49,'BASE EQUIPO'!$A:$D,3))</f>
        <v/>
      </c>
      <c r="F49" s="55"/>
      <c r="G49" s="55" t="str">
        <f>IF($A49=0,"",VLOOKUP($A49,'BASE EQUIPO'!$A:$D,4)*H46)</f>
        <v/>
      </c>
      <c r="H49" s="56" t="str">
        <f>IF($A49=0,"",ROUND(F49*G49,2))</f>
        <v/>
      </c>
      <c r="I49" s="2"/>
    </row>
    <row r="50" spans="1:9" x14ac:dyDescent="0.25">
      <c r="B50" s="57" t="str">
        <f>IF($A50=0,"",VLOOKUP($A50,'BASE EQUIPO'!$A:$D,2))</f>
        <v/>
      </c>
      <c r="C50" s="58"/>
      <c r="D50" s="85"/>
      <c r="E50" s="86" t="str">
        <f>IF($A50=0,"",VLOOKUP($A50,'BASE EQUIPO'!$A:$D,3))</f>
        <v/>
      </c>
      <c r="F50" s="59"/>
      <c r="G50" s="59" t="str">
        <f>IF($A50=0,"",VLOOKUP($A50,'BASE EQUIPO'!$A:$D,4)*H47)</f>
        <v/>
      </c>
      <c r="H50" s="60" t="str">
        <f>IF($A50=0,"",ROUND(F50*G50,2))</f>
        <v/>
      </c>
      <c r="I50" s="2"/>
    </row>
    <row r="51" spans="1:9" ht="15.75" thickBot="1" x14ac:dyDescent="0.3">
      <c r="B51" s="87" t="s">
        <v>1674</v>
      </c>
      <c r="C51" s="88"/>
      <c r="D51" s="89"/>
      <c r="E51" s="89"/>
      <c r="F51" s="89"/>
      <c r="G51" s="89"/>
      <c r="H51" s="90">
        <f>ROUND(SUM(H47:H50),2)</f>
        <v>178.31</v>
      </c>
      <c r="I51" s="2"/>
    </row>
    <row r="52" spans="1:9" ht="15.75" x14ac:dyDescent="0.25">
      <c r="B52" s="2"/>
      <c r="C52" s="2"/>
      <c r="D52" s="91" t="s">
        <v>1673</v>
      </c>
      <c r="E52" s="47"/>
      <c r="F52" s="47"/>
      <c r="G52" s="47"/>
      <c r="H52" s="92">
        <f>ROUND(SUM(H51,H45,H26,H16),2)</f>
        <v>47471.59</v>
      </c>
      <c r="I52" s="2"/>
    </row>
    <row r="53" spans="1:9" ht="15.75" x14ac:dyDescent="0.25">
      <c r="A53" s="103">
        <v>40002</v>
      </c>
      <c r="B53" s="2"/>
      <c r="C53" s="2"/>
      <c r="D53" s="93" t="s">
        <v>1672</v>
      </c>
      <c r="E53" s="65"/>
      <c r="F53" s="65"/>
      <c r="G53" s="94">
        <f>IF($A53=0,"",VLOOKUP($A53,'BASE MATERIAL'!$M:$P,4))</f>
        <v>0</v>
      </c>
      <c r="H53" s="95">
        <f>IF($A53=0,"",ROUND(G53*H52,2))</f>
        <v>0</v>
      </c>
      <c r="I53" s="2"/>
    </row>
    <row r="54" spans="1:9" ht="15.75" x14ac:dyDescent="0.25">
      <c r="A54" s="103">
        <v>40003</v>
      </c>
      <c r="B54" s="2"/>
      <c r="C54" s="2"/>
      <c r="D54" s="93" t="s">
        <v>1671</v>
      </c>
      <c r="E54" s="65"/>
      <c r="F54" s="65"/>
      <c r="G54" s="94">
        <f>IF($A54=0,"",VLOOKUP($A54,'BASE MATERIAL'!$M:$P,4))</f>
        <v>0</v>
      </c>
      <c r="H54" s="95">
        <f>IF($A54=0,"",ROUND(G54*H52,2))</f>
        <v>0</v>
      </c>
      <c r="I54" s="2"/>
    </row>
    <row r="55" spans="1:9" ht="15.75" x14ac:dyDescent="0.25">
      <c r="B55" s="2"/>
      <c r="C55" s="2"/>
      <c r="D55" s="93" t="s">
        <v>1670</v>
      </c>
      <c r="E55" s="65"/>
      <c r="F55" s="65"/>
      <c r="G55" s="65"/>
      <c r="H55" s="96">
        <f>ROUND(SUM(H52:H54),2)</f>
        <v>47471.59</v>
      </c>
      <c r="I55" s="2"/>
    </row>
    <row r="56" spans="1:9" ht="16.5" thickBot="1" x14ac:dyDescent="0.3">
      <c r="B56" s="25"/>
      <c r="C56" s="2"/>
      <c r="D56" s="97" t="s">
        <v>1650</v>
      </c>
      <c r="E56" s="88"/>
      <c r="F56" s="88"/>
      <c r="G56" s="88"/>
      <c r="H56" s="98">
        <f>ROUND(H55,2)</f>
        <v>47471.59</v>
      </c>
      <c r="I56" s="2"/>
    </row>
  </sheetData>
  <phoneticPr fontId="7" type="noConversion"/>
  <pageMargins left="0.75" right="0.75" top="1" bottom="1" header="0" footer="0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7DF19-1306-498F-99B2-979044271922}">
  <sheetPr codeName="Hoja34"/>
  <dimension ref="A1:G182"/>
  <sheetViews>
    <sheetView topLeftCell="A11" workbookViewId="0">
      <selection sqref="A1:D30"/>
    </sheetView>
  </sheetViews>
  <sheetFormatPr baseColWidth="10" defaultColWidth="11.42578125" defaultRowHeight="12.75" x14ac:dyDescent="0.2"/>
  <cols>
    <col min="1" max="1" width="8.42578125" style="141" bestFit="1" customWidth="1"/>
    <col min="2" max="2" width="36.85546875" style="141" customWidth="1"/>
    <col min="3" max="3" width="10.28515625" style="141" customWidth="1"/>
    <col min="4" max="4" width="17.140625" style="141" customWidth="1"/>
    <col min="5" max="16384" width="11.42578125" style="141"/>
  </cols>
  <sheetData>
    <row r="1" spans="1:7" ht="15" x14ac:dyDescent="0.2">
      <c r="B1" s="615" t="s">
        <v>1483</v>
      </c>
      <c r="C1" s="616"/>
      <c r="D1" s="617"/>
    </row>
    <row r="2" spans="1:7" ht="15" x14ac:dyDescent="0.25">
      <c r="A2" s="142">
        <v>19001</v>
      </c>
      <c r="B2" s="143" t="s">
        <v>1482</v>
      </c>
      <c r="C2" s="144" t="s">
        <v>1444</v>
      </c>
      <c r="D2" s="145">
        <f>28/8</f>
        <v>3.5</v>
      </c>
    </row>
    <row r="3" spans="1:7" ht="15" x14ac:dyDescent="0.25">
      <c r="A3" s="142">
        <f t="shared" ref="A3:A30" si="0">+A2+1</f>
        <v>19002</v>
      </c>
      <c r="B3" s="143" t="s">
        <v>1481</v>
      </c>
      <c r="C3" s="144" t="s">
        <v>1444</v>
      </c>
      <c r="D3" s="145">
        <v>31.36</v>
      </c>
    </row>
    <row r="4" spans="1:7" ht="15" x14ac:dyDescent="0.25">
      <c r="A4" s="142">
        <f t="shared" si="0"/>
        <v>19003</v>
      </c>
      <c r="B4" s="146" t="s">
        <v>1480</v>
      </c>
      <c r="C4" s="144" t="s">
        <v>1444</v>
      </c>
      <c r="D4" s="145">
        <f>28/8</f>
        <v>3.5</v>
      </c>
    </row>
    <row r="5" spans="1:7" ht="20.25" x14ac:dyDescent="0.3">
      <c r="A5" s="142">
        <f t="shared" si="0"/>
        <v>19004</v>
      </c>
      <c r="B5" s="146" t="s">
        <v>1479</v>
      </c>
      <c r="C5" s="144" t="s">
        <v>1444</v>
      </c>
      <c r="D5" s="145">
        <f>25/8</f>
        <v>3.125</v>
      </c>
      <c r="G5" s="618" t="s">
        <v>2248</v>
      </c>
    </row>
    <row r="6" spans="1:7" ht="15" x14ac:dyDescent="0.25">
      <c r="A6" s="142">
        <f t="shared" si="0"/>
        <v>19005</v>
      </c>
      <c r="B6" s="143" t="s">
        <v>1478</v>
      </c>
      <c r="C6" s="144" t="s">
        <v>915</v>
      </c>
      <c r="D6" s="145">
        <v>6</v>
      </c>
    </row>
    <row r="7" spans="1:7" ht="15" x14ac:dyDescent="0.25">
      <c r="A7" s="142">
        <f t="shared" si="0"/>
        <v>19006</v>
      </c>
      <c r="B7" s="143" t="s">
        <v>1477</v>
      </c>
      <c r="C7" s="144" t="s">
        <v>915</v>
      </c>
      <c r="D7" s="145">
        <v>8</v>
      </c>
    </row>
    <row r="8" spans="1:7" ht="15" x14ac:dyDescent="0.25">
      <c r="A8" s="142">
        <f t="shared" si="0"/>
        <v>19007</v>
      </c>
      <c r="B8" s="146" t="s">
        <v>1476</v>
      </c>
      <c r="C8" s="144" t="s">
        <v>1444</v>
      </c>
      <c r="D8" s="145">
        <v>10</v>
      </c>
    </row>
    <row r="9" spans="1:7" ht="15" x14ac:dyDescent="0.25">
      <c r="A9" s="142">
        <f t="shared" si="0"/>
        <v>19008</v>
      </c>
      <c r="B9" s="146" t="s">
        <v>1475</v>
      </c>
      <c r="C9" s="144" t="s">
        <v>1444</v>
      </c>
      <c r="D9" s="145">
        <f>20/8</f>
        <v>2.5</v>
      </c>
    </row>
    <row r="10" spans="1:7" ht="15" x14ac:dyDescent="0.25">
      <c r="A10" s="142">
        <f t="shared" si="0"/>
        <v>19009</v>
      </c>
      <c r="B10" s="143" t="s">
        <v>1474</v>
      </c>
      <c r="C10" s="144" t="s">
        <v>1444</v>
      </c>
      <c r="D10" s="145">
        <v>28</v>
      </c>
    </row>
    <row r="11" spans="1:7" ht="15" x14ac:dyDescent="0.25">
      <c r="A11" s="142">
        <f t="shared" si="0"/>
        <v>19010</v>
      </c>
      <c r="B11" s="146" t="s">
        <v>1473</v>
      </c>
      <c r="C11" s="144" t="s">
        <v>1444</v>
      </c>
      <c r="D11" s="145">
        <f>50/8</f>
        <v>6.25</v>
      </c>
    </row>
    <row r="12" spans="1:7" ht="15" x14ac:dyDescent="0.25">
      <c r="A12" s="142">
        <f t="shared" si="0"/>
        <v>19011</v>
      </c>
      <c r="B12" s="146" t="s">
        <v>1472</v>
      </c>
      <c r="C12" s="144" t="s">
        <v>1444</v>
      </c>
      <c r="D12" s="145">
        <f>20/8</f>
        <v>2.5</v>
      </c>
    </row>
    <row r="13" spans="1:7" ht="15" x14ac:dyDescent="0.25">
      <c r="A13" s="142">
        <f t="shared" si="0"/>
        <v>19012</v>
      </c>
      <c r="B13" s="146" t="s">
        <v>1471</v>
      </c>
      <c r="C13" s="144" t="s">
        <v>1444</v>
      </c>
      <c r="D13" s="145">
        <v>32</v>
      </c>
    </row>
    <row r="14" spans="1:7" ht="15" x14ac:dyDescent="0.25">
      <c r="A14" s="142">
        <f t="shared" si="0"/>
        <v>19013</v>
      </c>
      <c r="B14" s="143" t="s">
        <v>1470</v>
      </c>
      <c r="C14" s="144" t="s">
        <v>1444</v>
      </c>
      <c r="D14" s="145">
        <v>36</v>
      </c>
    </row>
    <row r="15" spans="1:7" ht="15" x14ac:dyDescent="0.25">
      <c r="A15" s="142">
        <f t="shared" si="0"/>
        <v>19014</v>
      </c>
      <c r="B15" s="142" t="s">
        <v>1469</v>
      </c>
      <c r="C15" s="144" t="s">
        <v>915</v>
      </c>
      <c r="D15" s="147">
        <v>1.85</v>
      </c>
    </row>
    <row r="16" spans="1:7" ht="15" x14ac:dyDescent="0.25">
      <c r="A16" s="142">
        <f t="shared" si="0"/>
        <v>19015</v>
      </c>
      <c r="B16" s="142" t="s">
        <v>1468</v>
      </c>
      <c r="C16" s="144" t="s">
        <v>1387</v>
      </c>
      <c r="D16" s="147">
        <v>0.03</v>
      </c>
    </row>
    <row r="17" spans="1:4" ht="15" x14ac:dyDescent="0.25">
      <c r="A17" s="142">
        <f t="shared" si="0"/>
        <v>19016</v>
      </c>
      <c r="B17" s="142" t="s">
        <v>1468</v>
      </c>
      <c r="C17" s="144" t="s">
        <v>1387</v>
      </c>
      <c r="D17" s="147">
        <v>0.05</v>
      </c>
    </row>
    <row r="18" spans="1:4" ht="15" x14ac:dyDescent="0.25">
      <c r="A18" s="142">
        <f t="shared" si="0"/>
        <v>19017</v>
      </c>
      <c r="B18" s="142" t="s">
        <v>1468</v>
      </c>
      <c r="C18" s="144" t="s">
        <v>1387</v>
      </c>
      <c r="D18" s="147">
        <v>7.0000000000000007E-2</v>
      </c>
    </row>
    <row r="19" spans="1:4" ht="15" x14ac:dyDescent="0.25">
      <c r="A19" s="142">
        <f t="shared" si="0"/>
        <v>19018</v>
      </c>
      <c r="B19" s="142" t="s">
        <v>1468</v>
      </c>
      <c r="C19" s="144" t="s">
        <v>1387</v>
      </c>
      <c r="D19" s="147">
        <v>0.1</v>
      </c>
    </row>
    <row r="20" spans="1:4" ht="15" x14ac:dyDescent="0.25">
      <c r="A20" s="142">
        <f t="shared" si="0"/>
        <v>19019</v>
      </c>
      <c r="B20" s="142" t="s">
        <v>1467</v>
      </c>
      <c r="C20" s="144" t="s">
        <v>947</v>
      </c>
      <c r="D20" s="147">
        <v>0.03</v>
      </c>
    </row>
    <row r="21" spans="1:4" ht="15" x14ac:dyDescent="0.25">
      <c r="A21" s="142">
        <f t="shared" si="0"/>
        <v>19020</v>
      </c>
      <c r="B21" s="142" t="s">
        <v>1467</v>
      </c>
      <c r="C21" s="144" t="s">
        <v>947</v>
      </c>
      <c r="D21" s="147">
        <v>0.03</v>
      </c>
    </row>
    <row r="22" spans="1:4" ht="15" x14ac:dyDescent="0.25">
      <c r="A22" s="142">
        <f t="shared" si="0"/>
        <v>19021</v>
      </c>
      <c r="B22" s="142" t="s">
        <v>1466</v>
      </c>
      <c r="C22" s="144" t="s">
        <v>947</v>
      </c>
      <c r="D22" s="147">
        <v>0.05</v>
      </c>
    </row>
    <row r="23" spans="1:4" ht="15" x14ac:dyDescent="0.25">
      <c r="A23" s="142">
        <f t="shared" si="0"/>
        <v>19022</v>
      </c>
      <c r="B23" s="147" t="s">
        <v>1465</v>
      </c>
      <c r="C23" s="144" t="s">
        <v>1387</v>
      </c>
      <c r="D23" s="147">
        <v>0.1</v>
      </c>
    </row>
    <row r="24" spans="1:4" ht="15" x14ac:dyDescent="0.25">
      <c r="A24" s="142">
        <f t="shared" si="0"/>
        <v>19023</v>
      </c>
      <c r="B24" s="146" t="s">
        <v>1464</v>
      </c>
      <c r="C24" s="144" t="s">
        <v>1444</v>
      </c>
      <c r="D24" s="145">
        <v>1.875</v>
      </c>
    </row>
    <row r="25" spans="1:4" ht="15" x14ac:dyDescent="0.25">
      <c r="A25" s="142">
        <f t="shared" si="0"/>
        <v>19024</v>
      </c>
      <c r="B25" s="146" t="s">
        <v>1463</v>
      </c>
      <c r="C25" s="144" t="s">
        <v>1444</v>
      </c>
      <c r="D25" s="145">
        <v>0.03</v>
      </c>
    </row>
    <row r="26" spans="1:4" ht="15" x14ac:dyDescent="0.25">
      <c r="A26" s="142">
        <f t="shared" si="0"/>
        <v>19025</v>
      </c>
      <c r="B26" s="146" t="s">
        <v>1460</v>
      </c>
      <c r="C26" s="144" t="s">
        <v>1459</v>
      </c>
      <c r="D26" s="145">
        <v>5.54</v>
      </c>
    </row>
    <row r="27" spans="1:4" ht="15" x14ac:dyDescent="0.2">
      <c r="A27" s="142">
        <f t="shared" si="0"/>
        <v>19026</v>
      </c>
      <c r="B27" s="141" t="s">
        <v>1447</v>
      </c>
      <c r="C27" s="144" t="s">
        <v>1444</v>
      </c>
      <c r="D27" s="141">
        <v>1.875</v>
      </c>
    </row>
    <row r="28" spans="1:4" ht="15" x14ac:dyDescent="0.2">
      <c r="A28" s="142">
        <f t="shared" si="0"/>
        <v>19027</v>
      </c>
      <c r="B28" s="141" t="s">
        <v>1446</v>
      </c>
      <c r="C28" s="144" t="s">
        <v>1444</v>
      </c>
      <c r="D28" s="141">
        <v>11.2</v>
      </c>
    </row>
    <row r="29" spans="1:4" ht="15" x14ac:dyDescent="0.2">
      <c r="A29" s="142">
        <f t="shared" si="0"/>
        <v>19028</v>
      </c>
      <c r="B29" s="141" t="s">
        <v>1445</v>
      </c>
      <c r="C29" s="144" t="s">
        <v>1444</v>
      </c>
      <c r="D29" s="141">
        <v>45</v>
      </c>
    </row>
    <row r="30" spans="1:4" ht="15" x14ac:dyDescent="0.2">
      <c r="A30" s="142">
        <f t="shared" si="0"/>
        <v>19029</v>
      </c>
      <c r="B30" s="141" t="s">
        <v>668</v>
      </c>
      <c r="C30" s="144" t="s">
        <v>1444</v>
      </c>
      <c r="D30" s="141">
        <v>3.5</v>
      </c>
    </row>
    <row r="65" spans="1:4" x14ac:dyDescent="0.2">
      <c r="A65" s="148"/>
      <c r="B65" s="148"/>
      <c r="C65" s="148"/>
      <c r="D65" s="148"/>
    </row>
    <row r="66" spans="1:4" x14ac:dyDescent="0.2">
      <c r="A66" s="148"/>
      <c r="B66" s="148"/>
      <c r="C66" s="148"/>
      <c r="D66" s="148"/>
    </row>
    <row r="67" spans="1:4" x14ac:dyDescent="0.2">
      <c r="A67" s="148"/>
      <c r="B67" s="148"/>
      <c r="C67" s="148"/>
      <c r="D67" s="148"/>
    </row>
    <row r="68" spans="1:4" x14ac:dyDescent="0.2">
      <c r="A68" s="148"/>
      <c r="B68" s="148"/>
      <c r="C68" s="148"/>
      <c r="D68" s="148"/>
    </row>
    <row r="69" spans="1:4" x14ac:dyDescent="0.2">
      <c r="A69" s="148"/>
      <c r="B69" s="148"/>
      <c r="C69" s="148"/>
      <c r="D69" s="148"/>
    </row>
    <row r="70" spans="1:4" x14ac:dyDescent="0.2">
      <c r="A70" s="148"/>
      <c r="B70" s="148"/>
      <c r="C70" s="148"/>
      <c r="D70" s="148"/>
    </row>
    <row r="182" spans="1:4" x14ac:dyDescent="0.2">
      <c r="A182" s="148"/>
      <c r="B182" s="148"/>
      <c r="C182" s="148"/>
      <c r="D182" s="148"/>
    </row>
  </sheetData>
  <phoneticPr fontId="2" type="noConversion"/>
  <pageMargins left="0.75" right="0.75" top="1" bottom="1" header="0" footer="0"/>
  <pageSetup paperSize="9" orientation="portrait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F9639-C645-4B70-B00A-419C2B3E57F4}">
  <sheetPr codeName="Hoja35"/>
  <dimension ref="A1:F182"/>
  <sheetViews>
    <sheetView tabSelected="1" topLeftCell="A15" workbookViewId="0">
      <selection sqref="A1:D23"/>
    </sheetView>
  </sheetViews>
  <sheetFormatPr baseColWidth="10" defaultColWidth="11.42578125" defaultRowHeight="12.75" x14ac:dyDescent="0.2"/>
  <cols>
    <col min="1" max="1" width="9" style="149" bestFit="1" customWidth="1"/>
    <col min="2" max="2" width="32.85546875" style="2" customWidth="1"/>
    <col min="3" max="3" width="8.42578125" style="2" customWidth="1"/>
    <col min="4" max="4" width="19.85546875" style="2" customWidth="1"/>
    <col min="5" max="16384" width="11.42578125" style="2"/>
  </cols>
  <sheetData>
    <row r="1" spans="1:6" ht="15" x14ac:dyDescent="0.25">
      <c r="B1" s="118" t="s">
        <v>1503</v>
      </c>
      <c r="C1" s="119"/>
      <c r="D1" s="150"/>
    </row>
    <row r="2" spans="1:6" x14ac:dyDescent="0.2">
      <c r="B2" s="151"/>
      <c r="C2" s="151"/>
      <c r="D2" s="151" t="s">
        <v>1502</v>
      </c>
      <c r="E2" s="2">
        <v>1.0900000000000001</v>
      </c>
    </row>
    <row r="3" spans="1:6" ht="15" x14ac:dyDescent="0.2">
      <c r="A3" s="127">
        <v>20001</v>
      </c>
      <c r="B3" s="130" t="s">
        <v>1484</v>
      </c>
      <c r="C3" s="126" t="s">
        <v>1444</v>
      </c>
      <c r="D3" s="278">
        <v>3.02</v>
      </c>
      <c r="E3" s="278">
        <v>2.71</v>
      </c>
      <c r="F3" s="2">
        <f>+D3*8</f>
        <v>24.16</v>
      </c>
    </row>
    <row r="4" spans="1:6" ht="15" x14ac:dyDescent="0.2">
      <c r="A4" s="127">
        <f t="shared" ref="A4:A23" si="0">+A3+1</f>
        <v>20002</v>
      </c>
      <c r="B4" s="130" t="s">
        <v>1501</v>
      </c>
      <c r="C4" s="126" t="s">
        <v>1444</v>
      </c>
      <c r="D4" s="278">
        <f>ROUND($E$2*E4,2)</f>
        <v>2.79</v>
      </c>
      <c r="E4" s="278">
        <v>2.56</v>
      </c>
      <c r="F4" s="2">
        <f t="shared" ref="F4:F22" si="1">+D4*8</f>
        <v>22.32</v>
      </c>
    </row>
    <row r="5" spans="1:6" ht="15" x14ac:dyDescent="0.2">
      <c r="A5" s="127">
        <f t="shared" si="0"/>
        <v>20003</v>
      </c>
      <c r="B5" s="130" t="s">
        <v>1500</v>
      </c>
      <c r="C5" s="126" t="s">
        <v>1444</v>
      </c>
      <c r="D5" s="278">
        <v>2.82</v>
      </c>
      <c r="E5" s="278">
        <v>2.58</v>
      </c>
      <c r="F5" s="2">
        <f t="shared" si="1"/>
        <v>22.56</v>
      </c>
    </row>
    <row r="6" spans="1:6" ht="15" x14ac:dyDescent="0.2">
      <c r="A6" s="127">
        <f t="shared" si="0"/>
        <v>20004</v>
      </c>
      <c r="B6" s="130" t="s">
        <v>1499</v>
      </c>
      <c r="C6" s="126" t="s">
        <v>1444</v>
      </c>
      <c r="D6" s="278">
        <v>2.82</v>
      </c>
      <c r="E6" s="278">
        <v>2.58</v>
      </c>
      <c r="F6" s="2">
        <f t="shared" si="1"/>
        <v>22.56</v>
      </c>
    </row>
    <row r="7" spans="1:6" ht="15" x14ac:dyDescent="0.2">
      <c r="A7" s="127">
        <f t="shared" si="0"/>
        <v>20005</v>
      </c>
      <c r="B7" s="130" t="s">
        <v>1498</v>
      </c>
      <c r="C7" s="126" t="s">
        <v>1444</v>
      </c>
      <c r="D7" s="278">
        <v>2.82</v>
      </c>
      <c r="E7" s="278">
        <v>2.58</v>
      </c>
      <c r="F7" s="2">
        <f t="shared" si="1"/>
        <v>22.56</v>
      </c>
    </row>
    <row r="8" spans="1:6" ht="15" x14ac:dyDescent="0.2">
      <c r="A8" s="127">
        <f t="shared" si="0"/>
        <v>20006</v>
      </c>
      <c r="B8" s="130" t="s">
        <v>1497</v>
      </c>
      <c r="C8" s="126" t="s">
        <v>1444</v>
      </c>
      <c r="D8" s="278">
        <v>3.02</v>
      </c>
      <c r="E8" s="278">
        <v>2.71</v>
      </c>
      <c r="F8" s="2">
        <f t="shared" si="1"/>
        <v>24.16</v>
      </c>
    </row>
    <row r="9" spans="1:6" ht="15" x14ac:dyDescent="0.2">
      <c r="A9" s="127">
        <f t="shared" si="0"/>
        <v>20007</v>
      </c>
      <c r="B9" s="130" t="s">
        <v>1496</v>
      </c>
      <c r="C9" s="126" t="s">
        <v>1444</v>
      </c>
      <c r="D9" s="278">
        <v>3.02</v>
      </c>
      <c r="E9" s="278">
        <v>2.71</v>
      </c>
      <c r="F9" s="2">
        <f t="shared" si="1"/>
        <v>24.16</v>
      </c>
    </row>
    <row r="10" spans="1:6" ht="15" x14ac:dyDescent="0.2">
      <c r="A10" s="127">
        <f t="shared" si="0"/>
        <v>20008</v>
      </c>
      <c r="B10" s="130" t="s">
        <v>1495</v>
      </c>
      <c r="C10" s="126" t="s">
        <v>1444</v>
      </c>
      <c r="D10" s="278">
        <f>ROUND($E$2*E10,2)</f>
        <v>2.79</v>
      </c>
      <c r="E10" s="278">
        <v>2.56</v>
      </c>
      <c r="F10" s="2">
        <f t="shared" si="1"/>
        <v>22.32</v>
      </c>
    </row>
    <row r="11" spans="1:6" ht="15" x14ac:dyDescent="0.2">
      <c r="A11" s="127">
        <f t="shared" si="0"/>
        <v>20009</v>
      </c>
      <c r="B11" s="125"/>
      <c r="C11" s="126"/>
      <c r="D11" s="278"/>
      <c r="E11" s="278"/>
      <c r="F11" s="2">
        <f t="shared" si="1"/>
        <v>0</v>
      </c>
    </row>
    <row r="12" spans="1:6" ht="15" x14ac:dyDescent="0.2">
      <c r="A12" s="127">
        <f t="shared" si="0"/>
        <v>20010</v>
      </c>
      <c r="B12" s="130" t="s">
        <v>1494</v>
      </c>
      <c r="C12" s="126" t="s">
        <v>1444</v>
      </c>
      <c r="D12" s="278">
        <v>2.82</v>
      </c>
      <c r="E12" s="278">
        <v>2.58</v>
      </c>
      <c r="F12" s="2">
        <f t="shared" si="1"/>
        <v>22.56</v>
      </c>
    </row>
    <row r="13" spans="1:6" ht="15" x14ac:dyDescent="0.2">
      <c r="A13" s="127">
        <f t="shared" si="0"/>
        <v>20011</v>
      </c>
      <c r="B13" s="130" t="s">
        <v>1493</v>
      </c>
      <c r="C13" s="126" t="s">
        <v>1444</v>
      </c>
      <c r="D13" s="278">
        <f>ROUND($E$2*E13,2)</f>
        <v>2.79</v>
      </c>
      <c r="E13" s="278">
        <v>2.56</v>
      </c>
      <c r="F13" s="2">
        <f t="shared" si="1"/>
        <v>22.32</v>
      </c>
    </row>
    <row r="14" spans="1:6" ht="15" x14ac:dyDescent="0.2">
      <c r="A14" s="127">
        <f t="shared" si="0"/>
        <v>20012</v>
      </c>
      <c r="B14" s="130" t="s">
        <v>1492</v>
      </c>
      <c r="C14" s="126" t="s">
        <v>1444</v>
      </c>
      <c r="D14" s="278">
        <v>3.02</v>
      </c>
      <c r="E14" s="278">
        <v>2.71</v>
      </c>
      <c r="F14" s="2">
        <f t="shared" si="1"/>
        <v>24.16</v>
      </c>
    </row>
    <row r="15" spans="1:6" ht="15" x14ac:dyDescent="0.2">
      <c r="A15" s="127">
        <f t="shared" si="0"/>
        <v>20013</v>
      </c>
      <c r="B15" s="130" t="s">
        <v>1442</v>
      </c>
      <c r="C15" s="126" t="s">
        <v>1444</v>
      </c>
      <c r="D15" s="278">
        <f>ROUND($E$2*E15,2)</f>
        <v>4.29</v>
      </c>
      <c r="E15" s="278">
        <v>3.94</v>
      </c>
      <c r="F15" s="2">
        <f t="shared" si="1"/>
        <v>34.32</v>
      </c>
    </row>
    <row r="16" spans="1:6" ht="15" x14ac:dyDescent="0.2">
      <c r="A16" s="127">
        <f t="shared" si="0"/>
        <v>20014</v>
      </c>
      <c r="B16" s="130" t="s">
        <v>1491</v>
      </c>
      <c r="C16" s="126" t="s">
        <v>1444</v>
      </c>
      <c r="D16" s="278">
        <v>2.82</v>
      </c>
      <c r="E16" s="278">
        <v>2.58</v>
      </c>
      <c r="F16" s="2">
        <f t="shared" si="1"/>
        <v>22.56</v>
      </c>
    </row>
    <row r="17" spans="1:6" ht="15" x14ac:dyDescent="0.2">
      <c r="A17" s="127">
        <f t="shared" si="0"/>
        <v>20015</v>
      </c>
      <c r="B17" s="117" t="s">
        <v>1490</v>
      </c>
      <c r="C17" s="126" t="s">
        <v>1444</v>
      </c>
      <c r="D17" s="278">
        <f>ROUND($E$2*E17,2)</f>
        <v>9.81</v>
      </c>
      <c r="E17" s="278">
        <v>9</v>
      </c>
      <c r="F17" s="2">
        <f t="shared" si="1"/>
        <v>78.48</v>
      </c>
    </row>
    <row r="18" spans="1:6" ht="15" x14ac:dyDescent="0.2">
      <c r="A18" s="127">
        <f t="shared" si="0"/>
        <v>20016</v>
      </c>
      <c r="B18" s="117" t="s">
        <v>1489</v>
      </c>
      <c r="C18" s="126" t="s">
        <v>1444</v>
      </c>
      <c r="D18" s="278">
        <v>2.82</v>
      </c>
      <c r="E18" s="278">
        <v>2.58</v>
      </c>
      <c r="F18" s="2">
        <f t="shared" si="1"/>
        <v>22.56</v>
      </c>
    </row>
    <row r="19" spans="1:6" ht="15" x14ac:dyDescent="0.2">
      <c r="A19" s="127">
        <f t="shared" si="0"/>
        <v>20017</v>
      </c>
      <c r="B19" s="117" t="s">
        <v>1488</v>
      </c>
      <c r="C19" s="126" t="s">
        <v>1444</v>
      </c>
      <c r="D19" s="278">
        <v>2.82</v>
      </c>
      <c r="E19" s="278">
        <v>2.58</v>
      </c>
      <c r="F19" s="2">
        <f t="shared" si="1"/>
        <v>22.56</v>
      </c>
    </row>
    <row r="20" spans="1:6" ht="15" x14ac:dyDescent="0.25">
      <c r="A20" s="127">
        <f t="shared" si="0"/>
        <v>20018</v>
      </c>
      <c r="B20" s="124" t="s">
        <v>1487</v>
      </c>
      <c r="C20" s="126" t="s">
        <v>1444</v>
      </c>
      <c r="D20" s="278">
        <v>2.82</v>
      </c>
      <c r="E20" s="278">
        <v>2.58</v>
      </c>
      <c r="F20" s="2">
        <f t="shared" si="1"/>
        <v>22.56</v>
      </c>
    </row>
    <row r="21" spans="1:6" ht="15" x14ac:dyDescent="0.25">
      <c r="A21" s="127">
        <f t="shared" si="0"/>
        <v>20019</v>
      </c>
      <c r="B21" s="124" t="s">
        <v>1486</v>
      </c>
      <c r="C21" s="126" t="s">
        <v>1444</v>
      </c>
      <c r="D21" s="278">
        <v>2.82</v>
      </c>
      <c r="E21" s="278">
        <v>2.58</v>
      </c>
      <c r="F21" s="2">
        <f t="shared" si="1"/>
        <v>22.56</v>
      </c>
    </row>
    <row r="22" spans="1:6" ht="15" x14ac:dyDescent="0.25">
      <c r="A22" s="127">
        <f t="shared" si="0"/>
        <v>20020</v>
      </c>
      <c r="B22" s="124" t="s">
        <v>1485</v>
      </c>
      <c r="C22" s="126" t="s">
        <v>1444</v>
      </c>
      <c r="D22" s="278">
        <v>2.82</v>
      </c>
      <c r="E22" s="278">
        <v>2.58</v>
      </c>
      <c r="F22" s="2">
        <f t="shared" si="1"/>
        <v>22.56</v>
      </c>
    </row>
    <row r="23" spans="1:6" ht="15.75" x14ac:dyDescent="0.25">
      <c r="A23" s="127">
        <f t="shared" si="0"/>
        <v>20021</v>
      </c>
      <c r="B23" s="124" t="s">
        <v>1484</v>
      </c>
      <c r="C23" s="126" t="s">
        <v>1387</v>
      </c>
      <c r="D23" s="152">
        <v>0.2</v>
      </c>
      <c r="E23" s="152">
        <v>0.2</v>
      </c>
    </row>
    <row r="24" spans="1:6" x14ac:dyDescent="0.2">
      <c r="C24" s="136"/>
      <c r="D24" s="137"/>
    </row>
    <row r="25" spans="1:6" x14ac:dyDescent="0.2">
      <c r="C25" s="136"/>
      <c r="D25" s="137"/>
    </row>
    <row r="26" spans="1:6" x14ac:dyDescent="0.2">
      <c r="C26" s="136"/>
      <c r="D26" s="137"/>
    </row>
    <row r="27" spans="1:6" x14ac:dyDescent="0.2">
      <c r="C27" s="136"/>
      <c r="D27" s="137"/>
    </row>
    <row r="28" spans="1:6" x14ac:dyDescent="0.2">
      <c r="C28" s="136"/>
      <c r="D28" s="137"/>
    </row>
    <row r="29" spans="1:6" x14ac:dyDescent="0.2">
      <c r="C29" s="136"/>
      <c r="D29" s="137"/>
    </row>
    <row r="30" spans="1:6" x14ac:dyDescent="0.2">
      <c r="C30" s="136"/>
      <c r="D30" s="137"/>
    </row>
    <row r="59" spans="1:4" ht="15" x14ac:dyDescent="0.25">
      <c r="A59" s="131"/>
      <c r="B59" s="117"/>
      <c r="C59" s="117"/>
      <c r="D59" s="117"/>
    </row>
    <row r="60" spans="1:4" ht="15" x14ac:dyDescent="0.25">
      <c r="A60" s="131"/>
      <c r="B60" s="117"/>
      <c r="C60" s="117"/>
      <c r="D60" s="117"/>
    </row>
    <row r="61" spans="1:4" ht="15" x14ac:dyDescent="0.25">
      <c r="A61" s="131"/>
      <c r="B61" s="117"/>
      <c r="C61" s="117"/>
      <c r="D61" s="117"/>
    </row>
    <row r="62" spans="1:4" ht="15" x14ac:dyDescent="0.25">
      <c r="A62" s="131"/>
      <c r="B62" s="117"/>
      <c r="C62" s="117"/>
      <c r="D62" s="117"/>
    </row>
    <row r="63" spans="1:4" ht="15" x14ac:dyDescent="0.25">
      <c r="A63" s="131"/>
      <c r="B63" s="117"/>
      <c r="C63" s="117"/>
      <c r="D63" s="117"/>
    </row>
    <row r="64" spans="1:4" ht="15" x14ac:dyDescent="0.25">
      <c r="A64" s="131"/>
      <c r="B64" s="132"/>
      <c r="C64" s="132"/>
      <c r="D64" s="132"/>
    </row>
    <row r="65" spans="1:4" x14ac:dyDescent="0.2">
      <c r="A65" s="153"/>
      <c r="B65" s="132"/>
      <c r="C65" s="132"/>
      <c r="D65" s="132"/>
    </row>
    <row r="66" spans="1:4" x14ac:dyDescent="0.2">
      <c r="A66" s="153"/>
      <c r="B66" s="132"/>
      <c r="C66" s="132"/>
      <c r="D66" s="132"/>
    </row>
    <row r="67" spans="1:4" x14ac:dyDescent="0.2">
      <c r="A67" s="153"/>
      <c r="B67" s="132"/>
      <c r="C67" s="132"/>
      <c r="D67" s="132"/>
    </row>
    <row r="68" spans="1:4" x14ac:dyDescent="0.2">
      <c r="A68" s="153"/>
      <c r="B68" s="132"/>
      <c r="C68" s="132"/>
      <c r="D68" s="132"/>
    </row>
    <row r="69" spans="1:4" x14ac:dyDescent="0.2">
      <c r="A69" s="153"/>
      <c r="B69" s="132"/>
      <c r="C69" s="132"/>
      <c r="D69" s="132"/>
    </row>
    <row r="70" spans="1:4" x14ac:dyDescent="0.2">
      <c r="A70" s="153"/>
      <c r="B70" s="132"/>
      <c r="C70" s="132"/>
      <c r="D70" s="132"/>
    </row>
    <row r="182" spans="1:4" x14ac:dyDescent="0.2">
      <c r="A182" s="153"/>
      <c r="B182" s="132"/>
      <c r="C182" s="132"/>
      <c r="D182" s="132"/>
    </row>
  </sheetData>
  <phoneticPr fontId="2" type="noConversion"/>
  <pageMargins left="0.75" right="0.75" top="1" bottom="1" header="0" footer="0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336A8-B105-45DF-9947-61ACFDF58739}">
  <sheetPr codeName="Hoja36"/>
  <dimension ref="A1:AB376"/>
  <sheetViews>
    <sheetView workbookViewId="0">
      <selection activeCell="D22" sqref="D22"/>
    </sheetView>
  </sheetViews>
  <sheetFormatPr baseColWidth="10" defaultColWidth="11.42578125" defaultRowHeight="15" x14ac:dyDescent="0.25"/>
  <cols>
    <col min="1" max="1" width="9" style="124" bestFit="1" customWidth="1"/>
    <col min="2" max="2" width="54.28515625" style="2" customWidth="1"/>
    <col min="3" max="3" width="8.85546875" style="2" customWidth="1"/>
    <col min="4" max="4" width="9.42578125" style="2" bestFit="1" customWidth="1"/>
    <col min="5" max="5" width="6.140625" style="2" customWidth="1"/>
    <col min="6" max="12" width="11.42578125" style="2"/>
    <col min="13" max="13" width="9.42578125" style="2" bestFit="1" customWidth="1"/>
    <col min="14" max="14" width="23.42578125" style="2" customWidth="1"/>
    <col min="15" max="15" width="9.7109375" style="2" bestFit="1" customWidth="1"/>
    <col min="16" max="16" width="8.28515625" style="2" bestFit="1" customWidth="1"/>
    <col min="17" max="18" width="15.42578125" style="2" customWidth="1"/>
    <col min="19" max="19" width="33.85546875" style="2" customWidth="1"/>
    <col min="20" max="20" width="6.7109375" style="2" customWidth="1"/>
    <col min="21" max="21" width="17.5703125" style="2" customWidth="1"/>
    <col min="22" max="22" width="15" style="2" customWidth="1"/>
    <col min="23" max="23" width="30.85546875" style="2" customWidth="1"/>
    <col min="24" max="24" width="15.28515625" style="2" customWidth="1"/>
    <col min="25" max="25" width="17.140625" style="2" customWidth="1"/>
    <col min="26" max="26" width="12.140625" style="124" customWidth="1"/>
    <col min="27" max="27" width="12.42578125" style="124" customWidth="1"/>
    <col min="28" max="28" width="11.42578125" style="124"/>
    <col min="29" max="29" width="11.42578125" style="2"/>
    <col min="30" max="30" width="32.140625" style="2" customWidth="1"/>
    <col min="31" max="16384" width="11.42578125" style="2"/>
  </cols>
  <sheetData>
    <row r="1" spans="1:28" s="623" customFormat="1" ht="34.5" customHeight="1" x14ac:dyDescent="0.25">
      <c r="A1" s="624"/>
      <c r="B1" s="620" t="s">
        <v>1443</v>
      </c>
      <c r="C1" s="621"/>
      <c r="D1" s="622"/>
      <c r="M1" s="632"/>
      <c r="N1" s="633" t="s">
        <v>1425</v>
      </c>
      <c r="O1" s="633"/>
      <c r="P1" s="634"/>
      <c r="Q1" s="635" t="s">
        <v>1424</v>
      </c>
      <c r="Z1" s="627"/>
      <c r="AA1" s="627"/>
      <c r="AB1" s="627"/>
    </row>
    <row r="2" spans="1:28" ht="14.1" customHeight="1" x14ac:dyDescent="0.25">
      <c r="A2" s="117">
        <v>1001</v>
      </c>
      <c r="B2" s="125" t="s">
        <v>1423</v>
      </c>
      <c r="C2" s="126" t="s">
        <v>901</v>
      </c>
      <c r="D2" s="127">
        <v>1.17</v>
      </c>
      <c r="E2" s="2">
        <f>12*0.888</f>
        <v>10.656000000000001</v>
      </c>
      <c r="F2" s="2">
        <f>12.46/E2</f>
        <v>1.1692942942942943</v>
      </c>
      <c r="G2" s="2">
        <f>+F2/1.12</f>
        <v>1.0440127627627627</v>
      </c>
      <c r="H2" s="2">
        <f>0.888*12</f>
        <v>10.656000000000001</v>
      </c>
      <c r="I2" s="2">
        <f>10.71/H2</f>
        <v>1.0050675675675675</v>
      </c>
      <c r="M2" s="128" t="s">
        <v>1410</v>
      </c>
      <c r="N2" s="129" t="s">
        <v>1409</v>
      </c>
      <c r="O2" s="129" t="s">
        <v>1408</v>
      </c>
      <c r="P2" s="129" t="s">
        <v>1407</v>
      </c>
    </row>
    <row r="3" spans="1:28" ht="14.1" customHeight="1" x14ac:dyDescent="0.25">
      <c r="A3" s="117">
        <f t="shared" ref="A3:A8" si="0">+A2+1</f>
        <v>1002</v>
      </c>
      <c r="B3" s="130" t="s">
        <v>1422</v>
      </c>
      <c r="C3" s="126" t="s">
        <v>772</v>
      </c>
      <c r="D3" s="131">
        <f>ROUND(D5*1.13,2)</f>
        <v>1.44</v>
      </c>
      <c r="E3" s="2">
        <f>12*0.617</f>
        <v>7.4039999999999999</v>
      </c>
      <c r="F3" s="2">
        <f>8.67/E3</f>
        <v>1.1709886547811994</v>
      </c>
      <c r="G3" s="2">
        <f>+F3/1.12</f>
        <v>1.0455255846260707</v>
      </c>
      <c r="H3" s="2">
        <f>0.617*12</f>
        <v>7.4039999999999999</v>
      </c>
      <c r="I3" s="2">
        <f>7.64/H3</f>
        <v>1.0318746623446786</v>
      </c>
      <c r="M3" s="117">
        <v>30001</v>
      </c>
      <c r="N3" s="117" t="s">
        <v>1405</v>
      </c>
      <c r="O3" s="126" t="s">
        <v>1387</v>
      </c>
      <c r="P3" s="124">
        <v>0</v>
      </c>
    </row>
    <row r="4" spans="1:28" ht="14.1" customHeight="1" x14ac:dyDescent="0.25">
      <c r="A4" s="117">
        <f t="shared" si="0"/>
        <v>1003</v>
      </c>
      <c r="B4" s="130" t="s">
        <v>1395</v>
      </c>
      <c r="C4" s="126" t="s">
        <v>772</v>
      </c>
      <c r="D4" s="131">
        <f>ROUND(D5*2.36,2)</f>
        <v>3</v>
      </c>
      <c r="F4" s="2">
        <f>0.025*4*7.85*2*6</f>
        <v>9.42</v>
      </c>
      <c r="G4" s="2">
        <f>11.92/F4</f>
        <v>1.2653927813163481</v>
      </c>
      <c r="H4" s="2">
        <f>0.394*12</f>
        <v>4.7279999999999998</v>
      </c>
      <c r="I4" s="2">
        <f>4.87/H4</f>
        <v>1.0300338409475467</v>
      </c>
      <c r="M4" s="117">
        <f>+M3+1</f>
        <v>30002</v>
      </c>
      <c r="N4" s="117" t="s">
        <v>1421</v>
      </c>
      <c r="O4" s="126" t="s">
        <v>1387</v>
      </c>
      <c r="P4" s="124"/>
    </row>
    <row r="5" spans="1:28" ht="14.1" customHeight="1" x14ac:dyDescent="0.25">
      <c r="A5" s="117">
        <f t="shared" si="0"/>
        <v>1004</v>
      </c>
      <c r="B5" s="125" t="s">
        <v>1420</v>
      </c>
      <c r="C5" s="126" t="s">
        <v>901</v>
      </c>
      <c r="D5" s="127">
        <v>1.27</v>
      </c>
      <c r="F5" s="2">
        <f>0.025*2*7.85*3*6</f>
        <v>7.0649999999999995</v>
      </c>
      <c r="G5" s="2">
        <f>8.89/F5</f>
        <v>1.2583156404812457</v>
      </c>
      <c r="M5" s="117">
        <f>+M4+1</f>
        <v>30003</v>
      </c>
      <c r="N5" s="117" t="s">
        <v>1419</v>
      </c>
      <c r="O5" s="126" t="s">
        <v>1387</v>
      </c>
      <c r="P5" s="124"/>
    </row>
    <row r="6" spans="1:28" ht="14.1" customHeight="1" x14ac:dyDescent="0.25">
      <c r="A6" s="117">
        <f t="shared" si="0"/>
        <v>1005</v>
      </c>
      <c r="B6" s="130" t="s">
        <v>1418</v>
      </c>
      <c r="C6" s="126" t="s">
        <v>915</v>
      </c>
      <c r="D6" s="131">
        <f>ROUND(23.55*D5,2)</f>
        <v>29.91</v>
      </c>
      <c r="M6" s="117">
        <f>+M5+1</f>
        <v>30004</v>
      </c>
      <c r="N6" s="117" t="s">
        <v>1399</v>
      </c>
      <c r="O6" s="126" t="s">
        <v>1387</v>
      </c>
      <c r="P6" s="124"/>
    </row>
    <row r="7" spans="1:28" ht="14.1" customHeight="1" x14ac:dyDescent="0.25">
      <c r="A7" s="117">
        <f t="shared" si="0"/>
        <v>1006</v>
      </c>
      <c r="B7" s="130" t="s">
        <v>1417</v>
      </c>
      <c r="C7" s="126" t="s">
        <v>772</v>
      </c>
      <c r="D7" s="131">
        <f>ROUND(D5*1.12,2)</f>
        <v>1.42</v>
      </c>
      <c r="M7" s="117">
        <f>+M6+1</f>
        <v>30005</v>
      </c>
      <c r="N7" s="117" t="s">
        <v>1397</v>
      </c>
      <c r="O7" s="126" t="s">
        <v>1387</v>
      </c>
      <c r="P7" s="124"/>
    </row>
    <row r="8" spans="1:28" ht="14.1" customHeight="1" x14ac:dyDescent="0.25">
      <c r="A8" s="117">
        <f t="shared" si="0"/>
        <v>1007</v>
      </c>
      <c r="B8" s="130" t="s">
        <v>1439</v>
      </c>
      <c r="C8" s="126" t="s">
        <v>744</v>
      </c>
      <c r="D8" s="131">
        <f>ROUND(7.85*2*1.22*2.44*D5,2)</f>
        <v>59.35</v>
      </c>
      <c r="M8" s="117">
        <f>+M7+1</f>
        <v>30006</v>
      </c>
      <c r="N8" s="117" t="s">
        <v>1399</v>
      </c>
      <c r="O8" s="126" t="s">
        <v>1387</v>
      </c>
      <c r="P8" s="124"/>
    </row>
    <row r="9" spans="1:28" s="623" customFormat="1" ht="14.1" customHeight="1" x14ac:dyDescent="0.25">
      <c r="A9" s="619"/>
      <c r="B9" s="620" t="s">
        <v>1416</v>
      </c>
      <c r="C9" s="621"/>
      <c r="D9" s="622"/>
      <c r="M9" s="624"/>
      <c r="N9" s="630"/>
      <c r="O9" s="629"/>
      <c r="P9" s="631"/>
      <c r="Z9" s="627"/>
      <c r="AA9" s="627"/>
      <c r="AB9" s="627"/>
    </row>
    <row r="10" spans="1:28" ht="14.1" customHeight="1" x14ac:dyDescent="0.25">
      <c r="A10" s="117">
        <v>2001</v>
      </c>
      <c r="B10" s="125" t="s">
        <v>1415</v>
      </c>
      <c r="C10" s="126" t="s">
        <v>915</v>
      </c>
      <c r="D10" s="131">
        <v>60</v>
      </c>
      <c r="M10" s="133"/>
      <c r="N10" s="133"/>
      <c r="O10" s="133"/>
      <c r="P10" s="133"/>
    </row>
    <row r="11" spans="1:28" ht="14.1" customHeight="1" x14ac:dyDescent="0.25">
      <c r="A11" s="117">
        <f>+A10+1</f>
        <v>2002</v>
      </c>
      <c r="B11" s="125" t="s">
        <v>1414</v>
      </c>
      <c r="C11" s="126" t="s">
        <v>915</v>
      </c>
      <c r="D11" s="131">
        <v>72</v>
      </c>
      <c r="M11" s="133"/>
      <c r="N11" s="133"/>
      <c r="O11" s="133"/>
      <c r="P11" s="133"/>
    </row>
    <row r="12" spans="1:28" ht="14.1" customHeight="1" x14ac:dyDescent="0.25">
      <c r="A12" s="117">
        <f>+A11+1</f>
        <v>2003</v>
      </c>
      <c r="B12" s="125" t="s">
        <v>1413</v>
      </c>
      <c r="C12" s="126" t="s">
        <v>915</v>
      </c>
      <c r="D12" s="131">
        <v>64</v>
      </c>
      <c r="M12" s="121"/>
      <c r="N12" s="122" t="s">
        <v>1412</v>
      </c>
      <c r="O12" s="122"/>
      <c r="P12" s="123"/>
    </row>
    <row r="13" spans="1:28" ht="14.1" customHeight="1" x14ac:dyDescent="0.25">
      <c r="A13" s="117">
        <f>+A12+1</f>
        <v>2004</v>
      </c>
      <c r="B13" s="125" t="s">
        <v>1411</v>
      </c>
      <c r="C13" s="126" t="s">
        <v>915</v>
      </c>
      <c r="D13" s="131">
        <v>135</v>
      </c>
      <c r="M13" s="128" t="s">
        <v>1410</v>
      </c>
      <c r="N13" s="129" t="s">
        <v>1409</v>
      </c>
      <c r="O13" s="129" t="s">
        <v>1408</v>
      </c>
      <c r="P13" s="129" t="s">
        <v>1407</v>
      </c>
    </row>
    <row r="14" spans="1:28" s="623" customFormat="1" ht="14.1" customHeight="1" x14ac:dyDescent="0.25">
      <c r="A14" s="619"/>
      <c r="B14" s="620" t="s">
        <v>1406</v>
      </c>
      <c r="C14" s="621"/>
      <c r="D14" s="622"/>
      <c r="M14" s="624">
        <v>40001</v>
      </c>
      <c r="N14" s="624" t="s">
        <v>1405</v>
      </c>
      <c r="O14" s="629" t="s">
        <v>1387</v>
      </c>
      <c r="P14" s="627">
        <v>0.12</v>
      </c>
      <c r="Z14" s="627"/>
      <c r="AA14" s="627"/>
      <c r="AB14" s="627"/>
    </row>
    <row r="15" spans="1:28" ht="14.1" customHeight="1" x14ac:dyDescent="0.25">
      <c r="A15" s="117">
        <v>3001</v>
      </c>
      <c r="B15" s="130" t="s">
        <v>1404</v>
      </c>
      <c r="C15" s="134" t="s">
        <v>915</v>
      </c>
      <c r="D15" s="117">
        <v>13.5</v>
      </c>
      <c r="M15" s="117">
        <f>+M14+1</f>
        <v>40002</v>
      </c>
      <c r="N15" s="117" t="s">
        <v>1403</v>
      </c>
      <c r="O15" s="126" t="s">
        <v>1387</v>
      </c>
      <c r="P15" s="124">
        <v>0</v>
      </c>
    </row>
    <row r="16" spans="1:28" ht="14.1" customHeight="1" x14ac:dyDescent="0.25">
      <c r="A16" s="117">
        <f>+A15+1</f>
        <v>3002</v>
      </c>
      <c r="B16" s="130" t="s">
        <v>1402</v>
      </c>
      <c r="C16" s="134" t="s">
        <v>915</v>
      </c>
      <c r="D16" s="117">
        <v>15</v>
      </c>
      <c r="M16" s="117">
        <f>+M15+1</f>
        <v>40003</v>
      </c>
      <c r="N16" s="117" t="s">
        <v>1401</v>
      </c>
      <c r="O16" s="126" t="s">
        <v>1387</v>
      </c>
      <c r="P16" s="124">
        <v>0</v>
      </c>
    </row>
    <row r="17" spans="1:28" ht="14.1" customHeight="1" x14ac:dyDescent="0.25">
      <c r="A17" s="117">
        <f>+A16+1</f>
        <v>3003</v>
      </c>
      <c r="B17" s="130" t="s">
        <v>1400</v>
      </c>
      <c r="C17" s="134" t="s">
        <v>915</v>
      </c>
      <c r="D17" s="117">
        <v>17.3</v>
      </c>
      <c r="M17" s="117">
        <f>+M16+1</f>
        <v>40004</v>
      </c>
      <c r="N17" s="117" t="s">
        <v>1399</v>
      </c>
      <c r="O17" s="126" t="s">
        <v>1387</v>
      </c>
      <c r="P17" s="124"/>
    </row>
    <row r="18" spans="1:28" ht="14.1" customHeight="1" x14ac:dyDescent="0.25">
      <c r="A18" s="117">
        <f>+A17+1</f>
        <v>3004</v>
      </c>
      <c r="B18" s="130" t="s">
        <v>1398</v>
      </c>
      <c r="C18" s="134" t="s">
        <v>915</v>
      </c>
      <c r="D18" s="117">
        <v>26.27</v>
      </c>
      <c r="M18" s="117">
        <f>+M17+1</f>
        <v>40005</v>
      </c>
      <c r="N18" s="117" t="s">
        <v>1397</v>
      </c>
      <c r="O18" s="126" t="s">
        <v>1387</v>
      </c>
      <c r="P18" s="124"/>
    </row>
    <row r="19" spans="1:28" s="623" customFormat="1" ht="14.1" customHeight="1" x14ac:dyDescent="0.25">
      <c r="A19" s="619"/>
      <c r="B19" s="620" t="s">
        <v>1386</v>
      </c>
      <c r="C19" s="621"/>
      <c r="D19" s="622"/>
      <c r="Z19" s="627"/>
      <c r="AA19" s="627"/>
      <c r="AB19" s="627"/>
    </row>
    <row r="20" spans="1:28" ht="14.1" customHeight="1" x14ac:dyDescent="0.25">
      <c r="A20" s="117">
        <v>4001</v>
      </c>
      <c r="B20" s="125" t="s">
        <v>1385</v>
      </c>
      <c r="C20" s="126" t="s">
        <v>1350</v>
      </c>
      <c r="D20" s="117">
        <v>7.09</v>
      </c>
    </row>
    <row r="21" spans="1:28" ht="14.1" customHeight="1" x14ac:dyDescent="0.25">
      <c r="A21" s="117">
        <f>+A20+1</f>
        <v>4002</v>
      </c>
      <c r="B21" s="125" t="s">
        <v>1385</v>
      </c>
      <c r="C21" s="126" t="s">
        <v>901</v>
      </c>
      <c r="D21" s="117">
        <f>ROUND((D20)/50,2)</f>
        <v>0.14000000000000001</v>
      </c>
    </row>
    <row r="22" spans="1:28" ht="14.1" customHeight="1" x14ac:dyDescent="0.25">
      <c r="A22" s="117">
        <f>+A21+1</f>
        <v>4003</v>
      </c>
      <c r="B22" s="125" t="s">
        <v>1384</v>
      </c>
      <c r="C22" s="126" t="s">
        <v>901</v>
      </c>
      <c r="D22" s="117">
        <f>16.8/50</f>
        <v>0.33600000000000002</v>
      </c>
    </row>
    <row r="23" spans="1:28" ht="14.1" customHeight="1" x14ac:dyDescent="0.25">
      <c r="A23" s="117">
        <f>+A22+1</f>
        <v>4004</v>
      </c>
      <c r="B23" s="125" t="s">
        <v>1383</v>
      </c>
      <c r="C23" s="126" t="s">
        <v>901</v>
      </c>
      <c r="D23" s="131">
        <f>ROUND(2.59/25,2)</f>
        <v>0.1</v>
      </c>
    </row>
    <row r="24" spans="1:28" ht="14.1" customHeight="1" x14ac:dyDescent="0.25">
      <c r="A24" s="117">
        <f>+A23+1</f>
        <v>4005</v>
      </c>
      <c r="B24" s="125" t="s">
        <v>1382</v>
      </c>
      <c r="C24" s="126" t="s">
        <v>1196</v>
      </c>
      <c r="D24" s="131">
        <v>1</v>
      </c>
    </row>
    <row r="25" spans="1:28" s="623" customFormat="1" ht="14.1" customHeight="1" x14ac:dyDescent="0.25">
      <c r="A25" s="619"/>
      <c r="B25" s="620" t="s">
        <v>1381</v>
      </c>
      <c r="C25" s="621"/>
      <c r="D25" s="622"/>
      <c r="Z25" s="627"/>
      <c r="AA25" s="627"/>
      <c r="AB25" s="627"/>
    </row>
    <row r="26" spans="1:28" ht="14.1" customHeight="1" x14ac:dyDescent="0.25">
      <c r="A26" s="117">
        <v>5001</v>
      </c>
      <c r="B26" s="125" t="s">
        <v>1380</v>
      </c>
      <c r="C26" s="126" t="s">
        <v>945</v>
      </c>
      <c r="D26" s="131">
        <v>5.5</v>
      </c>
    </row>
    <row r="27" spans="1:28" ht="14.1" customHeight="1" x14ac:dyDescent="0.25">
      <c r="A27" s="117">
        <f t="shared" ref="A27:A33" si="1">+A26+1</f>
        <v>5002</v>
      </c>
      <c r="B27" s="130" t="s">
        <v>1379</v>
      </c>
      <c r="C27" s="126" t="s">
        <v>945</v>
      </c>
      <c r="D27" s="131">
        <v>13.75</v>
      </c>
    </row>
    <row r="28" spans="1:28" ht="14.1" customHeight="1" x14ac:dyDescent="0.25">
      <c r="A28" s="117">
        <f t="shared" si="1"/>
        <v>5003</v>
      </c>
      <c r="B28" s="125" t="s">
        <v>1376</v>
      </c>
      <c r="C28" s="126" t="s">
        <v>945</v>
      </c>
      <c r="D28" s="131">
        <v>12.6</v>
      </c>
    </row>
    <row r="29" spans="1:28" ht="14.1" customHeight="1" x14ac:dyDescent="0.25">
      <c r="A29" s="117">
        <f t="shared" si="1"/>
        <v>5004</v>
      </c>
      <c r="B29" s="125" t="s">
        <v>1378</v>
      </c>
      <c r="C29" s="126" t="s">
        <v>945</v>
      </c>
      <c r="D29" s="131">
        <f>98.21/8</f>
        <v>12.276249999999999</v>
      </c>
    </row>
    <row r="30" spans="1:28" ht="14.1" customHeight="1" x14ac:dyDescent="0.25">
      <c r="A30" s="117">
        <f t="shared" si="1"/>
        <v>5005</v>
      </c>
      <c r="B30" s="125" t="s">
        <v>1377</v>
      </c>
      <c r="C30" s="126" t="s">
        <v>856</v>
      </c>
      <c r="D30" s="117">
        <v>2E-3</v>
      </c>
    </row>
    <row r="31" spans="1:28" ht="14.1" customHeight="1" x14ac:dyDescent="0.25">
      <c r="A31" s="117">
        <f t="shared" si="1"/>
        <v>5006</v>
      </c>
      <c r="B31" s="125" t="s">
        <v>1377</v>
      </c>
      <c r="C31" s="126" t="s">
        <v>945</v>
      </c>
      <c r="D31" s="117">
        <f>0.0017*1000</f>
        <v>1.7</v>
      </c>
    </row>
    <row r="32" spans="1:28" ht="14.1" customHeight="1" x14ac:dyDescent="0.25">
      <c r="A32" s="117">
        <f t="shared" si="1"/>
        <v>5007</v>
      </c>
      <c r="B32" s="125" t="s">
        <v>1376</v>
      </c>
      <c r="C32" s="135" t="s">
        <v>744</v>
      </c>
      <c r="D32" s="131">
        <v>0.14000000000000001</v>
      </c>
      <c r="X32" s="136"/>
      <c r="Y32" s="137"/>
      <c r="Z32" s="138"/>
      <c r="AA32" s="138"/>
      <c r="AB32" s="117"/>
    </row>
    <row r="33" spans="1:28" ht="14.1" customHeight="1" x14ac:dyDescent="0.25">
      <c r="A33" s="117">
        <f t="shared" si="1"/>
        <v>5008</v>
      </c>
      <c r="B33" s="125" t="s">
        <v>1375</v>
      </c>
      <c r="C33" s="126" t="s">
        <v>945</v>
      </c>
      <c r="D33" s="131">
        <f>5.07+3.5</f>
        <v>8.57</v>
      </c>
      <c r="X33" s="136"/>
      <c r="Y33" s="137"/>
      <c r="Z33" s="138"/>
      <c r="AA33" s="138"/>
      <c r="AB33" s="117"/>
    </row>
    <row r="34" spans="1:28" s="623" customFormat="1" ht="14.1" customHeight="1" x14ac:dyDescent="0.25">
      <c r="A34" s="619"/>
      <c r="B34" s="620" t="s">
        <v>1374</v>
      </c>
      <c r="C34" s="621"/>
      <c r="D34" s="622"/>
      <c r="X34" s="625"/>
      <c r="Y34" s="628"/>
      <c r="Z34" s="626"/>
      <c r="AA34" s="626"/>
      <c r="AB34" s="627"/>
    </row>
    <row r="35" spans="1:28" ht="14.1" customHeight="1" x14ac:dyDescent="0.25">
      <c r="A35" s="117">
        <v>6001</v>
      </c>
      <c r="B35" s="125" t="s">
        <v>1373</v>
      </c>
      <c r="C35" s="126" t="s">
        <v>915</v>
      </c>
      <c r="D35" s="131">
        <v>7.82</v>
      </c>
      <c r="X35" s="136"/>
      <c r="Z35" s="138"/>
      <c r="AA35" s="138"/>
    </row>
    <row r="36" spans="1:28" ht="14.1" customHeight="1" x14ac:dyDescent="0.25">
      <c r="A36" s="117">
        <f t="shared" ref="A36:A42" si="2">+A35+1</f>
        <v>6002</v>
      </c>
      <c r="B36" s="125" t="s">
        <v>1372</v>
      </c>
      <c r="C36" s="126" t="s">
        <v>915</v>
      </c>
      <c r="D36" s="131">
        <v>8</v>
      </c>
      <c r="X36" s="136"/>
      <c r="Z36" s="138"/>
      <c r="AA36" s="138"/>
    </row>
    <row r="37" spans="1:28" ht="14.1" customHeight="1" x14ac:dyDescent="0.25">
      <c r="A37" s="117">
        <f t="shared" si="2"/>
        <v>6003</v>
      </c>
      <c r="B37" s="130" t="s">
        <v>1371</v>
      </c>
      <c r="C37" s="126" t="s">
        <v>915</v>
      </c>
      <c r="D37" s="131">
        <v>10.85</v>
      </c>
      <c r="X37" s="136"/>
      <c r="Y37" s="117"/>
      <c r="Z37" s="138"/>
      <c r="AA37" s="138"/>
    </row>
    <row r="38" spans="1:28" ht="14.1" customHeight="1" x14ac:dyDescent="0.25">
      <c r="A38" s="117">
        <f t="shared" si="2"/>
        <v>6004</v>
      </c>
      <c r="B38" s="125" t="s">
        <v>1370</v>
      </c>
      <c r="C38" s="126" t="s">
        <v>915</v>
      </c>
      <c r="D38" s="131">
        <v>10.26</v>
      </c>
      <c r="X38" s="136"/>
      <c r="Y38" s="136"/>
      <c r="Z38" s="138"/>
      <c r="AA38" s="138"/>
    </row>
    <row r="39" spans="1:28" ht="14.1" customHeight="1" x14ac:dyDescent="0.25">
      <c r="A39" s="117">
        <f t="shared" si="2"/>
        <v>6005</v>
      </c>
      <c r="B39" s="130" t="s">
        <v>1369</v>
      </c>
      <c r="C39" s="126" t="s">
        <v>915</v>
      </c>
      <c r="D39" s="131">
        <v>7.63</v>
      </c>
      <c r="T39" s="117"/>
      <c r="U39" s="117"/>
      <c r="V39" s="136"/>
      <c r="W39" s="136"/>
      <c r="X39" s="136"/>
      <c r="Y39" s="136"/>
      <c r="Z39" s="138"/>
      <c r="AA39" s="138"/>
    </row>
    <row r="40" spans="1:28" ht="14.1" customHeight="1" x14ac:dyDescent="0.25">
      <c r="A40" s="117">
        <f t="shared" si="2"/>
        <v>6006</v>
      </c>
      <c r="B40" s="130" t="s">
        <v>1368</v>
      </c>
      <c r="C40" s="126" t="s">
        <v>915</v>
      </c>
      <c r="D40" s="131">
        <v>8.16</v>
      </c>
      <c r="T40" s="117"/>
      <c r="U40" s="117"/>
      <c r="V40" s="136"/>
      <c r="W40" s="136"/>
      <c r="X40" s="136"/>
      <c r="Y40" s="136"/>
      <c r="Z40" s="138"/>
      <c r="AA40" s="138"/>
    </row>
    <row r="41" spans="1:28" ht="14.1" customHeight="1" x14ac:dyDescent="0.25">
      <c r="A41" s="117">
        <f t="shared" si="2"/>
        <v>6007</v>
      </c>
      <c r="B41" s="125" t="s">
        <v>1367</v>
      </c>
      <c r="C41" s="126" t="s">
        <v>1196</v>
      </c>
      <c r="D41" s="131">
        <v>1.8</v>
      </c>
      <c r="T41" s="117"/>
      <c r="U41" s="117"/>
      <c r="V41" s="136"/>
      <c r="W41" s="136"/>
      <c r="X41" s="136"/>
      <c r="Y41" s="136"/>
      <c r="Z41" s="138"/>
      <c r="AA41" s="138"/>
    </row>
    <row r="42" spans="1:28" ht="14.1" customHeight="1" x14ac:dyDescent="0.25">
      <c r="A42" s="117">
        <f t="shared" si="2"/>
        <v>6008</v>
      </c>
      <c r="B42" s="125" t="s">
        <v>1366</v>
      </c>
      <c r="C42" s="126" t="s">
        <v>1196</v>
      </c>
      <c r="D42" s="131">
        <v>2.2999999999999998</v>
      </c>
      <c r="S42" s="124"/>
      <c r="T42" s="117"/>
      <c r="U42" s="117"/>
      <c r="V42" s="136"/>
      <c r="W42" s="136"/>
      <c r="X42" s="136"/>
      <c r="Y42" s="136"/>
      <c r="Z42" s="138"/>
      <c r="AA42" s="138"/>
    </row>
    <row r="43" spans="1:28" s="623" customFormat="1" ht="14.1" customHeight="1" x14ac:dyDescent="0.25">
      <c r="A43" s="619"/>
      <c r="B43" s="620" t="s">
        <v>1365</v>
      </c>
      <c r="C43" s="621"/>
      <c r="D43" s="622"/>
      <c r="T43" s="624"/>
      <c r="U43" s="624"/>
      <c r="V43" s="625"/>
      <c r="W43" s="625"/>
      <c r="X43" s="625"/>
      <c r="Y43" s="625"/>
      <c r="Z43" s="626"/>
      <c r="AA43" s="626"/>
      <c r="AB43" s="627"/>
    </row>
    <row r="44" spans="1:28" ht="14.1" customHeight="1" x14ac:dyDescent="0.25">
      <c r="A44" s="117">
        <v>7001</v>
      </c>
      <c r="B44" s="139" t="s">
        <v>1364</v>
      </c>
      <c r="C44" s="134" t="s">
        <v>915</v>
      </c>
      <c r="D44" s="131">
        <v>17.920000000000002</v>
      </c>
      <c r="T44" s="117"/>
      <c r="U44" s="117"/>
      <c r="V44" s="136"/>
      <c r="W44" s="136"/>
      <c r="X44" s="136"/>
      <c r="Y44" s="136"/>
      <c r="Z44" s="138"/>
      <c r="AA44" s="138"/>
    </row>
    <row r="45" spans="1:28" ht="14.1" customHeight="1" x14ac:dyDescent="0.25">
      <c r="A45" s="117">
        <f t="shared" ref="A45:A63" si="3">+A44+1</f>
        <v>7002</v>
      </c>
      <c r="B45" s="140" t="s">
        <v>1363</v>
      </c>
      <c r="C45" s="134" t="s">
        <v>915</v>
      </c>
      <c r="D45" s="131">
        <v>6</v>
      </c>
      <c r="T45" s="117"/>
      <c r="U45" s="117"/>
      <c r="V45" s="136"/>
      <c r="W45" s="136"/>
      <c r="X45" s="136"/>
      <c r="Y45" s="136"/>
      <c r="Z45" s="138"/>
      <c r="AA45" s="138"/>
    </row>
    <row r="46" spans="1:28" ht="14.1" customHeight="1" x14ac:dyDescent="0.25">
      <c r="A46" s="117">
        <f t="shared" si="3"/>
        <v>7003</v>
      </c>
      <c r="B46" s="130" t="s">
        <v>1362</v>
      </c>
      <c r="C46" s="134" t="s">
        <v>915</v>
      </c>
      <c r="D46" s="131">
        <v>8.98</v>
      </c>
      <c r="T46" s="117"/>
      <c r="U46" s="117"/>
      <c r="V46" s="136"/>
      <c r="W46" s="136"/>
      <c r="X46" s="136"/>
      <c r="Y46" s="136"/>
      <c r="Z46" s="138"/>
      <c r="AA46" s="138"/>
    </row>
    <row r="47" spans="1:28" ht="14.1" customHeight="1" x14ac:dyDescent="0.25">
      <c r="A47" s="117">
        <f t="shared" si="3"/>
        <v>7004</v>
      </c>
      <c r="B47" s="125" t="s">
        <v>1361</v>
      </c>
      <c r="C47" s="134" t="s">
        <v>915</v>
      </c>
      <c r="D47" s="131">
        <v>9.18</v>
      </c>
      <c r="T47" s="117"/>
      <c r="U47" s="117"/>
      <c r="V47" s="136"/>
      <c r="W47" s="136"/>
      <c r="X47" s="136"/>
      <c r="Y47" s="136"/>
      <c r="Z47" s="138"/>
      <c r="AA47" s="138"/>
    </row>
    <row r="48" spans="1:28" ht="14.1" customHeight="1" x14ac:dyDescent="0.25">
      <c r="A48" s="117">
        <f t="shared" si="3"/>
        <v>7005</v>
      </c>
      <c r="B48" s="125" t="s">
        <v>1360</v>
      </c>
      <c r="C48" s="126" t="s">
        <v>915</v>
      </c>
      <c r="D48" s="131">
        <v>10.47</v>
      </c>
      <c r="T48" s="117"/>
      <c r="U48" s="117"/>
      <c r="V48" s="136"/>
      <c r="W48" s="136"/>
      <c r="X48" s="136"/>
      <c r="Y48" s="136"/>
      <c r="Z48" s="138"/>
      <c r="AA48" s="138"/>
    </row>
    <row r="49" spans="1:28" ht="14.1" customHeight="1" x14ac:dyDescent="0.25">
      <c r="A49" s="117">
        <f t="shared" si="3"/>
        <v>7006</v>
      </c>
      <c r="B49" s="130" t="s">
        <v>1359</v>
      </c>
      <c r="C49" s="126" t="s">
        <v>915</v>
      </c>
      <c r="D49" s="131">
        <v>10.78</v>
      </c>
      <c r="T49" s="132"/>
      <c r="U49" s="132"/>
      <c r="V49" s="136"/>
      <c r="W49" s="136"/>
      <c r="X49" s="136"/>
      <c r="Y49" s="136"/>
      <c r="Z49" s="138"/>
      <c r="AA49" s="138"/>
      <c r="AB49" s="2"/>
    </row>
    <row r="50" spans="1:28" ht="14.1" customHeight="1" x14ac:dyDescent="0.25">
      <c r="A50" s="117">
        <f t="shared" si="3"/>
        <v>7007</v>
      </c>
      <c r="B50" s="125" t="s">
        <v>1358</v>
      </c>
      <c r="C50" s="126" t="s">
        <v>915</v>
      </c>
      <c r="D50" s="131">
        <v>10.98</v>
      </c>
      <c r="O50" s="132"/>
      <c r="P50" s="132"/>
      <c r="Q50" s="132"/>
      <c r="S50" s="132"/>
      <c r="T50" s="132"/>
      <c r="U50" s="132"/>
      <c r="V50" s="136"/>
      <c r="W50" s="136"/>
      <c r="X50" s="136"/>
      <c r="Y50" s="136"/>
      <c r="Z50" s="138"/>
      <c r="AA50" s="138"/>
      <c r="AB50" s="2"/>
    </row>
    <row r="51" spans="1:28" ht="14.1" customHeight="1" x14ac:dyDescent="0.25">
      <c r="A51" s="117">
        <f t="shared" si="3"/>
        <v>7008</v>
      </c>
      <c r="B51" s="125" t="s">
        <v>1357</v>
      </c>
      <c r="C51" s="126" t="s">
        <v>915</v>
      </c>
      <c r="D51" s="131">
        <v>12.26</v>
      </c>
      <c r="O51" s="132"/>
      <c r="P51" s="132"/>
      <c r="Q51" s="132"/>
      <c r="S51" s="132"/>
      <c r="T51" s="132"/>
      <c r="U51" s="132"/>
      <c r="V51" s="136"/>
      <c r="W51" s="136"/>
      <c r="X51" s="136"/>
      <c r="Y51" s="136"/>
      <c r="Z51" s="138"/>
      <c r="AA51" s="138"/>
      <c r="AB51" s="2"/>
    </row>
    <row r="52" spans="1:28" ht="14.1" customHeight="1" x14ac:dyDescent="0.25">
      <c r="A52" s="117">
        <f t="shared" si="3"/>
        <v>7009</v>
      </c>
      <c r="B52" s="130" t="s">
        <v>1356</v>
      </c>
      <c r="C52" s="126" t="s">
        <v>915</v>
      </c>
      <c r="D52" s="131">
        <v>9.8000000000000007</v>
      </c>
      <c r="O52" s="132"/>
      <c r="P52" s="132"/>
      <c r="Q52" s="132"/>
      <c r="S52" s="132"/>
      <c r="T52" s="132"/>
      <c r="U52" s="132"/>
      <c r="V52" s="136"/>
      <c r="W52" s="136"/>
      <c r="X52" s="136"/>
      <c r="Y52" s="136"/>
      <c r="Z52" s="138"/>
      <c r="AA52" s="138"/>
      <c r="AB52" s="2"/>
    </row>
    <row r="53" spans="1:28" ht="14.1" customHeight="1" x14ac:dyDescent="0.25">
      <c r="A53" s="117">
        <f t="shared" si="3"/>
        <v>7010</v>
      </c>
      <c r="B53" s="125" t="s">
        <v>1355</v>
      </c>
      <c r="C53" s="126" t="s">
        <v>915</v>
      </c>
      <c r="D53" s="131">
        <v>6.7</v>
      </c>
      <c r="O53" s="132"/>
      <c r="P53" s="132"/>
      <c r="Q53" s="132"/>
      <c r="S53" s="132"/>
      <c r="T53" s="132"/>
      <c r="U53" s="132"/>
      <c r="V53" s="136"/>
      <c r="W53" s="136"/>
      <c r="X53" s="136"/>
      <c r="Y53" s="136"/>
      <c r="Z53" s="138"/>
      <c r="AA53" s="138"/>
      <c r="AB53" s="2"/>
    </row>
    <row r="54" spans="1:28" ht="14.1" customHeight="1" x14ac:dyDescent="0.25">
      <c r="A54" s="117">
        <f t="shared" si="3"/>
        <v>7011</v>
      </c>
      <c r="B54" s="125" t="s">
        <v>1354</v>
      </c>
      <c r="C54" s="126" t="s">
        <v>915</v>
      </c>
      <c r="D54" s="131">
        <v>7.73</v>
      </c>
      <c r="O54" s="132"/>
      <c r="P54" s="132"/>
      <c r="Q54" s="132"/>
      <c r="S54" s="132"/>
      <c r="T54" s="132"/>
      <c r="U54" s="132"/>
      <c r="V54" s="136"/>
      <c r="W54" s="136"/>
      <c r="X54" s="136"/>
      <c r="Y54" s="136"/>
      <c r="Z54" s="138"/>
      <c r="AA54" s="138"/>
      <c r="AB54" s="2"/>
    </row>
    <row r="55" spans="1:28" ht="14.1" customHeight="1" x14ac:dyDescent="0.25">
      <c r="A55" s="117">
        <f t="shared" si="3"/>
        <v>7012</v>
      </c>
      <c r="B55" s="125" t="s">
        <v>1353</v>
      </c>
      <c r="C55" s="126" t="s">
        <v>915</v>
      </c>
      <c r="D55" s="131">
        <v>8.84</v>
      </c>
      <c r="O55" s="132"/>
      <c r="P55" s="132"/>
      <c r="Q55" s="132"/>
      <c r="S55" s="132"/>
      <c r="T55" s="132"/>
      <c r="U55" s="132"/>
      <c r="V55" s="136"/>
      <c r="W55" s="136"/>
      <c r="X55" s="136"/>
      <c r="Y55" s="136"/>
      <c r="Z55" s="138"/>
      <c r="AA55" s="138"/>
      <c r="AB55" s="2"/>
    </row>
    <row r="56" spans="1:28" ht="14.1" customHeight="1" x14ac:dyDescent="0.25">
      <c r="A56" s="117">
        <f t="shared" si="3"/>
        <v>7013</v>
      </c>
      <c r="B56" s="130" t="s">
        <v>1428</v>
      </c>
      <c r="C56" s="126" t="s">
        <v>915</v>
      </c>
      <c r="D56" s="131">
        <v>11.85</v>
      </c>
      <c r="O56" s="132"/>
      <c r="P56" s="132"/>
      <c r="Q56" s="132"/>
      <c r="S56" s="132"/>
      <c r="T56" s="132"/>
      <c r="U56" s="132"/>
      <c r="V56" s="136"/>
      <c r="W56" s="136"/>
      <c r="X56" s="136"/>
      <c r="Y56" s="136"/>
      <c r="Z56" s="138"/>
      <c r="AA56" s="138"/>
      <c r="AB56" s="2"/>
    </row>
    <row r="57" spans="1:28" ht="14.1" customHeight="1" x14ac:dyDescent="0.25">
      <c r="A57" s="117">
        <f t="shared" si="3"/>
        <v>7014</v>
      </c>
      <c r="B57" s="130" t="s">
        <v>1352</v>
      </c>
      <c r="C57" s="126" t="s">
        <v>915</v>
      </c>
      <c r="D57" s="131">
        <v>9.5500000000000007</v>
      </c>
      <c r="O57" s="132"/>
      <c r="P57" s="132"/>
      <c r="Q57" s="132"/>
      <c r="S57" s="132"/>
      <c r="T57" s="132"/>
      <c r="U57" s="132"/>
      <c r="V57" s="136"/>
      <c r="W57" s="136"/>
      <c r="X57" s="136"/>
      <c r="Y57" s="136"/>
      <c r="Z57" s="138"/>
      <c r="AA57" s="138"/>
      <c r="AB57" s="2"/>
    </row>
    <row r="58" spans="1:28" ht="14.1" customHeight="1" x14ac:dyDescent="0.25">
      <c r="A58" s="117">
        <f t="shared" si="3"/>
        <v>7015</v>
      </c>
      <c r="B58" s="125" t="s">
        <v>1351</v>
      </c>
      <c r="C58" s="126" t="s">
        <v>1196</v>
      </c>
      <c r="D58" s="131">
        <v>0.2</v>
      </c>
      <c r="O58" s="132"/>
      <c r="P58" s="132"/>
      <c r="Q58" s="132"/>
      <c r="S58" s="132"/>
      <c r="T58" s="132"/>
      <c r="U58" s="132"/>
      <c r="V58" s="136"/>
      <c r="W58" s="136"/>
      <c r="X58" s="136"/>
      <c r="Y58" s="136"/>
      <c r="Z58" s="138"/>
      <c r="AA58" s="138"/>
      <c r="AB58" s="2"/>
    </row>
    <row r="59" spans="1:28" ht="14.1" customHeight="1" x14ac:dyDescent="0.25">
      <c r="A59" s="117">
        <f t="shared" si="3"/>
        <v>7016</v>
      </c>
      <c r="B59" s="140" t="s">
        <v>1727</v>
      </c>
      <c r="C59" s="134" t="s">
        <v>1350</v>
      </c>
      <c r="D59" s="131">
        <v>2.8</v>
      </c>
      <c r="O59" s="132"/>
      <c r="P59" s="132"/>
      <c r="Q59" s="132"/>
      <c r="S59" s="132"/>
      <c r="T59" s="132"/>
      <c r="U59" s="132"/>
      <c r="V59" s="136"/>
      <c r="W59" s="136"/>
      <c r="X59" s="136"/>
      <c r="Y59" s="136"/>
      <c r="Z59" s="138"/>
      <c r="AA59" s="138"/>
      <c r="AB59" s="2"/>
    </row>
    <row r="60" spans="1:28" ht="14.1" customHeight="1" x14ac:dyDescent="0.25">
      <c r="A60" s="117">
        <f t="shared" si="3"/>
        <v>7017</v>
      </c>
      <c r="B60" s="140" t="s">
        <v>1429</v>
      </c>
      <c r="C60" s="134" t="s">
        <v>915</v>
      </c>
      <c r="D60" s="131">
        <f>17.5*1.12</f>
        <v>19.600000000000001</v>
      </c>
      <c r="O60" s="132"/>
      <c r="P60" s="132"/>
      <c r="Q60" s="132"/>
      <c r="S60" s="132"/>
      <c r="T60" s="132"/>
      <c r="U60" s="132"/>
      <c r="V60" s="136"/>
      <c r="W60" s="136"/>
      <c r="X60" s="136"/>
      <c r="Y60" s="136"/>
      <c r="Z60" s="138"/>
      <c r="AA60" s="138"/>
      <c r="AB60" s="2"/>
    </row>
    <row r="61" spans="1:28" ht="14.1" customHeight="1" x14ac:dyDescent="0.25">
      <c r="A61" s="117">
        <f t="shared" si="3"/>
        <v>7018</v>
      </c>
      <c r="B61" s="140" t="s">
        <v>662</v>
      </c>
      <c r="C61" s="134" t="s">
        <v>772</v>
      </c>
      <c r="D61" s="131">
        <v>48</v>
      </c>
      <c r="O61" s="132"/>
      <c r="P61" s="132"/>
      <c r="Q61" s="132"/>
      <c r="S61" s="132"/>
      <c r="T61" s="132"/>
      <c r="U61" s="132"/>
      <c r="V61" s="136"/>
      <c r="W61" s="136"/>
      <c r="X61" s="136"/>
      <c r="Y61" s="136"/>
      <c r="Z61" s="138"/>
      <c r="AA61" s="138"/>
      <c r="AB61" s="2"/>
    </row>
    <row r="62" spans="1:28" ht="14.1" customHeight="1" x14ac:dyDescent="0.25">
      <c r="A62" s="117">
        <f t="shared" si="3"/>
        <v>7019</v>
      </c>
      <c r="B62" s="140" t="s">
        <v>1349</v>
      </c>
      <c r="C62" s="134" t="s">
        <v>901</v>
      </c>
      <c r="D62" s="131">
        <f>1.47/2</f>
        <v>0.73499999999999999</v>
      </c>
      <c r="O62" s="132"/>
      <c r="P62" s="132"/>
      <c r="Q62" s="132"/>
      <c r="S62" s="132"/>
      <c r="T62" s="132"/>
      <c r="U62" s="132"/>
      <c r="V62" s="136"/>
      <c r="W62" s="136"/>
      <c r="X62" s="136"/>
      <c r="Y62" s="136"/>
      <c r="Z62" s="138"/>
      <c r="AA62" s="138"/>
      <c r="AB62" s="2"/>
    </row>
    <row r="63" spans="1:28" ht="14.1" customHeight="1" x14ac:dyDescent="0.25">
      <c r="A63" s="117">
        <f t="shared" si="3"/>
        <v>7020</v>
      </c>
      <c r="B63" s="140" t="s">
        <v>1348</v>
      </c>
      <c r="C63" s="134" t="s">
        <v>856</v>
      </c>
      <c r="D63" s="131">
        <f>4.91*1.12</f>
        <v>5.499200000000001</v>
      </c>
      <c r="O63" s="132"/>
      <c r="P63" s="132"/>
      <c r="Q63" s="132"/>
      <c r="S63" s="132"/>
      <c r="T63" s="132"/>
      <c r="U63" s="132"/>
      <c r="V63" s="136"/>
      <c r="W63" s="136"/>
      <c r="X63" s="136"/>
      <c r="Y63" s="136"/>
      <c r="Z63" s="138"/>
      <c r="AA63" s="138"/>
      <c r="AB63" s="2"/>
    </row>
    <row r="64" spans="1:28" s="640" customFormat="1" ht="14.1" customHeight="1" x14ac:dyDescent="0.2">
      <c r="A64" s="644"/>
      <c r="B64" s="637" t="s">
        <v>1347</v>
      </c>
      <c r="C64" s="638"/>
      <c r="D64" s="639"/>
      <c r="O64" s="645"/>
      <c r="P64" s="645"/>
      <c r="Q64" s="645"/>
      <c r="S64" s="645"/>
      <c r="T64" s="645"/>
      <c r="U64" s="645"/>
      <c r="V64" s="642"/>
      <c r="W64" s="642"/>
      <c r="X64" s="642"/>
      <c r="Y64" s="642"/>
      <c r="Z64" s="646"/>
      <c r="AA64" s="646"/>
    </row>
    <row r="65" spans="1:28" ht="14.1" customHeight="1" x14ac:dyDescent="0.25">
      <c r="A65" s="117">
        <v>8001</v>
      </c>
      <c r="B65" s="125" t="s">
        <v>1346</v>
      </c>
      <c r="C65" s="126" t="s">
        <v>744</v>
      </c>
      <c r="D65" s="131">
        <v>0.16</v>
      </c>
      <c r="O65" s="132"/>
      <c r="P65" s="132"/>
      <c r="Q65" s="132"/>
      <c r="S65" s="132"/>
      <c r="T65" s="132"/>
      <c r="U65" s="132"/>
      <c r="V65" s="136"/>
      <c r="W65" s="136"/>
      <c r="X65" s="136"/>
      <c r="Y65" s="136"/>
      <c r="Z65" s="138"/>
      <c r="AA65" s="138"/>
      <c r="AB65" s="2"/>
    </row>
    <row r="66" spans="1:28" ht="14.1" customHeight="1" x14ac:dyDescent="0.25">
      <c r="A66" s="117">
        <f t="shared" ref="A66:A76" si="4">+A65+1</f>
        <v>8002</v>
      </c>
      <c r="B66" s="125" t="s">
        <v>1345</v>
      </c>
      <c r="C66" s="126" t="s">
        <v>744</v>
      </c>
      <c r="D66" s="131">
        <v>0.33</v>
      </c>
      <c r="E66" s="2">
        <v>0.27</v>
      </c>
      <c r="O66" s="132"/>
      <c r="P66" s="132"/>
      <c r="Q66" s="132"/>
      <c r="S66" s="132"/>
      <c r="T66" s="132"/>
      <c r="U66" s="132"/>
      <c r="V66" s="136"/>
      <c r="W66" s="136"/>
      <c r="X66" s="136"/>
      <c r="Y66" s="136"/>
      <c r="Z66" s="138"/>
      <c r="AA66" s="138"/>
      <c r="AB66" s="2"/>
    </row>
    <row r="67" spans="1:28" ht="14.1" customHeight="1" x14ac:dyDescent="0.25">
      <c r="A67" s="117">
        <f t="shared" si="4"/>
        <v>8003</v>
      </c>
      <c r="B67" s="125" t="s">
        <v>1344</v>
      </c>
      <c r="C67" s="126" t="s">
        <v>744</v>
      </c>
      <c r="D67" s="131">
        <v>0.38</v>
      </c>
      <c r="O67" s="132"/>
      <c r="P67" s="132"/>
      <c r="Q67" s="132"/>
      <c r="S67" s="132"/>
      <c r="T67" s="132"/>
      <c r="U67" s="132"/>
      <c r="V67" s="136"/>
      <c r="W67" s="136"/>
      <c r="X67" s="136"/>
      <c r="Y67" s="136"/>
      <c r="Z67" s="138"/>
      <c r="AA67" s="138"/>
      <c r="AB67" s="2"/>
    </row>
    <row r="68" spans="1:28" ht="14.1" customHeight="1" x14ac:dyDescent="0.25">
      <c r="A68" s="117">
        <f t="shared" si="4"/>
        <v>8004</v>
      </c>
      <c r="B68" s="125" t="s">
        <v>1343</v>
      </c>
      <c r="C68" s="126" t="s">
        <v>744</v>
      </c>
      <c r="D68" s="131">
        <v>0.4</v>
      </c>
      <c r="E68" s="2">
        <v>0.35</v>
      </c>
      <c r="O68" s="117"/>
      <c r="P68" s="132"/>
      <c r="Q68" s="132"/>
      <c r="S68" s="132"/>
      <c r="T68" s="132"/>
      <c r="U68" s="132"/>
      <c r="V68" s="136"/>
      <c r="W68" s="136"/>
      <c r="X68" s="136"/>
      <c r="Y68" s="136"/>
      <c r="Z68" s="138"/>
      <c r="AA68" s="138"/>
      <c r="AB68" s="2"/>
    </row>
    <row r="69" spans="1:28" ht="14.1" customHeight="1" x14ac:dyDescent="0.25">
      <c r="A69" s="117">
        <f t="shared" si="4"/>
        <v>8005</v>
      </c>
      <c r="B69" s="125" t="s">
        <v>1315</v>
      </c>
      <c r="C69" s="126" t="s">
        <v>744</v>
      </c>
      <c r="D69" s="131">
        <v>0.43</v>
      </c>
      <c r="O69" s="132"/>
      <c r="P69" s="132"/>
      <c r="Q69" s="132"/>
      <c r="S69" s="132"/>
      <c r="T69" s="132"/>
      <c r="U69" s="132"/>
      <c r="V69" s="136"/>
      <c r="W69" s="136"/>
      <c r="X69" s="136"/>
      <c r="Y69" s="136"/>
      <c r="Z69" s="138"/>
      <c r="AA69" s="138"/>
      <c r="AB69" s="2"/>
    </row>
    <row r="70" spans="1:28" ht="14.1" customHeight="1" x14ac:dyDescent="0.25">
      <c r="A70" s="117">
        <f t="shared" si="4"/>
        <v>8006</v>
      </c>
      <c r="B70" s="125" t="s">
        <v>1314</v>
      </c>
      <c r="C70" s="126" t="s">
        <v>744</v>
      </c>
      <c r="D70" s="131">
        <v>0.5</v>
      </c>
      <c r="E70" s="2">
        <v>0.43</v>
      </c>
      <c r="O70" s="117"/>
      <c r="P70" s="132"/>
      <c r="Q70" s="132"/>
      <c r="S70" s="132"/>
      <c r="T70" s="132"/>
      <c r="U70" s="132"/>
      <c r="V70" s="136"/>
      <c r="W70" s="136"/>
      <c r="X70" s="136"/>
      <c r="Y70" s="136"/>
      <c r="Z70" s="138"/>
      <c r="AA70" s="138"/>
      <c r="AB70" s="2"/>
    </row>
    <row r="71" spans="1:28" ht="14.1" customHeight="1" x14ac:dyDescent="0.25">
      <c r="A71" s="117">
        <f t="shared" si="4"/>
        <v>8007</v>
      </c>
      <c r="B71" s="125" t="s">
        <v>1313</v>
      </c>
      <c r="C71" s="126" t="s">
        <v>744</v>
      </c>
      <c r="D71" s="131">
        <v>0.55000000000000004</v>
      </c>
      <c r="E71" s="2">
        <v>0.53</v>
      </c>
      <c r="O71" s="117"/>
      <c r="P71" s="132"/>
      <c r="Q71" s="132"/>
      <c r="S71" s="132"/>
      <c r="T71" s="132"/>
      <c r="U71" s="132"/>
      <c r="V71" s="136"/>
      <c r="W71" s="136"/>
      <c r="X71" s="136"/>
      <c r="Y71" s="136"/>
      <c r="Z71" s="138"/>
      <c r="AA71" s="138"/>
      <c r="AB71" s="2"/>
    </row>
    <row r="72" spans="1:28" ht="14.1" customHeight="1" x14ac:dyDescent="0.25">
      <c r="A72" s="117">
        <f t="shared" si="4"/>
        <v>8008</v>
      </c>
      <c r="B72" s="125" t="s">
        <v>1312</v>
      </c>
      <c r="C72" s="126" t="s">
        <v>744</v>
      </c>
      <c r="D72" s="131">
        <v>0.72</v>
      </c>
      <c r="O72" s="132"/>
      <c r="P72" s="132"/>
      <c r="Q72" s="132"/>
      <c r="S72" s="132"/>
      <c r="T72" s="132"/>
      <c r="U72" s="132"/>
      <c r="V72" s="136"/>
      <c r="W72" s="136"/>
      <c r="X72" s="136"/>
      <c r="Y72" s="136"/>
      <c r="Z72" s="138"/>
      <c r="AA72" s="138"/>
      <c r="AB72" s="2"/>
    </row>
    <row r="73" spans="1:28" ht="14.1" customHeight="1" x14ac:dyDescent="0.25">
      <c r="A73" s="117">
        <f t="shared" si="4"/>
        <v>8009</v>
      </c>
      <c r="B73" s="125" t="s">
        <v>1311</v>
      </c>
      <c r="C73" s="126" t="s">
        <v>744</v>
      </c>
      <c r="D73" s="131">
        <v>0.4</v>
      </c>
      <c r="O73" s="132"/>
      <c r="P73" s="132"/>
      <c r="Q73" s="132"/>
      <c r="S73" s="132"/>
      <c r="T73" s="132"/>
      <c r="U73" s="132"/>
      <c r="V73" s="136"/>
      <c r="W73" s="136"/>
      <c r="X73" s="136"/>
      <c r="Y73" s="136"/>
      <c r="Z73" s="138"/>
      <c r="AA73" s="138"/>
      <c r="AB73" s="2"/>
    </row>
    <row r="74" spans="1:28" ht="14.1" customHeight="1" x14ac:dyDescent="0.25">
      <c r="A74" s="117">
        <f t="shared" si="4"/>
        <v>8010</v>
      </c>
      <c r="B74" s="125" t="s">
        <v>1310</v>
      </c>
      <c r="C74" s="126" t="s">
        <v>744</v>
      </c>
      <c r="D74" s="131">
        <v>0.46</v>
      </c>
      <c r="O74" s="132"/>
      <c r="P74" s="132"/>
      <c r="Q74" s="132"/>
      <c r="S74" s="132"/>
      <c r="T74" s="132"/>
      <c r="U74" s="132"/>
      <c r="V74" s="136"/>
      <c r="W74" s="136"/>
      <c r="X74" s="136"/>
      <c r="Y74" s="136"/>
      <c r="Z74" s="138"/>
      <c r="AA74" s="138"/>
      <c r="AB74" s="2"/>
    </row>
    <row r="75" spans="1:28" ht="14.1" customHeight="1" x14ac:dyDescent="0.25">
      <c r="A75" s="117">
        <f t="shared" si="4"/>
        <v>8011</v>
      </c>
      <c r="B75" s="125" t="s">
        <v>1309</v>
      </c>
      <c r="C75" s="126" t="s">
        <v>744</v>
      </c>
      <c r="D75" s="131">
        <v>0.7</v>
      </c>
      <c r="O75" s="132"/>
      <c r="P75" s="132"/>
      <c r="Q75" s="132"/>
      <c r="S75" s="132"/>
      <c r="T75" s="132"/>
      <c r="U75" s="132"/>
      <c r="V75" s="136"/>
      <c r="W75" s="136"/>
      <c r="X75" s="136"/>
      <c r="Y75" s="136"/>
      <c r="Z75" s="138"/>
      <c r="AA75" s="138"/>
      <c r="AB75" s="2"/>
    </row>
    <row r="76" spans="1:28" ht="14.1" customHeight="1" x14ac:dyDescent="0.25">
      <c r="A76" s="117">
        <f t="shared" si="4"/>
        <v>8012</v>
      </c>
      <c r="B76" s="125" t="s">
        <v>1297</v>
      </c>
      <c r="C76" s="126" t="s">
        <v>744</v>
      </c>
      <c r="D76" s="131">
        <v>0.33</v>
      </c>
      <c r="O76" s="117"/>
      <c r="P76" s="132"/>
      <c r="Q76" s="132"/>
      <c r="S76" s="132"/>
      <c r="T76" s="132"/>
      <c r="U76" s="132"/>
      <c r="V76" s="136"/>
      <c r="W76" s="136"/>
      <c r="X76" s="136"/>
      <c r="Y76" s="136"/>
      <c r="Z76" s="138"/>
      <c r="AA76" s="138"/>
      <c r="AB76" s="2"/>
    </row>
    <row r="77" spans="1:28" s="640" customFormat="1" ht="14.1" customHeight="1" x14ac:dyDescent="0.25">
      <c r="A77" s="636"/>
      <c r="B77" s="637" t="s">
        <v>1295</v>
      </c>
      <c r="C77" s="638"/>
      <c r="D77" s="639"/>
      <c r="M77" s="641"/>
      <c r="O77" s="642"/>
      <c r="P77" s="642"/>
      <c r="Q77" s="642"/>
      <c r="Z77" s="643"/>
      <c r="AA77" s="643"/>
    </row>
    <row r="78" spans="1:28" ht="14.1" customHeight="1" x14ac:dyDescent="0.25">
      <c r="A78" s="117">
        <v>9001</v>
      </c>
      <c r="B78" s="130" t="s">
        <v>1294</v>
      </c>
      <c r="C78" s="126" t="s">
        <v>744</v>
      </c>
      <c r="D78" s="131">
        <v>0.26</v>
      </c>
      <c r="AB78" s="2"/>
    </row>
    <row r="79" spans="1:28" ht="14.1" customHeight="1" x14ac:dyDescent="0.25">
      <c r="A79" s="117">
        <f t="shared" ref="A79:A87" si="5">+A78+1</f>
        <v>9002</v>
      </c>
      <c r="B79" s="130" t="s">
        <v>1293</v>
      </c>
      <c r="C79" s="126" t="s">
        <v>744</v>
      </c>
      <c r="D79" s="131">
        <v>0.54</v>
      </c>
      <c r="AB79" s="2"/>
    </row>
    <row r="80" spans="1:28" ht="14.1" customHeight="1" x14ac:dyDescent="0.25">
      <c r="A80" s="117">
        <f t="shared" si="5"/>
        <v>9003</v>
      </c>
      <c r="B80" s="130" t="s">
        <v>1292</v>
      </c>
      <c r="C80" s="126" t="s">
        <v>744</v>
      </c>
      <c r="D80" s="131">
        <v>0.35</v>
      </c>
      <c r="AB80" s="2"/>
    </row>
    <row r="81" spans="1:28" ht="14.1" customHeight="1" x14ac:dyDescent="0.25">
      <c r="A81" s="117">
        <f t="shared" si="5"/>
        <v>9004</v>
      </c>
      <c r="B81" s="130" t="s">
        <v>1291</v>
      </c>
      <c r="C81" s="126" t="s">
        <v>744</v>
      </c>
      <c r="D81" s="131">
        <v>0.65</v>
      </c>
    </row>
    <row r="82" spans="1:28" x14ac:dyDescent="0.25">
      <c r="A82" s="117">
        <f t="shared" si="5"/>
        <v>9005</v>
      </c>
      <c r="B82" s="130" t="s">
        <v>1290</v>
      </c>
      <c r="C82" s="126" t="s">
        <v>744</v>
      </c>
      <c r="D82" s="131">
        <v>0.5</v>
      </c>
    </row>
    <row r="83" spans="1:28" x14ac:dyDescent="0.25">
      <c r="A83" s="117">
        <f t="shared" si="5"/>
        <v>9006</v>
      </c>
      <c r="B83" s="125" t="s">
        <v>1289</v>
      </c>
      <c r="C83" s="126" t="s">
        <v>744</v>
      </c>
      <c r="D83" s="131">
        <v>0.67</v>
      </c>
    </row>
    <row r="84" spans="1:28" x14ac:dyDescent="0.25">
      <c r="A84" s="117">
        <f t="shared" si="5"/>
        <v>9007</v>
      </c>
      <c r="B84" s="125" t="s">
        <v>1288</v>
      </c>
      <c r="C84" s="126" t="s">
        <v>744</v>
      </c>
      <c r="D84" s="131">
        <v>0.92</v>
      </c>
    </row>
    <row r="85" spans="1:28" x14ac:dyDescent="0.25">
      <c r="A85" s="117">
        <f t="shared" si="5"/>
        <v>9008</v>
      </c>
      <c r="B85" s="130" t="s">
        <v>1287</v>
      </c>
      <c r="C85" s="126" t="s">
        <v>744</v>
      </c>
      <c r="D85" s="131">
        <v>0.6</v>
      </c>
    </row>
    <row r="86" spans="1:28" x14ac:dyDescent="0.25">
      <c r="A86" s="117">
        <f t="shared" si="5"/>
        <v>9009</v>
      </c>
      <c r="B86" s="125" t="s">
        <v>1286</v>
      </c>
      <c r="C86" s="126" t="s">
        <v>744</v>
      </c>
      <c r="D86" s="131">
        <v>7.0000000000000007E-2</v>
      </c>
    </row>
    <row r="87" spans="1:28" x14ac:dyDescent="0.25">
      <c r="A87" s="117">
        <f t="shared" si="5"/>
        <v>9010</v>
      </c>
      <c r="B87" s="130" t="s">
        <v>1285</v>
      </c>
      <c r="C87" s="126" t="s">
        <v>744</v>
      </c>
      <c r="D87" s="131">
        <v>0.22</v>
      </c>
    </row>
    <row r="88" spans="1:28" s="640" customFormat="1" x14ac:dyDescent="0.25">
      <c r="A88" s="636"/>
      <c r="B88" s="647" t="s">
        <v>1284</v>
      </c>
      <c r="C88" s="638"/>
      <c r="D88" s="648"/>
      <c r="Z88" s="643"/>
      <c r="AA88" s="643"/>
      <c r="AB88" s="643"/>
    </row>
    <row r="89" spans="1:28" x14ac:dyDescent="0.25">
      <c r="A89" s="117">
        <v>10001</v>
      </c>
      <c r="B89" s="125" t="s">
        <v>291</v>
      </c>
      <c r="C89" s="126" t="s">
        <v>744</v>
      </c>
      <c r="D89" s="131">
        <v>120</v>
      </c>
    </row>
    <row r="90" spans="1:28" x14ac:dyDescent="0.25">
      <c r="A90" s="117">
        <f t="shared" ref="A90:A117" si="6">+A89+1</f>
        <v>10002</v>
      </c>
      <c r="B90" s="130" t="s">
        <v>288</v>
      </c>
      <c r="C90" s="126" t="s">
        <v>744</v>
      </c>
      <c r="D90" s="131">
        <v>110</v>
      </c>
    </row>
    <row r="91" spans="1:28" x14ac:dyDescent="0.25">
      <c r="A91" s="117">
        <f t="shared" si="6"/>
        <v>10003</v>
      </c>
      <c r="B91" s="130" t="s">
        <v>289</v>
      </c>
      <c r="C91" s="126" t="s">
        <v>744</v>
      </c>
      <c r="D91" s="131">
        <v>100</v>
      </c>
    </row>
    <row r="92" spans="1:28" x14ac:dyDescent="0.25">
      <c r="A92" s="117">
        <f t="shared" si="6"/>
        <v>10004</v>
      </c>
      <c r="B92" s="130" t="s">
        <v>290</v>
      </c>
      <c r="C92" s="126" t="s">
        <v>744</v>
      </c>
      <c r="D92" s="131">
        <v>95</v>
      </c>
    </row>
    <row r="93" spans="1:28" x14ac:dyDescent="0.25">
      <c r="A93" s="117">
        <f t="shared" si="6"/>
        <v>10005</v>
      </c>
      <c r="B93" s="130" t="s">
        <v>297</v>
      </c>
      <c r="C93" s="126" t="s">
        <v>744</v>
      </c>
      <c r="D93" s="131">
        <v>90</v>
      </c>
    </row>
    <row r="94" spans="1:28" x14ac:dyDescent="0.25">
      <c r="A94" s="117">
        <f t="shared" si="6"/>
        <v>10006</v>
      </c>
      <c r="B94" s="130" t="s">
        <v>298</v>
      </c>
      <c r="C94" s="126" t="s">
        <v>1281</v>
      </c>
      <c r="D94" s="131">
        <v>36</v>
      </c>
    </row>
    <row r="95" spans="1:28" x14ac:dyDescent="0.25">
      <c r="A95" s="117">
        <f t="shared" si="6"/>
        <v>10007</v>
      </c>
      <c r="B95" s="125" t="s">
        <v>1283</v>
      </c>
      <c r="C95" s="126" t="s">
        <v>1281</v>
      </c>
      <c r="D95" s="131">
        <v>15</v>
      </c>
    </row>
    <row r="96" spans="1:28" x14ac:dyDescent="0.25">
      <c r="A96" s="117">
        <f t="shared" si="6"/>
        <v>10008</v>
      </c>
      <c r="B96" s="130" t="s">
        <v>299</v>
      </c>
      <c r="C96" s="126" t="s">
        <v>1281</v>
      </c>
      <c r="D96" s="131">
        <v>12</v>
      </c>
    </row>
    <row r="97" spans="1:4" x14ac:dyDescent="0.25">
      <c r="A97" s="117">
        <f t="shared" si="6"/>
        <v>10009</v>
      </c>
      <c r="B97" s="125" t="s">
        <v>1282</v>
      </c>
      <c r="C97" s="126" t="s">
        <v>1281</v>
      </c>
      <c r="D97" s="131">
        <v>10</v>
      </c>
    </row>
    <row r="98" spans="1:4" x14ac:dyDescent="0.25">
      <c r="A98" s="117">
        <f t="shared" si="6"/>
        <v>10010</v>
      </c>
      <c r="B98" s="125" t="s">
        <v>1280</v>
      </c>
      <c r="C98" s="126" t="s">
        <v>744</v>
      </c>
      <c r="D98" s="131">
        <v>30</v>
      </c>
    </row>
    <row r="99" spans="1:4" x14ac:dyDescent="0.25">
      <c r="A99" s="117">
        <f t="shared" si="6"/>
        <v>10011</v>
      </c>
      <c r="B99" s="130" t="s">
        <v>1279</v>
      </c>
      <c r="C99" s="126" t="s">
        <v>744</v>
      </c>
      <c r="D99" s="131">
        <v>85</v>
      </c>
    </row>
    <row r="100" spans="1:4" x14ac:dyDescent="0.25">
      <c r="A100" s="117">
        <f t="shared" si="6"/>
        <v>10012</v>
      </c>
      <c r="B100" s="130" t="s">
        <v>68</v>
      </c>
      <c r="C100" s="126" t="s">
        <v>744</v>
      </c>
      <c r="D100" s="131">
        <v>16</v>
      </c>
    </row>
    <row r="101" spans="1:4" x14ac:dyDescent="0.25">
      <c r="A101" s="117">
        <f t="shared" si="6"/>
        <v>10013</v>
      </c>
      <c r="B101" s="130" t="s">
        <v>69</v>
      </c>
      <c r="C101" s="126" t="s">
        <v>744</v>
      </c>
      <c r="D101" s="131">
        <v>12</v>
      </c>
    </row>
    <row r="102" spans="1:4" x14ac:dyDescent="0.25">
      <c r="A102" s="117">
        <f t="shared" si="6"/>
        <v>10014</v>
      </c>
      <c r="B102" s="130" t="s">
        <v>1278</v>
      </c>
      <c r="C102" s="126" t="s">
        <v>744</v>
      </c>
      <c r="D102" s="131">
        <v>3</v>
      </c>
    </row>
    <row r="103" spans="1:4" x14ac:dyDescent="0.25">
      <c r="A103" s="117">
        <f t="shared" si="6"/>
        <v>10015</v>
      </c>
      <c r="B103" s="130" t="s">
        <v>1277</v>
      </c>
      <c r="C103" s="126" t="s">
        <v>744</v>
      </c>
      <c r="D103" s="131">
        <f>5.6/2</f>
        <v>2.8</v>
      </c>
    </row>
    <row r="104" spans="1:4" x14ac:dyDescent="0.25">
      <c r="A104" s="117">
        <f t="shared" si="6"/>
        <v>10016</v>
      </c>
      <c r="B104" s="125" t="s">
        <v>1276</v>
      </c>
      <c r="C104" s="126" t="s">
        <v>744</v>
      </c>
      <c r="D104" s="131">
        <v>1.2</v>
      </c>
    </row>
    <row r="105" spans="1:4" x14ac:dyDescent="0.25">
      <c r="A105" s="117">
        <f t="shared" si="6"/>
        <v>10017</v>
      </c>
      <c r="B105" s="125" t="s">
        <v>1275</v>
      </c>
      <c r="C105" s="126" t="s">
        <v>772</v>
      </c>
      <c r="D105" s="131">
        <v>3</v>
      </c>
    </row>
    <row r="106" spans="1:4" x14ac:dyDescent="0.25">
      <c r="A106" s="117">
        <f t="shared" si="6"/>
        <v>10018</v>
      </c>
      <c r="B106" s="125" t="s">
        <v>1274</v>
      </c>
      <c r="C106" s="126" t="s">
        <v>772</v>
      </c>
      <c r="D106" s="131">
        <v>6</v>
      </c>
    </row>
    <row r="107" spans="1:4" x14ac:dyDescent="0.25">
      <c r="A107" s="117">
        <f t="shared" si="6"/>
        <v>10019</v>
      </c>
      <c r="B107" s="125" t="s">
        <v>1273</v>
      </c>
      <c r="C107" s="126" t="s">
        <v>744</v>
      </c>
      <c r="D107" s="131">
        <v>0.04</v>
      </c>
    </row>
    <row r="108" spans="1:4" x14ac:dyDescent="0.25">
      <c r="A108" s="117">
        <f t="shared" si="6"/>
        <v>10020</v>
      </c>
      <c r="B108" s="130" t="s">
        <v>1272</v>
      </c>
      <c r="C108" s="126" t="s">
        <v>744</v>
      </c>
      <c r="D108" s="131">
        <v>21</v>
      </c>
    </row>
    <row r="109" spans="1:4" x14ac:dyDescent="0.25">
      <c r="A109" s="117">
        <f t="shared" si="6"/>
        <v>10021</v>
      </c>
      <c r="B109" s="125" t="s">
        <v>1271</v>
      </c>
      <c r="C109" s="126" t="s">
        <v>744</v>
      </c>
      <c r="D109" s="131">
        <v>0.03</v>
      </c>
    </row>
    <row r="110" spans="1:4" x14ac:dyDescent="0.25">
      <c r="A110" s="117">
        <f t="shared" si="6"/>
        <v>10022</v>
      </c>
      <c r="B110" s="130" t="s">
        <v>1270</v>
      </c>
      <c r="C110" s="126" t="s">
        <v>744</v>
      </c>
      <c r="D110" s="131">
        <v>1.5</v>
      </c>
    </row>
    <row r="111" spans="1:4" x14ac:dyDescent="0.25">
      <c r="A111" s="117">
        <f t="shared" si="6"/>
        <v>10023</v>
      </c>
      <c r="B111" s="130" t="s">
        <v>292</v>
      </c>
      <c r="C111" s="126" t="s">
        <v>744</v>
      </c>
      <c r="D111" s="131">
        <v>57</v>
      </c>
    </row>
    <row r="112" spans="1:4" x14ac:dyDescent="0.25">
      <c r="A112" s="117">
        <f t="shared" si="6"/>
        <v>10024</v>
      </c>
      <c r="B112" s="130" t="s">
        <v>293</v>
      </c>
      <c r="C112" s="126" t="s">
        <v>744</v>
      </c>
      <c r="D112" s="131">
        <v>53</v>
      </c>
    </row>
    <row r="113" spans="1:28" x14ac:dyDescent="0.25">
      <c r="A113" s="117">
        <f t="shared" si="6"/>
        <v>10025</v>
      </c>
      <c r="B113" s="130" t="s">
        <v>294</v>
      </c>
      <c r="C113" s="126" t="s">
        <v>744</v>
      </c>
      <c r="D113" s="131">
        <v>51</v>
      </c>
    </row>
    <row r="114" spans="1:28" x14ac:dyDescent="0.25">
      <c r="A114" s="117">
        <f t="shared" si="6"/>
        <v>10026</v>
      </c>
      <c r="B114" s="130" t="s">
        <v>295</v>
      </c>
      <c r="C114" s="126" t="s">
        <v>744</v>
      </c>
      <c r="D114" s="131">
        <v>48</v>
      </c>
    </row>
    <row r="115" spans="1:28" x14ac:dyDescent="0.25">
      <c r="A115" s="117">
        <f t="shared" si="6"/>
        <v>10027</v>
      </c>
      <c r="B115" s="130" t="s">
        <v>296</v>
      </c>
      <c r="C115" s="126" t="s">
        <v>744</v>
      </c>
      <c r="D115" s="131">
        <v>60</v>
      </c>
    </row>
    <row r="116" spans="1:28" x14ac:dyDescent="0.25">
      <c r="A116" s="117">
        <f t="shared" si="6"/>
        <v>10028</v>
      </c>
      <c r="B116" s="125" t="s">
        <v>1269</v>
      </c>
      <c r="C116" s="126" t="s">
        <v>744</v>
      </c>
      <c r="D116" s="131">
        <v>60</v>
      </c>
    </row>
    <row r="117" spans="1:28" x14ac:dyDescent="0.25">
      <c r="A117" s="117">
        <f t="shared" si="6"/>
        <v>10029</v>
      </c>
      <c r="B117" s="125" t="s">
        <v>1268</v>
      </c>
      <c r="C117" s="126" t="s">
        <v>744</v>
      </c>
      <c r="D117" s="131">
        <v>47</v>
      </c>
    </row>
    <row r="118" spans="1:28" s="640" customFormat="1" x14ac:dyDescent="0.25">
      <c r="A118" s="636"/>
      <c r="B118" s="647" t="s">
        <v>1267</v>
      </c>
      <c r="C118" s="638"/>
      <c r="D118" s="648"/>
      <c r="Z118" s="643"/>
      <c r="AA118" s="643"/>
      <c r="AB118" s="643"/>
    </row>
    <row r="119" spans="1:28" x14ac:dyDescent="0.25">
      <c r="A119" s="117">
        <v>11001</v>
      </c>
      <c r="B119" s="125" t="s">
        <v>1266</v>
      </c>
      <c r="C119" s="126" t="s">
        <v>901</v>
      </c>
      <c r="D119" s="124">
        <f>1.34*2.2</f>
        <v>2.9480000000000004</v>
      </c>
      <c r="F119" s="2">
        <f>114.49/44</f>
        <v>2.6020454545454546</v>
      </c>
    </row>
    <row r="120" spans="1:28" x14ac:dyDescent="0.25">
      <c r="A120" s="117">
        <f t="shared" ref="A120:A135" si="7">+A119+1</f>
        <v>11002</v>
      </c>
      <c r="B120" s="130" t="s">
        <v>1265</v>
      </c>
      <c r="C120" s="126" t="s">
        <v>901</v>
      </c>
      <c r="D120" s="124">
        <f>0.85*2.2</f>
        <v>1.87</v>
      </c>
    </row>
    <row r="121" spans="1:28" x14ac:dyDescent="0.25">
      <c r="A121" s="117">
        <f t="shared" si="7"/>
        <v>11003</v>
      </c>
      <c r="B121" s="125" t="s">
        <v>1264</v>
      </c>
      <c r="C121" s="126" t="s">
        <v>744</v>
      </c>
      <c r="D121" s="124">
        <v>0.25</v>
      </c>
    </row>
    <row r="122" spans="1:28" x14ac:dyDescent="0.25">
      <c r="A122" s="117">
        <f t="shared" si="7"/>
        <v>11004</v>
      </c>
      <c r="B122" s="125" t="s">
        <v>1263</v>
      </c>
      <c r="C122" s="126" t="s">
        <v>772</v>
      </c>
      <c r="D122" s="124">
        <v>0.02</v>
      </c>
    </row>
    <row r="123" spans="1:28" x14ac:dyDescent="0.25">
      <c r="A123" s="117">
        <f t="shared" si="7"/>
        <v>11005</v>
      </c>
      <c r="B123" s="125" t="s">
        <v>1262</v>
      </c>
      <c r="C123" s="126" t="s">
        <v>744</v>
      </c>
      <c r="D123" s="124">
        <v>2</v>
      </c>
    </row>
    <row r="124" spans="1:28" x14ac:dyDescent="0.25">
      <c r="A124" s="117">
        <f t="shared" si="7"/>
        <v>11006</v>
      </c>
      <c r="B124" s="125" t="s">
        <v>1261</v>
      </c>
      <c r="C124" s="126" t="s">
        <v>744</v>
      </c>
      <c r="D124" s="124">
        <v>2.35</v>
      </c>
    </row>
    <row r="125" spans="1:28" x14ac:dyDescent="0.25">
      <c r="A125" s="117">
        <f t="shared" si="7"/>
        <v>11007</v>
      </c>
      <c r="B125" s="125" t="s">
        <v>1260</v>
      </c>
      <c r="C125" s="126" t="s">
        <v>901</v>
      </c>
      <c r="D125" s="124">
        <f>26.52/10</f>
        <v>2.6520000000000001</v>
      </c>
    </row>
    <row r="126" spans="1:28" x14ac:dyDescent="0.25">
      <c r="A126" s="117">
        <f t="shared" si="7"/>
        <v>11008</v>
      </c>
      <c r="B126" s="125" t="s">
        <v>1259</v>
      </c>
      <c r="C126" s="126" t="s">
        <v>744</v>
      </c>
      <c r="D126" s="124">
        <v>3.5</v>
      </c>
    </row>
    <row r="127" spans="1:28" x14ac:dyDescent="0.25">
      <c r="A127" s="117">
        <f t="shared" si="7"/>
        <v>11009</v>
      </c>
      <c r="B127" s="125" t="s">
        <v>1258</v>
      </c>
      <c r="C127" s="126" t="s">
        <v>744</v>
      </c>
      <c r="D127" s="124">
        <v>2.42</v>
      </c>
    </row>
    <row r="128" spans="1:28" x14ac:dyDescent="0.25">
      <c r="A128" s="117">
        <f t="shared" si="7"/>
        <v>11010</v>
      </c>
      <c r="B128" s="125" t="s">
        <v>1257</v>
      </c>
      <c r="C128" s="126" t="s">
        <v>744</v>
      </c>
      <c r="D128" s="124">
        <v>1.5</v>
      </c>
    </row>
    <row r="129" spans="1:28" x14ac:dyDescent="0.25">
      <c r="A129" s="117">
        <f t="shared" si="7"/>
        <v>11011</v>
      </c>
      <c r="B129" s="130" t="s">
        <v>1256</v>
      </c>
      <c r="C129" s="126" t="s">
        <v>744</v>
      </c>
      <c r="D129" s="124">
        <v>37.799999999999997</v>
      </c>
    </row>
    <row r="130" spans="1:28" x14ac:dyDescent="0.25">
      <c r="A130" s="117">
        <f t="shared" si="7"/>
        <v>11012</v>
      </c>
      <c r="B130" s="130" t="s">
        <v>1255</v>
      </c>
      <c r="C130" s="126" t="s">
        <v>744</v>
      </c>
      <c r="D130" s="124">
        <v>9.2200000000000006</v>
      </c>
    </row>
    <row r="131" spans="1:28" x14ac:dyDescent="0.25">
      <c r="A131" s="117">
        <f t="shared" si="7"/>
        <v>11013</v>
      </c>
      <c r="B131" s="125" t="s">
        <v>1254</v>
      </c>
      <c r="C131" s="126" t="s">
        <v>744</v>
      </c>
      <c r="D131" s="124">
        <v>11</v>
      </c>
    </row>
    <row r="132" spans="1:28" x14ac:dyDescent="0.25">
      <c r="A132" s="117">
        <f t="shared" si="7"/>
        <v>11014</v>
      </c>
      <c r="B132" s="125" t="s">
        <v>1253</v>
      </c>
      <c r="C132" s="126" t="s">
        <v>744</v>
      </c>
      <c r="D132" s="124">
        <v>6.2</v>
      </c>
    </row>
    <row r="133" spans="1:28" x14ac:dyDescent="0.25">
      <c r="A133" s="117">
        <f t="shared" si="7"/>
        <v>11015</v>
      </c>
      <c r="B133" s="125" t="s">
        <v>1252</v>
      </c>
      <c r="C133" s="126" t="s">
        <v>744</v>
      </c>
      <c r="D133" s="124">
        <v>6.39</v>
      </c>
    </row>
    <row r="134" spans="1:28" x14ac:dyDescent="0.25">
      <c r="A134" s="117">
        <f t="shared" si="7"/>
        <v>11016</v>
      </c>
      <c r="B134" s="117" t="s">
        <v>1251</v>
      </c>
      <c r="C134" s="126" t="s">
        <v>744</v>
      </c>
      <c r="D134" s="124">
        <v>0.77</v>
      </c>
    </row>
    <row r="135" spans="1:28" x14ac:dyDescent="0.25">
      <c r="A135" s="117">
        <f t="shared" si="7"/>
        <v>11017</v>
      </c>
      <c r="B135" s="130" t="s">
        <v>1250</v>
      </c>
      <c r="C135" s="126" t="s">
        <v>744</v>
      </c>
      <c r="D135" s="124">
        <v>24.17</v>
      </c>
    </row>
    <row r="136" spans="1:28" s="640" customFormat="1" x14ac:dyDescent="0.25">
      <c r="B136" s="647" t="s">
        <v>1249</v>
      </c>
      <c r="C136" s="638"/>
      <c r="D136" s="639"/>
      <c r="Z136" s="643"/>
      <c r="AA136" s="643"/>
      <c r="AB136" s="643"/>
    </row>
    <row r="137" spans="1:28" x14ac:dyDescent="0.25">
      <c r="A137" s="117">
        <v>12001</v>
      </c>
      <c r="B137" s="130" t="s">
        <v>1248</v>
      </c>
      <c r="C137" s="126" t="s">
        <v>915</v>
      </c>
      <c r="D137" s="131">
        <v>13</v>
      </c>
    </row>
    <row r="138" spans="1:28" x14ac:dyDescent="0.25">
      <c r="A138" s="117">
        <f t="shared" ref="A138:A163" si="8">+A137+1</f>
        <v>12002</v>
      </c>
      <c r="B138" s="125" t="s">
        <v>1247</v>
      </c>
      <c r="C138" s="126" t="s">
        <v>915</v>
      </c>
      <c r="D138" s="131">
        <f>ROUND(10.25*1.12,2)</f>
        <v>11.48</v>
      </c>
      <c r="E138" s="2">
        <f>10.25/4</f>
        <v>2.5625</v>
      </c>
    </row>
    <row r="139" spans="1:28" x14ac:dyDescent="0.25">
      <c r="A139" s="117">
        <f t="shared" si="8"/>
        <v>12003</v>
      </c>
      <c r="B139" s="125" t="s">
        <v>1246</v>
      </c>
      <c r="C139" s="126" t="s">
        <v>744</v>
      </c>
      <c r="D139" s="131">
        <v>32.020000000000003</v>
      </c>
      <c r="E139" s="2">
        <f>+E138*6.5</f>
        <v>16.65625</v>
      </c>
    </row>
    <row r="140" spans="1:28" x14ac:dyDescent="0.25">
      <c r="A140" s="117">
        <f t="shared" si="8"/>
        <v>12004</v>
      </c>
      <c r="B140" s="125" t="s">
        <v>1245</v>
      </c>
      <c r="C140" s="126" t="s">
        <v>744</v>
      </c>
      <c r="D140" s="131">
        <v>0.05</v>
      </c>
      <c r="E140" s="2">
        <f>+E138*5</f>
        <v>12.8125</v>
      </c>
    </row>
    <row r="141" spans="1:28" x14ac:dyDescent="0.25">
      <c r="A141" s="117">
        <f t="shared" si="8"/>
        <v>12005</v>
      </c>
      <c r="B141" s="125" t="s">
        <v>1244</v>
      </c>
      <c r="C141" s="126" t="s">
        <v>744</v>
      </c>
      <c r="D141" s="131">
        <v>9.07</v>
      </c>
    </row>
    <row r="142" spans="1:28" x14ac:dyDescent="0.25">
      <c r="A142" s="117">
        <f t="shared" si="8"/>
        <v>12006</v>
      </c>
      <c r="B142" s="130" t="s">
        <v>286</v>
      </c>
      <c r="C142" s="126" t="s">
        <v>915</v>
      </c>
      <c r="D142" s="131">
        <f>13.45/(1*2.4)</f>
        <v>5.604166666666667</v>
      </c>
    </row>
    <row r="143" spans="1:28" x14ac:dyDescent="0.25">
      <c r="A143" s="117">
        <f t="shared" si="8"/>
        <v>12007</v>
      </c>
      <c r="B143" s="125" t="s">
        <v>1243</v>
      </c>
      <c r="C143" s="126" t="s">
        <v>744</v>
      </c>
      <c r="D143" s="131">
        <v>0.15</v>
      </c>
    </row>
    <row r="144" spans="1:28" x14ac:dyDescent="0.25">
      <c r="A144" s="117">
        <f t="shared" si="8"/>
        <v>12008</v>
      </c>
      <c r="B144" s="125" t="s">
        <v>1242</v>
      </c>
      <c r="C144" s="126" t="s">
        <v>772</v>
      </c>
      <c r="D144" s="131">
        <f>8.8/6</f>
        <v>1.4666666666666668</v>
      </c>
    </row>
    <row r="145" spans="1:4" x14ac:dyDescent="0.25">
      <c r="A145" s="117">
        <f t="shared" si="8"/>
        <v>12009</v>
      </c>
      <c r="B145" s="130" t="s">
        <v>1241</v>
      </c>
      <c r="C145" s="126" t="s">
        <v>915</v>
      </c>
      <c r="D145" s="131">
        <f>9.59*1.12</f>
        <v>10.7408</v>
      </c>
    </row>
    <row r="146" spans="1:4" x14ac:dyDescent="0.25">
      <c r="A146" s="117">
        <f t="shared" si="8"/>
        <v>12010</v>
      </c>
      <c r="B146" s="125" t="s">
        <v>1240</v>
      </c>
      <c r="C146" s="126" t="s">
        <v>744</v>
      </c>
      <c r="D146" s="131">
        <v>0.15</v>
      </c>
    </row>
    <row r="147" spans="1:4" x14ac:dyDescent="0.25">
      <c r="A147" s="117">
        <f t="shared" si="8"/>
        <v>12011</v>
      </c>
      <c r="B147" s="130" t="s">
        <v>1239</v>
      </c>
      <c r="C147" s="126" t="s">
        <v>915</v>
      </c>
      <c r="D147" s="131">
        <f>1.68*4/(1.2*1.2)</f>
        <v>4.666666666666667</v>
      </c>
    </row>
    <row r="148" spans="1:4" x14ac:dyDescent="0.25">
      <c r="A148" s="117">
        <f t="shared" si="8"/>
        <v>12012</v>
      </c>
      <c r="B148" s="130" t="s">
        <v>1238</v>
      </c>
      <c r="C148" s="126" t="s">
        <v>744</v>
      </c>
      <c r="D148" s="131">
        <v>8.5299999999999994</v>
      </c>
    </row>
    <row r="149" spans="1:4" x14ac:dyDescent="0.25">
      <c r="A149" s="117">
        <f t="shared" si="8"/>
        <v>12013</v>
      </c>
      <c r="B149" s="125" t="s">
        <v>1237</v>
      </c>
      <c r="C149" s="126" t="s">
        <v>772</v>
      </c>
      <c r="D149" s="131">
        <v>10.3</v>
      </c>
    </row>
    <row r="150" spans="1:4" x14ac:dyDescent="0.25">
      <c r="A150" s="117">
        <f t="shared" si="8"/>
        <v>12014</v>
      </c>
      <c r="B150" s="125" t="s">
        <v>1236</v>
      </c>
      <c r="C150" s="126" t="s">
        <v>915</v>
      </c>
      <c r="D150" s="131">
        <f>1.82*4/(1.2*1.2)</f>
        <v>5.0555555555555562</v>
      </c>
    </row>
    <row r="151" spans="1:4" x14ac:dyDescent="0.25">
      <c r="A151" s="117">
        <f t="shared" si="8"/>
        <v>12015</v>
      </c>
      <c r="B151" s="125" t="s">
        <v>77</v>
      </c>
      <c r="C151" s="126" t="s">
        <v>915</v>
      </c>
      <c r="D151" s="131">
        <v>13.5</v>
      </c>
    </row>
    <row r="152" spans="1:4" x14ac:dyDescent="0.25">
      <c r="A152" s="117">
        <f t="shared" si="8"/>
        <v>12016</v>
      </c>
      <c r="B152" s="125" t="s">
        <v>1235</v>
      </c>
      <c r="C152" s="126" t="s">
        <v>915</v>
      </c>
      <c r="D152" s="131">
        <f>(30*1.12)/(1*2)</f>
        <v>16.8</v>
      </c>
    </row>
    <row r="153" spans="1:4" x14ac:dyDescent="0.25">
      <c r="A153" s="117">
        <f t="shared" si="8"/>
        <v>12017</v>
      </c>
      <c r="B153" s="125" t="s">
        <v>1234</v>
      </c>
      <c r="C153" s="126" t="s">
        <v>772</v>
      </c>
      <c r="D153" s="131">
        <f>ROUND(10.25*1.12*0.6,2)+2*2</f>
        <v>10.89</v>
      </c>
    </row>
    <row r="154" spans="1:4" x14ac:dyDescent="0.25">
      <c r="A154" s="117">
        <f t="shared" si="8"/>
        <v>12018</v>
      </c>
      <c r="B154" s="125" t="s">
        <v>1233</v>
      </c>
      <c r="C154" s="126" t="s">
        <v>772</v>
      </c>
      <c r="D154" s="131">
        <f>ROUND(12.81*1.12*0.6,2)+2*2</f>
        <v>12.61</v>
      </c>
    </row>
    <row r="155" spans="1:4" x14ac:dyDescent="0.25">
      <c r="A155" s="117">
        <f t="shared" si="8"/>
        <v>12019</v>
      </c>
      <c r="B155" s="125" t="s">
        <v>1232</v>
      </c>
      <c r="C155" s="126" t="s">
        <v>772</v>
      </c>
      <c r="D155" s="131">
        <f>14.41/3</f>
        <v>4.8033333333333337</v>
      </c>
    </row>
    <row r="156" spans="1:4" x14ac:dyDescent="0.25">
      <c r="A156" s="117">
        <f t="shared" si="8"/>
        <v>12020</v>
      </c>
      <c r="B156" s="125" t="s">
        <v>1231</v>
      </c>
      <c r="C156" s="126" t="s">
        <v>772</v>
      </c>
      <c r="D156" s="131">
        <v>20</v>
      </c>
    </row>
    <row r="157" spans="1:4" x14ac:dyDescent="0.25">
      <c r="A157" s="117">
        <f t="shared" si="8"/>
        <v>12021</v>
      </c>
      <c r="B157" s="130" t="s">
        <v>1230</v>
      </c>
      <c r="C157" s="126" t="s">
        <v>915</v>
      </c>
      <c r="D157" s="131">
        <f>14-2.8</f>
        <v>11.2</v>
      </c>
    </row>
    <row r="158" spans="1:4" x14ac:dyDescent="0.25">
      <c r="A158" s="117">
        <f t="shared" si="8"/>
        <v>12022</v>
      </c>
      <c r="B158" s="125" t="s">
        <v>1229</v>
      </c>
      <c r="C158" s="126" t="s">
        <v>915</v>
      </c>
      <c r="D158" s="131">
        <f>3.5*0.65</f>
        <v>2.2749999999999999</v>
      </c>
    </row>
    <row r="159" spans="1:4" x14ac:dyDescent="0.25">
      <c r="A159" s="117">
        <f t="shared" si="8"/>
        <v>12023</v>
      </c>
      <c r="B159" s="125" t="s">
        <v>1228</v>
      </c>
      <c r="C159" s="126" t="s">
        <v>915</v>
      </c>
      <c r="D159" s="131">
        <f>3.5*0.85</f>
        <v>2.9750000000000001</v>
      </c>
    </row>
    <row r="160" spans="1:4" x14ac:dyDescent="0.25">
      <c r="A160" s="117">
        <f t="shared" si="8"/>
        <v>12024</v>
      </c>
      <c r="B160" s="125" t="s">
        <v>1227</v>
      </c>
      <c r="C160" s="126" t="s">
        <v>915</v>
      </c>
      <c r="D160" s="131">
        <v>75</v>
      </c>
    </row>
    <row r="161" spans="1:28" x14ac:dyDescent="0.25">
      <c r="A161" s="117">
        <f t="shared" si="8"/>
        <v>12025</v>
      </c>
      <c r="B161" s="125" t="s">
        <v>918</v>
      </c>
      <c r="C161" s="126" t="s">
        <v>744</v>
      </c>
      <c r="D161" s="131">
        <f>0.81*1.12</f>
        <v>0.90720000000000012</v>
      </c>
    </row>
    <row r="162" spans="1:28" x14ac:dyDescent="0.25">
      <c r="A162" s="117">
        <f t="shared" si="8"/>
        <v>12026</v>
      </c>
      <c r="B162" s="125" t="s">
        <v>917</v>
      </c>
      <c r="C162" s="126" t="s">
        <v>744</v>
      </c>
      <c r="D162" s="131">
        <f>0.44*1.12</f>
        <v>0.49280000000000007</v>
      </c>
    </row>
    <row r="163" spans="1:28" x14ac:dyDescent="0.25">
      <c r="A163" s="117">
        <f t="shared" si="8"/>
        <v>12027</v>
      </c>
      <c r="B163" s="125" t="s">
        <v>1226</v>
      </c>
      <c r="C163" s="126" t="s">
        <v>915</v>
      </c>
      <c r="D163" s="131">
        <f>ROUND(12.81*1.12,2)</f>
        <v>14.35</v>
      </c>
      <c r="E163" s="131"/>
    </row>
    <row r="164" spans="1:28" s="640" customFormat="1" x14ac:dyDescent="0.25">
      <c r="B164" s="647" t="s">
        <v>1225</v>
      </c>
      <c r="C164" s="638"/>
      <c r="D164" s="648"/>
      <c r="Z164" s="643"/>
      <c r="AA164" s="643"/>
      <c r="AB164" s="643"/>
    </row>
    <row r="165" spans="1:28" x14ac:dyDescent="0.25">
      <c r="A165" s="117">
        <v>13001</v>
      </c>
      <c r="B165" s="125" t="s">
        <v>1224</v>
      </c>
      <c r="C165" s="126" t="s">
        <v>899</v>
      </c>
      <c r="D165" s="131">
        <f>ROUND(9.43*4,2)</f>
        <v>37.72</v>
      </c>
    </row>
    <row r="166" spans="1:28" x14ac:dyDescent="0.25">
      <c r="A166" s="117">
        <f t="shared" ref="A166:A182" si="9">+A165+1</f>
        <v>13002</v>
      </c>
      <c r="B166" s="125" t="s">
        <v>1223</v>
      </c>
      <c r="C166" s="126" t="s">
        <v>899</v>
      </c>
      <c r="D166" s="131">
        <f>ROUND(9.63*4,2)</f>
        <v>38.520000000000003</v>
      </c>
    </row>
    <row r="167" spans="1:28" x14ac:dyDescent="0.25">
      <c r="A167" s="117">
        <f t="shared" si="9"/>
        <v>13003</v>
      </c>
      <c r="B167" s="125" t="s">
        <v>1222</v>
      </c>
      <c r="C167" s="126" t="s">
        <v>899</v>
      </c>
      <c r="D167" s="131">
        <v>20</v>
      </c>
    </row>
    <row r="168" spans="1:28" x14ac:dyDescent="0.25">
      <c r="A168" s="117">
        <f t="shared" si="9"/>
        <v>13004</v>
      </c>
      <c r="B168" s="125" t="s">
        <v>1221</v>
      </c>
      <c r="C168" s="126" t="s">
        <v>899</v>
      </c>
      <c r="D168" s="131">
        <v>18.11</v>
      </c>
    </row>
    <row r="169" spans="1:28" x14ac:dyDescent="0.25">
      <c r="A169" s="117">
        <f t="shared" si="9"/>
        <v>13005</v>
      </c>
      <c r="B169" s="125" t="s">
        <v>587</v>
      </c>
      <c r="C169" s="126" t="s">
        <v>899</v>
      </c>
      <c r="D169" s="131">
        <v>14</v>
      </c>
    </row>
    <row r="170" spans="1:28" x14ac:dyDescent="0.25">
      <c r="A170" s="117">
        <f t="shared" si="9"/>
        <v>13006</v>
      </c>
      <c r="B170" s="125" t="s">
        <v>1220</v>
      </c>
      <c r="C170" s="126" t="s">
        <v>899</v>
      </c>
      <c r="D170" s="131">
        <v>15</v>
      </c>
    </row>
    <row r="171" spans="1:28" x14ac:dyDescent="0.25">
      <c r="A171" s="117">
        <f t="shared" si="9"/>
        <v>13007</v>
      </c>
      <c r="B171" s="125" t="s">
        <v>1219</v>
      </c>
      <c r="C171" s="126" t="s">
        <v>899</v>
      </c>
      <c r="D171" s="131">
        <v>6.79</v>
      </c>
    </row>
    <row r="172" spans="1:28" x14ac:dyDescent="0.25">
      <c r="A172" s="117">
        <f t="shared" si="9"/>
        <v>13008</v>
      </c>
      <c r="B172" s="125" t="s">
        <v>1204</v>
      </c>
      <c r="C172" s="126" t="s">
        <v>899</v>
      </c>
      <c r="D172" s="131">
        <v>24.04</v>
      </c>
    </row>
    <row r="173" spans="1:28" x14ac:dyDescent="0.25">
      <c r="A173" s="117">
        <f t="shared" si="9"/>
        <v>13009</v>
      </c>
      <c r="B173" s="125" t="s">
        <v>1203</v>
      </c>
      <c r="C173" s="126" t="s">
        <v>899</v>
      </c>
      <c r="D173" s="131">
        <v>18.329999999999998</v>
      </c>
    </row>
    <row r="174" spans="1:28" x14ac:dyDescent="0.25">
      <c r="A174" s="117">
        <f t="shared" si="9"/>
        <v>13010</v>
      </c>
      <c r="B174" s="125" t="s">
        <v>1202</v>
      </c>
      <c r="C174" s="126" t="s">
        <v>899</v>
      </c>
      <c r="D174" s="131">
        <v>6</v>
      </c>
    </row>
    <row r="175" spans="1:28" x14ac:dyDescent="0.25">
      <c r="A175" s="117">
        <f t="shared" si="9"/>
        <v>13011</v>
      </c>
      <c r="B175" s="125" t="s">
        <v>1201</v>
      </c>
      <c r="C175" s="126" t="s">
        <v>899</v>
      </c>
      <c r="D175" s="131">
        <v>12</v>
      </c>
    </row>
    <row r="176" spans="1:28" x14ac:dyDescent="0.25">
      <c r="A176" s="117">
        <f t="shared" si="9"/>
        <v>13012</v>
      </c>
      <c r="B176" s="125" t="s">
        <v>1200</v>
      </c>
      <c r="C176" s="126" t="s">
        <v>1196</v>
      </c>
      <c r="D176" s="131">
        <v>1.36</v>
      </c>
    </row>
    <row r="177" spans="1:28" x14ac:dyDescent="0.25">
      <c r="A177" s="117">
        <f t="shared" si="9"/>
        <v>13013</v>
      </c>
      <c r="B177" s="125" t="s">
        <v>1199</v>
      </c>
      <c r="C177" s="126" t="s">
        <v>1198</v>
      </c>
      <c r="D177" s="131">
        <v>0.54</v>
      </c>
    </row>
    <row r="178" spans="1:28" x14ac:dyDescent="0.25">
      <c r="A178" s="117">
        <f t="shared" si="9"/>
        <v>13014</v>
      </c>
      <c r="B178" s="125" t="s">
        <v>1197</v>
      </c>
      <c r="C178" s="126" t="s">
        <v>1196</v>
      </c>
      <c r="D178" s="131">
        <v>3.4</v>
      </c>
    </row>
    <row r="179" spans="1:28" x14ac:dyDescent="0.25">
      <c r="A179" s="117">
        <f t="shared" si="9"/>
        <v>13015</v>
      </c>
      <c r="B179" s="125" t="s">
        <v>1195</v>
      </c>
      <c r="C179" s="126" t="s">
        <v>856</v>
      </c>
      <c r="D179" s="131">
        <v>2.16</v>
      </c>
    </row>
    <row r="180" spans="1:28" x14ac:dyDescent="0.25">
      <c r="A180" s="117">
        <f t="shared" si="9"/>
        <v>13016</v>
      </c>
      <c r="B180" s="125" t="s">
        <v>1194</v>
      </c>
      <c r="C180" s="126" t="s">
        <v>899</v>
      </c>
      <c r="D180" s="131">
        <v>16</v>
      </c>
    </row>
    <row r="181" spans="1:28" x14ac:dyDescent="0.25">
      <c r="A181" s="117">
        <f t="shared" si="9"/>
        <v>13017</v>
      </c>
      <c r="B181" s="125" t="s">
        <v>1193</v>
      </c>
      <c r="C181" s="126" t="s">
        <v>899</v>
      </c>
      <c r="D181" s="131">
        <v>17</v>
      </c>
    </row>
    <row r="182" spans="1:28" x14ac:dyDescent="0.25">
      <c r="A182" s="117">
        <f t="shared" si="9"/>
        <v>13018</v>
      </c>
      <c r="B182" s="125" t="s">
        <v>1192</v>
      </c>
      <c r="C182" s="126" t="s">
        <v>899</v>
      </c>
      <c r="D182" s="131">
        <v>9.31</v>
      </c>
    </row>
    <row r="183" spans="1:28" s="640" customFormat="1" x14ac:dyDescent="0.25">
      <c r="A183" s="641"/>
      <c r="B183" s="647" t="s">
        <v>1191</v>
      </c>
      <c r="C183" s="638"/>
      <c r="D183" s="648"/>
      <c r="Z183" s="643"/>
      <c r="AA183" s="643"/>
      <c r="AB183" s="643"/>
    </row>
    <row r="184" spans="1:28" x14ac:dyDescent="0.25">
      <c r="A184" s="117">
        <v>14001</v>
      </c>
      <c r="B184" s="125" t="s">
        <v>1190</v>
      </c>
      <c r="C184" s="126" t="s">
        <v>901</v>
      </c>
      <c r="D184" s="131">
        <v>1.5</v>
      </c>
    </row>
    <row r="185" spans="1:28" x14ac:dyDescent="0.25">
      <c r="A185" s="117">
        <f t="shared" ref="A185:A216" si="10">+A184+1</f>
        <v>14002</v>
      </c>
      <c r="B185" s="130" t="s">
        <v>1189</v>
      </c>
      <c r="C185" s="126" t="s">
        <v>901</v>
      </c>
      <c r="D185" s="131">
        <v>3.65</v>
      </c>
    </row>
    <row r="186" spans="1:28" x14ac:dyDescent="0.25">
      <c r="A186" s="117">
        <f t="shared" si="10"/>
        <v>14003</v>
      </c>
      <c r="B186" s="125" t="s">
        <v>1188</v>
      </c>
      <c r="C186" s="126" t="s">
        <v>901</v>
      </c>
      <c r="D186" s="131">
        <f>2.78/1.7</f>
        <v>1.6352941176470588</v>
      </c>
    </row>
    <row r="187" spans="1:28" x14ac:dyDescent="0.25">
      <c r="A187" s="117">
        <f t="shared" si="10"/>
        <v>14004</v>
      </c>
      <c r="B187" s="125" t="s">
        <v>637</v>
      </c>
      <c r="C187" s="126" t="s">
        <v>1509</v>
      </c>
      <c r="D187" s="131">
        <f>24.19/20</f>
        <v>1.2095</v>
      </c>
    </row>
    <row r="188" spans="1:28" x14ac:dyDescent="0.25">
      <c r="A188" s="117">
        <f t="shared" si="10"/>
        <v>14005</v>
      </c>
      <c r="B188" s="125" t="s">
        <v>1187</v>
      </c>
      <c r="C188" s="126" t="s">
        <v>899</v>
      </c>
      <c r="D188" s="131">
        <v>14.6</v>
      </c>
    </row>
    <row r="189" spans="1:28" x14ac:dyDescent="0.25">
      <c r="A189" s="117">
        <f t="shared" si="10"/>
        <v>14006</v>
      </c>
      <c r="B189" s="125" t="s">
        <v>1186</v>
      </c>
      <c r="C189" s="126" t="s">
        <v>899</v>
      </c>
      <c r="D189" s="131">
        <v>11.69</v>
      </c>
    </row>
    <row r="190" spans="1:28" x14ac:dyDescent="0.25">
      <c r="A190" s="117">
        <f t="shared" si="10"/>
        <v>14007</v>
      </c>
      <c r="B190" s="117" t="s">
        <v>1185</v>
      </c>
      <c r="C190" s="126" t="s">
        <v>1509</v>
      </c>
      <c r="D190" s="131">
        <f>20.19/20</f>
        <v>1.0095000000000001</v>
      </c>
    </row>
    <row r="191" spans="1:28" x14ac:dyDescent="0.25">
      <c r="A191" s="117">
        <f t="shared" si="10"/>
        <v>14008</v>
      </c>
      <c r="B191" s="117" t="s">
        <v>1184</v>
      </c>
      <c r="C191" s="126" t="s">
        <v>856</v>
      </c>
      <c r="D191" s="131">
        <v>3.8</v>
      </c>
    </row>
    <row r="192" spans="1:28" x14ac:dyDescent="0.25">
      <c r="A192" s="117">
        <f t="shared" si="10"/>
        <v>14009</v>
      </c>
      <c r="B192" s="117" t="s">
        <v>274</v>
      </c>
      <c r="C192" s="126" t="s">
        <v>856</v>
      </c>
      <c r="D192" s="131">
        <v>6.49</v>
      </c>
    </row>
    <row r="193" spans="1:5" x14ac:dyDescent="0.25">
      <c r="A193" s="117">
        <f t="shared" si="10"/>
        <v>14010</v>
      </c>
      <c r="B193" s="125" t="s">
        <v>1730</v>
      </c>
      <c r="C193" s="126" t="s">
        <v>915</v>
      </c>
      <c r="D193" s="131">
        <f>ROUND(15.8*1.12,2)</f>
        <v>17.7</v>
      </c>
    </row>
    <row r="194" spans="1:5" x14ac:dyDescent="0.25">
      <c r="A194" s="117">
        <f t="shared" si="10"/>
        <v>14011</v>
      </c>
      <c r="B194" s="117" t="s">
        <v>962</v>
      </c>
      <c r="C194" s="126" t="s">
        <v>961</v>
      </c>
      <c r="D194" s="131">
        <v>3</v>
      </c>
    </row>
    <row r="195" spans="1:5" x14ac:dyDescent="0.25">
      <c r="A195" s="117">
        <f t="shared" si="10"/>
        <v>14012</v>
      </c>
      <c r="B195" s="130" t="s">
        <v>960</v>
      </c>
      <c r="C195" s="126" t="s">
        <v>915</v>
      </c>
      <c r="D195" s="131">
        <f>92.77/15</f>
        <v>6.1846666666666668</v>
      </c>
    </row>
    <row r="196" spans="1:5" x14ac:dyDescent="0.25">
      <c r="A196" s="117">
        <f t="shared" si="10"/>
        <v>14013</v>
      </c>
      <c r="B196" s="117" t="s">
        <v>959</v>
      </c>
      <c r="C196" s="126" t="s">
        <v>901</v>
      </c>
      <c r="D196" s="131">
        <v>1.4</v>
      </c>
    </row>
    <row r="197" spans="1:5" x14ac:dyDescent="0.25">
      <c r="A197" s="117">
        <f t="shared" si="10"/>
        <v>14014</v>
      </c>
      <c r="B197" s="117" t="s">
        <v>958</v>
      </c>
      <c r="C197" s="126" t="s">
        <v>901</v>
      </c>
      <c r="D197" s="131">
        <f>14.45/5</f>
        <v>2.8899999999999997</v>
      </c>
    </row>
    <row r="198" spans="1:5" x14ac:dyDescent="0.25">
      <c r="A198" s="117">
        <f t="shared" si="10"/>
        <v>14015</v>
      </c>
      <c r="B198" s="117" t="s">
        <v>957</v>
      </c>
      <c r="C198" s="126" t="s">
        <v>901</v>
      </c>
      <c r="D198" s="131">
        <f>4.75/4</f>
        <v>1.1875</v>
      </c>
    </row>
    <row r="199" spans="1:5" x14ac:dyDescent="0.25">
      <c r="A199" s="117">
        <f t="shared" si="10"/>
        <v>14016</v>
      </c>
      <c r="B199" s="117" t="s">
        <v>956</v>
      </c>
      <c r="C199" s="126" t="s">
        <v>901</v>
      </c>
      <c r="D199" s="131">
        <f>15.22/4</f>
        <v>3.8050000000000002</v>
      </c>
    </row>
    <row r="200" spans="1:5" x14ac:dyDescent="0.25">
      <c r="A200" s="117">
        <f t="shared" si="10"/>
        <v>14017</v>
      </c>
      <c r="B200" s="125" t="s">
        <v>955</v>
      </c>
      <c r="C200" s="126" t="s">
        <v>901</v>
      </c>
      <c r="D200" s="131">
        <f>12.16/10</f>
        <v>1.216</v>
      </c>
    </row>
    <row r="201" spans="1:5" x14ac:dyDescent="0.25">
      <c r="A201" s="117">
        <f t="shared" si="10"/>
        <v>14018</v>
      </c>
      <c r="B201" s="125" t="s">
        <v>954</v>
      </c>
      <c r="C201" s="126" t="s">
        <v>945</v>
      </c>
      <c r="D201" s="117">
        <f>(69+9.11)</f>
        <v>78.11</v>
      </c>
      <c r="E201" s="2">
        <f>75.37-69</f>
        <v>6.3700000000000045</v>
      </c>
    </row>
    <row r="202" spans="1:5" x14ac:dyDescent="0.25">
      <c r="A202" s="117">
        <f t="shared" si="10"/>
        <v>14019</v>
      </c>
      <c r="B202" s="125" t="s">
        <v>953</v>
      </c>
      <c r="C202" s="126" t="s">
        <v>945</v>
      </c>
      <c r="D202" s="117">
        <f>75+9.11</f>
        <v>84.11</v>
      </c>
    </row>
    <row r="203" spans="1:5" x14ac:dyDescent="0.25">
      <c r="A203" s="117">
        <f t="shared" si="10"/>
        <v>14020</v>
      </c>
      <c r="B203" s="125" t="s">
        <v>952</v>
      </c>
      <c r="C203" s="126" t="s">
        <v>945</v>
      </c>
      <c r="D203" s="117">
        <f>98.39+9.11</f>
        <v>107.5</v>
      </c>
    </row>
    <row r="204" spans="1:5" x14ac:dyDescent="0.25">
      <c r="A204" s="117">
        <f t="shared" si="10"/>
        <v>14021</v>
      </c>
      <c r="B204" s="125" t="s">
        <v>951</v>
      </c>
      <c r="C204" s="126" t="s">
        <v>945</v>
      </c>
      <c r="D204" s="117">
        <f>(99.97+9.11)</f>
        <v>109.08</v>
      </c>
    </row>
    <row r="205" spans="1:5" x14ac:dyDescent="0.25">
      <c r="A205" s="117">
        <f t="shared" si="10"/>
        <v>14022</v>
      </c>
      <c r="B205" s="125" t="s">
        <v>950</v>
      </c>
      <c r="C205" s="126" t="s">
        <v>945</v>
      </c>
      <c r="D205" s="117">
        <f>101.13+9.11</f>
        <v>110.24</v>
      </c>
    </row>
    <row r="206" spans="1:5" x14ac:dyDescent="0.25">
      <c r="A206" s="117">
        <f t="shared" si="10"/>
        <v>14023</v>
      </c>
      <c r="B206" s="125" t="s">
        <v>949</v>
      </c>
      <c r="C206" s="126" t="s">
        <v>945</v>
      </c>
      <c r="D206" s="117">
        <f>102.13+9.11</f>
        <v>111.24</v>
      </c>
    </row>
    <row r="207" spans="1:5" x14ac:dyDescent="0.25">
      <c r="A207" s="117">
        <f t="shared" si="10"/>
        <v>14024</v>
      </c>
      <c r="B207" s="125" t="s">
        <v>948</v>
      </c>
      <c r="C207" s="134" t="s">
        <v>947</v>
      </c>
      <c r="D207" s="131">
        <v>20</v>
      </c>
    </row>
    <row r="208" spans="1:5" x14ac:dyDescent="0.25">
      <c r="A208" s="117">
        <f t="shared" si="10"/>
        <v>14025</v>
      </c>
      <c r="B208" s="125" t="s">
        <v>946</v>
      </c>
      <c r="C208" s="134" t="s">
        <v>945</v>
      </c>
      <c r="D208" s="131">
        <v>9</v>
      </c>
    </row>
    <row r="209" spans="1:28" x14ac:dyDescent="0.25">
      <c r="A209" s="117">
        <f t="shared" si="10"/>
        <v>14026</v>
      </c>
      <c r="B209" s="125" t="s">
        <v>275</v>
      </c>
      <c r="C209" s="134" t="s">
        <v>901</v>
      </c>
      <c r="D209" s="131">
        <v>3.21</v>
      </c>
      <c r="Z209" s="2"/>
      <c r="AA209" s="2"/>
      <c r="AB209" s="2"/>
    </row>
    <row r="210" spans="1:28" ht="14.1" customHeight="1" x14ac:dyDescent="0.25">
      <c r="A210" s="117">
        <f t="shared" si="10"/>
        <v>14027</v>
      </c>
      <c r="B210" s="125" t="s">
        <v>944</v>
      </c>
      <c r="C210" s="126" t="s">
        <v>901</v>
      </c>
      <c r="D210" s="131">
        <f>12.85*1.12/25</f>
        <v>0.57568000000000008</v>
      </c>
      <c r="M210" s="131"/>
      <c r="O210" s="132"/>
      <c r="P210" s="132"/>
      <c r="Q210" s="132"/>
      <c r="Z210" s="2"/>
      <c r="AA210" s="2"/>
      <c r="AB210" s="2"/>
    </row>
    <row r="211" spans="1:28" x14ac:dyDescent="0.25">
      <c r="A211" s="117">
        <f t="shared" si="10"/>
        <v>14028</v>
      </c>
      <c r="B211" s="130" t="s">
        <v>943</v>
      </c>
      <c r="C211" s="126" t="s">
        <v>915</v>
      </c>
      <c r="D211" s="131">
        <f>75.82/(10*2.2*0.6)</f>
        <v>5.7439393939393941</v>
      </c>
      <c r="Z211" s="2"/>
      <c r="AA211" s="2"/>
      <c r="AB211" s="2"/>
    </row>
    <row r="212" spans="1:28" x14ac:dyDescent="0.25">
      <c r="A212" s="117">
        <f t="shared" si="10"/>
        <v>14029</v>
      </c>
      <c r="B212" s="130" t="s">
        <v>942</v>
      </c>
      <c r="C212" s="126" t="s">
        <v>915</v>
      </c>
      <c r="D212" s="131">
        <f>47.52*1.12/15</f>
        <v>3.5481600000000006</v>
      </c>
      <c r="Z212" s="2"/>
      <c r="AA212" s="2"/>
      <c r="AB212" s="2"/>
    </row>
    <row r="213" spans="1:28" x14ac:dyDescent="0.25">
      <c r="A213" s="117">
        <f t="shared" si="10"/>
        <v>14030</v>
      </c>
      <c r="B213" s="125" t="s">
        <v>1427</v>
      </c>
      <c r="C213" s="126" t="s">
        <v>901</v>
      </c>
      <c r="D213" s="131">
        <f>8.19*1.12/25</f>
        <v>0.36691200000000002</v>
      </c>
      <c r="Z213" s="2"/>
      <c r="AA213" s="2"/>
      <c r="AB213" s="2"/>
    </row>
    <row r="214" spans="1:28" x14ac:dyDescent="0.25">
      <c r="A214" s="117">
        <f t="shared" si="10"/>
        <v>14031</v>
      </c>
      <c r="B214" s="125" t="s">
        <v>1729</v>
      </c>
      <c r="C214" s="126" t="s">
        <v>856</v>
      </c>
      <c r="D214" s="131">
        <f>6.26/4</f>
        <v>1.5649999999999999</v>
      </c>
      <c r="Z214" s="2"/>
      <c r="AA214" s="2"/>
      <c r="AB214" s="2"/>
    </row>
    <row r="215" spans="1:28" x14ac:dyDescent="0.25">
      <c r="A215" s="117">
        <f t="shared" si="10"/>
        <v>14032</v>
      </c>
      <c r="B215" s="125" t="s">
        <v>941</v>
      </c>
      <c r="C215" s="126" t="s">
        <v>744</v>
      </c>
      <c r="D215" s="131">
        <v>122.12</v>
      </c>
      <c r="Z215" s="2"/>
      <c r="AA215" s="2"/>
      <c r="AB215" s="2"/>
    </row>
    <row r="216" spans="1:28" x14ac:dyDescent="0.25">
      <c r="A216" s="117">
        <f t="shared" si="10"/>
        <v>14033</v>
      </c>
      <c r="B216" s="125" t="s">
        <v>940</v>
      </c>
      <c r="C216" s="126" t="s">
        <v>744</v>
      </c>
      <c r="D216" s="131">
        <v>227.43</v>
      </c>
      <c r="Z216" s="2"/>
      <c r="AA216" s="2"/>
      <c r="AB216" s="2"/>
    </row>
    <row r="217" spans="1:28" x14ac:dyDescent="0.25">
      <c r="A217" s="117">
        <f t="shared" ref="A217:A237" si="11">+A216+1</f>
        <v>14034</v>
      </c>
      <c r="B217" s="125" t="s">
        <v>939</v>
      </c>
      <c r="C217" s="126" t="s">
        <v>901</v>
      </c>
      <c r="D217" s="131">
        <v>0.8</v>
      </c>
      <c r="Z217" s="2"/>
      <c r="AA217" s="2"/>
      <c r="AB217" s="2"/>
    </row>
    <row r="218" spans="1:28" x14ac:dyDescent="0.25">
      <c r="A218" s="117">
        <f t="shared" si="11"/>
        <v>14035</v>
      </c>
      <c r="B218" s="125" t="s">
        <v>938</v>
      </c>
      <c r="C218" s="126" t="s">
        <v>937</v>
      </c>
      <c r="D218" s="131">
        <v>8</v>
      </c>
      <c r="Z218" s="2"/>
      <c r="AA218" s="2"/>
      <c r="AB218" s="2"/>
    </row>
    <row r="219" spans="1:28" x14ac:dyDescent="0.25">
      <c r="A219" s="117">
        <f t="shared" si="11"/>
        <v>14036</v>
      </c>
      <c r="B219" s="125" t="s">
        <v>936</v>
      </c>
      <c r="C219" s="126" t="s">
        <v>772</v>
      </c>
      <c r="D219" s="131">
        <v>2</v>
      </c>
      <c r="Z219" s="2"/>
      <c r="AA219" s="2"/>
      <c r="AB219" s="2"/>
    </row>
    <row r="220" spans="1:28" x14ac:dyDescent="0.25">
      <c r="A220" s="117">
        <f t="shared" si="11"/>
        <v>14037</v>
      </c>
      <c r="B220" s="125" t="s">
        <v>935</v>
      </c>
      <c r="C220" s="126" t="s">
        <v>934</v>
      </c>
      <c r="D220" s="131">
        <v>3</v>
      </c>
      <c r="Z220" s="2"/>
      <c r="AA220" s="2"/>
      <c r="AB220" s="2"/>
    </row>
    <row r="221" spans="1:28" x14ac:dyDescent="0.25">
      <c r="A221" s="117">
        <f t="shared" si="11"/>
        <v>14038</v>
      </c>
      <c r="B221" s="125" t="s">
        <v>933</v>
      </c>
      <c r="C221" s="126" t="s">
        <v>772</v>
      </c>
      <c r="D221" s="131">
        <v>2</v>
      </c>
      <c r="Z221" s="2"/>
      <c r="AA221" s="2"/>
      <c r="AB221" s="2"/>
    </row>
    <row r="222" spans="1:28" x14ac:dyDescent="0.25">
      <c r="A222" s="117">
        <f t="shared" si="11"/>
        <v>14039</v>
      </c>
      <c r="B222" s="125" t="s">
        <v>932</v>
      </c>
      <c r="C222" s="126" t="s">
        <v>744</v>
      </c>
      <c r="D222" s="131">
        <v>0.04</v>
      </c>
      <c r="Z222" s="2"/>
      <c r="AA222" s="2"/>
      <c r="AB222" s="2"/>
    </row>
    <row r="223" spans="1:28" x14ac:dyDescent="0.25">
      <c r="A223" s="117">
        <f t="shared" si="11"/>
        <v>14040</v>
      </c>
      <c r="B223" s="125" t="s">
        <v>931</v>
      </c>
      <c r="C223" s="126" t="s">
        <v>915</v>
      </c>
      <c r="D223" s="131">
        <v>8.5</v>
      </c>
      <c r="Z223" s="2"/>
      <c r="AA223" s="2"/>
      <c r="AB223" s="2"/>
    </row>
    <row r="224" spans="1:28" x14ac:dyDescent="0.25">
      <c r="A224" s="117">
        <f t="shared" si="11"/>
        <v>14041</v>
      </c>
      <c r="B224" s="125" t="s">
        <v>930</v>
      </c>
      <c r="C224" s="126" t="s">
        <v>901</v>
      </c>
      <c r="D224" s="131">
        <v>5.85</v>
      </c>
      <c r="Z224" s="2"/>
      <c r="AA224" s="2"/>
      <c r="AB224" s="2"/>
    </row>
    <row r="225" spans="1:28" x14ac:dyDescent="0.25">
      <c r="A225" s="117">
        <f t="shared" si="11"/>
        <v>14042</v>
      </c>
      <c r="B225" s="125" t="s">
        <v>929</v>
      </c>
      <c r="C225" s="126" t="s">
        <v>744</v>
      </c>
      <c r="D225" s="131">
        <v>72</v>
      </c>
    </row>
    <row r="226" spans="1:28" x14ac:dyDescent="0.25">
      <c r="A226" s="117">
        <f t="shared" si="11"/>
        <v>14043</v>
      </c>
      <c r="B226" s="125" t="s">
        <v>928</v>
      </c>
      <c r="C226" s="126" t="s">
        <v>772</v>
      </c>
      <c r="D226" s="131">
        <v>0.1</v>
      </c>
    </row>
    <row r="227" spans="1:28" x14ac:dyDescent="0.25">
      <c r="A227" s="117">
        <f t="shared" si="11"/>
        <v>14044</v>
      </c>
      <c r="B227" s="125" t="s">
        <v>927</v>
      </c>
      <c r="C227" s="126" t="s">
        <v>772</v>
      </c>
      <c r="D227" s="131">
        <v>0.52</v>
      </c>
    </row>
    <row r="228" spans="1:28" x14ac:dyDescent="0.25">
      <c r="A228" s="117">
        <f t="shared" si="11"/>
        <v>14045</v>
      </c>
      <c r="B228" s="125" t="s">
        <v>926</v>
      </c>
      <c r="C228" s="126" t="s">
        <v>744</v>
      </c>
      <c r="D228" s="131">
        <v>45</v>
      </c>
    </row>
    <row r="229" spans="1:28" x14ac:dyDescent="0.25">
      <c r="A229" s="117">
        <f t="shared" si="11"/>
        <v>14046</v>
      </c>
      <c r="B229" s="125" t="s">
        <v>925</v>
      </c>
      <c r="C229" s="126" t="s">
        <v>744</v>
      </c>
      <c r="D229" s="131">
        <v>55</v>
      </c>
    </row>
    <row r="230" spans="1:28" x14ac:dyDescent="0.25">
      <c r="A230" s="117">
        <f t="shared" si="11"/>
        <v>14047</v>
      </c>
      <c r="B230" s="125" t="s">
        <v>919</v>
      </c>
      <c r="C230" s="126" t="s">
        <v>744</v>
      </c>
      <c r="D230" s="131">
        <v>50</v>
      </c>
    </row>
    <row r="231" spans="1:28" x14ac:dyDescent="0.25">
      <c r="A231" s="117">
        <f t="shared" si="11"/>
        <v>14048</v>
      </c>
      <c r="B231" s="125" t="s">
        <v>918</v>
      </c>
      <c r="C231" s="126" t="s">
        <v>744</v>
      </c>
      <c r="D231" s="131">
        <f>0.81*1.12</f>
        <v>0.90720000000000012</v>
      </c>
    </row>
    <row r="232" spans="1:28" x14ac:dyDescent="0.25">
      <c r="A232" s="117">
        <f t="shared" si="11"/>
        <v>14049</v>
      </c>
      <c r="B232" s="125" t="s">
        <v>917</v>
      </c>
      <c r="C232" s="126" t="s">
        <v>744</v>
      </c>
      <c r="D232" s="131">
        <f>0.44*1.12</f>
        <v>0.49280000000000007</v>
      </c>
    </row>
    <row r="233" spans="1:28" x14ac:dyDescent="0.25">
      <c r="A233" s="117">
        <f t="shared" si="11"/>
        <v>14050</v>
      </c>
      <c r="B233" s="125" t="s">
        <v>916</v>
      </c>
      <c r="C233" s="126" t="s">
        <v>915</v>
      </c>
      <c r="D233" s="131">
        <v>57</v>
      </c>
    </row>
    <row r="234" spans="1:28" x14ac:dyDescent="0.25">
      <c r="A234" s="117">
        <f t="shared" si="11"/>
        <v>14051</v>
      </c>
      <c r="B234" s="125" t="s">
        <v>914</v>
      </c>
      <c r="C234" s="126" t="s">
        <v>744</v>
      </c>
      <c r="D234" s="131">
        <v>2.5</v>
      </c>
    </row>
    <row r="235" spans="1:28" x14ac:dyDescent="0.25">
      <c r="A235" s="117">
        <f t="shared" si="11"/>
        <v>14052</v>
      </c>
      <c r="B235" s="125" t="s">
        <v>903</v>
      </c>
      <c r="C235" s="126" t="s">
        <v>744</v>
      </c>
      <c r="D235" s="131">
        <v>60</v>
      </c>
    </row>
    <row r="236" spans="1:28" x14ac:dyDescent="0.25">
      <c r="A236" s="117">
        <f t="shared" si="11"/>
        <v>14053</v>
      </c>
      <c r="B236" s="125" t="s">
        <v>902</v>
      </c>
      <c r="C236" s="126" t="s">
        <v>901</v>
      </c>
      <c r="D236" s="131">
        <f>29.1/4</f>
        <v>7.2750000000000004</v>
      </c>
    </row>
    <row r="237" spans="1:28" x14ac:dyDescent="0.25">
      <c r="A237" s="117">
        <f t="shared" si="11"/>
        <v>14054</v>
      </c>
      <c r="B237" s="125" t="s">
        <v>900</v>
      </c>
      <c r="C237" s="126" t="s">
        <v>899</v>
      </c>
      <c r="D237" s="131">
        <v>28</v>
      </c>
    </row>
    <row r="238" spans="1:28" s="640" customFormat="1" x14ac:dyDescent="0.25">
      <c r="B238" s="647" t="s">
        <v>898</v>
      </c>
      <c r="C238" s="638"/>
      <c r="D238" s="639"/>
      <c r="Z238" s="643"/>
      <c r="AA238" s="643"/>
      <c r="AB238" s="643"/>
    </row>
    <row r="239" spans="1:28" x14ac:dyDescent="0.25">
      <c r="A239" s="117">
        <v>15001</v>
      </c>
      <c r="B239" s="125" t="s">
        <v>897</v>
      </c>
      <c r="C239" s="126" t="s">
        <v>744</v>
      </c>
      <c r="D239" s="131">
        <v>0.85</v>
      </c>
    </row>
    <row r="240" spans="1:28" x14ac:dyDescent="0.25">
      <c r="A240" s="117">
        <f t="shared" ref="A240:A258" si="12">+A239+1</f>
        <v>15002</v>
      </c>
      <c r="B240" s="125" t="s">
        <v>896</v>
      </c>
      <c r="C240" s="126" t="s">
        <v>744</v>
      </c>
      <c r="D240" s="131">
        <v>0.35</v>
      </c>
    </row>
    <row r="241" spans="1:4" x14ac:dyDescent="0.25">
      <c r="A241" s="117">
        <f t="shared" si="12"/>
        <v>15003</v>
      </c>
      <c r="B241" s="125" t="s">
        <v>895</v>
      </c>
      <c r="C241" s="126" t="s">
        <v>744</v>
      </c>
      <c r="D241" s="131">
        <v>0.52</v>
      </c>
    </row>
    <row r="242" spans="1:4" x14ac:dyDescent="0.25">
      <c r="A242" s="117">
        <f t="shared" si="12"/>
        <v>15004</v>
      </c>
      <c r="B242" s="125" t="s">
        <v>894</v>
      </c>
      <c r="C242" s="126" t="s">
        <v>744</v>
      </c>
      <c r="D242" s="131">
        <v>0.45</v>
      </c>
    </row>
    <row r="243" spans="1:4" x14ac:dyDescent="0.25">
      <c r="A243" s="117">
        <f t="shared" si="12"/>
        <v>15005</v>
      </c>
      <c r="B243" s="125" t="s">
        <v>893</v>
      </c>
      <c r="C243" s="126" t="s">
        <v>744</v>
      </c>
      <c r="D243" s="131">
        <v>0.67</v>
      </c>
    </row>
    <row r="244" spans="1:4" x14ac:dyDescent="0.25">
      <c r="A244" s="117">
        <f t="shared" si="12"/>
        <v>15006</v>
      </c>
      <c r="B244" s="130" t="s">
        <v>892</v>
      </c>
      <c r="C244" s="126" t="s">
        <v>744</v>
      </c>
      <c r="D244" s="131">
        <v>28.75</v>
      </c>
    </row>
    <row r="245" spans="1:4" x14ac:dyDescent="0.25">
      <c r="A245" s="117">
        <f t="shared" si="12"/>
        <v>15007</v>
      </c>
      <c r="B245" s="125" t="s">
        <v>891</v>
      </c>
      <c r="C245" s="126" t="s">
        <v>744</v>
      </c>
      <c r="D245" s="131">
        <v>25.37</v>
      </c>
    </row>
    <row r="246" spans="1:4" x14ac:dyDescent="0.25">
      <c r="A246" s="117">
        <f t="shared" si="12"/>
        <v>15008</v>
      </c>
      <c r="B246" s="125" t="s">
        <v>890</v>
      </c>
      <c r="C246" s="126" t="s">
        <v>744</v>
      </c>
      <c r="D246" s="131">
        <v>10.75</v>
      </c>
    </row>
    <row r="247" spans="1:4" x14ac:dyDescent="0.25">
      <c r="A247" s="117">
        <f t="shared" si="12"/>
        <v>15009</v>
      </c>
      <c r="B247" s="125" t="s">
        <v>889</v>
      </c>
      <c r="C247" s="126" t="s">
        <v>744</v>
      </c>
      <c r="D247" s="131">
        <v>13.23</v>
      </c>
    </row>
    <row r="248" spans="1:4" x14ac:dyDescent="0.25">
      <c r="A248" s="117">
        <f t="shared" si="12"/>
        <v>15010</v>
      </c>
      <c r="B248" s="125" t="s">
        <v>888</v>
      </c>
      <c r="C248" s="126" t="s">
        <v>744</v>
      </c>
      <c r="D248" s="131">
        <v>0.71</v>
      </c>
    </row>
    <row r="249" spans="1:4" x14ac:dyDescent="0.25">
      <c r="A249" s="117">
        <f t="shared" si="12"/>
        <v>15011</v>
      </c>
      <c r="B249" s="125" t="s">
        <v>887</v>
      </c>
      <c r="C249" s="126" t="s">
        <v>744</v>
      </c>
      <c r="D249" s="131">
        <v>0.32</v>
      </c>
    </row>
    <row r="250" spans="1:4" x14ac:dyDescent="0.25">
      <c r="A250" s="117">
        <f t="shared" si="12"/>
        <v>15012</v>
      </c>
      <c r="B250" s="125" t="s">
        <v>886</v>
      </c>
      <c r="C250" s="126" t="s">
        <v>744</v>
      </c>
      <c r="D250" s="131">
        <v>0.46</v>
      </c>
    </row>
    <row r="251" spans="1:4" x14ac:dyDescent="0.25">
      <c r="A251" s="117">
        <f t="shared" si="12"/>
        <v>15013</v>
      </c>
      <c r="B251" s="125" t="s">
        <v>885</v>
      </c>
      <c r="C251" s="126" t="s">
        <v>744</v>
      </c>
      <c r="D251" s="131">
        <v>30.92</v>
      </c>
    </row>
    <row r="252" spans="1:4" x14ac:dyDescent="0.25">
      <c r="A252" s="117">
        <f t="shared" si="12"/>
        <v>15014</v>
      </c>
      <c r="B252" s="125" t="s">
        <v>884</v>
      </c>
      <c r="C252" s="126" t="s">
        <v>744</v>
      </c>
      <c r="D252" s="131">
        <v>37.42</v>
      </c>
    </row>
    <row r="253" spans="1:4" x14ac:dyDescent="0.25">
      <c r="A253" s="117">
        <f t="shared" si="12"/>
        <v>15015</v>
      </c>
      <c r="B253" s="125" t="s">
        <v>883</v>
      </c>
      <c r="C253" s="126" t="s">
        <v>744</v>
      </c>
      <c r="D253" s="131">
        <v>46.32</v>
      </c>
    </row>
    <row r="254" spans="1:4" x14ac:dyDescent="0.25">
      <c r="A254" s="117">
        <f t="shared" si="12"/>
        <v>15016</v>
      </c>
      <c r="B254" s="125" t="s">
        <v>882</v>
      </c>
      <c r="C254" s="126" t="s">
        <v>744</v>
      </c>
      <c r="D254" s="131">
        <f>(46.32*1.25)</f>
        <v>57.9</v>
      </c>
    </row>
    <row r="255" spans="1:4" x14ac:dyDescent="0.25">
      <c r="A255" s="117">
        <f t="shared" si="12"/>
        <v>15017</v>
      </c>
      <c r="B255" s="125" t="s">
        <v>881</v>
      </c>
      <c r="C255" s="126" t="s">
        <v>744</v>
      </c>
      <c r="D255" s="131">
        <f>(39.72+20.45)*1.12</f>
        <v>67.390400000000014</v>
      </c>
    </row>
    <row r="256" spans="1:4" x14ac:dyDescent="0.25">
      <c r="A256" s="117">
        <f t="shared" si="12"/>
        <v>15018</v>
      </c>
      <c r="B256" s="125" t="s">
        <v>880</v>
      </c>
      <c r="C256" s="126" t="s">
        <v>744</v>
      </c>
      <c r="D256" s="131">
        <v>2.6</v>
      </c>
    </row>
    <row r="257" spans="1:28" x14ac:dyDescent="0.25">
      <c r="A257" s="117">
        <f t="shared" si="12"/>
        <v>15019</v>
      </c>
      <c r="B257" s="125" t="s">
        <v>879</v>
      </c>
      <c r="C257" s="126" t="s">
        <v>744</v>
      </c>
      <c r="D257" s="131">
        <v>1.2</v>
      </c>
    </row>
    <row r="258" spans="1:28" x14ac:dyDescent="0.25">
      <c r="A258" s="117">
        <f t="shared" si="12"/>
        <v>15020</v>
      </c>
      <c r="B258" s="125" t="s">
        <v>878</v>
      </c>
      <c r="C258" s="126" t="s">
        <v>744</v>
      </c>
      <c r="D258" s="131">
        <v>1.5</v>
      </c>
    </row>
    <row r="259" spans="1:28" s="640" customFormat="1" x14ac:dyDescent="0.25">
      <c r="B259" s="647" t="s">
        <v>877</v>
      </c>
      <c r="C259" s="638"/>
      <c r="D259" s="648"/>
      <c r="Z259" s="643"/>
      <c r="AA259" s="643"/>
      <c r="AB259" s="643"/>
    </row>
    <row r="260" spans="1:28" x14ac:dyDescent="0.25">
      <c r="A260" s="117">
        <v>16001</v>
      </c>
      <c r="B260" s="130" t="s">
        <v>871</v>
      </c>
      <c r="C260" s="126" t="s">
        <v>744</v>
      </c>
      <c r="D260" s="131">
        <v>0.63</v>
      </c>
    </row>
    <row r="261" spans="1:28" x14ac:dyDescent="0.25">
      <c r="A261" s="117">
        <f t="shared" ref="A261:A283" si="13">+A260+1</f>
        <v>16002</v>
      </c>
      <c r="B261" s="125" t="s">
        <v>870</v>
      </c>
      <c r="C261" s="126" t="s">
        <v>869</v>
      </c>
      <c r="D261" s="131">
        <v>0.35</v>
      </c>
    </row>
    <row r="262" spans="1:28" x14ac:dyDescent="0.25">
      <c r="A262" s="117">
        <f t="shared" si="13"/>
        <v>16003</v>
      </c>
      <c r="B262" s="125" t="s">
        <v>868</v>
      </c>
      <c r="C262" s="126" t="s">
        <v>744</v>
      </c>
      <c r="D262" s="131">
        <v>1.1200000000000001</v>
      </c>
    </row>
    <row r="263" spans="1:28" x14ac:dyDescent="0.25">
      <c r="A263" s="117">
        <f t="shared" si="13"/>
        <v>16004</v>
      </c>
      <c r="B263" s="125" t="s">
        <v>867</v>
      </c>
      <c r="C263" s="126" t="s">
        <v>744</v>
      </c>
      <c r="D263" s="131">
        <v>3.36</v>
      </c>
    </row>
    <row r="264" spans="1:28" x14ac:dyDescent="0.25">
      <c r="A264" s="117">
        <f t="shared" si="13"/>
        <v>16005</v>
      </c>
      <c r="B264" s="125" t="s">
        <v>866</v>
      </c>
      <c r="C264" s="126" t="s">
        <v>744</v>
      </c>
      <c r="D264" s="131">
        <v>17.920000000000002</v>
      </c>
    </row>
    <row r="265" spans="1:28" x14ac:dyDescent="0.25">
      <c r="A265" s="117">
        <f t="shared" si="13"/>
        <v>16006</v>
      </c>
      <c r="B265" s="125" t="s">
        <v>858</v>
      </c>
      <c r="C265" s="126" t="s">
        <v>744</v>
      </c>
      <c r="D265" s="131">
        <v>55</v>
      </c>
    </row>
    <row r="266" spans="1:28" x14ac:dyDescent="0.25">
      <c r="A266" s="117">
        <f t="shared" si="13"/>
        <v>16007</v>
      </c>
      <c r="B266" s="130" t="s">
        <v>857</v>
      </c>
      <c r="C266" s="126" t="s">
        <v>856</v>
      </c>
      <c r="D266" s="131">
        <v>11</v>
      </c>
    </row>
    <row r="267" spans="1:28" x14ac:dyDescent="0.25">
      <c r="A267" s="117">
        <f t="shared" si="13"/>
        <v>16008</v>
      </c>
      <c r="B267" s="125" t="s">
        <v>855</v>
      </c>
      <c r="C267" s="126" t="s">
        <v>744</v>
      </c>
      <c r="D267" s="131">
        <v>2.5099999999999998</v>
      </c>
    </row>
    <row r="268" spans="1:28" x14ac:dyDescent="0.25">
      <c r="A268" s="117">
        <f t="shared" si="13"/>
        <v>16009</v>
      </c>
      <c r="B268" s="130" t="s">
        <v>854</v>
      </c>
      <c r="C268" s="126" t="s">
        <v>744</v>
      </c>
      <c r="D268" s="131">
        <v>2.2000000000000002</v>
      </c>
    </row>
    <row r="269" spans="1:28" x14ac:dyDescent="0.25">
      <c r="A269" s="117">
        <f t="shared" si="13"/>
        <v>16010</v>
      </c>
      <c r="B269" s="125" t="s">
        <v>853</v>
      </c>
      <c r="C269" s="126" t="s">
        <v>744</v>
      </c>
      <c r="D269" s="131">
        <v>5.41</v>
      </c>
    </row>
    <row r="270" spans="1:28" x14ac:dyDescent="0.25">
      <c r="A270" s="117">
        <f t="shared" si="13"/>
        <v>16011</v>
      </c>
      <c r="B270" s="125" t="s">
        <v>852</v>
      </c>
      <c r="C270" s="126" t="s">
        <v>744</v>
      </c>
      <c r="D270" s="131">
        <v>13.66</v>
      </c>
    </row>
    <row r="271" spans="1:28" x14ac:dyDescent="0.25">
      <c r="A271" s="117">
        <f t="shared" si="13"/>
        <v>16012</v>
      </c>
      <c r="B271" s="130" t="s">
        <v>851</v>
      </c>
      <c r="C271" s="126" t="s">
        <v>744</v>
      </c>
      <c r="D271" s="131">
        <v>32.36</v>
      </c>
    </row>
    <row r="272" spans="1:28" x14ac:dyDescent="0.25">
      <c r="A272" s="117">
        <f t="shared" si="13"/>
        <v>16013</v>
      </c>
      <c r="B272" s="125" t="s">
        <v>850</v>
      </c>
      <c r="C272" s="126" t="s">
        <v>772</v>
      </c>
      <c r="D272" s="131">
        <v>3.9</v>
      </c>
    </row>
    <row r="273" spans="1:28" x14ac:dyDescent="0.25">
      <c r="A273" s="117">
        <f t="shared" si="13"/>
        <v>16014</v>
      </c>
      <c r="B273" s="125" t="s">
        <v>849</v>
      </c>
      <c r="C273" s="126" t="s">
        <v>772</v>
      </c>
      <c r="D273" s="131">
        <v>25.27</v>
      </c>
    </row>
    <row r="274" spans="1:28" x14ac:dyDescent="0.25">
      <c r="A274" s="117">
        <f t="shared" si="13"/>
        <v>16015</v>
      </c>
      <c r="B274" s="125" t="s">
        <v>848</v>
      </c>
      <c r="C274" s="126" t="s">
        <v>744</v>
      </c>
      <c r="D274" s="131">
        <v>17.920000000000002</v>
      </c>
    </row>
    <row r="275" spans="1:28" x14ac:dyDescent="0.25">
      <c r="A275" s="117">
        <f t="shared" si="13"/>
        <v>16016</v>
      </c>
      <c r="B275" s="125" t="s">
        <v>847</v>
      </c>
      <c r="C275" s="126" t="s">
        <v>744</v>
      </c>
      <c r="D275" s="131">
        <v>2.2000000000000002</v>
      </c>
    </row>
    <row r="276" spans="1:28" x14ac:dyDescent="0.25">
      <c r="A276" s="117">
        <f t="shared" si="13"/>
        <v>16017</v>
      </c>
      <c r="B276" s="130" t="s">
        <v>846</v>
      </c>
      <c r="C276" s="126" t="s">
        <v>744</v>
      </c>
      <c r="D276" s="131">
        <v>1.43</v>
      </c>
    </row>
    <row r="277" spans="1:28" x14ac:dyDescent="0.25">
      <c r="A277" s="117">
        <f t="shared" si="13"/>
        <v>16018</v>
      </c>
      <c r="B277" s="125" t="s">
        <v>845</v>
      </c>
      <c r="C277" s="126" t="s">
        <v>744</v>
      </c>
      <c r="D277" s="131">
        <v>4.72</v>
      </c>
    </row>
    <row r="278" spans="1:28" x14ac:dyDescent="0.25">
      <c r="A278" s="117">
        <f t="shared" si="13"/>
        <v>16019</v>
      </c>
      <c r="B278" s="125" t="s">
        <v>844</v>
      </c>
      <c r="C278" s="126" t="s">
        <v>744</v>
      </c>
      <c r="D278" s="131">
        <v>2.75</v>
      </c>
    </row>
    <row r="279" spans="1:28" x14ac:dyDescent="0.25">
      <c r="A279" s="117">
        <f t="shared" si="13"/>
        <v>16020</v>
      </c>
      <c r="B279" s="125" t="s">
        <v>843</v>
      </c>
      <c r="C279" s="126" t="s">
        <v>842</v>
      </c>
      <c r="D279" s="131">
        <v>4.5999999999999996</v>
      </c>
    </row>
    <row r="280" spans="1:28" x14ac:dyDescent="0.25">
      <c r="A280" s="117">
        <f t="shared" si="13"/>
        <v>16021</v>
      </c>
      <c r="B280" s="125" t="s">
        <v>841</v>
      </c>
      <c r="C280" s="126" t="s">
        <v>744</v>
      </c>
      <c r="D280" s="131">
        <v>2.75</v>
      </c>
    </row>
    <row r="281" spans="1:28" x14ac:dyDescent="0.25">
      <c r="A281" s="117">
        <f t="shared" si="13"/>
        <v>16022</v>
      </c>
      <c r="B281" s="125" t="s">
        <v>840</v>
      </c>
      <c r="C281" s="126" t="s">
        <v>839</v>
      </c>
      <c r="D281" s="131">
        <v>0.45</v>
      </c>
    </row>
    <row r="282" spans="1:28" x14ac:dyDescent="0.25">
      <c r="A282" s="117">
        <f t="shared" si="13"/>
        <v>16023</v>
      </c>
      <c r="B282" s="130" t="s">
        <v>838</v>
      </c>
      <c r="C282" s="126" t="s">
        <v>744</v>
      </c>
      <c r="D282" s="131">
        <v>82.53</v>
      </c>
    </row>
    <row r="283" spans="1:28" x14ac:dyDescent="0.25">
      <c r="A283" s="117">
        <f t="shared" si="13"/>
        <v>16024</v>
      </c>
      <c r="B283" s="130" t="s">
        <v>837</v>
      </c>
      <c r="C283" s="126" t="s">
        <v>744</v>
      </c>
      <c r="D283" s="131">
        <v>11.76</v>
      </c>
    </row>
    <row r="284" spans="1:28" s="640" customFormat="1" x14ac:dyDescent="0.25">
      <c r="A284" s="643"/>
      <c r="B284" s="647" t="s">
        <v>718</v>
      </c>
      <c r="C284" s="638"/>
      <c r="D284" s="648"/>
      <c r="Z284" s="643"/>
      <c r="AA284" s="643"/>
      <c r="AB284" s="643"/>
    </row>
    <row r="285" spans="1:28" x14ac:dyDescent="0.25">
      <c r="A285" s="117">
        <v>17001</v>
      </c>
      <c r="B285" s="125" t="s">
        <v>836</v>
      </c>
      <c r="C285" s="126" t="s">
        <v>744</v>
      </c>
      <c r="D285" s="131">
        <f>15.96*1.12</f>
        <v>17.875200000000003</v>
      </c>
    </row>
    <row r="286" spans="1:28" x14ac:dyDescent="0.25">
      <c r="A286" s="117">
        <f t="shared" ref="A286:A321" si="14">+A285+1</f>
        <v>17002</v>
      </c>
      <c r="B286" s="125" t="s">
        <v>835</v>
      </c>
      <c r="C286" s="126" t="s">
        <v>744</v>
      </c>
      <c r="D286" s="131">
        <f>18*1.12</f>
        <v>20.160000000000004</v>
      </c>
    </row>
    <row r="287" spans="1:28" x14ac:dyDescent="0.25">
      <c r="A287" s="117">
        <f t="shared" si="14"/>
        <v>17003</v>
      </c>
      <c r="B287" s="125" t="s">
        <v>834</v>
      </c>
      <c r="C287" s="126" t="s">
        <v>744</v>
      </c>
      <c r="D287" s="131">
        <f>35*1.12</f>
        <v>39.200000000000003</v>
      </c>
    </row>
    <row r="288" spans="1:28" x14ac:dyDescent="0.25">
      <c r="A288" s="117">
        <f t="shared" si="14"/>
        <v>17004</v>
      </c>
      <c r="B288" s="130" t="s">
        <v>833</v>
      </c>
      <c r="C288" s="126" t="s">
        <v>744</v>
      </c>
      <c r="D288" s="131">
        <v>68.510000000000005</v>
      </c>
    </row>
    <row r="289" spans="1:4" x14ac:dyDescent="0.25">
      <c r="A289" s="117">
        <f t="shared" si="14"/>
        <v>17005</v>
      </c>
      <c r="B289" s="130" t="s">
        <v>832</v>
      </c>
      <c r="C289" s="126" t="s">
        <v>744</v>
      </c>
      <c r="D289" s="131">
        <v>76.72</v>
      </c>
    </row>
    <row r="290" spans="1:4" x14ac:dyDescent="0.25">
      <c r="A290" s="117">
        <f t="shared" si="14"/>
        <v>17006</v>
      </c>
      <c r="B290" s="130" t="s">
        <v>831</v>
      </c>
      <c r="C290" s="126" t="s">
        <v>744</v>
      </c>
      <c r="D290" s="131">
        <v>290.45999999999998</v>
      </c>
    </row>
    <row r="291" spans="1:4" x14ac:dyDescent="0.25">
      <c r="A291" s="117">
        <f t="shared" si="14"/>
        <v>17007</v>
      </c>
      <c r="B291" s="125" t="s">
        <v>830</v>
      </c>
      <c r="C291" s="126" t="s">
        <v>744</v>
      </c>
      <c r="D291" s="131">
        <v>257.5</v>
      </c>
    </row>
    <row r="292" spans="1:4" x14ac:dyDescent="0.25">
      <c r="A292" s="117">
        <f t="shared" si="14"/>
        <v>17008</v>
      </c>
      <c r="B292" s="130" t="s">
        <v>829</v>
      </c>
      <c r="C292" s="126" t="s">
        <v>744</v>
      </c>
      <c r="D292" s="131">
        <v>55.61</v>
      </c>
    </row>
    <row r="293" spans="1:4" x14ac:dyDescent="0.25">
      <c r="A293" s="117">
        <f t="shared" si="14"/>
        <v>17009</v>
      </c>
      <c r="B293" s="130" t="s">
        <v>828</v>
      </c>
      <c r="C293" s="126" t="s">
        <v>744</v>
      </c>
      <c r="D293" s="131">
        <v>17.190000000000001</v>
      </c>
    </row>
    <row r="294" spans="1:4" x14ac:dyDescent="0.25">
      <c r="A294" s="117">
        <f t="shared" si="14"/>
        <v>17010</v>
      </c>
      <c r="B294" s="130" t="s">
        <v>827</v>
      </c>
      <c r="C294" s="126" t="s">
        <v>744</v>
      </c>
      <c r="D294" s="131">
        <v>88.37</v>
      </c>
    </row>
    <row r="295" spans="1:4" x14ac:dyDescent="0.25">
      <c r="A295" s="117">
        <f t="shared" si="14"/>
        <v>17011</v>
      </c>
      <c r="B295" s="125" t="s">
        <v>826</v>
      </c>
      <c r="C295" s="126" t="s">
        <v>744</v>
      </c>
      <c r="D295" s="131">
        <v>15</v>
      </c>
    </row>
    <row r="296" spans="1:4" x14ac:dyDescent="0.25">
      <c r="A296" s="117">
        <f t="shared" si="14"/>
        <v>17012</v>
      </c>
      <c r="B296" s="130" t="s">
        <v>825</v>
      </c>
      <c r="C296" s="126" t="s">
        <v>744</v>
      </c>
      <c r="D296" s="131">
        <v>41.54</v>
      </c>
    </row>
    <row r="297" spans="1:4" x14ac:dyDescent="0.25">
      <c r="A297" s="117">
        <f t="shared" si="14"/>
        <v>17013</v>
      </c>
      <c r="B297" s="130" t="s">
        <v>824</v>
      </c>
      <c r="C297" s="126" t="s">
        <v>744</v>
      </c>
      <c r="D297" s="131">
        <v>98.19</v>
      </c>
    </row>
    <row r="298" spans="1:4" x14ac:dyDescent="0.25">
      <c r="A298" s="117">
        <f t="shared" si="14"/>
        <v>17014</v>
      </c>
      <c r="B298" s="130" t="s">
        <v>823</v>
      </c>
      <c r="C298" s="126" t="s">
        <v>744</v>
      </c>
      <c r="D298" s="131">
        <v>33.590000000000003</v>
      </c>
    </row>
    <row r="299" spans="1:4" x14ac:dyDescent="0.25">
      <c r="A299" s="117">
        <f t="shared" si="14"/>
        <v>17015</v>
      </c>
      <c r="B299" s="130" t="s">
        <v>822</v>
      </c>
      <c r="C299" s="126" t="s">
        <v>744</v>
      </c>
      <c r="D299" s="131">
        <v>93.73</v>
      </c>
    </row>
    <row r="300" spans="1:4" x14ac:dyDescent="0.25">
      <c r="A300" s="117">
        <f t="shared" si="14"/>
        <v>17016</v>
      </c>
      <c r="B300" s="130" t="s">
        <v>583</v>
      </c>
      <c r="C300" s="126" t="s">
        <v>744</v>
      </c>
      <c r="D300" s="131">
        <v>59</v>
      </c>
    </row>
    <row r="301" spans="1:4" x14ac:dyDescent="0.25">
      <c r="A301" s="117">
        <f t="shared" si="14"/>
        <v>17017</v>
      </c>
      <c r="B301" s="130" t="s">
        <v>821</v>
      </c>
      <c r="C301" s="126" t="s">
        <v>744</v>
      </c>
      <c r="D301" s="131">
        <v>98</v>
      </c>
    </row>
    <row r="302" spans="1:4" x14ac:dyDescent="0.25">
      <c r="A302" s="117">
        <f t="shared" si="14"/>
        <v>17018</v>
      </c>
      <c r="B302" s="125" t="s">
        <v>233</v>
      </c>
      <c r="C302" s="126" t="s">
        <v>744</v>
      </c>
      <c r="D302" s="131">
        <v>47</v>
      </c>
    </row>
    <row r="303" spans="1:4" x14ac:dyDescent="0.25">
      <c r="A303" s="117">
        <f t="shared" si="14"/>
        <v>17019</v>
      </c>
      <c r="B303" s="130" t="s">
        <v>820</v>
      </c>
      <c r="C303" s="126" t="s">
        <v>744</v>
      </c>
      <c r="D303" s="131">
        <v>18.53</v>
      </c>
    </row>
    <row r="304" spans="1:4" x14ac:dyDescent="0.25">
      <c r="A304" s="117">
        <f t="shared" si="14"/>
        <v>17020</v>
      </c>
      <c r="B304" s="130" t="s">
        <v>819</v>
      </c>
      <c r="C304" s="126" t="s">
        <v>744</v>
      </c>
      <c r="D304" s="131">
        <v>10.07</v>
      </c>
    </row>
    <row r="305" spans="1:4" x14ac:dyDescent="0.25">
      <c r="A305" s="117">
        <f t="shared" si="14"/>
        <v>17021</v>
      </c>
      <c r="B305" s="130" t="s">
        <v>818</v>
      </c>
      <c r="C305" s="126" t="s">
        <v>744</v>
      </c>
      <c r="D305" s="131">
        <v>12.6</v>
      </c>
    </row>
    <row r="306" spans="1:4" x14ac:dyDescent="0.25">
      <c r="A306" s="117">
        <f t="shared" si="14"/>
        <v>17022</v>
      </c>
      <c r="B306" s="130" t="s">
        <v>817</v>
      </c>
      <c r="C306" s="126" t="s">
        <v>744</v>
      </c>
      <c r="D306" s="131">
        <v>20.04</v>
      </c>
    </row>
    <row r="307" spans="1:4" x14ac:dyDescent="0.25">
      <c r="A307" s="117">
        <f t="shared" si="14"/>
        <v>17023</v>
      </c>
      <c r="B307" s="130" t="s">
        <v>816</v>
      </c>
      <c r="C307" s="126" t="s">
        <v>744</v>
      </c>
      <c r="D307" s="131">
        <v>10.53</v>
      </c>
    </row>
    <row r="308" spans="1:4" x14ac:dyDescent="0.25">
      <c r="A308" s="117">
        <f t="shared" si="14"/>
        <v>17024</v>
      </c>
      <c r="B308" s="125" t="s">
        <v>815</v>
      </c>
      <c r="C308" s="126" t="s">
        <v>744</v>
      </c>
      <c r="D308" s="131">
        <v>57.46</v>
      </c>
    </row>
    <row r="309" spans="1:4" x14ac:dyDescent="0.25">
      <c r="A309" s="117">
        <f t="shared" si="14"/>
        <v>17025</v>
      </c>
      <c r="B309" s="130" t="s">
        <v>814</v>
      </c>
      <c r="C309" s="126" t="s">
        <v>744</v>
      </c>
      <c r="D309" s="131">
        <v>29</v>
      </c>
    </row>
    <row r="310" spans="1:4" x14ac:dyDescent="0.25">
      <c r="A310" s="117">
        <f t="shared" si="14"/>
        <v>17026</v>
      </c>
      <c r="B310" s="130" t="s">
        <v>813</v>
      </c>
      <c r="C310" s="126" t="s">
        <v>744</v>
      </c>
      <c r="D310" s="131">
        <v>63.28</v>
      </c>
    </row>
    <row r="311" spans="1:4" x14ac:dyDescent="0.25">
      <c r="A311" s="117">
        <f t="shared" si="14"/>
        <v>17027</v>
      </c>
      <c r="B311" s="125" t="s">
        <v>812</v>
      </c>
      <c r="C311" s="126" t="s">
        <v>744</v>
      </c>
      <c r="D311" s="131">
        <v>39.14</v>
      </c>
    </row>
    <row r="312" spans="1:4" x14ac:dyDescent="0.25">
      <c r="A312" s="117">
        <f t="shared" si="14"/>
        <v>17028</v>
      </c>
      <c r="B312" s="125" t="s">
        <v>811</v>
      </c>
      <c r="C312" s="126" t="s">
        <v>744</v>
      </c>
      <c r="D312" s="131">
        <v>68.430000000000007</v>
      </c>
    </row>
    <row r="313" spans="1:4" x14ac:dyDescent="0.25">
      <c r="A313" s="117">
        <f t="shared" si="14"/>
        <v>17029</v>
      </c>
      <c r="B313" s="125" t="s">
        <v>810</v>
      </c>
      <c r="C313" s="126" t="s">
        <v>744</v>
      </c>
      <c r="D313" s="131">
        <v>5.99</v>
      </c>
    </row>
    <row r="314" spans="1:4" x14ac:dyDescent="0.25">
      <c r="A314" s="117">
        <f t="shared" si="14"/>
        <v>17030</v>
      </c>
      <c r="B314" s="125" t="s">
        <v>809</v>
      </c>
      <c r="C314" s="126" t="s">
        <v>744</v>
      </c>
      <c r="D314" s="131">
        <v>5.77</v>
      </c>
    </row>
    <row r="315" spans="1:4" x14ac:dyDescent="0.25">
      <c r="A315" s="117">
        <f t="shared" si="14"/>
        <v>17031</v>
      </c>
      <c r="B315" s="130" t="s">
        <v>808</v>
      </c>
      <c r="C315" s="126" t="s">
        <v>744</v>
      </c>
      <c r="D315" s="131">
        <v>252.35</v>
      </c>
    </row>
    <row r="316" spans="1:4" x14ac:dyDescent="0.25">
      <c r="A316" s="117">
        <f t="shared" si="14"/>
        <v>17032</v>
      </c>
      <c r="B316" s="130" t="s">
        <v>807</v>
      </c>
      <c r="C316" s="126" t="s">
        <v>744</v>
      </c>
      <c r="D316" s="131">
        <v>1331.79</v>
      </c>
    </row>
    <row r="317" spans="1:4" x14ac:dyDescent="0.25">
      <c r="A317" s="117">
        <f t="shared" si="14"/>
        <v>17033</v>
      </c>
      <c r="B317" s="125" t="s">
        <v>806</v>
      </c>
      <c r="C317" s="126" t="s">
        <v>744</v>
      </c>
      <c r="D317" s="131">
        <v>5.81</v>
      </c>
    </row>
    <row r="318" spans="1:4" x14ac:dyDescent="0.25">
      <c r="A318" s="117">
        <f t="shared" si="14"/>
        <v>17034</v>
      </c>
      <c r="B318" s="125" t="s">
        <v>805</v>
      </c>
      <c r="C318" s="126" t="s">
        <v>744</v>
      </c>
      <c r="D318" s="131">
        <v>1</v>
      </c>
    </row>
    <row r="319" spans="1:4" x14ac:dyDescent="0.25">
      <c r="A319" s="117">
        <f t="shared" si="14"/>
        <v>17035</v>
      </c>
      <c r="B319" s="130" t="s">
        <v>804</v>
      </c>
      <c r="C319" s="126" t="s">
        <v>744</v>
      </c>
      <c r="D319" s="131">
        <v>48.26</v>
      </c>
    </row>
    <row r="320" spans="1:4" x14ac:dyDescent="0.25">
      <c r="A320" s="117">
        <f t="shared" si="14"/>
        <v>17036</v>
      </c>
      <c r="B320" s="125" t="s">
        <v>803</v>
      </c>
      <c r="C320" s="126" t="s">
        <v>744</v>
      </c>
      <c r="D320" s="131">
        <v>75</v>
      </c>
    </row>
    <row r="321" spans="1:28" x14ac:dyDescent="0.25">
      <c r="A321" s="117">
        <f t="shared" si="14"/>
        <v>17037</v>
      </c>
      <c r="B321" s="125" t="s">
        <v>802</v>
      </c>
      <c r="C321" s="126" t="s">
        <v>801</v>
      </c>
      <c r="D321" s="131">
        <v>120</v>
      </c>
    </row>
    <row r="322" spans="1:28" s="640" customFormat="1" x14ac:dyDescent="0.25">
      <c r="A322" s="636"/>
      <c r="B322" s="647" t="s">
        <v>800</v>
      </c>
      <c r="C322" s="638"/>
      <c r="D322" s="639"/>
      <c r="Z322" s="643"/>
      <c r="AA322" s="643"/>
      <c r="AB322" s="643"/>
    </row>
    <row r="323" spans="1:28" x14ac:dyDescent="0.25">
      <c r="A323" s="117">
        <v>18001</v>
      </c>
      <c r="B323" s="125" t="s">
        <v>799</v>
      </c>
      <c r="C323" s="134" t="s">
        <v>744</v>
      </c>
      <c r="D323" s="131">
        <v>0.82</v>
      </c>
    </row>
    <row r="324" spans="1:28" x14ac:dyDescent="0.25">
      <c r="A324" s="117">
        <f t="shared" ref="A324:A355" si="15">+A323+1</f>
        <v>18002</v>
      </c>
      <c r="B324" s="140" t="s">
        <v>798</v>
      </c>
      <c r="C324" s="134" t="s">
        <v>788</v>
      </c>
      <c r="D324" s="131">
        <f>40.73/100</f>
        <v>0.4073</v>
      </c>
    </row>
    <row r="325" spans="1:28" x14ac:dyDescent="0.25">
      <c r="A325" s="117">
        <f t="shared" si="15"/>
        <v>18003</v>
      </c>
      <c r="B325" s="125" t="s">
        <v>797</v>
      </c>
      <c r="C325" s="134" t="s">
        <v>744</v>
      </c>
      <c r="D325" s="131">
        <v>0.35</v>
      </c>
    </row>
    <row r="326" spans="1:28" x14ac:dyDescent="0.25">
      <c r="A326" s="117">
        <f t="shared" si="15"/>
        <v>18004</v>
      </c>
      <c r="B326" s="125" t="s">
        <v>796</v>
      </c>
      <c r="C326" s="134" t="s">
        <v>744</v>
      </c>
      <c r="D326" s="131">
        <v>23</v>
      </c>
    </row>
    <row r="327" spans="1:28" x14ac:dyDescent="0.25">
      <c r="A327" s="117">
        <f t="shared" si="15"/>
        <v>18005</v>
      </c>
      <c r="B327" s="125" t="s">
        <v>795</v>
      </c>
      <c r="C327" s="134" t="s">
        <v>744</v>
      </c>
      <c r="D327" s="131">
        <v>4.5</v>
      </c>
    </row>
    <row r="328" spans="1:28" x14ac:dyDescent="0.25">
      <c r="A328" s="117">
        <f t="shared" si="15"/>
        <v>18006</v>
      </c>
      <c r="B328" s="125" t="s">
        <v>794</v>
      </c>
      <c r="C328" s="134" t="s">
        <v>788</v>
      </c>
      <c r="D328" s="131">
        <f>118.42/100</f>
        <v>1.1841999999999999</v>
      </c>
    </row>
    <row r="329" spans="1:28" x14ac:dyDescent="0.25">
      <c r="A329" s="117">
        <f t="shared" si="15"/>
        <v>18007</v>
      </c>
      <c r="B329" s="125" t="s">
        <v>793</v>
      </c>
      <c r="C329" s="134" t="s">
        <v>788</v>
      </c>
      <c r="D329" s="131">
        <f>64.94/100</f>
        <v>0.64939999999999998</v>
      </c>
    </row>
    <row r="330" spans="1:28" x14ac:dyDescent="0.25">
      <c r="A330" s="117">
        <f t="shared" si="15"/>
        <v>18008</v>
      </c>
      <c r="B330" s="130" t="s">
        <v>792</v>
      </c>
      <c r="C330" s="134" t="s">
        <v>788</v>
      </c>
      <c r="D330" s="131">
        <f>273.14/100</f>
        <v>2.7313999999999998</v>
      </c>
    </row>
    <row r="331" spans="1:28" x14ac:dyDescent="0.25">
      <c r="A331" s="117">
        <f t="shared" si="15"/>
        <v>18009</v>
      </c>
      <c r="B331" s="130" t="s">
        <v>791</v>
      </c>
      <c r="C331" s="134" t="s">
        <v>788</v>
      </c>
      <c r="D331" s="131">
        <f>189.42/100</f>
        <v>1.8941999999999999</v>
      </c>
    </row>
    <row r="332" spans="1:28" x14ac:dyDescent="0.25">
      <c r="A332" s="117">
        <f t="shared" si="15"/>
        <v>18010</v>
      </c>
      <c r="B332" s="125" t="s">
        <v>790</v>
      </c>
      <c r="C332" s="134" t="s">
        <v>788</v>
      </c>
      <c r="D332" s="131">
        <v>0.2</v>
      </c>
    </row>
    <row r="333" spans="1:28" x14ac:dyDescent="0.25">
      <c r="A333" s="117">
        <f t="shared" si="15"/>
        <v>18011</v>
      </c>
      <c r="B333" s="125" t="s">
        <v>789</v>
      </c>
      <c r="C333" s="134" t="s">
        <v>788</v>
      </c>
      <c r="D333" s="131">
        <v>0.3</v>
      </c>
    </row>
    <row r="334" spans="1:28" x14ac:dyDescent="0.25">
      <c r="A334" s="117">
        <f t="shared" si="15"/>
        <v>18012</v>
      </c>
      <c r="B334" s="125" t="s">
        <v>787</v>
      </c>
      <c r="C334" s="134" t="s">
        <v>744</v>
      </c>
      <c r="D334" s="131">
        <v>24.21</v>
      </c>
    </row>
    <row r="335" spans="1:28" x14ac:dyDescent="0.25">
      <c r="A335" s="117">
        <f t="shared" si="15"/>
        <v>18013</v>
      </c>
      <c r="B335" s="125" t="s">
        <v>786</v>
      </c>
      <c r="C335" s="134" t="s">
        <v>744</v>
      </c>
      <c r="D335" s="131">
        <v>44.08</v>
      </c>
    </row>
    <row r="336" spans="1:28" x14ac:dyDescent="0.25">
      <c r="A336" s="117">
        <f t="shared" si="15"/>
        <v>18014</v>
      </c>
      <c r="B336" s="125" t="s">
        <v>785</v>
      </c>
      <c r="C336" s="134" t="s">
        <v>744</v>
      </c>
      <c r="D336" s="131">
        <v>59.64</v>
      </c>
    </row>
    <row r="337" spans="1:4" x14ac:dyDescent="0.25">
      <c r="A337" s="117">
        <f t="shared" si="15"/>
        <v>18015</v>
      </c>
      <c r="B337" s="125" t="s">
        <v>784</v>
      </c>
      <c r="C337" s="134" t="s">
        <v>744</v>
      </c>
      <c r="D337" s="131">
        <v>70.760000000000005</v>
      </c>
    </row>
    <row r="338" spans="1:4" x14ac:dyDescent="0.25">
      <c r="A338" s="117">
        <f t="shared" si="15"/>
        <v>18016</v>
      </c>
      <c r="B338" s="125" t="s">
        <v>783</v>
      </c>
      <c r="C338" s="134" t="s">
        <v>744</v>
      </c>
      <c r="D338" s="131">
        <v>0.59</v>
      </c>
    </row>
    <row r="339" spans="1:4" x14ac:dyDescent="0.25">
      <c r="A339" s="117">
        <f t="shared" si="15"/>
        <v>18017</v>
      </c>
      <c r="B339" s="125" t="s">
        <v>782</v>
      </c>
      <c r="C339" s="134" t="s">
        <v>744</v>
      </c>
      <c r="D339" s="131">
        <v>0.48</v>
      </c>
    </row>
    <row r="340" spans="1:4" x14ac:dyDescent="0.25">
      <c r="A340" s="117">
        <f t="shared" si="15"/>
        <v>18018</v>
      </c>
      <c r="B340" s="130" t="s">
        <v>781</v>
      </c>
      <c r="C340" s="134" t="s">
        <v>744</v>
      </c>
      <c r="D340" s="131">
        <v>1.29</v>
      </c>
    </row>
    <row r="341" spans="1:4" x14ac:dyDescent="0.25">
      <c r="A341" s="117">
        <f t="shared" si="15"/>
        <v>18019</v>
      </c>
      <c r="B341" s="125" t="s">
        <v>780</v>
      </c>
      <c r="C341" s="134" t="s">
        <v>744</v>
      </c>
      <c r="D341" s="131">
        <v>0.57999999999999996</v>
      </c>
    </row>
    <row r="342" spans="1:4" x14ac:dyDescent="0.25">
      <c r="A342" s="117">
        <f t="shared" si="15"/>
        <v>18020</v>
      </c>
      <c r="B342" s="125" t="s">
        <v>779</v>
      </c>
      <c r="C342" s="126" t="s">
        <v>744</v>
      </c>
      <c r="D342" s="131">
        <v>0.48</v>
      </c>
    </row>
    <row r="343" spans="1:4" x14ac:dyDescent="0.25">
      <c r="A343" s="117">
        <f t="shared" si="15"/>
        <v>18021</v>
      </c>
      <c r="B343" s="130" t="s">
        <v>778</v>
      </c>
      <c r="C343" s="126" t="s">
        <v>744</v>
      </c>
      <c r="D343" s="131">
        <v>6.65</v>
      </c>
    </row>
    <row r="344" spans="1:4" x14ac:dyDescent="0.25">
      <c r="A344" s="117">
        <f t="shared" si="15"/>
        <v>18022</v>
      </c>
      <c r="B344" s="125" t="s">
        <v>777</v>
      </c>
      <c r="C344" s="126" t="s">
        <v>744</v>
      </c>
      <c r="D344" s="131">
        <v>0.82</v>
      </c>
    </row>
    <row r="345" spans="1:4" x14ac:dyDescent="0.25">
      <c r="A345" s="117">
        <f t="shared" si="15"/>
        <v>18023</v>
      </c>
      <c r="B345" s="125" t="s">
        <v>776</v>
      </c>
      <c r="C345" s="126" t="s">
        <v>744</v>
      </c>
      <c r="D345" s="131">
        <v>0.3</v>
      </c>
    </row>
    <row r="346" spans="1:4" x14ac:dyDescent="0.25">
      <c r="A346" s="117">
        <f t="shared" si="15"/>
        <v>18024</v>
      </c>
      <c r="B346" s="125" t="s">
        <v>775</v>
      </c>
      <c r="C346" s="126" t="s">
        <v>744</v>
      </c>
      <c r="D346" s="131">
        <v>0.45</v>
      </c>
    </row>
    <row r="347" spans="1:4" x14ac:dyDescent="0.25">
      <c r="A347" s="117">
        <f t="shared" si="15"/>
        <v>18025</v>
      </c>
      <c r="B347" s="130" t="s">
        <v>774</v>
      </c>
      <c r="C347" s="126" t="s">
        <v>744</v>
      </c>
      <c r="D347" s="131">
        <v>3.83</v>
      </c>
    </row>
    <row r="348" spans="1:4" x14ac:dyDescent="0.25">
      <c r="A348" s="117">
        <f t="shared" si="15"/>
        <v>18026</v>
      </c>
      <c r="B348" s="125" t="s">
        <v>773</v>
      </c>
      <c r="C348" s="126" t="s">
        <v>772</v>
      </c>
      <c r="D348" s="131">
        <v>5.67</v>
      </c>
    </row>
    <row r="349" spans="1:4" x14ac:dyDescent="0.25">
      <c r="A349" s="117">
        <f t="shared" si="15"/>
        <v>18027</v>
      </c>
      <c r="B349" s="130" t="s">
        <v>771</v>
      </c>
      <c r="C349" s="126" t="s">
        <v>744</v>
      </c>
      <c r="D349" s="131">
        <v>5.66</v>
      </c>
    </row>
    <row r="350" spans="1:4" x14ac:dyDescent="0.25">
      <c r="A350" s="117">
        <f t="shared" si="15"/>
        <v>18028</v>
      </c>
      <c r="B350" s="125" t="s">
        <v>770</v>
      </c>
      <c r="C350" s="126" t="s">
        <v>744</v>
      </c>
      <c r="D350" s="131">
        <v>14.5</v>
      </c>
    </row>
    <row r="351" spans="1:4" x14ac:dyDescent="0.25">
      <c r="A351" s="117">
        <f t="shared" si="15"/>
        <v>18029</v>
      </c>
      <c r="B351" s="125" t="s">
        <v>769</v>
      </c>
      <c r="C351" s="126" t="s">
        <v>744</v>
      </c>
      <c r="D351" s="131">
        <v>133</v>
      </c>
    </row>
    <row r="352" spans="1:4" x14ac:dyDescent="0.25">
      <c r="A352" s="117">
        <f t="shared" si="15"/>
        <v>18030</v>
      </c>
      <c r="B352" s="125" t="s">
        <v>768</v>
      </c>
      <c r="C352" s="126" t="s">
        <v>744</v>
      </c>
      <c r="D352" s="131">
        <v>15.45</v>
      </c>
    </row>
    <row r="353" spans="1:4" x14ac:dyDescent="0.25">
      <c r="A353" s="117">
        <f t="shared" si="15"/>
        <v>18031</v>
      </c>
      <c r="B353" s="125" t="s">
        <v>767</v>
      </c>
      <c r="C353" s="126" t="s">
        <v>744</v>
      </c>
      <c r="D353" s="131">
        <v>0.35</v>
      </c>
    </row>
    <row r="354" spans="1:4" x14ac:dyDescent="0.25">
      <c r="A354" s="117">
        <f t="shared" si="15"/>
        <v>18032</v>
      </c>
      <c r="B354" s="125" t="s">
        <v>766</v>
      </c>
      <c r="C354" s="126" t="s">
        <v>744</v>
      </c>
      <c r="D354" s="131">
        <v>0.47</v>
      </c>
    </row>
    <row r="355" spans="1:4" x14ac:dyDescent="0.25">
      <c r="A355" s="117">
        <f t="shared" si="15"/>
        <v>18033</v>
      </c>
      <c r="B355" s="125" t="s">
        <v>765</v>
      </c>
      <c r="C355" s="126" t="s">
        <v>744</v>
      </c>
      <c r="D355" s="131">
        <v>14.73</v>
      </c>
    </row>
    <row r="356" spans="1:4" x14ac:dyDescent="0.25">
      <c r="A356" s="117">
        <f t="shared" ref="A356:A375" si="16">+A355+1</f>
        <v>18034</v>
      </c>
      <c r="B356" s="125" t="s">
        <v>764</v>
      </c>
      <c r="C356" s="126" t="s">
        <v>744</v>
      </c>
      <c r="D356" s="131">
        <v>2.8</v>
      </c>
    </row>
    <row r="357" spans="1:4" x14ac:dyDescent="0.25">
      <c r="A357" s="117">
        <f t="shared" si="16"/>
        <v>18035</v>
      </c>
      <c r="B357" s="130" t="s">
        <v>763</v>
      </c>
      <c r="C357" s="126" t="s">
        <v>744</v>
      </c>
      <c r="D357" s="131">
        <v>2.8</v>
      </c>
    </row>
    <row r="358" spans="1:4" x14ac:dyDescent="0.25">
      <c r="A358" s="117">
        <f t="shared" si="16"/>
        <v>18036</v>
      </c>
      <c r="B358" s="125" t="s">
        <v>762</v>
      </c>
      <c r="C358" s="126" t="s">
        <v>744</v>
      </c>
      <c r="D358" s="131">
        <v>2.58</v>
      </c>
    </row>
    <row r="359" spans="1:4" x14ac:dyDescent="0.25">
      <c r="A359" s="117">
        <f t="shared" si="16"/>
        <v>18037</v>
      </c>
      <c r="B359" s="125" t="s">
        <v>761</v>
      </c>
      <c r="C359" s="126" t="s">
        <v>744</v>
      </c>
      <c r="D359" s="131">
        <v>2.91</v>
      </c>
    </row>
    <row r="360" spans="1:4" x14ac:dyDescent="0.25">
      <c r="A360" s="117">
        <f t="shared" si="16"/>
        <v>18038</v>
      </c>
      <c r="B360" s="125" t="s">
        <v>760</v>
      </c>
      <c r="C360" s="126" t="s">
        <v>744</v>
      </c>
      <c r="D360" s="131">
        <v>0.03</v>
      </c>
    </row>
    <row r="361" spans="1:4" x14ac:dyDescent="0.25">
      <c r="A361" s="117">
        <f t="shared" si="16"/>
        <v>18039</v>
      </c>
      <c r="B361" s="125" t="s">
        <v>759</v>
      </c>
      <c r="C361" s="126" t="s">
        <v>744</v>
      </c>
      <c r="D361" s="131">
        <v>3.49</v>
      </c>
    </row>
    <row r="362" spans="1:4" x14ac:dyDescent="0.25">
      <c r="A362" s="117">
        <f t="shared" si="16"/>
        <v>18040</v>
      </c>
      <c r="B362" s="130" t="s">
        <v>758</v>
      </c>
      <c r="C362" s="126" t="s">
        <v>744</v>
      </c>
      <c r="D362" s="131">
        <v>17.36</v>
      </c>
    </row>
    <row r="363" spans="1:4" x14ac:dyDescent="0.25">
      <c r="A363" s="117">
        <f t="shared" si="16"/>
        <v>18041</v>
      </c>
      <c r="B363" s="125" t="s">
        <v>757</v>
      </c>
      <c r="C363" s="126" t="s">
        <v>744</v>
      </c>
      <c r="D363" s="131">
        <v>7.72</v>
      </c>
    </row>
    <row r="364" spans="1:4" x14ac:dyDescent="0.25">
      <c r="A364" s="117">
        <f t="shared" si="16"/>
        <v>18042</v>
      </c>
      <c r="B364" s="125" t="s">
        <v>756</v>
      </c>
      <c r="C364" s="126" t="s">
        <v>744</v>
      </c>
      <c r="D364" s="131">
        <v>0.28999999999999998</v>
      </c>
    </row>
    <row r="365" spans="1:4" x14ac:dyDescent="0.25">
      <c r="A365" s="117">
        <f t="shared" si="16"/>
        <v>18043</v>
      </c>
      <c r="B365" s="130" t="s">
        <v>755</v>
      </c>
      <c r="C365" s="126" t="s">
        <v>744</v>
      </c>
      <c r="D365" s="131">
        <v>2.15</v>
      </c>
    </row>
    <row r="366" spans="1:4" x14ac:dyDescent="0.25">
      <c r="A366" s="117">
        <f t="shared" si="16"/>
        <v>18044</v>
      </c>
      <c r="B366" s="125" t="s">
        <v>754</v>
      </c>
      <c r="C366" s="126" t="s">
        <v>744</v>
      </c>
      <c r="D366" s="131">
        <v>0.44</v>
      </c>
    </row>
    <row r="367" spans="1:4" x14ac:dyDescent="0.25">
      <c r="A367" s="117">
        <f t="shared" si="16"/>
        <v>18045</v>
      </c>
      <c r="B367" s="125" t="s">
        <v>753</v>
      </c>
      <c r="C367" s="126" t="s">
        <v>744</v>
      </c>
      <c r="D367" s="131">
        <v>10.74</v>
      </c>
    </row>
    <row r="368" spans="1:4" x14ac:dyDescent="0.25">
      <c r="A368" s="117">
        <f t="shared" si="16"/>
        <v>18046</v>
      </c>
      <c r="B368" s="125" t="s">
        <v>752</v>
      </c>
      <c r="C368" s="126" t="s">
        <v>744</v>
      </c>
      <c r="D368" s="131">
        <v>1.37</v>
      </c>
    </row>
    <row r="369" spans="1:4" x14ac:dyDescent="0.25">
      <c r="A369" s="117">
        <f t="shared" si="16"/>
        <v>18047</v>
      </c>
      <c r="B369" s="125" t="s">
        <v>751</v>
      </c>
      <c r="C369" s="126" t="s">
        <v>744</v>
      </c>
      <c r="D369" s="131">
        <v>0.55000000000000004</v>
      </c>
    </row>
    <row r="370" spans="1:4" x14ac:dyDescent="0.25">
      <c r="A370" s="117">
        <f t="shared" si="16"/>
        <v>18048</v>
      </c>
      <c r="B370" s="125" t="s">
        <v>750</v>
      </c>
      <c r="C370" s="126" t="s">
        <v>744</v>
      </c>
      <c r="D370" s="131">
        <v>10.3</v>
      </c>
    </row>
    <row r="371" spans="1:4" x14ac:dyDescent="0.25">
      <c r="A371" s="117">
        <f t="shared" si="16"/>
        <v>18049</v>
      </c>
      <c r="B371" s="125" t="s">
        <v>749</v>
      </c>
      <c r="C371" s="126" t="s">
        <v>744</v>
      </c>
      <c r="D371" s="131">
        <v>0.68</v>
      </c>
    </row>
    <row r="372" spans="1:4" x14ac:dyDescent="0.25">
      <c r="A372" s="117">
        <f t="shared" si="16"/>
        <v>18050</v>
      </c>
      <c r="B372" s="125" t="s">
        <v>748</v>
      </c>
      <c r="C372" s="134" t="s">
        <v>744</v>
      </c>
      <c r="D372" s="131">
        <v>10.68</v>
      </c>
    </row>
    <row r="373" spans="1:4" x14ac:dyDescent="0.25">
      <c r="A373" s="117">
        <f t="shared" si="16"/>
        <v>18051</v>
      </c>
      <c r="B373" s="3" t="s">
        <v>747</v>
      </c>
      <c r="C373" s="134" t="s">
        <v>744</v>
      </c>
      <c r="D373" s="3">
        <v>12.86</v>
      </c>
    </row>
    <row r="374" spans="1:4" x14ac:dyDescent="0.25">
      <c r="A374" s="117">
        <f t="shared" si="16"/>
        <v>18052</v>
      </c>
      <c r="B374" s="3" t="s">
        <v>746</v>
      </c>
      <c r="C374" s="134" t="s">
        <v>744</v>
      </c>
      <c r="D374" s="3">
        <v>13.75</v>
      </c>
    </row>
    <row r="375" spans="1:4" x14ac:dyDescent="0.25">
      <c r="A375" s="117">
        <f t="shared" si="16"/>
        <v>18053</v>
      </c>
      <c r="B375" s="3" t="s">
        <v>745</v>
      </c>
      <c r="C375" s="134" t="s">
        <v>744</v>
      </c>
      <c r="D375" s="3">
        <v>2.8</v>
      </c>
    </row>
    <row r="376" spans="1:4" x14ac:dyDescent="0.25">
      <c r="A376" s="117"/>
      <c r="B376" s="118" t="s">
        <v>743</v>
      </c>
      <c r="C376" s="119"/>
      <c r="D376" s="120"/>
    </row>
  </sheetData>
  <phoneticPr fontId="2" type="noConversion"/>
  <pageMargins left="0.75" right="0.75" top="1" bottom="1" header="0" footer="0"/>
  <pageSetup paperSize="9" orientation="portrait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65C24-14AD-4BDA-AADE-114FF1D69DE3}">
  <sheetPr codeName="Hoja37"/>
  <dimension ref="A1:I108"/>
  <sheetViews>
    <sheetView workbookViewId="0"/>
  </sheetViews>
  <sheetFormatPr baseColWidth="10" defaultColWidth="11.42578125" defaultRowHeight="12.75" x14ac:dyDescent="0.2"/>
  <cols>
    <col min="3" max="3" width="30.7109375" customWidth="1"/>
    <col min="6" max="6" width="16" customWidth="1"/>
    <col min="7" max="7" width="13.42578125" customWidth="1"/>
    <col min="8" max="8" width="11.5703125" style="339" customWidth="1"/>
  </cols>
  <sheetData>
    <row r="1" spans="1:8" x14ac:dyDescent="0.2">
      <c r="B1" s="738" t="s">
        <v>1697</v>
      </c>
      <c r="C1" s="739"/>
      <c r="D1" s="739"/>
      <c r="E1" s="739"/>
      <c r="F1" s="739"/>
      <c r="G1" s="739"/>
      <c r="H1" s="739"/>
    </row>
    <row r="2" spans="1:8" x14ac:dyDescent="0.2">
      <c r="B2" s="292" t="s">
        <v>1586</v>
      </c>
      <c r="C2" s="293"/>
      <c r="D2" s="292"/>
      <c r="E2" s="292"/>
      <c r="F2" s="292"/>
      <c r="G2" s="292" t="s">
        <v>1696</v>
      </c>
      <c r="H2" s="39" t="s">
        <v>1786</v>
      </c>
    </row>
    <row r="3" spans="1:8" x14ac:dyDescent="0.2">
      <c r="B3" s="292" t="s">
        <v>1585</v>
      </c>
      <c r="C3" s="294" t="s">
        <v>1799</v>
      </c>
      <c r="D3" s="292"/>
      <c r="E3" s="292"/>
      <c r="F3" s="292"/>
      <c r="G3" s="292"/>
      <c r="H3" s="2"/>
    </row>
    <row r="4" spans="1:8" ht="13.5" thickBot="1" x14ac:dyDescent="0.25">
      <c r="B4" s="292"/>
      <c r="C4" s="292"/>
      <c r="D4" s="292"/>
      <c r="E4" s="292"/>
      <c r="F4" s="292"/>
      <c r="G4" s="292"/>
      <c r="H4" s="2"/>
    </row>
    <row r="5" spans="1:8" ht="13.5" thickBot="1" x14ac:dyDescent="0.25">
      <c r="B5" s="295" t="s">
        <v>1695</v>
      </c>
      <c r="C5" s="296"/>
      <c r="D5" s="296"/>
      <c r="E5" s="296"/>
      <c r="F5" s="296"/>
      <c r="G5" s="296"/>
      <c r="H5" s="45"/>
    </row>
    <row r="6" spans="1:8" ht="25.5" x14ac:dyDescent="0.2">
      <c r="B6" s="740" t="s">
        <v>1409</v>
      </c>
      <c r="C6" s="741"/>
      <c r="D6" s="297" t="s">
        <v>1690</v>
      </c>
      <c r="E6" s="297" t="s">
        <v>1694</v>
      </c>
      <c r="F6" s="297" t="s">
        <v>1693</v>
      </c>
      <c r="G6" s="49" t="s">
        <v>1687</v>
      </c>
      <c r="H6" s="50" t="s">
        <v>1686</v>
      </c>
    </row>
    <row r="7" spans="1:8" ht="15" x14ac:dyDescent="0.25">
      <c r="A7" s="103">
        <v>19016</v>
      </c>
      <c r="B7" s="298" t="s">
        <v>1468</v>
      </c>
      <c r="C7" s="299"/>
      <c r="D7" s="300">
        <v>1</v>
      </c>
      <c r="E7" s="53">
        <f>IF($A7=0,"",VLOOKUP($A7,'BASE EQUIPO'!$A:$D,4)*H23)</f>
        <v>0.19482187500000003</v>
      </c>
      <c r="F7" s="300">
        <v>0.79166666666666663</v>
      </c>
      <c r="G7" s="301">
        <v>1</v>
      </c>
      <c r="H7" s="54">
        <f>IF($A7=0,"",ROUND(G7*F7,2))</f>
        <v>0.79</v>
      </c>
    </row>
    <row r="8" spans="1:8" x14ac:dyDescent="0.2">
      <c r="B8" s="302"/>
      <c r="C8" s="292"/>
      <c r="D8" s="303"/>
      <c r="E8" s="303"/>
      <c r="F8" s="303"/>
      <c r="G8" s="304"/>
      <c r="H8" s="332"/>
    </row>
    <row r="9" spans="1:8" x14ac:dyDescent="0.2">
      <c r="B9" s="302"/>
      <c r="C9" s="292"/>
      <c r="D9" s="303"/>
      <c r="E9" s="303"/>
      <c r="F9" s="303"/>
      <c r="G9" s="304"/>
      <c r="H9" s="332"/>
    </row>
    <row r="10" spans="1:8" x14ac:dyDescent="0.2">
      <c r="B10" s="302"/>
      <c r="C10" s="292"/>
      <c r="D10" s="303"/>
      <c r="E10" s="303"/>
      <c r="F10" s="303"/>
      <c r="G10" s="304"/>
      <c r="H10" s="332"/>
    </row>
    <row r="11" spans="1:8" x14ac:dyDescent="0.2">
      <c r="B11" s="302"/>
      <c r="C11" s="292"/>
      <c r="D11" s="303"/>
      <c r="E11" s="303"/>
      <c r="F11" s="303"/>
      <c r="G11" s="304"/>
      <c r="H11" s="332"/>
    </row>
    <row r="12" spans="1:8" x14ac:dyDescent="0.2">
      <c r="B12" s="305"/>
      <c r="C12" s="306"/>
      <c r="D12" s="307"/>
      <c r="E12" s="307"/>
      <c r="F12" s="307"/>
      <c r="G12" s="308"/>
      <c r="H12" s="333"/>
    </row>
    <row r="13" spans="1:8" ht="13.5" thickBot="1" x14ac:dyDescent="0.25">
      <c r="B13" s="742" t="s">
        <v>1692</v>
      </c>
      <c r="C13" s="743"/>
      <c r="D13" s="743"/>
      <c r="E13" s="743"/>
      <c r="F13" s="743"/>
      <c r="G13" s="744"/>
      <c r="H13" s="333">
        <f>SUM(H6:H12)</f>
        <v>0.79</v>
      </c>
    </row>
    <row r="14" spans="1:8" ht="13.5" thickBot="1" x14ac:dyDescent="0.25">
      <c r="B14" s="295" t="s">
        <v>1503</v>
      </c>
      <c r="C14" s="296"/>
      <c r="D14" s="296"/>
      <c r="E14" s="296"/>
      <c r="F14" s="296"/>
      <c r="G14" s="296"/>
      <c r="H14" s="45"/>
    </row>
    <row r="15" spans="1:8" ht="38.25" x14ac:dyDescent="0.2">
      <c r="B15" s="740" t="s">
        <v>1409</v>
      </c>
      <c r="C15" s="741"/>
      <c r="D15" s="309" t="s">
        <v>1690</v>
      </c>
      <c r="E15" s="309" t="s">
        <v>1689</v>
      </c>
      <c r="F15" s="309" t="s">
        <v>1688</v>
      </c>
      <c r="G15" s="67" t="s">
        <v>1687</v>
      </c>
      <c r="H15" s="68" t="s">
        <v>1686</v>
      </c>
    </row>
    <row r="16" spans="1:8" x14ac:dyDescent="0.2">
      <c r="B16" s="310" t="s">
        <v>243</v>
      </c>
      <c r="C16" s="292"/>
      <c r="D16" s="311">
        <v>1</v>
      </c>
      <c r="E16" s="312">
        <v>3.0187499999999998</v>
      </c>
      <c r="F16" s="300">
        <v>3.0187499999999998</v>
      </c>
      <c r="G16" s="300">
        <v>0.45</v>
      </c>
      <c r="H16" s="218">
        <f>F16*G16</f>
        <v>1.3584375</v>
      </c>
    </row>
    <row r="17" spans="2:8" x14ac:dyDescent="0.2">
      <c r="B17" s="310" t="s">
        <v>1488</v>
      </c>
      <c r="C17" s="292"/>
      <c r="D17" s="311">
        <v>1</v>
      </c>
      <c r="E17" s="312">
        <v>2.82</v>
      </c>
      <c r="F17" s="303">
        <v>2.82</v>
      </c>
      <c r="G17" s="303">
        <v>0.45</v>
      </c>
      <c r="H17" s="218">
        <f>F17*G17</f>
        <v>1.2689999999999999</v>
      </c>
    </row>
    <row r="18" spans="2:8" x14ac:dyDescent="0.2">
      <c r="B18" s="310" t="s">
        <v>1787</v>
      </c>
      <c r="C18" s="292"/>
      <c r="D18" s="311">
        <v>1</v>
      </c>
      <c r="E18" s="312">
        <v>2.82</v>
      </c>
      <c r="F18" s="303">
        <v>2.82</v>
      </c>
      <c r="G18" s="303">
        <v>0.45</v>
      </c>
      <c r="H18" s="218">
        <f>F18*G18</f>
        <v>1.2689999999999999</v>
      </c>
    </row>
    <row r="19" spans="2:8" x14ac:dyDescent="0.2">
      <c r="B19" s="313"/>
      <c r="C19" s="292"/>
      <c r="D19" s="311"/>
      <c r="E19" s="312"/>
      <c r="F19" s="303"/>
      <c r="G19" s="304"/>
      <c r="H19" s="332"/>
    </row>
    <row r="20" spans="2:8" x14ac:dyDescent="0.2">
      <c r="B20" s="314"/>
      <c r="C20" s="292"/>
      <c r="D20" s="311"/>
      <c r="E20" s="312"/>
      <c r="F20" s="303"/>
      <c r="G20" s="304"/>
      <c r="H20" s="332"/>
    </row>
    <row r="21" spans="2:8" x14ac:dyDescent="0.2">
      <c r="B21" s="302"/>
      <c r="C21" s="292"/>
      <c r="D21" s="303"/>
      <c r="E21" s="303"/>
      <c r="F21" s="303"/>
      <c r="G21" s="304"/>
      <c r="H21" s="332"/>
    </row>
    <row r="22" spans="2:8" x14ac:dyDescent="0.2">
      <c r="B22" s="305"/>
      <c r="C22" s="306"/>
      <c r="D22" s="307"/>
      <c r="E22" s="307"/>
      <c r="F22" s="307"/>
      <c r="G22" s="308"/>
      <c r="H22" s="333"/>
    </row>
    <row r="23" spans="2:8" ht="13.5" thickBot="1" x14ac:dyDescent="0.25">
      <c r="B23" s="742" t="s">
        <v>1685</v>
      </c>
      <c r="C23" s="743"/>
      <c r="D23" s="743"/>
      <c r="E23" s="743"/>
      <c r="F23" s="743"/>
      <c r="G23" s="744"/>
      <c r="H23" s="334">
        <f>SUM(H15:H22)</f>
        <v>3.8964375000000002</v>
      </c>
    </row>
    <row r="24" spans="2:8" x14ac:dyDescent="0.2">
      <c r="B24" s="322" t="s">
        <v>1684</v>
      </c>
      <c r="C24" s="323"/>
      <c r="D24" s="323"/>
      <c r="E24" s="323"/>
      <c r="F24" s="323"/>
      <c r="G24" s="323"/>
      <c r="H24" s="335"/>
    </row>
    <row r="25" spans="2:8" ht="25.5" x14ac:dyDescent="0.2">
      <c r="B25" s="745" t="s">
        <v>1409</v>
      </c>
      <c r="C25" s="746"/>
      <c r="D25" s="747"/>
      <c r="E25" s="326" t="s">
        <v>1408</v>
      </c>
      <c r="F25" s="309" t="s">
        <v>1679</v>
      </c>
      <c r="G25" s="309" t="s">
        <v>1683</v>
      </c>
      <c r="H25" s="66" t="s">
        <v>1675</v>
      </c>
    </row>
    <row r="26" spans="2:8" ht="14.25" x14ac:dyDescent="0.2">
      <c r="B26" s="327" t="s">
        <v>1792</v>
      </c>
      <c r="C26" s="292"/>
      <c r="D26" s="315"/>
      <c r="E26" s="316" t="s">
        <v>1788</v>
      </c>
      <c r="F26" s="303">
        <v>2</v>
      </c>
      <c r="G26" s="303">
        <v>4.4640000000000004</v>
      </c>
      <c r="H26" s="55">
        <f t="shared" ref="H26:H35" si="0">IF($B26=0,"",ROUND(F26*G26,2))</f>
        <v>8.93</v>
      </c>
    </row>
    <row r="27" spans="2:8" ht="14.25" x14ac:dyDescent="0.2">
      <c r="B27" s="327" t="s">
        <v>1793</v>
      </c>
      <c r="C27" s="292"/>
      <c r="D27" s="315"/>
      <c r="E27" s="316" t="s">
        <v>1788</v>
      </c>
      <c r="F27" s="303">
        <v>1</v>
      </c>
      <c r="G27" s="303">
        <v>2.8080000000000003</v>
      </c>
      <c r="H27" s="55">
        <f t="shared" si="0"/>
        <v>2.81</v>
      </c>
    </row>
    <row r="28" spans="2:8" ht="14.25" x14ac:dyDescent="0.2">
      <c r="B28" s="327" t="s">
        <v>1789</v>
      </c>
      <c r="C28" s="292"/>
      <c r="D28" s="315"/>
      <c r="E28" s="316" t="s">
        <v>1788</v>
      </c>
      <c r="F28" s="303">
        <v>1</v>
      </c>
      <c r="G28" s="303">
        <v>1.7009999999999998</v>
      </c>
      <c r="H28" s="55">
        <f t="shared" si="0"/>
        <v>1.7</v>
      </c>
    </row>
    <row r="29" spans="2:8" ht="14.25" x14ac:dyDescent="0.2">
      <c r="B29" s="327" t="s">
        <v>1801</v>
      </c>
      <c r="C29" s="292"/>
      <c r="D29" s="315"/>
      <c r="E29" s="316" t="s">
        <v>744</v>
      </c>
      <c r="F29" s="303">
        <v>0.35</v>
      </c>
      <c r="G29" s="303">
        <v>21.590999999999998</v>
      </c>
      <c r="H29" s="55">
        <f t="shared" si="0"/>
        <v>7.56</v>
      </c>
    </row>
    <row r="30" spans="2:8" ht="14.25" x14ac:dyDescent="0.2">
      <c r="B30" s="327" t="s">
        <v>1802</v>
      </c>
      <c r="C30" s="292"/>
      <c r="D30" s="315"/>
      <c r="E30" s="316" t="s">
        <v>744</v>
      </c>
      <c r="F30" s="303">
        <v>0.15</v>
      </c>
      <c r="G30" s="303">
        <v>3.3930000000000002</v>
      </c>
      <c r="H30" s="55">
        <f t="shared" si="0"/>
        <v>0.51</v>
      </c>
    </row>
    <row r="31" spans="2:8" ht="14.25" x14ac:dyDescent="0.2">
      <c r="B31" s="327" t="s">
        <v>1803</v>
      </c>
      <c r="C31" s="292"/>
      <c r="D31" s="315"/>
      <c r="E31" s="316" t="s">
        <v>744</v>
      </c>
      <c r="F31" s="303">
        <v>2.1999999999999999E-2</v>
      </c>
      <c r="G31" s="303">
        <v>3.5910000000000002</v>
      </c>
      <c r="H31" s="55">
        <f t="shared" si="0"/>
        <v>0.08</v>
      </c>
    </row>
    <row r="32" spans="2:8" ht="14.25" x14ac:dyDescent="0.2">
      <c r="B32" s="327" t="s">
        <v>1804</v>
      </c>
      <c r="C32" s="292"/>
      <c r="D32" s="315"/>
      <c r="E32" s="316" t="s">
        <v>744</v>
      </c>
      <c r="F32" s="303">
        <v>2.1999999999999999E-2</v>
      </c>
      <c r="G32" s="303">
        <v>8.0910000000000011</v>
      </c>
      <c r="H32" s="55">
        <f t="shared" si="0"/>
        <v>0.18</v>
      </c>
    </row>
    <row r="33" spans="1:9" ht="14.25" x14ac:dyDescent="0.2">
      <c r="B33" s="327" t="s">
        <v>1791</v>
      </c>
      <c r="C33" s="292"/>
      <c r="D33" s="315"/>
      <c r="E33" s="316" t="s">
        <v>744</v>
      </c>
      <c r="F33" s="303">
        <v>1.8333333333333333E-2</v>
      </c>
      <c r="G33" s="303">
        <v>4.59</v>
      </c>
      <c r="H33" s="55">
        <f t="shared" si="0"/>
        <v>0.08</v>
      </c>
    </row>
    <row r="34" spans="1:9" ht="14.25" x14ac:dyDescent="0.2">
      <c r="B34" s="327" t="s">
        <v>1805</v>
      </c>
      <c r="C34" s="292"/>
      <c r="D34" s="315"/>
      <c r="E34" s="316" t="s">
        <v>744</v>
      </c>
      <c r="F34" s="303">
        <v>0.16500000000000001</v>
      </c>
      <c r="G34" s="303">
        <v>0.46800000000000003</v>
      </c>
      <c r="H34" s="55">
        <f t="shared" si="0"/>
        <v>0.08</v>
      </c>
    </row>
    <row r="35" spans="1:9" ht="14.25" x14ac:dyDescent="0.2">
      <c r="B35" s="327" t="s">
        <v>1266</v>
      </c>
      <c r="C35" s="292"/>
      <c r="D35" s="315"/>
      <c r="E35" s="316" t="s">
        <v>1196</v>
      </c>
      <c r="F35" s="303">
        <v>1.0999999999999999E-2</v>
      </c>
      <c r="G35" s="303">
        <v>1.35</v>
      </c>
      <c r="H35" s="55">
        <f t="shared" si="0"/>
        <v>0.01</v>
      </c>
    </row>
    <row r="36" spans="1:9" x14ac:dyDescent="0.2">
      <c r="B36" s="327"/>
      <c r="C36" s="292"/>
      <c r="D36" s="315"/>
      <c r="E36" s="316"/>
      <c r="F36" s="303"/>
      <c r="G36" s="303"/>
      <c r="H36" s="336"/>
    </row>
    <row r="37" spans="1:9" x14ac:dyDescent="0.2">
      <c r="B37" s="327"/>
      <c r="C37" s="292"/>
      <c r="D37" s="315"/>
      <c r="E37" s="316"/>
      <c r="F37" s="303"/>
      <c r="G37" s="303"/>
      <c r="H37" s="336"/>
    </row>
    <row r="38" spans="1:9" x14ac:dyDescent="0.2">
      <c r="B38" s="327"/>
      <c r="C38" s="292"/>
      <c r="D38" s="315"/>
      <c r="E38" s="316"/>
      <c r="F38" s="303"/>
      <c r="G38" s="303"/>
      <c r="H38" s="336"/>
    </row>
    <row r="39" spans="1:9" x14ac:dyDescent="0.2">
      <c r="B39" s="327"/>
      <c r="C39" s="292"/>
      <c r="D39" s="315"/>
      <c r="E39" s="316"/>
      <c r="F39" s="303"/>
      <c r="G39" s="303"/>
      <c r="H39" s="336"/>
    </row>
    <row r="40" spans="1:9" x14ac:dyDescent="0.2">
      <c r="B40" s="327"/>
      <c r="C40" s="292"/>
      <c r="D40" s="315"/>
      <c r="E40" s="316"/>
      <c r="F40" s="303"/>
      <c r="G40" s="303"/>
      <c r="H40" s="336"/>
    </row>
    <row r="41" spans="1:9" x14ac:dyDescent="0.2">
      <c r="B41" s="327"/>
      <c r="C41" s="292"/>
      <c r="D41" s="315"/>
      <c r="E41" s="303"/>
      <c r="F41" s="303"/>
      <c r="G41" s="303"/>
      <c r="H41" s="336"/>
    </row>
    <row r="42" spans="1:9" x14ac:dyDescent="0.2">
      <c r="B42" s="328"/>
      <c r="C42" s="306"/>
      <c r="D42" s="329"/>
      <c r="E42" s="307"/>
      <c r="F42" s="307"/>
      <c r="G42" s="307"/>
      <c r="H42" s="337"/>
    </row>
    <row r="43" spans="1:9" ht="13.5" thickBot="1" x14ac:dyDescent="0.25">
      <c r="B43" s="742" t="s">
        <v>1681</v>
      </c>
      <c r="C43" s="743"/>
      <c r="D43" s="743"/>
      <c r="E43" s="743"/>
      <c r="F43" s="743"/>
      <c r="G43" s="744"/>
      <c r="H43" s="334">
        <f>SUM(H25:H42)</f>
        <v>21.939999999999998</v>
      </c>
    </row>
    <row r="44" spans="1:9" ht="13.5" thickBot="1" x14ac:dyDescent="0.25">
      <c r="B44" s="322" t="s">
        <v>1680</v>
      </c>
      <c r="C44" s="323"/>
      <c r="D44" s="323"/>
      <c r="E44" s="296"/>
      <c r="F44" s="296"/>
      <c r="G44" s="296"/>
      <c r="H44" s="45"/>
    </row>
    <row r="45" spans="1:9" ht="25.5" x14ac:dyDescent="0.2">
      <c r="B45" s="330" t="s">
        <v>1409</v>
      </c>
      <c r="C45" s="324"/>
      <c r="D45" s="325"/>
      <c r="E45" s="309" t="s">
        <v>1408</v>
      </c>
      <c r="F45" s="309" t="s">
        <v>1679</v>
      </c>
      <c r="G45" s="309" t="s">
        <v>1676</v>
      </c>
      <c r="H45" s="68" t="s">
        <v>1675</v>
      </c>
    </row>
    <row r="46" spans="1:9" s="1" customFormat="1" ht="15" x14ac:dyDescent="0.25">
      <c r="A46" s="103">
        <v>19019</v>
      </c>
      <c r="B46" s="51" t="str">
        <f>IF($A46=0,"",VLOOKUP($A46,'BASE EQUIPO'!$A:$D,2))</f>
        <v>TRANSPORTE DE MATERIAL</v>
      </c>
      <c r="C46" s="52"/>
      <c r="D46" s="82"/>
      <c r="E46" s="78" t="str">
        <f>IF($A46=0,"",VLOOKUP($A46,'BASE EQUIPO'!$A:$D,3))</f>
        <v>GLOBAL</v>
      </c>
      <c r="F46" s="55">
        <v>1</v>
      </c>
      <c r="G46" s="83">
        <f>IF($A46=0,"",VLOOKUP($A46,'BASE EQUIPO'!$A:$D,4)*H43)</f>
        <v>0.6581999999999999</v>
      </c>
      <c r="H46" s="56">
        <f>IF($A46=0,"",ROUND(F46*G46,2))</f>
        <v>0.66</v>
      </c>
      <c r="I46" s="2"/>
    </row>
    <row r="47" spans="1:9" x14ac:dyDescent="0.2">
      <c r="B47" s="302"/>
      <c r="C47" s="292"/>
      <c r="D47" s="317"/>
      <c r="E47" s="316"/>
      <c r="F47" s="303"/>
      <c r="G47" s="303"/>
      <c r="H47" s="332"/>
    </row>
    <row r="48" spans="1:9" x14ac:dyDescent="0.2">
      <c r="B48" s="305"/>
      <c r="C48" s="306"/>
      <c r="D48" s="318"/>
      <c r="E48" s="319"/>
      <c r="F48" s="307"/>
      <c r="G48" s="307"/>
      <c r="H48" s="333"/>
    </row>
    <row r="49" spans="1:9" ht="13.5" thickBot="1" x14ac:dyDescent="0.25">
      <c r="B49" s="742" t="s">
        <v>1674</v>
      </c>
      <c r="C49" s="743"/>
      <c r="D49" s="743"/>
      <c r="E49" s="743"/>
      <c r="F49" s="743"/>
      <c r="G49" s="744"/>
      <c r="H49" s="338">
        <f>SUM(H45:H48)</f>
        <v>0.66</v>
      </c>
    </row>
    <row r="50" spans="1:9" x14ac:dyDescent="0.2">
      <c r="B50" s="292"/>
      <c r="C50" s="292"/>
      <c r="D50" s="320" t="s">
        <v>1673</v>
      </c>
      <c r="E50" s="321"/>
      <c r="F50" s="321"/>
      <c r="G50" s="321"/>
      <c r="H50" s="331">
        <f>H13+H23+H43+H49</f>
        <v>27.286437499999998</v>
      </c>
    </row>
    <row r="51" spans="1:9" s="1" customFormat="1" ht="15.75" x14ac:dyDescent="0.25">
      <c r="A51" s="103">
        <v>40002</v>
      </c>
      <c r="B51" s="2"/>
      <c r="C51" s="2"/>
      <c r="D51" s="93" t="s">
        <v>1672</v>
      </c>
      <c r="E51" s="65"/>
      <c r="F51" s="65"/>
      <c r="G51" s="94">
        <f>IF($A51=0,"",VLOOKUP($A51,'BASE MATERIAL'!$M:$P,4))</f>
        <v>0</v>
      </c>
      <c r="H51" s="95">
        <f>IF($A51=0,"",ROUND(G51*H50,2))</f>
        <v>0</v>
      </c>
      <c r="I51" s="2"/>
    </row>
    <row r="52" spans="1:9" s="1" customFormat="1" ht="15.75" x14ac:dyDescent="0.25">
      <c r="A52" s="103">
        <v>40003</v>
      </c>
      <c r="B52" s="2"/>
      <c r="C52" s="2"/>
      <c r="D52" s="93" t="s">
        <v>1671</v>
      </c>
      <c r="E52" s="65"/>
      <c r="F52" s="65"/>
      <c r="G52" s="94">
        <f>IF($A52=0,"",VLOOKUP($A52,'BASE MATERIAL'!$M:$P,4))</f>
        <v>0</v>
      </c>
      <c r="H52" s="95">
        <f>IF($A52=0,"",ROUND(G52*H50,2))</f>
        <v>0</v>
      </c>
      <c r="I52" s="2"/>
    </row>
    <row r="53" spans="1:9" s="1" customFormat="1" ht="15.75" x14ac:dyDescent="0.25">
      <c r="A53" s="103"/>
      <c r="B53" s="2"/>
      <c r="C53" s="2"/>
      <c r="D53" s="93" t="s">
        <v>1670</v>
      </c>
      <c r="E53" s="65"/>
      <c r="F53" s="65"/>
      <c r="G53" s="65"/>
      <c r="H53" s="96">
        <f>ROUND(SUM(H50:H52),2)</f>
        <v>27.29</v>
      </c>
      <c r="I53" s="2"/>
    </row>
    <row r="54" spans="1:9" s="1" customFormat="1" ht="16.5" thickBot="1" x14ac:dyDescent="0.3">
      <c r="A54" s="103"/>
      <c r="B54" s="25"/>
      <c r="C54" s="2"/>
      <c r="D54" s="97" t="s">
        <v>1650</v>
      </c>
      <c r="E54" s="88"/>
      <c r="F54" s="88"/>
      <c r="G54" s="88"/>
      <c r="H54" s="98">
        <f>ROUND(H53,2)</f>
        <v>27.29</v>
      </c>
      <c r="I54" s="2"/>
    </row>
    <row r="55" spans="1:9" x14ac:dyDescent="0.2">
      <c r="B55" s="738" t="s">
        <v>1697</v>
      </c>
      <c r="C55" s="739"/>
      <c r="D55" s="739"/>
      <c r="E55" s="739"/>
      <c r="F55" s="739"/>
      <c r="G55" s="739"/>
      <c r="H55" s="739"/>
    </row>
    <row r="56" spans="1:9" x14ac:dyDescent="0.2">
      <c r="B56" s="292" t="s">
        <v>1586</v>
      </c>
      <c r="C56" s="293"/>
      <c r="D56" s="292"/>
      <c r="E56" s="292"/>
      <c r="F56" s="292"/>
      <c r="G56" s="292" t="s">
        <v>1696</v>
      </c>
      <c r="H56" s="39" t="s">
        <v>1786</v>
      </c>
    </row>
    <row r="57" spans="1:9" x14ac:dyDescent="0.2">
      <c r="B57" s="292" t="s">
        <v>1585</v>
      </c>
      <c r="C57" s="294" t="s">
        <v>1800</v>
      </c>
      <c r="D57" s="292"/>
      <c r="E57" s="292"/>
      <c r="F57" s="292"/>
      <c r="G57" s="292"/>
      <c r="H57" s="2"/>
    </row>
    <row r="58" spans="1:9" ht="13.5" thickBot="1" x14ac:dyDescent="0.25">
      <c r="B58" s="292"/>
      <c r="C58" s="292"/>
      <c r="D58" s="292"/>
      <c r="E58" s="292"/>
      <c r="F58" s="292"/>
      <c r="G58" s="292"/>
      <c r="H58" s="2"/>
    </row>
    <row r="59" spans="1:9" ht="13.5" thickBot="1" x14ac:dyDescent="0.25">
      <c r="B59" s="295" t="s">
        <v>1695</v>
      </c>
      <c r="C59" s="296"/>
      <c r="D59" s="296"/>
      <c r="E59" s="296"/>
      <c r="F59" s="296"/>
      <c r="G59" s="296"/>
      <c r="H59" s="45"/>
    </row>
    <row r="60" spans="1:9" ht="25.5" x14ac:dyDescent="0.2">
      <c r="B60" s="740" t="s">
        <v>1409</v>
      </c>
      <c r="C60" s="741"/>
      <c r="D60" s="297" t="s">
        <v>1690</v>
      </c>
      <c r="E60" s="297" t="s">
        <v>1694</v>
      </c>
      <c r="F60" s="297" t="s">
        <v>1693</v>
      </c>
      <c r="G60" s="49" t="s">
        <v>1687</v>
      </c>
      <c r="H60" s="50" t="s">
        <v>1686</v>
      </c>
    </row>
    <row r="61" spans="1:9" ht="15" x14ac:dyDescent="0.25">
      <c r="A61" s="103">
        <v>19016</v>
      </c>
      <c r="B61" s="298" t="s">
        <v>1468</v>
      </c>
      <c r="C61" s="299"/>
      <c r="D61" s="300">
        <v>1</v>
      </c>
      <c r="E61" s="53">
        <f>IF($A61=0,"",VLOOKUP($A61,'BASE EQUIPO'!$A:$D,4)*H77)</f>
        <v>0.12988125</v>
      </c>
      <c r="F61" s="300">
        <v>0.79166666666666663</v>
      </c>
      <c r="G61" s="301">
        <v>1</v>
      </c>
      <c r="H61" s="54">
        <f>IF($A61=0,"",ROUND(G61*F61,2))</f>
        <v>0.79</v>
      </c>
    </row>
    <row r="62" spans="1:9" x14ac:dyDescent="0.2">
      <c r="B62" s="302"/>
      <c r="C62" s="292"/>
      <c r="D62" s="303"/>
      <c r="E62" s="303"/>
      <c r="F62" s="303"/>
      <c r="G62" s="304"/>
      <c r="H62" s="332"/>
    </row>
    <row r="63" spans="1:9" x14ac:dyDescent="0.2">
      <c r="B63" s="302"/>
      <c r="C63" s="292"/>
      <c r="D63" s="303"/>
      <c r="E63" s="303"/>
      <c r="F63" s="303"/>
      <c r="G63" s="304"/>
      <c r="H63" s="332"/>
    </row>
    <row r="64" spans="1:9" x14ac:dyDescent="0.2">
      <c r="B64" s="302"/>
      <c r="C64" s="292"/>
      <c r="D64" s="303"/>
      <c r="E64" s="303"/>
      <c r="F64" s="303"/>
      <c r="G64" s="304"/>
      <c r="H64" s="332"/>
    </row>
    <row r="65" spans="2:8" x14ac:dyDescent="0.2">
      <c r="B65" s="302"/>
      <c r="C65" s="292"/>
      <c r="D65" s="303"/>
      <c r="E65" s="303"/>
      <c r="F65" s="303"/>
      <c r="G65" s="304"/>
      <c r="H65" s="332"/>
    </row>
    <row r="66" spans="2:8" x14ac:dyDescent="0.2">
      <c r="B66" s="305"/>
      <c r="C66" s="306"/>
      <c r="D66" s="307"/>
      <c r="E66" s="307"/>
      <c r="F66" s="307"/>
      <c r="G66" s="308"/>
      <c r="H66" s="333"/>
    </row>
    <row r="67" spans="2:8" ht="13.5" thickBot="1" x14ac:dyDescent="0.25">
      <c r="B67" s="742" t="s">
        <v>1692</v>
      </c>
      <c r="C67" s="743"/>
      <c r="D67" s="743"/>
      <c r="E67" s="743"/>
      <c r="F67" s="743"/>
      <c r="G67" s="744"/>
      <c r="H67" s="333">
        <f>SUM(H60:H66)</f>
        <v>0.79</v>
      </c>
    </row>
    <row r="68" spans="2:8" ht="13.5" thickBot="1" x14ac:dyDescent="0.25">
      <c r="B68" s="295" t="s">
        <v>1503</v>
      </c>
      <c r="C68" s="296"/>
      <c r="D68" s="296"/>
      <c r="E68" s="296"/>
      <c r="F68" s="296"/>
      <c r="G68" s="296"/>
      <c r="H68" s="45"/>
    </row>
    <row r="69" spans="2:8" ht="38.25" x14ac:dyDescent="0.2">
      <c r="B69" s="740" t="s">
        <v>1409</v>
      </c>
      <c r="C69" s="741"/>
      <c r="D69" s="309" t="s">
        <v>1690</v>
      </c>
      <c r="E69" s="309" t="s">
        <v>1689</v>
      </c>
      <c r="F69" s="309" t="s">
        <v>1688</v>
      </c>
      <c r="G69" s="67" t="s">
        <v>1687</v>
      </c>
      <c r="H69" s="68" t="s">
        <v>1686</v>
      </c>
    </row>
    <row r="70" spans="2:8" x14ac:dyDescent="0.2">
      <c r="B70" s="310" t="s">
        <v>243</v>
      </c>
      <c r="C70" s="292"/>
      <c r="D70" s="311">
        <v>1</v>
      </c>
      <c r="E70" s="312">
        <v>3.0187499999999998</v>
      </c>
      <c r="F70" s="300">
        <v>3.0187499999999998</v>
      </c>
      <c r="G70" s="300">
        <v>0.3</v>
      </c>
      <c r="H70" s="218">
        <f>F70*G70</f>
        <v>0.9056249999999999</v>
      </c>
    </row>
    <row r="71" spans="2:8" x14ac:dyDescent="0.2">
      <c r="B71" s="310" t="s">
        <v>1488</v>
      </c>
      <c r="C71" s="292"/>
      <c r="D71" s="311">
        <v>1</v>
      </c>
      <c r="E71" s="312">
        <v>2.82</v>
      </c>
      <c r="F71" s="303">
        <v>2.82</v>
      </c>
      <c r="G71" s="303">
        <f>+G70</f>
        <v>0.3</v>
      </c>
      <c r="H71" s="218">
        <f>F71*G71</f>
        <v>0.84599999999999997</v>
      </c>
    </row>
    <row r="72" spans="2:8" x14ac:dyDescent="0.2">
      <c r="B72" s="310" t="s">
        <v>1787</v>
      </c>
      <c r="C72" s="292"/>
      <c r="D72" s="311">
        <v>1</v>
      </c>
      <c r="E72" s="312">
        <v>2.82</v>
      </c>
      <c r="F72" s="303">
        <v>2.82</v>
      </c>
      <c r="G72" s="303">
        <f>+G71</f>
        <v>0.3</v>
      </c>
      <c r="H72" s="218">
        <f>F72*G72</f>
        <v>0.84599999999999997</v>
      </c>
    </row>
    <row r="73" spans="2:8" x14ac:dyDescent="0.2">
      <c r="B73" s="313"/>
      <c r="C73" s="292"/>
      <c r="D73" s="311"/>
      <c r="E73" s="312"/>
      <c r="F73" s="303"/>
      <c r="G73" s="304"/>
      <c r="H73" s="332"/>
    </row>
    <row r="74" spans="2:8" x14ac:dyDescent="0.2">
      <c r="B74" s="314"/>
      <c r="C74" s="292"/>
      <c r="D74" s="311"/>
      <c r="E74" s="312"/>
      <c r="F74" s="303"/>
      <c r="G74" s="304"/>
      <c r="H74" s="332"/>
    </row>
    <row r="75" spans="2:8" x14ac:dyDescent="0.2">
      <c r="B75" s="302"/>
      <c r="C75" s="292"/>
      <c r="D75" s="303"/>
      <c r="E75" s="303"/>
      <c r="F75" s="303"/>
      <c r="G75" s="304"/>
      <c r="H75" s="332"/>
    </row>
    <row r="76" spans="2:8" x14ac:dyDescent="0.2">
      <c r="B76" s="305"/>
      <c r="C76" s="306"/>
      <c r="D76" s="307"/>
      <c r="E76" s="307"/>
      <c r="F76" s="307"/>
      <c r="G76" s="308"/>
      <c r="H76" s="333"/>
    </row>
    <row r="77" spans="2:8" ht="13.5" thickBot="1" x14ac:dyDescent="0.25">
      <c r="B77" s="742" t="s">
        <v>1685</v>
      </c>
      <c r="C77" s="743"/>
      <c r="D77" s="743"/>
      <c r="E77" s="743"/>
      <c r="F77" s="743"/>
      <c r="G77" s="744"/>
      <c r="H77" s="334">
        <f>SUM(H69:H76)</f>
        <v>2.5976249999999999</v>
      </c>
    </row>
    <row r="78" spans="2:8" x14ac:dyDescent="0.2">
      <c r="B78" s="322" t="s">
        <v>1684</v>
      </c>
      <c r="C78" s="323"/>
      <c r="D78" s="323"/>
      <c r="E78" s="323"/>
      <c r="F78" s="323"/>
      <c r="G78" s="323"/>
      <c r="H78" s="335"/>
    </row>
    <row r="79" spans="2:8" ht="25.5" x14ac:dyDescent="0.2">
      <c r="B79" s="745" t="s">
        <v>1409</v>
      </c>
      <c r="C79" s="746"/>
      <c r="D79" s="747"/>
      <c r="E79" s="326" t="s">
        <v>1408</v>
      </c>
      <c r="F79" s="309" t="s">
        <v>1679</v>
      </c>
      <c r="G79" s="309" t="s">
        <v>1683</v>
      </c>
      <c r="H79" s="66" t="s">
        <v>1675</v>
      </c>
    </row>
    <row r="80" spans="2:8" ht="14.25" x14ac:dyDescent="0.2">
      <c r="B80" s="327" t="s">
        <v>1790</v>
      </c>
      <c r="C80" s="292"/>
      <c r="D80" s="315"/>
      <c r="E80" s="316" t="s">
        <v>1788</v>
      </c>
      <c r="F80" s="303">
        <v>1</v>
      </c>
      <c r="G80" s="303">
        <v>1.1000000000000001</v>
      </c>
      <c r="H80" s="55">
        <f t="shared" ref="H80:H89" si="1">IF($B80=0,"",ROUND(F80*G80,2))</f>
        <v>1.1000000000000001</v>
      </c>
    </row>
    <row r="81" spans="2:8" ht="14.25" x14ac:dyDescent="0.2">
      <c r="B81" s="327" t="s">
        <v>1790</v>
      </c>
      <c r="C81" s="292"/>
      <c r="D81" s="315"/>
      <c r="E81" s="316" t="s">
        <v>1788</v>
      </c>
      <c r="F81" s="303">
        <v>1</v>
      </c>
      <c r="G81" s="303">
        <v>1.1000000000000001</v>
      </c>
      <c r="H81" s="55">
        <f t="shared" si="1"/>
        <v>1.1000000000000001</v>
      </c>
    </row>
    <row r="82" spans="2:8" ht="14.25" x14ac:dyDescent="0.2">
      <c r="B82" s="327" t="s">
        <v>1789</v>
      </c>
      <c r="C82" s="292"/>
      <c r="D82" s="315"/>
      <c r="E82" s="316" t="s">
        <v>1788</v>
      </c>
      <c r="F82" s="303">
        <v>2</v>
      </c>
      <c r="G82" s="303">
        <v>1.7009999999999998</v>
      </c>
      <c r="H82" s="55">
        <f t="shared" si="1"/>
        <v>3.4</v>
      </c>
    </row>
    <row r="83" spans="2:8" ht="14.25" x14ac:dyDescent="0.2">
      <c r="B83" s="327" t="s">
        <v>1794</v>
      </c>
      <c r="C83" s="292"/>
      <c r="D83" s="315"/>
      <c r="E83" s="316" t="s">
        <v>744</v>
      </c>
      <c r="F83" s="303">
        <v>0.35</v>
      </c>
      <c r="G83" s="303">
        <v>12.591000000000001</v>
      </c>
      <c r="H83" s="55">
        <f t="shared" si="1"/>
        <v>4.41</v>
      </c>
    </row>
    <row r="84" spans="2:8" ht="14.25" x14ac:dyDescent="0.2">
      <c r="B84" s="327" t="s">
        <v>1795</v>
      </c>
      <c r="C84" s="292"/>
      <c r="D84" s="315"/>
      <c r="E84" s="316" t="s">
        <v>744</v>
      </c>
      <c r="F84" s="303">
        <v>0.12100000000000001</v>
      </c>
      <c r="G84" s="303">
        <v>1.341</v>
      </c>
      <c r="H84" s="55">
        <f t="shared" si="1"/>
        <v>0.16</v>
      </c>
    </row>
    <row r="85" spans="2:8" ht="14.25" x14ac:dyDescent="0.2">
      <c r="B85" s="327" t="s">
        <v>1796</v>
      </c>
      <c r="C85" s="292"/>
      <c r="D85" s="315"/>
      <c r="E85" s="316" t="s">
        <v>744</v>
      </c>
      <c r="F85" s="303">
        <v>2.1999999999999999E-2</v>
      </c>
      <c r="G85" s="303">
        <v>1.647</v>
      </c>
      <c r="H85" s="55">
        <f t="shared" si="1"/>
        <v>0.04</v>
      </c>
    </row>
    <row r="86" spans="2:8" ht="14.25" x14ac:dyDescent="0.2">
      <c r="B86" s="327" t="s">
        <v>1797</v>
      </c>
      <c r="C86" s="292"/>
      <c r="D86" s="315"/>
      <c r="E86" s="316" t="s">
        <v>744</v>
      </c>
      <c r="F86" s="303">
        <v>2.1999999999999999E-2</v>
      </c>
      <c r="G86" s="303">
        <v>4.4910000000000005</v>
      </c>
      <c r="H86" s="55">
        <f t="shared" si="1"/>
        <v>0.1</v>
      </c>
    </row>
    <row r="87" spans="2:8" ht="14.25" x14ac:dyDescent="0.2">
      <c r="B87" s="327" t="s">
        <v>1791</v>
      </c>
      <c r="C87" s="292"/>
      <c r="D87" s="315"/>
      <c r="E87" s="316" t="s">
        <v>744</v>
      </c>
      <c r="F87" s="303">
        <v>1.8333333333333333E-2</v>
      </c>
      <c r="G87" s="303">
        <v>4.59</v>
      </c>
      <c r="H87" s="55">
        <f t="shared" si="1"/>
        <v>0.08</v>
      </c>
    </row>
    <row r="88" spans="2:8" ht="14.25" x14ac:dyDescent="0.2">
      <c r="B88" s="327" t="s">
        <v>1798</v>
      </c>
      <c r="C88" s="292"/>
      <c r="D88" s="315"/>
      <c r="E88" s="316" t="s">
        <v>744</v>
      </c>
      <c r="F88" s="303">
        <v>0.16500000000000001</v>
      </c>
      <c r="G88" s="303">
        <v>0.41400000000000003</v>
      </c>
      <c r="H88" s="55">
        <f t="shared" si="1"/>
        <v>7.0000000000000007E-2</v>
      </c>
    </row>
    <row r="89" spans="2:8" ht="14.25" x14ac:dyDescent="0.2">
      <c r="B89" s="327" t="s">
        <v>1266</v>
      </c>
      <c r="C89" s="292"/>
      <c r="D89" s="315"/>
      <c r="E89" s="316" t="s">
        <v>1196</v>
      </c>
      <c r="F89" s="303">
        <v>1.0999999999999999E-2</v>
      </c>
      <c r="G89" s="303">
        <v>1.35</v>
      </c>
      <c r="H89" s="55">
        <f t="shared" si="1"/>
        <v>0.01</v>
      </c>
    </row>
    <row r="90" spans="2:8" x14ac:dyDescent="0.2">
      <c r="B90" s="327"/>
      <c r="C90" s="292"/>
      <c r="D90" s="315"/>
      <c r="E90" s="316"/>
      <c r="F90" s="303"/>
      <c r="G90" s="303"/>
      <c r="H90" s="336"/>
    </row>
    <row r="91" spans="2:8" x14ac:dyDescent="0.2">
      <c r="B91" s="327"/>
      <c r="C91" s="292"/>
      <c r="D91" s="315"/>
      <c r="E91" s="316"/>
      <c r="F91" s="303"/>
      <c r="G91" s="303"/>
      <c r="H91" s="336"/>
    </row>
    <row r="92" spans="2:8" x14ac:dyDescent="0.2">
      <c r="B92" s="327"/>
      <c r="C92" s="292"/>
      <c r="D92" s="315"/>
      <c r="E92" s="316"/>
      <c r="F92" s="303"/>
      <c r="G92" s="303"/>
      <c r="H92" s="336"/>
    </row>
    <row r="93" spans="2:8" x14ac:dyDescent="0.2">
      <c r="B93" s="327"/>
      <c r="C93" s="292"/>
      <c r="D93" s="315"/>
      <c r="E93" s="316"/>
      <c r="F93" s="303"/>
      <c r="G93" s="303"/>
      <c r="H93" s="336"/>
    </row>
    <row r="94" spans="2:8" x14ac:dyDescent="0.2">
      <c r="B94" s="327"/>
      <c r="C94" s="292"/>
      <c r="D94" s="315"/>
      <c r="E94" s="316"/>
      <c r="F94" s="303"/>
      <c r="G94" s="303"/>
      <c r="H94" s="336"/>
    </row>
    <row r="95" spans="2:8" x14ac:dyDescent="0.2">
      <c r="B95" s="327"/>
      <c r="C95" s="292"/>
      <c r="D95" s="315"/>
      <c r="E95" s="303"/>
      <c r="F95" s="303"/>
      <c r="G95" s="303"/>
      <c r="H95" s="336"/>
    </row>
    <row r="96" spans="2:8" x14ac:dyDescent="0.2">
      <c r="B96" s="328"/>
      <c r="C96" s="306"/>
      <c r="D96" s="329"/>
      <c r="E96" s="307"/>
      <c r="F96" s="307"/>
      <c r="G96" s="307"/>
      <c r="H96" s="337"/>
    </row>
    <row r="97" spans="1:9" ht="13.5" thickBot="1" x14ac:dyDescent="0.25">
      <c r="B97" s="742" t="s">
        <v>1681</v>
      </c>
      <c r="C97" s="743"/>
      <c r="D97" s="743"/>
      <c r="E97" s="743"/>
      <c r="F97" s="743"/>
      <c r="G97" s="744"/>
      <c r="H97" s="334">
        <f>SUM(H79:H96)</f>
        <v>10.469999999999999</v>
      </c>
    </row>
    <row r="98" spans="1:9" ht="13.5" thickBot="1" x14ac:dyDescent="0.25">
      <c r="B98" s="322" t="s">
        <v>1680</v>
      </c>
      <c r="C98" s="323"/>
      <c r="D98" s="323"/>
      <c r="E98" s="296"/>
      <c r="F98" s="296"/>
      <c r="G98" s="296"/>
      <c r="H98" s="45"/>
    </row>
    <row r="99" spans="1:9" ht="25.5" x14ac:dyDescent="0.2">
      <c r="B99" s="330" t="s">
        <v>1409</v>
      </c>
      <c r="C99" s="324"/>
      <c r="D99" s="325"/>
      <c r="E99" s="309" t="s">
        <v>1408</v>
      </c>
      <c r="F99" s="309" t="s">
        <v>1679</v>
      </c>
      <c r="G99" s="309" t="s">
        <v>1676</v>
      </c>
      <c r="H99" s="68" t="s">
        <v>1675</v>
      </c>
    </row>
    <row r="100" spans="1:9" s="1" customFormat="1" ht="15" x14ac:dyDescent="0.25">
      <c r="A100" s="103">
        <v>19019</v>
      </c>
      <c r="B100" s="51" t="str">
        <f>IF($A100=0,"",VLOOKUP($A100,'BASE EQUIPO'!$A:$D,2))</f>
        <v>TRANSPORTE DE MATERIAL</v>
      </c>
      <c r="C100" s="52"/>
      <c r="D100" s="82"/>
      <c r="E100" s="78" t="str">
        <f>IF($A100=0,"",VLOOKUP($A100,'BASE EQUIPO'!$A:$D,3))</f>
        <v>GLOBAL</v>
      </c>
      <c r="F100" s="55">
        <v>1</v>
      </c>
      <c r="G100" s="83">
        <f>IF($A100=0,"",VLOOKUP($A100,'BASE EQUIPO'!$A:$D,4)*H97)</f>
        <v>0.31409999999999993</v>
      </c>
      <c r="H100" s="56">
        <f>IF($A100=0,"",ROUND(F100*G100,2))</f>
        <v>0.31</v>
      </c>
      <c r="I100" s="2"/>
    </row>
    <row r="101" spans="1:9" x14ac:dyDescent="0.2">
      <c r="B101" s="302"/>
      <c r="C101" s="292"/>
      <c r="D101" s="317"/>
      <c r="E101" s="316"/>
      <c r="F101" s="303"/>
      <c r="G101" s="303"/>
      <c r="H101" s="332"/>
    </row>
    <row r="102" spans="1:9" x14ac:dyDescent="0.2">
      <c r="B102" s="305"/>
      <c r="C102" s="306"/>
      <c r="D102" s="318"/>
      <c r="E102" s="319"/>
      <c r="F102" s="307"/>
      <c r="G102" s="307"/>
      <c r="H102" s="333"/>
    </row>
    <row r="103" spans="1:9" ht="13.5" thickBot="1" x14ac:dyDescent="0.25">
      <c r="B103" s="742" t="s">
        <v>1674</v>
      </c>
      <c r="C103" s="743"/>
      <c r="D103" s="743"/>
      <c r="E103" s="743"/>
      <c r="F103" s="743"/>
      <c r="G103" s="744"/>
      <c r="H103" s="338">
        <f>SUM(H99:H102)</f>
        <v>0.31</v>
      </c>
    </row>
    <row r="104" spans="1:9" x14ac:dyDescent="0.2">
      <c r="B104" s="292"/>
      <c r="C104" s="292"/>
      <c r="D104" s="320" t="s">
        <v>1673</v>
      </c>
      <c r="E104" s="321"/>
      <c r="F104" s="321"/>
      <c r="G104" s="321"/>
      <c r="H104" s="331">
        <f>H67+H77+H97+H103</f>
        <v>14.167624999999999</v>
      </c>
    </row>
    <row r="105" spans="1:9" s="1" customFormat="1" ht="15.75" x14ac:dyDescent="0.25">
      <c r="A105" s="103">
        <v>40002</v>
      </c>
      <c r="B105" s="2"/>
      <c r="C105" s="2"/>
      <c r="D105" s="93" t="s">
        <v>1672</v>
      </c>
      <c r="E105" s="65"/>
      <c r="F105" s="65"/>
      <c r="G105" s="94">
        <f>IF($A105=0,"",VLOOKUP($A105,'BASE MATERIAL'!$M:$P,4))</f>
        <v>0</v>
      </c>
      <c r="H105" s="95">
        <f>IF($A105=0,"",ROUND(G105*H104,2))</f>
        <v>0</v>
      </c>
      <c r="I105" s="2"/>
    </row>
    <row r="106" spans="1:9" s="1" customFormat="1" ht="15.75" x14ac:dyDescent="0.25">
      <c r="A106" s="103">
        <v>40003</v>
      </c>
      <c r="B106" s="2"/>
      <c r="C106" s="2"/>
      <c r="D106" s="93" t="s">
        <v>1671</v>
      </c>
      <c r="E106" s="65"/>
      <c r="F106" s="65"/>
      <c r="G106" s="94">
        <f>IF($A106=0,"",VLOOKUP($A106,'BASE MATERIAL'!$M:$P,4))</f>
        <v>0</v>
      </c>
      <c r="H106" s="95">
        <f>IF($A106=0,"",ROUND(G106*H104,2))</f>
        <v>0</v>
      </c>
      <c r="I106" s="2"/>
    </row>
    <row r="107" spans="1:9" s="1" customFormat="1" ht="15.75" x14ac:dyDescent="0.25">
      <c r="A107" s="103"/>
      <c r="B107" s="2"/>
      <c r="C107" s="2"/>
      <c r="D107" s="93" t="s">
        <v>1670</v>
      </c>
      <c r="E107" s="65"/>
      <c r="F107" s="65"/>
      <c r="G107" s="65"/>
      <c r="H107" s="96">
        <f>ROUND(SUM(H104:H106),2)</f>
        <v>14.17</v>
      </c>
      <c r="I107" s="2"/>
    </row>
    <row r="108" spans="1:9" s="1" customFormat="1" ht="16.5" thickBot="1" x14ac:dyDescent="0.3">
      <c r="A108" s="103"/>
      <c r="B108" s="25"/>
      <c r="C108" s="2"/>
      <c r="D108" s="97" t="s">
        <v>1650</v>
      </c>
      <c r="E108" s="88"/>
      <c r="F108" s="88"/>
      <c r="G108" s="88"/>
      <c r="H108" s="98">
        <f>ROUND(H107,2)</f>
        <v>14.17</v>
      </c>
      <c r="I108" s="2"/>
    </row>
  </sheetData>
  <mergeCells count="16">
    <mergeCell ref="B25:D25"/>
    <mergeCell ref="B77:G77"/>
    <mergeCell ref="B79:D79"/>
    <mergeCell ref="B97:G97"/>
    <mergeCell ref="B103:G103"/>
    <mergeCell ref="B43:G43"/>
    <mergeCell ref="B49:G49"/>
    <mergeCell ref="B55:H55"/>
    <mergeCell ref="B60:C60"/>
    <mergeCell ref="B67:G67"/>
    <mergeCell ref="B69:C69"/>
    <mergeCell ref="B1:H1"/>
    <mergeCell ref="B6:C6"/>
    <mergeCell ref="B13:G13"/>
    <mergeCell ref="B15:C15"/>
    <mergeCell ref="B23:G23"/>
  </mergeCells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996FD-DE5F-4479-8600-26EDF0767F1E}">
  <sheetPr codeName="Hoja38"/>
  <dimension ref="A1:L1296"/>
  <sheetViews>
    <sheetView workbookViewId="0">
      <selection activeCell="G16" sqref="G16"/>
    </sheetView>
  </sheetViews>
  <sheetFormatPr baseColWidth="10" defaultColWidth="11.42578125" defaultRowHeight="12.75" x14ac:dyDescent="0.2"/>
  <cols>
    <col min="2" max="2" width="13.5703125" customWidth="1"/>
    <col min="3" max="3" width="26.28515625" customWidth="1"/>
    <col min="4" max="4" width="10.7109375" customWidth="1"/>
    <col min="5" max="5" width="12.140625" customWidth="1"/>
    <col min="6" max="6" width="14.140625" customWidth="1"/>
    <col min="7" max="7" width="13.85546875" customWidth="1"/>
    <col min="8" max="8" width="12.42578125" customWidth="1"/>
  </cols>
  <sheetData>
    <row r="1" spans="1:8" ht="15.75" x14ac:dyDescent="0.2">
      <c r="B1" s="186" t="s">
        <v>1697</v>
      </c>
      <c r="C1" s="189"/>
      <c r="D1" s="132"/>
      <c r="E1" s="132"/>
      <c r="F1" s="132"/>
      <c r="G1" s="132"/>
      <c r="H1" s="132"/>
    </row>
    <row r="2" spans="1:8" ht="15" x14ac:dyDescent="0.2">
      <c r="B2" s="192"/>
      <c r="C2" s="189"/>
      <c r="D2" s="189"/>
      <c r="E2" s="189"/>
      <c r="F2" s="189"/>
      <c r="G2" s="189"/>
      <c r="H2" s="189"/>
    </row>
    <row r="3" spans="1:8" ht="14.25" x14ac:dyDescent="0.2">
      <c r="B3" s="193" t="s">
        <v>594</v>
      </c>
      <c r="C3" s="194">
        <v>7</v>
      </c>
      <c r="D3" s="132"/>
      <c r="E3" s="188"/>
      <c r="F3" s="188"/>
      <c r="G3" s="195" t="s">
        <v>1696</v>
      </c>
      <c r="H3" s="189" t="s">
        <v>1506</v>
      </c>
    </row>
    <row r="4" spans="1:8" ht="14.25" x14ac:dyDescent="0.2">
      <c r="B4" s="196" t="s">
        <v>964</v>
      </c>
      <c r="C4" s="280" t="s">
        <v>40</v>
      </c>
      <c r="D4" s="132"/>
      <c r="E4" s="132"/>
      <c r="F4" s="132"/>
      <c r="G4" s="132"/>
      <c r="H4" s="132"/>
    </row>
    <row r="5" spans="1:8" ht="15" thickBot="1" x14ac:dyDescent="0.25">
      <c r="B5" s="187"/>
      <c r="C5" s="187"/>
      <c r="D5" s="189"/>
      <c r="E5" s="189"/>
      <c r="F5" s="189"/>
      <c r="G5" s="189"/>
      <c r="H5" s="189"/>
    </row>
    <row r="6" spans="1:8" ht="13.5" thickBot="1" x14ac:dyDescent="0.25">
      <c r="B6" s="264" t="s">
        <v>1695</v>
      </c>
      <c r="C6" s="265"/>
      <c r="D6" s="266"/>
      <c r="E6" s="265"/>
      <c r="F6" s="265"/>
      <c r="G6" s="265"/>
      <c r="H6" s="267"/>
    </row>
    <row r="7" spans="1:8" ht="25.5" x14ac:dyDescent="0.2">
      <c r="B7" s="197" t="s">
        <v>1409</v>
      </c>
      <c r="C7" s="268"/>
      <c r="D7" s="269" t="s">
        <v>966</v>
      </c>
      <c r="E7" s="270" t="s">
        <v>1694</v>
      </c>
      <c r="F7" s="270" t="s">
        <v>1693</v>
      </c>
      <c r="G7" s="201" t="s">
        <v>1687</v>
      </c>
      <c r="H7" s="271" t="s">
        <v>967</v>
      </c>
    </row>
    <row r="8" spans="1:8" ht="14.25" x14ac:dyDescent="0.2">
      <c r="A8">
        <v>1</v>
      </c>
      <c r="B8" s="208" t="s">
        <v>1468</v>
      </c>
      <c r="C8" s="209"/>
      <c r="D8" s="210">
        <v>1</v>
      </c>
      <c r="E8" s="211">
        <v>2.5</v>
      </c>
      <c r="F8" s="53">
        <f>IF($A8=0,"",ROUND(D8*E8,2))</f>
        <v>2.5</v>
      </c>
      <c r="G8" s="212">
        <v>0.6</v>
      </c>
      <c r="H8" s="213">
        <f>F8*G8</f>
        <v>1.5</v>
      </c>
    </row>
    <row r="9" spans="1:8" x14ac:dyDescent="0.2">
      <c r="B9" s="214" t="s">
        <v>1682</v>
      </c>
      <c r="C9" s="132"/>
      <c r="D9" s="215"/>
      <c r="E9" s="216" t="s">
        <v>1682</v>
      </c>
      <c r="F9" s="216" t="s">
        <v>1682</v>
      </c>
      <c r="G9" s="217"/>
      <c r="H9" s="218" t="s">
        <v>1682</v>
      </c>
    </row>
    <row r="10" spans="1:8" x14ac:dyDescent="0.2">
      <c r="B10" s="219" t="s">
        <v>1682</v>
      </c>
      <c r="C10" s="220"/>
      <c r="D10" s="221"/>
      <c r="E10" s="222" t="s">
        <v>1682</v>
      </c>
      <c r="F10" s="222" t="s">
        <v>1682</v>
      </c>
      <c r="G10" s="223"/>
      <c r="H10" s="224" t="s">
        <v>1682</v>
      </c>
    </row>
    <row r="11" spans="1:8" x14ac:dyDescent="0.2">
      <c r="B11" s="219" t="s">
        <v>968</v>
      </c>
      <c r="C11" s="220"/>
      <c r="D11" s="225"/>
      <c r="E11" s="220"/>
      <c r="F11" s="220"/>
      <c r="G11" s="226"/>
      <c r="H11" s="224">
        <f>SUM(H8:H10)</f>
        <v>1.5</v>
      </c>
    </row>
    <row r="12" spans="1:8" x14ac:dyDescent="0.2">
      <c r="B12" s="227" t="s">
        <v>1503</v>
      </c>
      <c r="C12" s="132"/>
      <c r="D12" s="188"/>
      <c r="E12" s="132"/>
      <c r="F12" s="132"/>
      <c r="G12" s="228"/>
      <c r="H12" s="218"/>
    </row>
    <row r="13" spans="1:8" ht="25.5" x14ac:dyDescent="0.2">
      <c r="B13" s="229" t="s">
        <v>1691</v>
      </c>
      <c r="C13" s="230"/>
      <c r="D13" s="231" t="s">
        <v>969</v>
      </c>
      <c r="E13" s="232" t="s">
        <v>1689</v>
      </c>
      <c r="F13" s="232" t="s">
        <v>1688</v>
      </c>
      <c r="G13" s="233" t="s">
        <v>1687</v>
      </c>
      <c r="H13" s="234" t="s">
        <v>1686</v>
      </c>
    </row>
    <row r="14" spans="1:8" ht="14.25" x14ac:dyDescent="0.2">
      <c r="A14">
        <v>20001</v>
      </c>
      <c r="B14" s="235" t="s">
        <v>243</v>
      </c>
      <c r="C14" s="132"/>
      <c r="D14" s="236">
        <v>1</v>
      </c>
      <c r="E14" s="237">
        <f>'BASE M-OBRA'!$D$3</f>
        <v>3.02</v>
      </c>
      <c r="F14" s="216">
        <f>D14*E14</f>
        <v>3.02</v>
      </c>
      <c r="G14" s="106">
        <f>IF($A14=0,"",ROUND(H14/F14,2))</f>
        <v>5.94</v>
      </c>
      <c r="H14" s="56">
        <f>IF($A14=0,"",ROUND(SUM(H15:H18)*'BASE M-OBRA'!$D$23,2))</f>
        <v>17.95</v>
      </c>
    </row>
    <row r="15" spans="1:8" ht="14.25" x14ac:dyDescent="0.2">
      <c r="A15">
        <v>20017</v>
      </c>
      <c r="B15" s="235" t="s">
        <v>1488</v>
      </c>
      <c r="C15" s="132"/>
      <c r="D15" s="236">
        <v>1</v>
      </c>
      <c r="E15" s="237">
        <f>'BASE M-OBRA'!$D$19</f>
        <v>2.82</v>
      </c>
      <c r="F15" s="216">
        <f>D15*E15</f>
        <v>2.82</v>
      </c>
      <c r="G15" s="106">
        <v>16</v>
      </c>
      <c r="H15" s="56">
        <f>IF($A15=0,"",ROUND(G15*F15,2))</f>
        <v>45.12</v>
      </c>
    </row>
    <row r="16" spans="1:8" ht="14.25" x14ac:dyDescent="0.2">
      <c r="A16">
        <v>20011</v>
      </c>
      <c r="B16" s="235" t="s">
        <v>590</v>
      </c>
      <c r="C16" s="132"/>
      <c r="D16" s="236">
        <v>1</v>
      </c>
      <c r="E16" s="237">
        <f>'BASE M-OBRA'!$D$13</f>
        <v>2.79</v>
      </c>
      <c r="F16" s="216">
        <f>D16*E16</f>
        <v>2.79</v>
      </c>
      <c r="G16" s="106">
        <f>+G15</f>
        <v>16</v>
      </c>
      <c r="H16" s="56">
        <f>IF($A16=0,"",ROUND(G16*F16,2))</f>
        <v>44.64</v>
      </c>
    </row>
    <row r="17" spans="2:9" x14ac:dyDescent="0.2">
      <c r="B17" s="235"/>
      <c r="C17" s="132"/>
      <c r="D17" s="236"/>
      <c r="E17" s="237"/>
      <c r="F17" s="216"/>
      <c r="G17" s="217"/>
      <c r="H17" s="218"/>
    </row>
    <row r="18" spans="2:9" x14ac:dyDescent="0.2">
      <c r="B18" s="219" t="s">
        <v>1682</v>
      </c>
      <c r="C18" s="220"/>
      <c r="D18" s="221"/>
      <c r="E18" s="222" t="s">
        <v>1682</v>
      </c>
      <c r="F18" s="222" t="s">
        <v>1682</v>
      </c>
      <c r="G18" s="223"/>
      <c r="H18" s="224" t="s">
        <v>1682</v>
      </c>
    </row>
    <row r="19" spans="2:9" x14ac:dyDescent="0.2">
      <c r="B19" s="238" t="s">
        <v>1681</v>
      </c>
      <c r="C19" s="239"/>
      <c r="D19" s="240"/>
      <c r="E19" s="239"/>
      <c r="F19" s="239"/>
      <c r="G19" s="239"/>
      <c r="H19" s="241">
        <f>SUM(H14:H18)</f>
        <v>107.71</v>
      </c>
      <c r="I19">
        <v>77.55</v>
      </c>
    </row>
    <row r="20" spans="2:9" x14ac:dyDescent="0.2">
      <c r="B20" s="227" t="s">
        <v>1684</v>
      </c>
      <c r="C20" s="132"/>
      <c r="D20" s="188"/>
      <c r="E20" s="132"/>
      <c r="F20" s="132"/>
      <c r="G20" s="132"/>
      <c r="H20" s="218"/>
    </row>
    <row r="21" spans="2:9" ht="25.5" x14ac:dyDescent="0.2">
      <c r="B21" s="229" t="s">
        <v>1409</v>
      </c>
      <c r="C21" s="242"/>
      <c r="D21" s="243"/>
      <c r="E21" s="232" t="s">
        <v>1408</v>
      </c>
      <c r="F21" s="231" t="s">
        <v>1679</v>
      </c>
      <c r="G21" s="232" t="s">
        <v>1683</v>
      </c>
      <c r="H21" s="234" t="s">
        <v>1675</v>
      </c>
    </row>
    <row r="22" spans="2:9" x14ac:dyDescent="0.2">
      <c r="B22" s="244" t="s">
        <v>41</v>
      </c>
      <c r="C22" s="132"/>
      <c r="D22" s="188"/>
      <c r="E22" s="215" t="s">
        <v>1506</v>
      </c>
      <c r="F22" s="215">
        <v>1</v>
      </c>
      <c r="G22" s="216">
        <v>60</v>
      </c>
      <c r="H22" s="218">
        <f>F22*G22</f>
        <v>60</v>
      </c>
    </row>
    <row r="23" spans="2:9" x14ac:dyDescent="0.2">
      <c r="B23" s="214" t="s">
        <v>42</v>
      </c>
      <c r="C23" s="132"/>
      <c r="D23" s="188"/>
      <c r="E23" s="215" t="s">
        <v>1506</v>
      </c>
      <c r="F23" s="215">
        <v>1</v>
      </c>
      <c r="G23" s="216">
        <v>65</v>
      </c>
      <c r="H23" s="218">
        <f>F23*G23</f>
        <v>65</v>
      </c>
    </row>
    <row r="24" spans="2:9" x14ac:dyDescent="0.2">
      <c r="B24" s="214" t="s">
        <v>43</v>
      </c>
      <c r="C24" s="132"/>
      <c r="D24" s="188"/>
      <c r="E24" s="215" t="s">
        <v>1506</v>
      </c>
      <c r="F24" s="215">
        <v>1</v>
      </c>
      <c r="G24" s="216">
        <v>25</v>
      </c>
      <c r="H24" s="218">
        <f>F24*G24</f>
        <v>25</v>
      </c>
    </row>
    <row r="25" spans="2:9" x14ac:dyDescent="0.2">
      <c r="B25" s="214" t="s">
        <v>44</v>
      </c>
      <c r="C25" s="132"/>
      <c r="D25" s="188"/>
      <c r="E25" s="215" t="s">
        <v>1506</v>
      </c>
      <c r="F25" s="215">
        <v>1</v>
      </c>
      <c r="G25" s="216">
        <v>100</v>
      </c>
      <c r="H25" s="218">
        <f>F25*G25</f>
        <v>100</v>
      </c>
    </row>
    <row r="26" spans="2:9" x14ac:dyDescent="0.2">
      <c r="B26" s="214"/>
      <c r="C26" s="132"/>
      <c r="D26" s="188"/>
      <c r="E26" s="215"/>
      <c r="F26" s="215"/>
      <c r="G26" s="216"/>
      <c r="H26" s="218"/>
    </row>
    <row r="27" spans="2:9" x14ac:dyDescent="0.2">
      <c r="B27" s="214" t="s">
        <v>1682</v>
      </c>
      <c r="C27" s="132"/>
      <c r="D27" s="245" t="s">
        <v>1682</v>
      </c>
      <c r="E27" s="272" t="s">
        <v>1682</v>
      </c>
      <c r="F27" s="215" t="s">
        <v>1682</v>
      </c>
      <c r="G27" s="216" t="s">
        <v>1682</v>
      </c>
      <c r="H27" s="218" t="s">
        <v>1682</v>
      </c>
    </row>
    <row r="28" spans="2:9" x14ac:dyDescent="0.2">
      <c r="B28" s="238" t="s">
        <v>1692</v>
      </c>
      <c r="C28" s="239"/>
      <c r="D28" s="240"/>
      <c r="E28" s="240"/>
      <c r="F28" s="240"/>
      <c r="G28" s="239"/>
      <c r="H28" s="241">
        <f>SUM(H22:H27)</f>
        <v>250</v>
      </c>
    </row>
    <row r="29" spans="2:9" x14ac:dyDescent="0.2">
      <c r="B29" s="227" t="s">
        <v>1680</v>
      </c>
      <c r="C29" s="132"/>
      <c r="D29" s="188"/>
      <c r="E29" s="132"/>
      <c r="F29" s="188"/>
      <c r="G29" s="132"/>
      <c r="H29" s="218"/>
    </row>
    <row r="30" spans="2:9" ht="25.5" x14ac:dyDescent="0.2">
      <c r="B30" s="229" t="s">
        <v>1409</v>
      </c>
      <c r="C30" s="242"/>
      <c r="D30" s="243"/>
      <c r="E30" s="232" t="s">
        <v>1408</v>
      </c>
      <c r="F30" s="231" t="s">
        <v>1679</v>
      </c>
      <c r="G30" s="232" t="s">
        <v>1676</v>
      </c>
      <c r="H30" s="234" t="s">
        <v>1675</v>
      </c>
    </row>
    <row r="31" spans="2:9" x14ac:dyDescent="0.2">
      <c r="B31" s="208" t="s">
        <v>975</v>
      </c>
      <c r="C31" s="209"/>
      <c r="D31" s="246"/>
      <c r="E31" s="215" t="s">
        <v>976</v>
      </c>
      <c r="F31" s="215">
        <v>0.15</v>
      </c>
      <c r="G31" s="247">
        <v>5</v>
      </c>
      <c r="H31" s="218">
        <f>F31*G31</f>
        <v>0.75</v>
      </c>
    </row>
    <row r="32" spans="2:9" x14ac:dyDescent="0.2">
      <c r="B32" s="214"/>
      <c r="C32" s="132"/>
      <c r="D32" s="248"/>
      <c r="E32" s="215"/>
      <c r="F32" s="215"/>
      <c r="G32" s="247"/>
      <c r="H32" s="218"/>
    </row>
    <row r="33" spans="1:9" x14ac:dyDescent="0.2">
      <c r="B33" s="219" t="s">
        <v>1682</v>
      </c>
      <c r="C33" s="220"/>
      <c r="D33" s="249"/>
      <c r="E33" s="221" t="s">
        <v>1682</v>
      </c>
      <c r="F33" s="221"/>
      <c r="G33" s="222" t="s">
        <v>1682</v>
      </c>
      <c r="H33" s="224" t="s">
        <v>1682</v>
      </c>
    </row>
    <row r="34" spans="1:9" ht="13.5" thickBot="1" x14ac:dyDescent="0.25">
      <c r="B34" s="250" t="s">
        <v>977</v>
      </c>
      <c r="C34" s="251"/>
      <c r="D34" s="252"/>
      <c r="E34" s="252"/>
      <c r="F34" s="252"/>
      <c r="G34" s="251"/>
      <c r="H34" s="253">
        <f>SUM(H31:H33)</f>
        <v>0.75</v>
      </c>
    </row>
    <row r="35" spans="1:9" x14ac:dyDescent="0.2">
      <c r="B35" s="292"/>
      <c r="C35" s="292"/>
      <c r="D35" s="320" t="s">
        <v>1673</v>
      </c>
      <c r="E35" s="321"/>
      <c r="F35" s="321"/>
      <c r="G35" s="321"/>
      <c r="H35" s="331">
        <f>H11+H19+H28+H34</f>
        <v>359.96</v>
      </c>
    </row>
    <row r="36" spans="1:9" s="1" customFormat="1" ht="15.75" x14ac:dyDescent="0.25">
      <c r="A36" s="103">
        <v>40002</v>
      </c>
      <c r="B36" s="2"/>
      <c r="C36" s="2"/>
      <c r="D36" s="93" t="s">
        <v>1672</v>
      </c>
      <c r="E36" s="65"/>
      <c r="F36" s="65"/>
      <c r="G36" s="94">
        <f>IF($A36=0,"",VLOOKUP($A36,'BASE MATERIAL'!$M:$P,4))</f>
        <v>0</v>
      </c>
      <c r="H36" s="95">
        <f>IF($A36=0,"",ROUND(G36*H35,2))</f>
        <v>0</v>
      </c>
      <c r="I36" s="2"/>
    </row>
    <row r="37" spans="1:9" s="1" customFormat="1" ht="15.75" x14ac:dyDescent="0.25">
      <c r="A37" s="103">
        <v>40003</v>
      </c>
      <c r="B37" s="2"/>
      <c r="C37" s="2"/>
      <c r="D37" s="93" t="s">
        <v>1671</v>
      </c>
      <c r="E37" s="65"/>
      <c r="F37" s="65"/>
      <c r="G37" s="94">
        <f>IF($A37=0,"",VLOOKUP($A37,'BASE MATERIAL'!$M:$P,4))</f>
        <v>0</v>
      </c>
      <c r="H37" s="95">
        <f>IF($A37=0,"",ROUND(G37*H35,2))</f>
        <v>0</v>
      </c>
      <c r="I37" s="2"/>
    </row>
    <row r="38" spans="1:9" s="1" customFormat="1" ht="15.75" x14ac:dyDescent="0.25">
      <c r="A38" s="103"/>
      <c r="B38" s="2"/>
      <c r="C38" s="2"/>
      <c r="D38" s="93" t="s">
        <v>1670</v>
      </c>
      <c r="E38" s="65"/>
      <c r="F38" s="65"/>
      <c r="G38" s="65"/>
      <c r="H38" s="96">
        <f>ROUND(SUM(H35:H37),2)</f>
        <v>359.96</v>
      </c>
      <c r="I38" s="2"/>
    </row>
    <row r="39" spans="1:9" s="1" customFormat="1" ht="16.5" thickBot="1" x14ac:dyDescent="0.3">
      <c r="A39" s="103"/>
      <c r="B39" s="25"/>
      <c r="C39" s="2"/>
      <c r="D39" s="97" t="s">
        <v>1650</v>
      </c>
      <c r="E39" s="88"/>
      <c r="F39" s="88"/>
      <c r="G39" s="88"/>
      <c r="H39" s="98">
        <f>ROUND(H38,2)</f>
        <v>359.96</v>
      </c>
      <c r="I39" s="2"/>
    </row>
    <row r="40" spans="1:9" x14ac:dyDescent="0.2">
      <c r="B40" s="738" t="s">
        <v>1697</v>
      </c>
      <c r="C40" s="739"/>
      <c r="D40" s="739"/>
      <c r="E40" s="739"/>
      <c r="F40" s="739"/>
      <c r="G40" s="739"/>
      <c r="H40" s="739"/>
    </row>
    <row r="41" spans="1:9" x14ac:dyDescent="0.2">
      <c r="B41" s="292" t="s">
        <v>1586</v>
      </c>
      <c r="C41" s="293"/>
      <c r="D41" s="292"/>
      <c r="E41" s="292"/>
      <c r="F41" s="292"/>
      <c r="G41" s="292" t="s">
        <v>1696</v>
      </c>
      <c r="H41" s="39" t="s">
        <v>1786</v>
      </c>
    </row>
    <row r="42" spans="1:9" x14ac:dyDescent="0.2">
      <c r="B42" s="292" t="s">
        <v>1585</v>
      </c>
      <c r="C42" s="294" t="s">
        <v>1799</v>
      </c>
      <c r="D42" s="292"/>
      <c r="E42" s="292"/>
      <c r="F42" s="292"/>
      <c r="G42" s="292"/>
      <c r="H42" s="2"/>
    </row>
    <row r="43" spans="1:9" ht="13.5" thickBot="1" x14ac:dyDescent="0.25">
      <c r="B43" s="292"/>
      <c r="C43" s="292"/>
      <c r="D43" s="292"/>
      <c r="E43" s="292"/>
      <c r="F43" s="292"/>
      <c r="G43" s="292"/>
      <c r="H43" s="2"/>
    </row>
    <row r="44" spans="1:9" ht="13.5" thickBot="1" x14ac:dyDescent="0.25">
      <c r="B44" s="295" t="s">
        <v>1695</v>
      </c>
      <c r="C44" s="296"/>
      <c r="D44" s="296"/>
      <c r="E44" s="296"/>
      <c r="F44" s="296"/>
      <c r="G44" s="296"/>
      <c r="H44" s="45"/>
    </row>
    <row r="45" spans="1:9" ht="25.5" x14ac:dyDescent="0.2">
      <c r="B45" s="740" t="s">
        <v>1409</v>
      </c>
      <c r="C45" s="741"/>
      <c r="D45" s="297" t="s">
        <v>1690</v>
      </c>
      <c r="E45" s="297" t="s">
        <v>1694</v>
      </c>
      <c r="F45" s="297" t="s">
        <v>1693</v>
      </c>
      <c r="G45" s="49" t="s">
        <v>1687</v>
      </c>
      <c r="H45" s="50" t="s">
        <v>1686</v>
      </c>
    </row>
    <row r="46" spans="1:9" ht="15" x14ac:dyDescent="0.25">
      <c r="A46" s="103">
        <v>19016</v>
      </c>
      <c r="B46" s="298" t="s">
        <v>1468</v>
      </c>
      <c r="C46" s="299"/>
      <c r="D46" s="300">
        <v>1</v>
      </c>
      <c r="E46" s="53">
        <f>IF($A46=0,"",VLOOKUP($A46,'BASE EQUIPO'!$A:$D,4)*H62)</f>
        <v>0.19482187500000003</v>
      </c>
      <c r="F46" s="53">
        <f>IF($A46=0,"",ROUND(D46*E46,2))</f>
        <v>0.19</v>
      </c>
      <c r="G46" s="301">
        <v>1</v>
      </c>
      <c r="H46" s="54">
        <f>IF($A46=0,"",ROUND(G46*F46,2))</f>
        <v>0.19</v>
      </c>
    </row>
    <row r="47" spans="1:9" x14ac:dyDescent="0.2">
      <c r="B47" s="302"/>
      <c r="C47" s="292"/>
      <c r="D47" s="303"/>
      <c r="E47" s="303"/>
      <c r="F47" s="303"/>
      <c r="G47" s="304"/>
      <c r="H47" s="332"/>
    </row>
    <row r="48" spans="1:9" x14ac:dyDescent="0.2">
      <c r="B48" s="302"/>
      <c r="C48" s="292"/>
      <c r="D48" s="303"/>
      <c r="E48" s="303"/>
      <c r="F48" s="303"/>
      <c r="G48" s="304"/>
      <c r="H48" s="332"/>
    </row>
    <row r="49" spans="2:8" x14ac:dyDescent="0.2">
      <c r="B49" s="302"/>
      <c r="C49" s="292"/>
      <c r="D49" s="303"/>
      <c r="E49" s="303"/>
      <c r="F49" s="303"/>
      <c r="G49" s="304"/>
      <c r="H49" s="332"/>
    </row>
    <row r="50" spans="2:8" x14ac:dyDescent="0.2">
      <c r="B50" s="302"/>
      <c r="C50" s="292"/>
      <c r="D50" s="303"/>
      <c r="E50" s="303"/>
      <c r="F50" s="303"/>
      <c r="G50" s="304"/>
      <c r="H50" s="332"/>
    </row>
    <row r="51" spans="2:8" x14ac:dyDescent="0.2">
      <c r="B51" s="305"/>
      <c r="C51" s="306"/>
      <c r="D51" s="307"/>
      <c r="E51" s="307"/>
      <c r="F51" s="307"/>
      <c r="G51" s="308"/>
      <c r="H51" s="333"/>
    </row>
    <row r="52" spans="2:8" ht="13.5" thickBot="1" x14ac:dyDescent="0.25">
      <c r="B52" s="742" t="s">
        <v>1692</v>
      </c>
      <c r="C52" s="743"/>
      <c r="D52" s="743"/>
      <c r="E52" s="743"/>
      <c r="F52" s="743"/>
      <c r="G52" s="744"/>
      <c r="H52" s="333">
        <f>SUM(H45:H51)</f>
        <v>0.19</v>
      </c>
    </row>
    <row r="53" spans="2:8" ht="13.5" thickBot="1" x14ac:dyDescent="0.25">
      <c r="B53" s="295" t="s">
        <v>1503</v>
      </c>
      <c r="C53" s="296"/>
      <c r="D53" s="296"/>
      <c r="E53" s="296"/>
      <c r="F53" s="296"/>
      <c r="G53" s="296"/>
      <c r="H53" s="45"/>
    </row>
    <row r="54" spans="2:8" ht="25.5" x14ac:dyDescent="0.2">
      <c r="B54" s="740" t="s">
        <v>1409</v>
      </c>
      <c r="C54" s="741"/>
      <c r="D54" s="309" t="s">
        <v>1690</v>
      </c>
      <c r="E54" s="309" t="s">
        <v>1689</v>
      </c>
      <c r="F54" s="309" t="s">
        <v>1688</v>
      </c>
      <c r="G54" s="67" t="s">
        <v>1687</v>
      </c>
      <c r="H54" s="68" t="s">
        <v>1686</v>
      </c>
    </row>
    <row r="55" spans="2:8" x14ac:dyDescent="0.2">
      <c r="B55" s="310" t="s">
        <v>243</v>
      </c>
      <c r="C55" s="292"/>
      <c r="D55" s="311">
        <v>1</v>
      </c>
      <c r="E55" s="312">
        <v>3.0187499999999998</v>
      </c>
      <c r="F55" s="300">
        <v>3.0187499999999998</v>
      </c>
      <c r="G55" s="300">
        <v>0.45</v>
      </c>
      <c r="H55" s="218">
        <f>F55*G55</f>
        <v>1.3584375</v>
      </c>
    </row>
    <row r="56" spans="2:8" x14ac:dyDescent="0.2">
      <c r="B56" s="310" t="s">
        <v>1488</v>
      </c>
      <c r="C56" s="292"/>
      <c r="D56" s="311">
        <v>1</v>
      </c>
      <c r="E56" s="312">
        <v>2.82</v>
      </c>
      <c r="F56" s="303">
        <v>2.82</v>
      </c>
      <c r="G56" s="303">
        <v>0.45</v>
      </c>
      <c r="H56" s="218">
        <f>F56*G56</f>
        <v>1.2689999999999999</v>
      </c>
    </row>
    <row r="57" spans="2:8" x14ac:dyDescent="0.2">
      <c r="B57" s="310" t="s">
        <v>1787</v>
      </c>
      <c r="C57" s="292"/>
      <c r="D57" s="311">
        <v>1</v>
      </c>
      <c r="E57" s="312">
        <v>2.82</v>
      </c>
      <c r="F57" s="303">
        <v>2.82</v>
      </c>
      <c r="G57" s="303">
        <v>0.45</v>
      </c>
      <c r="H57" s="218">
        <f>F57*G57</f>
        <v>1.2689999999999999</v>
      </c>
    </row>
    <row r="58" spans="2:8" x14ac:dyDescent="0.2">
      <c r="B58" s="313"/>
      <c r="C58" s="292"/>
      <c r="D58" s="311"/>
      <c r="E58" s="312"/>
      <c r="F58" s="303"/>
      <c r="G58" s="304"/>
      <c r="H58" s="332"/>
    </row>
    <row r="59" spans="2:8" x14ac:dyDescent="0.2">
      <c r="B59" s="314"/>
      <c r="C59" s="292"/>
      <c r="D59" s="311"/>
      <c r="E59" s="312"/>
      <c r="F59" s="303"/>
      <c r="G59" s="304"/>
      <c r="H59" s="332"/>
    </row>
    <row r="60" spans="2:8" x14ac:dyDescent="0.2">
      <c r="B60" s="302"/>
      <c r="C60" s="292"/>
      <c r="D60" s="303"/>
      <c r="E60" s="303"/>
      <c r="F60" s="303"/>
      <c r="G60" s="304"/>
      <c r="H60" s="332"/>
    </row>
    <row r="61" spans="2:8" x14ac:dyDescent="0.2">
      <c r="B61" s="305"/>
      <c r="C61" s="306"/>
      <c r="D61" s="307"/>
      <c r="E61" s="307"/>
      <c r="F61" s="307"/>
      <c r="G61" s="308"/>
      <c r="H61" s="333"/>
    </row>
    <row r="62" spans="2:8" ht="13.5" thickBot="1" x14ac:dyDescent="0.25">
      <c r="B62" s="742" t="s">
        <v>1685</v>
      </c>
      <c r="C62" s="743"/>
      <c r="D62" s="743"/>
      <c r="E62" s="743"/>
      <c r="F62" s="743"/>
      <c r="G62" s="744"/>
      <c r="H62" s="334">
        <f>SUM(H54:H61)</f>
        <v>3.8964375000000002</v>
      </c>
    </row>
    <row r="63" spans="2:8" x14ac:dyDescent="0.2">
      <c r="B63" s="322" t="s">
        <v>1684</v>
      </c>
      <c r="C63" s="323"/>
      <c r="D63" s="323"/>
      <c r="E63" s="323"/>
      <c r="F63" s="323"/>
      <c r="G63" s="323"/>
      <c r="H63" s="335"/>
    </row>
    <row r="64" spans="2:8" ht="25.5" x14ac:dyDescent="0.2">
      <c r="B64" s="745" t="s">
        <v>1409</v>
      </c>
      <c r="C64" s="746"/>
      <c r="D64" s="747"/>
      <c r="E64" s="326" t="s">
        <v>1408</v>
      </c>
      <c r="F64" s="309" t="s">
        <v>1679</v>
      </c>
      <c r="G64" s="309" t="s">
        <v>1683</v>
      </c>
      <c r="H64" s="66" t="s">
        <v>1675</v>
      </c>
    </row>
    <row r="65" spans="2:8" ht="14.25" x14ac:dyDescent="0.2">
      <c r="B65" s="327" t="s">
        <v>1792</v>
      </c>
      <c r="C65" s="292"/>
      <c r="D65" s="315"/>
      <c r="E65" s="316" t="s">
        <v>1788</v>
      </c>
      <c r="F65" s="303">
        <v>2</v>
      </c>
      <c r="G65" s="303">
        <v>4.4640000000000004</v>
      </c>
      <c r="H65" s="55">
        <f t="shared" ref="H65:H74" si="0">IF($B65=0,"",ROUND(F65*G65,2))</f>
        <v>8.93</v>
      </c>
    </row>
    <row r="66" spans="2:8" ht="14.25" x14ac:dyDescent="0.2">
      <c r="B66" s="327" t="s">
        <v>1793</v>
      </c>
      <c r="C66" s="292"/>
      <c r="D66" s="315"/>
      <c r="E66" s="316" t="s">
        <v>1788</v>
      </c>
      <c r="F66" s="303">
        <v>1</v>
      </c>
      <c r="G66" s="303">
        <v>2.8080000000000003</v>
      </c>
      <c r="H66" s="55">
        <f t="shared" si="0"/>
        <v>2.81</v>
      </c>
    </row>
    <row r="67" spans="2:8" ht="14.25" x14ac:dyDescent="0.2">
      <c r="B67" s="327" t="s">
        <v>1789</v>
      </c>
      <c r="C67" s="292"/>
      <c r="D67" s="315"/>
      <c r="E67" s="316" t="s">
        <v>1788</v>
      </c>
      <c r="F67" s="303">
        <v>1</v>
      </c>
      <c r="G67" s="303">
        <v>1.7009999999999998</v>
      </c>
      <c r="H67" s="55">
        <f t="shared" si="0"/>
        <v>1.7</v>
      </c>
    </row>
    <row r="68" spans="2:8" ht="14.25" x14ac:dyDescent="0.2">
      <c r="B68" s="327" t="s">
        <v>1801</v>
      </c>
      <c r="C68" s="292"/>
      <c r="D68" s="315"/>
      <c r="E68" s="316" t="s">
        <v>744</v>
      </c>
      <c r="F68" s="303">
        <v>0.35</v>
      </c>
      <c r="G68" s="303">
        <v>21.590999999999998</v>
      </c>
      <c r="H68" s="55">
        <f t="shared" si="0"/>
        <v>7.56</v>
      </c>
    </row>
    <row r="69" spans="2:8" ht="14.25" x14ac:dyDescent="0.2">
      <c r="B69" s="327" t="s">
        <v>1802</v>
      </c>
      <c r="C69" s="292"/>
      <c r="D69" s="315"/>
      <c r="E69" s="316" t="s">
        <v>744</v>
      </c>
      <c r="F69" s="303">
        <v>0.15</v>
      </c>
      <c r="G69" s="303">
        <v>3.3930000000000002</v>
      </c>
      <c r="H69" s="55">
        <f t="shared" si="0"/>
        <v>0.51</v>
      </c>
    </row>
    <row r="70" spans="2:8" ht="14.25" x14ac:dyDescent="0.2">
      <c r="B70" s="327" t="s">
        <v>1803</v>
      </c>
      <c r="C70" s="292"/>
      <c r="D70" s="315"/>
      <c r="E70" s="316" t="s">
        <v>744</v>
      </c>
      <c r="F70" s="303">
        <v>2.1999999999999999E-2</v>
      </c>
      <c r="G70" s="303">
        <v>3.5910000000000002</v>
      </c>
      <c r="H70" s="55">
        <f t="shared" si="0"/>
        <v>0.08</v>
      </c>
    </row>
    <row r="71" spans="2:8" ht="14.25" x14ac:dyDescent="0.2">
      <c r="B71" s="327" t="s">
        <v>1804</v>
      </c>
      <c r="C71" s="292"/>
      <c r="D71" s="315"/>
      <c r="E71" s="316" t="s">
        <v>744</v>
      </c>
      <c r="F71" s="303">
        <v>2.1999999999999999E-2</v>
      </c>
      <c r="G71" s="303">
        <v>8.0910000000000011</v>
      </c>
      <c r="H71" s="55">
        <f t="shared" si="0"/>
        <v>0.18</v>
      </c>
    </row>
    <row r="72" spans="2:8" ht="14.25" x14ac:dyDescent="0.2">
      <c r="B72" s="327" t="s">
        <v>1791</v>
      </c>
      <c r="C72" s="292"/>
      <c r="D72" s="315"/>
      <c r="E72" s="316" t="s">
        <v>744</v>
      </c>
      <c r="F72" s="303">
        <v>1.8333333333333333E-2</v>
      </c>
      <c r="G72" s="303">
        <v>4.59</v>
      </c>
      <c r="H72" s="55">
        <f t="shared" si="0"/>
        <v>0.08</v>
      </c>
    </row>
    <row r="73" spans="2:8" ht="14.25" x14ac:dyDescent="0.2">
      <c r="B73" s="327" t="s">
        <v>1805</v>
      </c>
      <c r="C73" s="292"/>
      <c r="D73" s="315"/>
      <c r="E73" s="316" t="s">
        <v>744</v>
      </c>
      <c r="F73" s="303">
        <v>0.16500000000000001</v>
      </c>
      <c r="G73" s="303">
        <v>0.46800000000000003</v>
      </c>
      <c r="H73" s="55">
        <f t="shared" si="0"/>
        <v>0.08</v>
      </c>
    </row>
    <row r="74" spans="2:8" ht="14.25" x14ac:dyDescent="0.2">
      <c r="B74" s="327" t="s">
        <v>1266</v>
      </c>
      <c r="C74" s="292"/>
      <c r="D74" s="315"/>
      <c r="E74" s="316" t="s">
        <v>1196</v>
      </c>
      <c r="F74" s="303">
        <v>1.0999999999999999E-2</v>
      </c>
      <c r="G74" s="303">
        <v>1.35</v>
      </c>
      <c r="H74" s="55">
        <f t="shared" si="0"/>
        <v>0.01</v>
      </c>
    </row>
    <row r="75" spans="2:8" x14ac:dyDescent="0.2">
      <c r="B75" s="327"/>
      <c r="C75" s="292"/>
      <c r="D75" s="315"/>
      <c r="E75" s="316"/>
      <c r="F75" s="303"/>
      <c r="G75" s="303"/>
      <c r="H75" s="336"/>
    </row>
    <row r="76" spans="2:8" x14ac:dyDescent="0.2">
      <c r="B76" s="327"/>
      <c r="C76" s="292"/>
      <c r="D76" s="315"/>
      <c r="E76" s="316"/>
      <c r="F76" s="303"/>
      <c r="G76" s="303"/>
      <c r="H76" s="336"/>
    </row>
    <row r="77" spans="2:8" x14ac:dyDescent="0.2">
      <c r="B77" s="327"/>
      <c r="C77" s="292"/>
      <c r="D77" s="315"/>
      <c r="E77" s="316"/>
      <c r="F77" s="303"/>
      <c r="G77" s="303"/>
      <c r="H77" s="336"/>
    </row>
    <row r="78" spans="2:8" x14ac:dyDescent="0.2">
      <c r="B78" s="327"/>
      <c r="C78" s="292"/>
      <c r="D78" s="315"/>
      <c r="E78" s="316"/>
      <c r="F78" s="303"/>
      <c r="G78" s="303"/>
      <c r="H78" s="336"/>
    </row>
    <row r="79" spans="2:8" x14ac:dyDescent="0.2">
      <c r="B79" s="327"/>
      <c r="C79" s="292"/>
      <c r="D79" s="315"/>
      <c r="E79" s="316"/>
      <c r="F79" s="303"/>
      <c r="G79" s="303"/>
      <c r="H79" s="336"/>
    </row>
    <row r="80" spans="2:8" x14ac:dyDescent="0.2">
      <c r="B80" s="327"/>
      <c r="C80" s="292"/>
      <c r="D80" s="315"/>
      <c r="E80" s="303"/>
      <c r="F80" s="303"/>
      <c r="G80" s="303"/>
      <c r="H80" s="336"/>
    </row>
    <row r="81" spans="1:9" x14ac:dyDescent="0.2">
      <c r="B81" s="328"/>
      <c r="C81" s="306"/>
      <c r="D81" s="329"/>
      <c r="E81" s="307"/>
      <c r="F81" s="307"/>
      <c r="G81" s="307"/>
      <c r="H81" s="337"/>
    </row>
    <row r="82" spans="1:9" ht="13.5" thickBot="1" x14ac:dyDescent="0.25">
      <c r="B82" s="742" t="s">
        <v>1681</v>
      </c>
      <c r="C82" s="743"/>
      <c r="D82" s="743"/>
      <c r="E82" s="743"/>
      <c r="F82" s="743"/>
      <c r="G82" s="744"/>
      <c r="H82" s="334">
        <f>SUM(H64:H81)</f>
        <v>21.939999999999998</v>
      </c>
    </row>
    <row r="83" spans="1:9" ht="13.5" thickBot="1" x14ac:dyDescent="0.25">
      <c r="B83" s="322" t="s">
        <v>1680</v>
      </c>
      <c r="C83" s="323"/>
      <c r="D83" s="323"/>
      <c r="E83" s="296"/>
      <c r="F83" s="296"/>
      <c r="G83" s="296"/>
      <c r="H83" s="45"/>
    </row>
    <row r="84" spans="1:9" ht="25.5" x14ac:dyDescent="0.2">
      <c r="B84" s="330" t="s">
        <v>1409</v>
      </c>
      <c r="C84" s="324"/>
      <c r="D84" s="325"/>
      <c r="E84" s="309" t="s">
        <v>1408</v>
      </c>
      <c r="F84" s="309" t="s">
        <v>1679</v>
      </c>
      <c r="G84" s="309" t="s">
        <v>1676</v>
      </c>
      <c r="H84" s="68" t="s">
        <v>1675</v>
      </c>
    </row>
    <row r="85" spans="1:9" s="1" customFormat="1" ht="15" x14ac:dyDescent="0.25">
      <c r="A85" s="103">
        <v>19019</v>
      </c>
      <c r="B85" s="51" t="str">
        <f>IF($A85=0,"",VLOOKUP($A85,'BASE EQUIPO'!$A:$D,2))</f>
        <v>TRANSPORTE DE MATERIAL</v>
      </c>
      <c r="C85" s="52"/>
      <c r="D85" s="82"/>
      <c r="E85" s="78" t="str">
        <f>IF($A85=0,"",VLOOKUP($A85,'BASE EQUIPO'!$A:$D,3))</f>
        <v>GLOBAL</v>
      </c>
      <c r="F85" s="55">
        <v>1</v>
      </c>
      <c r="G85" s="83">
        <f>IF($A85=0,"",VLOOKUP($A85,'BASE EQUIPO'!$A:$D,4)*H82)</f>
        <v>0.6581999999999999</v>
      </c>
      <c r="H85" s="56">
        <f>IF($A85=0,"",ROUND(F85*G85,2))</f>
        <v>0.66</v>
      </c>
      <c r="I85" s="2"/>
    </row>
    <row r="86" spans="1:9" x14ac:dyDescent="0.2">
      <c r="B86" s="302"/>
      <c r="C86" s="292"/>
      <c r="D86" s="317"/>
      <c r="E86" s="316"/>
      <c r="F86" s="303"/>
      <c r="G86" s="303"/>
      <c r="H86" s="332"/>
    </row>
    <row r="87" spans="1:9" x14ac:dyDescent="0.2">
      <c r="B87" s="305"/>
      <c r="C87" s="306"/>
      <c r="D87" s="318"/>
      <c r="E87" s="319"/>
      <c r="F87" s="307"/>
      <c r="G87" s="307"/>
      <c r="H87" s="333"/>
    </row>
    <row r="88" spans="1:9" ht="13.5" thickBot="1" x14ac:dyDescent="0.25">
      <c r="B88" s="742" t="s">
        <v>1674</v>
      </c>
      <c r="C88" s="743"/>
      <c r="D88" s="743"/>
      <c r="E88" s="743"/>
      <c r="F88" s="743"/>
      <c r="G88" s="744"/>
      <c r="H88" s="338">
        <f>SUM(H84:H87)</f>
        <v>0.66</v>
      </c>
    </row>
    <row r="89" spans="1:9" x14ac:dyDescent="0.2">
      <c r="B89" s="292"/>
      <c r="C89" s="292"/>
      <c r="D89" s="320" t="s">
        <v>1673</v>
      </c>
      <c r="E89" s="321"/>
      <c r="F89" s="321"/>
      <c r="G89" s="321"/>
      <c r="H89" s="331">
        <f>H52+H62+H82+H88</f>
        <v>26.6864375</v>
      </c>
    </row>
    <row r="90" spans="1:9" s="1" customFormat="1" ht="15.75" x14ac:dyDescent="0.25">
      <c r="A90" s="103">
        <v>40002</v>
      </c>
      <c r="B90" s="2"/>
      <c r="C90" s="2"/>
      <c r="D90" s="93" t="s">
        <v>1672</v>
      </c>
      <c r="E90" s="65"/>
      <c r="F90" s="65"/>
      <c r="G90" s="94">
        <f>IF($A90=0,"",VLOOKUP($A90,'BASE MATERIAL'!$M:$P,4))</f>
        <v>0</v>
      </c>
      <c r="H90" s="95">
        <f>IF($A90=0,"",ROUND(G90*H89,2))</f>
        <v>0</v>
      </c>
      <c r="I90" s="2"/>
    </row>
    <row r="91" spans="1:9" s="1" customFormat="1" ht="15.75" x14ac:dyDescent="0.25">
      <c r="A91" s="103">
        <v>40003</v>
      </c>
      <c r="B91" s="2"/>
      <c r="C91" s="2"/>
      <c r="D91" s="93" t="s">
        <v>1671</v>
      </c>
      <c r="E91" s="65"/>
      <c r="F91" s="65"/>
      <c r="G91" s="94">
        <f>IF($A91=0,"",VLOOKUP($A91,'BASE MATERIAL'!$M:$P,4))</f>
        <v>0</v>
      </c>
      <c r="H91" s="95">
        <f>IF($A91=0,"",ROUND(G91*H89,2))</f>
        <v>0</v>
      </c>
      <c r="I91" s="2"/>
    </row>
    <row r="92" spans="1:9" s="1" customFormat="1" ht="15.75" x14ac:dyDescent="0.25">
      <c r="A92" s="103"/>
      <c r="B92" s="2"/>
      <c r="C92" s="2"/>
      <c r="D92" s="93" t="s">
        <v>1670</v>
      </c>
      <c r="E92" s="65"/>
      <c r="F92" s="65"/>
      <c r="G92" s="65"/>
      <c r="H92" s="96">
        <f>ROUND(SUM(H89:H91),2)</f>
        <v>26.69</v>
      </c>
      <c r="I92" s="2"/>
    </row>
    <row r="93" spans="1:9" s="1" customFormat="1" ht="16.5" thickBot="1" x14ac:dyDescent="0.3">
      <c r="A93" s="103"/>
      <c r="B93" s="25"/>
      <c r="C93" s="2"/>
      <c r="D93" s="97" t="s">
        <v>1650</v>
      </c>
      <c r="E93" s="88"/>
      <c r="F93" s="88"/>
      <c r="G93" s="88"/>
      <c r="H93" s="98">
        <f>ROUND(H92,2)</f>
        <v>26.69</v>
      </c>
      <c r="I93" s="2"/>
    </row>
    <row r="94" spans="1:9" x14ac:dyDescent="0.2">
      <c r="B94" s="738" t="s">
        <v>1697</v>
      </c>
      <c r="C94" s="739"/>
      <c r="D94" s="739"/>
      <c r="E94" s="739"/>
      <c r="F94" s="739"/>
      <c r="G94" s="739"/>
      <c r="H94" s="739"/>
    </row>
    <row r="95" spans="1:9" x14ac:dyDescent="0.2">
      <c r="B95" s="292" t="s">
        <v>1586</v>
      </c>
      <c r="C95" s="293"/>
      <c r="D95" s="292"/>
      <c r="E95" s="292"/>
      <c r="F95" s="292"/>
      <c r="G95" s="292" t="s">
        <v>1696</v>
      </c>
      <c r="H95" s="39" t="s">
        <v>1786</v>
      </c>
    </row>
    <row r="96" spans="1:9" x14ac:dyDescent="0.2">
      <c r="B96" s="292" t="s">
        <v>1585</v>
      </c>
      <c r="C96" s="294" t="s">
        <v>1800</v>
      </c>
      <c r="D96" s="292"/>
      <c r="E96" s="292"/>
      <c r="F96" s="292"/>
      <c r="G96" s="292"/>
      <c r="H96" s="2"/>
    </row>
    <row r="97" spans="1:8" ht="13.5" thickBot="1" x14ac:dyDescent="0.25">
      <c r="B97" s="292"/>
      <c r="C97" s="292"/>
      <c r="D97" s="292"/>
      <c r="E97" s="292"/>
      <c r="F97" s="292"/>
      <c r="G97" s="292"/>
      <c r="H97" s="2"/>
    </row>
    <row r="98" spans="1:8" ht="13.5" thickBot="1" x14ac:dyDescent="0.25">
      <c r="B98" s="295" t="s">
        <v>1695</v>
      </c>
      <c r="C98" s="296"/>
      <c r="D98" s="296"/>
      <c r="E98" s="296"/>
      <c r="F98" s="296"/>
      <c r="G98" s="296"/>
      <c r="H98" s="45"/>
    </row>
    <row r="99" spans="1:8" ht="25.5" x14ac:dyDescent="0.2">
      <c r="B99" s="740" t="s">
        <v>1409</v>
      </c>
      <c r="C99" s="741"/>
      <c r="D99" s="297" t="s">
        <v>1690</v>
      </c>
      <c r="E99" s="297" t="s">
        <v>1694</v>
      </c>
      <c r="F99" s="297" t="s">
        <v>1693</v>
      </c>
      <c r="G99" s="49" t="s">
        <v>1687</v>
      </c>
      <c r="H99" s="50" t="s">
        <v>1686</v>
      </c>
    </row>
    <row r="100" spans="1:8" ht="15" x14ac:dyDescent="0.25">
      <c r="A100" s="103">
        <v>19016</v>
      </c>
      <c r="B100" s="298" t="s">
        <v>1468</v>
      </c>
      <c r="C100" s="299"/>
      <c r="D100" s="300">
        <v>1</v>
      </c>
      <c r="E100" s="53">
        <f>IF($A100=0,"",VLOOKUP($A100,'BASE EQUIPO'!$A:$D,4)*H116)</f>
        <v>0.12988125</v>
      </c>
      <c r="F100" s="53">
        <f>IF($A100=0,"",ROUND(D100*E100,2))</f>
        <v>0.13</v>
      </c>
      <c r="G100" s="301">
        <v>1</v>
      </c>
      <c r="H100" s="54">
        <f>IF($A100=0,"",ROUND(G100*F100,2))</f>
        <v>0.13</v>
      </c>
    </row>
    <row r="101" spans="1:8" x14ac:dyDescent="0.2">
      <c r="B101" s="302"/>
      <c r="C101" s="292"/>
      <c r="D101" s="303"/>
      <c r="E101" s="303"/>
      <c r="F101" s="303"/>
      <c r="G101" s="304"/>
      <c r="H101" s="332"/>
    </row>
    <row r="102" spans="1:8" x14ac:dyDescent="0.2">
      <c r="B102" s="302"/>
      <c r="C102" s="292"/>
      <c r="D102" s="303"/>
      <c r="E102" s="303"/>
      <c r="F102" s="303"/>
      <c r="G102" s="304"/>
      <c r="H102" s="332"/>
    </row>
    <row r="103" spans="1:8" x14ac:dyDescent="0.2">
      <c r="B103" s="302"/>
      <c r="C103" s="292"/>
      <c r="D103" s="303"/>
      <c r="E103" s="303"/>
      <c r="F103" s="303"/>
      <c r="G103" s="304"/>
      <c r="H103" s="332"/>
    </row>
    <row r="104" spans="1:8" x14ac:dyDescent="0.2">
      <c r="B104" s="302"/>
      <c r="C104" s="292"/>
      <c r="D104" s="303"/>
      <c r="E104" s="303"/>
      <c r="F104" s="303"/>
      <c r="G104" s="304"/>
      <c r="H104" s="332"/>
    </row>
    <row r="105" spans="1:8" x14ac:dyDescent="0.2">
      <c r="B105" s="305"/>
      <c r="C105" s="306"/>
      <c r="D105" s="307"/>
      <c r="E105" s="307"/>
      <c r="F105" s="307"/>
      <c r="G105" s="308"/>
      <c r="H105" s="333"/>
    </row>
    <row r="106" spans="1:8" ht="13.5" thickBot="1" x14ac:dyDescent="0.25">
      <c r="B106" s="742" t="s">
        <v>1692</v>
      </c>
      <c r="C106" s="743"/>
      <c r="D106" s="743"/>
      <c r="E106" s="743"/>
      <c r="F106" s="743"/>
      <c r="G106" s="744"/>
      <c r="H106" s="333">
        <f>SUM(H99:H105)</f>
        <v>0.13</v>
      </c>
    </row>
    <row r="107" spans="1:8" ht="13.5" thickBot="1" x14ac:dyDescent="0.25">
      <c r="B107" s="295" t="s">
        <v>1503</v>
      </c>
      <c r="C107" s="296"/>
      <c r="D107" s="296"/>
      <c r="E107" s="296"/>
      <c r="F107" s="296"/>
      <c r="G107" s="296"/>
      <c r="H107" s="45"/>
    </row>
    <row r="108" spans="1:8" ht="25.5" x14ac:dyDescent="0.2">
      <c r="B108" s="740" t="s">
        <v>1409</v>
      </c>
      <c r="C108" s="741"/>
      <c r="D108" s="309" t="s">
        <v>1690</v>
      </c>
      <c r="E108" s="309" t="s">
        <v>1689</v>
      </c>
      <c r="F108" s="309" t="s">
        <v>1688</v>
      </c>
      <c r="G108" s="67" t="s">
        <v>1687</v>
      </c>
      <c r="H108" s="68" t="s">
        <v>1686</v>
      </c>
    </row>
    <row r="109" spans="1:8" x14ac:dyDescent="0.2">
      <c r="B109" s="310" t="s">
        <v>243</v>
      </c>
      <c r="C109" s="292"/>
      <c r="D109" s="311">
        <v>1</v>
      </c>
      <c r="E109" s="312">
        <v>3.0187499999999998</v>
      </c>
      <c r="F109" s="300">
        <v>3.0187499999999998</v>
      </c>
      <c r="G109" s="300">
        <v>0.3</v>
      </c>
      <c r="H109" s="218">
        <f>F109*G109</f>
        <v>0.9056249999999999</v>
      </c>
    </row>
    <row r="110" spans="1:8" x14ac:dyDescent="0.2">
      <c r="B110" s="310" t="s">
        <v>1488</v>
      </c>
      <c r="C110" s="292"/>
      <c r="D110" s="311">
        <v>1</v>
      </c>
      <c r="E110" s="312">
        <v>2.82</v>
      </c>
      <c r="F110" s="303">
        <v>2.82</v>
      </c>
      <c r="G110" s="303">
        <f>+G109</f>
        <v>0.3</v>
      </c>
      <c r="H110" s="218">
        <f>F110*G110</f>
        <v>0.84599999999999997</v>
      </c>
    </row>
    <row r="111" spans="1:8" x14ac:dyDescent="0.2">
      <c r="B111" s="310" t="s">
        <v>1787</v>
      </c>
      <c r="C111" s="292"/>
      <c r="D111" s="311">
        <v>1</v>
      </c>
      <c r="E111" s="312">
        <v>2.82</v>
      </c>
      <c r="F111" s="303">
        <v>2.82</v>
      </c>
      <c r="G111" s="303">
        <f>+G110</f>
        <v>0.3</v>
      </c>
      <c r="H111" s="218">
        <f>F111*G111</f>
        <v>0.84599999999999997</v>
      </c>
    </row>
    <row r="112" spans="1:8" x14ac:dyDescent="0.2">
      <c r="B112" s="313"/>
      <c r="C112" s="292"/>
      <c r="D112" s="311"/>
      <c r="E112" s="312"/>
      <c r="F112" s="303"/>
      <c r="G112" s="304"/>
      <c r="H112" s="332"/>
    </row>
    <row r="113" spans="2:8" x14ac:dyDescent="0.2">
      <c r="B113" s="314"/>
      <c r="C113" s="292"/>
      <c r="D113" s="311"/>
      <c r="E113" s="312"/>
      <c r="F113" s="303"/>
      <c r="G113" s="304"/>
      <c r="H113" s="332"/>
    </row>
    <row r="114" spans="2:8" x14ac:dyDescent="0.2">
      <c r="B114" s="302"/>
      <c r="C114" s="292"/>
      <c r="D114" s="303"/>
      <c r="E114" s="303"/>
      <c r="F114" s="303"/>
      <c r="G114" s="304"/>
      <c r="H114" s="332"/>
    </row>
    <row r="115" spans="2:8" x14ac:dyDescent="0.2">
      <c r="B115" s="305"/>
      <c r="C115" s="306"/>
      <c r="D115" s="307"/>
      <c r="E115" s="307"/>
      <c r="F115" s="307"/>
      <c r="G115" s="308"/>
      <c r="H115" s="333"/>
    </row>
    <row r="116" spans="2:8" ht="13.5" thickBot="1" x14ac:dyDescent="0.25">
      <c r="B116" s="742" t="s">
        <v>1685</v>
      </c>
      <c r="C116" s="743"/>
      <c r="D116" s="743"/>
      <c r="E116" s="743"/>
      <c r="F116" s="743"/>
      <c r="G116" s="744"/>
      <c r="H116" s="334">
        <f>SUM(H108:H115)</f>
        <v>2.5976249999999999</v>
      </c>
    </row>
    <row r="117" spans="2:8" x14ac:dyDescent="0.2">
      <c r="B117" s="322" t="s">
        <v>1684</v>
      </c>
      <c r="C117" s="323"/>
      <c r="D117" s="323"/>
      <c r="E117" s="323"/>
      <c r="F117" s="323"/>
      <c r="G117" s="323"/>
      <c r="H117" s="335"/>
    </row>
    <row r="118" spans="2:8" ht="25.5" x14ac:dyDescent="0.2">
      <c r="B118" s="745" t="s">
        <v>1409</v>
      </c>
      <c r="C118" s="746"/>
      <c r="D118" s="747"/>
      <c r="E118" s="326" t="s">
        <v>1408</v>
      </c>
      <c r="F118" s="309" t="s">
        <v>1679</v>
      </c>
      <c r="G118" s="309" t="s">
        <v>1683</v>
      </c>
      <c r="H118" s="66" t="s">
        <v>1675</v>
      </c>
    </row>
    <row r="119" spans="2:8" ht="14.25" x14ac:dyDescent="0.2">
      <c r="B119" s="327" t="s">
        <v>1790</v>
      </c>
      <c r="C119" s="292"/>
      <c r="D119" s="315"/>
      <c r="E119" s="316" t="s">
        <v>1788</v>
      </c>
      <c r="F119" s="303">
        <v>1</v>
      </c>
      <c r="G119" s="303">
        <v>1.1000000000000001</v>
      </c>
      <c r="H119" s="55">
        <f t="shared" ref="H119:H128" si="1">IF($B119=0,"",ROUND(F119*G119,2))</f>
        <v>1.1000000000000001</v>
      </c>
    </row>
    <row r="120" spans="2:8" ht="14.25" x14ac:dyDescent="0.2">
      <c r="B120" s="327" t="s">
        <v>1790</v>
      </c>
      <c r="C120" s="292"/>
      <c r="D120" s="315"/>
      <c r="E120" s="316" t="s">
        <v>1788</v>
      </c>
      <c r="F120" s="303">
        <v>1</v>
      </c>
      <c r="G120" s="303">
        <v>1.1000000000000001</v>
      </c>
      <c r="H120" s="55">
        <f t="shared" si="1"/>
        <v>1.1000000000000001</v>
      </c>
    </row>
    <row r="121" spans="2:8" ht="14.25" x14ac:dyDescent="0.2">
      <c r="B121" s="327" t="s">
        <v>1789</v>
      </c>
      <c r="C121" s="292"/>
      <c r="D121" s="315"/>
      <c r="E121" s="316" t="s">
        <v>1788</v>
      </c>
      <c r="F121" s="303">
        <v>2</v>
      </c>
      <c r="G121" s="303">
        <v>1.7009999999999998</v>
      </c>
      <c r="H121" s="55">
        <f t="shared" si="1"/>
        <v>3.4</v>
      </c>
    </row>
    <row r="122" spans="2:8" ht="14.25" x14ac:dyDescent="0.2">
      <c r="B122" s="327" t="s">
        <v>1794</v>
      </c>
      <c r="C122" s="292"/>
      <c r="D122" s="315"/>
      <c r="E122" s="316" t="s">
        <v>744</v>
      </c>
      <c r="F122" s="303">
        <v>0.35</v>
      </c>
      <c r="G122" s="303">
        <v>12.591000000000001</v>
      </c>
      <c r="H122" s="55">
        <f t="shared" si="1"/>
        <v>4.41</v>
      </c>
    </row>
    <row r="123" spans="2:8" ht="14.25" x14ac:dyDescent="0.2">
      <c r="B123" s="327" t="s">
        <v>1795</v>
      </c>
      <c r="C123" s="292"/>
      <c r="D123" s="315"/>
      <c r="E123" s="316" t="s">
        <v>744</v>
      </c>
      <c r="F123" s="303">
        <v>0.12100000000000001</v>
      </c>
      <c r="G123" s="303">
        <v>1.341</v>
      </c>
      <c r="H123" s="55">
        <f t="shared" si="1"/>
        <v>0.16</v>
      </c>
    </row>
    <row r="124" spans="2:8" ht="14.25" x14ac:dyDescent="0.2">
      <c r="B124" s="327" t="s">
        <v>1796</v>
      </c>
      <c r="C124" s="292"/>
      <c r="D124" s="315"/>
      <c r="E124" s="316" t="s">
        <v>744</v>
      </c>
      <c r="F124" s="303">
        <v>2.1999999999999999E-2</v>
      </c>
      <c r="G124" s="303">
        <v>1.647</v>
      </c>
      <c r="H124" s="55">
        <f t="shared" si="1"/>
        <v>0.04</v>
      </c>
    </row>
    <row r="125" spans="2:8" ht="14.25" x14ac:dyDescent="0.2">
      <c r="B125" s="327" t="s">
        <v>1797</v>
      </c>
      <c r="C125" s="292"/>
      <c r="D125" s="315"/>
      <c r="E125" s="316" t="s">
        <v>744</v>
      </c>
      <c r="F125" s="303">
        <v>2.1999999999999999E-2</v>
      </c>
      <c r="G125" s="303">
        <v>4.4910000000000005</v>
      </c>
      <c r="H125" s="55">
        <f t="shared" si="1"/>
        <v>0.1</v>
      </c>
    </row>
    <row r="126" spans="2:8" ht="14.25" x14ac:dyDescent="0.2">
      <c r="B126" s="327" t="s">
        <v>1791</v>
      </c>
      <c r="C126" s="292"/>
      <c r="D126" s="315"/>
      <c r="E126" s="316" t="s">
        <v>744</v>
      </c>
      <c r="F126" s="303">
        <v>1.8333333333333333E-2</v>
      </c>
      <c r="G126" s="303">
        <v>4.59</v>
      </c>
      <c r="H126" s="55">
        <f t="shared" si="1"/>
        <v>0.08</v>
      </c>
    </row>
    <row r="127" spans="2:8" ht="14.25" x14ac:dyDescent="0.2">
      <c r="B127" s="327" t="s">
        <v>1798</v>
      </c>
      <c r="C127" s="292"/>
      <c r="D127" s="315"/>
      <c r="E127" s="316" t="s">
        <v>744</v>
      </c>
      <c r="F127" s="303">
        <v>0.16500000000000001</v>
      </c>
      <c r="G127" s="303">
        <v>0.41400000000000003</v>
      </c>
      <c r="H127" s="55">
        <f t="shared" si="1"/>
        <v>7.0000000000000007E-2</v>
      </c>
    </row>
    <row r="128" spans="2:8" ht="14.25" x14ac:dyDescent="0.2">
      <c r="B128" s="327" t="s">
        <v>1266</v>
      </c>
      <c r="C128" s="292"/>
      <c r="D128" s="315"/>
      <c r="E128" s="316" t="s">
        <v>1196</v>
      </c>
      <c r="F128" s="303">
        <v>1.0999999999999999E-2</v>
      </c>
      <c r="G128" s="303">
        <v>1.35</v>
      </c>
      <c r="H128" s="55">
        <f t="shared" si="1"/>
        <v>0.01</v>
      </c>
    </row>
    <row r="129" spans="1:9" x14ac:dyDescent="0.2">
      <c r="B129" s="327"/>
      <c r="C129" s="292"/>
      <c r="D129" s="315"/>
      <c r="E129" s="316"/>
      <c r="F129" s="303"/>
      <c r="G129" s="303"/>
      <c r="H129" s="336"/>
    </row>
    <row r="130" spans="1:9" x14ac:dyDescent="0.2">
      <c r="B130" s="327"/>
      <c r="C130" s="292"/>
      <c r="D130" s="315"/>
      <c r="E130" s="316"/>
      <c r="F130" s="303"/>
      <c r="G130" s="303"/>
      <c r="H130" s="336"/>
    </row>
    <row r="131" spans="1:9" x14ac:dyDescent="0.2">
      <c r="B131" s="327"/>
      <c r="C131" s="292"/>
      <c r="D131" s="315"/>
      <c r="E131" s="316"/>
      <c r="F131" s="303"/>
      <c r="G131" s="303"/>
      <c r="H131" s="336"/>
    </row>
    <row r="132" spans="1:9" x14ac:dyDescent="0.2">
      <c r="B132" s="327"/>
      <c r="C132" s="292"/>
      <c r="D132" s="315"/>
      <c r="E132" s="316"/>
      <c r="F132" s="303"/>
      <c r="G132" s="303"/>
      <c r="H132" s="336"/>
    </row>
    <row r="133" spans="1:9" x14ac:dyDescent="0.2">
      <c r="B133" s="327"/>
      <c r="C133" s="292"/>
      <c r="D133" s="315"/>
      <c r="E133" s="316"/>
      <c r="F133" s="303"/>
      <c r="G133" s="303"/>
      <c r="H133" s="336"/>
    </row>
    <row r="134" spans="1:9" x14ac:dyDescent="0.2">
      <c r="B134" s="327"/>
      <c r="C134" s="292"/>
      <c r="D134" s="315"/>
      <c r="E134" s="303"/>
      <c r="F134" s="303"/>
      <c r="G134" s="303"/>
      <c r="H134" s="336"/>
    </row>
    <row r="135" spans="1:9" x14ac:dyDescent="0.2">
      <c r="B135" s="328"/>
      <c r="C135" s="306"/>
      <c r="D135" s="329"/>
      <c r="E135" s="307"/>
      <c r="F135" s="307"/>
      <c r="G135" s="307"/>
      <c r="H135" s="337"/>
    </row>
    <row r="136" spans="1:9" ht="13.5" thickBot="1" x14ac:dyDescent="0.25">
      <c r="B136" s="742" t="s">
        <v>1681</v>
      </c>
      <c r="C136" s="743"/>
      <c r="D136" s="743"/>
      <c r="E136" s="743"/>
      <c r="F136" s="743"/>
      <c r="G136" s="744"/>
      <c r="H136" s="334">
        <f>SUM(H118:H135)</f>
        <v>10.469999999999999</v>
      </c>
    </row>
    <row r="137" spans="1:9" ht="13.5" thickBot="1" x14ac:dyDescent="0.25">
      <c r="B137" s="322" t="s">
        <v>1680</v>
      </c>
      <c r="C137" s="323"/>
      <c r="D137" s="323"/>
      <c r="E137" s="296"/>
      <c r="F137" s="296"/>
      <c r="G137" s="296"/>
      <c r="H137" s="45"/>
    </row>
    <row r="138" spans="1:9" ht="25.5" x14ac:dyDescent="0.2">
      <c r="B138" s="330" t="s">
        <v>1409</v>
      </c>
      <c r="C138" s="324"/>
      <c r="D138" s="325"/>
      <c r="E138" s="309" t="s">
        <v>1408</v>
      </c>
      <c r="F138" s="309" t="s">
        <v>1679</v>
      </c>
      <c r="G138" s="309" t="s">
        <v>1676</v>
      </c>
      <c r="H138" s="68" t="s">
        <v>1675</v>
      </c>
    </row>
    <row r="139" spans="1:9" s="1" customFormat="1" ht="15" x14ac:dyDescent="0.25">
      <c r="A139" s="103">
        <v>19019</v>
      </c>
      <c r="B139" s="51" t="str">
        <f>IF($A139=0,"",VLOOKUP($A139,'BASE EQUIPO'!$A:$D,2))</f>
        <v>TRANSPORTE DE MATERIAL</v>
      </c>
      <c r="C139" s="52"/>
      <c r="D139" s="82"/>
      <c r="E139" s="78" t="str">
        <f>IF($A139=0,"",VLOOKUP($A139,'BASE EQUIPO'!$A:$D,3))</f>
        <v>GLOBAL</v>
      </c>
      <c r="F139" s="55">
        <v>1</v>
      </c>
      <c r="G139" s="83">
        <f>IF($A139=0,"",VLOOKUP($A139,'BASE EQUIPO'!$A:$D,4)*H136)</f>
        <v>0.31409999999999993</v>
      </c>
      <c r="H139" s="56">
        <f>IF($A139=0,"",ROUND(F139*G139,2))</f>
        <v>0.31</v>
      </c>
      <c r="I139" s="2"/>
    </row>
    <row r="140" spans="1:9" x14ac:dyDescent="0.2">
      <c r="B140" s="302"/>
      <c r="C140" s="292"/>
      <c r="D140" s="317"/>
      <c r="E140" s="316"/>
      <c r="F140" s="303"/>
      <c r="G140" s="303"/>
      <c r="H140" s="332"/>
    </row>
    <row r="141" spans="1:9" x14ac:dyDescent="0.2">
      <c r="B141" s="305"/>
      <c r="C141" s="306"/>
      <c r="D141" s="318"/>
      <c r="E141" s="319"/>
      <c r="F141" s="307"/>
      <c r="G141" s="307"/>
      <c r="H141" s="333"/>
    </row>
    <row r="142" spans="1:9" ht="13.5" thickBot="1" x14ac:dyDescent="0.25">
      <c r="B142" s="742" t="s">
        <v>1674</v>
      </c>
      <c r="C142" s="743"/>
      <c r="D142" s="743"/>
      <c r="E142" s="743"/>
      <c r="F142" s="743"/>
      <c r="G142" s="744"/>
      <c r="H142" s="338">
        <f>SUM(H138:H141)</f>
        <v>0.31</v>
      </c>
    </row>
    <row r="143" spans="1:9" x14ac:dyDescent="0.2">
      <c r="B143" s="292"/>
      <c r="C143" s="292"/>
      <c r="D143" s="320" t="s">
        <v>1673</v>
      </c>
      <c r="E143" s="321"/>
      <c r="F143" s="321"/>
      <c r="G143" s="321"/>
      <c r="H143" s="331">
        <f>H106+H116+H136+H142</f>
        <v>13.507624999999999</v>
      </c>
    </row>
    <row r="144" spans="1:9" s="1" customFormat="1" ht="15.75" x14ac:dyDescent="0.25">
      <c r="A144" s="103">
        <v>40002</v>
      </c>
      <c r="B144" s="2"/>
      <c r="C144" s="2"/>
      <c r="D144" s="93" t="s">
        <v>1672</v>
      </c>
      <c r="E144" s="65"/>
      <c r="F144" s="65"/>
      <c r="G144" s="94">
        <f>IF($A144=0,"",VLOOKUP($A144,'BASE MATERIAL'!$M:$P,4))</f>
        <v>0</v>
      </c>
      <c r="H144" s="95">
        <f>IF($A144=0,"",ROUND(G144*H143,2))</f>
        <v>0</v>
      </c>
      <c r="I144" s="2"/>
    </row>
    <row r="145" spans="1:9" s="1" customFormat="1" ht="15.75" x14ac:dyDescent="0.25">
      <c r="A145" s="103">
        <v>40003</v>
      </c>
      <c r="B145" s="2"/>
      <c r="C145" s="2"/>
      <c r="D145" s="93" t="s">
        <v>1671</v>
      </c>
      <c r="E145" s="65"/>
      <c r="F145" s="65"/>
      <c r="G145" s="94">
        <f>IF($A145=0,"",VLOOKUP($A145,'BASE MATERIAL'!$M:$P,4))</f>
        <v>0</v>
      </c>
      <c r="H145" s="95">
        <f>IF($A145=0,"",ROUND(G145*H143,2))</f>
        <v>0</v>
      </c>
      <c r="I145" s="2"/>
    </row>
    <row r="146" spans="1:9" s="1" customFormat="1" ht="15.75" x14ac:dyDescent="0.25">
      <c r="A146" s="103"/>
      <c r="B146" s="2"/>
      <c r="C146" s="2"/>
      <c r="D146" s="93" t="s">
        <v>1670</v>
      </c>
      <c r="E146" s="65"/>
      <c r="F146" s="65"/>
      <c r="G146" s="65"/>
      <c r="H146" s="96">
        <f>ROUND(SUM(H143:H145),2)</f>
        <v>13.51</v>
      </c>
      <c r="I146" s="2"/>
    </row>
    <row r="147" spans="1:9" s="1" customFormat="1" ht="16.5" thickBot="1" x14ac:dyDescent="0.3">
      <c r="A147" s="103"/>
      <c r="B147" s="25"/>
      <c r="C147" s="2"/>
      <c r="D147" s="97" t="s">
        <v>1650</v>
      </c>
      <c r="E147" s="88"/>
      <c r="F147" s="88"/>
      <c r="G147" s="88"/>
      <c r="H147" s="98">
        <f>ROUND(H146,2)</f>
        <v>13.51</v>
      </c>
      <c r="I147" s="2"/>
    </row>
    <row r="148" spans="1:9" ht="15.75" x14ac:dyDescent="0.2">
      <c r="B148" s="186" t="s">
        <v>1701</v>
      </c>
      <c r="C148" s="132"/>
      <c r="D148" s="189" t="s">
        <v>742</v>
      </c>
      <c r="E148" s="132"/>
      <c r="F148" s="132"/>
      <c r="G148" s="188"/>
      <c r="H148" s="132"/>
    </row>
    <row r="149" spans="1:9" ht="15.75" x14ac:dyDescent="0.2">
      <c r="B149" s="186" t="s">
        <v>1700</v>
      </c>
      <c r="C149" s="189" t="s">
        <v>963</v>
      </c>
      <c r="D149" s="132"/>
      <c r="E149" s="132"/>
      <c r="F149" s="132"/>
      <c r="G149" s="190"/>
      <c r="H149" s="191"/>
    </row>
    <row r="150" spans="1:9" ht="14.25" x14ac:dyDescent="0.2">
      <c r="B150" s="189"/>
      <c r="C150" s="189"/>
      <c r="D150" s="189"/>
      <c r="E150" s="189"/>
      <c r="F150" s="189"/>
      <c r="G150" s="189"/>
      <c r="H150" s="189"/>
    </row>
    <row r="151" spans="1:9" ht="15.75" x14ac:dyDescent="0.2">
      <c r="B151" s="186" t="s">
        <v>1697</v>
      </c>
      <c r="C151" s="189"/>
      <c r="D151" s="132"/>
      <c r="E151" s="132"/>
      <c r="F151" s="132"/>
      <c r="G151" s="132"/>
      <c r="H151" s="132"/>
    </row>
    <row r="152" spans="1:9" ht="15" x14ac:dyDescent="0.2">
      <c r="B152" s="192"/>
      <c r="C152" s="189"/>
      <c r="D152" s="189"/>
      <c r="E152" s="189"/>
      <c r="F152" s="189"/>
      <c r="G152" s="189"/>
      <c r="H152" s="189"/>
    </row>
    <row r="153" spans="1:9" ht="14.25" x14ac:dyDescent="0.2">
      <c r="B153" s="193" t="s">
        <v>594</v>
      </c>
      <c r="C153" s="194">
        <v>7</v>
      </c>
      <c r="D153" s="132"/>
      <c r="E153" s="188"/>
      <c r="F153" s="188"/>
      <c r="G153" s="195" t="s">
        <v>1696</v>
      </c>
      <c r="H153" s="189" t="s">
        <v>1506</v>
      </c>
    </row>
    <row r="154" spans="1:9" ht="14.25" x14ac:dyDescent="0.2">
      <c r="B154" s="196" t="s">
        <v>964</v>
      </c>
      <c r="C154" s="194" t="s">
        <v>340</v>
      </c>
      <c r="D154" s="132"/>
      <c r="E154" s="132"/>
      <c r="F154" s="132"/>
      <c r="G154" s="132"/>
      <c r="H154" s="132"/>
    </row>
    <row r="155" spans="1:9" ht="15" thickBot="1" x14ac:dyDescent="0.25">
      <c r="B155" s="187"/>
      <c r="C155" s="187"/>
      <c r="D155" s="189"/>
      <c r="E155" s="189"/>
      <c r="F155" s="189"/>
      <c r="G155" s="189"/>
      <c r="H155" s="189"/>
    </row>
    <row r="156" spans="1:9" ht="13.5" thickBot="1" x14ac:dyDescent="0.25">
      <c r="B156" s="264" t="s">
        <v>1695</v>
      </c>
      <c r="C156" s="265"/>
      <c r="D156" s="266"/>
      <c r="E156" s="265"/>
      <c r="F156" s="265"/>
      <c r="G156" s="265"/>
      <c r="H156" s="267"/>
    </row>
    <row r="157" spans="1:9" ht="25.5" x14ac:dyDescent="0.2">
      <c r="B157" s="197" t="s">
        <v>1409</v>
      </c>
      <c r="C157" s="268"/>
      <c r="D157" s="269" t="s">
        <v>966</v>
      </c>
      <c r="E157" s="270" t="s">
        <v>1694</v>
      </c>
      <c r="F157" s="270" t="s">
        <v>1693</v>
      </c>
      <c r="G157" s="201" t="s">
        <v>1687</v>
      </c>
      <c r="H157" s="271" t="s">
        <v>967</v>
      </c>
    </row>
    <row r="158" spans="1:9" ht="15" x14ac:dyDescent="0.25">
      <c r="A158" s="103">
        <v>19016</v>
      </c>
      <c r="B158" s="298" t="s">
        <v>1468</v>
      </c>
      <c r="C158" s="299"/>
      <c r="D158" s="300">
        <v>1</v>
      </c>
      <c r="E158" s="53">
        <f>IF($A158=0,"",VLOOKUP($A158,'BASE EQUIPO'!$A:$D,4)*H169)</f>
        <v>5.66</v>
      </c>
      <c r="F158" s="53">
        <f>IF($A158=0,"",ROUND(D158*E158,2))</f>
        <v>5.66</v>
      </c>
      <c r="G158" s="301">
        <v>1</v>
      </c>
      <c r="H158" s="54">
        <f>IF($A158=0,"",ROUND(G158*F158,2))</f>
        <v>5.66</v>
      </c>
    </row>
    <row r="159" spans="1:9" x14ac:dyDescent="0.2">
      <c r="B159" s="214" t="s">
        <v>1682</v>
      </c>
      <c r="C159" s="132"/>
      <c r="D159" s="215"/>
      <c r="E159" s="216" t="s">
        <v>1682</v>
      </c>
      <c r="F159" s="216" t="s">
        <v>1682</v>
      </c>
      <c r="G159" s="217"/>
      <c r="H159" s="218" t="s">
        <v>1682</v>
      </c>
    </row>
    <row r="160" spans="1:9" x14ac:dyDescent="0.2">
      <c r="B160" s="219" t="s">
        <v>1682</v>
      </c>
      <c r="C160" s="220"/>
      <c r="D160" s="221"/>
      <c r="E160" s="222" t="s">
        <v>1682</v>
      </c>
      <c r="F160" s="222" t="s">
        <v>1682</v>
      </c>
      <c r="G160" s="223"/>
      <c r="H160" s="224" t="s">
        <v>1682</v>
      </c>
    </row>
    <row r="161" spans="1:8" x14ac:dyDescent="0.2">
      <c r="B161" s="219" t="s">
        <v>968</v>
      </c>
      <c r="C161" s="220"/>
      <c r="D161" s="225"/>
      <c r="E161" s="220"/>
      <c r="F161" s="220"/>
      <c r="G161" s="226"/>
      <c r="H161" s="224">
        <f>SUM(H158:H160)</f>
        <v>5.66</v>
      </c>
    </row>
    <row r="162" spans="1:8" x14ac:dyDescent="0.2">
      <c r="B162" s="227" t="s">
        <v>1503</v>
      </c>
      <c r="C162" s="132"/>
      <c r="D162" s="188"/>
      <c r="E162" s="132"/>
      <c r="F162" s="132"/>
      <c r="G162" s="228"/>
      <c r="H162" s="218"/>
    </row>
    <row r="163" spans="1:8" ht="25.5" x14ac:dyDescent="0.2">
      <c r="B163" s="229" t="s">
        <v>1691</v>
      </c>
      <c r="C163" s="230"/>
      <c r="D163" s="231" t="s">
        <v>969</v>
      </c>
      <c r="E163" s="232" t="s">
        <v>1689</v>
      </c>
      <c r="F163" s="232" t="s">
        <v>1688</v>
      </c>
      <c r="G163" s="233" t="s">
        <v>1687</v>
      </c>
      <c r="H163" s="234" t="s">
        <v>1686</v>
      </c>
    </row>
    <row r="164" spans="1:8" ht="14.25" x14ac:dyDescent="0.2">
      <c r="A164">
        <v>1</v>
      </c>
      <c r="B164" s="235" t="s">
        <v>243</v>
      </c>
      <c r="C164" s="132"/>
      <c r="D164" s="236">
        <v>1</v>
      </c>
      <c r="E164" s="237">
        <v>2.95</v>
      </c>
      <c r="F164" s="216">
        <f>D164*E164</f>
        <v>2.95</v>
      </c>
      <c r="G164" s="106">
        <v>8</v>
      </c>
      <c r="H164" s="56">
        <f>IF($A164=0,"",ROUND(G164*F164,2))</f>
        <v>23.6</v>
      </c>
    </row>
    <row r="165" spans="1:8" ht="14.25" x14ac:dyDescent="0.2">
      <c r="A165">
        <v>1</v>
      </c>
      <c r="B165" s="235" t="s">
        <v>1488</v>
      </c>
      <c r="C165" s="132"/>
      <c r="D165" s="236">
        <v>1</v>
      </c>
      <c r="E165" s="237">
        <v>2.81</v>
      </c>
      <c r="F165" s="216">
        <f>D165*E165</f>
        <v>2.81</v>
      </c>
      <c r="G165" s="106">
        <v>16</v>
      </c>
      <c r="H165" s="56">
        <f>IF($A165=0,"",ROUND(G165*F165,2))</f>
        <v>44.96</v>
      </c>
    </row>
    <row r="166" spans="1:8" ht="14.25" x14ac:dyDescent="0.2">
      <c r="A166">
        <v>1</v>
      </c>
      <c r="B166" s="235" t="s">
        <v>590</v>
      </c>
      <c r="C166" s="132"/>
      <c r="D166" s="236">
        <v>1</v>
      </c>
      <c r="E166" s="237">
        <v>2.79</v>
      </c>
      <c r="F166" s="216">
        <f>D166*E166</f>
        <v>2.79</v>
      </c>
      <c r="G166" s="106">
        <f>+G165</f>
        <v>16</v>
      </c>
      <c r="H166" s="56">
        <f>IF($A166=0,"",ROUND(G166*F166,2))</f>
        <v>44.64</v>
      </c>
    </row>
    <row r="167" spans="1:8" x14ac:dyDescent="0.2">
      <c r="B167" s="235"/>
      <c r="C167" s="132"/>
      <c r="D167" s="236"/>
      <c r="E167" s="237"/>
      <c r="F167" s="216"/>
      <c r="G167" s="217"/>
      <c r="H167" s="218"/>
    </row>
    <row r="168" spans="1:8" x14ac:dyDescent="0.2">
      <c r="B168" s="219" t="s">
        <v>1682</v>
      </c>
      <c r="C168" s="220"/>
      <c r="D168" s="221"/>
      <c r="E168" s="222" t="s">
        <v>1682</v>
      </c>
      <c r="F168" s="222" t="s">
        <v>1682</v>
      </c>
      <c r="G168" s="223"/>
      <c r="H168" s="224" t="s">
        <v>1682</v>
      </c>
    </row>
    <row r="169" spans="1:8" x14ac:dyDescent="0.2">
      <c r="B169" s="238" t="s">
        <v>1681</v>
      </c>
      <c r="C169" s="239"/>
      <c r="D169" s="240"/>
      <c r="E169" s="239"/>
      <c r="F169" s="239"/>
      <c r="G169" s="239"/>
      <c r="H169" s="241">
        <f>SUM(H164:H168)</f>
        <v>113.2</v>
      </c>
    </row>
    <row r="170" spans="1:8" x14ac:dyDescent="0.2">
      <c r="B170" s="227" t="s">
        <v>1684</v>
      </c>
      <c r="C170" s="132"/>
      <c r="D170" s="188"/>
      <c r="E170" s="132"/>
      <c r="F170" s="132"/>
      <c r="G170" s="132"/>
      <c r="H170" s="218"/>
    </row>
    <row r="171" spans="1:8" ht="25.5" x14ac:dyDescent="0.2">
      <c r="B171" s="229" t="s">
        <v>1409</v>
      </c>
      <c r="C171" s="242"/>
      <c r="D171" s="243"/>
      <c r="E171" s="232" t="s">
        <v>1408</v>
      </c>
      <c r="F171" s="231" t="s">
        <v>1679</v>
      </c>
      <c r="G171" s="232" t="s">
        <v>1683</v>
      </c>
      <c r="H171" s="234" t="s">
        <v>1675</v>
      </c>
    </row>
    <row r="172" spans="1:8" x14ac:dyDescent="0.2">
      <c r="B172" s="244" t="s">
        <v>341</v>
      </c>
      <c r="C172" s="132"/>
      <c r="D172" s="188"/>
      <c r="E172" s="215" t="s">
        <v>1506</v>
      </c>
      <c r="F172" s="215">
        <v>1</v>
      </c>
      <c r="G172" s="216">
        <v>75</v>
      </c>
      <c r="H172" s="218">
        <f>F172*G172</f>
        <v>75</v>
      </c>
    </row>
    <row r="173" spans="1:8" x14ac:dyDescent="0.2">
      <c r="B173" s="214" t="s">
        <v>342</v>
      </c>
      <c r="C173" s="132"/>
      <c r="D173" s="188"/>
      <c r="E173" s="215" t="s">
        <v>1506</v>
      </c>
      <c r="F173" s="215">
        <v>16</v>
      </c>
      <c r="G173" s="216">
        <v>4.07</v>
      </c>
      <c r="H173" s="218">
        <f>F173*G173</f>
        <v>65.12</v>
      </c>
    </row>
    <row r="174" spans="1:8" x14ac:dyDescent="0.2">
      <c r="B174" s="214" t="s">
        <v>343</v>
      </c>
      <c r="C174" s="132"/>
      <c r="D174" s="188"/>
      <c r="E174" s="215" t="s">
        <v>1506</v>
      </c>
      <c r="F174" s="215">
        <v>4</v>
      </c>
      <c r="G174" s="216">
        <v>8.3800000000000008</v>
      </c>
      <c r="H174" s="218">
        <f>F174*G174</f>
        <v>33.520000000000003</v>
      </c>
    </row>
    <row r="175" spans="1:8" x14ac:dyDescent="0.2">
      <c r="B175" s="214"/>
      <c r="C175" s="132"/>
      <c r="D175" s="188"/>
      <c r="E175" s="215"/>
      <c r="F175" s="215"/>
      <c r="G175" s="216"/>
      <c r="H175" s="218"/>
    </row>
    <row r="176" spans="1:8" x14ac:dyDescent="0.2">
      <c r="B176" s="214"/>
      <c r="C176" s="132"/>
      <c r="D176" s="188"/>
      <c r="E176" s="215"/>
      <c r="F176" s="215"/>
      <c r="G176" s="216"/>
      <c r="H176" s="218"/>
    </row>
    <row r="177" spans="1:9" x14ac:dyDescent="0.2">
      <c r="B177" s="214" t="s">
        <v>1682</v>
      </c>
      <c r="C177" s="132"/>
      <c r="D177" s="245" t="s">
        <v>1682</v>
      </c>
      <c r="E177" s="272" t="s">
        <v>1682</v>
      </c>
      <c r="F177" s="215" t="s">
        <v>1682</v>
      </c>
      <c r="G177" s="216" t="s">
        <v>1682</v>
      </c>
      <c r="H177" s="218" t="s">
        <v>1682</v>
      </c>
    </row>
    <row r="178" spans="1:9" x14ac:dyDescent="0.2">
      <c r="B178" s="238" t="s">
        <v>1692</v>
      </c>
      <c r="C178" s="239"/>
      <c r="D178" s="240"/>
      <c r="E178" s="240"/>
      <c r="F178" s="240"/>
      <c r="G178" s="239"/>
      <c r="H178" s="241">
        <f>SUM(H172:H177)</f>
        <v>173.64000000000001</v>
      </c>
    </row>
    <row r="179" spans="1:9" x14ac:dyDescent="0.2">
      <c r="B179" s="227" t="s">
        <v>1680</v>
      </c>
      <c r="C179" s="132"/>
      <c r="D179" s="188"/>
      <c r="E179" s="132"/>
      <c r="F179" s="188"/>
      <c r="G179" s="132"/>
      <c r="H179" s="218"/>
    </row>
    <row r="180" spans="1:9" ht="25.5" x14ac:dyDescent="0.2">
      <c r="B180" s="229" t="s">
        <v>1409</v>
      </c>
      <c r="C180" s="242"/>
      <c r="D180" s="243"/>
      <c r="E180" s="232" t="s">
        <v>1408</v>
      </c>
      <c r="F180" s="231" t="s">
        <v>1679</v>
      </c>
      <c r="G180" s="232" t="s">
        <v>1676</v>
      </c>
      <c r="H180" s="234" t="s">
        <v>1675</v>
      </c>
    </row>
    <row r="181" spans="1:9" x14ac:dyDescent="0.2">
      <c r="B181" s="208" t="s">
        <v>975</v>
      </c>
      <c r="C181" s="209"/>
      <c r="D181" s="246"/>
      <c r="E181" s="215" t="s">
        <v>976</v>
      </c>
      <c r="F181" s="215">
        <v>0.15</v>
      </c>
      <c r="G181" s="247">
        <v>5</v>
      </c>
      <c r="H181" s="218">
        <f>F181*G181</f>
        <v>0.75</v>
      </c>
    </row>
    <row r="182" spans="1:9" x14ac:dyDescent="0.2">
      <c r="B182" s="214"/>
      <c r="C182" s="132"/>
      <c r="D182" s="248"/>
      <c r="E182" s="215"/>
      <c r="F182" s="215"/>
      <c r="G182" s="247"/>
      <c r="H182" s="218"/>
    </row>
    <row r="183" spans="1:9" x14ac:dyDescent="0.2">
      <c r="B183" s="219" t="s">
        <v>1682</v>
      </c>
      <c r="C183" s="220"/>
      <c r="D183" s="249"/>
      <c r="E183" s="221" t="s">
        <v>1682</v>
      </c>
      <c r="F183" s="221"/>
      <c r="G183" s="222" t="s">
        <v>1682</v>
      </c>
      <c r="H183" s="224" t="s">
        <v>1682</v>
      </c>
    </row>
    <row r="184" spans="1:9" ht="13.5" thickBot="1" x14ac:dyDescent="0.25">
      <c r="B184" s="250" t="s">
        <v>977</v>
      </c>
      <c r="C184" s="251"/>
      <c r="D184" s="252"/>
      <c r="E184" s="252"/>
      <c r="F184" s="252"/>
      <c r="G184" s="251"/>
      <c r="H184" s="253">
        <f>SUM(H181:H183)</f>
        <v>0.75</v>
      </c>
    </row>
    <row r="185" spans="1:9" x14ac:dyDescent="0.2">
      <c r="B185" s="292"/>
      <c r="C185" s="292"/>
      <c r="D185" s="320" t="s">
        <v>1673</v>
      </c>
      <c r="E185" s="321"/>
      <c r="F185" s="321"/>
      <c r="G185" s="321"/>
      <c r="H185" s="331">
        <f>H161+H169+H178+H184</f>
        <v>293.25</v>
      </c>
    </row>
    <row r="186" spans="1:9" s="1" customFormat="1" ht="15.75" x14ac:dyDescent="0.25">
      <c r="A186" s="103">
        <v>40002</v>
      </c>
      <c r="B186" s="2"/>
      <c r="C186" s="2"/>
      <c r="D186" s="93" t="s">
        <v>1672</v>
      </c>
      <c r="E186" s="65"/>
      <c r="F186" s="65"/>
      <c r="G186" s="94">
        <f>IF($A186=0,"",VLOOKUP($A186,'BASE MATERIAL'!$M:$P,4))</f>
        <v>0</v>
      </c>
      <c r="H186" s="95">
        <f>IF($A186=0,"",ROUND(G186*H185,2))</f>
        <v>0</v>
      </c>
      <c r="I186" s="2"/>
    </row>
    <row r="187" spans="1:9" s="1" customFormat="1" ht="15.75" x14ac:dyDescent="0.25">
      <c r="A187" s="103">
        <v>40003</v>
      </c>
      <c r="B187" s="2"/>
      <c r="C187" s="2"/>
      <c r="D187" s="93" t="s">
        <v>1671</v>
      </c>
      <c r="E187" s="65"/>
      <c r="F187" s="65"/>
      <c r="G187" s="94">
        <f>IF($A187=0,"",VLOOKUP($A187,'BASE MATERIAL'!$M:$P,4))</f>
        <v>0</v>
      </c>
      <c r="H187" s="95">
        <f>IF($A187=0,"",ROUND(G187*H185,2))</f>
        <v>0</v>
      </c>
      <c r="I187" s="2"/>
    </row>
    <row r="188" spans="1:9" s="1" customFormat="1" ht="15.75" x14ac:dyDescent="0.25">
      <c r="A188" s="103"/>
      <c r="B188" s="2"/>
      <c r="C188" s="2"/>
      <c r="D188" s="93" t="s">
        <v>1670</v>
      </c>
      <c r="E188" s="65"/>
      <c r="F188" s="65"/>
      <c r="G188" s="65"/>
      <c r="H188" s="96">
        <f>ROUND(SUM(H185:H187),2)</f>
        <v>293.25</v>
      </c>
      <c r="I188" s="2"/>
    </row>
    <row r="189" spans="1:9" s="1" customFormat="1" ht="16.5" thickBot="1" x14ac:dyDescent="0.3">
      <c r="A189" s="103"/>
      <c r="B189" s="25"/>
      <c r="C189" s="2"/>
      <c r="D189" s="97" t="s">
        <v>1650</v>
      </c>
      <c r="E189" s="88"/>
      <c r="F189" s="88"/>
      <c r="G189" s="88"/>
      <c r="H189" s="98">
        <f>ROUND(H188,2)</f>
        <v>293.25</v>
      </c>
      <c r="I189" s="2"/>
    </row>
    <row r="190" spans="1:9" ht="15.75" x14ac:dyDescent="0.2">
      <c r="B190" s="186" t="s">
        <v>1701</v>
      </c>
      <c r="C190" s="132"/>
      <c r="D190" s="189" t="s">
        <v>742</v>
      </c>
      <c r="E190" s="132"/>
      <c r="F190" s="132"/>
      <c r="G190" s="188"/>
      <c r="H190" s="132"/>
    </row>
    <row r="191" spans="1:9" ht="15.75" x14ac:dyDescent="0.2">
      <c r="B191" s="186" t="s">
        <v>1700</v>
      </c>
      <c r="C191" s="189" t="s">
        <v>963</v>
      </c>
      <c r="D191" s="132"/>
      <c r="E191" s="132"/>
      <c r="F191" s="132"/>
      <c r="G191" s="190"/>
      <c r="H191" s="191"/>
    </row>
    <row r="192" spans="1:9" ht="14.25" x14ac:dyDescent="0.2">
      <c r="B192" s="189"/>
      <c r="C192" s="189"/>
      <c r="D192" s="189"/>
      <c r="E192" s="189"/>
      <c r="F192" s="189"/>
      <c r="G192" s="189"/>
      <c r="H192" s="189"/>
    </row>
    <row r="193" spans="1:8" ht="15.75" x14ac:dyDescent="0.2">
      <c r="B193" s="186" t="s">
        <v>1697</v>
      </c>
      <c r="C193" s="189"/>
      <c r="D193" s="132"/>
      <c r="E193" s="132"/>
      <c r="F193" s="132"/>
      <c r="G193" s="132"/>
      <c r="H193" s="132"/>
    </row>
    <row r="194" spans="1:8" ht="15" x14ac:dyDescent="0.2">
      <c r="B194" s="192"/>
      <c r="C194" s="189"/>
      <c r="D194" s="189"/>
      <c r="E194" s="189"/>
      <c r="F194" s="189"/>
      <c r="G194" s="189"/>
      <c r="H194" s="189"/>
    </row>
    <row r="195" spans="1:8" ht="14.25" x14ac:dyDescent="0.2">
      <c r="B195" s="193" t="s">
        <v>594</v>
      </c>
      <c r="C195" s="194">
        <v>8</v>
      </c>
      <c r="D195" s="132"/>
      <c r="E195" s="188"/>
      <c r="F195" s="188"/>
      <c r="G195" s="195" t="s">
        <v>1696</v>
      </c>
      <c r="H195" s="189" t="s">
        <v>1506</v>
      </c>
    </row>
    <row r="196" spans="1:8" ht="14.25" x14ac:dyDescent="0.2">
      <c r="B196" s="196" t="s">
        <v>964</v>
      </c>
      <c r="C196" s="194" t="s">
        <v>344</v>
      </c>
      <c r="D196" s="132"/>
      <c r="E196" s="132"/>
      <c r="F196" s="132"/>
      <c r="G196" s="132"/>
      <c r="H196" s="132"/>
    </row>
    <row r="197" spans="1:8" ht="15" thickBot="1" x14ac:dyDescent="0.25">
      <c r="B197" s="187"/>
      <c r="C197" s="187"/>
      <c r="D197" s="189"/>
      <c r="E197" s="189"/>
      <c r="F197" s="189"/>
      <c r="G197" s="189"/>
      <c r="H197" s="189"/>
    </row>
    <row r="198" spans="1:8" ht="13.5" thickBot="1" x14ac:dyDescent="0.25">
      <c r="B198" s="264" t="s">
        <v>1695</v>
      </c>
      <c r="C198" s="265"/>
      <c r="D198" s="266"/>
      <c r="E198" s="265"/>
      <c r="F198" s="265"/>
      <c r="G198" s="265"/>
      <c r="H198" s="267"/>
    </row>
    <row r="199" spans="1:8" ht="25.5" x14ac:dyDescent="0.2">
      <c r="B199" s="197" t="s">
        <v>1409</v>
      </c>
      <c r="C199" s="268"/>
      <c r="D199" s="269" t="s">
        <v>966</v>
      </c>
      <c r="E199" s="270" t="s">
        <v>1694</v>
      </c>
      <c r="F199" s="270" t="s">
        <v>1693</v>
      </c>
      <c r="G199" s="201" t="s">
        <v>1687</v>
      </c>
      <c r="H199" s="271" t="s">
        <v>967</v>
      </c>
    </row>
    <row r="200" spans="1:8" ht="15" x14ac:dyDescent="0.25">
      <c r="A200" s="103">
        <v>19016</v>
      </c>
      <c r="B200" s="298" t="s">
        <v>1468</v>
      </c>
      <c r="C200" s="299"/>
      <c r="D200" s="300">
        <v>1</v>
      </c>
      <c r="E200" s="53">
        <f>IF($A200=0,"",VLOOKUP($A200,'BASE EQUIPO'!$A:$D,4)*H211)</f>
        <v>5.1780000000000008</v>
      </c>
      <c r="F200" s="53">
        <f>IF($A200=0,"",ROUND(D200*E200,2))</f>
        <v>5.18</v>
      </c>
      <c r="G200" s="301">
        <v>1</v>
      </c>
      <c r="H200" s="54">
        <f>IF($A200=0,"",ROUND(G200*F200,2))</f>
        <v>5.18</v>
      </c>
    </row>
    <row r="201" spans="1:8" x14ac:dyDescent="0.2">
      <c r="B201" s="214" t="s">
        <v>1682</v>
      </c>
      <c r="C201" s="132"/>
      <c r="D201" s="215"/>
      <c r="E201" s="216" t="s">
        <v>1682</v>
      </c>
      <c r="F201" s="216" t="s">
        <v>1682</v>
      </c>
      <c r="G201" s="217"/>
      <c r="H201" s="218" t="s">
        <v>1682</v>
      </c>
    </row>
    <row r="202" spans="1:8" x14ac:dyDescent="0.2">
      <c r="B202" s="219" t="s">
        <v>1682</v>
      </c>
      <c r="C202" s="220"/>
      <c r="D202" s="221"/>
      <c r="E202" s="222" t="s">
        <v>1682</v>
      </c>
      <c r="F202" s="222" t="s">
        <v>1682</v>
      </c>
      <c r="G202" s="223"/>
      <c r="H202" s="224" t="s">
        <v>1682</v>
      </c>
    </row>
    <row r="203" spans="1:8" x14ac:dyDescent="0.2">
      <c r="B203" s="219" t="s">
        <v>968</v>
      </c>
      <c r="C203" s="220"/>
      <c r="D203" s="225"/>
      <c r="E203" s="220"/>
      <c r="F203" s="220"/>
      <c r="G203" s="226"/>
      <c r="H203" s="224">
        <f>SUM(H200:H202)</f>
        <v>5.18</v>
      </c>
    </row>
    <row r="204" spans="1:8" x14ac:dyDescent="0.2">
      <c r="B204" s="227" t="s">
        <v>1503</v>
      </c>
      <c r="C204" s="132"/>
      <c r="D204" s="188"/>
      <c r="E204" s="132"/>
      <c r="F204" s="132"/>
      <c r="G204" s="228"/>
      <c r="H204" s="218"/>
    </row>
    <row r="205" spans="1:8" ht="25.5" x14ac:dyDescent="0.2">
      <c r="B205" s="229" t="s">
        <v>1691</v>
      </c>
      <c r="C205" s="230"/>
      <c r="D205" s="231" t="s">
        <v>969</v>
      </c>
      <c r="E205" s="232" t="s">
        <v>1689</v>
      </c>
      <c r="F205" s="232" t="s">
        <v>1688</v>
      </c>
      <c r="G205" s="233" t="s">
        <v>1687</v>
      </c>
      <c r="H205" s="234" t="s">
        <v>1686</v>
      </c>
    </row>
    <row r="206" spans="1:8" ht="14.25" x14ac:dyDescent="0.2">
      <c r="A206">
        <v>20001</v>
      </c>
      <c r="B206" s="235" t="s">
        <v>243</v>
      </c>
      <c r="C206" s="132"/>
      <c r="D206" s="236">
        <v>1</v>
      </c>
      <c r="E206" s="237">
        <f>'BASE M-OBRA'!$D$3</f>
        <v>3.02</v>
      </c>
      <c r="F206" s="216">
        <f>D206*E206</f>
        <v>3.02</v>
      </c>
      <c r="G206" s="106">
        <v>12</v>
      </c>
      <c r="H206" s="56">
        <f>IF($A206=0,"",ROUND(G206*F206,2))</f>
        <v>36.24</v>
      </c>
    </row>
    <row r="207" spans="1:8" ht="14.25" x14ac:dyDescent="0.2">
      <c r="A207">
        <v>20017</v>
      </c>
      <c r="B207" s="235" t="s">
        <v>1488</v>
      </c>
      <c r="C207" s="132"/>
      <c r="D207" s="236">
        <v>1</v>
      </c>
      <c r="E207" s="237">
        <f>'BASE M-OBRA'!$D$19</f>
        <v>2.82</v>
      </c>
      <c r="F207" s="216">
        <f>D207*E207</f>
        <v>2.82</v>
      </c>
      <c r="G207" s="106">
        <f>+G206</f>
        <v>12</v>
      </c>
      <c r="H207" s="56">
        <f>IF($A207=0,"",ROUND(G207*F207,2))</f>
        <v>33.840000000000003</v>
      </c>
    </row>
    <row r="208" spans="1:8" ht="14.25" x14ac:dyDescent="0.2">
      <c r="A208">
        <v>20011</v>
      </c>
      <c r="B208" s="235" t="s">
        <v>590</v>
      </c>
      <c r="C208" s="132"/>
      <c r="D208" s="236">
        <v>1</v>
      </c>
      <c r="E208" s="237">
        <f>'BASE M-OBRA'!$D$13</f>
        <v>2.79</v>
      </c>
      <c r="F208" s="216">
        <f>D208*E208</f>
        <v>2.79</v>
      </c>
      <c r="G208" s="106">
        <f>+G207</f>
        <v>12</v>
      </c>
      <c r="H208" s="56">
        <f>IF($A208=0,"",ROUND(G208*F208,2))</f>
        <v>33.479999999999997</v>
      </c>
    </row>
    <row r="209" spans="2:9" x14ac:dyDescent="0.2">
      <c r="B209" s="235"/>
      <c r="C209" s="132"/>
      <c r="D209" s="236"/>
      <c r="E209" s="237"/>
      <c r="F209" s="216"/>
      <c r="G209" s="217"/>
      <c r="H209" s="218"/>
    </row>
    <row r="210" spans="2:9" x14ac:dyDescent="0.2">
      <c r="B210" s="219" t="s">
        <v>1682</v>
      </c>
      <c r="C210" s="220"/>
      <c r="D210" s="221"/>
      <c r="E210" s="222" t="s">
        <v>1682</v>
      </c>
      <c r="F210" s="222" t="s">
        <v>1682</v>
      </c>
      <c r="G210" s="223"/>
      <c r="H210" s="224" t="s">
        <v>1682</v>
      </c>
    </row>
    <row r="211" spans="2:9" x14ac:dyDescent="0.2">
      <c r="B211" s="238" t="s">
        <v>1681</v>
      </c>
      <c r="C211" s="239"/>
      <c r="D211" s="240"/>
      <c r="E211" s="239"/>
      <c r="F211" s="239"/>
      <c r="G211" s="239"/>
      <c r="H211" s="241">
        <f>SUM(H206:H210)</f>
        <v>103.56</v>
      </c>
      <c r="I211">
        <v>64.540000000000006</v>
      </c>
    </row>
    <row r="212" spans="2:9" x14ac:dyDescent="0.2">
      <c r="B212" s="227" t="s">
        <v>1684</v>
      </c>
      <c r="C212" s="132"/>
      <c r="D212" s="188"/>
      <c r="E212" s="132"/>
      <c r="F212" s="132"/>
      <c r="G212" s="132"/>
      <c r="H212" s="218"/>
    </row>
    <row r="213" spans="2:9" ht="25.5" x14ac:dyDescent="0.2">
      <c r="B213" s="229" t="s">
        <v>1409</v>
      </c>
      <c r="C213" s="242"/>
      <c r="D213" s="243"/>
      <c r="E213" s="232" t="s">
        <v>1408</v>
      </c>
      <c r="F213" s="231" t="s">
        <v>1679</v>
      </c>
      <c r="G213" s="232" t="s">
        <v>1683</v>
      </c>
      <c r="H213" s="234" t="s">
        <v>1675</v>
      </c>
    </row>
    <row r="214" spans="2:9" x14ac:dyDescent="0.2">
      <c r="B214" s="244" t="s">
        <v>341</v>
      </c>
      <c r="C214" s="132"/>
      <c r="D214" s="188"/>
      <c r="E214" s="215" t="s">
        <v>1506</v>
      </c>
      <c r="F214" s="215">
        <v>1</v>
      </c>
      <c r="G214" s="216">
        <v>135</v>
      </c>
      <c r="H214" s="218">
        <f>F214*G214</f>
        <v>135</v>
      </c>
    </row>
    <row r="215" spans="2:9" x14ac:dyDescent="0.2">
      <c r="B215" s="214" t="s">
        <v>342</v>
      </c>
      <c r="C215" s="132"/>
      <c r="D215" s="188"/>
      <c r="E215" s="215" t="s">
        <v>1506</v>
      </c>
      <c r="F215" s="215">
        <v>16</v>
      </c>
      <c r="G215" s="216">
        <v>4.07</v>
      </c>
      <c r="H215" s="218">
        <f>F215*G215</f>
        <v>65.12</v>
      </c>
    </row>
    <row r="216" spans="2:9" x14ac:dyDescent="0.2">
      <c r="B216" s="214" t="s">
        <v>343</v>
      </c>
      <c r="C216" s="132"/>
      <c r="D216" s="188"/>
      <c r="E216" s="215" t="s">
        <v>1506</v>
      </c>
      <c r="F216" s="215">
        <v>4</v>
      </c>
      <c r="G216" s="216">
        <v>8.3800000000000008</v>
      </c>
      <c r="H216" s="218">
        <f>F216*G216</f>
        <v>33.520000000000003</v>
      </c>
    </row>
    <row r="217" spans="2:9" x14ac:dyDescent="0.2">
      <c r="B217" s="214" t="s">
        <v>1682</v>
      </c>
      <c r="C217" s="132"/>
      <c r="D217" s="245" t="s">
        <v>1682</v>
      </c>
      <c r="E217" s="272" t="s">
        <v>1682</v>
      </c>
      <c r="F217" s="215" t="s">
        <v>1682</v>
      </c>
      <c r="G217" s="216" t="s">
        <v>1682</v>
      </c>
      <c r="H217" s="218" t="s">
        <v>1682</v>
      </c>
    </row>
    <row r="218" spans="2:9" x14ac:dyDescent="0.2">
      <c r="B218" s="238" t="s">
        <v>1692</v>
      </c>
      <c r="C218" s="239"/>
      <c r="D218" s="240"/>
      <c r="E218" s="240"/>
      <c r="F218" s="240"/>
      <c r="G218" s="239"/>
      <c r="H218" s="241">
        <f>SUM(H214:H217)</f>
        <v>233.64000000000001</v>
      </c>
    </row>
    <row r="219" spans="2:9" x14ac:dyDescent="0.2">
      <c r="B219" s="227" t="s">
        <v>1680</v>
      </c>
      <c r="C219" s="132"/>
      <c r="D219" s="188"/>
      <c r="E219" s="132"/>
      <c r="F219" s="188"/>
      <c r="G219" s="132"/>
      <c r="H219" s="218"/>
    </row>
    <row r="220" spans="2:9" ht="25.5" x14ac:dyDescent="0.2">
      <c r="B220" s="229" t="s">
        <v>1409</v>
      </c>
      <c r="C220" s="242"/>
      <c r="D220" s="243"/>
      <c r="E220" s="232" t="s">
        <v>1408</v>
      </c>
      <c r="F220" s="231" t="s">
        <v>1679</v>
      </c>
      <c r="G220" s="232" t="s">
        <v>1676</v>
      </c>
      <c r="H220" s="234" t="s">
        <v>1675</v>
      </c>
    </row>
    <row r="221" spans="2:9" x14ac:dyDescent="0.2">
      <c r="B221" s="208" t="s">
        <v>975</v>
      </c>
      <c r="C221" s="209"/>
      <c r="D221" s="246"/>
      <c r="E221" s="215" t="s">
        <v>976</v>
      </c>
      <c r="F221" s="215">
        <v>0.1</v>
      </c>
      <c r="G221" s="247">
        <v>5</v>
      </c>
      <c r="H221" s="218">
        <f>F221*G221</f>
        <v>0.5</v>
      </c>
    </row>
    <row r="222" spans="2:9" x14ac:dyDescent="0.2">
      <c r="B222" s="214"/>
      <c r="C222" s="132"/>
      <c r="D222" s="248"/>
      <c r="E222" s="215"/>
      <c r="F222" s="215"/>
      <c r="G222" s="247"/>
      <c r="H222" s="218"/>
    </row>
    <row r="223" spans="2:9" x14ac:dyDescent="0.2">
      <c r="B223" s="219" t="s">
        <v>1682</v>
      </c>
      <c r="C223" s="220"/>
      <c r="D223" s="249"/>
      <c r="E223" s="221" t="s">
        <v>1682</v>
      </c>
      <c r="F223" s="221"/>
      <c r="G223" s="222" t="s">
        <v>1682</v>
      </c>
      <c r="H223" s="224" t="s">
        <v>1682</v>
      </c>
    </row>
    <row r="224" spans="2:9" ht="13.5" thickBot="1" x14ac:dyDescent="0.25">
      <c r="B224" s="250" t="s">
        <v>977</v>
      </c>
      <c r="C224" s="251"/>
      <c r="D224" s="252"/>
      <c r="E224" s="252"/>
      <c r="F224" s="252"/>
      <c r="G224" s="251"/>
      <c r="H224" s="253">
        <f>SUM(H221:H223)</f>
        <v>0.5</v>
      </c>
    </row>
    <row r="225" spans="1:9" x14ac:dyDescent="0.2">
      <c r="B225" s="292"/>
      <c r="C225" s="292"/>
      <c r="D225" s="320" t="s">
        <v>1673</v>
      </c>
      <c r="E225" s="321"/>
      <c r="F225" s="321"/>
      <c r="G225" s="321"/>
      <c r="H225" s="331">
        <f>H203+H211+H218+H224</f>
        <v>342.88</v>
      </c>
    </row>
    <row r="226" spans="1:9" s="1" customFormat="1" ht="15.75" x14ac:dyDescent="0.25">
      <c r="A226" s="103">
        <v>40002</v>
      </c>
      <c r="B226" s="2"/>
      <c r="C226" s="2"/>
      <c r="D226" s="93" t="s">
        <v>1672</v>
      </c>
      <c r="E226" s="65"/>
      <c r="F226" s="65"/>
      <c r="G226" s="94">
        <f>IF($A226=0,"",VLOOKUP($A226,'BASE MATERIAL'!$M:$P,4))</f>
        <v>0</v>
      </c>
      <c r="H226" s="95">
        <f>IF($A226=0,"",ROUND(G226*H225,2))</f>
        <v>0</v>
      </c>
      <c r="I226" s="2"/>
    </row>
    <row r="227" spans="1:9" s="1" customFormat="1" ht="15.75" x14ac:dyDescent="0.25">
      <c r="A227" s="103">
        <v>40003</v>
      </c>
      <c r="B227" s="2"/>
      <c r="C227" s="2"/>
      <c r="D227" s="93" t="s">
        <v>1671</v>
      </c>
      <c r="E227" s="65"/>
      <c r="F227" s="65"/>
      <c r="G227" s="94">
        <f>IF($A227=0,"",VLOOKUP($A227,'BASE MATERIAL'!$M:$P,4))</f>
        <v>0</v>
      </c>
      <c r="H227" s="95">
        <f>IF($A227=0,"",ROUND(G227*H225,2))</f>
        <v>0</v>
      </c>
      <c r="I227" s="2"/>
    </row>
    <row r="228" spans="1:9" s="1" customFormat="1" ht="15.75" x14ac:dyDescent="0.25">
      <c r="A228" s="103"/>
      <c r="B228" s="2"/>
      <c r="C228" s="2"/>
      <c r="D228" s="93" t="s">
        <v>1670</v>
      </c>
      <c r="E228" s="65"/>
      <c r="F228" s="65"/>
      <c r="G228" s="65"/>
      <c r="H228" s="96">
        <f>ROUND(SUM(H225:H227),2)</f>
        <v>342.88</v>
      </c>
      <c r="I228" s="2"/>
    </row>
    <row r="229" spans="1:9" s="1" customFormat="1" ht="16.5" thickBot="1" x14ac:dyDescent="0.3">
      <c r="A229" s="103"/>
      <c r="B229" s="25"/>
      <c r="C229" s="2"/>
      <c r="D229" s="97" t="s">
        <v>1650</v>
      </c>
      <c r="E229" s="88"/>
      <c r="F229" s="88"/>
      <c r="G229" s="88"/>
      <c r="H229" s="98">
        <f>ROUND(H228,2)</f>
        <v>342.88</v>
      </c>
      <c r="I229" s="2"/>
    </row>
    <row r="231" spans="1:9" x14ac:dyDescent="0.2">
      <c r="B231" s="292" t="s">
        <v>1889</v>
      </c>
      <c r="C231" s="292" t="s">
        <v>1890</v>
      </c>
      <c r="D231" s="292"/>
      <c r="E231" s="292"/>
      <c r="F231" s="292"/>
      <c r="G231" s="292"/>
      <c r="H231" s="292" t="s">
        <v>1891</v>
      </c>
    </row>
    <row r="232" spans="1:9" x14ac:dyDescent="0.2">
      <c r="B232" s="292" t="s">
        <v>1700</v>
      </c>
      <c r="C232" s="292" t="s">
        <v>1892</v>
      </c>
      <c r="D232" s="292"/>
      <c r="E232" s="292"/>
      <c r="F232" s="292"/>
      <c r="G232" s="382"/>
      <c r="H232" s="315"/>
    </row>
    <row r="233" spans="1:9" x14ac:dyDescent="0.2">
      <c r="B233" s="292"/>
      <c r="C233" s="292"/>
      <c r="D233" s="292"/>
      <c r="E233" s="292"/>
      <c r="F233" s="292"/>
      <c r="G233" s="292"/>
      <c r="H233" s="292"/>
    </row>
    <row r="234" spans="1:9" x14ac:dyDescent="0.2">
      <c r="B234" s="738" t="s">
        <v>1697</v>
      </c>
      <c r="C234" s="739"/>
      <c r="D234" s="739"/>
      <c r="E234" s="739"/>
      <c r="F234" s="739"/>
      <c r="G234" s="739"/>
      <c r="H234" s="739"/>
    </row>
    <row r="235" spans="1:9" x14ac:dyDescent="0.2">
      <c r="B235" s="292" t="s">
        <v>1586</v>
      </c>
      <c r="C235" s="293" t="s">
        <v>1893</v>
      </c>
      <c r="D235" s="292"/>
      <c r="E235" s="292"/>
      <c r="F235" s="292"/>
      <c r="G235" s="292" t="s">
        <v>1696</v>
      </c>
      <c r="H235" s="315" t="s">
        <v>744</v>
      </c>
    </row>
    <row r="236" spans="1:9" x14ac:dyDescent="0.2">
      <c r="B236" s="292" t="s">
        <v>1585</v>
      </c>
      <c r="C236" s="383" t="s">
        <v>1894</v>
      </c>
      <c r="D236" s="292"/>
      <c r="E236" s="292"/>
      <c r="F236" s="292"/>
      <c r="G236" s="292"/>
      <c r="H236" s="292"/>
    </row>
    <row r="237" spans="1:9" ht="13.5" thickBot="1" x14ac:dyDescent="0.25">
      <c r="B237" s="292"/>
      <c r="C237" s="292"/>
      <c r="D237" s="292"/>
      <c r="E237" s="292"/>
      <c r="F237" s="292"/>
      <c r="G237" s="292"/>
      <c r="H237" s="292"/>
    </row>
    <row r="238" spans="1:9" ht="13.5" thickBot="1" x14ac:dyDescent="0.25">
      <c r="B238" s="295" t="s">
        <v>1695</v>
      </c>
      <c r="C238" s="296"/>
      <c r="D238" s="296"/>
      <c r="E238" s="296"/>
      <c r="F238" s="296"/>
      <c r="G238" s="296"/>
      <c r="H238" s="384"/>
    </row>
    <row r="239" spans="1:9" ht="25.5" x14ac:dyDescent="0.2">
      <c r="B239" s="740" t="s">
        <v>1409</v>
      </c>
      <c r="C239" s="741"/>
      <c r="D239" s="297" t="s">
        <v>1690</v>
      </c>
      <c r="E239" s="297" t="s">
        <v>1694</v>
      </c>
      <c r="F239" s="297" t="s">
        <v>1693</v>
      </c>
      <c r="G239" s="49" t="s">
        <v>1687</v>
      </c>
      <c r="H239" s="385" t="s">
        <v>1686</v>
      </c>
    </row>
    <row r="240" spans="1:9" ht="15" x14ac:dyDescent="0.25">
      <c r="A240" s="103">
        <v>19016</v>
      </c>
      <c r="B240" s="298" t="s">
        <v>1468</v>
      </c>
      <c r="C240" s="299"/>
      <c r="D240" s="300">
        <v>1</v>
      </c>
      <c r="E240" s="53">
        <f>IF($A240=0,"",VLOOKUP($A240,'BASE EQUIPO'!$A:$D,4)*H256)</f>
        <v>0.8660000000000001</v>
      </c>
      <c r="F240" s="53">
        <f>IF($A240=0,"",ROUND(D240*E240,2))</f>
        <v>0.87</v>
      </c>
      <c r="G240" s="301">
        <v>1</v>
      </c>
      <c r="H240" s="54">
        <f>IF($A240=0,"",ROUND(G240*F240,2))</f>
        <v>0.87</v>
      </c>
    </row>
    <row r="241" spans="1:8" x14ac:dyDescent="0.2">
      <c r="B241" s="302"/>
      <c r="C241" s="292"/>
      <c r="D241" s="303"/>
      <c r="E241" s="303"/>
      <c r="F241" s="303"/>
      <c r="G241" s="304"/>
      <c r="H241" s="386"/>
    </row>
    <row r="242" spans="1:8" x14ac:dyDescent="0.2">
      <c r="B242" s="302"/>
      <c r="C242" s="292"/>
      <c r="D242" s="303"/>
      <c r="E242" s="303"/>
      <c r="F242" s="303"/>
      <c r="G242" s="304"/>
      <c r="H242" s="386"/>
    </row>
    <row r="243" spans="1:8" x14ac:dyDescent="0.2">
      <c r="B243" s="302"/>
      <c r="C243" s="292"/>
      <c r="D243" s="303"/>
      <c r="E243" s="303"/>
      <c r="F243" s="303"/>
      <c r="G243" s="304"/>
      <c r="H243" s="386"/>
    </row>
    <row r="244" spans="1:8" x14ac:dyDescent="0.2">
      <c r="B244" s="302"/>
      <c r="C244" s="292"/>
      <c r="D244" s="303"/>
      <c r="E244" s="303"/>
      <c r="F244" s="303"/>
      <c r="G244" s="304"/>
      <c r="H244" s="386"/>
    </row>
    <row r="245" spans="1:8" x14ac:dyDescent="0.2">
      <c r="B245" s="305"/>
      <c r="C245" s="306"/>
      <c r="D245" s="307"/>
      <c r="E245" s="307"/>
      <c r="F245" s="307"/>
      <c r="G245" s="308"/>
      <c r="H245" s="387"/>
    </row>
    <row r="246" spans="1:8" ht="13.5" thickBot="1" x14ac:dyDescent="0.25">
      <c r="B246" s="742" t="s">
        <v>1692</v>
      </c>
      <c r="C246" s="743"/>
      <c r="D246" s="743"/>
      <c r="E246" s="743"/>
      <c r="F246" s="743"/>
      <c r="G246" s="744"/>
      <c r="H246" s="387">
        <f>SUM(H240:H245)</f>
        <v>0.87</v>
      </c>
    </row>
    <row r="247" spans="1:8" ht="13.5" thickBot="1" x14ac:dyDescent="0.25">
      <c r="B247" s="295" t="s">
        <v>1503</v>
      </c>
      <c r="C247" s="296"/>
      <c r="D247" s="296"/>
      <c r="E247" s="296"/>
      <c r="F247" s="296"/>
      <c r="G247" s="296"/>
      <c r="H247" s="384"/>
    </row>
    <row r="248" spans="1:8" ht="25.5" x14ac:dyDescent="0.2">
      <c r="B248" s="740" t="s">
        <v>1409</v>
      </c>
      <c r="C248" s="741"/>
      <c r="D248" s="309" t="s">
        <v>1690</v>
      </c>
      <c r="E248" s="309" t="s">
        <v>1689</v>
      </c>
      <c r="F248" s="309" t="s">
        <v>1688</v>
      </c>
      <c r="G248" s="67" t="s">
        <v>1687</v>
      </c>
      <c r="H248" s="388" t="s">
        <v>1686</v>
      </c>
    </row>
    <row r="249" spans="1:8" ht="14.25" x14ac:dyDescent="0.2">
      <c r="A249">
        <v>20001</v>
      </c>
      <c r="B249" s="235" t="s">
        <v>243</v>
      </c>
      <c r="C249" s="132"/>
      <c r="D249" s="236">
        <v>1</v>
      </c>
      <c r="E249" s="312">
        <v>3.0187499999999998</v>
      </c>
      <c r="F249" s="300">
        <v>3.0187499999999998</v>
      </c>
      <c r="G249" s="300">
        <v>2</v>
      </c>
      <c r="H249" s="56">
        <f>IF($A249=0,"",ROUND(G249*F249,2))</f>
        <v>6.04</v>
      </c>
    </row>
    <row r="250" spans="1:8" ht="14.25" x14ac:dyDescent="0.2">
      <c r="A250">
        <v>20017</v>
      </c>
      <c r="B250" s="235" t="s">
        <v>1488</v>
      </c>
      <c r="C250" s="132"/>
      <c r="D250" s="236">
        <v>1</v>
      </c>
      <c r="E250" s="312">
        <v>2.82</v>
      </c>
      <c r="F250" s="303">
        <v>2.82</v>
      </c>
      <c r="G250" s="303">
        <f>+G249</f>
        <v>2</v>
      </c>
      <c r="H250" s="56">
        <f>IF($A250=0,"",ROUND(G250*F250,2))</f>
        <v>5.64</v>
      </c>
    </row>
    <row r="251" spans="1:8" ht="14.25" x14ac:dyDescent="0.2">
      <c r="A251">
        <v>20011</v>
      </c>
      <c r="B251" s="235" t="s">
        <v>590</v>
      </c>
      <c r="C251" s="132"/>
      <c r="D251" s="236">
        <v>1</v>
      </c>
      <c r="E251" s="312">
        <v>2.82</v>
      </c>
      <c r="F251" s="303">
        <v>2.82</v>
      </c>
      <c r="G251" s="303">
        <f>+G250</f>
        <v>2</v>
      </c>
      <c r="H251" s="56">
        <f>IF($A251=0,"",ROUND(G251*F251,2))</f>
        <v>5.64</v>
      </c>
    </row>
    <row r="252" spans="1:8" x14ac:dyDescent="0.2">
      <c r="B252" s="313"/>
      <c r="C252" s="292"/>
      <c r="D252" s="311"/>
      <c r="E252" s="312"/>
      <c r="F252" s="303"/>
      <c r="G252" s="304"/>
      <c r="H252" s="386"/>
    </row>
    <row r="253" spans="1:8" x14ac:dyDescent="0.2">
      <c r="B253" s="314"/>
      <c r="C253" s="292"/>
      <c r="D253" s="311"/>
      <c r="E253" s="312"/>
      <c r="F253" s="303"/>
      <c r="G253" s="304"/>
      <c r="H253" s="386"/>
    </row>
    <row r="254" spans="1:8" x14ac:dyDescent="0.2">
      <c r="B254" s="302"/>
      <c r="C254" s="292"/>
      <c r="D254" s="303"/>
      <c r="E254" s="303"/>
      <c r="F254" s="303"/>
      <c r="G254" s="304"/>
      <c r="H254" s="386"/>
    </row>
    <row r="255" spans="1:8" x14ac:dyDescent="0.2">
      <c r="B255" s="305"/>
      <c r="C255" s="306"/>
      <c r="D255" s="307"/>
      <c r="E255" s="307"/>
      <c r="F255" s="307"/>
      <c r="G255" s="308"/>
      <c r="H255" s="387"/>
    </row>
    <row r="256" spans="1:8" ht="13.5" thickBot="1" x14ac:dyDescent="0.25">
      <c r="B256" s="742" t="s">
        <v>1685</v>
      </c>
      <c r="C256" s="743"/>
      <c r="D256" s="743"/>
      <c r="E256" s="743"/>
      <c r="F256" s="743"/>
      <c r="G256" s="744"/>
      <c r="H256" s="389">
        <f>SUM(H249:H255)</f>
        <v>17.32</v>
      </c>
    </row>
    <row r="257" spans="2:8" ht="13.5" thickBot="1" x14ac:dyDescent="0.25">
      <c r="B257" s="295" t="s">
        <v>1684</v>
      </c>
      <c r="C257" s="296"/>
      <c r="D257" s="296"/>
      <c r="E257" s="296"/>
      <c r="F257" s="296"/>
      <c r="G257" s="296"/>
      <c r="H257" s="384"/>
    </row>
    <row r="258" spans="2:8" ht="25.5" x14ac:dyDescent="0.2">
      <c r="B258" s="748" t="s">
        <v>1409</v>
      </c>
      <c r="C258" s="749"/>
      <c r="D258" s="750"/>
      <c r="E258" s="393" t="s">
        <v>1408</v>
      </c>
      <c r="F258" s="394" t="s">
        <v>1679</v>
      </c>
      <c r="G258" s="394" t="s">
        <v>1683</v>
      </c>
      <c r="H258" s="395" t="s">
        <v>1675</v>
      </c>
    </row>
    <row r="259" spans="2:8" x14ac:dyDescent="0.2">
      <c r="B259" s="294" t="s">
        <v>1895</v>
      </c>
      <c r="C259" s="292"/>
      <c r="D259" s="315"/>
      <c r="E259" s="316" t="s">
        <v>744</v>
      </c>
      <c r="F259" s="303">
        <v>1.8</v>
      </c>
      <c r="G259" s="303">
        <v>2.8440000000000003</v>
      </c>
      <c r="H259" s="386">
        <v>5.1192000000000011</v>
      </c>
    </row>
    <row r="260" spans="2:8" x14ac:dyDescent="0.2">
      <c r="B260" s="294" t="s">
        <v>1896</v>
      </c>
      <c r="C260" s="292"/>
      <c r="D260" s="315"/>
      <c r="E260" s="316" t="s">
        <v>1788</v>
      </c>
      <c r="F260" s="303">
        <v>18</v>
      </c>
      <c r="G260" s="303">
        <v>0.441</v>
      </c>
      <c r="H260" s="386">
        <v>7.9379999999999997</v>
      </c>
    </row>
    <row r="261" spans="2:8" x14ac:dyDescent="0.2">
      <c r="B261" s="294" t="s">
        <v>1897</v>
      </c>
      <c r="C261" s="292"/>
      <c r="D261" s="315"/>
      <c r="E261" s="316" t="s">
        <v>744</v>
      </c>
      <c r="F261" s="303">
        <v>1</v>
      </c>
      <c r="G261" s="303">
        <v>0.68400000000000005</v>
      </c>
      <c r="H261" s="386">
        <v>0.68400000000000005</v>
      </c>
    </row>
    <row r="262" spans="2:8" x14ac:dyDescent="0.2">
      <c r="B262" s="294" t="s">
        <v>1898</v>
      </c>
      <c r="C262" s="292"/>
      <c r="D262" s="315"/>
      <c r="E262" s="316" t="s">
        <v>744</v>
      </c>
      <c r="F262" s="303">
        <v>0.31</v>
      </c>
      <c r="G262" s="303">
        <v>0.36000000000000004</v>
      </c>
      <c r="H262" s="386">
        <v>0.11160000000000002</v>
      </c>
    </row>
    <row r="263" spans="2:8" x14ac:dyDescent="0.2">
      <c r="B263" s="294" t="s">
        <v>1899</v>
      </c>
      <c r="C263" s="292"/>
      <c r="D263" s="315"/>
      <c r="E263" s="316" t="s">
        <v>744</v>
      </c>
      <c r="F263" s="303">
        <v>0.13</v>
      </c>
      <c r="G263" s="303">
        <v>1.278</v>
      </c>
      <c r="H263" s="386">
        <v>0.16614000000000001</v>
      </c>
    </row>
    <row r="264" spans="2:8" x14ac:dyDescent="0.2">
      <c r="B264" s="294" t="s">
        <v>1900</v>
      </c>
      <c r="C264" s="292"/>
      <c r="D264" s="315"/>
      <c r="E264" s="316" t="s">
        <v>744</v>
      </c>
      <c r="F264" s="303">
        <v>2.4</v>
      </c>
      <c r="G264" s="303">
        <v>0.18000000000000002</v>
      </c>
      <c r="H264" s="386">
        <v>0.43200000000000005</v>
      </c>
    </row>
    <row r="265" spans="2:8" x14ac:dyDescent="0.2">
      <c r="B265" s="294" t="s">
        <v>1901</v>
      </c>
      <c r="C265" s="292"/>
      <c r="D265" s="315"/>
      <c r="E265" s="316" t="s">
        <v>744</v>
      </c>
      <c r="F265" s="303">
        <v>2.52</v>
      </c>
      <c r="G265" s="303">
        <v>0.216</v>
      </c>
      <c r="H265" s="386">
        <v>0.54432000000000003</v>
      </c>
    </row>
    <row r="266" spans="2:8" x14ac:dyDescent="0.2">
      <c r="B266" s="294" t="s">
        <v>1902</v>
      </c>
      <c r="C266" s="292"/>
      <c r="D266" s="315"/>
      <c r="E266" s="316" t="s">
        <v>744</v>
      </c>
      <c r="F266" s="303">
        <v>2.7</v>
      </c>
      <c r="G266" s="303">
        <v>4.5000000000000005E-2</v>
      </c>
      <c r="H266" s="386">
        <v>0.12150000000000002</v>
      </c>
    </row>
    <row r="267" spans="2:8" x14ac:dyDescent="0.2">
      <c r="B267" s="294" t="s">
        <v>1903</v>
      </c>
      <c r="C267" s="292"/>
      <c r="D267" s="315"/>
      <c r="E267" s="316" t="s">
        <v>744</v>
      </c>
      <c r="F267" s="303">
        <v>3.7</v>
      </c>
      <c r="G267" s="303">
        <v>6.3E-3</v>
      </c>
      <c r="H267" s="386">
        <v>2.3310000000000001E-2</v>
      </c>
    </row>
    <row r="268" spans="2:8" x14ac:dyDescent="0.2">
      <c r="B268" s="294" t="s">
        <v>1266</v>
      </c>
      <c r="C268" s="292"/>
      <c r="D268" s="315"/>
      <c r="E268" s="316" t="s">
        <v>1196</v>
      </c>
      <c r="F268" s="303">
        <v>0.18</v>
      </c>
      <c r="G268" s="303">
        <v>1.35</v>
      </c>
      <c r="H268" s="386">
        <v>0.24299999999999999</v>
      </c>
    </row>
    <row r="269" spans="2:8" x14ac:dyDescent="0.2">
      <c r="B269" s="294" t="s">
        <v>1904</v>
      </c>
      <c r="C269" s="292"/>
      <c r="D269" s="315"/>
      <c r="E269" s="316" t="s">
        <v>744</v>
      </c>
      <c r="F269" s="303">
        <v>5.7</v>
      </c>
      <c r="G269" s="303">
        <v>1.6199999999999999E-2</v>
      </c>
      <c r="H269" s="386">
        <v>9.2339999999999992E-2</v>
      </c>
    </row>
    <row r="270" spans="2:8" x14ac:dyDescent="0.2">
      <c r="B270" s="294" t="s">
        <v>1905</v>
      </c>
      <c r="C270" s="292"/>
      <c r="D270" s="315"/>
      <c r="E270" s="316" t="s">
        <v>744</v>
      </c>
      <c r="F270" s="303">
        <v>0.13100000000000001</v>
      </c>
      <c r="G270" s="303">
        <v>0.63900000000000001</v>
      </c>
      <c r="H270" s="386">
        <v>8.3709000000000006E-2</v>
      </c>
    </row>
    <row r="271" spans="2:8" x14ac:dyDescent="0.2">
      <c r="B271" s="294" t="s">
        <v>1906</v>
      </c>
      <c r="C271" s="292"/>
      <c r="D271" s="315"/>
      <c r="E271" s="316" t="s">
        <v>1788</v>
      </c>
      <c r="F271" s="303">
        <v>1.5</v>
      </c>
      <c r="G271" s="303">
        <v>0.57600000000000007</v>
      </c>
      <c r="H271" s="386">
        <v>0.8640000000000001</v>
      </c>
    </row>
    <row r="272" spans="2:8" x14ac:dyDescent="0.2">
      <c r="B272" s="294" t="s">
        <v>1907</v>
      </c>
      <c r="C272" s="292"/>
      <c r="D272" s="315"/>
      <c r="E272" s="316" t="s">
        <v>744</v>
      </c>
      <c r="F272" s="303">
        <v>1</v>
      </c>
      <c r="G272" s="303">
        <v>0.19800000000000001</v>
      </c>
      <c r="H272" s="386">
        <v>0.19800000000000001</v>
      </c>
    </row>
    <row r="273" spans="1:9" x14ac:dyDescent="0.2">
      <c r="B273" s="294"/>
      <c r="C273" s="292"/>
      <c r="D273" s="315"/>
      <c r="E273" s="316"/>
      <c r="F273" s="303"/>
      <c r="G273" s="303"/>
      <c r="H273" s="386"/>
    </row>
    <row r="274" spans="1:9" x14ac:dyDescent="0.2">
      <c r="B274" s="294"/>
      <c r="C274" s="292"/>
      <c r="D274" s="315"/>
      <c r="E274" s="316"/>
      <c r="F274" s="303"/>
      <c r="G274" s="303"/>
      <c r="H274" s="386"/>
    </row>
    <row r="275" spans="1:9" x14ac:dyDescent="0.2">
      <c r="B275" s="294"/>
      <c r="C275" s="292"/>
      <c r="D275" s="315"/>
      <c r="E275" s="316"/>
      <c r="F275" s="303"/>
      <c r="G275" s="303"/>
      <c r="H275" s="386"/>
    </row>
    <row r="276" spans="1:9" x14ac:dyDescent="0.2">
      <c r="B276" s="294"/>
      <c r="C276" s="292"/>
      <c r="D276" s="315"/>
      <c r="E276" s="316"/>
      <c r="F276" s="303"/>
      <c r="G276" s="303"/>
      <c r="H276" s="386"/>
    </row>
    <row r="277" spans="1:9" x14ac:dyDescent="0.2">
      <c r="B277" s="294"/>
      <c r="C277" s="292"/>
      <c r="D277" s="315"/>
      <c r="E277" s="316" t="s">
        <v>671</v>
      </c>
      <c r="F277" s="303" t="s">
        <v>671</v>
      </c>
      <c r="G277" s="303" t="s">
        <v>671</v>
      </c>
      <c r="H277" s="386" t="s">
        <v>671</v>
      </c>
    </row>
    <row r="278" spans="1:9" x14ac:dyDescent="0.2">
      <c r="B278" s="294"/>
      <c r="C278" s="292"/>
      <c r="D278" s="315"/>
      <c r="E278" s="303"/>
      <c r="F278" s="303"/>
      <c r="G278" s="303"/>
      <c r="H278" s="386"/>
    </row>
    <row r="279" spans="1:9" x14ac:dyDescent="0.2">
      <c r="B279" s="294"/>
      <c r="C279" s="292"/>
      <c r="D279" s="315"/>
      <c r="E279" s="303"/>
      <c r="F279" s="303"/>
      <c r="G279" s="303"/>
      <c r="H279" s="386"/>
    </row>
    <row r="280" spans="1:9" ht="13.5" thickBot="1" x14ac:dyDescent="0.25">
      <c r="B280" s="742" t="s">
        <v>1681</v>
      </c>
      <c r="C280" s="743"/>
      <c r="D280" s="743"/>
      <c r="E280" s="743"/>
      <c r="F280" s="743"/>
      <c r="G280" s="744"/>
      <c r="H280" s="389">
        <f>SUM(H259:H279)</f>
        <v>16.621119000000004</v>
      </c>
    </row>
    <row r="281" spans="1:9" ht="13.5" thickBot="1" x14ac:dyDescent="0.25">
      <c r="B281" s="295" t="s">
        <v>1680</v>
      </c>
      <c r="C281" s="296"/>
      <c r="D281" s="296"/>
      <c r="E281" s="296"/>
      <c r="F281" s="296"/>
      <c r="G281" s="296"/>
      <c r="H281" s="384"/>
    </row>
    <row r="282" spans="1:9" ht="25.5" x14ac:dyDescent="0.2">
      <c r="B282" s="390" t="s">
        <v>1409</v>
      </c>
      <c r="C282" s="391"/>
      <c r="D282" s="392"/>
      <c r="E282" s="309" t="s">
        <v>1408</v>
      </c>
      <c r="F282" s="309" t="s">
        <v>1679</v>
      </c>
      <c r="G282" s="309" t="s">
        <v>1676</v>
      </c>
      <c r="H282" s="388" t="s">
        <v>1675</v>
      </c>
    </row>
    <row r="283" spans="1:9" x14ac:dyDescent="0.2">
      <c r="B283" s="298" t="s">
        <v>975</v>
      </c>
      <c r="C283" s="299"/>
      <c r="D283" s="396"/>
      <c r="E283" s="316" t="s">
        <v>744</v>
      </c>
      <c r="F283" s="303">
        <v>3.9574092857142862E-2</v>
      </c>
      <c r="G283" s="382">
        <v>12.6</v>
      </c>
      <c r="H283" s="386">
        <v>0.49863357000000003</v>
      </c>
    </row>
    <row r="284" spans="1:9" x14ac:dyDescent="0.2">
      <c r="B284" s="302"/>
      <c r="C284" s="292"/>
      <c r="D284" s="317"/>
      <c r="E284" s="316"/>
      <c r="F284" s="303"/>
      <c r="G284" s="303"/>
      <c r="H284" s="386"/>
    </row>
    <row r="285" spans="1:9" x14ac:dyDescent="0.2">
      <c r="B285" s="305"/>
      <c r="C285" s="306"/>
      <c r="D285" s="318"/>
      <c r="E285" s="319"/>
      <c r="F285" s="307"/>
      <c r="G285" s="307"/>
      <c r="H285" s="387"/>
    </row>
    <row r="286" spans="1:9" ht="13.5" thickBot="1" x14ac:dyDescent="0.25">
      <c r="B286" s="742" t="s">
        <v>1674</v>
      </c>
      <c r="C286" s="743"/>
      <c r="D286" s="743"/>
      <c r="E286" s="743"/>
      <c r="F286" s="743"/>
      <c r="G286" s="744"/>
      <c r="H286" s="397">
        <f>SUM(H283:H285)</f>
        <v>0.49863357000000003</v>
      </c>
    </row>
    <row r="287" spans="1:9" x14ac:dyDescent="0.2">
      <c r="B287" s="292"/>
      <c r="C287" s="292"/>
      <c r="D287" s="320" t="s">
        <v>1673</v>
      </c>
      <c r="E287" s="321"/>
      <c r="F287" s="321"/>
      <c r="G287" s="321"/>
      <c r="H287" s="331">
        <f>H246+H256+H280+H286</f>
        <v>35.309752570000008</v>
      </c>
    </row>
    <row r="288" spans="1:9" s="1" customFormat="1" ht="15.75" x14ac:dyDescent="0.25">
      <c r="A288" s="103">
        <v>40002</v>
      </c>
      <c r="B288" s="2"/>
      <c r="C288" s="2"/>
      <c r="D288" s="93" t="s">
        <v>1672</v>
      </c>
      <c r="E288" s="65"/>
      <c r="F288" s="65"/>
      <c r="G288" s="94">
        <f>IF($A288=0,"",VLOOKUP($A288,'BASE MATERIAL'!$M:$P,4))</f>
        <v>0</v>
      </c>
      <c r="H288" s="95">
        <f>IF($A288=0,"",ROUND(G288*H287,2))</f>
        <v>0</v>
      </c>
      <c r="I288" s="2"/>
    </row>
    <row r="289" spans="1:9" s="1" customFormat="1" ht="15.75" x14ac:dyDescent="0.25">
      <c r="A289" s="103">
        <v>40003</v>
      </c>
      <c r="B289" s="2"/>
      <c r="C289" s="2"/>
      <c r="D289" s="93" t="s">
        <v>1671</v>
      </c>
      <c r="E289" s="65"/>
      <c r="F289" s="65"/>
      <c r="G289" s="94">
        <f>IF($A289=0,"",VLOOKUP($A289,'BASE MATERIAL'!$M:$P,4))</f>
        <v>0</v>
      </c>
      <c r="H289" s="95">
        <f>IF($A289=0,"",ROUND(G289*H287,2))</f>
        <v>0</v>
      </c>
      <c r="I289" s="2"/>
    </row>
    <row r="290" spans="1:9" s="1" customFormat="1" ht="15.75" x14ac:dyDescent="0.25">
      <c r="A290" s="103"/>
      <c r="B290" s="2"/>
      <c r="C290" s="2"/>
      <c r="D290" s="93" t="s">
        <v>1670</v>
      </c>
      <c r="E290" s="65"/>
      <c r="F290" s="65"/>
      <c r="G290" s="65"/>
      <c r="H290" s="96">
        <f>ROUND(SUM(H287:H289),2)</f>
        <v>35.31</v>
      </c>
      <c r="I290" s="2"/>
    </row>
    <row r="291" spans="1:9" s="1" customFormat="1" ht="16.5" thickBot="1" x14ac:dyDescent="0.3">
      <c r="A291" s="103"/>
      <c r="B291" s="25"/>
      <c r="C291" s="2"/>
      <c r="D291" s="97" t="s">
        <v>1650</v>
      </c>
      <c r="E291" s="88"/>
      <c r="F291" s="88"/>
      <c r="G291" s="88"/>
      <c r="H291" s="98">
        <f>ROUND(H290,2)</f>
        <v>35.31</v>
      </c>
      <c r="I291" s="2"/>
    </row>
    <row r="292" spans="1:9" x14ac:dyDescent="0.2">
      <c r="B292" s="294"/>
      <c r="C292" s="294"/>
      <c r="D292" s="294"/>
      <c r="E292" s="294"/>
      <c r="F292" s="294"/>
      <c r="G292" s="294"/>
      <c r="H292" s="294"/>
    </row>
    <row r="293" spans="1:9" x14ac:dyDescent="0.2">
      <c r="B293" s="294"/>
      <c r="C293" s="294"/>
      <c r="D293" s="294"/>
      <c r="E293" s="294"/>
      <c r="F293" s="294"/>
      <c r="G293" s="294"/>
      <c r="H293" s="294"/>
    </row>
    <row r="294" spans="1:9" x14ac:dyDescent="0.2">
      <c r="B294" s="294"/>
      <c r="C294" s="294"/>
      <c r="D294" s="294"/>
      <c r="E294" s="294"/>
      <c r="F294" s="294"/>
      <c r="G294" s="294"/>
      <c r="H294" s="294"/>
    </row>
    <row r="295" spans="1:9" x14ac:dyDescent="0.2">
      <c r="B295" s="292" t="s">
        <v>1889</v>
      </c>
      <c r="C295" s="292" t="s">
        <v>1890</v>
      </c>
      <c r="D295" s="292"/>
      <c r="E295" s="292"/>
      <c r="F295" s="292"/>
      <c r="G295" s="292"/>
      <c r="H295" s="292" t="s">
        <v>1891</v>
      </c>
    </row>
    <row r="296" spans="1:9" x14ac:dyDescent="0.2">
      <c r="B296" s="292" t="s">
        <v>1700</v>
      </c>
      <c r="C296" s="292" t="s">
        <v>1892</v>
      </c>
      <c r="D296" s="292"/>
      <c r="E296" s="292"/>
      <c r="F296" s="292"/>
      <c r="G296" s="382"/>
      <c r="H296" s="315"/>
    </row>
    <row r="297" spans="1:9" x14ac:dyDescent="0.2">
      <c r="B297" s="292"/>
      <c r="C297" s="292"/>
      <c r="D297" s="292"/>
      <c r="E297" s="292"/>
      <c r="F297" s="292"/>
      <c r="G297" s="292"/>
      <c r="H297" s="292"/>
    </row>
    <row r="298" spans="1:9" x14ac:dyDescent="0.2">
      <c r="B298" s="738" t="s">
        <v>1697</v>
      </c>
      <c r="C298" s="739"/>
      <c r="D298" s="739"/>
      <c r="E298" s="739"/>
      <c r="F298" s="739"/>
      <c r="G298" s="739"/>
      <c r="H298" s="739"/>
    </row>
    <row r="299" spans="1:9" x14ac:dyDescent="0.2">
      <c r="B299" s="292" t="s">
        <v>1586</v>
      </c>
      <c r="C299" s="293">
        <v>3.081</v>
      </c>
      <c r="D299" s="292"/>
      <c r="E299" s="292"/>
      <c r="F299" s="292"/>
      <c r="G299" s="292" t="s">
        <v>1696</v>
      </c>
      <c r="H299" s="315" t="s">
        <v>744</v>
      </c>
    </row>
    <row r="300" spans="1:9" x14ac:dyDescent="0.2">
      <c r="B300" s="292" t="s">
        <v>1585</v>
      </c>
      <c r="C300" s="294" t="s">
        <v>1908</v>
      </c>
      <c r="D300" s="292"/>
      <c r="E300" s="292"/>
      <c r="F300" s="292"/>
      <c r="G300" s="292"/>
      <c r="H300" s="292"/>
    </row>
    <row r="301" spans="1:9" ht="13.5" thickBot="1" x14ac:dyDescent="0.25">
      <c r="B301" s="292"/>
      <c r="C301" s="292"/>
      <c r="D301" s="292"/>
      <c r="E301" s="292"/>
      <c r="F301" s="292"/>
      <c r="G301" s="292"/>
      <c r="H301" s="292"/>
    </row>
    <row r="302" spans="1:9" ht="13.5" thickBot="1" x14ac:dyDescent="0.25">
      <c r="B302" s="295" t="s">
        <v>1695</v>
      </c>
      <c r="C302" s="296"/>
      <c r="D302" s="296"/>
      <c r="E302" s="296"/>
      <c r="F302" s="296"/>
      <c r="G302" s="296"/>
      <c r="H302" s="384"/>
    </row>
    <row r="303" spans="1:9" ht="25.5" x14ac:dyDescent="0.2">
      <c r="B303" s="740" t="s">
        <v>1409</v>
      </c>
      <c r="C303" s="741"/>
      <c r="D303" s="297" t="s">
        <v>1690</v>
      </c>
      <c r="E303" s="297" t="s">
        <v>1694</v>
      </c>
      <c r="F303" s="297" t="s">
        <v>1693</v>
      </c>
      <c r="G303" s="49" t="s">
        <v>1687</v>
      </c>
      <c r="H303" s="385" t="s">
        <v>1686</v>
      </c>
    </row>
    <row r="304" spans="1:9" ht="15" x14ac:dyDescent="0.25">
      <c r="A304" s="103">
        <v>19016</v>
      </c>
      <c r="B304" s="298" t="s">
        <v>1468</v>
      </c>
      <c r="C304" s="299"/>
      <c r="D304" s="300">
        <v>1</v>
      </c>
      <c r="E304" s="53">
        <f>IF($A304=0,"",VLOOKUP($A304,'BASE EQUIPO'!$A:$D,4)*H320)</f>
        <v>0.8660000000000001</v>
      </c>
      <c r="F304" s="53">
        <f>IF($A304=0,"",ROUND(D304*E304,2))</f>
        <v>0.87</v>
      </c>
      <c r="G304" s="301">
        <v>1</v>
      </c>
      <c r="H304" s="54">
        <f>IF($A304=0,"",ROUND(G304*F304,2))</f>
        <v>0.87</v>
      </c>
    </row>
    <row r="305" spans="1:8" x14ac:dyDescent="0.2">
      <c r="B305" s="302"/>
      <c r="C305" s="292"/>
      <c r="D305" s="303"/>
      <c r="E305" s="303"/>
      <c r="F305" s="303"/>
      <c r="G305" s="304"/>
      <c r="H305" s="386"/>
    </row>
    <row r="306" spans="1:8" x14ac:dyDescent="0.2">
      <c r="B306" s="302"/>
      <c r="C306" s="292"/>
      <c r="D306" s="303"/>
      <c r="E306" s="303"/>
      <c r="F306" s="303"/>
      <c r="G306" s="304"/>
      <c r="H306" s="386"/>
    </row>
    <row r="307" spans="1:8" x14ac:dyDescent="0.2">
      <c r="B307" s="302"/>
      <c r="C307" s="292"/>
      <c r="D307" s="303"/>
      <c r="E307" s="303"/>
      <c r="F307" s="303"/>
      <c r="G307" s="304"/>
      <c r="H307" s="386"/>
    </row>
    <row r="308" spans="1:8" x14ac:dyDescent="0.2">
      <c r="B308" s="302"/>
      <c r="C308" s="292"/>
      <c r="D308" s="303"/>
      <c r="E308" s="303"/>
      <c r="F308" s="303"/>
      <c r="G308" s="304"/>
      <c r="H308" s="386"/>
    </row>
    <row r="309" spans="1:8" x14ac:dyDescent="0.2">
      <c r="B309" s="305"/>
      <c r="C309" s="306"/>
      <c r="D309" s="307"/>
      <c r="E309" s="307"/>
      <c r="F309" s="307"/>
      <c r="G309" s="308"/>
      <c r="H309" s="387"/>
    </row>
    <row r="310" spans="1:8" ht="13.5" thickBot="1" x14ac:dyDescent="0.25">
      <c r="B310" s="742" t="s">
        <v>1692</v>
      </c>
      <c r="C310" s="743"/>
      <c r="D310" s="743"/>
      <c r="E310" s="743"/>
      <c r="F310" s="743"/>
      <c r="G310" s="744"/>
      <c r="H310" s="387">
        <f>SUM(H304:H309)</f>
        <v>0.87</v>
      </c>
    </row>
    <row r="311" spans="1:8" ht="13.5" thickBot="1" x14ac:dyDescent="0.25">
      <c r="B311" s="295" t="s">
        <v>1503</v>
      </c>
      <c r="C311" s="296"/>
      <c r="D311" s="296"/>
      <c r="E311" s="296"/>
      <c r="F311" s="296"/>
      <c r="G311" s="296"/>
      <c r="H311" s="384"/>
    </row>
    <row r="312" spans="1:8" ht="25.5" x14ac:dyDescent="0.2">
      <c r="B312" s="740" t="s">
        <v>1409</v>
      </c>
      <c r="C312" s="741"/>
      <c r="D312" s="309" t="s">
        <v>1690</v>
      </c>
      <c r="E312" s="309" t="s">
        <v>1689</v>
      </c>
      <c r="F312" s="309" t="s">
        <v>1688</v>
      </c>
      <c r="G312" s="67" t="s">
        <v>1687</v>
      </c>
      <c r="H312" s="388" t="s">
        <v>1686</v>
      </c>
    </row>
    <row r="313" spans="1:8" ht="14.25" x14ac:dyDescent="0.2">
      <c r="A313">
        <v>20001</v>
      </c>
      <c r="B313" s="235" t="s">
        <v>243</v>
      </c>
      <c r="C313" s="132"/>
      <c r="D313" s="236">
        <v>1</v>
      </c>
      <c r="E313" s="312">
        <v>3.0187499999999998</v>
      </c>
      <c r="F313" s="300">
        <v>3.0187499999999998</v>
      </c>
      <c r="G313" s="300">
        <v>2</v>
      </c>
      <c r="H313" s="56">
        <f>IF($A313=0,"",ROUND(G313*F313,2))</f>
        <v>6.04</v>
      </c>
    </row>
    <row r="314" spans="1:8" ht="14.25" x14ac:dyDescent="0.2">
      <c r="A314">
        <v>20017</v>
      </c>
      <c r="B314" s="235" t="s">
        <v>1488</v>
      </c>
      <c r="C314" s="132"/>
      <c r="D314" s="236">
        <v>1</v>
      </c>
      <c r="E314" s="312">
        <v>2.82</v>
      </c>
      <c r="F314" s="303">
        <v>2.82</v>
      </c>
      <c r="G314" s="303">
        <f>+G313</f>
        <v>2</v>
      </c>
      <c r="H314" s="56">
        <f>IF($A314=0,"",ROUND(G314*F314,2))</f>
        <v>5.64</v>
      </c>
    </row>
    <row r="315" spans="1:8" ht="14.25" x14ac:dyDescent="0.2">
      <c r="A315">
        <v>20011</v>
      </c>
      <c r="B315" s="235" t="s">
        <v>590</v>
      </c>
      <c r="C315" s="132"/>
      <c r="D315" s="236">
        <v>1</v>
      </c>
      <c r="E315" s="312">
        <v>2.82</v>
      </c>
      <c r="F315" s="303">
        <v>2.82</v>
      </c>
      <c r="G315" s="303">
        <f>+G314</f>
        <v>2</v>
      </c>
      <c r="H315" s="56">
        <f>IF($A315=0,"",ROUND(G315*F315,2))</f>
        <v>5.64</v>
      </c>
    </row>
    <row r="316" spans="1:8" x14ac:dyDescent="0.2">
      <c r="B316" s="313"/>
      <c r="C316" s="292"/>
      <c r="D316" s="311"/>
      <c r="E316" s="312"/>
      <c r="F316" s="303"/>
      <c r="G316" s="304"/>
      <c r="H316" s="386"/>
    </row>
    <row r="317" spans="1:8" x14ac:dyDescent="0.2">
      <c r="B317" s="314"/>
      <c r="C317" s="292"/>
      <c r="D317" s="311"/>
      <c r="E317" s="312"/>
      <c r="F317" s="303"/>
      <c r="G317" s="304"/>
      <c r="H317" s="386"/>
    </row>
    <row r="318" spans="1:8" x14ac:dyDescent="0.2">
      <c r="B318" s="302"/>
      <c r="C318" s="292"/>
      <c r="D318" s="303"/>
      <c r="E318" s="303"/>
      <c r="F318" s="303"/>
      <c r="G318" s="304"/>
      <c r="H318" s="386"/>
    </row>
    <row r="319" spans="1:8" x14ac:dyDescent="0.2">
      <c r="B319" s="305"/>
      <c r="C319" s="306"/>
      <c r="D319" s="307"/>
      <c r="E319" s="307"/>
      <c r="F319" s="307"/>
      <c r="G319" s="308"/>
      <c r="H319" s="387"/>
    </row>
    <row r="320" spans="1:8" ht="13.5" thickBot="1" x14ac:dyDescent="0.25">
      <c r="B320" s="742" t="s">
        <v>1685</v>
      </c>
      <c r="C320" s="743"/>
      <c r="D320" s="743"/>
      <c r="E320" s="743"/>
      <c r="F320" s="743"/>
      <c r="G320" s="744"/>
      <c r="H320" s="389">
        <f>SUM(H313:H319)</f>
        <v>17.32</v>
      </c>
    </row>
    <row r="321" spans="2:8" ht="13.5" thickBot="1" x14ac:dyDescent="0.25">
      <c r="B321" s="295" t="s">
        <v>1684</v>
      </c>
      <c r="C321" s="296"/>
      <c r="D321" s="296"/>
      <c r="E321" s="296"/>
      <c r="F321" s="296"/>
      <c r="G321" s="296"/>
      <c r="H321" s="384"/>
    </row>
    <row r="322" spans="2:8" ht="25.5" x14ac:dyDescent="0.2">
      <c r="B322" s="748" t="s">
        <v>1409</v>
      </c>
      <c r="C322" s="749"/>
      <c r="D322" s="750"/>
      <c r="E322" s="393" t="s">
        <v>1408</v>
      </c>
      <c r="F322" s="394" t="s">
        <v>1679</v>
      </c>
      <c r="G322" s="394" t="s">
        <v>1683</v>
      </c>
      <c r="H322" s="395" t="s">
        <v>1675</v>
      </c>
    </row>
    <row r="323" spans="2:8" x14ac:dyDescent="0.2">
      <c r="B323" s="294" t="s">
        <v>1895</v>
      </c>
      <c r="C323" s="292"/>
      <c r="D323" s="315"/>
      <c r="E323" s="316" t="s">
        <v>744</v>
      </c>
      <c r="F323" s="303">
        <v>2.5</v>
      </c>
      <c r="G323" s="303">
        <v>2.8440000000000003</v>
      </c>
      <c r="H323" s="386">
        <v>7.1100000000000012</v>
      </c>
    </row>
    <row r="324" spans="2:8" x14ac:dyDescent="0.2">
      <c r="B324" s="294" t="s">
        <v>1909</v>
      </c>
      <c r="C324" s="292"/>
      <c r="D324" s="315"/>
      <c r="E324" s="316" t="s">
        <v>1788</v>
      </c>
      <c r="F324" s="303">
        <v>20</v>
      </c>
      <c r="G324" s="303">
        <v>0.441</v>
      </c>
      <c r="H324" s="386">
        <v>8.82</v>
      </c>
    </row>
    <row r="325" spans="2:8" x14ac:dyDescent="0.2">
      <c r="B325" s="294" t="s">
        <v>1910</v>
      </c>
      <c r="C325" s="292"/>
      <c r="D325" s="315"/>
      <c r="E325" s="316" t="s">
        <v>1788</v>
      </c>
      <c r="F325" s="303">
        <v>10</v>
      </c>
      <c r="G325" s="303">
        <v>0.27</v>
      </c>
      <c r="H325" s="386">
        <v>2.7</v>
      </c>
    </row>
    <row r="326" spans="2:8" x14ac:dyDescent="0.2">
      <c r="B326" s="294" t="s">
        <v>1898</v>
      </c>
      <c r="C326" s="292"/>
      <c r="D326" s="315"/>
      <c r="E326" s="316" t="s">
        <v>744</v>
      </c>
      <c r="F326" s="303">
        <v>1</v>
      </c>
      <c r="G326" s="303">
        <v>0.36000000000000004</v>
      </c>
      <c r="H326" s="386">
        <v>0.36000000000000004</v>
      </c>
    </row>
    <row r="327" spans="2:8" x14ac:dyDescent="0.2">
      <c r="B327" s="294" t="s">
        <v>1911</v>
      </c>
      <c r="C327" s="292"/>
      <c r="D327" s="315"/>
      <c r="E327" s="316" t="s">
        <v>744</v>
      </c>
      <c r="F327" s="303">
        <v>1</v>
      </c>
      <c r="G327" s="303">
        <v>2.718</v>
      </c>
      <c r="H327" s="386">
        <v>2.718</v>
      </c>
    </row>
    <row r="328" spans="2:8" x14ac:dyDescent="0.2">
      <c r="B328" s="294" t="s">
        <v>1900</v>
      </c>
      <c r="C328" s="292"/>
      <c r="D328" s="315"/>
      <c r="E328" s="316" t="s">
        <v>744</v>
      </c>
      <c r="F328" s="303">
        <v>4</v>
      </c>
      <c r="G328" s="303">
        <v>0.18000000000000002</v>
      </c>
      <c r="H328" s="386">
        <v>0.72000000000000008</v>
      </c>
    </row>
    <row r="329" spans="2:8" x14ac:dyDescent="0.2">
      <c r="B329" s="294" t="s">
        <v>1901</v>
      </c>
      <c r="C329" s="292"/>
      <c r="D329" s="315"/>
      <c r="E329" s="316" t="s">
        <v>744</v>
      </c>
      <c r="F329" s="303">
        <v>3</v>
      </c>
      <c r="G329" s="303">
        <v>0.216</v>
      </c>
      <c r="H329" s="386">
        <v>0.64800000000000002</v>
      </c>
    </row>
    <row r="330" spans="2:8" x14ac:dyDescent="0.2">
      <c r="B330" s="294" t="s">
        <v>1902</v>
      </c>
      <c r="C330" s="292"/>
      <c r="D330" s="315"/>
      <c r="E330" s="316" t="s">
        <v>744</v>
      </c>
      <c r="F330" s="303">
        <v>3.75</v>
      </c>
      <c r="G330" s="303">
        <v>4.5000000000000005E-2</v>
      </c>
      <c r="H330" s="386">
        <v>0.16875000000000001</v>
      </c>
    </row>
    <row r="331" spans="2:8" x14ac:dyDescent="0.2">
      <c r="B331" s="294" t="s">
        <v>1903</v>
      </c>
      <c r="C331" s="292"/>
      <c r="D331" s="315"/>
      <c r="E331" s="316" t="s">
        <v>744</v>
      </c>
      <c r="F331" s="303">
        <v>5.75</v>
      </c>
      <c r="G331" s="303">
        <v>6.3E-3</v>
      </c>
      <c r="H331" s="386">
        <v>3.6225E-2</v>
      </c>
    </row>
    <row r="332" spans="2:8" x14ac:dyDescent="0.2">
      <c r="B332" s="294" t="s">
        <v>1266</v>
      </c>
      <c r="C332" s="292"/>
      <c r="D332" s="315"/>
      <c r="E332" s="316" t="s">
        <v>1196</v>
      </c>
      <c r="F332" s="303">
        <v>0.25</v>
      </c>
      <c r="G332" s="303">
        <v>1.35</v>
      </c>
      <c r="H332" s="386">
        <v>0.33750000000000002</v>
      </c>
    </row>
    <row r="333" spans="2:8" x14ac:dyDescent="0.2">
      <c r="B333" s="294" t="s">
        <v>1904</v>
      </c>
      <c r="C333" s="292"/>
      <c r="D333" s="315"/>
      <c r="E333" s="316" t="s">
        <v>744</v>
      </c>
      <c r="F333" s="303">
        <v>4</v>
      </c>
      <c r="G333" s="303">
        <v>2.52E-2</v>
      </c>
      <c r="H333" s="386">
        <v>0.1008</v>
      </c>
    </row>
    <row r="334" spans="2:8" x14ac:dyDescent="0.2">
      <c r="B334" s="294" t="s">
        <v>1905</v>
      </c>
      <c r="C334" s="292"/>
      <c r="D334" s="315"/>
      <c r="E334" s="316" t="s">
        <v>744</v>
      </c>
      <c r="F334" s="303">
        <v>0.1</v>
      </c>
      <c r="G334" s="303">
        <v>0.63900000000000001</v>
      </c>
      <c r="H334" s="386">
        <v>6.3899999999999998E-2</v>
      </c>
    </row>
    <row r="335" spans="2:8" x14ac:dyDescent="0.2">
      <c r="B335" s="294" t="s">
        <v>1897</v>
      </c>
      <c r="C335" s="292"/>
      <c r="D335" s="315"/>
      <c r="E335" s="316" t="s">
        <v>744</v>
      </c>
      <c r="F335" s="303">
        <v>1</v>
      </c>
      <c r="G335" s="303">
        <v>0.68400000000000005</v>
      </c>
      <c r="H335" s="386">
        <v>0.68400000000000005</v>
      </c>
    </row>
    <row r="336" spans="2:8" x14ac:dyDescent="0.2">
      <c r="B336" s="294" t="s">
        <v>671</v>
      </c>
      <c r="C336" s="292"/>
      <c r="D336" s="315"/>
      <c r="E336" s="316" t="s">
        <v>671</v>
      </c>
      <c r="F336" s="303" t="s">
        <v>671</v>
      </c>
      <c r="G336" s="303" t="s">
        <v>671</v>
      </c>
      <c r="H336" s="386" t="s">
        <v>671</v>
      </c>
    </row>
    <row r="337" spans="1:9" x14ac:dyDescent="0.2">
      <c r="B337" s="294"/>
      <c r="C337" s="292"/>
      <c r="D337" s="315"/>
      <c r="E337" s="316"/>
      <c r="F337" s="303"/>
      <c r="G337" s="303"/>
      <c r="H337" s="386"/>
    </row>
    <row r="338" spans="1:9" x14ac:dyDescent="0.2">
      <c r="B338" s="294"/>
      <c r="C338" s="292"/>
      <c r="D338" s="315"/>
      <c r="E338" s="316"/>
      <c r="F338" s="303"/>
      <c r="G338" s="303"/>
      <c r="H338" s="386"/>
    </row>
    <row r="339" spans="1:9" x14ac:dyDescent="0.2">
      <c r="B339" s="294"/>
      <c r="C339" s="292"/>
      <c r="D339" s="315"/>
      <c r="E339" s="316"/>
      <c r="F339" s="303"/>
      <c r="G339" s="303"/>
      <c r="H339" s="386"/>
    </row>
    <row r="340" spans="1:9" x14ac:dyDescent="0.2">
      <c r="B340" s="294"/>
      <c r="C340" s="292"/>
      <c r="D340" s="315"/>
      <c r="E340" s="316"/>
      <c r="F340" s="303"/>
      <c r="G340" s="303"/>
      <c r="H340" s="386"/>
    </row>
    <row r="341" spans="1:9" x14ac:dyDescent="0.2">
      <c r="B341" s="294"/>
      <c r="C341" s="292"/>
      <c r="D341" s="315"/>
      <c r="E341" s="316"/>
      <c r="F341" s="303"/>
      <c r="G341" s="303"/>
      <c r="H341" s="386"/>
    </row>
    <row r="342" spans="1:9" x14ac:dyDescent="0.2">
      <c r="B342" s="294"/>
      <c r="C342" s="292"/>
      <c r="D342" s="315"/>
      <c r="E342" s="303"/>
      <c r="F342" s="303"/>
      <c r="G342" s="303"/>
      <c r="H342" s="386"/>
    </row>
    <row r="343" spans="1:9" x14ac:dyDescent="0.2">
      <c r="B343" s="294"/>
      <c r="C343" s="292"/>
      <c r="D343" s="315"/>
      <c r="E343" s="303"/>
      <c r="F343" s="303"/>
      <c r="G343" s="303"/>
      <c r="H343" s="386"/>
    </row>
    <row r="344" spans="1:9" ht="13.5" thickBot="1" x14ac:dyDescent="0.25">
      <c r="B344" s="742" t="s">
        <v>1681</v>
      </c>
      <c r="C344" s="743"/>
      <c r="D344" s="743"/>
      <c r="E344" s="743"/>
      <c r="F344" s="743"/>
      <c r="G344" s="744"/>
      <c r="H344" s="389">
        <f>SUM(H323:H343)</f>
        <v>24.467175000000001</v>
      </c>
    </row>
    <row r="345" spans="1:9" ht="13.5" thickBot="1" x14ac:dyDescent="0.25">
      <c r="B345" s="295" t="s">
        <v>1680</v>
      </c>
      <c r="C345" s="296"/>
      <c r="D345" s="296"/>
      <c r="E345" s="296"/>
      <c r="F345" s="296"/>
      <c r="G345" s="296"/>
      <c r="H345" s="384"/>
    </row>
    <row r="346" spans="1:9" ht="25.5" x14ac:dyDescent="0.2">
      <c r="B346" s="390" t="s">
        <v>1409</v>
      </c>
      <c r="C346" s="391"/>
      <c r="D346" s="392"/>
      <c r="E346" s="309" t="s">
        <v>1408</v>
      </c>
      <c r="F346" s="309" t="s">
        <v>1679</v>
      </c>
      <c r="G346" s="309" t="s">
        <v>1676</v>
      </c>
      <c r="H346" s="388" t="s">
        <v>1675</v>
      </c>
    </row>
    <row r="347" spans="1:9" x14ac:dyDescent="0.2">
      <c r="B347" s="298" t="s">
        <v>975</v>
      </c>
      <c r="C347" s="299"/>
      <c r="D347" s="396"/>
      <c r="E347" s="316" t="s">
        <v>744</v>
      </c>
      <c r="F347" s="303">
        <v>5.8255178571428576E-2</v>
      </c>
      <c r="G347" s="382">
        <v>12.6</v>
      </c>
      <c r="H347" s="386">
        <v>0.73401525000000001</v>
      </c>
    </row>
    <row r="348" spans="1:9" x14ac:dyDescent="0.2">
      <c r="B348" s="302"/>
      <c r="C348" s="292"/>
      <c r="D348" s="317"/>
      <c r="E348" s="316"/>
      <c r="F348" s="303"/>
      <c r="G348" s="303"/>
      <c r="H348" s="386"/>
    </row>
    <row r="349" spans="1:9" x14ac:dyDescent="0.2">
      <c r="B349" s="305"/>
      <c r="C349" s="306"/>
      <c r="D349" s="318"/>
      <c r="E349" s="319"/>
      <c r="F349" s="307"/>
      <c r="G349" s="307"/>
      <c r="H349" s="387"/>
    </row>
    <row r="350" spans="1:9" ht="13.5" thickBot="1" x14ac:dyDescent="0.25">
      <c r="B350" s="742" t="s">
        <v>1674</v>
      </c>
      <c r="C350" s="743"/>
      <c r="D350" s="743"/>
      <c r="E350" s="743"/>
      <c r="F350" s="743"/>
      <c r="G350" s="744"/>
      <c r="H350" s="397">
        <f>SUM(H347:H349)</f>
        <v>0.73401525000000001</v>
      </c>
    </row>
    <row r="351" spans="1:9" x14ac:dyDescent="0.2">
      <c r="B351" s="292"/>
      <c r="C351" s="292"/>
      <c r="D351" s="320" t="s">
        <v>1673</v>
      </c>
      <c r="E351" s="321"/>
      <c r="F351" s="321"/>
      <c r="G351" s="321"/>
      <c r="H351" s="331">
        <f>H310+H320+H344+H350</f>
        <v>43.391190250000001</v>
      </c>
    </row>
    <row r="352" spans="1:9" s="1" customFormat="1" ht="15.75" x14ac:dyDescent="0.25">
      <c r="A352" s="103">
        <v>40002</v>
      </c>
      <c r="B352" s="2"/>
      <c r="C352" s="2"/>
      <c r="D352" s="93" t="s">
        <v>1672</v>
      </c>
      <c r="E352" s="65"/>
      <c r="F352" s="65"/>
      <c r="G352" s="94">
        <f>IF($A352=0,"",VLOOKUP($A352,'BASE MATERIAL'!$M:$P,4))</f>
        <v>0</v>
      </c>
      <c r="H352" s="95">
        <f>IF($A352=0,"",ROUND(G352*H351,2))</f>
        <v>0</v>
      </c>
      <c r="I352" s="2"/>
    </row>
    <row r="353" spans="1:9" s="1" customFormat="1" ht="15.75" x14ac:dyDescent="0.25">
      <c r="A353" s="103">
        <v>40003</v>
      </c>
      <c r="B353" s="2"/>
      <c r="C353" s="2"/>
      <c r="D353" s="93" t="s">
        <v>1671</v>
      </c>
      <c r="E353" s="65"/>
      <c r="F353" s="65"/>
      <c r="G353" s="94">
        <f>IF($A353=0,"",VLOOKUP($A353,'BASE MATERIAL'!$M:$P,4))</f>
        <v>0</v>
      </c>
      <c r="H353" s="95">
        <f>IF($A353=0,"",ROUND(G353*H351,2))</f>
        <v>0</v>
      </c>
      <c r="I353" s="2"/>
    </row>
    <row r="354" spans="1:9" s="1" customFormat="1" ht="15.75" x14ac:dyDescent="0.25">
      <c r="A354" s="103"/>
      <c r="B354" s="2"/>
      <c r="C354" s="2"/>
      <c r="D354" s="93" t="s">
        <v>1670</v>
      </c>
      <c r="E354" s="65"/>
      <c r="F354" s="65"/>
      <c r="G354" s="65"/>
      <c r="H354" s="96">
        <f>ROUND(SUM(H351:H353),2)</f>
        <v>43.39</v>
      </c>
      <c r="I354" s="2"/>
    </row>
    <row r="355" spans="1:9" s="1" customFormat="1" ht="16.5" thickBot="1" x14ac:dyDescent="0.3">
      <c r="A355" s="103"/>
      <c r="B355" s="25"/>
      <c r="C355" s="2"/>
      <c r="D355" s="97" t="s">
        <v>1650</v>
      </c>
      <c r="E355" s="88"/>
      <c r="F355" s="88"/>
      <c r="G355" s="88"/>
      <c r="H355" s="98">
        <f>ROUND(H354,2)</f>
        <v>43.39</v>
      </c>
      <c r="I355" s="2"/>
    </row>
    <row r="356" spans="1:9" x14ac:dyDescent="0.2">
      <c r="B356" s="294"/>
      <c r="C356" s="294"/>
      <c r="D356" s="294"/>
      <c r="E356" s="294"/>
      <c r="F356" s="294"/>
      <c r="G356" s="294"/>
      <c r="H356" s="294"/>
    </row>
    <row r="357" spans="1:9" x14ac:dyDescent="0.2">
      <c r="B357" s="292" t="s">
        <v>1889</v>
      </c>
      <c r="C357" s="292" t="s">
        <v>1890</v>
      </c>
      <c r="D357" s="292"/>
      <c r="E357" s="292"/>
      <c r="F357" s="292"/>
      <c r="G357" s="292"/>
      <c r="H357" s="292" t="s">
        <v>1891</v>
      </c>
    </row>
    <row r="358" spans="1:9" x14ac:dyDescent="0.2">
      <c r="B358" s="292" t="s">
        <v>1700</v>
      </c>
      <c r="C358" s="292" t="s">
        <v>1892</v>
      </c>
      <c r="D358" s="292"/>
      <c r="E358" s="292"/>
      <c r="F358" s="292"/>
      <c r="G358" s="382"/>
      <c r="H358" s="315"/>
    </row>
    <row r="359" spans="1:9" x14ac:dyDescent="0.2">
      <c r="B359" s="292"/>
      <c r="C359" s="292"/>
      <c r="D359" s="292"/>
      <c r="E359" s="292"/>
      <c r="F359" s="292"/>
      <c r="G359" s="292"/>
      <c r="H359" s="292"/>
    </row>
    <row r="360" spans="1:9" x14ac:dyDescent="0.2">
      <c r="B360" s="738" t="s">
        <v>1697</v>
      </c>
      <c r="C360" s="739"/>
      <c r="D360" s="739"/>
      <c r="E360" s="739"/>
      <c r="F360" s="739"/>
      <c r="G360" s="739"/>
      <c r="H360" s="739"/>
    </row>
    <row r="361" spans="1:9" x14ac:dyDescent="0.2">
      <c r="B361" s="292" t="s">
        <v>1586</v>
      </c>
      <c r="C361" s="293">
        <v>3.0859999999999999</v>
      </c>
      <c r="D361" s="292"/>
      <c r="E361" s="292"/>
      <c r="F361" s="292"/>
      <c r="G361" s="292" t="s">
        <v>1696</v>
      </c>
      <c r="H361" s="315" t="s">
        <v>744</v>
      </c>
    </row>
    <row r="362" spans="1:9" x14ac:dyDescent="0.2">
      <c r="B362" s="292" t="s">
        <v>1585</v>
      </c>
      <c r="C362" s="294" t="s">
        <v>1935</v>
      </c>
      <c r="D362" s="292"/>
      <c r="E362" s="292"/>
      <c r="F362" s="292"/>
      <c r="G362" s="292"/>
      <c r="H362" s="292"/>
    </row>
    <row r="363" spans="1:9" ht="13.5" thickBot="1" x14ac:dyDescent="0.25">
      <c r="B363" s="292"/>
      <c r="C363" s="292"/>
      <c r="D363" s="292"/>
      <c r="E363" s="292"/>
      <c r="F363" s="292"/>
      <c r="G363" s="292"/>
      <c r="H363" s="292"/>
    </row>
    <row r="364" spans="1:9" ht="13.5" thickBot="1" x14ac:dyDescent="0.25">
      <c r="B364" s="295" t="s">
        <v>1695</v>
      </c>
      <c r="C364" s="296"/>
      <c r="D364" s="296"/>
      <c r="E364" s="296"/>
      <c r="F364" s="296"/>
      <c r="G364" s="296"/>
      <c r="H364" s="384"/>
    </row>
    <row r="365" spans="1:9" ht="25.5" x14ac:dyDescent="0.2">
      <c r="B365" s="740" t="s">
        <v>1409</v>
      </c>
      <c r="C365" s="741"/>
      <c r="D365" s="297" t="s">
        <v>1690</v>
      </c>
      <c r="E365" s="297" t="s">
        <v>1694</v>
      </c>
      <c r="F365" s="297" t="s">
        <v>1693</v>
      </c>
      <c r="G365" s="49" t="s">
        <v>1687</v>
      </c>
      <c r="H365" s="385" t="s">
        <v>1686</v>
      </c>
    </row>
    <row r="366" spans="1:9" s="1" customFormat="1" ht="15" x14ac:dyDescent="0.25">
      <c r="A366" s="103">
        <v>19015</v>
      </c>
      <c r="B366" s="51" t="str">
        <f>IF($A366=0,"",VLOOKUP($A366,'BASE EQUIPO'!$A:$D,2))</f>
        <v>HERRAMIENTA MENOR</v>
      </c>
      <c r="C366" s="52"/>
      <c r="D366" s="53">
        <v>1</v>
      </c>
      <c r="E366" s="53">
        <f>IF($A366=0,"",VLOOKUP($A366,'BASE EQUIPO'!$A:$D,4)*H382)</f>
        <v>0.77940000000000009</v>
      </c>
      <c r="F366" s="53">
        <f>IF($A366=0,"",ROUND(D366*E366,2))</f>
        <v>0.78</v>
      </c>
      <c r="G366" s="105">
        <v>1</v>
      </c>
      <c r="H366" s="54">
        <f>IF($A366=0,"",ROUND(G366*F366,2))</f>
        <v>0.78</v>
      </c>
      <c r="I366" s="2"/>
    </row>
    <row r="367" spans="1:9" x14ac:dyDescent="0.2">
      <c r="B367" s="302"/>
      <c r="C367" s="292"/>
      <c r="D367" s="303"/>
      <c r="E367" s="303"/>
      <c r="F367" s="303"/>
      <c r="G367" s="304"/>
      <c r="H367" s="386"/>
    </row>
    <row r="368" spans="1:9" x14ac:dyDescent="0.2">
      <c r="B368" s="302"/>
      <c r="C368" s="292"/>
      <c r="D368" s="303"/>
      <c r="E368" s="303"/>
      <c r="F368" s="303"/>
      <c r="G368" s="304"/>
      <c r="H368" s="386"/>
    </row>
    <row r="369" spans="1:8" x14ac:dyDescent="0.2">
      <c r="B369" s="302"/>
      <c r="C369" s="292"/>
      <c r="D369" s="303"/>
      <c r="E369" s="303"/>
      <c r="F369" s="303"/>
      <c r="G369" s="304"/>
      <c r="H369" s="386"/>
    </row>
    <row r="370" spans="1:8" x14ac:dyDescent="0.2">
      <c r="B370" s="302"/>
      <c r="C370" s="292"/>
      <c r="D370" s="303"/>
      <c r="E370" s="303"/>
      <c r="F370" s="303"/>
      <c r="G370" s="304"/>
      <c r="H370" s="386"/>
    </row>
    <row r="371" spans="1:8" x14ac:dyDescent="0.2">
      <c r="B371" s="305"/>
      <c r="C371" s="306"/>
      <c r="D371" s="307"/>
      <c r="E371" s="307"/>
      <c r="F371" s="307"/>
      <c r="G371" s="308"/>
      <c r="H371" s="387"/>
    </row>
    <row r="372" spans="1:8" ht="13.5" thickBot="1" x14ac:dyDescent="0.25">
      <c r="B372" s="742" t="s">
        <v>1692</v>
      </c>
      <c r="C372" s="743"/>
      <c r="D372" s="743"/>
      <c r="E372" s="743"/>
      <c r="F372" s="743"/>
      <c r="G372" s="744"/>
      <c r="H372" s="387">
        <f>SUM(H366:H371)</f>
        <v>0.78</v>
      </c>
    </row>
    <row r="373" spans="1:8" ht="13.5" thickBot="1" x14ac:dyDescent="0.25">
      <c r="B373" s="295" t="s">
        <v>1503</v>
      </c>
      <c r="C373" s="296"/>
      <c r="D373" s="296"/>
      <c r="E373" s="296"/>
      <c r="F373" s="296"/>
      <c r="G373" s="296"/>
      <c r="H373" s="384"/>
    </row>
    <row r="374" spans="1:8" ht="25.5" x14ac:dyDescent="0.2">
      <c r="B374" s="740" t="s">
        <v>1409</v>
      </c>
      <c r="C374" s="741"/>
      <c r="D374" s="309" t="s">
        <v>1690</v>
      </c>
      <c r="E374" s="309" t="s">
        <v>1689</v>
      </c>
      <c r="F374" s="309" t="s">
        <v>1688</v>
      </c>
      <c r="G374" s="67" t="s">
        <v>1687</v>
      </c>
      <c r="H374" s="388" t="s">
        <v>1686</v>
      </c>
    </row>
    <row r="375" spans="1:8" ht="15" x14ac:dyDescent="0.25">
      <c r="A375" s="103">
        <v>20001</v>
      </c>
      <c r="B375" s="310" t="s">
        <v>243</v>
      </c>
      <c r="C375" s="292"/>
      <c r="D375" s="311">
        <v>1</v>
      </c>
      <c r="E375" s="312">
        <v>3.0187499999999998</v>
      </c>
      <c r="F375" s="300">
        <v>3.0187499999999998</v>
      </c>
      <c r="G375" s="300">
        <v>3</v>
      </c>
      <c r="H375" s="301">
        <f t="shared" ref="H375:H381" si="2">IF($A375=0,"",ROUND(F375*G375,2))</f>
        <v>9.06</v>
      </c>
    </row>
    <row r="376" spans="1:8" ht="15" x14ac:dyDescent="0.25">
      <c r="A376" s="103">
        <v>20016</v>
      </c>
      <c r="B376" s="310" t="s">
        <v>1488</v>
      </c>
      <c r="C376" s="292"/>
      <c r="D376" s="311">
        <v>1</v>
      </c>
      <c r="E376" s="312">
        <v>2.82</v>
      </c>
      <c r="F376" s="303">
        <v>2.82</v>
      </c>
      <c r="G376" s="303">
        <f>+G375</f>
        <v>3</v>
      </c>
      <c r="H376" s="386">
        <f t="shared" si="2"/>
        <v>8.4600000000000009</v>
      </c>
    </row>
    <row r="377" spans="1:8" ht="15" x14ac:dyDescent="0.25">
      <c r="A377" s="103">
        <v>20011</v>
      </c>
      <c r="B377" s="310" t="s">
        <v>1787</v>
      </c>
      <c r="C377" s="292"/>
      <c r="D377" s="311">
        <v>1</v>
      </c>
      <c r="E377" s="312">
        <v>2.82</v>
      </c>
      <c r="F377" s="303">
        <v>2.82</v>
      </c>
      <c r="G377" s="303">
        <f>+G376</f>
        <v>3</v>
      </c>
      <c r="H377" s="386">
        <f t="shared" si="2"/>
        <v>8.4600000000000009</v>
      </c>
    </row>
    <row r="378" spans="1:8" x14ac:dyDescent="0.2">
      <c r="B378" s="313"/>
      <c r="C378" s="292"/>
      <c r="D378" s="311"/>
      <c r="E378" s="312"/>
      <c r="F378" s="303"/>
      <c r="G378" s="304"/>
      <c r="H378" s="386" t="str">
        <f t="shared" si="2"/>
        <v/>
      </c>
    </row>
    <row r="379" spans="1:8" x14ac:dyDescent="0.2">
      <c r="B379" s="314"/>
      <c r="C379" s="292"/>
      <c r="D379" s="311"/>
      <c r="E379" s="312"/>
      <c r="F379" s="303"/>
      <c r="G379" s="304"/>
      <c r="H379" s="386" t="str">
        <f t="shared" si="2"/>
        <v/>
      </c>
    </row>
    <row r="380" spans="1:8" x14ac:dyDescent="0.2">
      <c r="B380" s="302"/>
      <c r="C380" s="292"/>
      <c r="D380" s="303"/>
      <c r="E380" s="303"/>
      <c r="F380" s="303"/>
      <c r="G380" s="304"/>
      <c r="H380" s="386" t="str">
        <f t="shared" si="2"/>
        <v/>
      </c>
    </row>
    <row r="381" spans="1:8" x14ac:dyDescent="0.2">
      <c r="B381" s="305"/>
      <c r="C381" s="306"/>
      <c r="D381" s="307"/>
      <c r="E381" s="307"/>
      <c r="F381" s="307"/>
      <c r="G381" s="308"/>
      <c r="H381" s="387" t="str">
        <f t="shared" si="2"/>
        <v/>
      </c>
    </row>
    <row r="382" spans="1:8" ht="13.5" thickBot="1" x14ac:dyDescent="0.25">
      <c r="B382" s="742" t="s">
        <v>1685</v>
      </c>
      <c r="C382" s="743"/>
      <c r="D382" s="743"/>
      <c r="E382" s="743"/>
      <c r="F382" s="743"/>
      <c r="G382" s="744"/>
      <c r="H382" s="389">
        <f>SUM(H375:H381)</f>
        <v>25.980000000000004</v>
      </c>
    </row>
    <row r="383" spans="1:8" ht="13.5" thickBot="1" x14ac:dyDescent="0.25">
      <c r="B383" s="295" t="s">
        <v>1684</v>
      </c>
      <c r="C383" s="296"/>
      <c r="D383" s="296"/>
      <c r="E383" s="296"/>
      <c r="F383" s="296"/>
      <c r="G383" s="296"/>
      <c r="H383" s="384"/>
    </row>
    <row r="384" spans="1:8" ht="25.5" x14ac:dyDescent="0.2">
      <c r="B384" s="748" t="s">
        <v>1409</v>
      </c>
      <c r="C384" s="749"/>
      <c r="D384" s="750"/>
      <c r="E384" s="393" t="s">
        <v>1408</v>
      </c>
      <c r="F384" s="394" t="s">
        <v>1679</v>
      </c>
      <c r="G384" s="394" t="s">
        <v>1683</v>
      </c>
      <c r="H384" s="395" t="s">
        <v>1675</v>
      </c>
    </row>
    <row r="385" spans="1:8" ht="14.25" x14ac:dyDescent="0.2">
      <c r="A385">
        <v>1</v>
      </c>
      <c r="B385" s="294" t="s">
        <v>1895</v>
      </c>
      <c r="C385" s="292"/>
      <c r="D385" s="315"/>
      <c r="E385" s="316" t="s">
        <v>744</v>
      </c>
      <c r="F385" s="303">
        <v>4</v>
      </c>
      <c r="G385" s="303">
        <v>2.8440000000000003</v>
      </c>
      <c r="H385" s="56">
        <f t="shared" ref="H385:H396" si="3">IF($A385=0,"",ROUND(F385*G385,2))</f>
        <v>11.38</v>
      </c>
    </row>
    <row r="386" spans="1:8" ht="14.25" x14ac:dyDescent="0.2">
      <c r="A386">
        <v>1</v>
      </c>
      <c r="B386" s="294" t="s">
        <v>1909</v>
      </c>
      <c r="C386" s="292"/>
      <c r="D386" s="315"/>
      <c r="E386" s="316" t="s">
        <v>1788</v>
      </c>
      <c r="F386" s="303">
        <f>2*4*3</f>
        <v>24</v>
      </c>
      <c r="G386" s="303">
        <v>0.441</v>
      </c>
      <c r="H386" s="56">
        <f t="shared" si="3"/>
        <v>10.58</v>
      </c>
    </row>
    <row r="387" spans="1:8" ht="14.25" x14ac:dyDescent="0.2">
      <c r="A387">
        <v>1</v>
      </c>
      <c r="B387" s="294" t="s">
        <v>1910</v>
      </c>
      <c r="C387" s="292"/>
      <c r="D387" s="315"/>
      <c r="E387" s="316" t="s">
        <v>1788</v>
      </c>
      <c r="F387" s="303">
        <f>1*4*3</f>
        <v>12</v>
      </c>
      <c r="G387" s="303">
        <v>0.27</v>
      </c>
      <c r="H387" s="56">
        <f t="shared" si="3"/>
        <v>3.24</v>
      </c>
    </row>
    <row r="388" spans="1:8" ht="14.25" x14ac:dyDescent="0.2">
      <c r="A388">
        <v>1</v>
      </c>
      <c r="B388" s="294" t="s">
        <v>1898</v>
      </c>
      <c r="C388" s="292"/>
      <c r="D388" s="315"/>
      <c r="E388" s="316" t="s">
        <v>744</v>
      </c>
      <c r="F388" s="303">
        <v>1</v>
      </c>
      <c r="G388" s="303">
        <v>0.36000000000000004</v>
      </c>
      <c r="H388" s="56">
        <f t="shared" si="3"/>
        <v>0.36</v>
      </c>
    </row>
    <row r="389" spans="1:8" ht="14.25" x14ac:dyDescent="0.2">
      <c r="A389">
        <v>1</v>
      </c>
      <c r="B389" s="294" t="s">
        <v>1936</v>
      </c>
      <c r="C389" s="292"/>
      <c r="D389" s="315"/>
      <c r="E389" s="316" t="s">
        <v>744</v>
      </c>
      <c r="F389" s="303">
        <v>1</v>
      </c>
      <c r="G389" s="303">
        <v>2.5830000000000002</v>
      </c>
      <c r="H389" s="56">
        <f t="shared" si="3"/>
        <v>2.58</v>
      </c>
    </row>
    <row r="390" spans="1:8" ht="14.25" x14ac:dyDescent="0.2">
      <c r="A390">
        <v>1</v>
      </c>
      <c r="B390" s="294" t="s">
        <v>1900</v>
      </c>
      <c r="C390" s="292"/>
      <c r="D390" s="315"/>
      <c r="E390" s="316" t="s">
        <v>744</v>
      </c>
      <c r="F390" s="303">
        <v>2.5</v>
      </c>
      <c r="G390" s="303">
        <v>0.18000000000000002</v>
      </c>
      <c r="H390" s="56">
        <f t="shared" si="3"/>
        <v>0.45</v>
      </c>
    </row>
    <row r="391" spans="1:8" ht="14.25" x14ac:dyDescent="0.2">
      <c r="A391">
        <v>1</v>
      </c>
      <c r="B391" s="294" t="s">
        <v>1901</v>
      </c>
      <c r="C391" s="292"/>
      <c r="D391" s="315"/>
      <c r="E391" s="316" t="s">
        <v>744</v>
      </c>
      <c r="F391" s="303">
        <v>6</v>
      </c>
      <c r="G391" s="303">
        <v>0.216</v>
      </c>
      <c r="H391" s="56">
        <f t="shared" si="3"/>
        <v>1.3</v>
      </c>
    </row>
    <row r="392" spans="1:8" ht="14.25" x14ac:dyDescent="0.2">
      <c r="A392">
        <v>1</v>
      </c>
      <c r="B392" s="294" t="s">
        <v>1902</v>
      </c>
      <c r="C392" s="292"/>
      <c r="D392" s="315"/>
      <c r="E392" s="316" t="s">
        <v>744</v>
      </c>
      <c r="F392" s="303">
        <v>4.5</v>
      </c>
      <c r="G392" s="303">
        <v>4.5000000000000005E-2</v>
      </c>
      <c r="H392" s="56">
        <f t="shared" si="3"/>
        <v>0.2</v>
      </c>
    </row>
    <row r="393" spans="1:8" ht="14.25" x14ac:dyDescent="0.2">
      <c r="A393">
        <v>1</v>
      </c>
      <c r="B393" s="294" t="s">
        <v>1903</v>
      </c>
      <c r="C393" s="292"/>
      <c r="D393" s="315"/>
      <c r="E393" s="316" t="s">
        <v>744</v>
      </c>
      <c r="F393" s="303">
        <v>6.5</v>
      </c>
      <c r="G393" s="303">
        <v>6.3E-3</v>
      </c>
      <c r="H393" s="56">
        <f t="shared" si="3"/>
        <v>0.04</v>
      </c>
    </row>
    <row r="394" spans="1:8" ht="14.25" x14ac:dyDescent="0.2">
      <c r="A394">
        <v>1</v>
      </c>
      <c r="B394" s="294" t="s">
        <v>1266</v>
      </c>
      <c r="C394" s="292"/>
      <c r="D394" s="315"/>
      <c r="E394" s="316" t="s">
        <v>1196</v>
      </c>
      <c r="F394" s="303">
        <v>0.1</v>
      </c>
      <c r="G394" s="303">
        <v>1.35</v>
      </c>
      <c r="H394" s="56">
        <f t="shared" si="3"/>
        <v>0.14000000000000001</v>
      </c>
    </row>
    <row r="395" spans="1:8" ht="14.25" x14ac:dyDescent="0.2">
      <c r="A395">
        <v>1</v>
      </c>
      <c r="B395" s="294" t="s">
        <v>1904</v>
      </c>
      <c r="C395" s="292"/>
      <c r="D395" s="315"/>
      <c r="E395" s="316" t="s">
        <v>744</v>
      </c>
      <c r="F395" s="303">
        <v>2</v>
      </c>
      <c r="G395" s="303">
        <v>2.52E-2</v>
      </c>
      <c r="H395" s="56">
        <f t="shared" si="3"/>
        <v>0.05</v>
      </c>
    </row>
    <row r="396" spans="1:8" ht="14.25" x14ac:dyDescent="0.2">
      <c r="A396">
        <v>1</v>
      </c>
      <c r="B396" s="294" t="s">
        <v>1905</v>
      </c>
      <c r="C396" s="292"/>
      <c r="D396" s="315"/>
      <c r="E396" s="316" t="s">
        <v>744</v>
      </c>
      <c r="F396" s="303">
        <v>0.06</v>
      </c>
      <c r="G396" s="303">
        <v>0.63900000000000001</v>
      </c>
      <c r="H396" s="56">
        <f t="shared" si="3"/>
        <v>0.04</v>
      </c>
    </row>
    <row r="397" spans="1:8" x14ac:dyDescent="0.2">
      <c r="B397" s="294"/>
      <c r="C397" s="292"/>
      <c r="D397" s="315"/>
      <c r="E397" s="316"/>
      <c r="F397" s="303"/>
      <c r="G397" s="303"/>
      <c r="H397" s="386"/>
    </row>
    <row r="398" spans="1:8" x14ac:dyDescent="0.2">
      <c r="B398" s="294"/>
      <c r="C398" s="292"/>
      <c r="D398" s="315"/>
      <c r="E398" s="316"/>
      <c r="F398" s="303"/>
      <c r="G398" s="303"/>
      <c r="H398" s="386"/>
    </row>
    <row r="399" spans="1:8" x14ac:dyDescent="0.2">
      <c r="B399" s="294"/>
      <c r="C399" s="292"/>
      <c r="D399" s="315"/>
      <c r="E399" s="316"/>
      <c r="F399" s="303"/>
      <c r="G399" s="303"/>
      <c r="H399" s="386"/>
    </row>
    <row r="400" spans="1:8" x14ac:dyDescent="0.2">
      <c r="B400" s="294"/>
      <c r="C400" s="292"/>
      <c r="D400" s="315"/>
      <c r="E400" s="316"/>
      <c r="F400" s="303"/>
      <c r="G400" s="303"/>
      <c r="H400" s="386"/>
    </row>
    <row r="401" spans="1:12" x14ac:dyDescent="0.2">
      <c r="B401" s="294"/>
      <c r="C401" s="292"/>
      <c r="D401" s="315"/>
      <c r="E401" s="316"/>
      <c r="F401" s="303"/>
      <c r="G401" s="303"/>
      <c r="H401" s="386"/>
    </row>
    <row r="402" spans="1:12" x14ac:dyDescent="0.2">
      <c r="B402" s="294"/>
      <c r="C402" s="292"/>
      <c r="D402" s="315"/>
      <c r="E402" s="316"/>
      <c r="F402" s="303"/>
      <c r="G402" s="303"/>
      <c r="H402" s="386"/>
    </row>
    <row r="403" spans="1:12" x14ac:dyDescent="0.2">
      <c r="B403" s="294"/>
      <c r="C403" s="292"/>
      <c r="D403" s="315"/>
      <c r="E403" s="316"/>
      <c r="F403" s="303"/>
      <c r="G403" s="303"/>
      <c r="H403" s="386"/>
    </row>
    <row r="404" spans="1:12" x14ac:dyDescent="0.2">
      <c r="B404" s="294"/>
      <c r="C404" s="292"/>
      <c r="D404" s="315"/>
      <c r="E404" s="303"/>
      <c r="F404" s="303"/>
      <c r="G404" s="303"/>
      <c r="H404" s="386"/>
    </row>
    <row r="405" spans="1:12" x14ac:dyDescent="0.2">
      <c r="B405" s="294"/>
      <c r="C405" s="292"/>
      <c r="D405" s="315"/>
      <c r="E405" s="303"/>
      <c r="F405" s="303"/>
      <c r="G405" s="303"/>
      <c r="H405" s="386"/>
    </row>
    <row r="406" spans="1:12" ht="13.5" thickBot="1" x14ac:dyDescent="0.25">
      <c r="B406" s="742" t="s">
        <v>1681</v>
      </c>
      <c r="C406" s="743"/>
      <c r="D406" s="743"/>
      <c r="E406" s="743"/>
      <c r="F406" s="743"/>
      <c r="G406" s="744"/>
      <c r="H406" s="389">
        <f>SUM(H385:H405)</f>
        <v>30.36</v>
      </c>
    </row>
    <row r="407" spans="1:12" ht="13.5" thickBot="1" x14ac:dyDescent="0.25">
      <c r="B407" s="295" t="s">
        <v>1680</v>
      </c>
      <c r="C407" s="296"/>
      <c r="D407" s="296"/>
      <c r="E407" s="296"/>
      <c r="F407" s="296"/>
      <c r="G407" s="296"/>
      <c r="H407" s="384"/>
    </row>
    <row r="408" spans="1:12" ht="25.5" x14ac:dyDescent="0.2">
      <c r="B408" s="390" t="s">
        <v>1409</v>
      </c>
      <c r="C408" s="391"/>
      <c r="D408" s="392"/>
      <c r="E408" s="309" t="s">
        <v>1408</v>
      </c>
      <c r="F408" s="309" t="s">
        <v>1679</v>
      </c>
      <c r="G408" s="309" t="s">
        <v>1676</v>
      </c>
      <c r="H408" s="388" t="s">
        <v>1675</v>
      </c>
    </row>
    <row r="409" spans="1:12" s="1" customFormat="1" ht="15" x14ac:dyDescent="0.25">
      <c r="A409" s="103">
        <v>19019</v>
      </c>
      <c r="B409" s="51" t="str">
        <f>IF($A409=0,"",VLOOKUP($A409,'BASE EQUIPO'!$A:$D,2))</f>
        <v>TRANSPORTE DE MATERIAL</v>
      </c>
      <c r="C409" s="52"/>
      <c r="D409" s="82"/>
      <c r="E409" s="78" t="str">
        <f>IF($A409=0,"",VLOOKUP($A409,'BASE EQUIPO'!$A:$D,3))</f>
        <v>GLOBAL</v>
      </c>
      <c r="F409" s="55">
        <v>1</v>
      </c>
      <c r="G409" s="83">
        <f>IF($A409=0,"",VLOOKUP($A409,'BASE EQUIPO'!$A:$D,4)*H406)</f>
        <v>0.91079999999999994</v>
      </c>
      <c r="H409" s="56">
        <f>IF($A409=0,"",ROUND(F409*G409,2))</f>
        <v>0.91</v>
      </c>
      <c r="I409" s="2"/>
    </row>
    <row r="410" spans="1:12" x14ac:dyDescent="0.2">
      <c r="B410" s="302"/>
      <c r="C410" s="292"/>
      <c r="D410" s="317"/>
      <c r="E410" s="316"/>
      <c r="F410" s="303"/>
      <c r="G410" s="303"/>
      <c r="H410" s="386"/>
    </row>
    <row r="411" spans="1:12" x14ac:dyDescent="0.2">
      <c r="B411" s="305"/>
      <c r="C411" s="306"/>
      <c r="D411" s="318"/>
      <c r="E411" s="319"/>
      <c r="F411" s="307"/>
      <c r="G411" s="307"/>
      <c r="H411" s="387"/>
    </row>
    <row r="412" spans="1:12" ht="13.5" thickBot="1" x14ac:dyDescent="0.25">
      <c r="B412" s="742" t="s">
        <v>1674</v>
      </c>
      <c r="C412" s="743"/>
      <c r="D412" s="743"/>
      <c r="E412" s="743"/>
      <c r="F412" s="743"/>
      <c r="G412" s="744"/>
      <c r="H412" s="397">
        <f>SUM(H409:H411)</f>
        <v>0.91</v>
      </c>
    </row>
    <row r="413" spans="1:12" x14ac:dyDescent="0.2">
      <c r="B413" s="292"/>
      <c r="C413" s="292"/>
      <c r="D413" s="320" t="s">
        <v>1673</v>
      </c>
      <c r="E413" s="321"/>
      <c r="F413" s="321"/>
      <c r="G413" s="321"/>
      <c r="H413" s="331">
        <f>H372+H382+H406+H412</f>
        <v>58.03</v>
      </c>
    </row>
    <row r="414" spans="1:12" s="1" customFormat="1" ht="15.75" x14ac:dyDescent="0.25">
      <c r="A414" s="103">
        <v>40002</v>
      </c>
      <c r="B414" s="2"/>
      <c r="C414" s="2"/>
      <c r="D414" s="93" t="s">
        <v>1672</v>
      </c>
      <c r="E414" s="65"/>
      <c r="F414" s="65"/>
      <c r="G414" s="94">
        <f>IF($A414=0,"",VLOOKUP($A414,'BASE MATERIAL'!$M:$P,4))</f>
        <v>0</v>
      </c>
      <c r="H414" s="95">
        <f>IF($A414=0,"",ROUND(G414*H413,2))</f>
        <v>0</v>
      </c>
      <c r="I414" s="2"/>
    </row>
    <row r="415" spans="1:12" s="1" customFormat="1" ht="15.75" x14ac:dyDescent="0.25">
      <c r="A415" s="103">
        <v>40003</v>
      </c>
      <c r="B415" s="2"/>
      <c r="C415" s="2"/>
      <c r="D415" s="93" t="s">
        <v>1671</v>
      </c>
      <c r="E415" s="65"/>
      <c r="F415" s="65"/>
      <c r="G415" s="94">
        <f>IF($A415=0,"",VLOOKUP($A415,'BASE MATERIAL'!$M:$P,4))</f>
        <v>0</v>
      </c>
      <c r="H415" s="95">
        <f>IF($A415=0,"",ROUND(G415*H413,2))</f>
        <v>0</v>
      </c>
      <c r="I415" s="2"/>
      <c r="L415" s="1" t="s">
        <v>1957</v>
      </c>
    </row>
    <row r="416" spans="1:12" s="1" customFormat="1" ht="15.75" x14ac:dyDescent="0.25">
      <c r="A416" s="103"/>
      <c r="B416" s="2"/>
      <c r="C416" s="2"/>
      <c r="D416" s="93" t="s">
        <v>1670</v>
      </c>
      <c r="E416" s="65"/>
      <c r="F416" s="65"/>
      <c r="G416" s="65"/>
      <c r="H416" s="96">
        <f>ROUND(SUM(H413:H415),2)</f>
        <v>58.03</v>
      </c>
      <c r="I416" s="2"/>
    </row>
    <row r="417" spans="1:9" s="1" customFormat="1" ht="16.5" thickBot="1" x14ac:dyDescent="0.3">
      <c r="A417" s="103"/>
      <c r="B417" s="25"/>
      <c r="C417" s="2"/>
      <c r="D417" s="97" t="s">
        <v>1650</v>
      </c>
      <c r="E417" s="88"/>
      <c r="F417" s="88"/>
      <c r="G417" s="88"/>
      <c r="H417" s="98">
        <f>ROUND(H416,2)</f>
        <v>58.03</v>
      </c>
      <c r="I417" s="2"/>
    </row>
    <row r="418" spans="1:9" x14ac:dyDescent="0.2">
      <c r="B418" s="294"/>
      <c r="C418" s="294"/>
      <c r="D418" s="294"/>
      <c r="E418" s="294"/>
      <c r="F418" s="294"/>
      <c r="G418" s="294"/>
      <c r="H418" s="294"/>
    </row>
    <row r="419" spans="1:9" x14ac:dyDescent="0.2">
      <c r="B419" s="292" t="s">
        <v>1889</v>
      </c>
      <c r="C419" s="292" t="s">
        <v>1890</v>
      </c>
      <c r="D419" s="292"/>
      <c r="E419" s="292"/>
      <c r="F419" s="292"/>
      <c r="G419" s="292"/>
      <c r="H419" s="292" t="s">
        <v>1891</v>
      </c>
    </row>
    <row r="420" spans="1:9" x14ac:dyDescent="0.2">
      <c r="B420" s="292" t="s">
        <v>1700</v>
      </c>
      <c r="C420" s="292" t="s">
        <v>1892</v>
      </c>
      <c r="D420" s="292"/>
      <c r="E420" s="292"/>
      <c r="F420" s="292"/>
      <c r="G420" s="382"/>
      <c r="H420" s="315"/>
    </row>
    <row r="421" spans="1:9" x14ac:dyDescent="0.2">
      <c r="B421" s="292"/>
      <c r="C421" s="292"/>
      <c r="D421" s="292"/>
      <c r="E421" s="292"/>
      <c r="F421" s="292"/>
      <c r="G421" s="292"/>
      <c r="H421" s="292"/>
    </row>
    <row r="422" spans="1:9" x14ac:dyDescent="0.2">
      <c r="B422" s="738" t="s">
        <v>1697</v>
      </c>
      <c r="C422" s="739"/>
      <c r="D422" s="739"/>
      <c r="E422" s="739"/>
      <c r="F422" s="739"/>
      <c r="G422" s="739"/>
      <c r="H422" s="739"/>
    </row>
    <row r="423" spans="1:9" x14ac:dyDescent="0.2">
      <c r="B423" s="292" t="s">
        <v>1586</v>
      </c>
      <c r="C423" s="293">
        <v>3.0830000000000002</v>
      </c>
      <c r="D423" s="292"/>
      <c r="E423" s="292"/>
      <c r="F423" s="292"/>
      <c r="G423" s="292" t="s">
        <v>1696</v>
      </c>
      <c r="H423" s="315" t="s">
        <v>744</v>
      </c>
    </row>
    <row r="424" spans="1:9" x14ac:dyDescent="0.2">
      <c r="B424" s="292" t="s">
        <v>1585</v>
      </c>
      <c r="C424" s="294" t="s">
        <v>1876</v>
      </c>
      <c r="D424" s="292"/>
      <c r="E424" s="292"/>
      <c r="F424" s="292"/>
      <c r="G424" s="292"/>
      <c r="H424" s="292"/>
    </row>
    <row r="425" spans="1:9" ht="13.5" thickBot="1" x14ac:dyDescent="0.25">
      <c r="B425" s="292"/>
      <c r="C425" s="292"/>
      <c r="D425" s="292"/>
      <c r="E425" s="292"/>
      <c r="F425" s="292"/>
      <c r="G425" s="292"/>
      <c r="H425" s="292"/>
    </row>
    <row r="426" spans="1:9" ht="13.5" thickBot="1" x14ac:dyDescent="0.25">
      <c r="B426" s="295" t="s">
        <v>1695</v>
      </c>
      <c r="C426" s="296"/>
      <c r="D426" s="296"/>
      <c r="E426" s="296"/>
      <c r="F426" s="296"/>
      <c r="G426" s="296"/>
      <c r="H426" s="384"/>
    </row>
    <row r="427" spans="1:9" ht="25.5" x14ac:dyDescent="0.2">
      <c r="B427" s="740" t="s">
        <v>1409</v>
      </c>
      <c r="C427" s="741"/>
      <c r="D427" s="297" t="s">
        <v>1690</v>
      </c>
      <c r="E427" s="297" t="s">
        <v>1694</v>
      </c>
      <c r="F427" s="297" t="s">
        <v>1693</v>
      </c>
      <c r="G427" s="49" t="s">
        <v>1687</v>
      </c>
      <c r="H427" s="385" t="s">
        <v>1686</v>
      </c>
    </row>
    <row r="428" spans="1:9" s="1" customFormat="1" ht="15" x14ac:dyDescent="0.25">
      <c r="A428" s="103">
        <v>19015</v>
      </c>
      <c r="B428" s="51" t="str">
        <f>IF($A428=0,"",VLOOKUP($A428,'BASE EQUIPO'!$A:$D,2))</f>
        <v>HERRAMIENTA MENOR</v>
      </c>
      <c r="C428" s="52"/>
      <c r="D428" s="53">
        <v>1</v>
      </c>
      <c r="E428" s="53">
        <f>IF($A428=0,"",VLOOKUP($A428,'BASE EQUIPO'!$A:$D,4)*H444)</f>
        <v>1.0391999999999999</v>
      </c>
      <c r="F428" s="53">
        <f>IF($A428=0,"",ROUND(D428*E428,2))</f>
        <v>1.04</v>
      </c>
      <c r="G428" s="105">
        <v>1</v>
      </c>
      <c r="H428" s="54">
        <f>IF($A428=0,"",ROUND(G428*F428,2))</f>
        <v>1.04</v>
      </c>
      <c r="I428" s="2"/>
    </row>
    <row r="429" spans="1:9" x14ac:dyDescent="0.2">
      <c r="B429" s="302"/>
      <c r="C429" s="292"/>
      <c r="D429" s="303"/>
      <c r="E429" s="303"/>
      <c r="F429" s="303"/>
      <c r="G429" s="304"/>
      <c r="H429" s="386"/>
    </row>
    <row r="430" spans="1:9" x14ac:dyDescent="0.2">
      <c r="B430" s="302"/>
      <c r="C430" s="292"/>
      <c r="D430" s="303"/>
      <c r="E430" s="303"/>
      <c r="F430" s="303"/>
      <c r="G430" s="304"/>
      <c r="H430" s="386"/>
    </row>
    <row r="431" spans="1:9" x14ac:dyDescent="0.2">
      <c r="B431" s="302"/>
      <c r="C431" s="292"/>
      <c r="D431" s="303"/>
      <c r="E431" s="303"/>
      <c r="F431" s="303"/>
      <c r="G431" s="304"/>
      <c r="H431" s="386"/>
    </row>
    <row r="432" spans="1:9" x14ac:dyDescent="0.2">
      <c r="B432" s="302"/>
      <c r="C432" s="292"/>
      <c r="D432" s="303"/>
      <c r="E432" s="303"/>
      <c r="F432" s="303"/>
      <c r="G432" s="304"/>
      <c r="H432" s="386"/>
    </row>
    <row r="433" spans="1:8" x14ac:dyDescent="0.2">
      <c r="B433" s="305"/>
      <c r="C433" s="306"/>
      <c r="D433" s="307"/>
      <c r="E433" s="307"/>
      <c r="F433" s="307"/>
      <c r="G433" s="308"/>
      <c r="H433" s="387"/>
    </row>
    <row r="434" spans="1:8" ht="13.5" thickBot="1" x14ac:dyDescent="0.25">
      <c r="B434" s="742" t="s">
        <v>1692</v>
      </c>
      <c r="C434" s="743"/>
      <c r="D434" s="743"/>
      <c r="E434" s="743"/>
      <c r="F434" s="743"/>
      <c r="G434" s="744"/>
      <c r="H434" s="387">
        <f>SUM(H428:H433)</f>
        <v>1.04</v>
      </c>
    </row>
    <row r="435" spans="1:8" ht="13.5" thickBot="1" x14ac:dyDescent="0.25">
      <c r="B435" s="295" t="s">
        <v>1503</v>
      </c>
      <c r="C435" s="296"/>
      <c r="D435" s="296"/>
      <c r="E435" s="296"/>
      <c r="F435" s="296"/>
      <c r="G435" s="296"/>
      <c r="H435" s="384"/>
    </row>
    <row r="436" spans="1:8" ht="25.5" x14ac:dyDescent="0.2">
      <c r="B436" s="740" t="s">
        <v>1409</v>
      </c>
      <c r="C436" s="741"/>
      <c r="D436" s="309" t="s">
        <v>1690</v>
      </c>
      <c r="E436" s="309" t="s">
        <v>1689</v>
      </c>
      <c r="F436" s="309" t="s">
        <v>1688</v>
      </c>
      <c r="G436" s="67" t="s">
        <v>1687</v>
      </c>
      <c r="H436" s="388" t="s">
        <v>1686</v>
      </c>
    </row>
    <row r="437" spans="1:8" ht="15" x14ac:dyDescent="0.25">
      <c r="A437" s="103">
        <v>20001</v>
      </c>
      <c r="B437" s="310" t="s">
        <v>243</v>
      </c>
      <c r="C437" s="292"/>
      <c r="D437" s="311">
        <v>1</v>
      </c>
      <c r="E437" s="312">
        <v>3.0187499999999998</v>
      </c>
      <c r="F437" s="300">
        <v>3.0187499999999998</v>
      </c>
      <c r="G437" s="300">
        <v>4</v>
      </c>
      <c r="H437" s="301">
        <f>IF($A437=0,"",ROUND(F437*G437,2))</f>
        <v>12.08</v>
      </c>
    </row>
    <row r="438" spans="1:8" ht="15" x14ac:dyDescent="0.25">
      <c r="A438" s="103">
        <v>20016</v>
      </c>
      <c r="B438" s="310" t="s">
        <v>1488</v>
      </c>
      <c r="C438" s="292"/>
      <c r="D438" s="311">
        <v>1</v>
      </c>
      <c r="E438" s="312">
        <v>2.82</v>
      </c>
      <c r="F438" s="303">
        <v>2.82</v>
      </c>
      <c r="G438" s="303">
        <f>+G437</f>
        <v>4</v>
      </c>
      <c r="H438" s="386">
        <f>IF($A438=0,"",ROUND(F438*G438,2))</f>
        <v>11.28</v>
      </c>
    </row>
    <row r="439" spans="1:8" ht="15" x14ac:dyDescent="0.25">
      <c r="A439" s="103">
        <v>20011</v>
      </c>
      <c r="B439" s="310" t="s">
        <v>1787</v>
      </c>
      <c r="C439" s="292"/>
      <c r="D439" s="311">
        <v>1</v>
      </c>
      <c r="E439" s="312">
        <v>2.82</v>
      </c>
      <c r="F439" s="303">
        <v>2.82</v>
      </c>
      <c r="G439" s="303">
        <f>+G438</f>
        <v>4</v>
      </c>
      <c r="H439" s="386">
        <f>IF($A439=0,"",ROUND(F439*G439,2))</f>
        <v>11.28</v>
      </c>
    </row>
    <row r="440" spans="1:8" x14ac:dyDescent="0.2">
      <c r="B440" s="313"/>
      <c r="C440" s="292"/>
      <c r="D440" s="311"/>
      <c r="E440" s="312"/>
      <c r="F440" s="303"/>
      <c r="G440" s="304"/>
      <c r="H440" s="386"/>
    </row>
    <row r="441" spans="1:8" x14ac:dyDescent="0.2">
      <c r="B441" s="314"/>
      <c r="C441" s="292"/>
      <c r="D441" s="311"/>
      <c r="E441" s="312"/>
      <c r="F441" s="303"/>
      <c r="G441" s="304"/>
      <c r="H441" s="386"/>
    </row>
    <row r="442" spans="1:8" x14ac:dyDescent="0.2">
      <c r="B442" s="302"/>
      <c r="C442" s="292"/>
      <c r="D442" s="303"/>
      <c r="E442" s="303"/>
      <c r="F442" s="303"/>
      <c r="G442" s="304"/>
      <c r="H442" s="386"/>
    </row>
    <row r="443" spans="1:8" x14ac:dyDescent="0.2">
      <c r="B443" s="305"/>
      <c r="C443" s="306"/>
      <c r="D443" s="307"/>
      <c r="E443" s="307"/>
      <c r="F443" s="307"/>
      <c r="G443" s="308"/>
      <c r="H443" s="387"/>
    </row>
    <row r="444" spans="1:8" ht="13.5" thickBot="1" x14ac:dyDescent="0.25">
      <c r="B444" s="742" t="s">
        <v>1685</v>
      </c>
      <c r="C444" s="743"/>
      <c r="D444" s="743"/>
      <c r="E444" s="743"/>
      <c r="F444" s="743"/>
      <c r="G444" s="744"/>
      <c r="H444" s="389">
        <f>SUM(H437:H443)</f>
        <v>34.64</v>
      </c>
    </row>
    <row r="445" spans="1:8" ht="13.5" thickBot="1" x14ac:dyDescent="0.25">
      <c r="B445" s="295" t="s">
        <v>1684</v>
      </c>
      <c r="C445" s="296"/>
      <c r="D445" s="296"/>
      <c r="E445" s="296"/>
      <c r="F445" s="296"/>
      <c r="G445" s="296"/>
      <c r="H445" s="384"/>
    </row>
    <row r="446" spans="1:8" ht="25.5" x14ac:dyDescent="0.2">
      <c r="B446" s="748" t="s">
        <v>1409</v>
      </c>
      <c r="C446" s="749"/>
      <c r="D446" s="750"/>
      <c r="E446" s="393" t="s">
        <v>1408</v>
      </c>
      <c r="F446" s="394" t="s">
        <v>1679</v>
      </c>
      <c r="G446" s="394" t="s">
        <v>1683</v>
      </c>
      <c r="H446" s="395" t="s">
        <v>1675</v>
      </c>
    </row>
    <row r="447" spans="1:8" x14ac:dyDescent="0.2">
      <c r="A447">
        <v>1</v>
      </c>
      <c r="B447" s="294" t="s">
        <v>1914</v>
      </c>
      <c r="C447" s="292"/>
      <c r="D447" s="315"/>
      <c r="E447" s="316" t="s">
        <v>744</v>
      </c>
      <c r="F447" s="303">
        <v>3</v>
      </c>
      <c r="G447" s="303">
        <v>5.7960000000000003</v>
      </c>
      <c r="H447" s="386">
        <f t="shared" ref="H447:H467" si="4">IF($A447=0,"",ROUND(F447*G447,2))</f>
        <v>17.39</v>
      </c>
    </row>
    <row r="448" spans="1:8" x14ac:dyDescent="0.2">
      <c r="A448">
        <v>1</v>
      </c>
      <c r="B448" s="294" t="s">
        <v>1915</v>
      </c>
      <c r="C448" s="292"/>
      <c r="D448" s="315"/>
      <c r="E448" s="316" t="s">
        <v>744</v>
      </c>
      <c r="F448" s="303">
        <v>4.4000000000000004</v>
      </c>
      <c r="G448" s="303">
        <v>0.47700000000000004</v>
      </c>
      <c r="H448" s="386">
        <f t="shared" si="4"/>
        <v>2.1</v>
      </c>
    </row>
    <row r="449" spans="1:8" x14ac:dyDescent="0.2">
      <c r="A449">
        <v>1</v>
      </c>
      <c r="B449" s="294" t="s">
        <v>1916</v>
      </c>
      <c r="C449" s="292"/>
      <c r="D449" s="315"/>
      <c r="E449" s="316" t="s">
        <v>744</v>
      </c>
      <c r="F449" s="303">
        <v>4</v>
      </c>
      <c r="G449" s="303">
        <v>0.47700000000000004</v>
      </c>
      <c r="H449" s="386">
        <f t="shared" si="4"/>
        <v>1.91</v>
      </c>
    </row>
    <row r="450" spans="1:8" x14ac:dyDescent="0.2">
      <c r="A450">
        <v>1</v>
      </c>
      <c r="B450" s="294" t="s">
        <v>1266</v>
      </c>
      <c r="C450" s="292"/>
      <c r="D450" s="315"/>
      <c r="E450" s="316" t="s">
        <v>744</v>
      </c>
      <c r="F450" s="303">
        <v>0.4</v>
      </c>
      <c r="G450" s="303">
        <v>1.35</v>
      </c>
      <c r="H450" s="386">
        <f t="shared" si="4"/>
        <v>0.54</v>
      </c>
    </row>
    <row r="451" spans="1:8" x14ac:dyDescent="0.2">
      <c r="A451">
        <v>1</v>
      </c>
      <c r="B451" s="294" t="s">
        <v>1917</v>
      </c>
      <c r="C451" s="292"/>
      <c r="D451" s="315"/>
      <c r="E451" s="316" t="s">
        <v>744</v>
      </c>
      <c r="F451" s="303">
        <v>6</v>
      </c>
      <c r="G451" s="303">
        <v>8.1000000000000003E-2</v>
      </c>
      <c r="H451" s="386">
        <f t="shared" si="4"/>
        <v>0.49</v>
      </c>
    </row>
    <row r="452" spans="1:8" x14ac:dyDescent="0.2">
      <c r="A452">
        <v>1</v>
      </c>
      <c r="B452" s="294" t="s">
        <v>1903</v>
      </c>
      <c r="C452" s="292"/>
      <c r="D452" s="315"/>
      <c r="E452" s="316" t="s">
        <v>744</v>
      </c>
      <c r="F452" s="303">
        <v>8</v>
      </c>
      <c r="G452" s="303">
        <v>6.3E-3</v>
      </c>
      <c r="H452" s="386">
        <f t="shared" si="4"/>
        <v>0.05</v>
      </c>
    </row>
    <row r="453" spans="1:8" x14ac:dyDescent="0.2">
      <c r="A453">
        <v>1</v>
      </c>
      <c r="B453" s="294" t="s">
        <v>1904</v>
      </c>
      <c r="C453" s="292"/>
      <c r="D453" s="315"/>
      <c r="E453" s="316" t="s">
        <v>744</v>
      </c>
      <c r="F453" s="303">
        <v>2</v>
      </c>
      <c r="G453" s="303">
        <v>2.52E-2</v>
      </c>
      <c r="H453" s="386">
        <f t="shared" si="4"/>
        <v>0.05</v>
      </c>
    </row>
    <row r="454" spans="1:8" x14ac:dyDescent="0.2">
      <c r="A454">
        <v>1</v>
      </c>
      <c r="B454" s="294" t="s">
        <v>1918</v>
      </c>
      <c r="C454" s="292"/>
      <c r="D454" s="315"/>
      <c r="E454" s="316" t="s">
        <v>744</v>
      </c>
      <c r="F454" s="303">
        <v>1</v>
      </c>
      <c r="G454" s="303">
        <v>2.8530000000000002</v>
      </c>
      <c r="H454" s="386">
        <f t="shared" si="4"/>
        <v>2.85</v>
      </c>
    </row>
    <row r="455" spans="1:8" x14ac:dyDescent="0.2">
      <c r="A455">
        <v>1</v>
      </c>
      <c r="B455" s="294" t="s">
        <v>1909</v>
      </c>
      <c r="C455" s="292"/>
      <c r="D455" s="315"/>
      <c r="E455" s="316" t="s">
        <v>1788</v>
      </c>
      <c r="F455" s="303">
        <v>25</v>
      </c>
      <c r="G455" s="303">
        <v>0.441</v>
      </c>
      <c r="H455" s="386">
        <f t="shared" si="4"/>
        <v>11.03</v>
      </c>
    </row>
    <row r="456" spans="1:8" x14ac:dyDescent="0.2">
      <c r="A456">
        <v>1</v>
      </c>
      <c r="B456" s="294" t="s">
        <v>1956</v>
      </c>
      <c r="C456" s="292"/>
      <c r="D456" s="315"/>
      <c r="E456" s="316" t="s">
        <v>744</v>
      </c>
      <c r="F456" s="303">
        <v>1</v>
      </c>
      <c r="G456" s="303">
        <v>4.3</v>
      </c>
      <c r="H456" s="386">
        <f t="shared" si="4"/>
        <v>4.3</v>
      </c>
    </row>
    <row r="457" spans="1:8" x14ac:dyDescent="0.2">
      <c r="B457" s="294"/>
      <c r="C457" s="292"/>
      <c r="D457" s="315"/>
      <c r="E457" s="316"/>
      <c r="F457" s="303"/>
      <c r="G457" s="303"/>
      <c r="H457" s="386" t="str">
        <f t="shared" si="4"/>
        <v/>
      </c>
    </row>
    <row r="458" spans="1:8" x14ac:dyDescent="0.2">
      <c r="B458" s="294"/>
      <c r="C458" s="292"/>
      <c r="D458" s="315"/>
      <c r="E458" s="316"/>
      <c r="F458" s="303"/>
      <c r="G458" s="303"/>
      <c r="H458" s="386" t="str">
        <f t="shared" si="4"/>
        <v/>
      </c>
    </row>
    <row r="459" spans="1:8" x14ac:dyDescent="0.2">
      <c r="B459" s="294"/>
      <c r="C459" s="292"/>
      <c r="D459" s="315"/>
      <c r="E459" s="316"/>
      <c r="F459" s="303"/>
      <c r="G459" s="303"/>
      <c r="H459" s="386" t="str">
        <f t="shared" si="4"/>
        <v/>
      </c>
    </row>
    <row r="460" spans="1:8" x14ac:dyDescent="0.2">
      <c r="B460" s="294"/>
      <c r="C460" s="292"/>
      <c r="D460" s="315"/>
      <c r="E460" s="316"/>
      <c r="F460" s="303"/>
      <c r="G460" s="303"/>
      <c r="H460" s="386" t="str">
        <f t="shared" si="4"/>
        <v/>
      </c>
    </row>
    <row r="461" spans="1:8" x14ac:dyDescent="0.2">
      <c r="B461" s="294"/>
      <c r="C461" s="292"/>
      <c r="D461" s="315"/>
      <c r="E461" s="316"/>
      <c r="F461" s="303"/>
      <c r="G461" s="303"/>
      <c r="H461" s="386" t="str">
        <f t="shared" si="4"/>
        <v/>
      </c>
    </row>
    <row r="462" spans="1:8" x14ac:dyDescent="0.2">
      <c r="B462" s="294"/>
      <c r="C462" s="292"/>
      <c r="D462" s="315"/>
      <c r="E462" s="316"/>
      <c r="F462" s="303"/>
      <c r="G462" s="303"/>
      <c r="H462" s="386" t="str">
        <f t="shared" si="4"/>
        <v/>
      </c>
    </row>
    <row r="463" spans="1:8" x14ac:dyDescent="0.2">
      <c r="B463" s="294"/>
      <c r="C463" s="292"/>
      <c r="D463" s="315"/>
      <c r="E463" s="316"/>
      <c r="F463" s="303"/>
      <c r="G463" s="303"/>
      <c r="H463" s="386" t="str">
        <f t="shared" si="4"/>
        <v/>
      </c>
    </row>
    <row r="464" spans="1:8" x14ac:dyDescent="0.2">
      <c r="B464" s="294"/>
      <c r="C464" s="292"/>
      <c r="D464" s="315"/>
      <c r="E464" s="316"/>
      <c r="F464" s="303"/>
      <c r="G464" s="303"/>
      <c r="H464" s="386" t="str">
        <f t="shared" si="4"/>
        <v/>
      </c>
    </row>
    <row r="465" spans="1:9" x14ac:dyDescent="0.2">
      <c r="B465" s="294"/>
      <c r="C465" s="292"/>
      <c r="D465" s="315"/>
      <c r="E465" s="316"/>
      <c r="F465" s="303"/>
      <c r="G465" s="303"/>
      <c r="H465" s="386" t="str">
        <f t="shared" si="4"/>
        <v/>
      </c>
    </row>
    <row r="466" spans="1:9" x14ac:dyDescent="0.2">
      <c r="B466" s="294"/>
      <c r="C466" s="292"/>
      <c r="D466" s="315"/>
      <c r="E466" s="303"/>
      <c r="F466" s="303"/>
      <c r="G466" s="303"/>
      <c r="H466" s="386" t="str">
        <f t="shared" si="4"/>
        <v/>
      </c>
    </row>
    <row r="467" spans="1:9" x14ac:dyDescent="0.2">
      <c r="B467" s="294"/>
      <c r="C467" s="292"/>
      <c r="D467" s="315"/>
      <c r="E467" s="303"/>
      <c r="F467" s="303"/>
      <c r="G467" s="303"/>
      <c r="H467" s="386" t="str">
        <f t="shared" si="4"/>
        <v/>
      </c>
    </row>
    <row r="468" spans="1:9" ht="13.5" thickBot="1" x14ac:dyDescent="0.25">
      <c r="B468" s="742" t="s">
        <v>1681</v>
      </c>
      <c r="C468" s="743"/>
      <c r="D468" s="743"/>
      <c r="E468" s="743"/>
      <c r="F468" s="743"/>
      <c r="G468" s="744"/>
      <c r="H468" s="389">
        <f>SUM(H447:H467)</f>
        <v>40.71</v>
      </c>
    </row>
    <row r="469" spans="1:9" ht="13.5" thickBot="1" x14ac:dyDescent="0.25">
      <c r="B469" s="295" t="s">
        <v>1680</v>
      </c>
      <c r="C469" s="296"/>
      <c r="D469" s="296"/>
      <c r="E469" s="296"/>
      <c r="F469" s="296"/>
      <c r="G469" s="296"/>
      <c r="H469" s="384"/>
    </row>
    <row r="470" spans="1:9" ht="25.5" x14ac:dyDescent="0.2">
      <c r="B470" s="390" t="s">
        <v>1409</v>
      </c>
      <c r="C470" s="391"/>
      <c r="D470" s="392"/>
      <c r="E470" s="309" t="s">
        <v>1408</v>
      </c>
      <c r="F470" s="309" t="s">
        <v>1679</v>
      </c>
      <c r="G470" s="309" t="s">
        <v>1676</v>
      </c>
      <c r="H470" s="388" t="s">
        <v>1675</v>
      </c>
    </row>
    <row r="471" spans="1:9" s="1" customFormat="1" ht="15" x14ac:dyDescent="0.25">
      <c r="A471" s="103">
        <v>19019</v>
      </c>
      <c r="B471" s="51" t="str">
        <f>IF($A471=0,"",VLOOKUP($A471,'BASE EQUIPO'!$A:$D,2))</f>
        <v>TRANSPORTE DE MATERIAL</v>
      </c>
      <c r="C471" s="52"/>
      <c r="D471" s="82"/>
      <c r="E471" s="78" t="str">
        <f>IF($A471=0,"",VLOOKUP($A471,'BASE EQUIPO'!$A:$D,3))</f>
        <v>GLOBAL</v>
      </c>
      <c r="F471" s="55">
        <v>1</v>
      </c>
      <c r="G471" s="83">
        <f>IF($A471=0,"",VLOOKUP($A471,'BASE EQUIPO'!$A:$D,4)*H468)</f>
        <v>1.2213000000000001</v>
      </c>
      <c r="H471" s="56">
        <f>IF($A471=0,"",ROUND(F471*G471,2))</f>
        <v>1.22</v>
      </c>
      <c r="I471" s="2"/>
    </row>
    <row r="472" spans="1:9" x14ac:dyDescent="0.2">
      <c r="B472" s="302"/>
      <c r="C472" s="292"/>
      <c r="D472" s="317"/>
      <c r="E472" s="316"/>
      <c r="F472" s="303"/>
      <c r="G472" s="303"/>
      <c r="H472" s="386"/>
    </row>
    <row r="473" spans="1:9" x14ac:dyDescent="0.2">
      <c r="B473" s="305"/>
      <c r="C473" s="306"/>
      <c r="D473" s="318"/>
      <c r="E473" s="319"/>
      <c r="F473" s="307"/>
      <c r="G473" s="307"/>
      <c r="H473" s="387"/>
    </row>
    <row r="474" spans="1:9" ht="13.5" thickBot="1" x14ac:dyDescent="0.25">
      <c r="B474" s="742" t="s">
        <v>1674</v>
      </c>
      <c r="C474" s="743"/>
      <c r="D474" s="743"/>
      <c r="E474" s="743"/>
      <c r="F474" s="743"/>
      <c r="G474" s="744"/>
      <c r="H474" s="397">
        <f>SUM(H471:H473)</f>
        <v>1.22</v>
      </c>
    </row>
    <row r="475" spans="1:9" x14ac:dyDescent="0.2">
      <c r="B475" s="292"/>
      <c r="C475" s="292"/>
      <c r="D475" s="320" t="s">
        <v>1673</v>
      </c>
      <c r="E475" s="321"/>
      <c r="F475" s="321"/>
      <c r="G475" s="321"/>
      <c r="H475" s="331">
        <f>H434+H444+H468+H474</f>
        <v>77.61</v>
      </c>
    </row>
    <row r="476" spans="1:9" s="1" customFormat="1" ht="15.75" x14ac:dyDescent="0.25">
      <c r="A476" s="103">
        <v>40002</v>
      </c>
      <c r="B476" s="2"/>
      <c r="C476" s="2"/>
      <c r="D476" s="93" t="s">
        <v>1672</v>
      </c>
      <c r="E476" s="65"/>
      <c r="F476" s="65"/>
      <c r="G476" s="94">
        <f>IF($A476=0,"",VLOOKUP($A476,'BASE MATERIAL'!$M:$P,4))</f>
        <v>0</v>
      </c>
      <c r="H476" s="95">
        <f>IF($A476=0,"",ROUND(G476*H475,2))</f>
        <v>0</v>
      </c>
      <c r="I476" s="2"/>
    </row>
    <row r="477" spans="1:9" s="1" customFormat="1" ht="15.75" x14ac:dyDescent="0.25">
      <c r="A477" s="103">
        <v>40003</v>
      </c>
      <c r="B477" s="2"/>
      <c r="C477" s="2"/>
      <c r="D477" s="93" t="s">
        <v>1671</v>
      </c>
      <c r="E477" s="65"/>
      <c r="F477" s="65"/>
      <c r="G477" s="94">
        <f>IF($A477=0,"",VLOOKUP($A477,'BASE MATERIAL'!$M:$P,4))</f>
        <v>0</v>
      </c>
      <c r="H477" s="95">
        <f>IF($A477=0,"",ROUND(G477*H475,2))</f>
        <v>0</v>
      </c>
      <c r="I477" s="2"/>
    </row>
    <row r="478" spans="1:9" s="1" customFormat="1" ht="15.75" x14ac:dyDescent="0.25">
      <c r="A478" s="103"/>
      <c r="B478" s="2"/>
      <c r="C478" s="2"/>
      <c r="D478" s="93" t="s">
        <v>1670</v>
      </c>
      <c r="E478" s="65"/>
      <c r="F478" s="65"/>
      <c r="G478" s="65"/>
      <c r="H478" s="96">
        <f>ROUND(SUM(H475:H477),2)</f>
        <v>77.61</v>
      </c>
      <c r="I478" s="2"/>
    </row>
    <row r="479" spans="1:9" s="1" customFormat="1" ht="16.5" thickBot="1" x14ac:dyDescent="0.3">
      <c r="A479" s="103"/>
      <c r="B479" s="25"/>
      <c r="C479" s="2"/>
      <c r="D479" s="97" t="s">
        <v>1650</v>
      </c>
      <c r="E479" s="88"/>
      <c r="F479" s="88"/>
      <c r="G479" s="88"/>
      <c r="H479" s="98">
        <f>ROUND(H478,2)</f>
        <v>77.61</v>
      </c>
      <c r="I479" s="2"/>
    </row>
    <row r="480" spans="1:9" x14ac:dyDescent="0.2">
      <c r="B480" s="292" t="s">
        <v>1889</v>
      </c>
      <c r="C480" s="292" t="s">
        <v>1890</v>
      </c>
      <c r="D480" s="292"/>
      <c r="E480" s="292"/>
      <c r="F480" s="292"/>
      <c r="G480" s="292"/>
      <c r="H480" s="292" t="s">
        <v>1891</v>
      </c>
    </row>
    <row r="481" spans="1:9" x14ac:dyDescent="0.2">
      <c r="B481" s="292" t="s">
        <v>1700</v>
      </c>
      <c r="C481" s="292" t="s">
        <v>1892</v>
      </c>
      <c r="D481" s="292"/>
      <c r="E481" s="292"/>
      <c r="F481" s="292"/>
      <c r="G481" s="382"/>
      <c r="H481" s="315"/>
    </row>
    <row r="482" spans="1:9" x14ac:dyDescent="0.2">
      <c r="B482" s="292"/>
      <c r="C482" s="292"/>
      <c r="D482" s="292"/>
      <c r="E482" s="292"/>
      <c r="F482" s="292"/>
      <c r="G482" s="292"/>
      <c r="H482" s="292"/>
    </row>
    <row r="483" spans="1:9" x14ac:dyDescent="0.2">
      <c r="B483" s="738" t="s">
        <v>1697</v>
      </c>
      <c r="C483" s="739"/>
      <c r="D483" s="739"/>
      <c r="E483" s="739"/>
      <c r="F483" s="739"/>
      <c r="G483" s="739"/>
      <c r="H483" s="739"/>
    </row>
    <row r="484" spans="1:9" x14ac:dyDescent="0.2">
      <c r="B484" s="292" t="s">
        <v>1586</v>
      </c>
      <c r="C484" s="293">
        <v>3.0830000000000002</v>
      </c>
      <c r="D484" s="292"/>
      <c r="E484" s="292"/>
      <c r="F484" s="292"/>
      <c r="G484" s="292" t="s">
        <v>1696</v>
      </c>
      <c r="H484" s="315" t="s">
        <v>744</v>
      </c>
    </row>
    <row r="485" spans="1:9" x14ac:dyDescent="0.2">
      <c r="B485" s="292" t="s">
        <v>1585</v>
      </c>
      <c r="C485" s="294" t="s">
        <v>1954</v>
      </c>
      <c r="D485" s="292"/>
      <c r="E485" s="292"/>
      <c r="F485" s="292"/>
      <c r="G485" s="292"/>
      <c r="H485" s="292"/>
    </row>
    <row r="486" spans="1:9" ht="13.5" thickBot="1" x14ac:dyDescent="0.25">
      <c r="B486" s="292"/>
      <c r="C486" s="292"/>
      <c r="D486" s="292"/>
      <c r="E486" s="292"/>
      <c r="F486" s="292"/>
      <c r="G486" s="292"/>
      <c r="H486" s="292"/>
    </row>
    <row r="487" spans="1:9" ht="13.5" thickBot="1" x14ac:dyDescent="0.25">
      <c r="B487" s="295" t="s">
        <v>1695</v>
      </c>
      <c r="C487" s="296"/>
      <c r="D487" s="296"/>
      <c r="E487" s="296"/>
      <c r="F487" s="296"/>
      <c r="G487" s="296"/>
      <c r="H487" s="384"/>
    </row>
    <row r="488" spans="1:9" ht="25.5" x14ac:dyDescent="0.2">
      <c r="B488" s="740" t="s">
        <v>1409</v>
      </c>
      <c r="C488" s="741"/>
      <c r="D488" s="297" t="s">
        <v>1690</v>
      </c>
      <c r="E488" s="297" t="s">
        <v>1694</v>
      </c>
      <c r="F488" s="297" t="s">
        <v>1693</v>
      </c>
      <c r="G488" s="49" t="s">
        <v>1687</v>
      </c>
      <c r="H488" s="385" t="s">
        <v>1686</v>
      </c>
    </row>
    <row r="489" spans="1:9" s="1" customFormat="1" ht="15" x14ac:dyDescent="0.25">
      <c r="A489" s="103">
        <v>19015</v>
      </c>
      <c r="B489" s="51" t="str">
        <f>IF($A489=0,"",VLOOKUP($A489,'BASE EQUIPO'!$A:$D,2))</f>
        <v>HERRAMIENTA MENOR</v>
      </c>
      <c r="C489" s="52"/>
      <c r="D489" s="53">
        <v>1</v>
      </c>
      <c r="E489" s="53">
        <f>IF($A489=0,"",VLOOKUP($A489,'BASE EQUIPO'!$A:$D,4)*H505)</f>
        <v>1.0391999999999999</v>
      </c>
      <c r="F489" s="53">
        <f>IF($A489=0,"",ROUND(D489*E489,2))</f>
        <v>1.04</v>
      </c>
      <c r="G489" s="105">
        <v>1</v>
      </c>
      <c r="H489" s="54">
        <f>IF($A489=0,"",ROUND(G489*F489,2))</f>
        <v>1.04</v>
      </c>
      <c r="I489" s="2"/>
    </row>
    <row r="490" spans="1:9" x14ac:dyDescent="0.2">
      <c r="B490" s="302"/>
      <c r="C490" s="292"/>
      <c r="D490" s="303"/>
      <c r="E490" s="303"/>
      <c r="F490" s="303"/>
      <c r="G490" s="304"/>
      <c r="H490" s="386"/>
    </row>
    <row r="491" spans="1:9" x14ac:dyDescent="0.2">
      <c r="B491" s="302"/>
      <c r="C491" s="292"/>
      <c r="D491" s="303"/>
      <c r="E491" s="303"/>
      <c r="F491" s="303"/>
      <c r="G491" s="304"/>
      <c r="H491" s="386"/>
    </row>
    <row r="492" spans="1:9" x14ac:dyDescent="0.2">
      <c r="B492" s="302"/>
      <c r="C492" s="292"/>
      <c r="D492" s="303"/>
      <c r="E492" s="303"/>
      <c r="F492" s="303"/>
      <c r="G492" s="304"/>
      <c r="H492" s="386"/>
    </row>
    <row r="493" spans="1:9" x14ac:dyDescent="0.2">
      <c r="B493" s="302"/>
      <c r="C493" s="292"/>
      <c r="D493" s="303"/>
      <c r="E493" s="303"/>
      <c r="F493" s="303"/>
      <c r="G493" s="304"/>
      <c r="H493" s="386"/>
    </row>
    <row r="494" spans="1:9" x14ac:dyDescent="0.2">
      <c r="B494" s="305"/>
      <c r="C494" s="306"/>
      <c r="D494" s="307"/>
      <c r="E494" s="307"/>
      <c r="F494" s="307"/>
      <c r="G494" s="308"/>
      <c r="H494" s="387"/>
    </row>
    <row r="495" spans="1:9" ht="13.5" thickBot="1" x14ac:dyDescent="0.25">
      <c r="B495" s="742" t="s">
        <v>1692</v>
      </c>
      <c r="C495" s="743"/>
      <c r="D495" s="743"/>
      <c r="E495" s="743"/>
      <c r="F495" s="743"/>
      <c r="G495" s="744"/>
      <c r="H495" s="387">
        <f>SUM(H489:H494)</f>
        <v>1.04</v>
      </c>
    </row>
    <row r="496" spans="1:9" ht="13.5" thickBot="1" x14ac:dyDescent="0.25">
      <c r="B496" s="295" t="s">
        <v>1503</v>
      </c>
      <c r="C496" s="296"/>
      <c r="D496" s="296"/>
      <c r="E496" s="296"/>
      <c r="F496" s="296"/>
      <c r="G496" s="296"/>
      <c r="H496" s="384"/>
    </row>
    <row r="497" spans="1:8" ht="25.5" x14ac:dyDescent="0.2">
      <c r="B497" s="740" t="s">
        <v>1409</v>
      </c>
      <c r="C497" s="741"/>
      <c r="D497" s="309" t="s">
        <v>1690</v>
      </c>
      <c r="E497" s="309" t="s">
        <v>1689</v>
      </c>
      <c r="F497" s="309" t="s">
        <v>1688</v>
      </c>
      <c r="G497" s="67" t="s">
        <v>1687</v>
      </c>
      <c r="H497" s="388" t="s">
        <v>1686</v>
      </c>
    </row>
    <row r="498" spans="1:8" ht="15" x14ac:dyDescent="0.25">
      <c r="A498" s="103">
        <v>20001</v>
      </c>
      <c r="B498" s="310" t="s">
        <v>243</v>
      </c>
      <c r="C498" s="292"/>
      <c r="D498" s="311">
        <v>1</v>
      </c>
      <c r="E498" s="312">
        <v>3.0187499999999998</v>
      </c>
      <c r="F498" s="300">
        <v>3.0187499999999998</v>
      </c>
      <c r="G498" s="300">
        <v>4</v>
      </c>
      <c r="H498" s="301">
        <f>IF($A498=0,"",ROUND(F498*G498,2))</f>
        <v>12.08</v>
      </c>
    </row>
    <row r="499" spans="1:8" ht="15" x14ac:dyDescent="0.25">
      <c r="A499" s="103">
        <v>20016</v>
      </c>
      <c r="B499" s="310" t="s">
        <v>1488</v>
      </c>
      <c r="C499" s="292"/>
      <c r="D499" s="311">
        <v>1</v>
      </c>
      <c r="E499" s="312">
        <v>2.82</v>
      </c>
      <c r="F499" s="303">
        <v>2.82</v>
      </c>
      <c r="G499" s="303">
        <f>+G498</f>
        <v>4</v>
      </c>
      <c r="H499" s="386">
        <f>IF($A499=0,"",ROUND(F499*G499,2))</f>
        <v>11.28</v>
      </c>
    </row>
    <row r="500" spans="1:8" ht="15" x14ac:dyDescent="0.25">
      <c r="A500" s="103">
        <v>20011</v>
      </c>
      <c r="B500" s="310" t="s">
        <v>1787</v>
      </c>
      <c r="C500" s="292"/>
      <c r="D500" s="311">
        <v>1</v>
      </c>
      <c r="E500" s="312">
        <v>2.82</v>
      </c>
      <c r="F500" s="303">
        <v>2.82</v>
      </c>
      <c r="G500" s="303">
        <f>+G499</f>
        <v>4</v>
      </c>
      <c r="H500" s="386">
        <f>IF($A500=0,"",ROUND(F500*G500,2))</f>
        <v>11.28</v>
      </c>
    </row>
    <row r="501" spans="1:8" x14ac:dyDescent="0.2">
      <c r="B501" s="313"/>
      <c r="C501" s="292"/>
      <c r="D501" s="311"/>
      <c r="E501" s="312"/>
      <c r="F501" s="303"/>
      <c r="G501" s="304"/>
      <c r="H501" s="386"/>
    </row>
    <row r="502" spans="1:8" x14ac:dyDescent="0.2">
      <c r="B502" s="314"/>
      <c r="C502" s="292"/>
      <c r="D502" s="311"/>
      <c r="E502" s="312"/>
      <c r="F502" s="303"/>
      <c r="G502" s="304"/>
      <c r="H502" s="386"/>
    </row>
    <row r="503" spans="1:8" x14ac:dyDescent="0.2">
      <c r="B503" s="302"/>
      <c r="C503" s="292"/>
      <c r="D503" s="303"/>
      <c r="E503" s="303"/>
      <c r="F503" s="303"/>
      <c r="G503" s="304"/>
      <c r="H503" s="386"/>
    </row>
    <row r="504" spans="1:8" x14ac:dyDescent="0.2">
      <c r="B504" s="305"/>
      <c r="C504" s="306"/>
      <c r="D504" s="307"/>
      <c r="E504" s="307"/>
      <c r="F504" s="307"/>
      <c r="G504" s="308"/>
      <c r="H504" s="387"/>
    </row>
    <row r="505" spans="1:8" ht="13.5" thickBot="1" x14ac:dyDescent="0.25">
      <c r="B505" s="742" t="s">
        <v>1685</v>
      </c>
      <c r="C505" s="743"/>
      <c r="D505" s="743"/>
      <c r="E505" s="743"/>
      <c r="F505" s="743"/>
      <c r="G505" s="744"/>
      <c r="H505" s="389">
        <f>SUM(H498:H504)</f>
        <v>34.64</v>
      </c>
    </row>
    <row r="506" spans="1:8" ht="13.5" thickBot="1" x14ac:dyDescent="0.25">
      <c r="B506" s="295" t="s">
        <v>1684</v>
      </c>
      <c r="C506" s="296"/>
      <c r="D506" s="296"/>
      <c r="E506" s="296"/>
      <c r="F506" s="296"/>
      <c r="G506" s="296"/>
      <c r="H506" s="384"/>
    </row>
    <row r="507" spans="1:8" ht="25.5" x14ac:dyDescent="0.2">
      <c r="B507" s="748" t="s">
        <v>1409</v>
      </c>
      <c r="C507" s="749"/>
      <c r="D507" s="750"/>
      <c r="E507" s="393" t="s">
        <v>1408</v>
      </c>
      <c r="F507" s="394" t="s">
        <v>1679</v>
      </c>
      <c r="G507" s="394" t="s">
        <v>1683</v>
      </c>
      <c r="H507" s="395" t="s">
        <v>1675</v>
      </c>
    </row>
    <row r="508" spans="1:8" x14ac:dyDescent="0.2">
      <c r="A508">
        <v>1</v>
      </c>
      <c r="B508" s="294" t="s">
        <v>1914</v>
      </c>
      <c r="C508" s="292"/>
      <c r="D508" s="315"/>
      <c r="E508" s="316" t="s">
        <v>744</v>
      </c>
      <c r="F508" s="303">
        <v>3</v>
      </c>
      <c r="G508" s="303">
        <v>5.7960000000000003</v>
      </c>
      <c r="H508" s="386">
        <f t="shared" ref="H508:H528" si="5">IF($A508=0,"",ROUND(F508*G508,2))</f>
        <v>17.39</v>
      </c>
    </row>
    <row r="509" spans="1:8" x14ac:dyDescent="0.2">
      <c r="A509">
        <v>1</v>
      </c>
      <c r="B509" s="294" t="s">
        <v>1915</v>
      </c>
      <c r="C509" s="292"/>
      <c r="D509" s="315"/>
      <c r="E509" s="316" t="s">
        <v>744</v>
      </c>
      <c r="F509" s="303">
        <v>4.4000000000000004</v>
      </c>
      <c r="G509" s="303">
        <v>0.47700000000000004</v>
      </c>
      <c r="H509" s="386">
        <f t="shared" si="5"/>
        <v>2.1</v>
      </c>
    </row>
    <row r="510" spans="1:8" x14ac:dyDescent="0.2">
      <c r="A510">
        <v>1</v>
      </c>
      <c r="B510" s="294" t="s">
        <v>1916</v>
      </c>
      <c r="C510" s="292"/>
      <c r="D510" s="315"/>
      <c r="E510" s="316" t="s">
        <v>744</v>
      </c>
      <c r="F510" s="303">
        <v>4</v>
      </c>
      <c r="G510" s="303">
        <v>0.47700000000000004</v>
      </c>
      <c r="H510" s="386">
        <f t="shared" si="5"/>
        <v>1.91</v>
      </c>
    </row>
    <row r="511" spans="1:8" x14ac:dyDescent="0.2">
      <c r="A511">
        <v>1</v>
      </c>
      <c r="B511" s="294" t="s">
        <v>1266</v>
      </c>
      <c r="C511" s="292"/>
      <c r="D511" s="315"/>
      <c r="E511" s="316" t="s">
        <v>744</v>
      </c>
      <c r="F511" s="303">
        <v>0.4</v>
      </c>
      <c r="G511" s="303">
        <v>1.35</v>
      </c>
      <c r="H511" s="386">
        <f t="shared" si="5"/>
        <v>0.54</v>
      </c>
    </row>
    <row r="512" spans="1:8" x14ac:dyDescent="0.2">
      <c r="A512">
        <v>1</v>
      </c>
      <c r="B512" s="294" t="s">
        <v>1917</v>
      </c>
      <c r="C512" s="292"/>
      <c r="D512" s="315"/>
      <c r="E512" s="316" t="s">
        <v>744</v>
      </c>
      <c r="F512" s="303">
        <v>6</v>
      </c>
      <c r="G512" s="303">
        <v>8.1000000000000003E-2</v>
      </c>
      <c r="H512" s="386">
        <f t="shared" si="5"/>
        <v>0.49</v>
      </c>
    </row>
    <row r="513" spans="1:8" x14ac:dyDescent="0.2">
      <c r="A513">
        <v>1</v>
      </c>
      <c r="B513" s="294" t="s">
        <v>1903</v>
      </c>
      <c r="C513" s="292"/>
      <c r="D513" s="315"/>
      <c r="E513" s="316" t="s">
        <v>744</v>
      </c>
      <c r="F513" s="303">
        <v>8</v>
      </c>
      <c r="G513" s="303">
        <v>6.3E-3</v>
      </c>
      <c r="H513" s="386">
        <f t="shared" si="5"/>
        <v>0.05</v>
      </c>
    </row>
    <row r="514" spans="1:8" x14ac:dyDescent="0.2">
      <c r="A514">
        <v>1</v>
      </c>
      <c r="B514" s="294" t="s">
        <v>1904</v>
      </c>
      <c r="C514" s="292"/>
      <c r="D514" s="315"/>
      <c r="E514" s="316" t="s">
        <v>744</v>
      </c>
      <c r="F514" s="303">
        <v>2</v>
      </c>
      <c r="G514" s="303">
        <v>2.52E-2</v>
      </c>
      <c r="H514" s="386">
        <f t="shared" si="5"/>
        <v>0.05</v>
      </c>
    </row>
    <row r="515" spans="1:8" x14ac:dyDescent="0.2">
      <c r="A515">
        <v>1</v>
      </c>
      <c r="B515" s="294" t="s">
        <v>1918</v>
      </c>
      <c r="C515" s="292"/>
      <c r="D515" s="315"/>
      <c r="E515" s="316" t="s">
        <v>744</v>
      </c>
      <c r="F515" s="303">
        <v>1</v>
      </c>
      <c r="G515" s="303">
        <v>2.8530000000000002</v>
      </c>
      <c r="H515" s="386">
        <f t="shared" si="5"/>
        <v>2.85</v>
      </c>
    </row>
    <row r="516" spans="1:8" x14ac:dyDescent="0.2">
      <c r="A516">
        <v>1</v>
      </c>
      <c r="B516" s="294" t="s">
        <v>1909</v>
      </c>
      <c r="C516" s="292"/>
      <c r="D516" s="315"/>
      <c r="E516" s="316" t="s">
        <v>1788</v>
      </c>
      <c r="F516" s="303">
        <v>25</v>
      </c>
      <c r="G516" s="303">
        <v>0.441</v>
      </c>
      <c r="H516" s="386">
        <f t="shared" si="5"/>
        <v>11.03</v>
      </c>
    </row>
    <row r="517" spans="1:8" x14ac:dyDescent="0.2">
      <c r="A517">
        <v>1</v>
      </c>
      <c r="B517" s="294" t="s">
        <v>1955</v>
      </c>
      <c r="C517" s="292"/>
      <c r="D517" s="315"/>
      <c r="E517" s="316" t="s">
        <v>744</v>
      </c>
      <c r="F517" s="303">
        <v>1</v>
      </c>
      <c r="G517" s="303">
        <v>3.8</v>
      </c>
      <c r="H517" s="386">
        <f t="shared" si="5"/>
        <v>3.8</v>
      </c>
    </row>
    <row r="518" spans="1:8" x14ac:dyDescent="0.2">
      <c r="B518" s="294"/>
      <c r="C518" s="292"/>
      <c r="D518" s="315"/>
      <c r="E518" s="316"/>
      <c r="F518" s="303"/>
      <c r="G518" s="303"/>
      <c r="H518" s="386" t="str">
        <f t="shared" si="5"/>
        <v/>
      </c>
    </row>
    <row r="519" spans="1:8" x14ac:dyDescent="0.2">
      <c r="B519" s="294"/>
      <c r="C519" s="292"/>
      <c r="D519" s="315"/>
      <c r="E519" s="316"/>
      <c r="F519" s="303"/>
      <c r="G519" s="303"/>
      <c r="H519" s="386" t="str">
        <f t="shared" si="5"/>
        <v/>
      </c>
    </row>
    <row r="520" spans="1:8" x14ac:dyDescent="0.2">
      <c r="B520" s="294"/>
      <c r="C520" s="292"/>
      <c r="D520" s="315"/>
      <c r="E520" s="316"/>
      <c r="F520" s="303"/>
      <c r="G520" s="303"/>
      <c r="H520" s="386" t="str">
        <f t="shared" si="5"/>
        <v/>
      </c>
    </row>
    <row r="521" spans="1:8" x14ac:dyDescent="0.2">
      <c r="B521" s="294"/>
      <c r="C521" s="292"/>
      <c r="D521" s="315"/>
      <c r="E521" s="316"/>
      <c r="F521" s="303"/>
      <c r="G521" s="303"/>
      <c r="H521" s="386" t="str">
        <f t="shared" si="5"/>
        <v/>
      </c>
    </row>
    <row r="522" spans="1:8" x14ac:dyDescent="0.2">
      <c r="B522" s="294"/>
      <c r="C522" s="292"/>
      <c r="D522" s="315"/>
      <c r="E522" s="316"/>
      <c r="F522" s="303"/>
      <c r="G522" s="303"/>
      <c r="H522" s="386" t="str">
        <f t="shared" si="5"/>
        <v/>
      </c>
    </row>
    <row r="523" spans="1:8" x14ac:dyDescent="0.2">
      <c r="B523" s="294"/>
      <c r="C523" s="292"/>
      <c r="D523" s="315"/>
      <c r="E523" s="316"/>
      <c r="F523" s="303"/>
      <c r="G523" s="303"/>
      <c r="H523" s="386" t="str">
        <f t="shared" si="5"/>
        <v/>
      </c>
    </row>
    <row r="524" spans="1:8" x14ac:dyDescent="0.2">
      <c r="B524" s="294"/>
      <c r="C524" s="292"/>
      <c r="D524" s="315"/>
      <c r="E524" s="316"/>
      <c r="F524" s="303"/>
      <c r="G524" s="303"/>
      <c r="H524" s="386" t="str">
        <f t="shared" si="5"/>
        <v/>
      </c>
    </row>
    <row r="525" spans="1:8" x14ac:dyDescent="0.2">
      <c r="B525" s="294"/>
      <c r="C525" s="292"/>
      <c r="D525" s="315"/>
      <c r="E525" s="316"/>
      <c r="F525" s="303"/>
      <c r="G525" s="303"/>
      <c r="H525" s="386" t="str">
        <f t="shared" si="5"/>
        <v/>
      </c>
    </row>
    <row r="526" spans="1:8" x14ac:dyDescent="0.2">
      <c r="B526" s="294"/>
      <c r="C526" s="292"/>
      <c r="D526" s="315"/>
      <c r="E526" s="316"/>
      <c r="F526" s="303"/>
      <c r="G526" s="303"/>
      <c r="H526" s="386" t="str">
        <f t="shared" si="5"/>
        <v/>
      </c>
    </row>
    <row r="527" spans="1:8" x14ac:dyDescent="0.2">
      <c r="B527" s="294"/>
      <c r="C527" s="292"/>
      <c r="D527" s="315"/>
      <c r="E527" s="303"/>
      <c r="F527" s="303"/>
      <c r="G527" s="303"/>
      <c r="H527" s="386" t="str">
        <f t="shared" si="5"/>
        <v/>
      </c>
    </row>
    <row r="528" spans="1:8" x14ac:dyDescent="0.2">
      <c r="B528" s="294"/>
      <c r="C528" s="292"/>
      <c r="D528" s="315"/>
      <c r="E528" s="303"/>
      <c r="F528" s="303"/>
      <c r="G528" s="303"/>
      <c r="H528" s="386" t="str">
        <f t="shared" si="5"/>
        <v/>
      </c>
    </row>
    <row r="529" spans="1:9" ht="13.5" thickBot="1" x14ac:dyDescent="0.25">
      <c r="B529" s="742" t="s">
        <v>1681</v>
      </c>
      <c r="C529" s="743"/>
      <c r="D529" s="743"/>
      <c r="E529" s="743"/>
      <c r="F529" s="743"/>
      <c r="G529" s="744"/>
      <c r="H529" s="389">
        <f>SUM(H508:H528)</f>
        <v>40.21</v>
      </c>
    </row>
    <row r="530" spans="1:9" ht="13.5" thickBot="1" x14ac:dyDescent="0.25">
      <c r="B530" s="295" t="s">
        <v>1680</v>
      </c>
      <c r="C530" s="296"/>
      <c r="D530" s="296"/>
      <c r="E530" s="296"/>
      <c r="F530" s="296"/>
      <c r="G530" s="296"/>
      <c r="H530" s="384"/>
    </row>
    <row r="531" spans="1:9" ht="25.5" x14ac:dyDescent="0.2">
      <c r="B531" s="390" t="s">
        <v>1409</v>
      </c>
      <c r="C531" s="391"/>
      <c r="D531" s="392"/>
      <c r="E531" s="309" t="s">
        <v>1408</v>
      </c>
      <c r="F531" s="309" t="s">
        <v>1679</v>
      </c>
      <c r="G531" s="309" t="s">
        <v>1676</v>
      </c>
      <c r="H531" s="388" t="s">
        <v>1675</v>
      </c>
    </row>
    <row r="532" spans="1:9" s="1" customFormat="1" ht="15" x14ac:dyDescent="0.25">
      <c r="A532" s="103">
        <v>19019</v>
      </c>
      <c r="B532" s="51" t="str">
        <f>IF($A532=0,"",VLOOKUP($A532,'BASE EQUIPO'!$A:$D,2))</f>
        <v>TRANSPORTE DE MATERIAL</v>
      </c>
      <c r="C532" s="52"/>
      <c r="D532" s="82"/>
      <c r="E532" s="78" t="str">
        <f>IF($A532=0,"",VLOOKUP($A532,'BASE EQUIPO'!$A:$D,3))</f>
        <v>GLOBAL</v>
      </c>
      <c r="F532" s="55">
        <v>1</v>
      </c>
      <c r="G532" s="83">
        <f>IF($A532=0,"",VLOOKUP($A532,'BASE EQUIPO'!$A:$D,4)*H529)</f>
        <v>1.2062999999999999</v>
      </c>
      <c r="H532" s="56">
        <f>IF($A532=0,"",ROUND(F532*G532,2))</f>
        <v>1.21</v>
      </c>
      <c r="I532" s="2"/>
    </row>
    <row r="533" spans="1:9" x14ac:dyDescent="0.2">
      <c r="B533" s="302"/>
      <c r="C533" s="292"/>
      <c r="D533" s="317"/>
      <c r="E533" s="316"/>
      <c r="F533" s="303"/>
      <c r="G533" s="303"/>
      <c r="H533" s="386"/>
    </row>
    <row r="534" spans="1:9" x14ac:dyDescent="0.2">
      <c r="B534" s="305"/>
      <c r="C534" s="306"/>
      <c r="D534" s="318"/>
      <c r="E534" s="319"/>
      <c r="F534" s="307"/>
      <c r="G534" s="307"/>
      <c r="H534" s="387"/>
    </row>
    <row r="535" spans="1:9" ht="13.5" thickBot="1" x14ac:dyDescent="0.25">
      <c r="B535" s="742" t="s">
        <v>1674</v>
      </c>
      <c r="C535" s="743"/>
      <c r="D535" s="743"/>
      <c r="E535" s="743"/>
      <c r="F535" s="743"/>
      <c r="G535" s="744"/>
      <c r="H535" s="397">
        <f>SUM(H532:H534)</f>
        <v>1.21</v>
      </c>
    </row>
    <row r="536" spans="1:9" x14ac:dyDescent="0.2">
      <c r="B536" s="292"/>
      <c r="C536" s="292"/>
      <c r="D536" s="320" t="s">
        <v>1673</v>
      </c>
      <c r="E536" s="321"/>
      <c r="F536" s="321"/>
      <c r="G536" s="321"/>
      <c r="H536" s="331">
        <f>H495+H505+H529+H535</f>
        <v>77.099999999999994</v>
      </c>
    </row>
    <row r="537" spans="1:9" s="1" customFormat="1" ht="15.75" x14ac:dyDescent="0.25">
      <c r="A537" s="103">
        <v>40002</v>
      </c>
      <c r="B537" s="2"/>
      <c r="C537" s="2"/>
      <c r="D537" s="93" t="s">
        <v>1672</v>
      </c>
      <c r="E537" s="65"/>
      <c r="F537" s="65"/>
      <c r="G537" s="94">
        <f>IF($A537=0,"",VLOOKUP($A537,'BASE MATERIAL'!$M:$P,4))</f>
        <v>0</v>
      </c>
      <c r="H537" s="95">
        <f>IF($A537=0,"",ROUND(G537*H536,2))</f>
        <v>0</v>
      </c>
      <c r="I537" s="2"/>
    </row>
    <row r="538" spans="1:9" s="1" customFormat="1" ht="15.75" x14ac:dyDescent="0.25">
      <c r="A538" s="103">
        <v>40003</v>
      </c>
      <c r="B538" s="2"/>
      <c r="C538" s="2"/>
      <c r="D538" s="93" t="s">
        <v>1671</v>
      </c>
      <c r="E538" s="65"/>
      <c r="F538" s="65"/>
      <c r="G538" s="94">
        <f>IF($A538=0,"",VLOOKUP($A538,'BASE MATERIAL'!$M:$P,4))</f>
        <v>0</v>
      </c>
      <c r="H538" s="95">
        <f>IF($A538=0,"",ROUND(G538*H536,2))</f>
        <v>0</v>
      </c>
      <c r="I538" s="2"/>
    </row>
    <row r="539" spans="1:9" s="1" customFormat="1" ht="15.75" x14ac:dyDescent="0.25">
      <c r="A539" s="103"/>
      <c r="B539" s="2"/>
      <c r="C539" s="2"/>
      <c r="D539" s="93" t="s">
        <v>1670</v>
      </c>
      <c r="E539" s="65"/>
      <c r="F539" s="65"/>
      <c r="G539" s="65"/>
      <c r="H539" s="96">
        <f>ROUND(SUM(H536:H538),2)</f>
        <v>77.099999999999994</v>
      </c>
      <c r="I539" s="2"/>
    </row>
    <row r="540" spans="1:9" s="1" customFormat="1" ht="16.5" thickBot="1" x14ac:dyDescent="0.3">
      <c r="A540" s="103"/>
      <c r="B540" s="25"/>
      <c r="C540" s="2"/>
      <c r="D540" s="97" t="s">
        <v>1650</v>
      </c>
      <c r="E540" s="88"/>
      <c r="F540" s="88"/>
      <c r="G540" s="88"/>
      <c r="H540" s="98">
        <f>ROUND(H539,2)</f>
        <v>77.099999999999994</v>
      </c>
      <c r="I540" s="2"/>
    </row>
    <row r="541" spans="1:9" x14ac:dyDescent="0.2">
      <c r="B541" s="294"/>
      <c r="C541" s="294"/>
      <c r="D541" s="294"/>
      <c r="E541" s="294"/>
      <c r="F541" s="294"/>
      <c r="G541" s="294"/>
      <c r="H541" s="294"/>
    </row>
    <row r="542" spans="1:9" x14ac:dyDescent="0.2">
      <c r="B542" s="294"/>
      <c r="C542" s="294"/>
      <c r="D542" s="294"/>
      <c r="E542" s="294"/>
      <c r="F542" s="294"/>
      <c r="G542" s="294"/>
      <c r="H542" s="294"/>
    </row>
    <row r="543" spans="1:9" x14ac:dyDescent="0.2">
      <c r="B543" s="292" t="s">
        <v>1889</v>
      </c>
      <c r="C543" s="292" t="s">
        <v>1890</v>
      </c>
      <c r="D543" s="292"/>
      <c r="E543" s="292"/>
      <c r="F543" s="292"/>
      <c r="G543" s="292"/>
      <c r="H543" s="292" t="s">
        <v>1891</v>
      </c>
    </row>
    <row r="544" spans="1:9" x14ac:dyDescent="0.2">
      <c r="B544" s="292" t="s">
        <v>1700</v>
      </c>
      <c r="C544" s="292" t="s">
        <v>1892</v>
      </c>
      <c r="D544" s="292"/>
      <c r="E544" s="292"/>
      <c r="F544" s="292"/>
      <c r="G544" s="382"/>
      <c r="H544" s="315"/>
    </row>
    <row r="545" spans="1:8" x14ac:dyDescent="0.2">
      <c r="B545" s="292"/>
      <c r="C545" s="292"/>
      <c r="D545" s="292"/>
      <c r="E545" s="292"/>
      <c r="F545" s="292"/>
      <c r="G545" s="292"/>
      <c r="H545" s="292"/>
    </row>
    <row r="546" spans="1:8" x14ac:dyDescent="0.2">
      <c r="B546" s="738" t="s">
        <v>1697</v>
      </c>
      <c r="C546" s="739"/>
      <c r="D546" s="739"/>
      <c r="E546" s="739"/>
      <c r="F546" s="739"/>
      <c r="G546" s="739"/>
      <c r="H546" s="739"/>
    </row>
    <row r="547" spans="1:8" x14ac:dyDescent="0.2">
      <c r="B547" s="292" t="s">
        <v>1586</v>
      </c>
      <c r="C547" s="293">
        <v>3.0819999999999999</v>
      </c>
      <c r="D547" s="292"/>
      <c r="E547" s="292"/>
      <c r="F547" s="292"/>
      <c r="G547" s="292" t="s">
        <v>1696</v>
      </c>
      <c r="H547" s="315" t="s">
        <v>744</v>
      </c>
    </row>
    <row r="548" spans="1:8" x14ac:dyDescent="0.2">
      <c r="B548" s="292" t="s">
        <v>1585</v>
      </c>
      <c r="C548" s="294" t="s">
        <v>1912</v>
      </c>
      <c r="D548" s="292"/>
      <c r="E548" s="292"/>
      <c r="F548" s="292"/>
      <c r="G548" s="292"/>
      <c r="H548" s="292"/>
    </row>
    <row r="549" spans="1:8" ht="13.5" thickBot="1" x14ac:dyDescent="0.25">
      <c r="B549" s="292"/>
      <c r="C549" s="292"/>
      <c r="D549" s="292"/>
      <c r="E549" s="292"/>
      <c r="F549" s="292"/>
      <c r="G549" s="292"/>
      <c r="H549" s="292"/>
    </row>
    <row r="550" spans="1:8" ht="13.5" thickBot="1" x14ac:dyDescent="0.25">
      <c r="B550" s="295" t="s">
        <v>1695</v>
      </c>
      <c r="C550" s="296"/>
      <c r="D550" s="296"/>
      <c r="E550" s="296"/>
      <c r="F550" s="296"/>
      <c r="G550" s="296"/>
      <c r="H550" s="384"/>
    </row>
    <row r="551" spans="1:8" ht="25.5" x14ac:dyDescent="0.2">
      <c r="B551" s="740" t="s">
        <v>1409</v>
      </c>
      <c r="C551" s="741"/>
      <c r="D551" s="297" t="s">
        <v>1690</v>
      </c>
      <c r="E551" s="297" t="s">
        <v>1694</v>
      </c>
      <c r="F551" s="297" t="s">
        <v>1693</v>
      </c>
      <c r="G551" s="49" t="s">
        <v>1687</v>
      </c>
      <c r="H551" s="385" t="s">
        <v>1686</v>
      </c>
    </row>
    <row r="552" spans="1:8" ht="15" x14ac:dyDescent="0.25">
      <c r="A552" s="103">
        <v>19016</v>
      </c>
      <c r="B552" s="298" t="s">
        <v>1468</v>
      </c>
      <c r="C552" s="299"/>
      <c r="D552" s="300">
        <v>1</v>
      </c>
      <c r="E552" s="53">
        <f>IF($A552=0,"",VLOOKUP($A552,'BASE EQUIPO'!$A:$D,4)*H568)</f>
        <v>1</v>
      </c>
      <c r="F552" s="53">
        <f>IF($A552=0,"",ROUND(D552*E552,2))</f>
        <v>1</v>
      </c>
      <c r="G552" s="301">
        <v>1</v>
      </c>
      <c r="H552" s="54">
        <f>IF($A552=0,"",ROUND(G552*F552,2))</f>
        <v>1</v>
      </c>
    </row>
    <row r="553" spans="1:8" x14ac:dyDescent="0.2">
      <c r="B553" s="302"/>
      <c r="C553" s="292"/>
      <c r="D553" s="303"/>
      <c r="E553" s="303"/>
      <c r="F553" s="303"/>
      <c r="G553" s="304"/>
      <c r="H553" s="386"/>
    </row>
    <row r="554" spans="1:8" x14ac:dyDescent="0.2">
      <c r="B554" s="302"/>
      <c r="C554" s="292"/>
      <c r="D554" s="303"/>
      <c r="E554" s="303"/>
      <c r="F554" s="303"/>
      <c r="G554" s="304"/>
      <c r="H554" s="386"/>
    </row>
    <row r="555" spans="1:8" x14ac:dyDescent="0.2">
      <c r="B555" s="302"/>
      <c r="C555" s="292"/>
      <c r="D555" s="303"/>
      <c r="E555" s="303"/>
      <c r="F555" s="303"/>
      <c r="G555" s="304"/>
      <c r="H555" s="386"/>
    </row>
    <row r="556" spans="1:8" x14ac:dyDescent="0.2">
      <c r="B556" s="302"/>
      <c r="C556" s="292"/>
      <c r="D556" s="303"/>
      <c r="E556" s="303"/>
      <c r="F556" s="303"/>
      <c r="G556" s="304"/>
      <c r="H556" s="386"/>
    </row>
    <row r="557" spans="1:8" x14ac:dyDescent="0.2">
      <c r="B557" s="305"/>
      <c r="C557" s="306"/>
      <c r="D557" s="307"/>
      <c r="E557" s="307"/>
      <c r="F557" s="307"/>
      <c r="G557" s="308"/>
      <c r="H557" s="387"/>
    </row>
    <row r="558" spans="1:8" ht="13.5" thickBot="1" x14ac:dyDescent="0.25">
      <c r="B558" s="742" t="s">
        <v>1692</v>
      </c>
      <c r="C558" s="743"/>
      <c r="D558" s="743"/>
      <c r="E558" s="743"/>
      <c r="F558" s="743"/>
      <c r="G558" s="744"/>
      <c r="H558" s="387">
        <v>9.9999999999999992E-2</v>
      </c>
    </row>
    <row r="559" spans="1:8" ht="13.5" thickBot="1" x14ac:dyDescent="0.25">
      <c r="B559" s="295" t="s">
        <v>1503</v>
      </c>
      <c r="C559" s="296"/>
      <c r="D559" s="296"/>
      <c r="E559" s="296"/>
      <c r="F559" s="296"/>
      <c r="G559" s="296"/>
      <c r="H559" s="384"/>
    </row>
    <row r="560" spans="1:8" ht="25.5" x14ac:dyDescent="0.2">
      <c r="B560" s="740" t="s">
        <v>1409</v>
      </c>
      <c r="C560" s="741"/>
      <c r="D560" s="309" t="s">
        <v>1690</v>
      </c>
      <c r="E560" s="309" t="s">
        <v>1689</v>
      </c>
      <c r="F560" s="309" t="s">
        <v>1688</v>
      </c>
      <c r="G560" s="67" t="s">
        <v>1687</v>
      </c>
      <c r="H560" s="388" t="s">
        <v>1686</v>
      </c>
    </row>
    <row r="561" spans="2:8" x14ac:dyDescent="0.2">
      <c r="B561" s="310" t="s">
        <v>243</v>
      </c>
      <c r="C561" s="292"/>
      <c r="D561" s="311">
        <v>1</v>
      </c>
      <c r="E561" s="312">
        <v>3.0187499999999998</v>
      </c>
      <c r="F561" s="300">
        <v>3.0187499999999998</v>
      </c>
      <c r="G561" s="300">
        <v>2.30980222318464</v>
      </c>
      <c r="H561" s="301">
        <v>6.9727154612386313</v>
      </c>
    </row>
    <row r="562" spans="2:8" x14ac:dyDescent="0.2">
      <c r="B562" s="310" t="s">
        <v>1488</v>
      </c>
      <c r="C562" s="292"/>
      <c r="D562" s="311">
        <v>1</v>
      </c>
      <c r="E562" s="312">
        <v>2.82</v>
      </c>
      <c r="F562" s="303">
        <v>2.82</v>
      </c>
      <c r="G562" s="303">
        <v>2.30980222318464</v>
      </c>
      <c r="H562" s="386">
        <v>6.5136422693806848</v>
      </c>
    </row>
    <row r="563" spans="2:8" x14ac:dyDescent="0.2">
      <c r="B563" s="310" t="s">
        <v>1787</v>
      </c>
      <c r="C563" s="292"/>
      <c r="D563" s="311">
        <v>1</v>
      </c>
      <c r="E563" s="312">
        <v>2.82</v>
      </c>
      <c r="F563" s="303">
        <v>2.82</v>
      </c>
      <c r="G563" s="303">
        <v>2.30980222318464</v>
      </c>
      <c r="H563" s="386">
        <v>6.5136422693806848</v>
      </c>
    </row>
    <row r="564" spans="2:8" x14ac:dyDescent="0.2">
      <c r="B564" s="313"/>
      <c r="C564" s="292"/>
      <c r="D564" s="311"/>
      <c r="E564" s="312"/>
      <c r="F564" s="303"/>
      <c r="G564" s="304"/>
      <c r="H564" s="386"/>
    </row>
    <row r="565" spans="2:8" x14ac:dyDescent="0.2">
      <c r="B565" s="314"/>
      <c r="C565" s="292"/>
      <c r="D565" s="311"/>
      <c r="E565" s="312"/>
      <c r="F565" s="303"/>
      <c r="G565" s="304"/>
      <c r="H565" s="386"/>
    </row>
    <row r="566" spans="2:8" x14ac:dyDescent="0.2">
      <c r="B566" s="302"/>
      <c r="C566" s="292"/>
      <c r="D566" s="303"/>
      <c r="E566" s="303"/>
      <c r="F566" s="303"/>
      <c r="G566" s="304"/>
      <c r="H566" s="386"/>
    </row>
    <row r="567" spans="2:8" x14ac:dyDescent="0.2">
      <c r="B567" s="305"/>
      <c r="C567" s="306"/>
      <c r="D567" s="307"/>
      <c r="E567" s="307"/>
      <c r="F567" s="307"/>
      <c r="G567" s="308"/>
      <c r="H567" s="387"/>
    </row>
    <row r="568" spans="2:8" ht="13.5" thickBot="1" x14ac:dyDescent="0.25">
      <c r="B568" s="742" t="s">
        <v>1685</v>
      </c>
      <c r="C568" s="743"/>
      <c r="D568" s="743"/>
      <c r="E568" s="743"/>
      <c r="F568" s="743"/>
      <c r="G568" s="744"/>
      <c r="H568" s="389">
        <v>20</v>
      </c>
    </row>
    <row r="569" spans="2:8" ht="13.5" thickBot="1" x14ac:dyDescent="0.25">
      <c r="B569" s="295" t="s">
        <v>1684</v>
      </c>
      <c r="C569" s="296"/>
      <c r="D569" s="296"/>
      <c r="E569" s="296"/>
      <c r="F569" s="296"/>
      <c r="G569" s="296"/>
      <c r="H569" s="384"/>
    </row>
    <row r="570" spans="2:8" ht="25.5" x14ac:dyDescent="0.2">
      <c r="B570" s="748" t="s">
        <v>1409</v>
      </c>
      <c r="C570" s="749"/>
      <c r="D570" s="750"/>
      <c r="E570" s="393" t="s">
        <v>1408</v>
      </c>
      <c r="F570" s="394" t="s">
        <v>1679</v>
      </c>
      <c r="G570" s="394" t="s">
        <v>1683</v>
      </c>
      <c r="H570" s="395" t="s">
        <v>1675</v>
      </c>
    </row>
    <row r="571" spans="2:8" x14ac:dyDescent="0.2">
      <c r="B571" s="294" t="s">
        <v>1895</v>
      </c>
      <c r="C571" s="292"/>
      <c r="D571" s="315"/>
      <c r="E571" s="316" t="s">
        <v>744</v>
      </c>
      <c r="F571" s="303">
        <v>4</v>
      </c>
      <c r="G571" s="303">
        <v>2.8440000000000003</v>
      </c>
      <c r="H571" s="386">
        <v>11.376000000000001</v>
      </c>
    </row>
    <row r="572" spans="2:8" x14ac:dyDescent="0.2">
      <c r="B572" s="294" t="s">
        <v>1909</v>
      </c>
      <c r="C572" s="292"/>
      <c r="D572" s="315"/>
      <c r="E572" s="316" t="s">
        <v>1788</v>
      </c>
      <c r="F572" s="303">
        <v>25</v>
      </c>
      <c r="G572" s="303">
        <v>0.441</v>
      </c>
      <c r="H572" s="386">
        <v>11.025</v>
      </c>
    </row>
    <row r="573" spans="2:8" x14ac:dyDescent="0.2">
      <c r="B573" s="294" t="s">
        <v>1910</v>
      </c>
      <c r="C573" s="292"/>
      <c r="D573" s="315"/>
      <c r="E573" s="316" t="s">
        <v>1788</v>
      </c>
      <c r="F573" s="303">
        <v>13</v>
      </c>
      <c r="G573" s="303">
        <v>0.27</v>
      </c>
      <c r="H573" s="386">
        <v>3.5100000000000002</v>
      </c>
    </row>
    <row r="574" spans="2:8" x14ac:dyDescent="0.2">
      <c r="B574" s="294" t="s">
        <v>1898</v>
      </c>
      <c r="C574" s="292"/>
      <c r="D574" s="315"/>
      <c r="E574" s="316" t="s">
        <v>744</v>
      </c>
      <c r="F574" s="303">
        <v>1</v>
      </c>
      <c r="G574" s="303">
        <v>0.36000000000000004</v>
      </c>
      <c r="H574" s="386">
        <v>0.36000000000000004</v>
      </c>
    </row>
    <row r="575" spans="2:8" x14ac:dyDescent="0.2">
      <c r="B575" s="294" t="s">
        <v>1911</v>
      </c>
      <c r="C575" s="292"/>
      <c r="D575" s="315"/>
      <c r="E575" s="316" t="s">
        <v>744</v>
      </c>
      <c r="F575" s="303">
        <v>1</v>
      </c>
      <c r="G575" s="303">
        <v>5.3639999999999999</v>
      </c>
      <c r="H575" s="386">
        <v>5.3639999999999999</v>
      </c>
    </row>
    <row r="576" spans="2:8" x14ac:dyDescent="0.2">
      <c r="B576" s="294" t="s">
        <v>1900</v>
      </c>
      <c r="C576" s="292"/>
      <c r="D576" s="315"/>
      <c r="E576" s="316" t="s">
        <v>744</v>
      </c>
      <c r="F576" s="303">
        <v>4</v>
      </c>
      <c r="G576" s="303">
        <v>0.18000000000000002</v>
      </c>
      <c r="H576" s="386">
        <v>0.72000000000000008</v>
      </c>
    </row>
    <row r="577" spans="2:8" x14ac:dyDescent="0.2">
      <c r="B577" s="294" t="s">
        <v>1901</v>
      </c>
      <c r="C577" s="292"/>
      <c r="D577" s="315"/>
      <c r="E577" s="316" t="s">
        <v>744</v>
      </c>
      <c r="F577" s="303">
        <v>6</v>
      </c>
      <c r="G577" s="303">
        <v>0.216</v>
      </c>
      <c r="H577" s="386">
        <v>1.296</v>
      </c>
    </row>
    <row r="578" spans="2:8" x14ac:dyDescent="0.2">
      <c r="B578" s="294" t="s">
        <v>1902</v>
      </c>
      <c r="C578" s="292"/>
      <c r="D578" s="315"/>
      <c r="E578" s="316" t="s">
        <v>744</v>
      </c>
      <c r="F578" s="303">
        <v>6</v>
      </c>
      <c r="G578" s="303">
        <v>4.5000000000000005E-2</v>
      </c>
      <c r="H578" s="386">
        <v>0.27</v>
      </c>
    </row>
    <row r="579" spans="2:8" x14ac:dyDescent="0.2">
      <c r="B579" s="294" t="s">
        <v>1903</v>
      </c>
      <c r="C579" s="292"/>
      <c r="D579" s="315"/>
      <c r="E579" s="316" t="s">
        <v>744</v>
      </c>
      <c r="F579" s="303">
        <v>8</v>
      </c>
      <c r="G579" s="303">
        <v>6.3E-3</v>
      </c>
      <c r="H579" s="386">
        <v>5.04E-2</v>
      </c>
    </row>
    <row r="580" spans="2:8" x14ac:dyDescent="0.2">
      <c r="B580" s="294" t="s">
        <v>1266</v>
      </c>
      <c r="C580" s="292"/>
      <c r="D580" s="315"/>
      <c r="E580" s="316" t="s">
        <v>1196</v>
      </c>
      <c r="F580" s="303">
        <v>0.4</v>
      </c>
      <c r="G580" s="303">
        <v>1.35</v>
      </c>
      <c r="H580" s="386">
        <v>0.54</v>
      </c>
    </row>
    <row r="581" spans="2:8" x14ac:dyDescent="0.2">
      <c r="B581" s="294" t="s">
        <v>1904</v>
      </c>
      <c r="C581" s="292"/>
      <c r="D581" s="315"/>
      <c r="E581" s="316" t="s">
        <v>744</v>
      </c>
      <c r="F581" s="303">
        <v>4</v>
      </c>
      <c r="G581" s="303">
        <v>2.52E-2</v>
      </c>
      <c r="H581" s="386">
        <v>0.1008</v>
      </c>
    </row>
    <row r="582" spans="2:8" x14ac:dyDescent="0.2">
      <c r="B582" s="294" t="s">
        <v>1905</v>
      </c>
      <c r="C582" s="292"/>
      <c r="D582" s="315"/>
      <c r="E582" s="316" t="s">
        <v>744</v>
      </c>
      <c r="F582" s="303">
        <v>0.2</v>
      </c>
      <c r="G582" s="303">
        <v>0.63900000000000001</v>
      </c>
      <c r="H582" s="386">
        <v>0.1278</v>
      </c>
    </row>
    <row r="583" spans="2:8" x14ac:dyDescent="0.2">
      <c r="B583" s="294" t="s">
        <v>1897</v>
      </c>
      <c r="C583" s="292"/>
      <c r="D583" s="315"/>
      <c r="E583" s="316" t="s">
        <v>744</v>
      </c>
      <c r="F583" s="303">
        <v>1</v>
      </c>
      <c r="G583" s="303">
        <v>0.68400000000000005</v>
      </c>
      <c r="H583" s="386">
        <v>0.68400000000000005</v>
      </c>
    </row>
    <row r="584" spans="2:8" x14ac:dyDescent="0.2">
      <c r="B584" s="294"/>
      <c r="C584" s="292"/>
      <c r="D584" s="315"/>
      <c r="E584" s="316"/>
      <c r="F584" s="303"/>
      <c r="G584" s="303"/>
      <c r="H584" s="386"/>
    </row>
    <row r="585" spans="2:8" x14ac:dyDescent="0.2">
      <c r="B585" s="294"/>
      <c r="C585" s="292"/>
      <c r="D585" s="315"/>
      <c r="E585" s="316"/>
      <c r="F585" s="303"/>
      <c r="G585" s="303"/>
      <c r="H585" s="386"/>
    </row>
    <row r="586" spans="2:8" x14ac:dyDescent="0.2">
      <c r="B586" s="294"/>
      <c r="C586" s="292"/>
      <c r="D586" s="315"/>
      <c r="E586" s="316"/>
      <c r="F586" s="303"/>
      <c r="G586" s="303"/>
      <c r="H586" s="386"/>
    </row>
    <row r="587" spans="2:8" x14ac:dyDescent="0.2">
      <c r="B587" s="294"/>
      <c r="C587" s="292"/>
      <c r="D587" s="315"/>
      <c r="E587" s="316"/>
      <c r="F587" s="303"/>
      <c r="G587" s="303"/>
      <c r="H587" s="386"/>
    </row>
    <row r="588" spans="2:8" x14ac:dyDescent="0.2">
      <c r="B588" s="294"/>
      <c r="C588" s="292"/>
      <c r="D588" s="315"/>
      <c r="E588" s="316"/>
      <c r="F588" s="303"/>
      <c r="G588" s="303"/>
      <c r="H588" s="386"/>
    </row>
    <row r="589" spans="2:8" x14ac:dyDescent="0.2">
      <c r="B589" s="294"/>
      <c r="C589" s="292"/>
      <c r="D589" s="315"/>
      <c r="E589" s="316"/>
      <c r="F589" s="303"/>
      <c r="G589" s="303"/>
      <c r="H589" s="386"/>
    </row>
    <row r="590" spans="2:8" x14ac:dyDescent="0.2">
      <c r="B590" s="294"/>
      <c r="C590" s="292"/>
      <c r="D590" s="315"/>
      <c r="E590" s="303"/>
      <c r="F590" s="303"/>
      <c r="G590" s="303"/>
      <c r="H590" s="386"/>
    </row>
    <row r="591" spans="2:8" x14ac:dyDescent="0.2">
      <c r="B591" s="294"/>
      <c r="C591" s="292"/>
      <c r="D591" s="315"/>
      <c r="E591" s="303"/>
      <c r="F591" s="303"/>
      <c r="G591" s="303"/>
      <c r="H591" s="386"/>
    </row>
    <row r="592" spans="2:8" ht="13.5" thickBot="1" x14ac:dyDescent="0.25">
      <c r="B592" s="742" t="s">
        <v>1681</v>
      </c>
      <c r="C592" s="743"/>
      <c r="D592" s="743"/>
      <c r="E592" s="743"/>
      <c r="F592" s="743"/>
      <c r="G592" s="744"/>
      <c r="H592" s="389">
        <v>35.424000000000007</v>
      </c>
    </row>
    <row r="593" spans="1:9" ht="13.5" thickBot="1" x14ac:dyDescent="0.25">
      <c r="B593" s="295" t="s">
        <v>1680</v>
      </c>
      <c r="C593" s="296"/>
      <c r="D593" s="296"/>
      <c r="E593" s="296"/>
      <c r="F593" s="296"/>
      <c r="G593" s="296"/>
      <c r="H593" s="384"/>
    </row>
    <row r="594" spans="1:9" ht="25.5" x14ac:dyDescent="0.2">
      <c r="B594" s="390" t="s">
        <v>1409</v>
      </c>
      <c r="C594" s="391"/>
      <c r="D594" s="392"/>
      <c r="E594" s="309" t="s">
        <v>1408</v>
      </c>
      <c r="F594" s="309" t="s">
        <v>1679</v>
      </c>
      <c r="G594" s="309" t="s">
        <v>1676</v>
      </c>
      <c r="H594" s="388" t="s">
        <v>1675</v>
      </c>
    </row>
    <row r="595" spans="1:9" x14ac:dyDescent="0.2">
      <c r="B595" s="298" t="s">
        <v>975</v>
      </c>
      <c r="C595" s="299"/>
      <c r="D595" s="396"/>
      <c r="E595" s="316" t="s">
        <v>744</v>
      </c>
      <c r="F595" s="303">
        <v>8.434285714285715E-2</v>
      </c>
      <c r="G595" s="382">
        <v>12.6</v>
      </c>
      <c r="H595" s="386">
        <v>1.0627200000000001</v>
      </c>
    </row>
    <row r="596" spans="1:9" x14ac:dyDescent="0.2">
      <c r="B596" s="302"/>
      <c r="C596" s="292"/>
      <c r="D596" s="317"/>
      <c r="E596" s="316"/>
      <c r="F596" s="303"/>
      <c r="G596" s="303"/>
      <c r="H596" s="386"/>
    </row>
    <row r="597" spans="1:9" x14ac:dyDescent="0.2">
      <c r="B597" s="305"/>
      <c r="C597" s="306"/>
      <c r="D597" s="318"/>
      <c r="E597" s="319"/>
      <c r="F597" s="307"/>
      <c r="G597" s="307"/>
      <c r="H597" s="387"/>
    </row>
    <row r="598" spans="1:9" ht="13.5" thickBot="1" x14ac:dyDescent="0.25">
      <c r="B598" s="742" t="s">
        <v>1674</v>
      </c>
      <c r="C598" s="743"/>
      <c r="D598" s="743"/>
      <c r="E598" s="743"/>
      <c r="F598" s="743"/>
      <c r="G598" s="744"/>
      <c r="H598" s="397">
        <v>1.0627200000000001</v>
      </c>
    </row>
    <row r="599" spans="1:9" x14ac:dyDescent="0.2">
      <c r="B599" s="292"/>
      <c r="C599" s="292"/>
      <c r="D599" s="320" t="s">
        <v>1673</v>
      </c>
      <c r="E599" s="321"/>
      <c r="F599" s="321"/>
      <c r="G599" s="321"/>
      <c r="H599" s="331">
        <f>H558+H568+H592+H598</f>
        <v>56.586720000000007</v>
      </c>
    </row>
    <row r="600" spans="1:9" s="1" customFormat="1" ht="15.75" x14ac:dyDescent="0.25">
      <c r="A600" s="103">
        <v>40002</v>
      </c>
      <c r="B600" s="2"/>
      <c r="C600" s="2"/>
      <c r="D600" s="93" t="s">
        <v>1672</v>
      </c>
      <c r="E600" s="65"/>
      <c r="F600" s="65"/>
      <c r="G600" s="94">
        <f>IF($A600=0,"",VLOOKUP($A600,'BASE MATERIAL'!$M:$P,4))</f>
        <v>0</v>
      </c>
      <c r="H600" s="95">
        <f>IF($A600=0,"",ROUND(G600*H599,2))</f>
        <v>0</v>
      </c>
      <c r="I600" s="2"/>
    </row>
    <row r="601" spans="1:9" s="1" customFormat="1" ht="15.75" x14ac:dyDescent="0.25">
      <c r="A601" s="103">
        <v>40003</v>
      </c>
      <c r="B601" s="2"/>
      <c r="C601" s="2"/>
      <c r="D601" s="93" t="s">
        <v>1671</v>
      </c>
      <c r="E601" s="65"/>
      <c r="F601" s="65"/>
      <c r="G601" s="94">
        <f>IF($A601=0,"",VLOOKUP($A601,'BASE MATERIAL'!$M:$P,4))</f>
        <v>0</v>
      </c>
      <c r="H601" s="95">
        <f>IF($A601=0,"",ROUND(G601*H599,2))</f>
        <v>0</v>
      </c>
      <c r="I601" s="2"/>
    </row>
    <row r="602" spans="1:9" s="1" customFormat="1" ht="15.75" x14ac:dyDescent="0.25">
      <c r="A602" s="103"/>
      <c r="B602" s="2"/>
      <c r="C602" s="2"/>
      <c r="D602" s="93" t="s">
        <v>1670</v>
      </c>
      <c r="E602" s="65"/>
      <c r="F602" s="65"/>
      <c r="G602" s="65"/>
      <c r="H602" s="96">
        <f>ROUND(SUM(H599:H601),2)</f>
        <v>56.59</v>
      </c>
      <c r="I602" s="2"/>
    </row>
    <row r="603" spans="1:9" s="1" customFormat="1" ht="16.5" thickBot="1" x14ac:dyDescent="0.3">
      <c r="A603" s="103"/>
      <c r="B603" s="25"/>
      <c r="C603" s="2"/>
      <c r="D603" s="97" t="s">
        <v>1650</v>
      </c>
      <c r="E603" s="88"/>
      <c r="F603" s="88"/>
      <c r="G603" s="88"/>
      <c r="H603" s="98">
        <f>ROUND(H602,2)</f>
        <v>56.59</v>
      </c>
      <c r="I603" s="2"/>
    </row>
    <row r="604" spans="1:9" x14ac:dyDescent="0.2">
      <c r="B604" s="294"/>
      <c r="C604" s="294"/>
      <c r="D604" s="294"/>
      <c r="E604" s="294"/>
      <c r="F604" s="294"/>
      <c r="G604" s="294"/>
      <c r="H604" s="294"/>
    </row>
    <row r="605" spans="1:9" x14ac:dyDescent="0.2">
      <c r="B605" s="294"/>
      <c r="C605" s="294"/>
      <c r="D605" s="294"/>
      <c r="E605" s="294"/>
      <c r="F605" s="294"/>
      <c r="G605" s="294"/>
      <c r="H605" s="294"/>
    </row>
    <row r="606" spans="1:9" x14ac:dyDescent="0.2">
      <c r="B606" s="292" t="s">
        <v>1889</v>
      </c>
      <c r="C606" s="292" t="s">
        <v>1890</v>
      </c>
      <c r="D606" s="292"/>
      <c r="E606" s="292"/>
      <c r="F606" s="292"/>
      <c r="G606" s="292"/>
      <c r="H606" s="292" t="s">
        <v>1891</v>
      </c>
    </row>
    <row r="607" spans="1:9" x14ac:dyDescent="0.2">
      <c r="B607" s="292" t="s">
        <v>1700</v>
      </c>
      <c r="C607" s="292" t="s">
        <v>1892</v>
      </c>
      <c r="D607" s="292"/>
      <c r="E607" s="292"/>
      <c r="F607" s="292"/>
      <c r="G607" s="382"/>
      <c r="H607" s="315"/>
    </row>
    <row r="608" spans="1:9" x14ac:dyDescent="0.2">
      <c r="B608" s="292"/>
      <c r="C608" s="292"/>
      <c r="D608" s="292"/>
      <c r="E608" s="292"/>
      <c r="F608" s="292"/>
      <c r="G608" s="292"/>
      <c r="H608" s="292"/>
    </row>
    <row r="609" spans="2:8" x14ac:dyDescent="0.2">
      <c r="B609" s="738" t="s">
        <v>1697</v>
      </c>
      <c r="C609" s="739"/>
      <c r="D609" s="739"/>
      <c r="E609" s="739"/>
      <c r="F609" s="739"/>
      <c r="G609" s="739"/>
      <c r="H609" s="739"/>
    </row>
    <row r="610" spans="2:8" x14ac:dyDescent="0.2">
      <c r="B610" s="292" t="s">
        <v>1586</v>
      </c>
      <c r="C610" s="293">
        <v>3.0830000000000002</v>
      </c>
      <c r="D610" s="292"/>
      <c r="E610" s="292"/>
      <c r="F610" s="292"/>
      <c r="G610" s="292" t="s">
        <v>1696</v>
      </c>
      <c r="H610" s="315" t="s">
        <v>744</v>
      </c>
    </row>
    <row r="611" spans="2:8" x14ac:dyDescent="0.2">
      <c r="B611" s="292" t="s">
        <v>1585</v>
      </c>
      <c r="C611" s="294" t="s">
        <v>1913</v>
      </c>
      <c r="D611" s="292"/>
      <c r="E611" s="292"/>
      <c r="F611" s="292"/>
      <c r="G611" s="292"/>
      <c r="H611" s="292"/>
    </row>
    <row r="612" spans="2:8" ht="13.5" thickBot="1" x14ac:dyDescent="0.25">
      <c r="B612" s="292"/>
      <c r="C612" s="292"/>
      <c r="D612" s="292"/>
      <c r="E612" s="292"/>
      <c r="F612" s="292"/>
      <c r="G612" s="292"/>
      <c r="H612" s="292"/>
    </row>
    <row r="613" spans="2:8" ht="13.5" thickBot="1" x14ac:dyDescent="0.25">
      <c r="B613" s="295" t="s">
        <v>1695</v>
      </c>
      <c r="C613" s="296"/>
      <c r="D613" s="296"/>
      <c r="E613" s="296"/>
      <c r="F613" s="296"/>
      <c r="G613" s="296"/>
      <c r="H613" s="384"/>
    </row>
    <row r="614" spans="2:8" ht="25.5" x14ac:dyDescent="0.2">
      <c r="B614" s="740" t="s">
        <v>1409</v>
      </c>
      <c r="C614" s="741"/>
      <c r="D614" s="297" t="s">
        <v>1690</v>
      </c>
      <c r="E614" s="297" t="s">
        <v>1694</v>
      </c>
      <c r="F614" s="297" t="s">
        <v>1693</v>
      </c>
      <c r="G614" s="49" t="s">
        <v>1687</v>
      </c>
      <c r="H614" s="385" t="s">
        <v>1686</v>
      </c>
    </row>
    <row r="615" spans="2:8" x14ac:dyDescent="0.2">
      <c r="B615" s="298" t="s">
        <v>1468</v>
      </c>
      <c r="C615" s="299"/>
      <c r="D615" s="300">
        <v>1</v>
      </c>
      <c r="E615" s="300">
        <v>0.79166666666666663</v>
      </c>
      <c r="F615" s="300">
        <v>0.79166666666666663</v>
      </c>
      <c r="G615" s="301">
        <v>0.12631578947368421</v>
      </c>
      <c r="H615" s="301">
        <v>9.9999999999999992E-2</v>
      </c>
    </row>
    <row r="616" spans="2:8" x14ac:dyDescent="0.2">
      <c r="B616" s="302"/>
      <c r="C616" s="292"/>
      <c r="D616" s="303"/>
      <c r="E616" s="303"/>
      <c r="F616" s="303"/>
      <c r="G616" s="304"/>
      <c r="H616" s="386"/>
    </row>
    <row r="617" spans="2:8" x14ac:dyDescent="0.2">
      <c r="B617" s="302"/>
      <c r="C617" s="292"/>
      <c r="D617" s="303"/>
      <c r="E617" s="303"/>
      <c r="F617" s="303"/>
      <c r="G617" s="304"/>
      <c r="H617" s="386"/>
    </row>
    <row r="618" spans="2:8" x14ac:dyDescent="0.2">
      <c r="B618" s="302"/>
      <c r="C618" s="292"/>
      <c r="D618" s="303"/>
      <c r="E618" s="303"/>
      <c r="F618" s="303"/>
      <c r="G618" s="304"/>
      <c r="H618" s="386"/>
    </row>
    <row r="619" spans="2:8" x14ac:dyDescent="0.2">
      <c r="B619" s="302"/>
      <c r="C619" s="292"/>
      <c r="D619" s="303"/>
      <c r="E619" s="303"/>
      <c r="F619" s="303"/>
      <c r="G619" s="304"/>
      <c r="H619" s="386"/>
    </row>
    <row r="620" spans="2:8" x14ac:dyDescent="0.2">
      <c r="B620" s="305"/>
      <c r="C620" s="306"/>
      <c r="D620" s="307"/>
      <c r="E620" s="307"/>
      <c r="F620" s="307"/>
      <c r="G620" s="308"/>
      <c r="H620" s="387"/>
    </row>
    <row r="621" spans="2:8" ht="13.5" thickBot="1" x14ac:dyDescent="0.25">
      <c r="B621" s="742" t="s">
        <v>1692</v>
      </c>
      <c r="C621" s="743"/>
      <c r="D621" s="743"/>
      <c r="E621" s="743"/>
      <c r="F621" s="743"/>
      <c r="G621" s="744"/>
      <c r="H621" s="387">
        <v>9.9999999999999992E-2</v>
      </c>
    </row>
    <row r="622" spans="2:8" ht="13.5" thickBot="1" x14ac:dyDescent="0.25">
      <c r="B622" s="295" t="s">
        <v>1503</v>
      </c>
      <c r="C622" s="296"/>
      <c r="D622" s="296"/>
      <c r="E622" s="296"/>
      <c r="F622" s="296"/>
      <c r="G622" s="296"/>
      <c r="H622" s="384"/>
    </row>
    <row r="623" spans="2:8" ht="25.5" x14ac:dyDescent="0.2">
      <c r="B623" s="740" t="s">
        <v>1409</v>
      </c>
      <c r="C623" s="741"/>
      <c r="D623" s="309" t="s">
        <v>1690</v>
      </c>
      <c r="E623" s="309" t="s">
        <v>1689</v>
      </c>
      <c r="F623" s="309" t="s">
        <v>1688</v>
      </c>
      <c r="G623" s="67" t="s">
        <v>1687</v>
      </c>
      <c r="H623" s="388" t="s">
        <v>1686</v>
      </c>
    </row>
    <row r="624" spans="2:8" x14ac:dyDescent="0.2">
      <c r="B624" s="310" t="s">
        <v>243</v>
      </c>
      <c r="C624" s="292"/>
      <c r="D624" s="311">
        <v>1</v>
      </c>
      <c r="E624" s="312">
        <v>3.0187499999999998</v>
      </c>
      <c r="F624" s="300">
        <v>3.0187499999999998</v>
      </c>
      <c r="G624" s="300">
        <v>2.30980222318464</v>
      </c>
      <c r="H624" s="301">
        <v>6.9727154612386313</v>
      </c>
    </row>
    <row r="625" spans="2:8" x14ac:dyDescent="0.2">
      <c r="B625" s="310" t="s">
        <v>1488</v>
      </c>
      <c r="C625" s="292"/>
      <c r="D625" s="311">
        <v>1</v>
      </c>
      <c r="E625" s="312">
        <v>2.82</v>
      </c>
      <c r="F625" s="303">
        <v>2.82</v>
      </c>
      <c r="G625" s="303">
        <v>2.30980222318464</v>
      </c>
      <c r="H625" s="386">
        <v>6.5136422693806848</v>
      </c>
    </row>
    <row r="626" spans="2:8" x14ac:dyDescent="0.2">
      <c r="B626" s="310" t="s">
        <v>1787</v>
      </c>
      <c r="C626" s="292"/>
      <c r="D626" s="311">
        <v>1</v>
      </c>
      <c r="E626" s="312">
        <v>2.82</v>
      </c>
      <c r="F626" s="303">
        <v>2.82</v>
      </c>
      <c r="G626" s="303">
        <v>2.30980222318464</v>
      </c>
      <c r="H626" s="386">
        <v>6.5136422693806848</v>
      </c>
    </row>
    <row r="627" spans="2:8" x14ac:dyDescent="0.2">
      <c r="B627" s="313"/>
      <c r="C627" s="292"/>
      <c r="D627" s="311"/>
      <c r="E627" s="312"/>
      <c r="F627" s="303"/>
      <c r="G627" s="304"/>
      <c r="H627" s="386"/>
    </row>
    <row r="628" spans="2:8" x14ac:dyDescent="0.2">
      <c r="B628" s="314"/>
      <c r="C628" s="292"/>
      <c r="D628" s="311"/>
      <c r="E628" s="312"/>
      <c r="F628" s="303"/>
      <c r="G628" s="304"/>
      <c r="H628" s="386"/>
    </row>
    <row r="629" spans="2:8" x14ac:dyDescent="0.2">
      <c r="B629" s="302"/>
      <c r="C629" s="292"/>
      <c r="D629" s="303"/>
      <c r="E629" s="303"/>
      <c r="F629" s="303"/>
      <c r="G629" s="304"/>
      <c r="H629" s="386"/>
    </row>
    <row r="630" spans="2:8" x14ac:dyDescent="0.2">
      <c r="B630" s="305"/>
      <c r="C630" s="306"/>
      <c r="D630" s="307"/>
      <c r="E630" s="307"/>
      <c r="F630" s="307"/>
      <c r="G630" s="308"/>
      <c r="H630" s="387"/>
    </row>
    <row r="631" spans="2:8" ht="13.5" thickBot="1" x14ac:dyDescent="0.25">
      <c r="B631" s="742" t="s">
        <v>1685</v>
      </c>
      <c r="C631" s="743"/>
      <c r="D631" s="743"/>
      <c r="E631" s="743"/>
      <c r="F631" s="743"/>
      <c r="G631" s="744"/>
      <c r="H631" s="389">
        <v>20</v>
      </c>
    </row>
    <row r="632" spans="2:8" ht="13.5" thickBot="1" x14ac:dyDescent="0.25">
      <c r="B632" s="295" t="s">
        <v>1684</v>
      </c>
      <c r="C632" s="296"/>
      <c r="D632" s="296"/>
      <c r="E632" s="296"/>
      <c r="F632" s="296"/>
      <c r="G632" s="296"/>
      <c r="H632" s="384"/>
    </row>
    <row r="633" spans="2:8" ht="25.5" x14ac:dyDescent="0.2">
      <c r="B633" s="748" t="s">
        <v>1409</v>
      </c>
      <c r="C633" s="749"/>
      <c r="D633" s="750"/>
      <c r="E633" s="393" t="s">
        <v>1408</v>
      </c>
      <c r="F633" s="394" t="s">
        <v>1679</v>
      </c>
      <c r="G633" s="394" t="s">
        <v>1683</v>
      </c>
      <c r="H633" s="395" t="s">
        <v>1675</v>
      </c>
    </row>
    <row r="634" spans="2:8" x14ac:dyDescent="0.2">
      <c r="B634" s="294" t="s">
        <v>1914</v>
      </c>
      <c r="C634" s="292"/>
      <c r="D634" s="315"/>
      <c r="E634" s="316" t="s">
        <v>744</v>
      </c>
      <c r="F634" s="303">
        <v>4</v>
      </c>
      <c r="G634" s="303">
        <v>5.7960000000000003</v>
      </c>
      <c r="H634" s="386">
        <v>23.184000000000001</v>
      </c>
    </row>
    <row r="635" spans="2:8" x14ac:dyDescent="0.2">
      <c r="B635" s="294" t="s">
        <v>1915</v>
      </c>
      <c r="C635" s="292"/>
      <c r="D635" s="315"/>
      <c r="E635" s="316" t="s">
        <v>1196</v>
      </c>
      <c r="F635" s="303">
        <v>4.4000000000000004</v>
      </c>
      <c r="G635" s="303">
        <v>0.47700000000000004</v>
      </c>
      <c r="H635" s="386">
        <v>2.0988000000000002</v>
      </c>
    </row>
    <row r="636" spans="2:8" x14ac:dyDescent="0.2">
      <c r="B636" s="294" t="s">
        <v>1916</v>
      </c>
      <c r="C636" s="292"/>
      <c r="D636" s="315"/>
      <c r="E636" s="316" t="s">
        <v>744</v>
      </c>
      <c r="F636" s="303">
        <v>4</v>
      </c>
      <c r="G636" s="303">
        <v>0.47700000000000004</v>
      </c>
      <c r="H636" s="386">
        <v>1.9080000000000001</v>
      </c>
    </row>
    <row r="637" spans="2:8" x14ac:dyDescent="0.2">
      <c r="B637" s="294" t="s">
        <v>1266</v>
      </c>
      <c r="C637" s="292"/>
      <c r="D637" s="315"/>
      <c r="E637" s="316" t="s">
        <v>744</v>
      </c>
      <c r="F637" s="303">
        <v>0.4</v>
      </c>
      <c r="G637" s="303">
        <v>1.35</v>
      </c>
      <c r="H637" s="386">
        <v>0.54</v>
      </c>
    </row>
    <row r="638" spans="2:8" x14ac:dyDescent="0.2">
      <c r="B638" s="294" t="s">
        <v>1917</v>
      </c>
      <c r="C638" s="292"/>
      <c r="D638" s="315"/>
      <c r="E638" s="316" t="s">
        <v>744</v>
      </c>
      <c r="F638" s="303">
        <v>6</v>
      </c>
      <c r="G638" s="303">
        <v>8.1000000000000003E-2</v>
      </c>
      <c r="H638" s="386">
        <v>0.48599999999999999</v>
      </c>
    </row>
    <row r="639" spans="2:8" x14ac:dyDescent="0.2">
      <c r="B639" s="294" t="s">
        <v>1903</v>
      </c>
      <c r="C639" s="292"/>
      <c r="D639" s="315"/>
      <c r="E639" s="316" t="s">
        <v>744</v>
      </c>
      <c r="F639" s="303">
        <v>8</v>
      </c>
      <c r="G639" s="303">
        <v>6.3E-3</v>
      </c>
      <c r="H639" s="386">
        <v>5.04E-2</v>
      </c>
    </row>
    <row r="640" spans="2:8" x14ac:dyDescent="0.2">
      <c r="B640" s="294" t="s">
        <v>1904</v>
      </c>
      <c r="C640" s="292"/>
      <c r="D640" s="315"/>
      <c r="E640" s="316" t="s">
        <v>744</v>
      </c>
      <c r="F640" s="303">
        <v>2</v>
      </c>
      <c r="G640" s="303">
        <v>2.52E-2</v>
      </c>
      <c r="H640" s="386">
        <v>5.04E-2</v>
      </c>
    </row>
    <row r="641" spans="2:8" x14ac:dyDescent="0.2">
      <c r="B641" s="294" t="s">
        <v>1918</v>
      </c>
      <c r="C641" s="292"/>
      <c r="D641" s="315"/>
      <c r="E641" s="316" t="s">
        <v>744</v>
      </c>
      <c r="F641" s="303">
        <v>1</v>
      </c>
      <c r="G641" s="303">
        <v>2.8530000000000002</v>
      </c>
      <c r="H641" s="386">
        <v>2.8530000000000002</v>
      </c>
    </row>
    <row r="642" spans="2:8" x14ac:dyDescent="0.2">
      <c r="B642" s="294" t="s">
        <v>1909</v>
      </c>
      <c r="C642" s="292"/>
      <c r="D642" s="315"/>
      <c r="E642" s="316" t="s">
        <v>1788</v>
      </c>
      <c r="F642" s="303">
        <v>25</v>
      </c>
      <c r="G642" s="303">
        <v>0.441</v>
      </c>
      <c r="H642" s="386">
        <v>11.025</v>
      </c>
    </row>
    <row r="643" spans="2:8" x14ac:dyDescent="0.2">
      <c r="B643" s="294" t="s">
        <v>1953</v>
      </c>
      <c r="C643" s="292"/>
      <c r="D643" s="315"/>
      <c r="E643" s="316" t="s">
        <v>744</v>
      </c>
      <c r="F643" s="303">
        <v>1</v>
      </c>
      <c r="G643" s="303">
        <v>5.3639999999999999</v>
      </c>
      <c r="H643" s="386">
        <v>5.3639999999999999</v>
      </c>
    </row>
    <row r="644" spans="2:8" x14ac:dyDescent="0.2">
      <c r="B644" s="294"/>
      <c r="C644" s="292"/>
      <c r="D644" s="315"/>
      <c r="E644" s="316"/>
      <c r="F644" s="303"/>
      <c r="G644" s="303"/>
      <c r="H644" s="386"/>
    </row>
    <row r="645" spans="2:8" x14ac:dyDescent="0.2">
      <c r="B645" s="294"/>
      <c r="C645" s="292"/>
      <c r="D645" s="315"/>
      <c r="E645" s="316"/>
      <c r="F645" s="303"/>
      <c r="G645" s="303"/>
      <c r="H645" s="386"/>
    </row>
    <row r="646" spans="2:8" x14ac:dyDescent="0.2">
      <c r="B646" s="294"/>
      <c r="C646" s="292"/>
      <c r="D646" s="315"/>
      <c r="E646" s="316"/>
      <c r="F646" s="303"/>
      <c r="G646" s="303"/>
      <c r="H646" s="386"/>
    </row>
    <row r="647" spans="2:8" x14ac:dyDescent="0.2">
      <c r="B647" s="294"/>
      <c r="C647" s="292"/>
      <c r="D647" s="315"/>
      <c r="E647" s="316"/>
      <c r="F647" s="303"/>
      <c r="G647" s="303"/>
      <c r="H647" s="386"/>
    </row>
    <row r="648" spans="2:8" x14ac:dyDescent="0.2">
      <c r="B648" s="294"/>
      <c r="C648" s="292"/>
      <c r="D648" s="315"/>
      <c r="E648" s="316"/>
      <c r="F648" s="303"/>
      <c r="G648" s="303"/>
      <c r="H648" s="386"/>
    </row>
    <row r="649" spans="2:8" x14ac:dyDescent="0.2">
      <c r="B649" s="294"/>
      <c r="C649" s="292"/>
      <c r="D649" s="315"/>
      <c r="E649" s="316"/>
      <c r="F649" s="303"/>
      <c r="G649" s="303"/>
      <c r="H649" s="386"/>
    </row>
    <row r="650" spans="2:8" x14ac:dyDescent="0.2">
      <c r="B650" s="294"/>
      <c r="C650" s="292"/>
      <c r="D650" s="315"/>
      <c r="E650" s="316"/>
      <c r="F650" s="303"/>
      <c r="G650" s="303"/>
      <c r="H650" s="386"/>
    </row>
    <row r="651" spans="2:8" x14ac:dyDescent="0.2">
      <c r="B651" s="294"/>
      <c r="C651" s="292"/>
      <c r="D651" s="315"/>
      <c r="E651" s="316"/>
      <c r="F651" s="303"/>
      <c r="G651" s="303"/>
      <c r="H651" s="386"/>
    </row>
    <row r="652" spans="2:8" x14ac:dyDescent="0.2">
      <c r="B652" s="294"/>
      <c r="C652" s="292"/>
      <c r="D652" s="315"/>
      <c r="E652" s="316"/>
      <c r="F652" s="303"/>
      <c r="G652" s="303"/>
      <c r="H652" s="386"/>
    </row>
    <row r="653" spans="2:8" x14ac:dyDescent="0.2">
      <c r="B653" s="294"/>
      <c r="C653" s="292"/>
      <c r="D653" s="315"/>
      <c r="E653" s="303"/>
      <c r="F653" s="303"/>
      <c r="G653" s="303"/>
      <c r="H653" s="386"/>
    </row>
    <row r="654" spans="2:8" x14ac:dyDescent="0.2">
      <c r="B654" s="294"/>
      <c r="C654" s="292"/>
      <c r="D654" s="315"/>
      <c r="E654" s="303"/>
      <c r="F654" s="303"/>
      <c r="G654" s="303"/>
      <c r="H654" s="386"/>
    </row>
    <row r="655" spans="2:8" ht="13.5" thickBot="1" x14ac:dyDescent="0.25">
      <c r="B655" s="742" t="s">
        <v>1681</v>
      </c>
      <c r="C655" s="743"/>
      <c r="D655" s="743"/>
      <c r="E655" s="743"/>
      <c r="F655" s="743"/>
      <c r="G655" s="744"/>
      <c r="H655" s="389">
        <v>31.170600000000004</v>
      </c>
    </row>
    <row r="656" spans="2:8" ht="13.5" thickBot="1" x14ac:dyDescent="0.25">
      <c r="B656" s="295" t="s">
        <v>1680</v>
      </c>
      <c r="C656" s="296"/>
      <c r="D656" s="296"/>
      <c r="E656" s="296"/>
      <c r="F656" s="296"/>
      <c r="G656" s="296"/>
      <c r="H656" s="384"/>
    </row>
    <row r="657" spans="1:9" ht="25.5" x14ac:dyDescent="0.2">
      <c r="B657" s="390" t="s">
        <v>1409</v>
      </c>
      <c r="C657" s="391"/>
      <c r="D657" s="392"/>
      <c r="E657" s="309" t="s">
        <v>1408</v>
      </c>
      <c r="F657" s="309" t="s">
        <v>1679</v>
      </c>
      <c r="G657" s="309" t="s">
        <v>1676</v>
      </c>
      <c r="H657" s="388" t="s">
        <v>1675</v>
      </c>
    </row>
    <row r="658" spans="1:9" x14ac:dyDescent="0.2">
      <c r="B658" s="298" t="s">
        <v>975</v>
      </c>
      <c r="C658" s="299"/>
      <c r="D658" s="396"/>
      <c r="E658" s="316" t="s">
        <v>744</v>
      </c>
      <c r="F658" s="303">
        <v>7.4215714285714302E-2</v>
      </c>
      <c r="G658" s="382">
        <v>12.6</v>
      </c>
      <c r="H658" s="386">
        <v>0.93511800000000023</v>
      </c>
    </row>
    <row r="659" spans="1:9" x14ac:dyDescent="0.2">
      <c r="B659" s="302"/>
      <c r="C659" s="292"/>
      <c r="D659" s="317"/>
      <c r="E659" s="316"/>
      <c r="F659" s="303"/>
      <c r="G659" s="303"/>
      <c r="H659" s="386"/>
    </row>
    <row r="660" spans="1:9" x14ac:dyDescent="0.2">
      <c r="B660" s="305"/>
      <c r="C660" s="306"/>
      <c r="D660" s="318"/>
      <c r="E660" s="319"/>
      <c r="F660" s="307"/>
      <c r="G660" s="307"/>
      <c r="H660" s="387"/>
    </row>
    <row r="661" spans="1:9" ht="13.5" thickBot="1" x14ac:dyDescent="0.25">
      <c r="B661" s="742" t="s">
        <v>1674</v>
      </c>
      <c r="C661" s="743"/>
      <c r="D661" s="743"/>
      <c r="E661" s="743"/>
      <c r="F661" s="743"/>
      <c r="G661" s="744"/>
      <c r="H661" s="397">
        <v>0.93511800000000023</v>
      </c>
    </row>
    <row r="662" spans="1:9" x14ac:dyDescent="0.2">
      <c r="B662" s="292"/>
      <c r="C662" s="292"/>
      <c r="D662" s="320" t="s">
        <v>1673</v>
      </c>
      <c r="E662" s="321"/>
      <c r="F662" s="321"/>
      <c r="G662" s="321"/>
      <c r="H662" s="331">
        <f>H621+H631+H655+H661</f>
        <v>52.205718000000005</v>
      </c>
    </row>
    <row r="663" spans="1:9" s="1" customFormat="1" ht="15.75" x14ac:dyDescent="0.25">
      <c r="A663" s="103">
        <v>40002</v>
      </c>
      <c r="B663" s="2"/>
      <c r="C663" s="2"/>
      <c r="D663" s="93" t="s">
        <v>1672</v>
      </c>
      <c r="E663" s="65"/>
      <c r="F663" s="65"/>
      <c r="G663" s="94">
        <f>IF($A663=0,"",VLOOKUP($A663,'BASE MATERIAL'!$M:$P,4))</f>
        <v>0</v>
      </c>
      <c r="H663" s="95">
        <f>IF($A663=0,"",ROUND(G663*H662,2))</f>
        <v>0</v>
      </c>
      <c r="I663" s="2"/>
    </row>
    <row r="664" spans="1:9" s="1" customFormat="1" ht="15.75" x14ac:dyDescent="0.25">
      <c r="A664" s="103">
        <v>40003</v>
      </c>
      <c r="B664" s="2"/>
      <c r="C664" s="2"/>
      <c r="D664" s="93" t="s">
        <v>1671</v>
      </c>
      <c r="E664" s="65"/>
      <c r="F664" s="65"/>
      <c r="G664" s="94">
        <f>IF($A664=0,"",VLOOKUP($A664,'BASE MATERIAL'!$M:$P,4))</f>
        <v>0</v>
      </c>
      <c r="H664" s="95">
        <f>IF($A664=0,"",ROUND(G664*H662,2))</f>
        <v>0</v>
      </c>
      <c r="I664" s="2"/>
    </row>
    <row r="665" spans="1:9" s="1" customFormat="1" ht="15.75" x14ac:dyDescent="0.25">
      <c r="A665" s="103"/>
      <c r="B665" s="2"/>
      <c r="C665" s="2"/>
      <c r="D665" s="93" t="s">
        <v>1670</v>
      </c>
      <c r="E665" s="65"/>
      <c r="F665" s="65"/>
      <c r="G665" s="65"/>
      <c r="H665" s="96">
        <f>ROUND(SUM(H662:H664),2)</f>
        <v>52.21</v>
      </c>
      <c r="I665" s="2"/>
    </row>
    <row r="666" spans="1:9" s="1" customFormat="1" ht="16.5" thickBot="1" x14ac:dyDescent="0.3">
      <c r="A666" s="103"/>
      <c r="B666" s="25"/>
      <c r="C666" s="2"/>
      <c r="D666" s="97" t="s">
        <v>1650</v>
      </c>
      <c r="E666" s="88"/>
      <c r="F666" s="88"/>
      <c r="G666" s="88"/>
      <c r="H666" s="98">
        <f>ROUND(H665,2)</f>
        <v>52.21</v>
      </c>
      <c r="I666" s="2"/>
    </row>
    <row r="667" spans="1:9" x14ac:dyDescent="0.2">
      <c r="B667" s="294"/>
      <c r="C667" s="294"/>
      <c r="D667" s="294"/>
      <c r="E667" s="294"/>
      <c r="F667" s="294"/>
      <c r="G667" s="294"/>
      <c r="H667" s="294"/>
    </row>
    <row r="668" spans="1:9" x14ac:dyDescent="0.2">
      <c r="B668" s="294"/>
      <c r="C668" s="294"/>
      <c r="D668" s="294"/>
      <c r="E668" s="294"/>
      <c r="F668" s="294"/>
      <c r="G668" s="294"/>
      <c r="H668" s="294"/>
    </row>
    <row r="669" spans="1:9" x14ac:dyDescent="0.2">
      <c r="B669" s="292" t="s">
        <v>1889</v>
      </c>
      <c r="C669" s="292" t="s">
        <v>1890</v>
      </c>
      <c r="D669" s="292"/>
      <c r="E669" s="292"/>
      <c r="F669" s="292"/>
      <c r="G669" s="292"/>
      <c r="H669" s="292" t="s">
        <v>1891</v>
      </c>
    </row>
    <row r="670" spans="1:9" x14ac:dyDescent="0.2">
      <c r="B670" s="292" t="s">
        <v>1700</v>
      </c>
      <c r="C670" s="292" t="s">
        <v>1892</v>
      </c>
      <c r="D670" s="292"/>
      <c r="E670" s="292"/>
      <c r="F670" s="292"/>
      <c r="G670" s="382"/>
      <c r="H670" s="315"/>
    </row>
    <row r="671" spans="1:9" x14ac:dyDescent="0.2">
      <c r="B671" s="292"/>
      <c r="C671" s="292"/>
      <c r="D671" s="292"/>
      <c r="E671" s="292"/>
      <c r="F671" s="292"/>
      <c r="G671" s="292"/>
      <c r="H671" s="292"/>
    </row>
    <row r="672" spans="1:9" x14ac:dyDescent="0.2">
      <c r="B672" s="738" t="s">
        <v>1697</v>
      </c>
      <c r="C672" s="739"/>
      <c r="D672" s="739"/>
      <c r="E672" s="739"/>
      <c r="F672" s="739"/>
      <c r="G672" s="739"/>
      <c r="H672" s="739"/>
    </row>
    <row r="673" spans="2:8" x14ac:dyDescent="0.2">
      <c r="B673" s="292" t="s">
        <v>1586</v>
      </c>
      <c r="C673" s="293">
        <v>3.0840000000000001</v>
      </c>
      <c r="D673" s="292"/>
      <c r="E673" s="292"/>
      <c r="F673" s="292"/>
      <c r="G673" s="292" t="s">
        <v>1696</v>
      </c>
      <c r="H673" s="315" t="s">
        <v>744</v>
      </c>
    </row>
    <row r="674" spans="2:8" x14ac:dyDescent="0.2">
      <c r="B674" s="292" t="s">
        <v>1585</v>
      </c>
      <c r="C674" s="294" t="s">
        <v>1919</v>
      </c>
      <c r="D674" s="292"/>
      <c r="E674" s="292"/>
      <c r="F674" s="292"/>
      <c r="G674" s="292"/>
      <c r="H674" s="292"/>
    </row>
    <row r="675" spans="2:8" ht="13.5" thickBot="1" x14ac:dyDescent="0.25">
      <c r="B675" s="292"/>
      <c r="C675" s="292"/>
      <c r="D675" s="292"/>
      <c r="E675" s="292"/>
      <c r="F675" s="292"/>
      <c r="G675" s="292"/>
      <c r="H675" s="292"/>
    </row>
    <row r="676" spans="2:8" ht="13.5" thickBot="1" x14ac:dyDescent="0.25">
      <c r="B676" s="295" t="s">
        <v>1695</v>
      </c>
      <c r="C676" s="296"/>
      <c r="D676" s="296"/>
      <c r="E676" s="296"/>
      <c r="F676" s="296"/>
      <c r="G676" s="296"/>
      <c r="H676" s="384"/>
    </row>
    <row r="677" spans="2:8" ht="25.5" x14ac:dyDescent="0.2">
      <c r="B677" s="740" t="s">
        <v>1409</v>
      </c>
      <c r="C677" s="741"/>
      <c r="D677" s="297" t="s">
        <v>1690</v>
      </c>
      <c r="E677" s="297" t="s">
        <v>1694</v>
      </c>
      <c r="F677" s="297" t="s">
        <v>1693</v>
      </c>
      <c r="G677" s="49" t="s">
        <v>1687</v>
      </c>
      <c r="H677" s="385" t="s">
        <v>1686</v>
      </c>
    </row>
    <row r="678" spans="2:8" x14ac:dyDescent="0.2">
      <c r="B678" s="298" t="s">
        <v>1468</v>
      </c>
      <c r="C678" s="299"/>
      <c r="D678" s="300">
        <v>1</v>
      </c>
      <c r="E678" s="300">
        <v>0.79166666666666663</v>
      </c>
      <c r="F678" s="300">
        <v>0.79166666666666663</v>
      </c>
      <c r="G678" s="301">
        <v>0.15789473684210528</v>
      </c>
      <c r="H678" s="301">
        <v>0.125</v>
      </c>
    </row>
    <row r="679" spans="2:8" x14ac:dyDescent="0.2">
      <c r="B679" s="302"/>
      <c r="C679" s="292"/>
      <c r="D679" s="303"/>
      <c r="E679" s="303"/>
      <c r="F679" s="303"/>
      <c r="G679" s="304"/>
      <c r="H679" s="386"/>
    </row>
    <row r="680" spans="2:8" x14ac:dyDescent="0.2">
      <c r="B680" s="302"/>
      <c r="C680" s="292"/>
      <c r="D680" s="303"/>
      <c r="E680" s="303"/>
      <c r="F680" s="303"/>
      <c r="G680" s="304"/>
      <c r="H680" s="386"/>
    </row>
    <row r="681" spans="2:8" x14ac:dyDescent="0.2">
      <c r="B681" s="302"/>
      <c r="C681" s="292"/>
      <c r="D681" s="303"/>
      <c r="E681" s="303"/>
      <c r="F681" s="303"/>
      <c r="G681" s="304"/>
      <c r="H681" s="386"/>
    </row>
    <row r="682" spans="2:8" x14ac:dyDescent="0.2">
      <c r="B682" s="302"/>
      <c r="C682" s="292"/>
      <c r="D682" s="303"/>
      <c r="E682" s="303"/>
      <c r="F682" s="303"/>
      <c r="G682" s="304"/>
      <c r="H682" s="386"/>
    </row>
    <row r="683" spans="2:8" x14ac:dyDescent="0.2">
      <c r="B683" s="305"/>
      <c r="C683" s="306"/>
      <c r="D683" s="307"/>
      <c r="E683" s="307"/>
      <c r="F683" s="307"/>
      <c r="G683" s="308"/>
      <c r="H683" s="387"/>
    </row>
    <row r="684" spans="2:8" ht="13.5" thickBot="1" x14ac:dyDescent="0.25">
      <c r="B684" s="742" t="s">
        <v>1692</v>
      </c>
      <c r="C684" s="743"/>
      <c r="D684" s="743"/>
      <c r="E684" s="743"/>
      <c r="F684" s="743"/>
      <c r="G684" s="744"/>
      <c r="H684" s="387">
        <v>0.125</v>
      </c>
    </row>
    <row r="685" spans="2:8" ht="13.5" thickBot="1" x14ac:dyDescent="0.25">
      <c r="B685" s="295" t="s">
        <v>1503</v>
      </c>
      <c r="C685" s="296"/>
      <c r="D685" s="296"/>
      <c r="E685" s="296"/>
      <c r="F685" s="296"/>
      <c r="G685" s="296"/>
      <c r="H685" s="384"/>
    </row>
    <row r="686" spans="2:8" ht="25.5" x14ac:dyDescent="0.2">
      <c r="B686" s="740" t="s">
        <v>1409</v>
      </c>
      <c r="C686" s="741"/>
      <c r="D686" s="309" t="s">
        <v>1690</v>
      </c>
      <c r="E686" s="309" t="s">
        <v>1689</v>
      </c>
      <c r="F686" s="309" t="s">
        <v>1688</v>
      </c>
      <c r="G686" s="67" t="s">
        <v>1687</v>
      </c>
      <c r="H686" s="388" t="s">
        <v>1686</v>
      </c>
    </row>
    <row r="687" spans="2:8" x14ac:dyDescent="0.2">
      <c r="B687" s="310" t="s">
        <v>243</v>
      </c>
      <c r="C687" s="292"/>
      <c r="D687" s="311">
        <v>1</v>
      </c>
      <c r="E687" s="312">
        <v>3.0187499999999998</v>
      </c>
      <c r="F687" s="300">
        <v>3.0187499999999998</v>
      </c>
      <c r="G687" s="300">
        <v>2.8872527789808</v>
      </c>
      <c r="H687" s="301">
        <v>8.7158943265482893</v>
      </c>
    </row>
    <row r="688" spans="2:8" x14ac:dyDescent="0.2">
      <c r="B688" s="310" t="s">
        <v>1488</v>
      </c>
      <c r="C688" s="292"/>
      <c r="D688" s="311">
        <v>1</v>
      </c>
      <c r="E688" s="312">
        <v>2.82</v>
      </c>
      <c r="F688" s="303">
        <v>2.82</v>
      </c>
      <c r="G688" s="303">
        <v>2.8872527789808</v>
      </c>
      <c r="H688" s="386">
        <v>8.1420528367258562</v>
      </c>
    </row>
    <row r="689" spans="2:8" x14ac:dyDescent="0.2">
      <c r="B689" s="310" t="s">
        <v>1787</v>
      </c>
      <c r="C689" s="292"/>
      <c r="D689" s="311">
        <v>1</v>
      </c>
      <c r="E689" s="312">
        <v>2.82</v>
      </c>
      <c r="F689" s="303">
        <v>2.82</v>
      </c>
      <c r="G689" s="303">
        <v>2.8872527789808</v>
      </c>
      <c r="H689" s="386">
        <v>8.1420528367258562</v>
      </c>
    </row>
    <row r="690" spans="2:8" x14ac:dyDescent="0.2">
      <c r="B690" s="313"/>
      <c r="C690" s="292"/>
      <c r="D690" s="311"/>
      <c r="E690" s="312"/>
      <c r="F690" s="303"/>
      <c r="G690" s="304"/>
      <c r="H690" s="386"/>
    </row>
    <row r="691" spans="2:8" x14ac:dyDescent="0.2">
      <c r="B691" s="314"/>
      <c r="C691" s="292"/>
      <c r="D691" s="311"/>
      <c r="E691" s="312"/>
      <c r="F691" s="303"/>
      <c r="G691" s="304"/>
      <c r="H691" s="386"/>
    </row>
    <row r="692" spans="2:8" x14ac:dyDescent="0.2">
      <c r="B692" s="302"/>
      <c r="C692" s="292"/>
      <c r="D692" s="303"/>
      <c r="E692" s="303"/>
      <c r="F692" s="303"/>
      <c r="G692" s="304"/>
      <c r="H692" s="386"/>
    </row>
    <row r="693" spans="2:8" x14ac:dyDescent="0.2">
      <c r="B693" s="305"/>
      <c r="C693" s="306"/>
      <c r="D693" s="307"/>
      <c r="E693" s="307"/>
      <c r="F693" s="307"/>
      <c r="G693" s="308"/>
      <c r="H693" s="387"/>
    </row>
    <row r="694" spans="2:8" ht="13.5" thickBot="1" x14ac:dyDescent="0.25">
      <c r="B694" s="742" t="s">
        <v>1685</v>
      </c>
      <c r="C694" s="743"/>
      <c r="D694" s="743"/>
      <c r="E694" s="743"/>
      <c r="F694" s="743"/>
      <c r="G694" s="744"/>
      <c r="H694" s="389">
        <v>25.000000000000004</v>
      </c>
    </row>
    <row r="695" spans="2:8" ht="13.5" thickBot="1" x14ac:dyDescent="0.25">
      <c r="B695" s="295" t="s">
        <v>1684</v>
      </c>
      <c r="C695" s="296"/>
      <c r="D695" s="296"/>
      <c r="E695" s="296"/>
      <c r="F695" s="296"/>
      <c r="G695" s="296"/>
      <c r="H695" s="384"/>
    </row>
    <row r="696" spans="2:8" ht="25.5" x14ac:dyDescent="0.2">
      <c r="B696" s="748" t="s">
        <v>1409</v>
      </c>
      <c r="C696" s="749"/>
      <c r="D696" s="750"/>
      <c r="E696" s="393" t="s">
        <v>1408</v>
      </c>
      <c r="F696" s="394" t="s">
        <v>1679</v>
      </c>
      <c r="G696" s="394" t="s">
        <v>1683</v>
      </c>
      <c r="H696" s="395" t="s">
        <v>1675</v>
      </c>
    </row>
    <row r="697" spans="2:8" x14ac:dyDescent="0.2">
      <c r="B697" s="294" t="s">
        <v>1920</v>
      </c>
      <c r="C697" s="292"/>
      <c r="D697" s="315"/>
      <c r="E697" s="316" t="s">
        <v>744</v>
      </c>
      <c r="F697" s="303">
        <v>3</v>
      </c>
      <c r="G697" s="303">
        <v>4.3650000000000002</v>
      </c>
      <c r="H697" s="386">
        <v>13.095000000000001</v>
      </c>
    </row>
    <row r="698" spans="2:8" x14ac:dyDescent="0.2">
      <c r="B698" s="294" t="s">
        <v>1921</v>
      </c>
      <c r="C698" s="292"/>
      <c r="D698" s="315"/>
      <c r="E698" s="316" t="s">
        <v>1788</v>
      </c>
      <c r="F698" s="303">
        <v>18</v>
      </c>
      <c r="G698" s="303">
        <v>0.63900000000000001</v>
      </c>
      <c r="H698" s="386">
        <v>11.502000000000001</v>
      </c>
    </row>
    <row r="699" spans="2:8" x14ac:dyDescent="0.2">
      <c r="B699" s="294" t="s">
        <v>1922</v>
      </c>
      <c r="C699" s="292"/>
      <c r="D699" s="315"/>
      <c r="E699" s="316" t="s">
        <v>1788</v>
      </c>
      <c r="F699" s="303">
        <v>9</v>
      </c>
      <c r="G699" s="303">
        <v>0.441</v>
      </c>
      <c r="H699" s="386">
        <v>3.9689999999999999</v>
      </c>
    </row>
    <row r="700" spans="2:8" x14ac:dyDescent="0.2">
      <c r="B700" s="294" t="s">
        <v>1923</v>
      </c>
      <c r="C700" s="292"/>
      <c r="D700" s="315"/>
      <c r="E700" s="316" t="s">
        <v>744</v>
      </c>
      <c r="F700" s="303">
        <v>1</v>
      </c>
      <c r="G700" s="303">
        <v>11.232000000000001</v>
      </c>
      <c r="H700" s="386">
        <v>11.232000000000001</v>
      </c>
    </row>
    <row r="701" spans="2:8" x14ac:dyDescent="0.2">
      <c r="B701" s="294" t="s">
        <v>1924</v>
      </c>
      <c r="C701" s="292"/>
      <c r="D701" s="315"/>
      <c r="E701" s="316" t="s">
        <v>744</v>
      </c>
      <c r="F701" s="303">
        <v>4</v>
      </c>
      <c r="G701" s="303">
        <v>0.27</v>
      </c>
      <c r="H701" s="386">
        <v>1.08</v>
      </c>
    </row>
    <row r="702" spans="2:8" x14ac:dyDescent="0.2">
      <c r="B702" s="294" t="s">
        <v>1925</v>
      </c>
      <c r="C702" s="292"/>
      <c r="D702" s="315"/>
      <c r="E702" s="316" t="s">
        <v>744</v>
      </c>
      <c r="F702" s="303">
        <v>5.68</v>
      </c>
      <c r="G702" s="303">
        <v>0.27</v>
      </c>
      <c r="H702" s="386">
        <v>1.5336000000000001</v>
      </c>
    </row>
    <row r="703" spans="2:8" x14ac:dyDescent="0.2">
      <c r="B703" s="294" t="s">
        <v>1926</v>
      </c>
      <c r="C703" s="292"/>
      <c r="D703" s="315"/>
      <c r="E703" s="316" t="s">
        <v>744</v>
      </c>
      <c r="F703" s="303">
        <v>4.5</v>
      </c>
      <c r="G703" s="303">
        <v>5.3999999999999999E-2</v>
      </c>
      <c r="H703" s="386">
        <v>0.24299999999999999</v>
      </c>
    </row>
    <row r="704" spans="2:8" x14ac:dyDescent="0.2">
      <c r="B704" s="294" t="s">
        <v>1903</v>
      </c>
      <c r="C704" s="292"/>
      <c r="D704" s="315"/>
      <c r="E704" s="316" t="s">
        <v>744</v>
      </c>
      <c r="F704" s="303">
        <v>6.5</v>
      </c>
      <c r="G704" s="303">
        <v>6.3E-3</v>
      </c>
      <c r="H704" s="386">
        <v>4.095E-2</v>
      </c>
    </row>
    <row r="705" spans="2:8" x14ac:dyDescent="0.2">
      <c r="B705" s="294" t="s">
        <v>1266</v>
      </c>
      <c r="C705" s="292"/>
      <c r="D705" s="315"/>
      <c r="E705" s="316" t="s">
        <v>1196</v>
      </c>
      <c r="F705" s="303">
        <v>0.3</v>
      </c>
      <c r="G705" s="303">
        <v>1.35</v>
      </c>
      <c r="H705" s="386">
        <v>0.40500000000000003</v>
      </c>
    </row>
    <row r="706" spans="2:8" x14ac:dyDescent="0.2">
      <c r="B706" s="294" t="s">
        <v>1904</v>
      </c>
      <c r="C706" s="292"/>
      <c r="D706" s="315"/>
      <c r="E706" s="316" t="s">
        <v>744</v>
      </c>
      <c r="F706" s="303">
        <v>2</v>
      </c>
      <c r="G706" s="303">
        <v>2.52E-2</v>
      </c>
      <c r="H706" s="386">
        <v>5.04E-2</v>
      </c>
    </row>
    <row r="707" spans="2:8" x14ac:dyDescent="0.2">
      <c r="B707" s="294" t="s">
        <v>780</v>
      </c>
      <c r="C707" s="292"/>
      <c r="D707" s="315"/>
      <c r="E707" s="316" t="s">
        <v>744</v>
      </c>
      <c r="F707" s="303">
        <v>0.1</v>
      </c>
      <c r="G707" s="303">
        <v>0.63900000000000001</v>
      </c>
      <c r="H707" s="386">
        <v>6.3899999999999998E-2</v>
      </c>
    </row>
    <row r="708" spans="2:8" x14ac:dyDescent="0.2">
      <c r="B708" s="294"/>
      <c r="C708" s="292"/>
      <c r="D708" s="315"/>
      <c r="E708" s="316"/>
      <c r="F708" s="303"/>
      <c r="G708" s="303"/>
      <c r="H708" s="386"/>
    </row>
    <row r="709" spans="2:8" x14ac:dyDescent="0.2">
      <c r="B709" s="294"/>
      <c r="C709" s="292"/>
      <c r="D709" s="315"/>
      <c r="E709" s="316"/>
      <c r="F709" s="303"/>
      <c r="G709" s="303"/>
      <c r="H709" s="386"/>
    </row>
    <row r="710" spans="2:8" x14ac:dyDescent="0.2">
      <c r="B710" s="294"/>
      <c r="C710" s="292"/>
      <c r="D710" s="315"/>
      <c r="E710" s="316"/>
      <c r="F710" s="303"/>
      <c r="G710" s="303"/>
      <c r="H710" s="386"/>
    </row>
    <row r="711" spans="2:8" x14ac:dyDescent="0.2">
      <c r="B711" s="294"/>
      <c r="C711" s="292"/>
      <c r="D711" s="315"/>
      <c r="E711" s="316"/>
      <c r="F711" s="303"/>
      <c r="G711" s="303"/>
      <c r="H711" s="386"/>
    </row>
    <row r="712" spans="2:8" x14ac:dyDescent="0.2">
      <c r="B712" s="294"/>
      <c r="C712" s="292"/>
      <c r="D712" s="315"/>
      <c r="E712" s="316"/>
      <c r="F712" s="303"/>
      <c r="G712" s="303"/>
      <c r="H712" s="386"/>
    </row>
    <row r="713" spans="2:8" x14ac:dyDescent="0.2">
      <c r="B713" s="294"/>
      <c r="C713" s="292"/>
      <c r="D713" s="315"/>
      <c r="E713" s="316"/>
      <c r="F713" s="303"/>
      <c r="G713" s="303"/>
      <c r="H713" s="386"/>
    </row>
    <row r="714" spans="2:8" x14ac:dyDescent="0.2">
      <c r="B714" s="294"/>
      <c r="C714" s="292"/>
      <c r="D714" s="315"/>
      <c r="E714" s="316"/>
      <c r="F714" s="303"/>
      <c r="G714" s="303"/>
      <c r="H714" s="386"/>
    </row>
    <row r="715" spans="2:8" x14ac:dyDescent="0.2">
      <c r="B715" s="294"/>
      <c r="C715" s="292"/>
      <c r="D715" s="315"/>
      <c r="E715" s="316"/>
      <c r="F715" s="303"/>
      <c r="G715" s="303"/>
      <c r="H715" s="386"/>
    </row>
    <row r="716" spans="2:8" x14ac:dyDescent="0.2">
      <c r="B716" s="294"/>
      <c r="C716" s="292"/>
      <c r="D716" s="315"/>
      <c r="E716" s="303"/>
      <c r="F716" s="303"/>
      <c r="G716" s="303"/>
      <c r="H716" s="386"/>
    </row>
    <row r="717" spans="2:8" x14ac:dyDescent="0.2">
      <c r="B717" s="294"/>
      <c r="C717" s="292"/>
      <c r="D717" s="315"/>
      <c r="E717" s="303"/>
      <c r="F717" s="303"/>
      <c r="G717" s="303"/>
      <c r="H717" s="386"/>
    </row>
    <row r="718" spans="2:8" ht="13.5" thickBot="1" x14ac:dyDescent="0.25">
      <c r="B718" s="742" t="s">
        <v>1681</v>
      </c>
      <c r="C718" s="743"/>
      <c r="D718" s="743"/>
      <c r="E718" s="743"/>
      <c r="F718" s="743"/>
      <c r="G718" s="744"/>
      <c r="H718" s="389">
        <v>43.214850000000006</v>
      </c>
    </row>
    <row r="719" spans="2:8" ht="13.5" thickBot="1" x14ac:dyDescent="0.25">
      <c r="B719" s="295" t="s">
        <v>1680</v>
      </c>
      <c r="C719" s="296"/>
      <c r="D719" s="296"/>
      <c r="E719" s="296"/>
      <c r="F719" s="296"/>
      <c r="G719" s="296"/>
      <c r="H719" s="384"/>
    </row>
    <row r="720" spans="2:8" ht="25.5" x14ac:dyDescent="0.2">
      <c r="B720" s="390" t="s">
        <v>1409</v>
      </c>
      <c r="C720" s="391"/>
      <c r="D720" s="392"/>
      <c r="E720" s="309" t="s">
        <v>1408</v>
      </c>
      <c r="F720" s="309" t="s">
        <v>1679</v>
      </c>
      <c r="G720" s="309" t="s">
        <v>1676</v>
      </c>
      <c r="H720" s="388" t="s">
        <v>1675</v>
      </c>
    </row>
    <row r="721" spans="1:9" x14ac:dyDescent="0.2">
      <c r="B721" s="298" t="s">
        <v>975</v>
      </c>
      <c r="C721" s="299"/>
      <c r="D721" s="396"/>
      <c r="E721" s="316" t="s">
        <v>744</v>
      </c>
      <c r="F721" s="303">
        <v>0.10289250000000001</v>
      </c>
      <c r="G721" s="382">
        <v>12.6</v>
      </c>
      <c r="H721" s="386">
        <v>1.2964455000000001</v>
      </c>
    </row>
    <row r="722" spans="1:9" x14ac:dyDescent="0.2">
      <c r="B722" s="302"/>
      <c r="C722" s="292"/>
      <c r="D722" s="317"/>
      <c r="E722" s="316"/>
      <c r="F722" s="303"/>
      <c r="G722" s="303"/>
      <c r="H722" s="386"/>
    </row>
    <row r="723" spans="1:9" x14ac:dyDescent="0.2">
      <c r="B723" s="305"/>
      <c r="C723" s="306"/>
      <c r="D723" s="318"/>
      <c r="E723" s="319"/>
      <c r="F723" s="307"/>
      <c r="G723" s="307"/>
      <c r="H723" s="387"/>
    </row>
    <row r="724" spans="1:9" ht="13.5" thickBot="1" x14ac:dyDescent="0.25">
      <c r="B724" s="742" t="s">
        <v>1674</v>
      </c>
      <c r="C724" s="743"/>
      <c r="D724" s="743"/>
      <c r="E724" s="743"/>
      <c r="F724" s="743"/>
      <c r="G724" s="744"/>
      <c r="H724" s="397">
        <v>1.2964455000000001</v>
      </c>
    </row>
    <row r="725" spans="1:9" x14ac:dyDescent="0.2">
      <c r="B725" s="292"/>
      <c r="C725" s="292"/>
      <c r="D725" s="320" t="s">
        <v>1673</v>
      </c>
      <c r="E725" s="321"/>
      <c r="F725" s="321"/>
      <c r="G725" s="321"/>
      <c r="H725" s="331">
        <f>H684+H694+H718+H724</f>
        <v>69.636295500000017</v>
      </c>
    </row>
    <row r="726" spans="1:9" s="1" customFormat="1" ht="15.75" x14ac:dyDescent="0.25">
      <c r="A726" s="103">
        <v>40002</v>
      </c>
      <c r="B726" s="2"/>
      <c r="C726" s="2"/>
      <c r="D726" s="93" t="s">
        <v>1672</v>
      </c>
      <c r="E726" s="65"/>
      <c r="F726" s="65"/>
      <c r="G726" s="94">
        <f>IF($A726=0,"",VLOOKUP($A726,'BASE MATERIAL'!$M:$P,4))</f>
        <v>0</v>
      </c>
      <c r="H726" s="95">
        <f>IF($A726=0,"",ROUND(G726*H725,2))</f>
        <v>0</v>
      </c>
      <c r="I726" s="2"/>
    </row>
    <row r="727" spans="1:9" s="1" customFormat="1" ht="15.75" x14ac:dyDescent="0.25">
      <c r="A727" s="103">
        <v>40003</v>
      </c>
      <c r="B727" s="2"/>
      <c r="C727" s="2"/>
      <c r="D727" s="93" t="s">
        <v>1671</v>
      </c>
      <c r="E727" s="65"/>
      <c r="F727" s="65"/>
      <c r="G727" s="94">
        <f>IF($A727=0,"",VLOOKUP($A727,'BASE MATERIAL'!$M:$P,4))</f>
        <v>0</v>
      </c>
      <c r="H727" s="95">
        <f>IF($A727=0,"",ROUND(G727*H725,2))</f>
        <v>0</v>
      </c>
      <c r="I727" s="2"/>
    </row>
    <row r="728" spans="1:9" s="1" customFormat="1" ht="15.75" x14ac:dyDescent="0.25">
      <c r="A728" s="103"/>
      <c r="B728" s="2"/>
      <c r="C728" s="2"/>
      <c r="D728" s="93" t="s">
        <v>1670</v>
      </c>
      <c r="E728" s="65"/>
      <c r="F728" s="65"/>
      <c r="G728" s="65"/>
      <c r="H728" s="96">
        <f>ROUND(SUM(H725:H727),2)</f>
        <v>69.64</v>
      </c>
      <c r="I728" s="2"/>
    </row>
    <row r="729" spans="1:9" s="1" customFormat="1" ht="16.5" thickBot="1" x14ac:dyDescent="0.3">
      <c r="A729" s="103"/>
      <c r="B729" s="25"/>
      <c r="C729" s="2"/>
      <c r="D729" s="97" t="s">
        <v>1650</v>
      </c>
      <c r="E729" s="88"/>
      <c r="F729" s="88"/>
      <c r="G729" s="88"/>
      <c r="H729" s="98">
        <f>ROUND(H728,2)</f>
        <v>69.64</v>
      </c>
      <c r="I729" s="2"/>
    </row>
    <row r="730" spans="1:9" x14ac:dyDescent="0.2">
      <c r="B730" s="294"/>
      <c r="C730" s="294"/>
      <c r="D730" s="294"/>
      <c r="E730" s="294"/>
      <c r="F730" s="294"/>
      <c r="G730" s="294"/>
      <c r="H730" s="294"/>
    </row>
    <row r="731" spans="1:9" x14ac:dyDescent="0.2">
      <c r="B731" s="294"/>
      <c r="C731" s="294"/>
      <c r="D731" s="294"/>
      <c r="E731" s="294"/>
      <c r="F731" s="294"/>
      <c r="G731" s="294"/>
      <c r="H731" s="294"/>
    </row>
    <row r="732" spans="1:9" x14ac:dyDescent="0.2">
      <c r="B732" s="292" t="s">
        <v>1889</v>
      </c>
      <c r="C732" s="292" t="s">
        <v>1890</v>
      </c>
      <c r="D732" s="292"/>
      <c r="E732" s="292"/>
      <c r="F732" s="292"/>
      <c r="G732" s="292"/>
      <c r="H732" s="292" t="s">
        <v>1891</v>
      </c>
    </row>
    <row r="733" spans="1:9" x14ac:dyDescent="0.2">
      <c r="B733" s="292" t="s">
        <v>1700</v>
      </c>
      <c r="C733" s="292" t="s">
        <v>1892</v>
      </c>
      <c r="D733" s="292"/>
      <c r="E733" s="292"/>
      <c r="F733" s="292"/>
      <c r="G733" s="382"/>
      <c r="H733" s="315"/>
    </row>
    <row r="734" spans="1:9" x14ac:dyDescent="0.2">
      <c r="B734" s="292"/>
      <c r="C734" s="292"/>
      <c r="D734" s="292"/>
      <c r="E734" s="292"/>
      <c r="F734" s="292"/>
      <c r="G734" s="292"/>
      <c r="H734" s="292"/>
    </row>
    <row r="735" spans="1:9" x14ac:dyDescent="0.2">
      <c r="B735" s="738" t="s">
        <v>1697</v>
      </c>
      <c r="C735" s="739"/>
      <c r="D735" s="739"/>
      <c r="E735" s="739"/>
      <c r="F735" s="739"/>
      <c r="G735" s="739"/>
      <c r="H735" s="739"/>
    </row>
    <row r="736" spans="1:9" x14ac:dyDescent="0.2">
      <c r="B736" s="292" t="s">
        <v>1586</v>
      </c>
      <c r="C736" s="293">
        <v>3.085</v>
      </c>
      <c r="D736" s="292"/>
      <c r="E736" s="292"/>
      <c r="F736" s="292"/>
      <c r="G736" s="292" t="s">
        <v>1696</v>
      </c>
      <c r="H736" s="315" t="s">
        <v>744</v>
      </c>
    </row>
    <row r="737" spans="2:8" x14ac:dyDescent="0.2">
      <c r="B737" s="292" t="s">
        <v>1585</v>
      </c>
      <c r="C737" s="294" t="s">
        <v>1927</v>
      </c>
      <c r="D737" s="292"/>
      <c r="E737" s="292"/>
      <c r="F737" s="292"/>
      <c r="G737" s="292"/>
      <c r="H737" s="292"/>
    </row>
    <row r="738" spans="2:8" ht="13.5" thickBot="1" x14ac:dyDescent="0.25">
      <c r="B738" s="292"/>
      <c r="C738" s="292"/>
      <c r="D738" s="292"/>
      <c r="E738" s="292"/>
      <c r="F738" s="292"/>
      <c r="G738" s="292"/>
      <c r="H738" s="292"/>
    </row>
    <row r="739" spans="2:8" ht="13.5" thickBot="1" x14ac:dyDescent="0.25">
      <c r="B739" s="295" t="s">
        <v>1695</v>
      </c>
      <c r="C739" s="296"/>
      <c r="D739" s="296"/>
      <c r="E739" s="296"/>
      <c r="F739" s="296"/>
      <c r="G739" s="296"/>
      <c r="H739" s="384"/>
    </row>
    <row r="740" spans="2:8" ht="25.5" x14ac:dyDescent="0.2">
      <c r="B740" s="740" t="s">
        <v>1409</v>
      </c>
      <c r="C740" s="741"/>
      <c r="D740" s="297" t="s">
        <v>1690</v>
      </c>
      <c r="E740" s="297" t="s">
        <v>1694</v>
      </c>
      <c r="F740" s="297" t="s">
        <v>1693</v>
      </c>
      <c r="G740" s="49" t="s">
        <v>1687</v>
      </c>
      <c r="H740" s="385" t="s">
        <v>1686</v>
      </c>
    </row>
    <row r="741" spans="2:8" x14ac:dyDescent="0.2">
      <c r="B741" s="298" t="s">
        <v>1468</v>
      </c>
      <c r="C741" s="299"/>
      <c r="D741" s="300">
        <v>1</v>
      </c>
      <c r="E741" s="300">
        <v>0.79166666666666663</v>
      </c>
      <c r="F741" s="300">
        <v>0.79166666666666663</v>
      </c>
      <c r="G741" s="301">
        <v>0.15789473684210528</v>
      </c>
      <c r="H741" s="301">
        <v>0.125</v>
      </c>
    </row>
    <row r="742" spans="2:8" x14ac:dyDescent="0.2">
      <c r="B742" s="302"/>
      <c r="C742" s="292"/>
      <c r="D742" s="303"/>
      <c r="E742" s="303"/>
      <c r="F742" s="303"/>
      <c r="G742" s="304"/>
      <c r="H742" s="386"/>
    </row>
    <row r="743" spans="2:8" x14ac:dyDescent="0.2">
      <c r="B743" s="302"/>
      <c r="C743" s="292"/>
      <c r="D743" s="303"/>
      <c r="E743" s="303"/>
      <c r="F743" s="303"/>
      <c r="G743" s="304"/>
      <c r="H743" s="386"/>
    </row>
    <row r="744" spans="2:8" x14ac:dyDescent="0.2">
      <c r="B744" s="302"/>
      <c r="C744" s="292"/>
      <c r="D744" s="303"/>
      <c r="E744" s="303"/>
      <c r="F744" s="303"/>
      <c r="G744" s="304"/>
      <c r="H744" s="386"/>
    </row>
    <row r="745" spans="2:8" x14ac:dyDescent="0.2">
      <c r="B745" s="302"/>
      <c r="C745" s="292"/>
      <c r="D745" s="303"/>
      <c r="E745" s="303"/>
      <c r="F745" s="303"/>
      <c r="G745" s="304"/>
      <c r="H745" s="386"/>
    </row>
    <row r="746" spans="2:8" x14ac:dyDescent="0.2">
      <c r="B746" s="305"/>
      <c r="C746" s="306"/>
      <c r="D746" s="307"/>
      <c r="E746" s="307"/>
      <c r="F746" s="307"/>
      <c r="G746" s="308"/>
      <c r="H746" s="387"/>
    </row>
    <row r="747" spans="2:8" ht="13.5" thickBot="1" x14ac:dyDescent="0.25">
      <c r="B747" s="742" t="s">
        <v>1692</v>
      </c>
      <c r="C747" s="743"/>
      <c r="D747" s="743"/>
      <c r="E747" s="743"/>
      <c r="F747" s="743"/>
      <c r="G747" s="744"/>
      <c r="H747" s="387">
        <v>0.125</v>
      </c>
    </row>
    <row r="748" spans="2:8" ht="13.5" thickBot="1" x14ac:dyDescent="0.25">
      <c r="B748" s="295" t="s">
        <v>1503</v>
      </c>
      <c r="C748" s="296"/>
      <c r="D748" s="296"/>
      <c r="E748" s="296"/>
      <c r="F748" s="296"/>
      <c r="G748" s="296"/>
      <c r="H748" s="384"/>
    </row>
    <row r="749" spans="2:8" ht="25.5" x14ac:dyDescent="0.2">
      <c r="B749" s="740" t="s">
        <v>1409</v>
      </c>
      <c r="C749" s="741"/>
      <c r="D749" s="309" t="s">
        <v>1690</v>
      </c>
      <c r="E749" s="309" t="s">
        <v>1689</v>
      </c>
      <c r="F749" s="309" t="s">
        <v>1688</v>
      </c>
      <c r="G749" s="67" t="s">
        <v>1687</v>
      </c>
      <c r="H749" s="388" t="s">
        <v>1686</v>
      </c>
    </row>
    <row r="750" spans="2:8" x14ac:dyDescent="0.2">
      <c r="B750" s="310" t="s">
        <v>243</v>
      </c>
      <c r="C750" s="292"/>
      <c r="D750" s="311">
        <v>1</v>
      </c>
      <c r="E750" s="312">
        <v>3.0187499999999998</v>
      </c>
      <c r="F750" s="300">
        <v>3.0187499999999998</v>
      </c>
      <c r="G750" s="300">
        <v>2.8872527789808</v>
      </c>
      <c r="H750" s="301">
        <v>8.7158943265482893</v>
      </c>
    </row>
    <row r="751" spans="2:8" x14ac:dyDescent="0.2">
      <c r="B751" s="310" t="s">
        <v>1488</v>
      </c>
      <c r="C751" s="292"/>
      <c r="D751" s="311">
        <v>1</v>
      </c>
      <c r="E751" s="312">
        <v>2.82</v>
      </c>
      <c r="F751" s="303">
        <v>2.82</v>
      </c>
      <c r="G751" s="303">
        <v>2.8872527789808</v>
      </c>
      <c r="H751" s="386">
        <v>8.1420528367258562</v>
      </c>
    </row>
    <row r="752" spans="2:8" x14ac:dyDescent="0.2">
      <c r="B752" s="310" t="s">
        <v>1787</v>
      </c>
      <c r="C752" s="292"/>
      <c r="D752" s="311">
        <v>1</v>
      </c>
      <c r="E752" s="312">
        <v>2.82</v>
      </c>
      <c r="F752" s="303">
        <v>2.82</v>
      </c>
      <c r="G752" s="303">
        <v>2.8872527789808</v>
      </c>
      <c r="H752" s="386">
        <v>8.1420528367258562</v>
      </c>
    </row>
    <row r="753" spans="2:8" x14ac:dyDescent="0.2">
      <c r="B753" s="313"/>
      <c r="C753" s="292"/>
      <c r="D753" s="311"/>
      <c r="E753" s="312"/>
      <c r="F753" s="303"/>
      <c r="G753" s="304"/>
      <c r="H753" s="386"/>
    </row>
    <row r="754" spans="2:8" x14ac:dyDescent="0.2">
      <c r="B754" s="314"/>
      <c r="C754" s="292"/>
      <c r="D754" s="311"/>
      <c r="E754" s="312"/>
      <c r="F754" s="303"/>
      <c r="G754" s="304"/>
      <c r="H754" s="386"/>
    </row>
    <row r="755" spans="2:8" x14ac:dyDescent="0.2">
      <c r="B755" s="302"/>
      <c r="C755" s="292"/>
      <c r="D755" s="303"/>
      <c r="E755" s="303"/>
      <c r="F755" s="303"/>
      <c r="G755" s="304"/>
      <c r="H755" s="386"/>
    </row>
    <row r="756" spans="2:8" x14ac:dyDescent="0.2">
      <c r="B756" s="305"/>
      <c r="C756" s="306"/>
      <c r="D756" s="307"/>
      <c r="E756" s="307"/>
      <c r="F756" s="307"/>
      <c r="G756" s="308"/>
      <c r="H756" s="387"/>
    </row>
    <row r="757" spans="2:8" ht="13.5" thickBot="1" x14ac:dyDescent="0.25">
      <c r="B757" s="742" t="s">
        <v>1685</v>
      </c>
      <c r="C757" s="743"/>
      <c r="D757" s="743"/>
      <c r="E757" s="743"/>
      <c r="F757" s="743"/>
      <c r="G757" s="744"/>
      <c r="H757" s="389">
        <v>25.000000000000004</v>
      </c>
    </row>
    <row r="758" spans="2:8" ht="13.5" thickBot="1" x14ac:dyDescent="0.25">
      <c r="B758" s="295" t="s">
        <v>1684</v>
      </c>
      <c r="C758" s="296"/>
      <c r="D758" s="296"/>
      <c r="E758" s="296"/>
      <c r="F758" s="296"/>
      <c r="G758" s="296"/>
      <c r="H758" s="384"/>
    </row>
    <row r="759" spans="2:8" ht="25.5" x14ac:dyDescent="0.2">
      <c r="B759" s="748" t="s">
        <v>1409</v>
      </c>
      <c r="C759" s="749"/>
      <c r="D759" s="750"/>
      <c r="E759" s="393" t="s">
        <v>1408</v>
      </c>
      <c r="F759" s="394" t="s">
        <v>1679</v>
      </c>
      <c r="G759" s="394" t="s">
        <v>1683</v>
      </c>
      <c r="H759" s="395" t="s">
        <v>1675</v>
      </c>
    </row>
    <row r="760" spans="2:8" x14ac:dyDescent="0.2">
      <c r="B760" s="294" t="s">
        <v>1895</v>
      </c>
      <c r="C760" s="292"/>
      <c r="D760" s="315"/>
      <c r="E760" s="316" t="s">
        <v>744</v>
      </c>
      <c r="F760" s="303">
        <v>4</v>
      </c>
      <c r="G760" s="303">
        <v>2.8440000000000003</v>
      </c>
      <c r="H760" s="386">
        <v>11.376000000000001</v>
      </c>
    </row>
    <row r="761" spans="2:8" x14ac:dyDescent="0.2">
      <c r="B761" s="294" t="s">
        <v>1928</v>
      </c>
      <c r="C761" s="292"/>
      <c r="D761" s="315"/>
      <c r="E761" s="316" t="s">
        <v>1788</v>
      </c>
      <c r="F761" s="303">
        <v>48</v>
      </c>
      <c r="G761" s="303">
        <v>0.19170000000000001</v>
      </c>
      <c r="H761" s="386">
        <v>9.2016000000000009</v>
      </c>
    </row>
    <row r="762" spans="2:8" x14ac:dyDescent="0.2">
      <c r="B762" s="294" t="s">
        <v>1929</v>
      </c>
      <c r="C762" s="292"/>
      <c r="D762" s="315"/>
      <c r="E762" s="316" t="s">
        <v>1788</v>
      </c>
      <c r="F762" s="303">
        <v>1.5</v>
      </c>
      <c r="G762" s="303">
        <v>1.593</v>
      </c>
      <c r="H762" s="386">
        <v>2.3895</v>
      </c>
    </row>
    <row r="763" spans="2:8" x14ac:dyDescent="0.2">
      <c r="B763" s="294" t="s">
        <v>1930</v>
      </c>
      <c r="C763" s="292"/>
      <c r="D763" s="315"/>
      <c r="E763" s="316" t="s">
        <v>744</v>
      </c>
      <c r="F763" s="303">
        <v>2</v>
      </c>
      <c r="G763" s="303">
        <v>0.621</v>
      </c>
      <c r="H763" s="386">
        <v>1.242</v>
      </c>
    </row>
    <row r="764" spans="2:8" x14ac:dyDescent="0.2">
      <c r="B764" s="294" t="s">
        <v>1931</v>
      </c>
      <c r="C764" s="292"/>
      <c r="D764" s="315"/>
      <c r="E764" s="316" t="s">
        <v>744</v>
      </c>
      <c r="F764" s="303">
        <v>4.4000000000000004</v>
      </c>
      <c r="G764" s="303">
        <v>0.216</v>
      </c>
      <c r="H764" s="386">
        <v>0.95040000000000002</v>
      </c>
    </row>
    <row r="765" spans="2:8" x14ac:dyDescent="0.2">
      <c r="B765" s="294" t="s">
        <v>1932</v>
      </c>
      <c r="C765" s="292"/>
      <c r="D765" s="315"/>
      <c r="E765" s="316" t="s">
        <v>744</v>
      </c>
      <c r="F765" s="303">
        <v>2</v>
      </c>
      <c r="G765" s="303">
        <v>0.18000000000000002</v>
      </c>
      <c r="H765" s="386">
        <v>0.36000000000000004</v>
      </c>
    </row>
    <row r="766" spans="2:8" x14ac:dyDescent="0.2">
      <c r="B766" s="294" t="s">
        <v>1266</v>
      </c>
      <c r="C766" s="292"/>
      <c r="D766" s="315"/>
      <c r="E766" s="316" t="s">
        <v>1196</v>
      </c>
      <c r="F766" s="303">
        <v>0.4</v>
      </c>
      <c r="G766" s="303">
        <v>1.35</v>
      </c>
      <c r="H766" s="386">
        <v>0.54</v>
      </c>
    </row>
    <row r="767" spans="2:8" x14ac:dyDescent="0.2">
      <c r="B767" s="294" t="s">
        <v>1905</v>
      </c>
      <c r="C767" s="292"/>
      <c r="D767" s="315"/>
      <c r="E767" s="316" t="s">
        <v>744</v>
      </c>
      <c r="F767" s="303">
        <v>0.16</v>
      </c>
      <c r="G767" s="303">
        <v>0.63900000000000001</v>
      </c>
      <c r="H767" s="386">
        <v>0.10224</v>
      </c>
    </row>
    <row r="768" spans="2:8" x14ac:dyDescent="0.2">
      <c r="B768" s="294" t="s">
        <v>1933</v>
      </c>
      <c r="C768" s="292"/>
      <c r="D768" s="315"/>
      <c r="E768" s="316" t="s">
        <v>744</v>
      </c>
      <c r="F768" s="303">
        <v>1</v>
      </c>
      <c r="G768" s="303">
        <v>0.53100000000000003</v>
      </c>
      <c r="H768" s="386">
        <v>0.53100000000000003</v>
      </c>
    </row>
    <row r="769" spans="2:8" x14ac:dyDescent="0.2">
      <c r="B769" s="294" t="s">
        <v>1934</v>
      </c>
      <c r="C769" s="292"/>
      <c r="D769" s="315"/>
      <c r="E769" s="316" t="s">
        <v>744</v>
      </c>
      <c r="F769" s="303">
        <v>8</v>
      </c>
      <c r="G769" s="303">
        <v>4.5000000000000005E-2</v>
      </c>
      <c r="H769" s="386">
        <v>0.36000000000000004</v>
      </c>
    </row>
    <row r="770" spans="2:8" x14ac:dyDescent="0.2">
      <c r="B770" s="294" t="s">
        <v>1903</v>
      </c>
      <c r="C770" s="292"/>
      <c r="D770" s="315"/>
      <c r="E770" s="316" t="s">
        <v>744</v>
      </c>
      <c r="F770" s="303">
        <v>10</v>
      </c>
      <c r="G770" s="303">
        <v>6.3E-3</v>
      </c>
      <c r="H770" s="386">
        <v>6.3E-2</v>
      </c>
    </row>
    <row r="771" spans="2:8" x14ac:dyDescent="0.2">
      <c r="B771" s="294" t="s">
        <v>1898</v>
      </c>
      <c r="C771" s="292"/>
      <c r="D771" s="315"/>
      <c r="E771" s="316" t="s">
        <v>744</v>
      </c>
      <c r="F771" s="303">
        <v>1</v>
      </c>
      <c r="G771" s="303">
        <v>0.36000000000000004</v>
      </c>
      <c r="H771" s="386">
        <v>0.36000000000000004</v>
      </c>
    </row>
    <row r="772" spans="2:8" x14ac:dyDescent="0.2">
      <c r="B772" s="294" t="s">
        <v>1904</v>
      </c>
      <c r="C772" s="292"/>
      <c r="D772" s="315"/>
      <c r="E772" s="316" t="s">
        <v>744</v>
      </c>
      <c r="F772" s="303">
        <v>8</v>
      </c>
      <c r="G772" s="303">
        <v>2.52E-2</v>
      </c>
      <c r="H772" s="386">
        <v>0.2016</v>
      </c>
    </row>
    <row r="773" spans="2:8" x14ac:dyDescent="0.2">
      <c r="B773" s="294"/>
      <c r="C773" s="292"/>
      <c r="D773" s="315"/>
      <c r="E773" s="316"/>
      <c r="F773" s="303"/>
      <c r="G773" s="303"/>
      <c r="H773" s="386"/>
    </row>
    <row r="774" spans="2:8" x14ac:dyDescent="0.2">
      <c r="B774" s="294"/>
      <c r="C774" s="292"/>
      <c r="D774" s="315"/>
      <c r="E774" s="316"/>
      <c r="F774" s="303"/>
      <c r="G774" s="303"/>
      <c r="H774" s="386"/>
    </row>
    <row r="775" spans="2:8" x14ac:dyDescent="0.2">
      <c r="B775" s="294"/>
      <c r="C775" s="292"/>
      <c r="D775" s="315"/>
      <c r="E775" s="316"/>
      <c r="F775" s="303"/>
      <c r="G775" s="303"/>
      <c r="H775" s="386"/>
    </row>
    <row r="776" spans="2:8" x14ac:dyDescent="0.2">
      <c r="B776" s="294"/>
      <c r="C776" s="292"/>
      <c r="D776" s="315"/>
      <c r="E776" s="316"/>
      <c r="F776" s="303"/>
      <c r="G776" s="303"/>
      <c r="H776" s="386"/>
    </row>
    <row r="777" spans="2:8" x14ac:dyDescent="0.2">
      <c r="B777" s="294"/>
      <c r="C777" s="292"/>
      <c r="D777" s="315"/>
      <c r="E777" s="316"/>
      <c r="F777" s="303"/>
      <c r="G777" s="303"/>
      <c r="H777" s="386"/>
    </row>
    <row r="778" spans="2:8" x14ac:dyDescent="0.2">
      <c r="B778" s="294"/>
      <c r="C778" s="292"/>
      <c r="D778" s="315"/>
      <c r="E778" s="316"/>
      <c r="F778" s="303"/>
      <c r="G778" s="303"/>
      <c r="H778" s="386"/>
    </row>
    <row r="779" spans="2:8" x14ac:dyDescent="0.2">
      <c r="B779" s="294"/>
      <c r="C779" s="292"/>
      <c r="D779" s="315"/>
      <c r="E779" s="303"/>
      <c r="F779" s="303"/>
      <c r="G779" s="303"/>
      <c r="H779" s="386"/>
    </row>
    <row r="780" spans="2:8" x14ac:dyDescent="0.2">
      <c r="B780" s="294"/>
      <c r="C780" s="292"/>
      <c r="D780" s="315"/>
      <c r="E780" s="303"/>
      <c r="F780" s="303"/>
      <c r="G780" s="303"/>
      <c r="H780" s="386"/>
    </row>
    <row r="781" spans="2:8" ht="13.5" thickBot="1" x14ac:dyDescent="0.25">
      <c r="B781" s="742" t="s">
        <v>1681</v>
      </c>
      <c r="C781" s="743"/>
      <c r="D781" s="743"/>
      <c r="E781" s="743"/>
      <c r="F781" s="743"/>
      <c r="G781" s="744"/>
      <c r="H781" s="389">
        <v>27.677339999999994</v>
      </c>
    </row>
    <row r="782" spans="2:8" ht="13.5" thickBot="1" x14ac:dyDescent="0.25">
      <c r="B782" s="295" t="s">
        <v>1680</v>
      </c>
      <c r="C782" s="296"/>
      <c r="D782" s="296"/>
      <c r="E782" s="296"/>
      <c r="F782" s="296"/>
      <c r="G782" s="296"/>
      <c r="H782" s="384"/>
    </row>
    <row r="783" spans="2:8" ht="25.5" x14ac:dyDescent="0.2">
      <c r="B783" s="390" t="s">
        <v>1409</v>
      </c>
      <c r="C783" s="391"/>
      <c r="D783" s="392"/>
      <c r="E783" s="309" t="s">
        <v>1408</v>
      </c>
      <c r="F783" s="309" t="s">
        <v>1679</v>
      </c>
      <c r="G783" s="309" t="s">
        <v>1676</v>
      </c>
      <c r="H783" s="388" t="s">
        <v>1675</v>
      </c>
    </row>
    <row r="784" spans="2:8" x14ac:dyDescent="0.2">
      <c r="B784" s="298" t="s">
        <v>975</v>
      </c>
      <c r="C784" s="299"/>
      <c r="D784" s="396"/>
      <c r="E784" s="316" t="s">
        <v>744</v>
      </c>
      <c r="F784" s="303">
        <v>6.5898428571428552E-2</v>
      </c>
      <c r="G784" s="382">
        <v>12.6</v>
      </c>
      <c r="H784" s="386">
        <v>0.83032019999999973</v>
      </c>
    </row>
    <row r="785" spans="1:9" x14ac:dyDescent="0.2">
      <c r="B785" s="302"/>
      <c r="C785" s="292"/>
      <c r="D785" s="317"/>
      <c r="E785" s="316"/>
      <c r="F785" s="303"/>
      <c r="G785" s="303"/>
      <c r="H785" s="386"/>
    </row>
    <row r="786" spans="1:9" x14ac:dyDescent="0.2">
      <c r="B786" s="305"/>
      <c r="C786" s="306"/>
      <c r="D786" s="318"/>
      <c r="E786" s="319"/>
      <c r="F786" s="307"/>
      <c r="G786" s="307"/>
      <c r="H786" s="387"/>
    </row>
    <row r="787" spans="1:9" ht="13.5" thickBot="1" x14ac:dyDescent="0.25">
      <c r="B787" s="742" t="s">
        <v>1674</v>
      </c>
      <c r="C787" s="743"/>
      <c r="D787" s="743"/>
      <c r="E787" s="743"/>
      <c r="F787" s="743"/>
      <c r="G787" s="744"/>
      <c r="H787" s="397">
        <v>0.83032019999999973</v>
      </c>
    </row>
    <row r="788" spans="1:9" x14ac:dyDescent="0.2">
      <c r="B788" s="292"/>
      <c r="C788" s="292"/>
      <c r="D788" s="320" t="s">
        <v>1673</v>
      </c>
      <c r="E788" s="321"/>
      <c r="F788" s="321"/>
      <c r="G788" s="321"/>
      <c r="H788" s="331">
        <f>H747+H757+H781+H787</f>
        <v>53.632660200000004</v>
      </c>
    </row>
    <row r="789" spans="1:9" s="1" customFormat="1" ht="15.75" x14ac:dyDescent="0.25">
      <c r="A789" s="103">
        <v>40002</v>
      </c>
      <c r="B789" s="2"/>
      <c r="C789" s="2"/>
      <c r="D789" s="93" t="s">
        <v>1672</v>
      </c>
      <c r="E789" s="65"/>
      <c r="F789" s="65"/>
      <c r="G789" s="94">
        <f>IF($A789=0,"",VLOOKUP($A789,'BASE MATERIAL'!$M:$P,4))</f>
        <v>0</v>
      </c>
      <c r="H789" s="95">
        <f>IF($A789=0,"",ROUND(G789*H788,2))</f>
        <v>0</v>
      </c>
      <c r="I789" s="2"/>
    </row>
    <row r="790" spans="1:9" s="1" customFormat="1" ht="15.75" x14ac:dyDescent="0.25">
      <c r="A790" s="103">
        <v>40003</v>
      </c>
      <c r="B790" s="2"/>
      <c r="C790" s="2"/>
      <c r="D790" s="93" t="s">
        <v>1671</v>
      </c>
      <c r="E790" s="65"/>
      <c r="F790" s="65"/>
      <c r="G790" s="94">
        <f>IF($A790=0,"",VLOOKUP($A790,'BASE MATERIAL'!$M:$P,4))</f>
        <v>0</v>
      </c>
      <c r="H790" s="95">
        <f>IF($A790=0,"",ROUND(G790*H788,2))</f>
        <v>0</v>
      </c>
      <c r="I790" s="2"/>
    </row>
    <row r="791" spans="1:9" s="1" customFormat="1" ht="15.75" x14ac:dyDescent="0.25">
      <c r="A791" s="103"/>
      <c r="B791" s="2"/>
      <c r="C791" s="2"/>
      <c r="D791" s="93" t="s">
        <v>1670</v>
      </c>
      <c r="E791" s="65"/>
      <c r="F791" s="65"/>
      <c r="G791" s="65"/>
      <c r="H791" s="96">
        <f>ROUND(SUM(H788:H790),2)</f>
        <v>53.63</v>
      </c>
      <c r="I791" s="2"/>
    </row>
    <row r="792" spans="1:9" s="1" customFormat="1" ht="16.5" thickBot="1" x14ac:dyDescent="0.3">
      <c r="A792" s="103"/>
      <c r="B792" s="25"/>
      <c r="C792" s="2"/>
      <c r="D792" s="97" t="s">
        <v>1650</v>
      </c>
      <c r="E792" s="88"/>
      <c r="F792" s="88"/>
      <c r="G792" s="88"/>
      <c r="H792" s="98">
        <f>ROUND(H791,2)</f>
        <v>53.63</v>
      </c>
      <c r="I792" s="2"/>
    </row>
    <row r="793" spans="1:9" x14ac:dyDescent="0.2">
      <c r="B793" s="294"/>
      <c r="C793" s="294"/>
      <c r="D793" s="294"/>
      <c r="E793" s="294"/>
      <c r="F793" s="294"/>
      <c r="G793" s="294"/>
      <c r="H793" s="294"/>
    </row>
    <row r="794" spans="1:9" x14ac:dyDescent="0.2">
      <c r="B794" s="294"/>
      <c r="C794" s="294"/>
      <c r="D794" s="294"/>
      <c r="E794" s="294"/>
      <c r="F794" s="294"/>
      <c r="G794" s="294"/>
      <c r="H794" s="294"/>
    </row>
    <row r="795" spans="1:9" x14ac:dyDescent="0.2">
      <c r="B795" s="292" t="s">
        <v>1889</v>
      </c>
      <c r="C795" s="292" t="s">
        <v>1890</v>
      </c>
      <c r="D795" s="292"/>
      <c r="E795" s="292"/>
      <c r="F795" s="292"/>
      <c r="G795" s="292"/>
      <c r="H795" s="292" t="s">
        <v>1891</v>
      </c>
    </row>
    <row r="796" spans="1:9" x14ac:dyDescent="0.2">
      <c r="B796" s="292" t="s">
        <v>1700</v>
      </c>
      <c r="C796" s="292" t="s">
        <v>1892</v>
      </c>
      <c r="D796" s="292"/>
      <c r="E796" s="292"/>
      <c r="F796" s="292"/>
      <c r="G796" s="382"/>
      <c r="H796" s="315"/>
    </row>
    <row r="797" spans="1:9" x14ac:dyDescent="0.2">
      <c r="B797" s="292"/>
      <c r="C797" s="292"/>
      <c r="D797" s="292"/>
      <c r="E797" s="292"/>
      <c r="F797" s="292"/>
      <c r="G797" s="292"/>
      <c r="H797" s="292"/>
    </row>
    <row r="798" spans="1:9" x14ac:dyDescent="0.2">
      <c r="B798" s="738" t="s">
        <v>1697</v>
      </c>
      <c r="C798" s="739"/>
      <c r="D798" s="739"/>
      <c r="E798" s="739"/>
      <c r="F798" s="739"/>
      <c r="G798" s="739"/>
      <c r="H798" s="739"/>
    </row>
    <row r="799" spans="1:9" x14ac:dyDescent="0.2">
      <c r="B799" s="292" t="s">
        <v>1586</v>
      </c>
      <c r="C799" s="293">
        <v>3.0870000000000002</v>
      </c>
      <c r="D799" s="292"/>
      <c r="E799" s="292"/>
      <c r="F799" s="292"/>
      <c r="G799" s="292" t="s">
        <v>1696</v>
      </c>
      <c r="H799" s="315" t="s">
        <v>744</v>
      </c>
    </row>
    <row r="800" spans="1:9" x14ac:dyDescent="0.2">
      <c r="B800" s="292" t="s">
        <v>1585</v>
      </c>
      <c r="C800" s="294" t="s">
        <v>1937</v>
      </c>
      <c r="D800" s="292"/>
      <c r="E800" s="292"/>
      <c r="F800" s="292"/>
      <c r="G800" s="292"/>
      <c r="H800" s="292"/>
    </row>
    <row r="801" spans="2:8" ht="13.5" thickBot="1" x14ac:dyDescent="0.25">
      <c r="B801" s="292"/>
      <c r="C801" s="292"/>
      <c r="D801" s="292"/>
      <c r="E801" s="292"/>
      <c r="F801" s="292"/>
      <c r="G801" s="292"/>
      <c r="H801" s="292"/>
    </row>
    <row r="802" spans="2:8" ht="13.5" thickBot="1" x14ac:dyDescent="0.25">
      <c r="B802" s="295" t="s">
        <v>1695</v>
      </c>
      <c r="C802" s="296"/>
      <c r="D802" s="296"/>
      <c r="E802" s="296"/>
      <c r="F802" s="296"/>
      <c r="G802" s="296"/>
      <c r="H802" s="384"/>
    </row>
    <row r="803" spans="2:8" ht="25.5" x14ac:dyDescent="0.2">
      <c r="B803" s="740" t="s">
        <v>1409</v>
      </c>
      <c r="C803" s="741"/>
      <c r="D803" s="297" t="s">
        <v>1690</v>
      </c>
      <c r="E803" s="297" t="s">
        <v>1694</v>
      </c>
      <c r="F803" s="297" t="s">
        <v>1693</v>
      </c>
      <c r="G803" s="49" t="s">
        <v>1687</v>
      </c>
      <c r="H803" s="385" t="s">
        <v>1686</v>
      </c>
    </row>
    <row r="804" spans="2:8" x14ac:dyDescent="0.2">
      <c r="B804" s="298" t="s">
        <v>1468</v>
      </c>
      <c r="C804" s="299"/>
      <c r="D804" s="300">
        <v>1</v>
      </c>
      <c r="E804" s="300">
        <v>0.79166666666666663</v>
      </c>
      <c r="F804" s="300">
        <v>0.79166666666666663</v>
      </c>
      <c r="G804" s="301">
        <v>0.17684210526315791</v>
      </c>
      <c r="H804" s="301">
        <v>0.14000000000000001</v>
      </c>
    </row>
    <row r="805" spans="2:8" x14ac:dyDescent="0.2">
      <c r="B805" s="302"/>
      <c r="C805" s="292"/>
      <c r="D805" s="303"/>
      <c r="E805" s="303"/>
      <c r="F805" s="303"/>
      <c r="G805" s="304"/>
      <c r="H805" s="386"/>
    </row>
    <row r="806" spans="2:8" x14ac:dyDescent="0.2">
      <c r="B806" s="302"/>
      <c r="C806" s="292"/>
      <c r="D806" s="303"/>
      <c r="E806" s="303"/>
      <c r="F806" s="303"/>
      <c r="G806" s="304"/>
      <c r="H806" s="386"/>
    </row>
    <row r="807" spans="2:8" x14ac:dyDescent="0.2">
      <c r="B807" s="302"/>
      <c r="C807" s="292"/>
      <c r="D807" s="303"/>
      <c r="E807" s="303"/>
      <c r="F807" s="303"/>
      <c r="G807" s="304"/>
      <c r="H807" s="386"/>
    </row>
    <row r="808" spans="2:8" x14ac:dyDescent="0.2">
      <c r="B808" s="302"/>
      <c r="C808" s="292"/>
      <c r="D808" s="303"/>
      <c r="E808" s="303"/>
      <c r="F808" s="303"/>
      <c r="G808" s="304"/>
      <c r="H808" s="386"/>
    </row>
    <row r="809" spans="2:8" x14ac:dyDescent="0.2">
      <c r="B809" s="305"/>
      <c r="C809" s="306"/>
      <c r="D809" s="307"/>
      <c r="E809" s="307"/>
      <c r="F809" s="307"/>
      <c r="G809" s="308"/>
      <c r="H809" s="387"/>
    </row>
    <row r="810" spans="2:8" ht="13.5" thickBot="1" x14ac:dyDescent="0.25">
      <c r="B810" s="742" t="s">
        <v>1692</v>
      </c>
      <c r="C810" s="743"/>
      <c r="D810" s="743"/>
      <c r="E810" s="743"/>
      <c r="F810" s="743"/>
      <c r="G810" s="744"/>
      <c r="H810" s="387">
        <v>0.14000000000000001</v>
      </c>
    </row>
    <row r="811" spans="2:8" ht="13.5" thickBot="1" x14ac:dyDescent="0.25">
      <c r="B811" s="295" t="s">
        <v>1503</v>
      </c>
      <c r="C811" s="296"/>
      <c r="D811" s="296"/>
      <c r="E811" s="296"/>
      <c r="F811" s="296"/>
      <c r="G811" s="296"/>
      <c r="H811" s="384"/>
    </row>
    <row r="812" spans="2:8" ht="25.5" x14ac:dyDescent="0.2">
      <c r="B812" s="740" t="s">
        <v>1409</v>
      </c>
      <c r="C812" s="741"/>
      <c r="D812" s="309" t="s">
        <v>1690</v>
      </c>
      <c r="E812" s="309" t="s">
        <v>1689</v>
      </c>
      <c r="F812" s="309" t="s">
        <v>1688</v>
      </c>
      <c r="G812" s="67" t="s">
        <v>1687</v>
      </c>
      <c r="H812" s="388" t="s">
        <v>1686</v>
      </c>
    </row>
    <row r="813" spans="2:8" x14ac:dyDescent="0.2">
      <c r="B813" s="310" t="s">
        <v>243</v>
      </c>
      <c r="C813" s="292"/>
      <c r="D813" s="311">
        <v>1</v>
      </c>
      <c r="E813" s="312">
        <v>3.0187499999999998</v>
      </c>
      <c r="F813" s="300">
        <v>3.0187499999999998</v>
      </c>
      <c r="G813" s="300">
        <v>3.2337231124584958</v>
      </c>
      <c r="H813" s="301">
        <v>9.7618016457340833</v>
      </c>
    </row>
    <row r="814" spans="2:8" x14ac:dyDescent="0.2">
      <c r="B814" s="310" t="s">
        <v>1488</v>
      </c>
      <c r="C814" s="292"/>
      <c r="D814" s="311">
        <v>1</v>
      </c>
      <c r="E814" s="312">
        <v>2.82</v>
      </c>
      <c r="F814" s="303">
        <v>2.82</v>
      </c>
      <c r="G814" s="303">
        <v>3.2337231124584958</v>
      </c>
      <c r="H814" s="386">
        <v>9.1190991771329575</v>
      </c>
    </row>
    <row r="815" spans="2:8" x14ac:dyDescent="0.2">
      <c r="B815" s="310" t="s">
        <v>1787</v>
      </c>
      <c r="C815" s="292"/>
      <c r="D815" s="311">
        <v>1</v>
      </c>
      <c r="E815" s="312">
        <v>2.82</v>
      </c>
      <c r="F815" s="303">
        <v>2.82</v>
      </c>
      <c r="G815" s="303">
        <v>3.2337231124584958</v>
      </c>
      <c r="H815" s="386">
        <v>9.1190991771329575</v>
      </c>
    </row>
    <row r="816" spans="2:8" x14ac:dyDescent="0.2">
      <c r="B816" s="313"/>
      <c r="C816" s="292"/>
      <c r="D816" s="311"/>
      <c r="E816" s="312"/>
      <c r="F816" s="303"/>
      <c r="G816" s="304"/>
      <c r="H816" s="386"/>
    </row>
    <row r="817" spans="2:8" x14ac:dyDescent="0.2">
      <c r="B817" s="314"/>
      <c r="C817" s="292"/>
      <c r="D817" s="311"/>
      <c r="E817" s="312"/>
      <c r="F817" s="303"/>
      <c r="G817" s="304"/>
      <c r="H817" s="386"/>
    </row>
    <row r="818" spans="2:8" x14ac:dyDescent="0.2">
      <c r="B818" s="302"/>
      <c r="C818" s="292"/>
      <c r="D818" s="303"/>
      <c r="E818" s="303"/>
      <c r="F818" s="303"/>
      <c r="G818" s="304"/>
      <c r="H818" s="386"/>
    </row>
    <row r="819" spans="2:8" x14ac:dyDescent="0.2">
      <c r="B819" s="305"/>
      <c r="C819" s="306"/>
      <c r="D819" s="307"/>
      <c r="E819" s="307"/>
      <c r="F819" s="307"/>
      <c r="G819" s="308"/>
      <c r="H819" s="387"/>
    </row>
    <row r="820" spans="2:8" ht="13.5" thickBot="1" x14ac:dyDescent="0.25">
      <c r="B820" s="742" t="s">
        <v>1685</v>
      </c>
      <c r="C820" s="743"/>
      <c r="D820" s="743"/>
      <c r="E820" s="743"/>
      <c r="F820" s="743"/>
      <c r="G820" s="744"/>
      <c r="H820" s="389">
        <v>28</v>
      </c>
    </row>
    <row r="821" spans="2:8" ht="13.5" thickBot="1" x14ac:dyDescent="0.25">
      <c r="B821" s="295" t="s">
        <v>1684</v>
      </c>
      <c r="C821" s="296"/>
      <c r="D821" s="296"/>
      <c r="E821" s="296"/>
      <c r="F821" s="296"/>
      <c r="G821" s="296"/>
      <c r="H821" s="384"/>
    </row>
    <row r="822" spans="2:8" ht="25.5" x14ac:dyDescent="0.2">
      <c r="B822" s="748" t="s">
        <v>1409</v>
      </c>
      <c r="C822" s="749"/>
      <c r="D822" s="750"/>
      <c r="E822" s="393" t="s">
        <v>1408</v>
      </c>
      <c r="F822" s="394" t="s">
        <v>1679</v>
      </c>
      <c r="G822" s="394" t="s">
        <v>1683</v>
      </c>
      <c r="H822" s="395" t="s">
        <v>1675</v>
      </c>
    </row>
    <row r="823" spans="2:8" x14ac:dyDescent="0.2">
      <c r="B823" s="294" t="s">
        <v>1895</v>
      </c>
      <c r="C823" s="292"/>
      <c r="D823" s="315"/>
      <c r="E823" s="316" t="s">
        <v>744</v>
      </c>
      <c r="F823" s="303">
        <v>3</v>
      </c>
      <c r="G823" s="303">
        <v>2.8440000000000003</v>
      </c>
      <c r="H823" s="386">
        <v>8.532</v>
      </c>
    </row>
    <row r="824" spans="2:8" x14ac:dyDescent="0.2">
      <c r="B824" s="294" t="s">
        <v>1938</v>
      </c>
      <c r="C824" s="292"/>
      <c r="D824" s="315"/>
      <c r="E824" s="316" t="s">
        <v>1788</v>
      </c>
      <c r="F824" s="303">
        <v>27</v>
      </c>
      <c r="G824" s="303">
        <v>0.39276</v>
      </c>
      <c r="H824" s="386">
        <v>10.604520000000001</v>
      </c>
    </row>
    <row r="825" spans="2:8" x14ac:dyDescent="0.2">
      <c r="B825" s="294" t="s">
        <v>1898</v>
      </c>
      <c r="C825" s="292"/>
      <c r="D825" s="315"/>
      <c r="E825" s="316" t="s">
        <v>744</v>
      </c>
      <c r="F825" s="303">
        <v>1</v>
      </c>
      <c r="G825" s="303">
        <v>0.36000000000000004</v>
      </c>
      <c r="H825" s="386">
        <v>0.36000000000000004</v>
      </c>
    </row>
    <row r="826" spans="2:8" x14ac:dyDescent="0.2">
      <c r="B826" s="294" t="s">
        <v>1939</v>
      </c>
      <c r="C826" s="292"/>
      <c r="D826" s="315"/>
      <c r="E826" s="316" t="s">
        <v>744</v>
      </c>
      <c r="F826" s="303">
        <v>1</v>
      </c>
      <c r="G826" s="303">
        <v>13.599</v>
      </c>
      <c r="H826" s="386">
        <v>13.599</v>
      </c>
    </row>
    <row r="827" spans="2:8" x14ac:dyDescent="0.2">
      <c r="B827" s="294" t="s">
        <v>1900</v>
      </c>
      <c r="C827" s="292"/>
      <c r="D827" s="315"/>
      <c r="E827" s="316" t="s">
        <v>744</v>
      </c>
      <c r="F827" s="303">
        <v>3</v>
      </c>
      <c r="G827" s="303">
        <v>0.18000000000000002</v>
      </c>
      <c r="H827" s="386">
        <v>0.54</v>
      </c>
    </row>
    <row r="828" spans="2:8" x14ac:dyDescent="0.2">
      <c r="B828" s="294" t="s">
        <v>1901</v>
      </c>
      <c r="C828" s="292"/>
      <c r="D828" s="315"/>
      <c r="E828" s="316" t="s">
        <v>744</v>
      </c>
      <c r="F828" s="303">
        <v>6</v>
      </c>
      <c r="G828" s="303">
        <v>0.216</v>
      </c>
      <c r="H828" s="386">
        <v>1.296</v>
      </c>
    </row>
    <row r="829" spans="2:8" x14ac:dyDescent="0.2">
      <c r="B829" s="294" t="s">
        <v>1902</v>
      </c>
      <c r="C829" s="292"/>
      <c r="D829" s="315"/>
      <c r="E829" s="316" t="s">
        <v>744</v>
      </c>
      <c r="F829" s="303">
        <v>4.5</v>
      </c>
      <c r="G829" s="303">
        <v>4.5000000000000005E-2</v>
      </c>
      <c r="H829" s="386">
        <v>0.20250000000000001</v>
      </c>
    </row>
    <row r="830" spans="2:8" x14ac:dyDescent="0.2">
      <c r="B830" s="294" t="s">
        <v>1903</v>
      </c>
      <c r="C830" s="292"/>
      <c r="D830" s="315"/>
      <c r="E830" s="316" t="s">
        <v>744</v>
      </c>
      <c r="F830" s="303">
        <v>6.5</v>
      </c>
      <c r="G830" s="303">
        <v>6.3E-3</v>
      </c>
      <c r="H830" s="386">
        <v>4.095E-2</v>
      </c>
    </row>
    <row r="831" spans="2:8" x14ac:dyDescent="0.2">
      <c r="B831" s="294" t="s">
        <v>1266</v>
      </c>
      <c r="C831" s="292"/>
      <c r="D831" s="315"/>
      <c r="E831" s="316" t="s">
        <v>1196</v>
      </c>
      <c r="F831" s="303">
        <v>0.1</v>
      </c>
      <c r="G831" s="303">
        <v>1.35</v>
      </c>
      <c r="H831" s="386">
        <v>0.13500000000000001</v>
      </c>
    </row>
    <row r="832" spans="2:8" x14ac:dyDescent="0.2">
      <c r="B832" s="294" t="s">
        <v>1904</v>
      </c>
      <c r="C832" s="292"/>
      <c r="D832" s="315"/>
      <c r="E832" s="316" t="s">
        <v>744</v>
      </c>
      <c r="F832" s="303">
        <v>4</v>
      </c>
      <c r="G832" s="303">
        <v>2.52E-2</v>
      </c>
      <c r="H832" s="386">
        <v>0.1008</v>
      </c>
    </row>
    <row r="833" spans="2:8" x14ac:dyDescent="0.2">
      <c r="B833" s="294" t="s">
        <v>1905</v>
      </c>
      <c r="C833" s="292"/>
      <c r="D833" s="315"/>
      <c r="E833" s="316" t="s">
        <v>744</v>
      </c>
      <c r="F833" s="303">
        <v>0.06</v>
      </c>
      <c r="G833" s="303">
        <v>0.63900000000000001</v>
      </c>
      <c r="H833" s="386">
        <v>3.8339999999999999E-2</v>
      </c>
    </row>
    <row r="834" spans="2:8" x14ac:dyDescent="0.2">
      <c r="B834" s="294" t="s">
        <v>1897</v>
      </c>
      <c r="C834" s="292"/>
      <c r="D834" s="315"/>
      <c r="E834" s="316" t="s">
        <v>744</v>
      </c>
      <c r="F834" s="303">
        <v>0.5</v>
      </c>
      <c r="G834" s="303">
        <v>0.68400000000000005</v>
      </c>
      <c r="H834" s="386">
        <v>0.34200000000000003</v>
      </c>
    </row>
    <row r="835" spans="2:8" x14ac:dyDescent="0.2">
      <c r="B835" s="294"/>
      <c r="C835" s="292"/>
      <c r="D835" s="315"/>
      <c r="E835" s="316" t="s">
        <v>671</v>
      </c>
      <c r="F835" s="303" t="s">
        <v>671</v>
      </c>
      <c r="G835" s="303" t="s">
        <v>671</v>
      </c>
      <c r="H835" s="386" t="s">
        <v>671</v>
      </c>
    </row>
    <row r="836" spans="2:8" x14ac:dyDescent="0.2">
      <c r="B836" s="294"/>
      <c r="C836" s="292"/>
      <c r="D836" s="315"/>
      <c r="E836" s="316"/>
      <c r="F836" s="303"/>
      <c r="G836" s="303"/>
      <c r="H836" s="386"/>
    </row>
    <row r="837" spans="2:8" x14ac:dyDescent="0.2">
      <c r="B837" s="294"/>
      <c r="C837" s="292"/>
      <c r="D837" s="315"/>
      <c r="E837" s="316"/>
      <c r="F837" s="303"/>
      <c r="G837" s="303"/>
      <c r="H837" s="386"/>
    </row>
    <row r="838" spans="2:8" x14ac:dyDescent="0.2">
      <c r="B838" s="294"/>
      <c r="C838" s="292"/>
      <c r="D838" s="315"/>
      <c r="E838" s="316"/>
      <c r="F838" s="303"/>
      <c r="G838" s="303"/>
      <c r="H838" s="386"/>
    </row>
    <row r="839" spans="2:8" x14ac:dyDescent="0.2">
      <c r="B839" s="294"/>
      <c r="C839" s="292"/>
      <c r="D839" s="315"/>
      <c r="E839" s="316"/>
      <c r="F839" s="303"/>
      <c r="G839" s="303"/>
      <c r="H839" s="386"/>
    </row>
    <row r="840" spans="2:8" x14ac:dyDescent="0.2">
      <c r="B840" s="294"/>
      <c r="C840" s="292"/>
      <c r="D840" s="315"/>
      <c r="E840" s="316"/>
      <c r="F840" s="303"/>
      <c r="G840" s="303"/>
      <c r="H840" s="386"/>
    </row>
    <row r="841" spans="2:8" x14ac:dyDescent="0.2">
      <c r="B841" s="294"/>
      <c r="C841" s="292"/>
      <c r="D841" s="315"/>
      <c r="E841" s="316"/>
      <c r="F841" s="303"/>
      <c r="G841" s="303"/>
      <c r="H841" s="386"/>
    </row>
    <row r="842" spans="2:8" x14ac:dyDescent="0.2">
      <c r="B842" s="294"/>
      <c r="C842" s="292"/>
      <c r="D842" s="315"/>
      <c r="E842" s="303"/>
      <c r="F842" s="303"/>
      <c r="G842" s="303"/>
      <c r="H842" s="386"/>
    </row>
    <row r="843" spans="2:8" x14ac:dyDescent="0.2">
      <c r="B843" s="294"/>
      <c r="C843" s="292"/>
      <c r="D843" s="315"/>
      <c r="E843" s="303"/>
      <c r="F843" s="303"/>
      <c r="G843" s="303"/>
      <c r="H843" s="386"/>
    </row>
    <row r="844" spans="2:8" ht="13.5" thickBot="1" x14ac:dyDescent="0.25">
      <c r="B844" s="742" t="s">
        <v>1681</v>
      </c>
      <c r="C844" s="743"/>
      <c r="D844" s="743"/>
      <c r="E844" s="743"/>
      <c r="F844" s="743"/>
      <c r="G844" s="744"/>
      <c r="H844" s="389">
        <v>35.791109999999996</v>
      </c>
    </row>
    <row r="845" spans="2:8" ht="13.5" thickBot="1" x14ac:dyDescent="0.25">
      <c r="B845" s="295" t="s">
        <v>1680</v>
      </c>
      <c r="C845" s="296"/>
      <c r="D845" s="296"/>
      <c r="E845" s="296"/>
      <c r="F845" s="296"/>
      <c r="G845" s="296"/>
      <c r="H845" s="384"/>
    </row>
    <row r="846" spans="2:8" ht="25.5" x14ac:dyDescent="0.2">
      <c r="B846" s="390" t="s">
        <v>1409</v>
      </c>
      <c r="C846" s="391"/>
      <c r="D846" s="392"/>
      <c r="E846" s="309" t="s">
        <v>1408</v>
      </c>
      <c r="F846" s="309" t="s">
        <v>1679</v>
      </c>
      <c r="G846" s="309" t="s">
        <v>1676</v>
      </c>
      <c r="H846" s="388" t="s">
        <v>1675</v>
      </c>
    </row>
    <row r="847" spans="2:8" x14ac:dyDescent="0.2">
      <c r="B847" s="298" t="s">
        <v>975</v>
      </c>
      <c r="C847" s="299"/>
      <c r="D847" s="396"/>
      <c r="E847" s="316" t="s">
        <v>744</v>
      </c>
      <c r="F847" s="303">
        <v>8.5216928571428555E-2</v>
      </c>
      <c r="G847" s="382">
        <v>12.6</v>
      </c>
      <c r="H847" s="386">
        <v>1.0737332999999998</v>
      </c>
    </row>
    <row r="848" spans="2:8" x14ac:dyDescent="0.2">
      <c r="B848" s="302"/>
      <c r="C848" s="292"/>
      <c r="D848" s="317"/>
      <c r="E848" s="316"/>
      <c r="F848" s="303"/>
      <c r="G848" s="303"/>
      <c r="H848" s="386"/>
    </row>
    <row r="849" spans="1:9" x14ac:dyDescent="0.2">
      <c r="B849" s="305"/>
      <c r="C849" s="306"/>
      <c r="D849" s="318"/>
      <c r="E849" s="319"/>
      <c r="F849" s="307"/>
      <c r="G849" s="307"/>
      <c r="H849" s="387"/>
    </row>
    <row r="850" spans="1:9" ht="13.5" thickBot="1" x14ac:dyDescent="0.25">
      <c r="B850" s="742" t="s">
        <v>1674</v>
      </c>
      <c r="C850" s="743"/>
      <c r="D850" s="743"/>
      <c r="E850" s="743"/>
      <c r="F850" s="743"/>
      <c r="G850" s="744"/>
      <c r="H850" s="397">
        <v>1.0737332999999998</v>
      </c>
    </row>
    <row r="851" spans="1:9" x14ac:dyDescent="0.2">
      <c r="B851" s="292"/>
      <c r="C851" s="292"/>
      <c r="D851" s="320" t="s">
        <v>1673</v>
      </c>
      <c r="E851" s="321"/>
      <c r="F851" s="321"/>
      <c r="G851" s="321"/>
      <c r="H851" s="331">
        <f>H810+H820+H844+H850</f>
        <v>65.00484329999999</v>
      </c>
    </row>
    <row r="852" spans="1:9" s="1" customFormat="1" ht="15.75" x14ac:dyDescent="0.25">
      <c r="A852" s="103">
        <v>40002</v>
      </c>
      <c r="B852" s="2"/>
      <c r="C852" s="2"/>
      <c r="D852" s="93" t="s">
        <v>1672</v>
      </c>
      <c r="E852" s="65"/>
      <c r="F852" s="65"/>
      <c r="G852" s="94">
        <f>IF($A852=0,"",VLOOKUP($A852,'BASE MATERIAL'!$M:$P,4))</f>
        <v>0</v>
      </c>
      <c r="H852" s="95">
        <f>IF($A852=0,"",ROUND(G852*H851,2))</f>
        <v>0</v>
      </c>
      <c r="I852" s="2"/>
    </row>
    <row r="853" spans="1:9" s="1" customFormat="1" ht="15.75" x14ac:dyDescent="0.25">
      <c r="A853" s="103">
        <v>40003</v>
      </c>
      <c r="B853" s="2"/>
      <c r="C853" s="2"/>
      <c r="D853" s="93" t="s">
        <v>1671</v>
      </c>
      <c r="E853" s="65"/>
      <c r="F853" s="65"/>
      <c r="G853" s="94">
        <f>IF($A853=0,"",VLOOKUP($A853,'BASE MATERIAL'!$M:$P,4))</f>
        <v>0</v>
      </c>
      <c r="H853" s="95">
        <f>IF($A853=0,"",ROUND(G853*H851,2))</f>
        <v>0</v>
      </c>
      <c r="I853" s="2"/>
    </row>
    <row r="854" spans="1:9" s="1" customFormat="1" ht="15.75" x14ac:dyDescent="0.25">
      <c r="A854" s="103"/>
      <c r="B854" s="2"/>
      <c r="C854" s="2"/>
      <c r="D854" s="93" t="s">
        <v>1670</v>
      </c>
      <c r="E854" s="65"/>
      <c r="F854" s="65"/>
      <c r="G854" s="65"/>
      <c r="H854" s="96">
        <f>ROUND(SUM(H851:H853),2)</f>
        <v>65</v>
      </c>
      <c r="I854" s="2"/>
    </row>
    <row r="855" spans="1:9" s="1" customFormat="1" ht="16.5" thickBot="1" x14ac:dyDescent="0.3">
      <c r="A855" s="103"/>
      <c r="B855" s="25"/>
      <c r="C855" s="2"/>
      <c r="D855" s="97" t="s">
        <v>1650</v>
      </c>
      <c r="E855" s="88"/>
      <c r="F855" s="88"/>
      <c r="G855" s="88"/>
      <c r="H855" s="98">
        <f>ROUND(H854,2)</f>
        <v>65</v>
      </c>
      <c r="I855" s="2"/>
    </row>
    <row r="856" spans="1:9" x14ac:dyDescent="0.2">
      <c r="B856" s="294"/>
      <c r="C856" s="294"/>
      <c r="D856" s="294"/>
      <c r="E856" s="294"/>
      <c r="F856" s="294"/>
      <c r="G856" s="294"/>
      <c r="H856" s="294"/>
    </row>
    <row r="857" spans="1:9" x14ac:dyDescent="0.2">
      <c r="B857" s="294"/>
      <c r="C857" s="294"/>
      <c r="D857" s="294"/>
      <c r="E857" s="294"/>
      <c r="F857" s="294"/>
      <c r="G857" s="294"/>
      <c r="H857" s="294"/>
    </row>
    <row r="858" spans="1:9" x14ac:dyDescent="0.2">
      <c r="B858" s="292" t="s">
        <v>1889</v>
      </c>
      <c r="C858" s="292" t="s">
        <v>1890</v>
      </c>
      <c r="D858" s="292"/>
      <c r="E858" s="292"/>
      <c r="F858" s="292"/>
      <c r="G858" s="292"/>
      <c r="H858" s="292" t="s">
        <v>1891</v>
      </c>
    </row>
    <row r="859" spans="1:9" x14ac:dyDescent="0.2">
      <c r="B859" s="292" t="s">
        <v>1700</v>
      </c>
      <c r="C859" s="292" t="s">
        <v>1892</v>
      </c>
      <c r="D859" s="292"/>
      <c r="E859" s="292"/>
      <c r="F859" s="292"/>
      <c r="G859" s="382"/>
      <c r="H859" s="315"/>
    </row>
    <row r="860" spans="1:9" x14ac:dyDescent="0.2">
      <c r="B860" s="292"/>
      <c r="C860" s="292"/>
      <c r="D860" s="292"/>
      <c r="E860" s="292"/>
      <c r="F860" s="292"/>
      <c r="G860" s="292"/>
      <c r="H860" s="292"/>
    </row>
    <row r="861" spans="1:9" x14ac:dyDescent="0.2">
      <c r="B861" s="738" t="s">
        <v>1697</v>
      </c>
      <c r="C861" s="739"/>
      <c r="D861" s="739"/>
      <c r="E861" s="739"/>
      <c r="F861" s="739"/>
      <c r="G861" s="739"/>
      <c r="H861" s="739"/>
    </row>
    <row r="862" spans="1:9" x14ac:dyDescent="0.2">
      <c r="B862" s="292" t="s">
        <v>1586</v>
      </c>
      <c r="C862" s="293">
        <v>3.0880000000000001</v>
      </c>
      <c r="D862" s="292"/>
      <c r="E862" s="292"/>
      <c r="F862" s="292"/>
      <c r="G862" s="292" t="s">
        <v>1696</v>
      </c>
      <c r="H862" s="315" t="s">
        <v>744</v>
      </c>
    </row>
    <row r="863" spans="1:9" x14ac:dyDescent="0.2">
      <c r="B863" s="292" t="s">
        <v>1585</v>
      </c>
      <c r="C863" s="294" t="s">
        <v>1940</v>
      </c>
      <c r="D863" s="292"/>
      <c r="E863" s="292"/>
      <c r="F863" s="292"/>
      <c r="G863" s="292"/>
      <c r="H863" s="292"/>
    </row>
    <row r="864" spans="1:9" ht="13.5" thickBot="1" x14ac:dyDescent="0.25">
      <c r="B864" s="292"/>
      <c r="C864" s="292"/>
      <c r="D864" s="292"/>
      <c r="E864" s="292"/>
      <c r="F864" s="292"/>
      <c r="G864" s="292"/>
      <c r="H864" s="292"/>
    </row>
    <row r="865" spans="2:8" ht="13.5" thickBot="1" x14ac:dyDescent="0.25">
      <c r="B865" s="295" t="s">
        <v>1695</v>
      </c>
      <c r="C865" s="296"/>
      <c r="D865" s="296"/>
      <c r="E865" s="296"/>
      <c r="F865" s="296"/>
      <c r="G865" s="296"/>
      <c r="H865" s="384"/>
    </row>
    <row r="866" spans="2:8" ht="25.5" x14ac:dyDescent="0.2">
      <c r="B866" s="740" t="s">
        <v>1409</v>
      </c>
      <c r="C866" s="741"/>
      <c r="D866" s="297" t="s">
        <v>1690</v>
      </c>
      <c r="E866" s="297" t="s">
        <v>1694</v>
      </c>
      <c r="F866" s="297" t="s">
        <v>1693</v>
      </c>
      <c r="G866" s="49" t="s">
        <v>1687</v>
      </c>
      <c r="H866" s="385" t="s">
        <v>1686</v>
      </c>
    </row>
    <row r="867" spans="2:8" x14ac:dyDescent="0.2">
      <c r="B867" s="298" t="s">
        <v>1468</v>
      </c>
      <c r="C867" s="299"/>
      <c r="D867" s="300">
        <v>1</v>
      </c>
      <c r="E867" s="300">
        <v>0.79166666666666663</v>
      </c>
      <c r="F867" s="300">
        <v>0.79166666666666663</v>
      </c>
      <c r="G867" s="301">
        <v>0.22105263157894739</v>
      </c>
      <c r="H867" s="301">
        <v>0.17500000000000002</v>
      </c>
    </row>
    <row r="868" spans="2:8" x14ac:dyDescent="0.2">
      <c r="B868" s="302"/>
      <c r="C868" s="292"/>
      <c r="D868" s="303"/>
      <c r="E868" s="303"/>
      <c r="F868" s="303"/>
      <c r="G868" s="304"/>
      <c r="H868" s="386"/>
    </row>
    <row r="869" spans="2:8" x14ac:dyDescent="0.2">
      <c r="B869" s="302"/>
      <c r="C869" s="292"/>
      <c r="D869" s="303"/>
      <c r="E869" s="303"/>
      <c r="F869" s="303"/>
      <c r="G869" s="304"/>
      <c r="H869" s="386"/>
    </row>
    <row r="870" spans="2:8" x14ac:dyDescent="0.2">
      <c r="B870" s="302"/>
      <c r="C870" s="292"/>
      <c r="D870" s="303"/>
      <c r="E870" s="303"/>
      <c r="F870" s="303"/>
      <c r="G870" s="304"/>
      <c r="H870" s="386"/>
    </row>
    <row r="871" spans="2:8" x14ac:dyDescent="0.2">
      <c r="B871" s="302"/>
      <c r="C871" s="292"/>
      <c r="D871" s="303"/>
      <c r="E871" s="303"/>
      <c r="F871" s="303"/>
      <c r="G871" s="304"/>
      <c r="H871" s="386"/>
    </row>
    <row r="872" spans="2:8" x14ac:dyDescent="0.2">
      <c r="B872" s="305"/>
      <c r="C872" s="306"/>
      <c r="D872" s="307"/>
      <c r="E872" s="307"/>
      <c r="F872" s="307"/>
      <c r="G872" s="308"/>
      <c r="H872" s="387"/>
    </row>
    <row r="873" spans="2:8" ht="13.5" thickBot="1" x14ac:dyDescent="0.25">
      <c r="B873" s="742" t="s">
        <v>1692</v>
      </c>
      <c r="C873" s="743"/>
      <c r="D873" s="743"/>
      <c r="E873" s="743"/>
      <c r="F873" s="743"/>
      <c r="G873" s="744"/>
      <c r="H873" s="387">
        <v>0.17500000000000002</v>
      </c>
    </row>
    <row r="874" spans="2:8" ht="13.5" thickBot="1" x14ac:dyDescent="0.25">
      <c r="B874" s="295" t="s">
        <v>1503</v>
      </c>
      <c r="C874" s="296"/>
      <c r="D874" s="296"/>
      <c r="E874" s="296"/>
      <c r="F874" s="296"/>
      <c r="G874" s="296"/>
      <c r="H874" s="384"/>
    </row>
    <row r="875" spans="2:8" ht="25.5" x14ac:dyDescent="0.2">
      <c r="B875" s="740" t="s">
        <v>1409</v>
      </c>
      <c r="C875" s="741"/>
      <c r="D875" s="309" t="s">
        <v>1690</v>
      </c>
      <c r="E875" s="309" t="s">
        <v>1689</v>
      </c>
      <c r="F875" s="309" t="s">
        <v>1688</v>
      </c>
      <c r="G875" s="67" t="s">
        <v>1687</v>
      </c>
      <c r="H875" s="388" t="s">
        <v>1686</v>
      </c>
    </row>
    <row r="876" spans="2:8" x14ac:dyDescent="0.2">
      <c r="B876" s="310" t="s">
        <v>243</v>
      </c>
      <c r="C876" s="292"/>
      <c r="D876" s="311">
        <v>1</v>
      </c>
      <c r="E876" s="312">
        <v>3.0187499999999998</v>
      </c>
      <c r="F876" s="300">
        <v>3.0187499999999998</v>
      </c>
      <c r="G876" s="300">
        <v>4.04215389057312</v>
      </c>
      <c r="H876" s="301">
        <v>12.202252057167605</v>
      </c>
    </row>
    <row r="877" spans="2:8" x14ac:dyDescent="0.2">
      <c r="B877" s="310" t="s">
        <v>1488</v>
      </c>
      <c r="C877" s="292"/>
      <c r="D877" s="311">
        <v>1</v>
      </c>
      <c r="E877" s="312">
        <v>2.82</v>
      </c>
      <c r="F877" s="303">
        <v>2.82</v>
      </c>
      <c r="G877" s="303">
        <v>4.04215389057312</v>
      </c>
      <c r="H877" s="386">
        <v>11.398873971416197</v>
      </c>
    </row>
    <row r="878" spans="2:8" x14ac:dyDescent="0.2">
      <c r="B878" s="310" t="s">
        <v>1787</v>
      </c>
      <c r="C878" s="292"/>
      <c r="D878" s="311">
        <v>1</v>
      </c>
      <c r="E878" s="312">
        <v>2.82</v>
      </c>
      <c r="F878" s="303">
        <v>2.82</v>
      </c>
      <c r="G878" s="303">
        <v>4.04215389057312</v>
      </c>
      <c r="H878" s="386">
        <v>11.398873971416197</v>
      </c>
    </row>
    <row r="879" spans="2:8" x14ac:dyDescent="0.2">
      <c r="B879" s="313"/>
      <c r="C879" s="292"/>
      <c r="D879" s="311"/>
      <c r="E879" s="312"/>
      <c r="F879" s="303"/>
      <c r="G879" s="304"/>
      <c r="H879" s="386"/>
    </row>
    <row r="880" spans="2:8" x14ac:dyDescent="0.2">
      <c r="B880" s="314"/>
      <c r="C880" s="292"/>
      <c r="D880" s="311"/>
      <c r="E880" s="312"/>
      <c r="F880" s="303"/>
      <c r="G880" s="304"/>
      <c r="H880" s="386"/>
    </row>
    <row r="881" spans="2:8" x14ac:dyDescent="0.2">
      <c r="B881" s="302"/>
      <c r="C881" s="292"/>
      <c r="D881" s="303"/>
      <c r="E881" s="303"/>
      <c r="F881" s="303"/>
      <c r="G881" s="304"/>
      <c r="H881" s="386"/>
    </row>
    <row r="882" spans="2:8" x14ac:dyDescent="0.2">
      <c r="B882" s="305"/>
      <c r="C882" s="306"/>
      <c r="D882" s="307"/>
      <c r="E882" s="307"/>
      <c r="F882" s="307"/>
      <c r="G882" s="308"/>
      <c r="H882" s="387"/>
    </row>
    <row r="883" spans="2:8" ht="13.5" thickBot="1" x14ac:dyDescent="0.25">
      <c r="B883" s="742" t="s">
        <v>1685</v>
      </c>
      <c r="C883" s="743"/>
      <c r="D883" s="743"/>
      <c r="E883" s="743"/>
      <c r="F883" s="743"/>
      <c r="G883" s="744"/>
      <c r="H883" s="389">
        <v>35</v>
      </c>
    </row>
    <row r="884" spans="2:8" ht="13.5" thickBot="1" x14ac:dyDescent="0.25">
      <c r="B884" s="295" t="s">
        <v>1684</v>
      </c>
      <c r="C884" s="296"/>
      <c r="D884" s="296"/>
      <c r="E884" s="296"/>
      <c r="F884" s="296"/>
      <c r="G884" s="296"/>
      <c r="H884" s="384"/>
    </row>
    <row r="885" spans="2:8" ht="25.5" x14ac:dyDescent="0.2">
      <c r="B885" s="748" t="s">
        <v>1409</v>
      </c>
      <c r="C885" s="749"/>
      <c r="D885" s="750"/>
      <c r="E885" s="393" t="s">
        <v>1408</v>
      </c>
      <c r="F885" s="394" t="s">
        <v>1679</v>
      </c>
      <c r="G885" s="394" t="s">
        <v>1683</v>
      </c>
      <c r="H885" s="395" t="s">
        <v>1675</v>
      </c>
    </row>
    <row r="886" spans="2:8" x14ac:dyDescent="0.2">
      <c r="B886" s="294" t="s">
        <v>1920</v>
      </c>
      <c r="C886" s="292"/>
      <c r="D886" s="315"/>
      <c r="E886" s="316" t="s">
        <v>744</v>
      </c>
      <c r="F886" s="303">
        <v>5</v>
      </c>
      <c r="G886" s="303">
        <v>4.3650000000000002</v>
      </c>
      <c r="H886" s="386">
        <v>21.825000000000003</v>
      </c>
    </row>
    <row r="887" spans="2:8" x14ac:dyDescent="0.2">
      <c r="B887" s="294" t="s">
        <v>1921</v>
      </c>
      <c r="C887" s="292"/>
      <c r="D887" s="315"/>
      <c r="E887" s="316" t="s">
        <v>1788</v>
      </c>
      <c r="F887" s="303">
        <v>30.96</v>
      </c>
      <c r="G887" s="303">
        <v>0.63900000000000001</v>
      </c>
      <c r="H887" s="386">
        <v>19.783440000000002</v>
      </c>
    </row>
    <row r="888" spans="2:8" x14ac:dyDescent="0.2">
      <c r="B888" s="294" t="s">
        <v>1922</v>
      </c>
      <c r="C888" s="292"/>
      <c r="D888" s="315"/>
      <c r="E888" s="316" t="s">
        <v>1788</v>
      </c>
      <c r="F888" s="303">
        <v>15.48</v>
      </c>
      <c r="G888" s="303">
        <v>0.441</v>
      </c>
      <c r="H888" s="386">
        <v>6.8266800000000005</v>
      </c>
    </row>
    <row r="889" spans="2:8" x14ac:dyDescent="0.2">
      <c r="B889" s="294" t="s">
        <v>1923</v>
      </c>
      <c r="C889" s="292"/>
      <c r="D889" s="315"/>
      <c r="E889" s="316" t="s">
        <v>744</v>
      </c>
      <c r="F889" s="303">
        <v>1</v>
      </c>
      <c r="G889" s="303">
        <v>11.232000000000001</v>
      </c>
      <c r="H889" s="386">
        <v>11.232000000000001</v>
      </c>
    </row>
    <row r="890" spans="2:8" x14ac:dyDescent="0.2">
      <c r="B890" s="294" t="s">
        <v>1924</v>
      </c>
      <c r="C890" s="292"/>
      <c r="D890" s="315"/>
      <c r="E890" s="316" t="s">
        <v>744</v>
      </c>
      <c r="F890" s="303">
        <v>4</v>
      </c>
      <c r="G890" s="303">
        <v>0.27</v>
      </c>
      <c r="H890" s="386">
        <v>1.08</v>
      </c>
    </row>
    <row r="891" spans="2:8" x14ac:dyDescent="0.2">
      <c r="B891" s="294" t="s">
        <v>1925</v>
      </c>
      <c r="C891" s="292"/>
      <c r="D891" s="315"/>
      <c r="E891" s="316" t="s">
        <v>744</v>
      </c>
      <c r="F891" s="303">
        <v>5.68</v>
      </c>
      <c r="G891" s="303">
        <v>0.27</v>
      </c>
      <c r="H891" s="386">
        <v>1.5336000000000001</v>
      </c>
    </row>
    <row r="892" spans="2:8" x14ac:dyDescent="0.2">
      <c r="B892" s="294" t="s">
        <v>1926</v>
      </c>
      <c r="C892" s="292"/>
      <c r="D892" s="315"/>
      <c r="E892" s="316" t="s">
        <v>744</v>
      </c>
      <c r="F892" s="303">
        <v>7.5</v>
      </c>
      <c r="G892" s="303">
        <v>5.3999999999999999E-2</v>
      </c>
      <c r="H892" s="386">
        <v>0.40499999999999997</v>
      </c>
    </row>
    <row r="893" spans="2:8" x14ac:dyDescent="0.2">
      <c r="B893" s="294" t="s">
        <v>1903</v>
      </c>
      <c r="C893" s="292"/>
      <c r="D893" s="315"/>
      <c r="E893" s="316" t="s">
        <v>744</v>
      </c>
      <c r="F893" s="303">
        <v>9.5</v>
      </c>
      <c r="G893" s="303">
        <v>6.3E-3</v>
      </c>
      <c r="H893" s="386">
        <v>5.985E-2</v>
      </c>
    </row>
    <row r="894" spans="2:8" x14ac:dyDescent="0.2">
      <c r="B894" s="294" t="s">
        <v>1266</v>
      </c>
      <c r="C894" s="292"/>
      <c r="D894" s="315"/>
      <c r="E894" s="316" t="s">
        <v>1196</v>
      </c>
      <c r="F894" s="303">
        <v>0.5</v>
      </c>
      <c r="G894" s="303">
        <v>1.35</v>
      </c>
      <c r="H894" s="386">
        <v>0.67500000000000004</v>
      </c>
    </row>
    <row r="895" spans="2:8" x14ac:dyDescent="0.2">
      <c r="B895" s="294" t="s">
        <v>1904</v>
      </c>
      <c r="C895" s="292"/>
      <c r="D895" s="315"/>
      <c r="E895" s="316" t="s">
        <v>744</v>
      </c>
      <c r="F895" s="303">
        <v>2</v>
      </c>
      <c r="G895" s="303">
        <v>2.52E-2</v>
      </c>
      <c r="H895" s="386">
        <v>5.04E-2</v>
      </c>
    </row>
    <row r="896" spans="2:8" x14ac:dyDescent="0.2">
      <c r="B896" s="294" t="s">
        <v>780</v>
      </c>
      <c r="C896" s="292"/>
      <c r="D896" s="315"/>
      <c r="E896" s="316" t="s">
        <v>744</v>
      </c>
      <c r="F896" s="303">
        <v>0.1</v>
      </c>
      <c r="G896" s="303">
        <v>0.63900000000000001</v>
      </c>
      <c r="H896" s="386">
        <v>6.3899999999999998E-2</v>
      </c>
    </row>
    <row r="897" spans="2:8" x14ac:dyDescent="0.2">
      <c r="B897" s="294" t="s">
        <v>1941</v>
      </c>
      <c r="C897" s="292"/>
      <c r="D897" s="315"/>
      <c r="E897" s="316" t="s">
        <v>1788</v>
      </c>
      <c r="F897" s="303">
        <v>1.5</v>
      </c>
      <c r="G897" s="303">
        <v>0.79200000000000004</v>
      </c>
      <c r="H897" s="386">
        <v>1.1880000000000002</v>
      </c>
    </row>
    <row r="898" spans="2:8" x14ac:dyDescent="0.2">
      <c r="B898" s="294" t="s">
        <v>1907</v>
      </c>
      <c r="C898" s="292"/>
      <c r="D898" s="315"/>
      <c r="E898" s="316" t="s">
        <v>744</v>
      </c>
      <c r="F898" s="303">
        <v>1</v>
      </c>
      <c r="G898" s="303">
        <v>0.19800000000000001</v>
      </c>
      <c r="H898" s="386">
        <v>0.19800000000000001</v>
      </c>
    </row>
    <row r="899" spans="2:8" x14ac:dyDescent="0.2">
      <c r="B899" s="294"/>
      <c r="C899" s="292"/>
      <c r="D899" s="315"/>
      <c r="E899" s="316"/>
      <c r="F899" s="303"/>
      <c r="G899" s="303"/>
      <c r="H899" s="386"/>
    </row>
    <row r="900" spans="2:8" x14ac:dyDescent="0.2">
      <c r="B900" s="294"/>
      <c r="C900" s="292"/>
      <c r="D900" s="315"/>
      <c r="E900" s="316"/>
      <c r="F900" s="303"/>
      <c r="G900" s="303"/>
      <c r="H900" s="386"/>
    </row>
    <row r="901" spans="2:8" x14ac:dyDescent="0.2">
      <c r="B901" s="294"/>
      <c r="C901" s="292"/>
      <c r="D901" s="315"/>
      <c r="E901" s="316"/>
      <c r="F901" s="303"/>
      <c r="G901" s="303"/>
      <c r="H901" s="386"/>
    </row>
    <row r="902" spans="2:8" x14ac:dyDescent="0.2">
      <c r="B902" s="294"/>
      <c r="C902" s="292"/>
      <c r="D902" s="315"/>
      <c r="E902" s="316"/>
      <c r="F902" s="303"/>
      <c r="G902" s="303"/>
      <c r="H902" s="386"/>
    </row>
    <row r="903" spans="2:8" x14ac:dyDescent="0.2">
      <c r="B903" s="294"/>
      <c r="C903" s="292"/>
      <c r="D903" s="315"/>
      <c r="E903" s="316"/>
      <c r="F903" s="303"/>
      <c r="G903" s="303"/>
      <c r="H903" s="386"/>
    </row>
    <row r="904" spans="2:8" x14ac:dyDescent="0.2">
      <c r="B904" s="294"/>
      <c r="C904" s="292"/>
      <c r="D904" s="315"/>
      <c r="E904" s="316"/>
      <c r="F904" s="303"/>
      <c r="G904" s="303"/>
      <c r="H904" s="386"/>
    </row>
    <row r="905" spans="2:8" x14ac:dyDescent="0.2">
      <c r="B905" s="294"/>
      <c r="C905" s="292"/>
      <c r="D905" s="315"/>
      <c r="E905" s="303"/>
      <c r="F905" s="303"/>
      <c r="G905" s="303"/>
      <c r="H905" s="386"/>
    </row>
    <row r="906" spans="2:8" x14ac:dyDescent="0.2">
      <c r="B906" s="294"/>
      <c r="C906" s="292"/>
      <c r="D906" s="315"/>
      <c r="E906" s="303"/>
      <c r="F906" s="303"/>
      <c r="G906" s="303"/>
      <c r="H906" s="386"/>
    </row>
    <row r="907" spans="2:8" ht="13.5" thickBot="1" x14ac:dyDescent="0.25">
      <c r="B907" s="742" t="s">
        <v>1681</v>
      </c>
      <c r="C907" s="743"/>
      <c r="D907" s="743"/>
      <c r="E907" s="743"/>
      <c r="F907" s="743"/>
      <c r="G907" s="744"/>
      <c r="H907" s="389">
        <v>64.920869999999994</v>
      </c>
    </row>
    <row r="908" spans="2:8" ht="13.5" thickBot="1" x14ac:dyDescent="0.25">
      <c r="B908" s="295" t="s">
        <v>1680</v>
      </c>
      <c r="C908" s="296"/>
      <c r="D908" s="296"/>
      <c r="E908" s="296"/>
      <c r="F908" s="296"/>
      <c r="G908" s="296"/>
      <c r="H908" s="384"/>
    </row>
    <row r="909" spans="2:8" ht="25.5" x14ac:dyDescent="0.2">
      <c r="B909" s="390" t="s">
        <v>1409</v>
      </c>
      <c r="C909" s="391"/>
      <c r="D909" s="392"/>
      <c r="E909" s="309" t="s">
        <v>1408</v>
      </c>
      <c r="F909" s="309" t="s">
        <v>1679</v>
      </c>
      <c r="G909" s="309" t="s">
        <v>1676</v>
      </c>
      <c r="H909" s="388" t="s">
        <v>1675</v>
      </c>
    </row>
    <row r="910" spans="2:8" x14ac:dyDescent="0.2">
      <c r="B910" s="298" t="s">
        <v>975</v>
      </c>
      <c r="C910" s="299"/>
      <c r="D910" s="396"/>
      <c r="E910" s="316" t="s">
        <v>744</v>
      </c>
      <c r="F910" s="303">
        <v>0.15457349999999997</v>
      </c>
      <c r="G910" s="382">
        <v>12.6</v>
      </c>
      <c r="H910" s="386">
        <v>1.9476260999999997</v>
      </c>
    </row>
    <row r="911" spans="2:8" x14ac:dyDescent="0.2">
      <c r="B911" s="302"/>
      <c r="C911" s="292"/>
      <c r="D911" s="317"/>
      <c r="E911" s="316"/>
      <c r="F911" s="303"/>
      <c r="G911" s="303"/>
      <c r="H911" s="386"/>
    </row>
    <row r="912" spans="2:8" x14ac:dyDescent="0.2">
      <c r="B912" s="305"/>
      <c r="C912" s="306"/>
      <c r="D912" s="318"/>
      <c r="E912" s="319"/>
      <c r="F912" s="307"/>
      <c r="G912" s="307"/>
      <c r="H912" s="387"/>
    </row>
    <row r="913" spans="1:9" ht="13.5" thickBot="1" x14ac:dyDescent="0.25">
      <c r="B913" s="742" t="s">
        <v>1674</v>
      </c>
      <c r="C913" s="743"/>
      <c r="D913" s="743"/>
      <c r="E913" s="743"/>
      <c r="F913" s="743"/>
      <c r="G913" s="744"/>
      <c r="H913" s="397">
        <v>1.9476260999999997</v>
      </c>
    </row>
    <row r="914" spans="1:9" x14ac:dyDescent="0.2">
      <c r="B914" s="292"/>
      <c r="C914" s="292"/>
      <c r="D914" s="320" t="s">
        <v>1673</v>
      </c>
      <c r="E914" s="321"/>
      <c r="F914" s="321"/>
      <c r="G914" s="321"/>
      <c r="H914" s="331">
        <f>H873+H883+H907+H913</f>
        <v>102.04349609999998</v>
      </c>
    </row>
    <row r="915" spans="1:9" s="1" customFormat="1" ht="15.75" x14ac:dyDescent="0.25">
      <c r="A915" s="103">
        <v>40002</v>
      </c>
      <c r="B915" s="2"/>
      <c r="C915" s="2"/>
      <c r="D915" s="93" t="s">
        <v>1672</v>
      </c>
      <c r="E915" s="65"/>
      <c r="F915" s="65"/>
      <c r="G915" s="94">
        <f>IF($A915=0,"",VLOOKUP($A915,'BASE MATERIAL'!$M:$P,4))</f>
        <v>0</v>
      </c>
      <c r="H915" s="95">
        <f>IF($A915=0,"",ROUND(G915*H914,2))</f>
        <v>0</v>
      </c>
      <c r="I915" s="2"/>
    </row>
    <row r="916" spans="1:9" s="1" customFormat="1" ht="15.75" x14ac:dyDescent="0.25">
      <c r="A916" s="103">
        <v>40003</v>
      </c>
      <c r="B916" s="2"/>
      <c r="C916" s="2"/>
      <c r="D916" s="93" t="s">
        <v>1671</v>
      </c>
      <c r="E916" s="65"/>
      <c r="F916" s="65"/>
      <c r="G916" s="94">
        <f>IF($A916=0,"",VLOOKUP($A916,'BASE MATERIAL'!$M:$P,4))</f>
        <v>0</v>
      </c>
      <c r="H916" s="95">
        <f>IF($A916=0,"",ROUND(G916*H914,2))</f>
        <v>0</v>
      </c>
      <c r="I916" s="2"/>
    </row>
    <row r="917" spans="1:9" s="1" customFormat="1" ht="15.75" x14ac:dyDescent="0.25">
      <c r="A917" s="103"/>
      <c r="B917" s="2"/>
      <c r="C917" s="2"/>
      <c r="D917" s="93" t="s">
        <v>1670</v>
      </c>
      <c r="E917" s="65"/>
      <c r="F917" s="65"/>
      <c r="G917" s="65"/>
      <c r="H917" s="96">
        <f>ROUND(SUM(H914:H916),2)</f>
        <v>102.04</v>
      </c>
      <c r="I917" s="2"/>
    </row>
    <row r="918" spans="1:9" s="1" customFormat="1" ht="16.5" thickBot="1" x14ac:dyDescent="0.3">
      <c r="A918" s="103"/>
      <c r="B918" s="25"/>
      <c r="C918" s="2"/>
      <c r="D918" s="97" t="s">
        <v>1650</v>
      </c>
      <c r="E918" s="88"/>
      <c r="F918" s="88"/>
      <c r="G918" s="88"/>
      <c r="H918" s="98">
        <f>ROUND(H917,2)</f>
        <v>102.04</v>
      </c>
      <c r="I918" s="2"/>
    </row>
    <row r="919" spans="1:9" x14ac:dyDescent="0.2">
      <c r="B919" s="294"/>
      <c r="C919" s="294"/>
      <c r="D919" s="294"/>
      <c r="E919" s="294"/>
      <c r="F919" s="294"/>
      <c r="G919" s="294"/>
      <c r="H919" s="294"/>
    </row>
    <row r="920" spans="1:9" x14ac:dyDescent="0.2">
      <c r="B920" s="294"/>
      <c r="C920" s="294"/>
      <c r="D920" s="294"/>
      <c r="E920" s="294"/>
      <c r="F920" s="294"/>
      <c r="G920" s="294"/>
      <c r="H920" s="294"/>
    </row>
    <row r="921" spans="1:9" x14ac:dyDescent="0.2">
      <c r="B921" s="292" t="s">
        <v>1889</v>
      </c>
      <c r="C921" s="292" t="s">
        <v>1890</v>
      </c>
      <c r="D921" s="292"/>
      <c r="E921" s="292"/>
      <c r="F921" s="292"/>
      <c r="G921" s="292"/>
      <c r="H921" s="292" t="s">
        <v>1891</v>
      </c>
    </row>
    <row r="922" spans="1:9" x14ac:dyDescent="0.2">
      <c r="B922" s="292" t="s">
        <v>1700</v>
      </c>
      <c r="C922" s="292" t="s">
        <v>1892</v>
      </c>
      <c r="D922" s="292"/>
      <c r="E922" s="292"/>
      <c r="F922" s="292"/>
      <c r="G922" s="382"/>
      <c r="H922" s="315"/>
    </row>
    <row r="923" spans="1:9" x14ac:dyDescent="0.2">
      <c r="B923" s="292"/>
      <c r="C923" s="292"/>
      <c r="D923" s="292"/>
      <c r="E923" s="292"/>
      <c r="F923" s="292"/>
      <c r="G923" s="292"/>
      <c r="H923" s="292"/>
    </row>
    <row r="924" spans="1:9" x14ac:dyDescent="0.2">
      <c r="B924" s="738" t="s">
        <v>1697</v>
      </c>
      <c r="C924" s="739"/>
      <c r="D924" s="739"/>
      <c r="E924" s="739"/>
      <c r="F924" s="739"/>
      <c r="G924" s="739"/>
      <c r="H924" s="739"/>
    </row>
    <row r="925" spans="1:9" x14ac:dyDescent="0.2">
      <c r="B925" s="292" t="s">
        <v>1586</v>
      </c>
      <c r="C925" s="293">
        <v>3.089</v>
      </c>
      <c r="D925" s="292"/>
      <c r="E925" s="292"/>
      <c r="F925" s="292"/>
      <c r="G925" s="292" t="s">
        <v>1696</v>
      </c>
      <c r="H925" s="315" t="s">
        <v>744</v>
      </c>
    </row>
    <row r="926" spans="1:9" x14ac:dyDescent="0.2">
      <c r="B926" s="292" t="s">
        <v>1585</v>
      </c>
      <c r="C926" s="294" t="s">
        <v>1942</v>
      </c>
      <c r="D926" s="292"/>
      <c r="E926" s="292"/>
      <c r="F926" s="292"/>
      <c r="G926" s="292"/>
      <c r="H926" s="292"/>
    </row>
    <row r="927" spans="1:9" ht="13.5" thickBot="1" x14ac:dyDescent="0.25">
      <c r="B927" s="292"/>
      <c r="C927" s="292"/>
      <c r="D927" s="292"/>
      <c r="E927" s="292"/>
      <c r="F927" s="292"/>
      <c r="G927" s="292"/>
      <c r="H927" s="292"/>
    </row>
    <row r="928" spans="1:9" ht="13.5" thickBot="1" x14ac:dyDescent="0.25">
      <c r="B928" s="295" t="s">
        <v>1695</v>
      </c>
      <c r="C928" s="296"/>
      <c r="D928" s="296"/>
      <c r="E928" s="296"/>
      <c r="F928" s="296"/>
      <c r="G928" s="296"/>
      <c r="H928" s="384"/>
    </row>
    <row r="929" spans="2:8" ht="25.5" x14ac:dyDescent="0.2">
      <c r="B929" s="740" t="s">
        <v>1409</v>
      </c>
      <c r="C929" s="741"/>
      <c r="D929" s="297" t="s">
        <v>1690</v>
      </c>
      <c r="E929" s="297" t="s">
        <v>1694</v>
      </c>
      <c r="F929" s="297" t="s">
        <v>1693</v>
      </c>
      <c r="G929" s="49" t="s">
        <v>1687</v>
      </c>
      <c r="H929" s="385" t="s">
        <v>1686</v>
      </c>
    </row>
    <row r="930" spans="2:8" x14ac:dyDescent="0.2">
      <c r="B930" s="298" t="s">
        <v>1468</v>
      </c>
      <c r="C930" s="299"/>
      <c r="D930" s="300">
        <v>1</v>
      </c>
      <c r="E930" s="300">
        <v>0.79166666666666663</v>
      </c>
      <c r="F930" s="300">
        <v>0.79166666666666663</v>
      </c>
      <c r="G930" s="301">
        <v>0.11368421052631579</v>
      </c>
      <c r="H930" s="301">
        <v>0.09</v>
      </c>
    </row>
    <row r="931" spans="2:8" x14ac:dyDescent="0.2">
      <c r="B931" s="302"/>
      <c r="C931" s="292"/>
      <c r="D931" s="303"/>
      <c r="E931" s="303"/>
      <c r="F931" s="303"/>
      <c r="G931" s="304"/>
      <c r="H931" s="386"/>
    </row>
    <row r="932" spans="2:8" x14ac:dyDescent="0.2">
      <c r="B932" s="302"/>
      <c r="C932" s="292"/>
      <c r="D932" s="303"/>
      <c r="E932" s="303"/>
      <c r="F932" s="303"/>
      <c r="G932" s="304"/>
      <c r="H932" s="386"/>
    </row>
    <row r="933" spans="2:8" x14ac:dyDescent="0.2">
      <c r="B933" s="302"/>
      <c r="C933" s="292"/>
      <c r="D933" s="303"/>
      <c r="E933" s="303"/>
      <c r="F933" s="303"/>
      <c r="G933" s="304"/>
      <c r="H933" s="386"/>
    </row>
    <row r="934" spans="2:8" x14ac:dyDescent="0.2">
      <c r="B934" s="302"/>
      <c r="C934" s="292"/>
      <c r="D934" s="303"/>
      <c r="E934" s="303"/>
      <c r="F934" s="303"/>
      <c r="G934" s="304"/>
      <c r="H934" s="386"/>
    </row>
    <row r="935" spans="2:8" x14ac:dyDescent="0.2">
      <c r="B935" s="305"/>
      <c r="C935" s="306"/>
      <c r="D935" s="307"/>
      <c r="E935" s="307"/>
      <c r="F935" s="307"/>
      <c r="G935" s="308"/>
      <c r="H935" s="387"/>
    </row>
    <row r="936" spans="2:8" ht="13.5" thickBot="1" x14ac:dyDescent="0.25">
      <c r="B936" s="742" t="s">
        <v>1692</v>
      </c>
      <c r="C936" s="743"/>
      <c r="D936" s="743"/>
      <c r="E936" s="743"/>
      <c r="F936" s="743"/>
      <c r="G936" s="744"/>
      <c r="H936" s="387">
        <v>0.09</v>
      </c>
    </row>
    <row r="937" spans="2:8" ht="13.5" thickBot="1" x14ac:dyDescent="0.25">
      <c r="B937" s="295" t="s">
        <v>1503</v>
      </c>
      <c r="C937" s="296"/>
      <c r="D937" s="296"/>
      <c r="E937" s="296"/>
      <c r="F937" s="296"/>
      <c r="G937" s="296"/>
      <c r="H937" s="384"/>
    </row>
    <row r="938" spans="2:8" ht="25.5" x14ac:dyDescent="0.2">
      <c r="B938" s="740" t="s">
        <v>1409</v>
      </c>
      <c r="C938" s="741"/>
      <c r="D938" s="309" t="s">
        <v>1690</v>
      </c>
      <c r="E938" s="309" t="s">
        <v>1689</v>
      </c>
      <c r="F938" s="309" t="s">
        <v>1688</v>
      </c>
      <c r="G938" s="67" t="s">
        <v>1687</v>
      </c>
      <c r="H938" s="388" t="s">
        <v>1686</v>
      </c>
    </row>
    <row r="939" spans="2:8" x14ac:dyDescent="0.2">
      <c r="B939" s="310" t="s">
        <v>243</v>
      </c>
      <c r="C939" s="292"/>
      <c r="D939" s="311">
        <v>1</v>
      </c>
      <c r="E939" s="312">
        <v>3.0187499999999998</v>
      </c>
      <c r="F939" s="300">
        <v>3.0187499999999998</v>
      </c>
      <c r="G939" s="300">
        <v>2.0788220008661757</v>
      </c>
      <c r="H939" s="301">
        <v>6.2754439151147681</v>
      </c>
    </row>
    <row r="940" spans="2:8" x14ac:dyDescent="0.2">
      <c r="B940" s="310" t="s">
        <v>1488</v>
      </c>
      <c r="C940" s="292"/>
      <c r="D940" s="311">
        <v>1</v>
      </c>
      <c r="E940" s="312">
        <v>2.82</v>
      </c>
      <c r="F940" s="303">
        <v>2.82</v>
      </c>
      <c r="G940" s="303">
        <v>2.0788220008661757</v>
      </c>
      <c r="H940" s="386">
        <v>5.8622780424426155</v>
      </c>
    </row>
    <row r="941" spans="2:8" x14ac:dyDescent="0.2">
      <c r="B941" s="310" t="s">
        <v>1787</v>
      </c>
      <c r="C941" s="292"/>
      <c r="D941" s="311">
        <v>1</v>
      </c>
      <c r="E941" s="312">
        <v>2.82</v>
      </c>
      <c r="F941" s="303">
        <v>2.82</v>
      </c>
      <c r="G941" s="303">
        <v>2.0788220008661757</v>
      </c>
      <c r="H941" s="386">
        <v>5.8622780424426155</v>
      </c>
    </row>
    <row r="942" spans="2:8" x14ac:dyDescent="0.2">
      <c r="B942" s="313"/>
      <c r="C942" s="292"/>
      <c r="D942" s="311"/>
      <c r="E942" s="312"/>
      <c r="F942" s="303"/>
      <c r="G942" s="304"/>
      <c r="H942" s="386"/>
    </row>
    <row r="943" spans="2:8" x14ac:dyDescent="0.2">
      <c r="B943" s="314"/>
      <c r="C943" s="292"/>
      <c r="D943" s="311"/>
      <c r="E943" s="312"/>
      <c r="F943" s="303"/>
      <c r="G943" s="304"/>
      <c r="H943" s="386"/>
    </row>
    <row r="944" spans="2:8" x14ac:dyDescent="0.2">
      <c r="B944" s="302"/>
      <c r="C944" s="292"/>
      <c r="D944" s="303"/>
      <c r="E944" s="303"/>
      <c r="F944" s="303"/>
      <c r="G944" s="304"/>
      <c r="H944" s="386"/>
    </row>
    <row r="945" spans="2:8" x14ac:dyDescent="0.2">
      <c r="B945" s="305"/>
      <c r="C945" s="306"/>
      <c r="D945" s="307"/>
      <c r="E945" s="307"/>
      <c r="F945" s="307"/>
      <c r="G945" s="308"/>
      <c r="H945" s="387"/>
    </row>
    <row r="946" spans="2:8" ht="13.5" thickBot="1" x14ac:dyDescent="0.25">
      <c r="B946" s="742" t="s">
        <v>1685</v>
      </c>
      <c r="C946" s="743"/>
      <c r="D946" s="743"/>
      <c r="E946" s="743"/>
      <c r="F946" s="743"/>
      <c r="G946" s="744"/>
      <c r="H946" s="389">
        <v>18</v>
      </c>
    </row>
    <row r="947" spans="2:8" ht="13.5" thickBot="1" x14ac:dyDescent="0.25">
      <c r="B947" s="295" t="s">
        <v>1684</v>
      </c>
      <c r="C947" s="296"/>
      <c r="D947" s="296"/>
      <c r="E947" s="296"/>
      <c r="F947" s="296"/>
      <c r="G947" s="296"/>
      <c r="H947" s="384"/>
    </row>
    <row r="948" spans="2:8" ht="25.5" x14ac:dyDescent="0.2">
      <c r="B948" s="748" t="s">
        <v>1409</v>
      </c>
      <c r="C948" s="749"/>
      <c r="D948" s="750"/>
      <c r="E948" s="393" t="s">
        <v>1408</v>
      </c>
      <c r="F948" s="394" t="s">
        <v>1679</v>
      </c>
      <c r="G948" s="394" t="s">
        <v>1683</v>
      </c>
      <c r="H948" s="395" t="s">
        <v>1675</v>
      </c>
    </row>
    <row r="949" spans="2:8" x14ac:dyDescent="0.2">
      <c r="B949" s="294" t="s">
        <v>1895</v>
      </c>
      <c r="C949" s="292"/>
      <c r="D949" s="315"/>
      <c r="E949" s="316" t="s">
        <v>744</v>
      </c>
      <c r="F949" s="303">
        <v>0.8</v>
      </c>
      <c r="G949" s="303">
        <v>2.8440000000000003</v>
      </c>
      <c r="H949" s="386">
        <v>2.2752000000000003</v>
      </c>
    </row>
    <row r="950" spans="2:8" x14ac:dyDescent="0.2">
      <c r="B950" s="294" t="s">
        <v>1896</v>
      </c>
      <c r="C950" s="292"/>
      <c r="D950" s="315"/>
      <c r="E950" s="316" t="s">
        <v>1788</v>
      </c>
      <c r="F950" s="303">
        <v>6</v>
      </c>
      <c r="G950" s="303">
        <v>0.441</v>
      </c>
      <c r="H950" s="386">
        <v>2.6459999999999999</v>
      </c>
    </row>
    <row r="951" spans="2:8" x14ac:dyDescent="0.2">
      <c r="B951" s="294" t="s">
        <v>1897</v>
      </c>
      <c r="C951" s="292"/>
      <c r="D951" s="315"/>
      <c r="E951" s="316" t="s">
        <v>744</v>
      </c>
      <c r="F951" s="303">
        <v>1</v>
      </c>
      <c r="G951" s="303">
        <v>0.68400000000000005</v>
      </c>
      <c r="H951" s="386">
        <v>0.68400000000000005</v>
      </c>
    </row>
    <row r="952" spans="2:8" x14ac:dyDescent="0.2">
      <c r="B952" s="294" t="s">
        <v>1900</v>
      </c>
      <c r="C952" s="292"/>
      <c r="D952" s="315"/>
      <c r="E952" s="316" t="s">
        <v>744</v>
      </c>
      <c r="F952" s="303">
        <v>2.4</v>
      </c>
      <c r="G952" s="303">
        <v>0.18000000000000002</v>
      </c>
      <c r="H952" s="386">
        <v>0.43200000000000005</v>
      </c>
    </row>
    <row r="953" spans="2:8" x14ac:dyDescent="0.2">
      <c r="B953" s="294" t="s">
        <v>1901</v>
      </c>
      <c r="C953" s="292"/>
      <c r="D953" s="315"/>
      <c r="E953" s="316" t="s">
        <v>744</v>
      </c>
      <c r="F953" s="303">
        <v>2.52</v>
      </c>
      <c r="G953" s="303">
        <v>0.216</v>
      </c>
      <c r="H953" s="386">
        <v>0.54432000000000003</v>
      </c>
    </row>
    <row r="954" spans="2:8" x14ac:dyDescent="0.2">
      <c r="B954" s="294" t="s">
        <v>1902</v>
      </c>
      <c r="C954" s="292"/>
      <c r="D954" s="315"/>
      <c r="E954" s="316" t="s">
        <v>744</v>
      </c>
      <c r="F954" s="303">
        <v>1.2000000000000002</v>
      </c>
      <c r="G954" s="303">
        <v>4.5000000000000005E-2</v>
      </c>
      <c r="H954" s="386">
        <v>5.4000000000000013E-2</v>
      </c>
    </row>
    <row r="955" spans="2:8" x14ac:dyDescent="0.2">
      <c r="B955" s="294" t="s">
        <v>1903</v>
      </c>
      <c r="C955" s="292"/>
      <c r="D955" s="315"/>
      <c r="E955" s="316" t="s">
        <v>744</v>
      </c>
      <c r="F955" s="303">
        <v>2.2000000000000002</v>
      </c>
      <c r="G955" s="303">
        <v>6.3E-3</v>
      </c>
      <c r="H955" s="386">
        <v>1.3860000000000001E-2</v>
      </c>
    </row>
    <row r="956" spans="2:8" x14ac:dyDescent="0.2">
      <c r="B956" s="294" t="s">
        <v>1266</v>
      </c>
      <c r="C956" s="292"/>
      <c r="D956" s="315"/>
      <c r="E956" s="316" t="s">
        <v>1196</v>
      </c>
      <c r="F956" s="303">
        <v>0.08</v>
      </c>
      <c r="G956" s="303">
        <v>1.35</v>
      </c>
      <c r="H956" s="386">
        <v>0.10800000000000001</v>
      </c>
    </row>
    <row r="957" spans="2:8" x14ac:dyDescent="0.2">
      <c r="B957" s="294" t="s">
        <v>1904</v>
      </c>
      <c r="C957" s="292"/>
      <c r="D957" s="315"/>
      <c r="E957" s="316" t="s">
        <v>744</v>
      </c>
      <c r="F957" s="303">
        <v>5.7</v>
      </c>
      <c r="G957" s="303">
        <v>1.6199999999999999E-2</v>
      </c>
      <c r="H957" s="386">
        <v>9.2339999999999992E-2</v>
      </c>
    </row>
    <row r="958" spans="2:8" x14ac:dyDescent="0.2">
      <c r="B958" s="294" t="s">
        <v>1905</v>
      </c>
      <c r="C958" s="292"/>
      <c r="D958" s="315"/>
      <c r="E958" s="316" t="s">
        <v>744</v>
      </c>
      <c r="F958" s="303">
        <v>0.1</v>
      </c>
      <c r="G958" s="303">
        <v>0.63900000000000001</v>
      </c>
      <c r="H958" s="386">
        <v>6.3899999999999998E-2</v>
      </c>
    </row>
    <row r="959" spans="2:8" x14ac:dyDescent="0.2">
      <c r="B959" s="294" t="s">
        <v>1906</v>
      </c>
      <c r="C959" s="292"/>
      <c r="D959" s="315"/>
      <c r="E959" s="316" t="s">
        <v>1788</v>
      </c>
      <c r="F959" s="303">
        <v>1.5</v>
      </c>
      <c r="G959" s="303">
        <v>0.57600000000000007</v>
      </c>
      <c r="H959" s="386">
        <v>0.8640000000000001</v>
      </c>
    </row>
    <row r="960" spans="2:8" x14ac:dyDescent="0.2">
      <c r="B960" s="294" t="s">
        <v>1907</v>
      </c>
      <c r="C960" s="292"/>
      <c r="D960" s="315"/>
      <c r="E960" s="316" t="s">
        <v>744</v>
      </c>
      <c r="F960" s="303">
        <v>1</v>
      </c>
      <c r="G960" s="303">
        <v>0.19800000000000001</v>
      </c>
      <c r="H960" s="386">
        <v>0.19800000000000001</v>
      </c>
    </row>
    <row r="961" spans="2:8" x14ac:dyDescent="0.2">
      <c r="B961" s="294"/>
      <c r="C961" s="292"/>
      <c r="D961" s="315"/>
      <c r="E961" s="303"/>
      <c r="F961" s="303"/>
      <c r="G961" s="303"/>
      <c r="H961" s="386"/>
    </row>
    <row r="962" spans="2:8" x14ac:dyDescent="0.2">
      <c r="B962" s="294"/>
      <c r="C962" s="292"/>
      <c r="D962" s="315"/>
      <c r="E962" s="303"/>
      <c r="F962" s="303"/>
      <c r="G962" s="303"/>
      <c r="H962" s="386"/>
    </row>
    <row r="963" spans="2:8" x14ac:dyDescent="0.2">
      <c r="B963" s="294"/>
      <c r="C963" s="292"/>
      <c r="D963" s="315"/>
      <c r="E963" s="303"/>
      <c r="F963" s="303"/>
      <c r="G963" s="303"/>
      <c r="H963" s="386"/>
    </row>
    <row r="964" spans="2:8" x14ac:dyDescent="0.2">
      <c r="B964" s="294"/>
      <c r="C964" s="292"/>
      <c r="D964" s="315"/>
      <c r="E964" s="303"/>
      <c r="F964" s="303"/>
      <c r="G964" s="303"/>
      <c r="H964" s="386"/>
    </row>
    <row r="965" spans="2:8" x14ac:dyDescent="0.2">
      <c r="B965" s="294"/>
      <c r="C965" s="292"/>
      <c r="D965" s="315"/>
      <c r="E965" s="303"/>
      <c r="F965" s="303"/>
      <c r="G965" s="303"/>
      <c r="H965" s="386"/>
    </row>
    <row r="966" spans="2:8" x14ac:dyDescent="0.2">
      <c r="B966" s="294"/>
      <c r="C966" s="292"/>
      <c r="D966" s="315"/>
      <c r="E966" s="303"/>
      <c r="F966" s="303"/>
      <c r="G966" s="303"/>
      <c r="H966" s="386"/>
    </row>
    <row r="967" spans="2:8" x14ac:dyDescent="0.2">
      <c r="B967" s="294"/>
      <c r="C967" s="292"/>
      <c r="D967" s="315"/>
      <c r="E967" s="316"/>
      <c r="F967" s="303"/>
      <c r="G967" s="303"/>
      <c r="H967" s="386"/>
    </row>
    <row r="968" spans="2:8" x14ac:dyDescent="0.2">
      <c r="B968" s="294"/>
      <c r="C968" s="292"/>
      <c r="D968" s="315"/>
      <c r="E968" s="303"/>
      <c r="F968" s="303"/>
      <c r="G968" s="303"/>
      <c r="H968" s="386"/>
    </row>
    <row r="969" spans="2:8" x14ac:dyDescent="0.2">
      <c r="B969" s="294"/>
      <c r="C969" s="292"/>
      <c r="D969" s="315"/>
      <c r="E969" s="303"/>
      <c r="F969" s="303"/>
      <c r="G969" s="303"/>
      <c r="H969" s="386"/>
    </row>
    <row r="970" spans="2:8" ht="13.5" thickBot="1" x14ac:dyDescent="0.25">
      <c r="B970" s="742" t="s">
        <v>1681</v>
      </c>
      <c r="C970" s="743"/>
      <c r="D970" s="743"/>
      <c r="E970" s="743"/>
      <c r="F970" s="743"/>
      <c r="G970" s="744"/>
      <c r="H970" s="389">
        <v>7.9756200000000019</v>
      </c>
    </row>
    <row r="971" spans="2:8" ht="13.5" thickBot="1" x14ac:dyDescent="0.25">
      <c r="B971" s="295" t="s">
        <v>1680</v>
      </c>
      <c r="C971" s="296"/>
      <c r="D971" s="296"/>
      <c r="E971" s="296"/>
      <c r="F971" s="296"/>
      <c r="G971" s="296"/>
      <c r="H971" s="384"/>
    </row>
    <row r="972" spans="2:8" ht="25.5" x14ac:dyDescent="0.2">
      <c r="B972" s="390" t="s">
        <v>1409</v>
      </c>
      <c r="C972" s="391"/>
      <c r="D972" s="392"/>
      <c r="E972" s="309" t="s">
        <v>1408</v>
      </c>
      <c r="F972" s="309" t="s">
        <v>1679</v>
      </c>
      <c r="G972" s="309" t="s">
        <v>1676</v>
      </c>
      <c r="H972" s="388" t="s">
        <v>1675</v>
      </c>
    </row>
    <row r="973" spans="2:8" x14ac:dyDescent="0.2">
      <c r="B973" s="298" t="s">
        <v>975</v>
      </c>
      <c r="C973" s="299"/>
      <c r="D973" s="396"/>
      <c r="E973" s="316" t="s">
        <v>744</v>
      </c>
      <c r="F973" s="303">
        <v>1.8989571428571432E-2</v>
      </c>
      <c r="G973" s="382">
        <v>12.6</v>
      </c>
      <c r="H973" s="386">
        <v>0.23926860000000003</v>
      </c>
    </row>
    <row r="974" spans="2:8" x14ac:dyDescent="0.2">
      <c r="B974" s="302"/>
      <c r="C974" s="292"/>
      <c r="D974" s="317"/>
      <c r="E974" s="316"/>
      <c r="F974" s="303"/>
      <c r="G974" s="303"/>
      <c r="H974" s="386"/>
    </row>
    <row r="975" spans="2:8" x14ac:dyDescent="0.2">
      <c r="B975" s="305"/>
      <c r="C975" s="306"/>
      <c r="D975" s="318"/>
      <c r="E975" s="319"/>
      <c r="F975" s="307"/>
      <c r="G975" s="307"/>
      <c r="H975" s="387"/>
    </row>
    <row r="976" spans="2:8" ht="13.5" thickBot="1" x14ac:dyDescent="0.25">
      <c r="B976" s="742" t="s">
        <v>1674</v>
      </c>
      <c r="C976" s="743"/>
      <c r="D976" s="743"/>
      <c r="E976" s="743"/>
      <c r="F976" s="743"/>
      <c r="G976" s="744"/>
      <c r="H976" s="397">
        <v>0.23926860000000003</v>
      </c>
    </row>
    <row r="977" spans="1:9" x14ac:dyDescent="0.2">
      <c r="B977" s="292"/>
      <c r="C977" s="292"/>
      <c r="D977" s="320" t="s">
        <v>1673</v>
      </c>
      <c r="E977" s="321"/>
      <c r="F977" s="321"/>
      <c r="G977" s="321"/>
      <c r="H977" s="331">
        <f>H936+H946+H970+H976</f>
        <v>26.304888600000002</v>
      </c>
    </row>
    <row r="978" spans="1:9" s="1" customFormat="1" ht="15.75" x14ac:dyDescent="0.25">
      <c r="A978" s="103">
        <v>40002</v>
      </c>
      <c r="B978" s="2"/>
      <c r="C978" s="2"/>
      <c r="D978" s="93" t="s">
        <v>1672</v>
      </c>
      <c r="E978" s="65"/>
      <c r="F978" s="65"/>
      <c r="G978" s="94">
        <f>IF($A978=0,"",VLOOKUP($A978,'BASE MATERIAL'!$M:$P,4))</f>
        <v>0</v>
      </c>
      <c r="H978" s="95">
        <f>IF($A978=0,"",ROUND(G978*H977,2))</f>
        <v>0</v>
      </c>
      <c r="I978" s="2"/>
    </row>
    <row r="979" spans="1:9" s="1" customFormat="1" ht="15.75" x14ac:dyDescent="0.25">
      <c r="A979" s="103">
        <v>40003</v>
      </c>
      <c r="B979" s="2"/>
      <c r="C979" s="2"/>
      <c r="D979" s="93" t="s">
        <v>1671</v>
      </c>
      <c r="E979" s="65"/>
      <c r="F979" s="65"/>
      <c r="G979" s="94">
        <f>IF($A979=0,"",VLOOKUP($A979,'BASE MATERIAL'!$M:$P,4))</f>
        <v>0</v>
      </c>
      <c r="H979" s="95">
        <f>IF($A979=0,"",ROUND(G979*H977,2))</f>
        <v>0</v>
      </c>
      <c r="I979" s="2"/>
    </row>
    <row r="980" spans="1:9" s="1" customFormat="1" ht="15.75" x14ac:dyDescent="0.25">
      <c r="A980" s="103"/>
      <c r="B980" s="2"/>
      <c r="C980" s="2"/>
      <c r="D980" s="93" t="s">
        <v>1670</v>
      </c>
      <c r="E980" s="65"/>
      <c r="F980" s="65"/>
      <c r="G980" s="65"/>
      <c r="H980" s="96">
        <f>ROUND(SUM(H977:H979),2)</f>
        <v>26.3</v>
      </c>
      <c r="I980" s="2"/>
    </row>
    <row r="981" spans="1:9" s="1" customFormat="1" ht="16.5" thickBot="1" x14ac:dyDescent="0.3">
      <c r="A981" s="103"/>
      <c r="B981" s="25"/>
      <c r="C981" s="2"/>
      <c r="D981" s="97" t="s">
        <v>1650</v>
      </c>
      <c r="E981" s="88"/>
      <c r="F981" s="88"/>
      <c r="G981" s="88"/>
      <c r="H981" s="98">
        <f>ROUND(H980,2)</f>
        <v>26.3</v>
      </c>
      <c r="I981" s="2"/>
    </row>
    <row r="982" spans="1:9" x14ac:dyDescent="0.2">
      <c r="B982" s="294"/>
      <c r="C982" s="294"/>
      <c r="D982" s="294"/>
      <c r="E982" s="294"/>
      <c r="F982" s="294"/>
      <c r="G982" s="294"/>
      <c r="H982" s="294"/>
    </row>
    <row r="983" spans="1:9" x14ac:dyDescent="0.2">
      <c r="B983" s="294"/>
      <c r="C983" s="294"/>
      <c r="D983" s="294"/>
      <c r="E983" s="294"/>
      <c r="F983" s="294"/>
      <c r="G983" s="294"/>
      <c r="H983" s="294"/>
    </row>
    <row r="984" spans="1:9" x14ac:dyDescent="0.2">
      <c r="B984" s="292" t="s">
        <v>1889</v>
      </c>
      <c r="C984" s="292" t="s">
        <v>1890</v>
      </c>
      <c r="D984" s="292"/>
      <c r="E984" s="292"/>
      <c r="F984" s="292"/>
      <c r="G984" s="292"/>
      <c r="H984" s="292" t="s">
        <v>1891</v>
      </c>
    </row>
    <row r="985" spans="1:9" x14ac:dyDescent="0.2">
      <c r="B985" s="292" t="s">
        <v>1700</v>
      </c>
      <c r="C985" s="292" t="s">
        <v>1892</v>
      </c>
      <c r="D985" s="292"/>
      <c r="E985" s="292"/>
      <c r="F985" s="292"/>
      <c r="G985" s="382"/>
      <c r="H985" s="315"/>
    </row>
    <row r="986" spans="1:9" x14ac:dyDescent="0.2">
      <c r="B986" s="292"/>
      <c r="C986" s="292"/>
      <c r="D986" s="292"/>
      <c r="E986" s="292"/>
      <c r="F986" s="292"/>
      <c r="G986" s="292"/>
      <c r="H986" s="292"/>
    </row>
    <row r="987" spans="1:9" x14ac:dyDescent="0.2">
      <c r="B987" s="738" t="s">
        <v>1697</v>
      </c>
      <c r="C987" s="739"/>
      <c r="D987" s="739"/>
      <c r="E987" s="739"/>
      <c r="F987" s="739"/>
      <c r="G987" s="739"/>
      <c r="H987" s="739"/>
    </row>
    <row r="988" spans="1:9" x14ac:dyDescent="0.2">
      <c r="B988" s="292" t="s">
        <v>1586</v>
      </c>
      <c r="C988" s="293" t="s">
        <v>1943</v>
      </c>
      <c r="D988" s="292"/>
      <c r="E988" s="292"/>
      <c r="F988" s="292"/>
      <c r="G988" s="292" t="s">
        <v>1696</v>
      </c>
      <c r="H988" s="315" t="s">
        <v>744</v>
      </c>
    </row>
    <row r="989" spans="1:9" x14ac:dyDescent="0.2">
      <c r="B989" s="292" t="s">
        <v>1585</v>
      </c>
      <c r="C989" s="294" t="s">
        <v>1944</v>
      </c>
      <c r="D989" s="292"/>
      <c r="E989" s="292"/>
      <c r="F989" s="292"/>
      <c r="G989" s="292"/>
      <c r="H989" s="292"/>
    </row>
    <row r="990" spans="1:9" ht="13.5" thickBot="1" x14ac:dyDescent="0.25">
      <c r="B990" s="292"/>
      <c r="C990" s="292"/>
      <c r="D990" s="292"/>
      <c r="E990" s="292"/>
      <c r="F990" s="292"/>
      <c r="G990" s="292"/>
      <c r="H990" s="292"/>
    </row>
    <row r="991" spans="1:9" ht="13.5" thickBot="1" x14ac:dyDescent="0.25">
      <c r="B991" s="295" t="s">
        <v>1695</v>
      </c>
      <c r="C991" s="296"/>
      <c r="D991" s="296"/>
      <c r="E991" s="296"/>
      <c r="F991" s="296"/>
      <c r="G991" s="296"/>
      <c r="H991" s="384"/>
    </row>
    <row r="992" spans="1:9" ht="25.5" x14ac:dyDescent="0.2">
      <c r="B992" s="740" t="s">
        <v>1409</v>
      </c>
      <c r="C992" s="741"/>
      <c r="D992" s="297" t="s">
        <v>1690</v>
      </c>
      <c r="E992" s="297" t="s">
        <v>1694</v>
      </c>
      <c r="F992" s="297" t="s">
        <v>1693</v>
      </c>
      <c r="G992" s="49" t="s">
        <v>1687</v>
      </c>
      <c r="H992" s="385" t="s">
        <v>1686</v>
      </c>
    </row>
    <row r="993" spans="2:8" x14ac:dyDescent="0.2">
      <c r="B993" s="298" t="s">
        <v>1468</v>
      </c>
      <c r="C993" s="299"/>
      <c r="D993" s="300">
        <v>1</v>
      </c>
      <c r="E993" s="300">
        <v>0.79166666666666663</v>
      </c>
      <c r="F993" s="300">
        <v>0.79166666666666663</v>
      </c>
      <c r="G993" s="301">
        <v>0.12631578947368421</v>
      </c>
      <c r="H993" s="301">
        <v>9.9999999999999992E-2</v>
      </c>
    </row>
    <row r="994" spans="2:8" x14ac:dyDescent="0.2">
      <c r="B994" s="302"/>
      <c r="C994" s="292"/>
      <c r="D994" s="303"/>
      <c r="E994" s="303"/>
      <c r="F994" s="303"/>
      <c r="G994" s="304"/>
      <c r="H994" s="386"/>
    </row>
    <row r="995" spans="2:8" x14ac:dyDescent="0.2">
      <c r="B995" s="302"/>
      <c r="C995" s="292"/>
      <c r="D995" s="303"/>
      <c r="E995" s="303"/>
      <c r="F995" s="303"/>
      <c r="G995" s="304"/>
      <c r="H995" s="386"/>
    </row>
    <row r="996" spans="2:8" x14ac:dyDescent="0.2">
      <c r="B996" s="302"/>
      <c r="C996" s="292"/>
      <c r="D996" s="303"/>
      <c r="E996" s="303"/>
      <c r="F996" s="303"/>
      <c r="G996" s="304"/>
      <c r="H996" s="386"/>
    </row>
    <row r="997" spans="2:8" x14ac:dyDescent="0.2">
      <c r="B997" s="302"/>
      <c r="C997" s="292"/>
      <c r="D997" s="303"/>
      <c r="E997" s="303"/>
      <c r="F997" s="303"/>
      <c r="G997" s="304"/>
      <c r="H997" s="386"/>
    </row>
    <row r="998" spans="2:8" x14ac:dyDescent="0.2">
      <c r="B998" s="305"/>
      <c r="C998" s="306"/>
      <c r="D998" s="307"/>
      <c r="E998" s="307"/>
      <c r="F998" s="307"/>
      <c r="G998" s="308"/>
      <c r="H998" s="387"/>
    </row>
    <row r="999" spans="2:8" ht="13.5" thickBot="1" x14ac:dyDescent="0.25">
      <c r="B999" s="742" t="s">
        <v>1692</v>
      </c>
      <c r="C999" s="743"/>
      <c r="D999" s="743"/>
      <c r="E999" s="743"/>
      <c r="F999" s="743"/>
      <c r="G999" s="744"/>
      <c r="H999" s="387">
        <v>9.9999999999999992E-2</v>
      </c>
    </row>
    <row r="1000" spans="2:8" ht="13.5" thickBot="1" x14ac:dyDescent="0.25">
      <c r="B1000" s="295" t="s">
        <v>1503</v>
      </c>
      <c r="C1000" s="296"/>
      <c r="D1000" s="296"/>
      <c r="E1000" s="296"/>
      <c r="F1000" s="296"/>
      <c r="G1000" s="296"/>
      <c r="H1000" s="384"/>
    </row>
    <row r="1001" spans="2:8" ht="25.5" x14ac:dyDescent="0.2">
      <c r="B1001" s="740" t="s">
        <v>1409</v>
      </c>
      <c r="C1001" s="741"/>
      <c r="D1001" s="309" t="s">
        <v>1690</v>
      </c>
      <c r="E1001" s="309" t="s">
        <v>1689</v>
      </c>
      <c r="F1001" s="309" t="s">
        <v>1688</v>
      </c>
      <c r="G1001" s="67" t="s">
        <v>1687</v>
      </c>
      <c r="H1001" s="388" t="s">
        <v>1686</v>
      </c>
    </row>
    <row r="1002" spans="2:8" x14ac:dyDescent="0.2">
      <c r="B1002" s="310" t="s">
        <v>243</v>
      </c>
      <c r="C1002" s="292"/>
      <c r="D1002" s="311">
        <v>1</v>
      </c>
      <c r="E1002" s="312">
        <v>3.0187499999999998</v>
      </c>
      <c r="F1002" s="300">
        <v>3.0187499999999998</v>
      </c>
      <c r="G1002" s="300">
        <v>2.30980222318464</v>
      </c>
      <c r="H1002" s="301">
        <v>6.9727154612386313</v>
      </c>
    </row>
    <row r="1003" spans="2:8" x14ac:dyDescent="0.2">
      <c r="B1003" s="310" t="s">
        <v>1488</v>
      </c>
      <c r="C1003" s="292"/>
      <c r="D1003" s="311">
        <v>1</v>
      </c>
      <c r="E1003" s="312">
        <v>2.82</v>
      </c>
      <c r="F1003" s="303">
        <v>2.82</v>
      </c>
      <c r="G1003" s="303">
        <v>2.30980222318464</v>
      </c>
      <c r="H1003" s="386">
        <v>6.5136422693806848</v>
      </c>
    </row>
    <row r="1004" spans="2:8" x14ac:dyDescent="0.2">
      <c r="B1004" s="310" t="s">
        <v>1787</v>
      </c>
      <c r="C1004" s="292"/>
      <c r="D1004" s="311">
        <v>1</v>
      </c>
      <c r="E1004" s="312">
        <v>2.82</v>
      </c>
      <c r="F1004" s="303">
        <v>2.82</v>
      </c>
      <c r="G1004" s="303">
        <v>2.30980222318464</v>
      </c>
      <c r="H1004" s="386">
        <v>6.5136422693806848</v>
      </c>
    </row>
    <row r="1005" spans="2:8" x14ac:dyDescent="0.2">
      <c r="B1005" s="313"/>
      <c r="C1005" s="292"/>
      <c r="D1005" s="311"/>
      <c r="E1005" s="312"/>
      <c r="F1005" s="303"/>
      <c r="G1005" s="304"/>
      <c r="H1005" s="386"/>
    </row>
    <row r="1006" spans="2:8" x14ac:dyDescent="0.2">
      <c r="B1006" s="314"/>
      <c r="C1006" s="292"/>
      <c r="D1006" s="311"/>
      <c r="E1006" s="312"/>
      <c r="F1006" s="303"/>
      <c r="G1006" s="304"/>
      <c r="H1006" s="386"/>
    </row>
    <row r="1007" spans="2:8" x14ac:dyDescent="0.2">
      <c r="B1007" s="302"/>
      <c r="C1007" s="292"/>
      <c r="D1007" s="303"/>
      <c r="E1007" s="303"/>
      <c r="F1007" s="303"/>
      <c r="G1007" s="304"/>
      <c r="H1007" s="386"/>
    </row>
    <row r="1008" spans="2:8" x14ac:dyDescent="0.2">
      <c r="B1008" s="305"/>
      <c r="C1008" s="306"/>
      <c r="D1008" s="307"/>
      <c r="E1008" s="307"/>
      <c r="F1008" s="307"/>
      <c r="G1008" s="308"/>
      <c r="H1008" s="387"/>
    </row>
    <row r="1009" spans="2:8" ht="13.5" thickBot="1" x14ac:dyDescent="0.25">
      <c r="B1009" s="742" t="s">
        <v>1685</v>
      </c>
      <c r="C1009" s="743"/>
      <c r="D1009" s="743"/>
      <c r="E1009" s="743"/>
      <c r="F1009" s="743"/>
      <c r="G1009" s="744"/>
      <c r="H1009" s="389">
        <v>20</v>
      </c>
    </row>
    <row r="1010" spans="2:8" ht="13.5" thickBot="1" x14ac:dyDescent="0.25">
      <c r="B1010" s="295" t="s">
        <v>1684</v>
      </c>
      <c r="C1010" s="296"/>
      <c r="D1010" s="296"/>
      <c r="E1010" s="296"/>
      <c r="F1010" s="296"/>
      <c r="G1010" s="296"/>
      <c r="H1010" s="384"/>
    </row>
    <row r="1011" spans="2:8" ht="25.5" x14ac:dyDescent="0.2">
      <c r="B1011" s="748" t="s">
        <v>1409</v>
      </c>
      <c r="C1011" s="749"/>
      <c r="D1011" s="750"/>
      <c r="E1011" s="393" t="s">
        <v>1408</v>
      </c>
      <c r="F1011" s="394" t="s">
        <v>1679</v>
      </c>
      <c r="G1011" s="394" t="s">
        <v>1683</v>
      </c>
      <c r="H1011" s="395" t="s">
        <v>1675</v>
      </c>
    </row>
    <row r="1012" spans="2:8" x14ac:dyDescent="0.2">
      <c r="B1012" s="294" t="s">
        <v>1895</v>
      </c>
      <c r="C1012" s="292"/>
      <c r="D1012" s="315"/>
      <c r="E1012" s="316" t="s">
        <v>744</v>
      </c>
      <c r="F1012" s="303">
        <v>0.8</v>
      </c>
      <c r="G1012" s="303">
        <v>2.8440000000000003</v>
      </c>
      <c r="H1012" s="386">
        <v>2.2752000000000003</v>
      </c>
    </row>
    <row r="1013" spans="2:8" x14ac:dyDescent="0.2">
      <c r="B1013" s="294" t="s">
        <v>1896</v>
      </c>
      <c r="C1013" s="292"/>
      <c r="D1013" s="315"/>
      <c r="E1013" s="316" t="s">
        <v>1788</v>
      </c>
      <c r="F1013" s="303">
        <v>9</v>
      </c>
      <c r="G1013" s="303">
        <v>0.441</v>
      </c>
      <c r="H1013" s="386">
        <v>3.9689999999999999</v>
      </c>
    </row>
    <row r="1014" spans="2:8" x14ac:dyDescent="0.2">
      <c r="B1014" s="294" t="s">
        <v>1897</v>
      </c>
      <c r="C1014" s="292"/>
      <c r="D1014" s="315"/>
      <c r="E1014" s="316" t="s">
        <v>744</v>
      </c>
      <c r="F1014" s="303">
        <v>1</v>
      </c>
      <c r="G1014" s="303">
        <v>0.68400000000000005</v>
      </c>
      <c r="H1014" s="386">
        <v>0.68400000000000005</v>
      </c>
    </row>
    <row r="1015" spans="2:8" x14ac:dyDescent="0.2">
      <c r="B1015" s="294" t="s">
        <v>1900</v>
      </c>
      <c r="C1015" s="292"/>
      <c r="D1015" s="315"/>
      <c r="E1015" s="316" t="s">
        <v>744</v>
      </c>
      <c r="F1015" s="303">
        <v>2.4</v>
      </c>
      <c r="G1015" s="303">
        <v>0.18000000000000002</v>
      </c>
      <c r="H1015" s="386">
        <v>0.43200000000000005</v>
      </c>
    </row>
    <row r="1016" spans="2:8" x14ac:dyDescent="0.2">
      <c r="B1016" s="294" t="s">
        <v>1901</v>
      </c>
      <c r="C1016" s="292"/>
      <c r="D1016" s="315"/>
      <c r="E1016" s="316" t="s">
        <v>744</v>
      </c>
      <c r="F1016" s="303">
        <v>2.52</v>
      </c>
      <c r="G1016" s="303">
        <v>0.216</v>
      </c>
      <c r="H1016" s="386">
        <v>0.54432000000000003</v>
      </c>
    </row>
    <row r="1017" spans="2:8" x14ac:dyDescent="0.2">
      <c r="B1017" s="294" t="s">
        <v>1902</v>
      </c>
      <c r="C1017" s="292"/>
      <c r="D1017" s="315"/>
      <c r="E1017" s="316" t="s">
        <v>744</v>
      </c>
      <c r="F1017" s="303">
        <v>1.2000000000000002</v>
      </c>
      <c r="G1017" s="303">
        <v>4.5000000000000005E-2</v>
      </c>
      <c r="H1017" s="386">
        <v>5.4000000000000013E-2</v>
      </c>
    </row>
    <row r="1018" spans="2:8" x14ac:dyDescent="0.2">
      <c r="B1018" s="294" t="s">
        <v>1903</v>
      </c>
      <c r="C1018" s="292"/>
      <c r="D1018" s="315"/>
      <c r="E1018" s="316" t="s">
        <v>744</v>
      </c>
      <c r="F1018" s="303">
        <v>2.2000000000000002</v>
      </c>
      <c r="G1018" s="303">
        <v>6.3E-3</v>
      </c>
      <c r="H1018" s="386">
        <v>1.3860000000000001E-2</v>
      </c>
    </row>
    <row r="1019" spans="2:8" x14ac:dyDescent="0.2">
      <c r="B1019" s="294" t="s">
        <v>1266</v>
      </c>
      <c r="C1019" s="292"/>
      <c r="D1019" s="315"/>
      <c r="E1019" s="316" t="s">
        <v>1196</v>
      </c>
      <c r="F1019" s="303">
        <v>0.08</v>
      </c>
      <c r="G1019" s="303">
        <v>1.35</v>
      </c>
      <c r="H1019" s="386">
        <v>0.10800000000000001</v>
      </c>
    </row>
    <row r="1020" spans="2:8" x14ac:dyDescent="0.2">
      <c r="B1020" s="294" t="s">
        <v>1904</v>
      </c>
      <c r="C1020" s="292"/>
      <c r="D1020" s="315"/>
      <c r="E1020" s="316" t="s">
        <v>744</v>
      </c>
      <c r="F1020" s="303">
        <v>5.7</v>
      </c>
      <c r="G1020" s="303">
        <v>1.6199999999999999E-2</v>
      </c>
      <c r="H1020" s="386">
        <v>9.2339999999999992E-2</v>
      </c>
    </row>
    <row r="1021" spans="2:8" x14ac:dyDescent="0.2">
      <c r="B1021" s="294" t="s">
        <v>1905</v>
      </c>
      <c r="C1021" s="292"/>
      <c r="D1021" s="315"/>
      <c r="E1021" s="316" t="s">
        <v>744</v>
      </c>
      <c r="F1021" s="303">
        <v>0.1</v>
      </c>
      <c r="G1021" s="303">
        <v>0.63900000000000001</v>
      </c>
      <c r="H1021" s="386">
        <v>6.3899999999999998E-2</v>
      </c>
    </row>
    <row r="1022" spans="2:8" x14ac:dyDescent="0.2">
      <c r="B1022" s="294" t="s">
        <v>1945</v>
      </c>
      <c r="C1022" s="292"/>
      <c r="D1022" s="315"/>
      <c r="E1022" s="316" t="s">
        <v>1788</v>
      </c>
      <c r="F1022" s="303">
        <v>1.5</v>
      </c>
      <c r="G1022" s="303">
        <v>1.647</v>
      </c>
      <c r="H1022" s="386">
        <v>2.4704999999999999</v>
      </c>
    </row>
    <row r="1023" spans="2:8" x14ac:dyDescent="0.2">
      <c r="B1023" s="294" t="s">
        <v>1907</v>
      </c>
      <c r="C1023" s="292"/>
      <c r="D1023" s="315"/>
      <c r="E1023" s="316" t="s">
        <v>744</v>
      </c>
      <c r="F1023" s="303">
        <v>1</v>
      </c>
      <c r="G1023" s="303">
        <v>0.19800000000000001</v>
      </c>
      <c r="H1023" s="386">
        <v>0.19800000000000001</v>
      </c>
    </row>
    <row r="1024" spans="2:8" x14ac:dyDescent="0.2">
      <c r="B1024" s="294" t="s">
        <v>1946</v>
      </c>
      <c r="C1024" s="292"/>
      <c r="D1024" s="315"/>
      <c r="E1024" s="316" t="s">
        <v>744</v>
      </c>
      <c r="F1024" s="303">
        <v>1</v>
      </c>
      <c r="G1024" s="303">
        <v>6.8310000000000004</v>
      </c>
      <c r="H1024" s="386">
        <v>6.8310000000000004</v>
      </c>
    </row>
    <row r="1025" spans="2:8" x14ac:dyDescent="0.2">
      <c r="B1025" s="294"/>
      <c r="C1025" s="292"/>
      <c r="D1025" s="315"/>
      <c r="E1025" s="303"/>
      <c r="F1025" s="303"/>
      <c r="G1025" s="303"/>
      <c r="H1025" s="386"/>
    </row>
    <row r="1026" spans="2:8" x14ac:dyDescent="0.2">
      <c r="B1026" s="294"/>
      <c r="C1026" s="292"/>
      <c r="D1026" s="315"/>
      <c r="E1026" s="303"/>
      <c r="F1026" s="303"/>
      <c r="G1026" s="303"/>
      <c r="H1026" s="386"/>
    </row>
    <row r="1027" spans="2:8" x14ac:dyDescent="0.2">
      <c r="B1027" s="294"/>
      <c r="C1027" s="292"/>
      <c r="D1027" s="315"/>
      <c r="E1027" s="303"/>
      <c r="F1027" s="303"/>
      <c r="G1027" s="303"/>
      <c r="H1027" s="386"/>
    </row>
    <row r="1028" spans="2:8" x14ac:dyDescent="0.2">
      <c r="B1028" s="294"/>
      <c r="C1028" s="292"/>
      <c r="D1028" s="315"/>
      <c r="E1028" s="303"/>
      <c r="F1028" s="303"/>
      <c r="G1028" s="303"/>
      <c r="H1028" s="386"/>
    </row>
    <row r="1029" spans="2:8" x14ac:dyDescent="0.2">
      <c r="B1029" s="294"/>
      <c r="C1029" s="292"/>
      <c r="D1029" s="315"/>
      <c r="E1029" s="303"/>
      <c r="F1029" s="303"/>
      <c r="G1029" s="303"/>
      <c r="H1029" s="386"/>
    </row>
    <row r="1030" spans="2:8" x14ac:dyDescent="0.2">
      <c r="B1030" s="294"/>
      <c r="C1030" s="292"/>
      <c r="D1030" s="315"/>
      <c r="E1030" s="316"/>
      <c r="F1030" s="303"/>
      <c r="G1030" s="303"/>
      <c r="H1030" s="386"/>
    </row>
    <row r="1031" spans="2:8" x14ac:dyDescent="0.2">
      <c r="B1031" s="294"/>
      <c r="C1031" s="292"/>
      <c r="D1031" s="315"/>
      <c r="E1031" s="303"/>
      <c r="F1031" s="303"/>
      <c r="G1031" s="303"/>
      <c r="H1031" s="386"/>
    </row>
    <row r="1032" spans="2:8" x14ac:dyDescent="0.2">
      <c r="B1032" s="294"/>
      <c r="C1032" s="292"/>
      <c r="D1032" s="315"/>
      <c r="E1032" s="303"/>
      <c r="F1032" s="303"/>
      <c r="G1032" s="303"/>
      <c r="H1032" s="386"/>
    </row>
    <row r="1033" spans="2:8" ht="13.5" thickBot="1" x14ac:dyDescent="0.25">
      <c r="B1033" s="742" t="s">
        <v>1681</v>
      </c>
      <c r="C1033" s="743"/>
      <c r="D1033" s="743"/>
      <c r="E1033" s="743"/>
      <c r="F1033" s="743"/>
      <c r="G1033" s="744"/>
      <c r="H1033" s="389">
        <v>17.736120000000003</v>
      </c>
    </row>
    <row r="1034" spans="2:8" ht="13.5" thickBot="1" x14ac:dyDescent="0.25">
      <c r="B1034" s="295" t="s">
        <v>1680</v>
      </c>
      <c r="C1034" s="296"/>
      <c r="D1034" s="296"/>
      <c r="E1034" s="296"/>
      <c r="F1034" s="296"/>
      <c r="G1034" s="296"/>
      <c r="H1034" s="384"/>
    </row>
    <row r="1035" spans="2:8" ht="25.5" x14ac:dyDescent="0.2">
      <c r="B1035" s="390" t="s">
        <v>1409</v>
      </c>
      <c r="C1035" s="391"/>
      <c r="D1035" s="392"/>
      <c r="E1035" s="309" t="s">
        <v>1408</v>
      </c>
      <c r="F1035" s="309" t="s">
        <v>1679</v>
      </c>
      <c r="G1035" s="309" t="s">
        <v>1676</v>
      </c>
      <c r="H1035" s="388" t="s">
        <v>1675</v>
      </c>
    </row>
    <row r="1036" spans="2:8" x14ac:dyDescent="0.2">
      <c r="B1036" s="298" t="s">
        <v>975</v>
      </c>
      <c r="C1036" s="299"/>
      <c r="D1036" s="396"/>
      <c r="E1036" s="316" t="s">
        <v>744</v>
      </c>
      <c r="F1036" s="303">
        <v>4.2228857142857151E-2</v>
      </c>
      <c r="G1036" s="382">
        <v>12.6</v>
      </c>
      <c r="H1036" s="386">
        <v>0.5320836000000001</v>
      </c>
    </row>
    <row r="1037" spans="2:8" x14ac:dyDescent="0.2">
      <c r="B1037" s="302"/>
      <c r="C1037" s="292"/>
      <c r="D1037" s="317"/>
      <c r="E1037" s="316"/>
      <c r="F1037" s="303"/>
      <c r="G1037" s="303"/>
      <c r="H1037" s="386"/>
    </row>
    <row r="1038" spans="2:8" x14ac:dyDescent="0.2">
      <c r="B1038" s="305"/>
      <c r="C1038" s="306"/>
      <c r="D1038" s="318"/>
      <c r="E1038" s="319"/>
      <c r="F1038" s="307"/>
      <c r="G1038" s="307"/>
      <c r="H1038" s="387"/>
    </row>
    <row r="1039" spans="2:8" ht="13.5" thickBot="1" x14ac:dyDescent="0.25">
      <c r="B1039" s="742" t="s">
        <v>1674</v>
      </c>
      <c r="C1039" s="743"/>
      <c r="D1039" s="743"/>
      <c r="E1039" s="743"/>
      <c r="F1039" s="743"/>
      <c r="G1039" s="744"/>
      <c r="H1039" s="397">
        <v>0.5320836000000001</v>
      </c>
    </row>
    <row r="1040" spans="2:8" x14ac:dyDescent="0.2">
      <c r="B1040" s="292"/>
      <c r="C1040" s="292"/>
      <c r="D1040" s="320" t="s">
        <v>1673</v>
      </c>
      <c r="E1040" s="321"/>
      <c r="F1040" s="321"/>
      <c r="G1040" s="321"/>
      <c r="H1040" s="331">
        <f>H999+H1009+H1033+H1039</f>
        <v>38.368203600000008</v>
      </c>
    </row>
    <row r="1041" spans="1:9" s="1" customFormat="1" ht="15.75" x14ac:dyDescent="0.25">
      <c r="A1041" s="103">
        <v>40002</v>
      </c>
      <c r="B1041" s="2"/>
      <c r="C1041" s="2"/>
      <c r="D1041" s="93" t="s">
        <v>1672</v>
      </c>
      <c r="E1041" s="65"/>
      <c r="F1041" s="65"/>
      <c r="G1041" s="94">
        <f>IF($A1041=0,"",VLOOKUP($A1041,'BASE MATERIAL'!$M:$P,4))</f>
        <v>0</v>
      </c>
      <c r="H1041" s="95">
        <f>IF($A1041=0,"",ROUND(G1041*H1040,2))</f>
        <v>0</v>
      </c>
      <c r="I1041" s="2"/>
    </row>
    <row r="1042" spans="1:9" s="1" customFormat="1" ht="15.75" x14ac:dyDescent="0.25">
      <c r="A1042" s="103">
        <v>40003</v>
      </c>
      <c r="B1042" s="2"/>
      <c r="C1042" s="2"/>
      <c r="D1042" s="93" t="s">
        <v>1671</v>
      </c>
      <c r="E1042" s="65"/>
      <c r="F1042" s="65"/>
      <c r="G1042" s="94">
        <f>IF($A1042=0,"",VLOOKUP($A1042,'BASE MATERIAL'!$M:$P,4))</f>
        <v>0</v>
      </c>
      <c r="H1042" s="95">
        <f>IF($A1042=0,"",ROUND(G1042*H1040,2))</f>
        <v>0</v>
      </c>
      <c r="I1042" s="2"/>
    </row>
    <row r="1043" spans="1:9" s="1" customFormat="1" ht="15.75" x14ac:dyDescent="0.25">
      <c r="A1043" s="103"/>
      <c r="B1043" s="2"/>
      <c r="C1043" s="2"/>
      <c r="D1043" s="93" t="s">
        <v>1670</v>
      </c>
      <c r="E1043" s="65"/>
      <c r="F1043" s="65"/>
      <c r="G1043" s="65"/>
      <c r="H1043" s="96">
        <f>ROUND(SUM(H1040:H1042),2)</f>
        <v>38.369999999999997</v>
      </c>
      <c r="I1043" s="2"/>
    </row>
    <row r="1044" spans="1:9" s="1" customFormat="1" ht="16.5" thickBot="1" x14ac:dyDescent="0.3">
      <c r="A1044" s="103"/>
      <c r="B1044" s="25"/>
      <c r="C1044" s="2"/>
      <c r="D1044" s="97" t="s">
        <v>1650</v>
      </c>
      <c r="E1044" s="88"/>
      <c r="F1044" s="88"/>
      <c r="G1044" s="88"/>
      <c r="H1044" s="98">
        <f>ROUND(H1043,2)</f>
        <v>38.369999999999997</v>
      </c>
      <c r="I1044" s="2"/>
    </row>
    <row r="1045" spans="1:9" x14ac:dyDescent="0.2">
      <c r="B1045" s="294"/>
      <c r="C1045" s="294"/>
      <c r="D1045" s="294"/>
      <c r="E1045" s="294"/>
      <c r="F1045" s="294"/>
      <c r="G1045" s="294"/>
      <c r="H1045" s="294"/>
    </row>
    <row r="1046" spans="1:9" x14ac:dyDescent="0.2">
      <c r="B1046" s="294"/>
      <c r="C1046" s="294"/>
      <c r="D1046" s="294"/>
      <c r="E1046" s="294"/>
      <c r="F1046" s="294"/>
      <c r="G1046" s="294"/>
      <c r="H1046" s="294"/>
    </row>
    <row r="1047" spans="1:9" x14ac:dyDescent="0.2">
      <c r="B1047" s="292" t="s">
        <v>1889</v>
      </c>
      <c r="C1047" s="292" t="s">
        <v>1890</v>
      </c>
      <c r="D1047" s="292"/>
      <c r="E1047" s="292"/>
      <c r="F1047" s="292"/>
      <c r="G1047" s="292"/>
      <c r="H1047" s="292" t="s">
        <v>1891</v>
      </c>
    </row>
    <row r="1048" spans="1:9" x14ac:dyDescent="0.2">
      <c r="B1048" s="292" t="s">
        <v>1700</v>
      </c>
      <c r="C1048" s="292" t="s">
        <v>1892</v>
      </c>
      <c r="D1048" s="292"/>
      <c r="E1048" s="292"/>
      <c r="F1048" s="292"/>
      <c r="G1048" s="382"/>
      <c r="H1048" s="315"/>
    </row>
    <row r="1049" spans="1:9" x14ac:dyDescent="0.2">
      <c r="B1049" s="292"/>
      <c r="C1049" s="292"/>
      <c r="D1049" s="292"/>
      <c r="E1049" s="292"/>
      <c r="F1049" s="292"/>
      <c r="G1049" s="292"/>
      <c r="H1049" s="292"/>
    </row>
    <row r="1050" spans="1:9" x14ac:dyDescent="0.2">
      <c r="B1050" s="738" t="s">
        <v>1697</v>
      </c>
      <c r="C1050" s="739"/>
      <c r="D1050" s="739"/>
      <c r="E1050" s="739"/>
      <c r="F1050" s="739"/>
      <c r="G1050" s="739"/>
      <c r="H1050" s="739"/>
    </row>
    <row r="1051" spans="1:9" x14ac:dyDescent="0.2">
      <c r="B1051" s="292" t="s">
        <v>1586</v>
      </c>
      <c r="C1051" s="293">
        <v>3.0910000000000002</v>
      </c>
      <c r="D1051" s="292"/>
      <c r="E1051" s="292"/>
      <c r="F1051" s="292"/>
      <c r="G1051" s="292" t="s">
        <v>1696</v>
      </c>
      <c r="H1051" s="315" t="s">
        <v>744</v>
      </c>
    </row>
    <row r="1052" spans="1:9" x14ac:dyDescent="0.2">
      <c r="B1052" s="292" t="s">
        <v>1585</v>
      </c>
      <c r="C1052" s="294" t="s">
        <v>1947</v>
      </c>
      <c r="D1052" s="292"/>
      <c r="E1052" s="292"/>
      <c r="F1052" s="292"/>
      <c r="G1052" s="292"/>
      <c r="H1052" s="292"/>
    </row>
    <row r="1053" spans="1:9" ht="13.5" thickBot="1" x14ac:dyDescent="0.25">
      <c r="B1053" s="292"/>
      <c r="C1053" s="292"/>
      <c r="D1053" s="292"/>
      <c r="E1053" s="292"/>
      <c r="F1053" s="292"/>
      <c r="G1053" s="292"/>
      <c r="H1053" s="292"/>
    </row>
    <row r="1054" spans="1:9" ht="13.5" thickBot="1" x14ac:dyDescent="0.25">
      <c r="B1054" s="295" t="s">
        <v>1695</v>
      </c>
      <c r="C1054" s="296"/>
      <c r="D1054" s="296"/>
      <c r="E1054" s="296"/>
      <c r="F1054" s="296"/>
      <c r="G1054" s="296"/>
      <c r="H1054" s="384"/>
    </row>
    <row r="1055" spans="1:9" ht="25.5" x14ac:dyDescent="0.2">
      <c r="B1055" s="740" t="s">
        <v>1409</v>
      </c>
      <c r="C1055" s="741"/>
      <c r="D1055" s="297" t="s">
        <v>1690</v>
      </c>
      <c r="E1055" s="297" t="s">
        <v>1694</v>
      </c>
      <c r="F1055" s="297" t="s">
        <v>1693</v>
      </c>
      <c r="G1055" s="49" t="s">
        <v>1687</v>
      </c>
      <c r="H1055" s="385" t="s">
        <v>1686</v>
      </c>
    </row>
    <row r="1056" spans="1:9" x14ac:dyDescent="0.2">
      <c r="B1056" s="298" t="s">
        <v>1468</v>
      </c>
      <c r="C1056" s="299"/>
      <c r="D1056" s="300">
        <v>1</v>
      </c>
      <c r="E1056" s="300">
        <v>0.79166666666666663</v>
      </c>
      <c r="F1056" s="300">
        <v>0.79166666666666663</v>
      </c>
      <c r="G1056" s="301">
        <v>0.11368421052631579</v>
      </c>
      <c r="H1056" s="301">
        <v>0.09</v>
      </c>
    </row>
    <row r="1057" spans="2:8" x14ac:dyDescent="0.2">
      <c r="B1057" s="302"/>
      <c r="C1057" s="292"/>
      <c r="D1057" s="303"/>
      <c r="E1057" s="303"/>
      <c r="F1057" s="303"/>
      <c r="G1057" s="304"/>
      <c r="H1057" s="386"/>
    </row>
    <row r="1058" spans="2:8" x14ac:dyDescent="0.2">
      <c r="B1058" s="302"/>
      <c r="C1058" s="292"/>
      <c r="D1058" s="303"/>
      <c r="E1058" s="303"/>
      <c r="F1058" s="303"/>
      <c r="G1058" s="304"/>
      <c r="H1058" s="386"/>
    </row>
    <row r="1059" spans="2:8" x14ac:dyDescent="0.2">
      <c r="B1059" s="302"/>
      <c r="C1059" s="292"/>
      <c r="D1059" s="303"/>
      <c r="E1059" s="303"/>
      <c r="F1059" s="303"/>
      <c r="G1059" s="304"/>
      <c r="H1059" s="386"/>
    </row>
    <row r="1060" spans="2:8" x14ac:dyDescent="0.2">
      <c r="B1060" s="302"/>
      <c r="C1060" s="292"/>
      <c r="D1060" s="303"/>
      <c r="E1060" s="303"/>
      <c r="F1060" s="303"/>
      <c r="G1060" s="304"/>
      <c r="H1060" s="386"/>
    </row>
    <row r="1061" spans="2:8" x14ac:dyDescent="0.2">
      <c r="B1061" s="305"/>
      <c r="C1061" s="306"/>
      <c r="D1061" s="307"/>
      <c r="E1061" s="307"/>
      <c r="F1061" s="307"/>
      <c r="G1061" s="308"/>
      <c r="H1061" s="387"/>
    </row>
    <row r="1062" spans="2:8" ht="13.5" thickBot="1" x14ac:dyDescent="0.25">
      <c r="B1062" s="742" t="s">
        <v>1692</v>
      </c>
      <c r="C1062" s="743"/>
      <c r="D1062" s="743"/>
      <c r="E1062" s="743"/>
      <c r="F1062" s="743"/>
      <c r="G1062" s="744"/>
      <c r="H1062" s="387">
        <v>0.09</v>
      </c>
    </row>
    <row r="1063" spans="2:8" ht="13.5" thickBot="1" x14ac:dyDescent="0.25">
      <c r="B1063" s="295" t="s">
        <v>1503</v>
      </c>
      <c r="C1063" s="296"/>
      <c r="D1063" s="296"/>
      <c r="E1063" s="296"/>
      <c r="F1063" s="296"/>
      <c r="G1063" s="296"/>
      <c r="H1063" s="384"/>
    </row>
    <row r="1064" spans="2:8" ht="25.5" x14ac:dyDescent="0.2">
      <c r="B1064" s="740" t="s">
        <v>1409</v>
      </c>
      <c r="C1064" s="741"/>
      <c r="D1064" s="309" t="s">
        <v>1690</v>
      </c>
      <c r="E1064" s="309" t="s">
        <v>1689</v>
      </c>
      <c r="F1064" s="309" t="s">
        <v>1688</v>
      </c>
      <c r="G1064" s="67" t="s">
        <v>1687</v>
      </c>
      <c r="H1064" s="388" t="s">
        <v>1686</v>
      </c>
    </row>
    <row r="1065" spans="2:8" x14ac:dyDescent="0.2">
      <c r="B1065" s="310" t="s">
        <v>243</v>
      </c>
      <c r="C1065" s="292"/>
      <c r="D1065" s="311">
        <v>1</v>
      </c>
      <c r="E1065" s="312">
        <v>3.0187499999999998</v>
      </c>
      <c r="F1065" s="300">
        <v>3.0187499999999998</v>
      </c>
      <c r="G1065" s="300">
        <v>2.0788220008661757</v>
      </c>
      <c r="H1065" s="301">
        <v>6.2754439151147681</v>
      </c>
    </row>
    <row r="1066" spans="2:8" x14ac:dyDescent="0.2">
      <c r="B1066" s="310" t="s">
        <v>1488</v>
      </c>
      <c r="C1066" s="292"/>
      <c r="D1066" s="311">
        <v>1</v>
      </c>
      <c r="E1066" s="312">
        <v>2.82</v>
      </c>
      <c r="F1066" s="303">
        <v>2.82</v>
      </c>
      <c r="G1066" s="303">
        <v>2.0788220008661757</v>
      </c>
      <c r="H1066" s="386">
        <v>5.8622780424426155</v>
      </c>
    </row>
    <row r="1067" spans="2:8" x14ac:dyDescent="0.2">
      <c r="B1067" s="310" t="s">
        <v>1787</v>
      </c>
      <c r="C1067" s="292"/>
      <c r="D1067" s="311">
        <v>1</v>
      </c>
      <c r="E1067" s="312">
        <v>2.82</v>
      </c>
      <c r="F1067" s="303">
        <v>2.82</v>
      </c>
      <c r="G1067" s="303">
        <v>2.0788220008661757</v>
      </c>
      <c r="H1067" s="386">
        <v>5.8622780424426155</v>
      </c>
    </row>
    <row r="1068" spans="2:8" x14ac:dyDescent="0.2">
      <c r="B1068" s="313"/>
      <c r="C1068" s="292"/>
      <c r="D1068" s="311"/>
      <c r="E1068" s="312"/>
      <c r="F1068" s="303"/>
      <c r="G1068" s="304"/>
      <c r="H1068" s="386"/>
    </row>
    <row r="1069" spans="2:8" x14ac:dyDescent="0.2">
      <c r="B1069" s="314"/>
      <c r="C1069" s="292"/>
      <c r="D1069" s="311"/>
      <c r="E1069" s="312"/>
      <c r="F1069" s="303"/>
      <c r="G1069" s="304"/>
      <c r="H1069" s="386"/>
    </row>
    <row r="1070" spans="2:8" x14ac:dyDescent="0.2">
      <c r="B1070" s="302"/>
      <c r="C1070" s="292"/>
      <c r="D1070" s="303"/>
      <c r="E1070" s="303"/>
      <c r="F1070" s="303"/>
      <c r="G1070" s="304"/>
      <c r="H1070" s="386"/>
    </row>
    <row r="1071" spans="2:8" x14ac:dyDescent="0.2">
      <c r="B1071" s="305"/>
      <c r="C1071" s="306"/>
      <c r="D1071" s="307"/>
      <c r="E1071" s="307"/>
      <c r="F1071" s="307"/>
      <c r="G1071" s="308"/>
      <c r="H1071" s="387"/>
    </row>
    <row r="1072" spans="2:8" ht="13.5" thickBot="1" x14ac:dyDescent="0.25">
      <c r="B1072" s="742" t="s">
        <v>1685</v>
      </c>
      <c r="C1072" s="743"/>
      <c r="D1072" s="743"/>
      <c r="E1072" s="743"/>
      <c r="F1072" s="743"/>
      <c r="G1072" s="744"/>
      <c r="H1072" s="389">
        <v>18</v>
      </c>
    </row>
    <row r="1073" spans="2:8" ht="13.5" thickBot="1" x14ac:dyDescent="0.25">
      <c r="B1073" s="295" t="s">
        <v>1684</v>
      </c>
      <c r="C1073" s="296"/>
      <c r="D1073" s="296"/>
      <c r="E1073" s="296"/>
      <c r="F1073" s="296"/>
      <c r="G1073" s="296"/>
      <c r="H1073" s="384"/>
    </row>
    <row r="1074" spans="2:8" ht="25.5" x14ac:dyDescent="0.2">
      <c r="B1074" s="748" t="s">
        <v>1409</v>
      </c>
      <c r="C1074" s="749"/>
      <c r="D1074" s="750"/>
      <c r="E1074" s="393" t="s">
        <v>1408</v>
      </c>
      <c r="F1074" s="394" t="s">
        <v>1679</v>
      </c>
      <c r="G1074" s="394" t="s">
        <v>1683</v>
      </c>
      <c r="H1074" s="395" t="s">
        <v>1675</v>
      </c>
    </row>
    <row r="1075" spans="2:8" x14ac:dyDescent="0.2">
      <c r="B1075" s="294" t="s">
        <v>1895</v>
      </c>
      <c r="C1075" s="292"/>
      <c r="D1075" s="315"/>
      <c r="E1075" s="316" t="s">
        <v>744</v>
      </c>
      <c r="F1075" s="303">
        <v>2.5</v>
      </c>
      <c r="G1075" s="303">
        <v>2.8440000000000003</v>
      </c>
      <c r="H1075" s="386">
        <v>7.1100000000000012</v>
      </c>
    </row>
    <row r="1076" spans="2:8" x14ac:dyDescent="0.2">
      <c r="B1076" s="294" t="s">
        <v>1909</v>
      </c>
      <c r="C1076" s="292"/>
      <c r="D1076" s="315"/>
      <c r="E1076" s="316" t="s">
        <v>1788</v>
      </c>
      <c r="F1076" s="303">
        <v>20</v>
      </c>
      <c r="G1076" s="303">
        <v>0.441</v>
      </c>
      <c r="H1076" s="386">
        <v>8.82</v>
      </c>
    </row>
    <row r="1077" spans="2:8" x14ac:dyDescent="0.2">
      <c r="B1077" s="294" t="s">
        <v>1910</v>
      </c>
      <c r="C1077" s="292"/>
      <c r="D1077" s="315"/>
      <c r="E1077" s="316" t="s">
        <v>1788</v>
      </c>
      <c r="F1077" s="303">
        <v>10</v>
      </c>
      <c r="G1077" s="303">
        <v>0.27</v>
      </c>
      <c r="H1077" s="386">
        <v>2.7</v>
      </c>
    </row>
    <row r="1078" spans="2:8" x14ac:dyDescent="0.2">
      <c r="B1078" s="294" t="s">
        <v>1897</v>
      </c>
      <c r="C1078" s="292"/>
      <c r="D1078" s="315"/>
      <c r="E1078" s="316" t="s">
        <v>744</v>
      </c>
      <c r="F1078" s="303">
        <v>1</v>
      </c>
      <c r="G1078" s="303">
        <v>0.68400000000000005</v>
      </c>
      <c r="H1078" s="386">
        <v>0.68400000000000005</v>
      </c>
    </row>
    <row r="1079" spans="2:8" x14ac:dyDescent="0.2">
      <c r="B1079" s="294" t="s">
        <v>1948</v>
      </c>
      <c r="C1079" s="292"/>
      <c r="D1079" s="315"/>
      <c r="E1079" s="316" t="s">
        <v>1788</v>
      </c>
      <c r="F1079" s="303">
        <v>1.5</v>
      </c>
      <c r="G1079" s="303">
        <v>0.79200000000000004</v>
      </c>
      <c r="H1079" s="386">
        <v>1.1880000000000002</v>
      </c>
    </row>
    <row r="1080" spans="2:8" x14ac:dyDescent="0.2">
      <c r="B1080" s="294" t="s">
        <v>1900</v>
      </c>
      <c r="C1080" s="292"/>
      <c r="D1080" s="315"/>
      <c r="E1080" s="316" t="s">
        <v>744</v>
      </c>
      <c r="F1080" s="303">
        <v>4</v>
      </c>
      <c r="G1080" s="303">
        <v>0.18000000000000002</v>
      </c>
      <c r="H1080" s="386">
        <v>0.72000000000000008</v>
      </c>
    </row>
    <row r="1081" spans="2:8" x14ac:dyDescent="0.2">
      <c r="B1081" s="294" t="s">
        <v>1901</v>
      </c>
      <c r="C1081" s="292"/>
      <c r="D1081" s="315"/>
      <c r="E1081" s="316" t="s">
        <v>744</v>
      </c>
      <c r="F1081" s="303">
        <v>3</v>
      </c>
      <c r="G1081" s="303">
        <v>0.216</v>
      </c>
      <c r="H1081" s="386">
        <v>0.64800000000000002</v>
      </c>
    </row>
    <row r="1082" spans="2:8" x14ac:dyDescent="0.2">
      <c r="B1082" s="294" t="s">
        <v>1902</v>
      </c>
      <c r="C1082" s="292"/>
      <c r="D1082" s="315"/>
      <c r="E1082" s="316" t="s">
        <v>744</v>
      </c>
      <c r="F1082" s="303">
        <v>3.75</v>
      </c>
      <c r="G1082" s="303">
        <v>4.5000000000000005E-2</v>
      </c>
      <c r="H1082" s="386">
        <v>0.16875000000000001</v>
      </c>
    </row>
    <row r="1083" spans="2:8" x14ac:dyDescent="0.2">
      <c r="B1083" s="294" t="s">
        <v>1903</v>
      </c>
      <c r="C1083" s="292"/>
      <c r="D1083" s="315"/>
      <c r="E1083" s="316" t="s">
        <v>744</v>
      </c>
      <c r="F1083" s="303">
        <v>5.75</v>
      </c>
      <c r="G1083" s="303">
        <v>6.3E-3</v>
      </c>
      <c r="H1083" s="386">
        <v>3.6225E-2</v>
      </c>
    </row>
    <row r="1084" spans="2:8" x14ac:dyDescent="0.2">
      <c r="B1084" s="294" t="s">
        <v>1266</v>
      </c>
      <c r="C1084" s="292"/>
      <c r="D1084" s="315"/>
      <c r="E1084" s="316" t="s">
        <v>1196</v>
      </c>
      <c r="F1084" s="303">
        <v>0.25</v>
      </c>
      <c r="G1084" s="303">
        <v>1.35</v>
      </c>
      <c r="H1084" s="386">
        <v>0.33750000000000002</v>
      </c>
    </row>
    <row r="1085" spans="2:8" x14ac:dyDescent="0.2">
      <c r="B1085" s="294" t="s">
        <v>1904</v>
      </c>
      <c r="C1085" s="292"/>
      <c r="D1085" s="315"/>
      <c r="E1085" s="316" t="s">
        <v>744</v>
      </c>
      <c r="F1085" s="303">
        <v>4</v>
      </c>
      <c r="G1085" s="303">
        <v>2.52E-2</v>
      </c>
      <c r="H1085" s="386">
        <v>0.1008</v>
      </c>
    </row>
    <row r="1086" spans="2:8" x14ac:dyDescent="0.2">
      <c r="B1086" s="294" t="s">
        <v>1905</v>
      </c>
      <c r="C1086" s="292"/>
      <c r="D1086" s="315"/>
      <c r="E1086" s="316" t="s">
        <v>744</v>
      </c>
      <c r="F1086" s="303">
        <v>0.1</v>
      </c>
      <c r="G1086" s="303">
        <v>0.63900000000000001</v>
      </c>
      <c r="H1086" s="386">
        <v>6.3899999999999998E-2</v>
      </c>
    </row>
    <row r="1087" spans="2:8" x14ac:dyDescent="0.2">
      <c r="B1087" s="294"/>
      <c r="C1087" s="292"/>
      <c r="D1087" s="315"/>
      <c r="E1087" s="316"/>
      <c r="F1087" s="303"/>
      <c r="G1087" s="303"/>
      <c r="H1087" s="386"/>
    </row>
    <row r="1088" spans="2:8" x14ac:dyDescent="0.2">
      <c r="B1088" s="294" t="s">
        <v>671</v>
      </c>
      <c r="C1088" s="292"/>
      <c r="D1088" s="315"/>
      <c r="E1088" s="316" t="s">
        <v>671</v>
      </c>
      <c r="F1088" s="303" t="s">
        <v>671</v>
      </c>
      <c r="G1088" s="303" t="s">
        <v>671</v>
      </c>
      <c r="H1088" s="386" t="s">
        <v>671</v>
      </c>
    </row>
    <row r="1089" spans="1:9" x14ac:dyDescent="0.2">
      <c r="B1089" s="294"/>
      <c r="C1089" s="292"/>
      <c r="D1089" s="315"/>
      <c r="E1089" s="316"/>
      <c r="F1089" s="303"/>
      <c r="G1089" s="303"/>
      <c r="H1089" s="386"/>
    </row>
    <row r="1090" spans="1:9" x14ac:dyDescent="0.2">
      <c r="B1090" s="294"/>
      <c r="C1090" s="292"/>
      <c r="D1090" s="315"/>
      <c r="E1090" s="316"/>
      <c r="F1090" s="303"/>
      <c r="G1090" s="303"/>
      <c r="H1090" s="386"/>
    </row>
    <row r="1091" spans="1:9" x14ac:dyDescent="0.2">
      <c r="B1091" s="294"/>
      <c r="C1091" s="292"/>
      <c r="D1091" s="315"/>
      <c r="E1091" s="316"/>
      <c r="F1091" s="303"/>
      <c r="G1091" s="303"/>
      <c r="H1091" s="386"/>
    </row>
    <row r="1092" spans="1:9" x14ac:dyDescent="0.2">
      <c r="B1092" s="294"/>
      <c r="C1092" s="292"/>
      <c r="D1092" s="315"/>
      <c r="E1092" s="316"/>
      <c r="F1092" s="303"/>
      <c r="G1092" s="303"/>
      <c r="H1092" s="386"/>
    </row>
    <row r="1093" spans="1:9" x14ac:dyDescent="0.2">
      <c r="B1093" s="294"/>
      <c r="C1093" s="292"/>
      <c r="D1093" s="315"/>
      <c r="E1093" s="316"/>
      <c r="F1093" s="303"/>
      <c r="G1093" s="303"/>
      <c r="H1093" s="386"/>
    </row>
    <row r="1094" spans="1:9" x14ac:dyDescent="0.2">
      <c r="B1094" s="294"/>
      <c r="C1094" s="292"/>
      <c r="D1094" s="315"/>
      <c r="E1094" s="303"/>
      <c r="F1094" s="303"/>
      <c r="G1094" s="303"/>
      <c r="H1094" s="386"/>
    </row>
    <row r="1095" spans="1:9" x14ac:dyDescent="0.2">
      <c r="B1095" s="294"/>
      <c r="C1095" s="292"/>
      <c r="D1095" s="315"/>
      <c r="E1095" s="303"/>
      <c r="F1095" s="303"/>
      <c r="G1095" s="303"/>
      <c r="H1095" s="386"/>
    </row>
    <row r="1096" spans="1:9" ht="13.5" thickBot="1" x14ac:dyDescent="0.25">
      <c r="B1096" s="742" t="s">
        <v>1681</v>
      </c>
      <c r="C1096" s="743"/>
      <c r="D1096" s="743"/>
      <c r="E1096" s="743"/>
      <c r="F1096" s="743"/>
      <c r="G1096" s="744"/>
      <c r="H1096" s="389">
        <v>22.577175</v>
      </c>
    </row>
    <row r="1097" spans="1:9" ht="13.5" thickBot="1" x14ac:dyDescent="0.25">
      <c r="B1097" s="295" t="s">
        <v>1680</v>
      </c>
      <c r="C1097" s="296"/>
      <c r="D1097" s="296"/>
      <c r="E1097" s="296"/>
      <c r="F1097" s="296"/>
      <c r="G1097" s="296"/>
      <c r="H1097" s="384"/>
    </row>
    <row r="1098" spans="1:9" ht="25.5" x14ac:dyDescent="0.2">
      <c r="B1098" s="390" t="s">
        <v>1409</v>
      </c>
      <c r="C1098" s="391"/>
      <c r="D1098" s="392"/>
      <c r="E1098" s="309" t="s">
        <v>1408</v>
      </c>
      <c r="F1098" s="309" t="s">
        <v>1679</v>
      </c>
      <c r="G1098" s="309" t="s">
        <v>1676</v>
      </c>
      <c r="H1098" s="388" t="s">
        <v>1675</v>
      </c>
    </row>
    <row r="1099" spans="1:9" x14ac:dyDescent="0.2">
      <c r="B1099" s="298" t="s">
        <v>975</v>
      </c>
      <c r="C1099" s="299"/>
      <c r="D1099" s="396"/>
      <c r="E1099" s="316" t="s">
        <v>744</v>
      </c>
      <c r="F1099" s="303">
        <v>5.3755178571428579E-2</v>
      </c>
      <c r="G1099" s="382">
        <v>12.6</v>
      </c>
      <c r="H1099" s="386">
        <v>0.67731525000000004</v>
      </c>
    </row>
    <row r="1100" spans="1:9" x14ac:dyDescent="0.2">
      <c r="B1100" s="302"/>
      <c r="C1100" s="292"/>
      <c r="D1100" s="317"/>
      <c r="E1100" s="316"/>
      <c r="F1100" s="303"/>
      <c r="G1100" s="303"/>
      <c r="H1100" s="386"/>
    </row>
    <row r="1101" spans="1:9" x14ac:dyDescent="0.2">
      <c r="B1101" s="305"/>
      <c r="C1101" s="306"/>
      <c r="D1101" s="318"/>
      <c r="E1101" s="319"/>
      <c r="F1101" s="307"/>
      <c r="G1101" s="307"/>
      <c r="H1101" s="387"/>
    </row>
    <row r="1102" spans="1:9" ht="13.5" thickBot="1" x14ac:dyDescent="0.25">
      <c r="B1102" s="742" t="s">
        <v>1674</v>
      </c>
      <c r="C1102" s="743"/>
      <c r="D1102" s="743"/>
      <c r="E1102" s="743"/>
      <c r="F1102" s="743"/>
      <c r="G1102" s="744"/>
      <c r="H1102" s="397">
        <v>0.67731525000000004</v>
      </c>
    </row>
    <row r="1103" spans="1:9" x14ac:dyDescent="0.2">
      <c r="B1103" s="292"/>
      <c r="C1103" s="292"/>
      <c r="D1103" s="320" t="s">
        <v>1673</v>
      </c>
      <c r="E1103" s="321"/>
      <c r="F1103" s="321"/>
      <c r="G1103" s="321"/>
      <c r="H1103" s="331">
        <f>H1062+H1072+H1096+H1102</f>
        <v>41.34449025</v>
      </c>
    </row>
    <row r="1104" spans="1:9" s="1" customFormat="1" ht="15.75" x14ac:dyDescent="0.25">
      <c r="A1104" s="103">
        <v>40002</v>
      </c>
      <c r="B1104" s="2"/>
      <c r="C1104" s="2"/>
      <c r="D1104" s="93" t="s">
        <v>1672</v>
      </c>
      <c r="E1104" s="65"/>
      <c r="F1104" s="65"/>
      <c r="G1104" s="94">
        <f>IF($A1104=0,"",VLOOKUP($A1104,'BASE MATERIAL'!$M:$P,4))</f>
        <v>0</v>
      </c>
      <c r="H1104" s="95">
        <f>IF($A1104=0,"",ROUND(G1104*H1103,2))</f>
        <v>0</v>
      </c>
      <c r="I1104" s="2"/>
    </row>
    <row r="1105" spans="1:9" s="1" customFormat="1" ht="15.75" x14ac:dyDescent="0.25">
      <c r="A1105" s="103">
        <v>40003</v>
      </c>
      <c r="B1105" s="2"/>
      <c r="C1105" s="2"/>
      <c r="D1105" s="93" t="s">
        <v>1671</v>
      </c>
      <c r="E1105" s="65"/>
      <c r="F1105" s="65"/>
      <c r="G1105" s="94">
        <f>IF($A1105=0,"",VLOOKUP($A1105,'BASE MATERIAL'!$M:$P,4))</f>
        <v>0</v>
      </c>
      <c r="H1105" s="95">
        <f>IF($A1105=0,"",ROUND(G1105*H1103,2))</f>
        <v>0</v>
      </c>
      <c r="I1105" s="2"/>
    </row>
    <row r="1106" spans="1:9" s="1" customFormat="1" ht="15.75" x14ac:dyDescent="0.25">
      <c r="A1106" s="103"/>
      <c r="B1106" s="2"/>
      <c r="C1106" s="2"/>
      <c r="D1106" s="93" t="s">
        <v>1670</v>
      </c>
      <c r="E1106" s="65"/>
      <c r="F1106" s="65"/>
      <c r="G1106" s="65"/>
      <c r="H1106" s="96">
        <f>ROUND(SUM(H1103:H1105),2)</f>
        <v>41.34</v>
      </c>
      <c r="I1106" s="2"/>
    </row>
    <row r="1107" spans="1:9" s="1" customFormat="1" ht="16.5" thickBot="1" x14ac:dyDescent="0.3">
      <c r="A1107" s="103"/>
      <c r="B1107" s="25"/>
      <c r="C1107" s="2"/>
      <c r="D1107" s="97" t="s">
        <v>1650</v>
      </c>
      <c r="E1107" s="88"/>
      <c r="F1107" s="88"/>
      <c r="G1107" s="88"/>
      <c r="H1107" s="98">
        <f>ROUND(H1106,2)</f>
        <v>41.34</v>
      </c>
      <c r="I1107" s="2"/>
    </row>
    <row r="1108" spans="1:9" x14ac:dyDescent="0.2">
      <c r="B1108" s="294"/>
      <c r="C1108" s="294"/>
      <c r="D1108" s="294"/>
      <c r="E1108" s="294"/>
      <c r="F1108" s="294"/>
      <c r="G1108" s="294"/>
      <c r="H1108" s="294"/>
    </row>
    <row r="1109" spans="1:9" x14ac:dyDescent="0.2">
      <c r="B1109" s="294"/>
      <c r="C1109" s="294"/>
      <c r="D1109" s="294"/>
      <c r="E1109" s="294"/>
      <c r="F1109" s="294"/>
      <c r="G1109" s="294"/>
      <c r="H1109" s="294"/>
    </row>
    <row r="1110" spans="1:9" x14ac:dyDescent="0.2">
      <c r="B1110" s="292" t="s">
        <v>1889</v>
      </c>
      <c r="C1110" s="292" t="s">
        <v>1890</v>
      </c>
      <c r="D1110" s="292"/>
      <c r="E1110" s="292"/>
      <c r="F1110" s="292"/>
      <c r="G1110" s="292"/>
      <c r="H1110" s="292" t="s">
        <v>1891</v>
      </c>
    </row>
    <row r="1111" spans="1:9" x14ac:dyDescent="0.2">
      <c r="B1111" s="292" t="s">
        <v>1700</v>
      </c>
      <c r="C1111" s="292" t="s">
        <v>1892</v>
      </c>
      <c r="D1111" s="292"/>
      <c r="E1111" s="292"/>
      <c r="F1111" s="292"/>
      <c r="G1111" s="382"/>
      <c r="H1111" s="315"/>
    </row>
    <row r="1112" spans="1:9" x14ac:dyDescent="0.2">
      <c r="B1112" s="292"/>
      <c r="C1112" s="292"/>
      <c r="D1112" s="292"/>
      <c r="E1112" s="292"/>
      <c r="F1112" s="292"/>
      <c r="G1112" s="292"/>
      <c r="H1112" s="292"/>
    </row>
    <row r="1113" spans="1:9" x14ac:dyDescent="0.2">
      <c r="B1113" s="738" t="s">
        <v>1697</v>
      </c>
      <c r="C1113" s="739"/>
      <c r="D1113" s="739"/>
      <c r="E1113" s="739"/>
      <c r="F1113" s="739"/>
      <c r="G1113" s="739"/>
      <c r="H1113" s="739"/>
    </row>
    <row r="1114" spans="1:9" x14ac:dyDescent="0.2">
      <c r="B1114" s="292" t="s">
        <v>1586</v>
      </c>
      <c r="C1114" s="293">
        <v>3.0920000000000001</v>
      </c>
      <c r="D1114" s="292"/>
      <c r="E1114" s="292"/>
      <c r="F1114" s="292"/>
      <c r="G1114" s="292" t="s">
        <v>1696</v>
      </c>
      <c r="H1114" s="315" t="s">
        <v>744</v>
      </c>
    </row>
    <row r="1115" spans="1:9" x14ac:dyDescent="0.2">
      <c r="B1115" s="292" t="s">
        <v>1585</v>
      </c>
      <c r="C1115" s="294" t="s">
        <v>1949</v>
      </c>
      <c r="D1115" s="292"/>
      <c r="E1115" s="292"/>
      <c r="F1115" s="292"/>
      <c r="G1115" s="292"/>
      <c r="H1115" s="292"/>
    </row>
    <row r="1116" spans="1:9" ht="13.5" thickBot="1" x14ac:dyDescent="0.25">
      <c r="B1116" s="292"/>
      <c r="C1116" s="292"/>
      <c r="D1116" s="292"/>
      <c r="E1116" s="292"/>
      <c r="F1116" s="292"/>
      <c r="G1116" s="292"/>
      <c r="H1116" s="292"/>
    </row>
    <row r="1117" spans="1:9" ht="13.5" thickBot="1" x14ac:dyDescent="0.25">
      <c r="B1117" s="295" t="s">
        <v>1695</v>
      </c>
      <c r="C1117" s="296"/>
      <c r="D1117" s="296"/>
      <c r="E1117" s="296"/>
      <c r="F1117" s="296"/>
      <c r="G1117" s="296"/>
      <c r="H1117" s="384"/>
    </row>
    <row r="1118" spans="1:9" ht="25.5" x14ac:dyDescent="0.2">
      <c r="B1118" s="740" t="s">
        <v>1409</v>
      </c>
      <c r="C1118" s="741"/>
      <c r="D1118" s="297" t="s">
        <v>1690</v>
      </c>
      <c r="E1118" s="297" t="s">
        <v>1694</v>
      </c>
      <c r="F1118" s="297" t="s">
        <v>1693</v>
      </c>
      <c r="G1118" s="49" t="s">
        <v>1687</v>
      </c>
      <c r="H1118" s="385" t="s">
        <v>1686</v>
      </c>
    </row>
    <row r="1119" spans="1:9" x14ac:dyDescent="0.2">
      <c r="B1119" s="298" t="s">
        <v>1468</v>
      </c>
      <c r="C1119" s="299"/>
      <c r="D1119" s="300">
        <v>1</v>
      </c>
      <c r="E1119" s="300">
        <v>0.79166666666666663</v>
      </c>
      <c r="F1119" s="300">
        <v>0.79166666666666663</v>
      </c>
      <c r="G1119" s="301">
        <v>0.22105263157894739</v>
      </c>
      <c r="H1119" s="301">
        <v>0.17500000000000002</v>
      </c>
    </row>
    <row r="1120" spans="1:9" x14ac:dyDescent="0.2">
      <c r="B1120" s="302"/>
      <c r="C1120" s="292"/>
      <c r="D1120" s="303"/>
      <c r="E1120" s="303"/>
      <c r="F1120" s="303"/>
      <c r="G1120" s="304"/>
      <c r="H1120" s="386"/>
    </row>
    <row r="1121" spans="2:8" x14ac:dyDescent="0.2">
      <c r="B1121" s="302"/>
      <c r="C1121" s="292"/>
      <c r="D1121" s="303"/>
      <c r="E1121" s="303"/>
      <c r="F1121" s="303"/>
      <c r="G1121" s="304"/>
      <c r="H1121" s="386"/>
    </row>
    <row r="1122" spans="2:8" x14ac:dyDescent="0.2">
      <c r="B1122" s="302"/>
      <c r="C1122" s="292"/>
      <c r="D1122" s="303"/>
      <c r="E1122" s="303"/>
      <c r="F1122" s="303"/>
      <c r="G1122" s="304"/>
      <c r="H1122" s="386"/>
    </row>
    <row r="1123" spans="2:8" x14ac:dyDescent="0.2">
      <c r="B1123" s="302"/>
      <c r="C1123" s="292"/>
      <c r="D1123" s="303"/>
      <c r="E1123" s="303"/>
      <c r="F1123" s="303"/>
      <c r="G1123" s="304"/>
      <c r="H1123" s="386"/>
    </row>
    <row r="1124" spans="2:8" x14ac:dyDescent="0.2">
      <c r="B1124" s="305"/>
      <c r="C1124" s="306"/>
      <c r="D1124" s="307"/>
      <c r="E1124" s="307"/>
      <c r="F1124" s="307"/>
      <c r="G1124" s="308"/>
      <c r="H1124" s="387"/>
    </row>
    <row r="1125" spans="2:8" ht="13.5" thickBot="1" x14ac:dyDescent="0.25">
      <c r="B1125" s="742" t="s">
        <v>1692</v>
      </c>
      <c r="C1125" s="743"/>
      <c r="D1125" s="743"/>
      <c r="E1125" s="743"/>
      <c r="F1125" s="743"/>
      <c r="G1125" s="744"/>
      <c r="H1125" s="387">
        <v>0.17500000000000002</v>
      </c>
    </row>
    <row r="1126" spans="2:8" ht="13.5" thickBot="1" x14ac:dyDescent="0.25">
      <c r="B1126" s="295" t="s">
        <v>1503</v>
      </c>
      <c r="C1126" s="296"/>
      <c r="D1126" s="296"/>
      <c r="E1126" s="296"/>
      <c r="F1126" s="296"/>
      <c r="G1126" s="296"/>
      <c r="H1126" s="384"/>
    </row>
    <row r="1127" spans="2:8" ht="25.5" x14ac:dyDescent="0.2">
      <c r="B1127" s="740" t="s">
        <v>1409</v>
      </c>
      <c r="C1127" s="741"/>
      <c r="D1127" s="309" t="s">
        <v>1690</v>
      </c>
      <c r="E1127" s="309" t="s">
        <v>1689</v>
      </c>
      <c r="F1127" s="309" t="s">
        <v>1688</v>
      </c>
      <c r="G1127" s="67" t="s">
        <v>1687</v>
      </c>
      <c r="H1127" s="388" t="s">
        <v>1686</v>
      </c>
    </row>
    <row r="1128" spans="2:8" x14ac:dyDescent="0.2">
      <c r="B1128" s="310" t="s">
        <v>243</v>
      </c>
      <c r="C1128" s="292"/>
      <c r="D1128" s="311">
        <v>1</v>
      </c>
      <c r="E1128" s="312">
        <v>3.0187499999999998</v>
      </c>
      <c r="F1128" s="300">
        <v>3.0187499999999998</v>
      </c>
      <c r="G1128" s="300">
        <v>4.04215389057312</v>
      </c>
      <c r="H1128" s="301">
        <v>12.202252057167605</v>
      </c>
    </row>
    <row r="1129" spans="2:8" x14ac:dyDescent="0.2">
      <c r="B1129" s="310" t="s">
        <v>1488</v>
      </c>
      <c r="C1129" s="292"/>
      <c r="D1129" s="311">
        <v>1</v>
      </c>
      <c r="E1129" s="312">
        <v>2.82</v>
      </c>
      <c r="F1129" s="303">
        <v>2.82</v>
      </c>
      <c r="G1129" s="303">
        <v>4.04215389057312</v>
      </c>
      <c r="H1129" s="386">
        <v>11.398873971416197</v>
      </c>
    </row>
    <row r="1130" spans="2:8" x14ac:dyDescent="0.2">
      <c r="B1130" s="310" t="s">
        <v>1787</v>
      </c>
      <c r="C1130" s="292"/>
      <c r="D1130" s="311">
        <v>1</v>
      </c>
      <c r="E1130" s="312">
        <v>2.82</v>
      </c>
      <c r="F1130" s="303">
        <v>2.82</v>
      </c>
      <c r="G1130" s="303">
        <v>4.04215389057312</v>
      </c>
      <c r="H1130" s="386">
        <v>11.398873971416197</v>
      </c>
    </row>
    <row r="1131" spans="2:8" x14ac:dyDescent="0.2">
      <c r="B1131" s="313"/>
      <c r="C1131" s="292"/>
      <c r="D1131" s="311"/>
      <c r="E1131" s="312"/>
      <c r="F1131" s="303"/>
      <c r="G1131" s="304"/>
      <c r="H1131" s="386"/>
    </row>
    <row r="1132" spans="2:8" x14ac:dyDescent="0.2">
      <c r="B1132" s="314"/>
      <c r="C1132" s="292"/>
      <c r="D1132" s="311"/>
      <c r="E1132" s="312"/>
      <c r="F1132" s="303"/>
      <c r="G1132" s="304"/>
      <c r="H1132" s="386"/>
    </row>
    <row r="1133" spans="2:8" x14ac:dyDescent="0.2">
      <c r="B1133" s="302"/>
      <c r="C1133" s="292"/>
      <c r="D1133" s="303"/>
      <c r="E1133" s="303"/>
      <c r="F1133" s="303"/>
      <c r="G1133" s="304"/>
      <c r="H1133" s="386"/>
    </row>
    <row r="1134" spans="2:8" x14ac:dyDescent="0.2">
      <c r="B1134" s="305"/>
      <c r="C1134" s="306"/>
      <c r="D1134" s="307"/>
      <c r="E1134" s="307"/>
      <c r="F1134" s="307"/>
      <c r="G1134" s="308"/>
      <c r="H1134" s="387"/>
    </row>
    <row r="1135" spans="2:8" ht="13.5" thickBot="1" x14ac:dyDescent="0.25">
      <c r="B1135" s="742" t="s">
        <v>1685</v>
      </c>
      <c r="C1135" s="743"/>
      <c r="D1135" s="743"/>
      <c r="E1135" s="743"/>
      <c r="F1135" s="743"/>
      <c r="G1135" s="744"/>
      <c r="H1135" s="389">
        <v>35</v>
      </c>
    </row>
    <row r="1136" spans="2:8" ht="13.5" thickBot="1" x14ac:dyDescent="0.25">
      <c r="B1136" s="295" t="s">
        <v>1684</v>
      </c>
      <c r="C1136" s="296"/>
      <c r="D1136" s="296"/>
      <c r="E1136" s="296"/>
      <c r="F1136" s="296"/>
      <c r="G1136" s="296"/>
      <c r="H1136" s="384"/>
    </row>
    <row r="1137" spans="2:8" ht="25.5" x14ac:dyDescent="0.2">
      <c r="B1137" s="748" t="s">
        <v>1409</v>
      </c>
      <c r="C1137" s="749"/>
      <c r="D1137" s="750"/>
      <c r="E1137" s="393" t="s">
        <v>1408</v>
      </c>
      <c r="F1137" s="394" t="s">
        <v>1679</v>
      </c>
      <c r="G1137" s="394" t="s">
        <v>1683</v>
      </c>
      <c r="H1137" s="395" t="s">
        <v>1675</v>
      </c>
    </row>
    <row r="1138" spans="2:8" x14ac:dyDescent="0.2">
      <c r="B1138" s="294" t="s">
        <v>1920</v>
      </c>
      <c r="C1138" s="292"/>
      <c r="D1138" s="315"/>
      <c r="E1138" s="316" t="s">
        <v>744</v>
      </c>
      <c r="F1138" s="303">
        <v>6</v>
      </c>
      <c r="G1138" s="303">
        <v>4.3650000000000002</v>
      </c>
      <c r="H1138" s="386">
        <v>26.19</v>
      </c>
    </row>
    <row r="1139" spans="2:8" x14ac:dyDescent="0.2">
      <c r="B1139" s="294" t="s">
        <v>1921</v>
      </c>
      <c r="C1139" s="292"/>
      <c r="D1139" s="315"/>
      <c r="E1139" s="316" t="s">
        <v>1788</v>
      </c>
      <c r="F1139" s="303">
        <v>36</v>
      </c>
      <c r="G1139" s="303">
        <v>0.63900000000000001</v>
      </c>
      <c r="H1139" s="386">
        <v>23.004000000000001</v>
      </c>
    </row>
    <row r="1140" spans="2:8" x14ac:dyDescent="0.2">
      <c r="B1140" s="294" t="s">
        <v>1923</v>
      </c>
      <c r="C1140" s="292"/>
      <c r="D1140" s="315"/>
      <c r="E1140" s="316" t="s">
        <v>744</v>
      </c>
      <c r="F1140" s="303">
        <v>1</v>
      </c>
      <c r="G1140" s="303">
        <v>11.232000000000001</v>
      </c>
      <c r="H1140" s="386">
        <v>11.232000000000001</v>
      </c>
    </row>
    <row r="1141" spans="2:8" x14ac:dyDescent="0.2">
      <c r="B1141" s="294" t="s">
        <v>1924</v>
      </c>
      <c r="C1141" s="292"/>
      <c r="D1141" s="315"/>
      <c r="E1141" s="316" t="s">
        <v>744</v>
      </c>
      <c r="F1141" s="303">
        <v>4</v>
      </c>
      <c r="G1141" s="303">
        <v>0.27</v>
      </c>
      <c r="H1141" s="386">
        <v>1.08</v>
      </c>
    </row>
    <row r="1142" spans="2:8" x14ac:dyDescent="0.2">
      <c r="B1142" s="294" t="s">
        <v>1925</v>
      </c>
      <c r="C1142" s="292"/>
      <c r="D1142" s="315"/>
      <c r="E1142" s="316" t="s">
        <v>744</v>
      </c>
      <c r="F1142" s="303">
        <v>5.68</v>
      </c>
      <c r="G1142" s="303">
        <v>0.27</v>
      </c>
      <c r="H1142" s="386">
        <v>1.5336000000000001</v>
      </c>
    </row>
    <row r="1143" spans="2:8" x14ac:dyDescent="0.2">
      <c r="B1143" s="294" t="s">
        <v>1926</v>
      </c>
      <c r="C1143" s="292"/>
      <c r="D1143" s="315"/>
      <c r="E1143" s="316" t="s">
        <v>744</v>
      </c>
      <c r="F1143" s="303">
        <v>9</v>
      </c>
      <c r="G1143" s="303">
        <v>5.3999999999999999E-2</v>
      </c>
      <c r="H1143" s="386">
        <v>0.48599999999999999</v>
      </c>
    </row>
    <row r="1144" spans="2:8" x14ac:dyDescent="0.2">
      <c r="B1144" s="294" t="s">
        <v>1903</v>
      </c>
      <c r="C1144" s="292"/>
      <c r="D1144" s="315"/>
      <c r="E1144" s="316" t="s">
        <v>744</v>
      </c>
      <c r="F1144" s="303">
        <v>11</v>
      </c>
      <c r="G1144" s="303">
        <v>6.3E-3</v>
      </c>
      <c r="H1144" s="386">
        <v>6.93E-2</v>
      </c>
    </row>
    <row r="1145" spans="2:8" x14ac:dyDescent="0.2">
      <c r="B1145" s="294" t="s">
        <v>1266</v>
      </c>
      <c r="C1145" s="292"/>
      <c r="D1145" s="315"/>
      <c r="E1145" s="316" t="s">
        <v>1196</v>
      </c>
      <c r="F1145" s="303">
        <v>0.6</v>
      </c>
      <c r="G1145" s="303">
        <v>1.35</v>
      </c>
      <c r="H1145" s="386">
        <v>0.81</v>
      </c>
    </row>
    <row r="1146" spans="2:8" x14ac:dyDescent="0.2">
      <c r="B1146" s="294" t="s">
        <v>1904</v>
      </c>
      <c r="C1146" s="292"/>
      <c r="D1146" s="315"/>
      <c r="E1146" s="316" t="s">
        <v>744</v>
      </c>
      <c r="F1146" s="303">
        <v>2</v>
      </c>
      <c r="G1146" s="303">
        <v>2.52E-2</v>
      </c>
      <c r="H1146" s="386">
        <v>5.04E-2</v>
      </c>
    </row>
    <row r="1147" spans="2:8" x14ac:dyDescent="0.2">
      <c r="B1147" s="294" t="s">
        <v>780</v>
      </c>
      <c r="C1147" s="292"/>
      <c r="D1147" s="315"/>
      <c r="E1147" s="316" t="s">
        <v>744</v>
      </c>
      <c r="F1147" s="303">
        <v>0.1</v>
      </c>
      <c r="G1147" s="303">
        <v>0.63900000000000001</v>
      </c>
      <c r="H1147" s="386">
        <v>6.3899999999999998E-2</v>
      </c>
    </row>
    <row r="1148" spans="2:8" x14ac:dyDescent="0.2">
      <c r="B1148" s="294" t="s">
        <v>1950</v>
      </c>
      <c r="C1148" s="292"/>
      <c r="D1148" s="315"/>
      <c r="E1148" s="316" t="s">
        <v>1788</v>
      </c>
      <c r="F1148" s="303">
        <v>1.5</v>
      </c>
      <c r="G1148" s="303">
        <v>1.2330000000000001</v>
      </c>
      <c r="H1148" s="386">
        <v>1.8495000000000001</v>
      </c>
    </row>
    <row r="1149" spans="2:8" x14ac:dyDescent="0.2">
      <c r="B1149" s="294" t="s">
        <v>1907</v>
      </c>
      <c r="C1149" s="292"/>
      <c r="D1149" s="315"/>
      <c r="E1149" s="316" t="s">
        <v>744</v>
      </c>
      <c r="F1149" s="303">
        <v>1</v>
      </c>
      <c r="G1149" s="303">
        <v>0.19800000000000001</v>
      </c>
      <c r="H1149" s="386">
        <v>0.19800000000000001</v>
      </c>
    </row>
    <row r="1150" spans="2:8" x14ac:dyDescent="0.2">
      <c r="B1150" s="294"/>
      <c r="C1150" s="292"/>
      <c r="D1150" s="315"/>
      <c r="E1150" s="316"/>
      <c r="F1150" s="303"/>
      <c r="G1150" s="303"/>
      <c r="H1150" s="386"/>
    </row>
    <row r="1151" spans="2:8" x14ac:dyDescent="0.2">
      <c r="B1151" s="294"/>
      <c r="C1151" s="292"/>
      <c r="D1151" s="315"/>
      <c r="E1151" s="316"/>
      <c r="F1151" s="303"/>
      <c r="G1151" s="303"/>
      <c r="H1151" s="386"/>
    </row>
    <row r="1152" spans="2:8" x14ac:dyDescent="0.2">
      <c r="B1152" s="294"/>
      <c r="C1152" s="292"/>
      <c r="D1152" s="315"/>
      <c r="E1152" s="316"/>
      <c r="F1152" s="303"/>
      <c r="G1152" s="303"/>
      <c r="H1152" s="386"/>
    </row>
    <row r="1153" spans="1:9" x14ac:dyDescent="0.2">
      <c r="B1153" s="294"/>
      <c r="C1153" s="292"/>
      <c r="D1153" s="315"/>
      <c r="E1153" s="316"/>
      <c r="F1153" s="303"/>
      <c r="G1153" s="303"/>
      <c r="H1153" s="386"/>
    </row>
    <row r="1154" spans="1:9" x14ac:dyDescent="0.2">
      <c r="B1154" s="294"/>
      <c r="C1154" s="292"/>
      <c r="D1154" s="315"/>
      <c r="E1154" s="316"/>
      <c r="F1154" s="303"/>
      <c r="G1154" s="303"/>
      <c r="H1154" s="386"/>
    </row>
    <row r="1155" spans="1:9" x14ac:dyDescent="0.2">
      <c r="B1155" s="294"/>
      <c r="C1155" s="292"/>
      <c r="D1155" s="315"/>
      <c r="E1155" s="316"/>
      <c r="F1155" s="303"/>
      <c r="G1155" s="303"/>
      <c r="H1155" s="386"/>
    </row>
    <row r="1156" spans="1:9" x14ac:dyDescent="0.2">
      <c r="B1156" s="294"/>
      <c r="C1156" s="292"/>
      <c r="D1156" s="315"/>
      <c r="E1156" s="316"/>
      <c r="F1156" s="303"/>
      <c r="G1156" s="303"/>
      <c r="H1156" s="386"/>
    </row>
    <row r="1157" spans="1:9" x14ac:dyDescent="0.2">
      <c r="B1157" s="294"/>
      <c r="C1157" s="292"/>
      <c r="D1157" s="315"/>
      <c r="E1157" s="303"/>
      <c r="F1157" s="303"/>
      <c r="G1157" s="303"/>
      <c r="H1157" s="386"/>
    </row>
    <row r="1158" spans="1:9" x14ac:dyDescent="0.2">
      <c r="B1158" s="294"/>
      <c r="C1158" s="292"/>
      <c r="D1158" s="315"/>
      <c r="E1158" s="303"/>
      <c r="F1158" s="303"/>
      <c r="G1158" s="303"/>
      <c r="H1158" s="386"/>
    </row>
    <row r="1159" spans="1:9" ht="13.5" thickBot="1" x14ac:dyDescent="0.25">
      <c r="B1159" s="742" t="s">
        <v>1681</v>
      </c>
      <c r="C1159" s="743"/>
      <c r="D1159" s="743"/>
      <c r="E1159" s="743"/>
      <c r="F1159" s="743"/>
      <c r="G1159" s="744"/>
      <c r="H1159" s="389">
        <v>66.566699999999997</v>
      </c>
    </row>
    <row r="1160" spans="1:9" ht="13.5" thickBot="1" x14ac:dyDescent="0.25">
      <c r="B1160" s="295" t="s">
        <v>1680</v>
      </c>
      <c r="C1160" s="296"/>
      <c r="D1160" s="296"/>
      <c r="E1160" s="296"/>
      <c r="F1160" s="296"/>
      <c r="G1160" s="296"/>
      <c r="H1160" s="384"/>
    </row>
    <row r="1161" spans="1:9" ht="25.5" x14ac:dyDescent="0.2">
      <c r="B1161" s="390" t="s">
        <v>1409</v>
      </c>
      <c r="C1161" s="391"/>
      <c r="D1161" s="392"/>
      <c r="E1161" s="309" t="s">
        <v>1408</v>
      </c>
      <c r="F1161" s="309" t="s">
        <v>1679</v>
      </c>
      <c r="G1161" s="309" t="s">
        <v>1676</v>
      </c>
      <c r="H1161" s="388" t="s">
        <v>1675</v>
      </c>
    </row>
    <row r="1162" spans="1:9" x14ac:dyDescent="0.2">
      <c r="B1162" s="298" t="s">
        <v>975</v>
      </c>
      <c r="C1162" s="299"/>
      <c r="D1162" s="396"/>
      <c r="E1162" s="316" t="s">
        <v>744</v>
      </c>
      <c r="F1162" s="303">
        <v>0.15849214285714286</v>
      </c>
      <c r="G1162" s="382">
        <v>12.6</v>
      </c>
      <c r="H1162" s="386">
        <v>1.997001</v>
      </c>
    </row>
    <row r="1163" spans="1:9" x14ac:dyDescent="0.2">
      <c r="B1163" s="302"/>
      <c r="C1163" s="292"/>
      <c r="D1163" s="317"/>
      <c r="E1163" s="316"/>
      <c r="F1163" s="303"/>
      <c r="G1163" s="303"/>
      <c r="H1163" s="386"/>
    </row>
    <row r="1164" spans="1:9" x14ac:dyDescent="0.2">
      <c r="B1164" s="305"/>
      <c r="C1164" s="306"/>
      <c r="D1164" s="318"/>
      <c r="E1164" s="319"/>
      <c r="F1164" s="307"/>
      <c r="G1164" s="307"/>
      <c r="H1164" s="387"/>
    </row>
    <row r="1165" spans="1:9" ht="13.5" thickBot="1" x14ac:dyDescent="0.25">
      <c r="B1165" s="742" t="s">
        <v>1674</v>
      </c>
      <c r="C1165" s="743"/>
      <c r="D1165" s="743"/>
      <c r="E1165" s="743"/>
      <c r="F1165" s="743"/>
      <c r="G1165" s="744"/>
      <c r="H1165" s="397">
        <v>1.997001</v>
      </c>
    </row>
    <row r="1166" spans="1:9" x14ac:dyDescent="0.2">
      <c r="B1166" s="292"/>
      <c r="C1166" s="292"/>
      <c r="D1166" s="320" t="s">
        <v>1673</v>
      </c>
      <c r="E1166" s="321"/>
      <c r="F1166" s="321"/>
      <c r="G1166" s="321"/>
      <c r="H1166" s="331">
        <f>H1125+H1135+H1159+H1165</f>
        <v>103.73870099999999</v>
      </c>
    </row>
    <row r="1167" spans="1:9" s="1" customFormat="1" ht="15.75" x14ac:dyDescent="0.25">
      <c r="A1167" s="103">
        <v>40002</v>
      </c>
      <c r="B1167" s="2"/>
      <c r="C1167" s="2"/>
      <c r="D1167" s="93" t="s">
        <v>1672</v>
      </c>
      <c r="E1167" s="65"/>
      <c r="F1167" s="65"/>
      <c r="G1167" s="94">
        <f>IF($A1167=0,"",VLOOKUP($A1167,'BASE MATERIAL'!$M:$P,4))</f>
        <v>0</v>
      </c>
      <c r="H1167" s="95">
        <f>IF($A1167=0,"",ROUND(G1167*H1166,2))</f>
        <v>0</v>
      </c>
      <c r="I1167" s="2"/>
    </row>
    <row r="1168" spans="1:9" s="1" customFormat="1" ht="15.75" x14ac:dyDescent="0.25">
      <c r="A1168" s="103">
        <v>40003</v>
      </c>
      <c r="B1168" s="2"/>
      <c r="C1168" s="2"/>
      <c r="D1168" s="93" t="s">
        <v>1671</v>
      </c>
      <c r="E1168" s="65"/>
      <c r="F1168" s="65"/>
      <c r="G1168" s="94">
        <f>IF($A1168=0,"",VLOOKUP($A1168,'BASE MATERIAL'!$M:$P,4))</f>
        <v>0</v>
      </c>
      <c r="H1168" s="95">
        <f>IF($A1168=0,"",ROUND(G1168*H1166,2))</f>
        <v>0</v>
      </c>
      <c r="I1168" s="2"/>
    </row>
    <row r="1169" spans="1:9" s="1" customFormat="1" ht="15.75" x14ac:dyDescent="0.25">
      <c r="A1169" s="103"/>
      <c r="B1169" s="2"/>
      <c r="C1169" s="2"/>
      <c r="D1169" s="93" t="s">
        <v>1670</v>
      </c>
      <c r="E1169" s="65"/>
      <c r="F1169" s="65"/>
      <c r="G1169" s="65"/>
      <c r="H1169" s="96">
        <f>ROUND(SUM(H1166:H1168),2)</f>
        <v>103.74</v>
      </c>
      <c r="I1169" s="2"/>
    </row>
    <row r="1170" spans="1:9" s="1" customFormat="1" ht="16.5" thickBot="1" x14ac:dyDescent="0.3">
      <c r="A1170" s="103"/>
      <c r="B1170" s="25"/>
      <c r="C1170" s="2"/>
      <c r="D1170" s="97" t="s">
        <v>1650</v>
      </c>
      <c r="E1170" s="88"/>
      <c r="F1170" s="88"/>
      <c r="G1170" s="88"/>
      <c r="H1170" s="98">
        <f>ROUND(H1169,2)</f>
        <v>103.74</v>
      </c>
      <c r="I1170" s="2"/>
    </row>
    <row r="1171" spans="1:9" x14ac:dyDescent="0.2">
      <c r="B1171" s="294"/>
      <c r="C1171" s="294"/>
      <c r="D1171" s="294"/>
      <c r="E1171" s="294"/>
      <c r="F1171" s="294"/>
      <c r="G1171" s="294"/>
      <c r="H1171" s="294"/>
    </row>
    <row r="1172" spans="1:9" x14ac:dyDescent="0.2">
      <c r="B1172" s="294"/>
      <c r="C1172" s="294"/>
      <c r="D1172" s="294"/>
      <c r="E1172" s="294"/>
      <c r="F1172" s="294"/>
      <c r="G1172" s="294"/>
      <c r="H1172" s="294"/>
    </row>
    <row r="1173" spans="1:9" x14ac:dyDescent="0.2">
      <c r="B1173" s="292" t="s">
        <v>1889</v>
      </c>
      <c r="C1173" s="292" t="s">
        <v>1890</v>
      </c>
      <c r="D1173" s="292"/>
      <c r="E1173" s="292"/>
      <c r="F1173" s="292"/>
      <c r="G1173" s="292"/>
      <c r="H1173" s="292" t="s">
        <v>1891</v>
      </c>
    </row>
    <row r="1174" spans="1:9" x14ac:dyDescent="0.2">
      <c r="B1174" s="292" t="s">
        <v>1700</v>
      </c>
      <c r="C1174" s="292" t="s">
        <v>1892</v>
      </c>
      <c r="D1174" s="292"/>
      <c r="E1174" s="292"/>
      <c r="F1174" s="292"/>
      <c r="G1174" s="382"/>
      <c r="H1174" s="315"/>
    </row>
    <row r="1175" spans="1:9" x14ac:dyDescent="0.2">
      <c r="B1175" s="292"/>
      <c r="C1175" s="292"/>
      <c r="D1175" s="292"/>
      <c r="E1175" s="292"/>
      <c r="F1175" s="292"/>
      <c r="G1175" s="292"/>
      <c r="H1175" s="292"/>
    </row>
    <row r="1176" spans="1:9" x14ac:dyDescent="0.2">
      <c r="B1176" s="738" t="s">
        <v>1697</v>
      </c>
      <c r="C1176" s="739"/>
      <c r="D1176" s="739"/>
      <c r="E1176" s="739"/>
      <c r="F1176" s="739"/>
      <c r="G1176" s="739"/>
      <c r="H1176" s="739"/>
    </row>
    <row r="1177" spans="1:9" x14ac:dyDescent="0.2">
      <c r="B1177" s="292" t="s">
        <v>1586</v>
      </c>
      <c r="C1177" s="293">
        <v>3.093</v>
      </c>
      <c r="D1177" s="292"/>
      <c r="E1177" s="292"/>
      <c r="F1177" s="292"/>
      <c r="G1177" s="292" t="s">
        <v>1696</v>
      </c>
      <c r="H1177" s="315" t="s">
        <v>744</v>
      </c>
    </row>
    <row r="1178" spans="1:9" x14ac:dyDescent="0.2">
      <c r="B1178" s="292" t="s">
        <v>1585</v>
      </c>
      <c r="C1178" s="294" t="s">
        <v>1951</v>
      </c>
      <c r="D1178" s="292"/>
      <c r="E1178" s="292"/>
      <c r="F1178" s="292"/>
      <c r="G1178" s="292"/>
      <c r="H1178" s="292"/>
    </row>
    <row r="1179" spans="1:9" ht="13.5" thickBot="1" x14ac:dyDescent="0.25">
      <c r="B1179" s="292"/>
      <c r="C1179" s="292"/>
      <c r="D1179" s="292"/>
      <c r="E1179" s="292"/>
      <c r="F1179" s="292"/>
      <c r="G1179" s="292"/>
      <c r="H1179" s="292"/>
    </row>
    <row r="1180" spans="1:9" ht="13.5" thickBot="1" x14ac:dyDescent="0.25">
      <c r="B1180" s="295" t="s">
        <v>1695</v>
      </c>
      <c r="C1180" s="296"/>
      <c r="D1180" s="296"/>
      <c r="E1180" s="296"/>
      <c r="F1180" s="296"/>
      <c r="G1180" s="296"/>
      <c r="H1180" s="384"/>
    </row>
    <row r="1181" spans="1:9" ht="25.5" x14ac:dyDescent="0.2">
      <c r="B1181" s="740" t="s">
        <v>1409</v>
      </c>
      <c r="C1181" s="741"/>
      <c r="D1181" s="297" t="s">
        <v>1690</v>
      </c>
      <c r="E1181" s="297" t="s">
        <v>1694</v>
      </c>
      <c r="F1181" s="297" t="s">
        <v>1693</v>
      </c>
      <c r="G1181" s="49" t="s">
        <v>1687</v>
      </c>
      <c r="H1181" s="385" t="s">
        <v>1686</v>
      </c>
    </row>
    <row r="1182" spans="1:9" x14ac:dyDescent="0.2">
      <c r="B1182" s="298" t="s">
        <v>1468</v>
      </c>
      <c r="C1182" s="299"/>
      <c r="D1182" s="300">
        <v>1</v>
      </c>
      <c r="E1182" s="300">
        <v>0.79166666666666663</v>
      </c>
      <c r="F1182" s="300">
        <v>0.79166666666666663</v>
      </c>
      <c r="G1182" s="301">
        <v>0.15789473684210528</v>
      </c>
      <c r="H1182" s="301">
        <v>0.125</v>
      </c>
    </row>
    <row r="1183" spans="1:9" x14ac:dyDescent="0.2">
      <c r="B1183" s="302"/>
      <c r="C1183" s="292"/>
      <c r="D1183" s="303"/>
      <c r="E1183" s="303"/>
      <c r="F1183" s="303"/>
      <c r="G1183" s="304"/>
      <c r="H1183" s="386"/>
    </row>
    <row r="1184" spans="1:9" x14ac:dyDescent="0.2">
      <c r="B1184" s="302"/>
      <c r="C1184" s="292"/>
      <c r="D1184" s="303"/>
      <c r="E1184" s="303"/>
      <c r="F1184" s="303"/>
      <c r="G1184" s="304"/>
      <c r="H1184" s="386"/>
    </row>
    <row r="1185" spans="2:8" x14ac:dyDescent="0.2">
      <c r="B1185" s="302"/>
      <c r="C1185" s="292"/>
      <c r="D1185" s="303"/>
      <c r="E1185" s="303"/>
      <c r="F1185" s="303"/>
      <c r="G1185" s="304"/>
      <c r="H1185" s="386"/>
    </row>
    <row r="1186" spans="2:8" x14ac:dyDescent="0.2">
      <c r="B1186" s="302"/>
      <c r="C1186" s="292"/>
      <c r="D1186" s="303"/>
      <c r="E1186" s="303"/>
      <c r="F1186" s="303"/>
      <c r="G1186" s="304"/>
      <c r="H1186" s="386"/>
    </row>
    <row r="1187" spans="2:8" x14ac:dyDescent="0.2">
      <c r="B1187" s="305"/>
      <c r="C1187" s="306"/>
      <c r="D1187" s="307"/>
      <c r="E1187" s="307"/>
      <c r="F1187" s="307"/>
      <c r="G1187" s="308"/>
      <c r="H1187" s="387"/>
    </row>
    <row r="1188" spans="2:8" ht="13.5" thickBot="1" x14ac:dyDescent="0.25">
      <c r="B1188" s="742" t="s">
        <v>1692</v>
      </c>
      <c r="C1188" s="743"/>
      <c r="D1188" s="743"/>
      <c r="E1188" s="743"/>
      <c r="F1188" s="743"/>
      <c r="G1188" s="744"/>
      <c r="H1188" s="387">
        <v>0.125</v>
      </c>
    </row>
    <row r="1189" spans="2:8" ht="13.5" thickBot="1" x14ac:dyDescent="0.25">
      <c r="B1189" s="295" t="s">
        <v>1503</v>
      </c>
      <c r="C1189" s="296"/>
      <c r="D1189" s="296"/>
      <c r="E1189" s="296"/>
      <c r="F1189" s="296"/>
      <c r="G1189" s="296"/>
      <c r="H1189" s="384"/>
    </row>
    <row r="1190" spans="2:8" ht="25.5" x14ac:dyDescent="0.2">
      <c r="B1190" s="740" t="s">
        <v>1409</v>
      </c>
      <c r="C1190" s="741"/>
      <c r="D1190" s="309" t="s">
        <v>1690</v>
      </c>
      <c r="E1190" s="309" t="s">
        <v>1689</v>
      </c>
      <c r="F1190" s="309" t="s">
        <v>1688</v>
      </c>
      <c r="G1190" s="67" t="s">
        <v>1687</v>
      </c>
      <c r="H1190" s="388" t="s">
        <v>1686</v>
      </c>
    </row>
    <row r="1191" spans="2:8" x14ac:dyDescent="0.2">
      <c r="B1191" s="310" t="s">
        <v>243</v>
      </c>
      <c r="C1191" s="292"/>
      <c r="D1191" s="311">
        <v>1</v>
      </c>
      <c r="E1191" s="312">
        <v>3.0187499999999998</v>
      </c>
      <c r="F1191" s="300">
        <v>3.0187499999999998</v>
      </c>
      <c r="G1191" s="300">
        <v>2.8872527789808</v>
      </c>
      <c r="H1191" s="301">
        <v>8.7158943265482893</v>
      </c>
    </row>
    <row r="1192" spans="2:8" x14ac:dyDescent="0.2">
      <c r="B1192" s="310" t="s">
        <v>1488</v>
      </c>
      <c r="C1192" s="292"/>
      <c r="D1192" s="311">
        <v>1</v>
      </c>
      <c r="E1192" s="312">
        <v>2.82</v>
      </c>
      <c r="F1192" s="303">
        <v>2.82</v>
      </c>
      <c r="G1192" s="303">
        <v>2.8872527789808</v>
      </c>
      <c r="H1192" s="386">
        <v>8.1420528367258562</v>
      </c>
    </row>
    <row r="1193" spans="2:8" x14ac:dyDescent="0.2">
      <c r="B1193" s="310" t="s">
        <v>1787</v>
      </c>
      <c r="C1193" s="292"/>
      <c r="D1193" s="311">
        <v>1</v>
      </c>
      <c r="E1193" s="312">
        <v>2.82</v>
      </c>
      <c r="F1193" s="303">
        <v>2.82</v>
      </c>
      <c r="G1193" s="303">
        <v>2.8872527789808</v>
      </c>
      <c r="H1193" s="386">
        <v>8.1420528367258562</v>
      </c>
    </row>
    <row r="1194" spans="2:8" x14ac:dyDescent="0.2">
      <c r="B1194" s="313"/>
      <c r="C1194" s="292"/>
      <c r="D1194" s="311"/>
      <c r="E1194" s="312"/>
      <c r="F1194" s="303"/>
      <c r="G1194" s="304"/>
      <c r="H1194" s="386"/>
    </row>
    <row r="1195" spans="2:8" x14ac:dyDescent="0.2">
      <c r="B1195" s="314"/>
      <c r="C1195" s="292"/>
      <c r="D1195" s="311"/>
      <c r="E1195" s="312"/>
      <c r="F1195" s="303"/>
      <c r="G1195" s="304"/>
      <c r="H1195" s="386"/>
    </row>
    <row r="1196" spans="2:8" x14ac:dyDescent="0.2">
      <c r="B1196" s="302"/>
      <c r="C1196" s="292"/>
      <c r="D1196" s="303"/>
      <c r="E1196" s="303"/>
      <c r="F1196" s="303"/>
      <c r="G1196" s="304"/>
      <c r="H1196" s="386"/>
    </row>
    <row r="1197" spans="2:8" x14ac:dyDescent="0.2">
      <c r="B1197" s="305"/>
      <c r="C1197" s="306"/>
      <c r="D1197" s="307"/>
      <c r="E1197" s="307"/>
      <c r="F1197" s="307"/>
      <c r="G1197" s="308"/>
      <c r="H1197" s="387"/>
    </row>
    <row r="1198" spans="2:8" ht="13.5" thickBot="1" x14ac:dyDescent="0.25">
      <c r="B1198" s="742" t="s">
        <v>1685</v>
      </c>
      <c r="C1198" s="743"/>
      <c r="D1198" s="743"/>
      <c r="E1198" s="743"/>
      <c r="F1198" s="743"/>
      <c r="G1198" s="744"/>
      <c r="H1198" s="389">
        <v>25.000000000000004</v>
      </c>
    </row>
    <row r="1199" spans="2:8" ht="13.5" thickBot="1" x14ac:dyDescent="0.25">
      <c r="B1199" s="295" t="s">
        <v>1684</v>
      </c>
      <c r="C1199" s="296"/>
      <c r="D1199" s="296"/>
      <c r="E1199" s="296"/>
      <c r="F1199" s="296"/>
      <c r="G1199" s="296"/>
      <c r="H1199" s="384"/>
    </row>
    <row r="1200" spans="2:8" ht="25.5" x14ac:dyDescent="0.2">
      <c r="B1200" s="748" t="s">
        <v>1409</v>
      </c>
      <c r="C1200" s="749"/>
      <c r="D1200" s="750"/>
      <c r="E1200" s="393" t="s">
        <v>1408</v>
      </c>
      <c r="F1200" s="394" t="s">
        <v>1679</v>
      </c>
      <c r="G1200" s="394" t="s">
        <v>1683</v>
      </c>
      <c r="H1200" s="395" t="s">
        <v>1675</v>
      </c>
    </row>
    <row r="1201" spans="2:8" x14ac:dyDescent="0.2">
      <c r="B1201" s="294" t="s">
        <v>1895</v>
      </c>
      <c r="C1201" s="292"/>
      <c r="D1201" s="315"/>
      <c r="E1201" s="316" t="s">
        <v>744</v>
      </c>
      <c r="F1201" s="303">
        <v>5</v>
      </c>
      <c r="G1201" s="303">
        <v>2.8440000000000003</v>
      </c>
      <c r="H1201" s="386">
        <v>14.220000000000002</v>
      </c>
    </row>
    <row r="1202" spans="2:8" x14ac:dyDescent="0.2">
      <c r="B1202" s="294" t="s">
        <v>1909</v>
      </c>
      <c r="C1202" s="292"/>
      <c r="D1202" s="315"/>
      <c r="E1202" s="316" t="s">
        <v>1788</v>
      </c>
      <c r="F1202" s="303">
        <v>30</v>
      </c>
      <c r="G1202" s="303">
        <v>0.441</v>
      </c>
      <c r="H1202" s="386">
        <v>13.23</v>
      </c>
    </row>
    <row r="1203" spans="2:8" x14ac:dyDescent="0.2">
      <c r="B1203" s="294" t="s">
        <v>1910</v>
      </c>
      <c r="C1203" s="292"/>
      <c r="D1203" s="315"/>
      <c r="E1203" s="316" t="s">
        <v>1788</v>
      </c>
      <c r="F1203" s="303">
        <v>15</v>
      </c>
      <c r="G1203" s="303">
        <v>0.27</v>
      </c>
      <c r="H1203" s="386">
        <v>4.0500000000000007</v>
      </c>
    </row>
    <row r="1204" spans="2:8" x14ac:dyDescent="0.2">
      <c r="B1204" s="294" t="s">
        <v>1897</v>
      </c>
      <c r="C1204" s="292"/>
      <c r="D1204" s="315"/>
      <c r="E1204" s="316" t="s">
        <v>744</v>
      </c>
      <c r="F1204" s="303">
        <v>1</v>
      </c>
      <c r="G1204" s="303">
        <v>0.68400000000000005</v>
      </c>
      <c r="H1204" s="386">
        <v>0.68400000000000005</v>
      </c>
    </row>
    <row r="1205" spans="2:8" x14ac:dyDescent="0.2">
      <c r="B1205" s="294" t="s">
        <v>1945</v>
      </c>
      <c r="C1205" s="292"/>
      <c r="D1205" s="315"/>
      <c r="E1205" s="316" t="s">
        <v>1788</v>
      </c>
      <c r="F1205" s="303">
        <v>1.5</v>
      </c>
      <c r="G1205" s="303">
        <v>1.647</v>
      </c>
      <c r="H1205" s="386">
        <v>2.4704999999999999</v>
      </c>
    </row>
    <row r="1206" spans="2:8" x14ac:dyDescent="0.2">
      <c r="B1206" s="294" t="s">
        <v>1900</v>
      </c>
      <c r="C1206" s="292"/>
      <c r="D1206" s="315"/>
      <c r="E1206" s="316" t="s">
        <v>744</v>
      </c>
      <c r="F1206" s="303">
        <v>4</v>
      </c>
      <c r="G1206" s="303">
        <v>0.18000000000000002</v>
      </c>
      <c r="H1206" s="386">
        <v>0.72000000000000008</v>
      </c>
    </row>
    <row r="1207" spans="2:8" x14ac:dyDescent="0.2">
      <c r="B1207" s="294" t="s">
        <v>1901</v>
      </c>
      <c r="C1207" s="292"/>
      <c r="D1207" s="315"/>
      <c r="E1207" s="316" t="s">
        <v>744</v>
      </c>
      <c r="F1207" s="303">
        <v>9</v>
      </c>
      <c r="G1207" s="303">
        <v>0.216</v>
      </c>
      <c r="H1207" s="386">
        <v>1.944</v>
      </c>
    </row>
    <row r="1208" spans="2:8" x14ac:dyDescent="0.2">
      <c r="B1208" s="294" t="s">
        <v>1902</v>
      </c>
      <c r="C1208" s="292"/>
      <c r="D1208" s="315"/>
      <c r="E1208" s="316" t="s">
        <v>744</v>
      </c>
      <c r="F1208" s="303">
        <v>12</v>
      </c>
      <c r="G1208" s="303">
        <v>4.5000000000000005E-2</v>
      </c>
      <c r="H1208" s="386">
        <v>0.54</v>
      </c>
    </row>
    <row r="1209" spans="2:8" x14ac:dyDescent="0.2">
      <c r="B1209" s="294" t="s">
        <v>1903</v>
      </c>
      <c r="C1209" s="292"/>
      <c r="D1209" s="315"/>
      <c r="E1209" s="316" t="s">
        <v>744</v>
      </c>
      <c r="F1209" s="303">
        <v>14</v>
      </c>
      <c r="G1209" s="303">
        <v>6.3E-3</v>
      </c>
      <c r="H1209" s="386">
        <v>8.8200000000000001E-2</v>
      </c>
    </row>
    <row r="1210" spans="2:8" x14ac:dyDescent="0.2">
      <c r="B1210" s="294" t="s">
        <v>1266</v>
      </c>
      <c r="C1210" s="292"/>
      <c r="D1210" s="315"/>
      <c r="E1210" s="316" t="s">
        <v>1196</v>
      </c>
      <c r="F1210" s="303">
        <v>0.5</v>
      </c>
      <c r="G1210" s="303">
        <v>1.35</v>
      </c>
      <c r="H1210" s="386">
        <v>0.67500000000000004</v>
      </c>
    </row>
    <row r="1211" spans="2:8" x14ac:dyDescent="0.2">
      <c r="B1211" s="294" t="s">
        <v>1904</v>
      </c>
      <c r="C1211" s="292"/>
      <c r="D1211" s="315"/>
      <c r="E1211" s="316" t="s">
        <v>744</v>
      </c>
      <c r="F1211" s="303">
        <v>4</v>
      </c>
      <c r="G1211" s="303">
        <v>2.52E-2</v>
      </c>
      <c r="H1211" s="386">
        <v>0.1008</v>
      </c>
    </row>
    <row r="1212" spans="2:8" x14ac:dyDescent="0.2">
      <c r="B1212" s="294" t="s">
        <v>1905</v>
      </c>
      <c r="C1212" s="292"/>
      <c r="D1212" s="315"/>
      <c r="E1212" s="316" t="s">
        <v>744</v>
      </c>
      <c r="F1212" s="303">
        <v>0.1</v>
      </c>
      <c r="G1212" s="303">
        <v>0.63900000000000001</v>
      </c>
      <c r="H1212" s="386">
        <v>6.3899999999999998E-2</v>
      </c>
    </row>
    <row r="1213" spans="2:8" x14ac:dyDescent="0.2">
      <c r="B1213" s="294" t="s">
        <v>1907</v>
      </c>
      <c r="C1213" s="292"/>
      <c r="D1213" s="315"/>
      <c r="E1213" s="316" t="s">
        <v>744</v>
      </c>
      <c r="F1213" s="303">
        <v>1</v>
      </c>
      <c r="G1213" s="303">
        <v>0.19800000000000001</v>
      </c>
      <c r="H1213" s="386">
        <v>0.19800000000000001</v>
      </c>
    </row>
    <row r="1214" spans="2:8" x14ac:dyDescent="0.2">
      <c r="B1214" s="294"/>
      <c r="C1214" s="292"/>
      <c r="D1214" s="315"/>
      <c r="E1214" s="316"/>
      <c r="F1214" s="303"/>
      <c r="G1214" s="303"/>
      <c r="H1214" s="386"/>
    </row>
    <row r="1215" spans="2:8" x14ac:dyDescent="0.2">
      <c r="B1215" s="294"/>
      <c r="C1215" s="292"/>
      <c r="D1215" s="315"/>
      <c r="E1215" s="316"/>
      <c r="F1215" s="303"/>
      <c r="G1215" s="303"/>
      <c r="H1215" s="386"/>
    </row>
    <row r="1216" spans="2:8" x14ac:dyDescent="0.2">
      <c r="B1216" s="294"/>
      <c r="C1216" s="292"/>
      <c r="D1216" s="315"/>
      <c r="E1216" s="316"/>
      <c r="F1216" s="303"/>
      <c r="G1216" s="303"/>
      <c r="H1216" s="386"/>
    </row>
    <row r="1217" spans="1:9" x14ac:dyDescent="0.2">
      <c r="B1217" s="294"/>
      <c r="C1217" s="292"/>
      <c r="D1217" s="315"/>
      <c r="E1217" s="316"/>
      <c r="F1217" s="303"/>
      <c r="G1217" s="303"/>
      <c r="H1217" s="386"/>
    </row>
    <row r="1218" spans="1:9" x14ac:dyDescent="0.2">
      <c r="B1218" s="294"/>
      <c r="C1218" s="292"/>
      <c r="D1218" s="315"/>
      <c r="E1218" s="316"/>
      <c r="F1218" s="303"/>
      <c r="G1218" s="303"/>
      <c r="H1218" s="386"/>
    </row>
    <row r="1219" spans="1:9" x14ac:dyDescent="0.2">
      <c r="B1219" s="294"/>
      <c r="C1219" s="292"/>
      <c r="D1219" s="315"/>
      <c r="E1219" s="316"/>
      <c r="F1219" s="303"/>
      <c r="G1219" s="303"/>
      <c r="H1219" s="386"/>
    </row>
    <row r="1220" spans="1:9" x14ac:dyDescent="0.2">
      <c r="B1220" s="294"/>
      <c r="C1220" s="292"/>
      <c r="D1220" s="315"/>
      <c r="E1220" s="303"/>
      <c r="F1220" s="303"/>
      <c r="G1220" s="303"/>
      <c r="H1220" s="386"/>
    </row>
    <row r="1221" spans="1:9" x14ac:dyDescent="0.2">
      <c r="B1221" s="294"/>
      <c r="C1221" s="292"/>
      <c r="D1221" s="315"/>
      <c r="E1221" s="303"/>
      <c r="F1221" s="303"/>
      <c r="G1221" s="303"/>
      <c r="H1221" s="386"/>
    </row>
    <row r="1222" spans="1:9" ht="13.5" thickBot="1" x14ac:dyDescent="0.25">
      <c r="B1222" s="742" t="s">
        <v>1681</v>
      </c>
      <c r="C1222" s="743"/>
      <c r="D1222" s="743"/>
      <c r="E1222" s="743"/>
      <c r="F1222" s="743"/>
      <c r="G1222" s="744"/>
      <c r="H1222" s="389">
        <v>38.984400000000001</v>
      </c>
    </row>
    <row r="1223" spans="1:9" ht="13.5" thickBot="1" x14ac:dyDescent="0.25">
      <c r="B1223" s="295" t="s">
        <v>1680</v>
      </c>
      <c r="C1223" s="296"/>
      <c r="D1223" s="296"/>
      <c r="E1223" s="296"/>
      <c r="F1223" s="296"/>
      <c r="G1223" s="296"/>
      <c r="H1223" s="384"/>
    </row>
    <row r="1224" spans="1:9" ht="25.5" x14ac:dyDescent="0.2">
      <c r="B1224" s="390" t="s">
        <v>1409</v>
      </c>
      <c r="C1224" s="391"/>
      <c r="D1224" s="392"/>
      <c r="E1224" s="309" t="s">
        <v>1408</v>
      </c>
      <c r="F1224" s="309" t="s">
        <v>1679</v>
      </c>
      <c r="G1224" s="309" t="s">
        <v>1676</v>
      </c>
      <c r="H1224" s="388" t="s">
        <v>1675</v>
      </c>
    </row>
    <row r="1225" spans="1:9" x14ac:dyDescent="0.2">
      <c r="B1225" s="298" t="s">
        <v>975</v>
      </c>
      <c r="C1225" s="299"/>
      <c r="D1225" s="396"/>
      <c r="E1225" s="316" t="s">
        <v>744</v>
      </c>
      <c r="F1225" s="303">
        <v>9.282E-2</v>
      </c>
      <c r="G1225" s="382">
        <v>12.6</v>
      </c>
      <c r="H1225" s="386">
        <v>1.169532</v>
      </c>
    </row>
    <row r="1226" spans="1:9" x14ac:dyDescent="0.2">
      <c r="B1226" s="302"/>
      <c r="C1226" s="292"/>
      <c r="D1226" s="317"/>
      <c r="E1226" s="316"/>
      <c r="F1226" s="303"/>
      <c r="G1226" s="303"/>
      <c r="H1226" s="386"/>
    </row>
    <row r="1227" spans="1:9" x14ac:dyDescent="0.2">
      <c r="B1227" s="305"/>
      <c r="C1227" s="306"/>
      <c r="D1227" s="318"/>
      <c r="E1227" s="319"/>
      <c r="F1227" s="307"/>
      <c r="G1227" s="307"/>
      <c r="H1227" s="387"/>
    </row>
    <row r="1228" spans="1:9" ht="13.5" thickBot="1" x14ac:dyDescent="0.25">
      <c r="B1228" s="742" t="s">
        <v>1674</v>
      </c>
      <c r="C1228" s="743"/>
      <c r="D1228" s="743"/>
      <c r="E1228" s="743"/>
      <c r="F1228" s="743"/>
      <c r="G1228" s="744"/>
      <c r="H1228" s="397">
        <v>1.169532</v>
      </c>
    </row>
    <row r="1229" spans="1:9" x14ac:dyDescent="0.2">
      <c r="B1229" s="292"/>
      <c r="C1229" s="292"/>
      <c r="D1229" s="320" t="s">
        <v>1673</v>
      </c>
      <c r="E1229" s="321"/>
      <c r="F1229" s="321"/>
      <c r="G1229" s="321"/>
      <c r="H1229" s="331">
        <f>H1188+H1198+H1222+H1228</f>
        <v>65.278932000000012</v>
      </c>
    </row>
    <row r="1230" spans="1:9" s="1" customFormat="1" ht="15.75" x14ac:dyDescent="0.25">
      <c r="A1230" s="103">
        <v>40002</v>
      </c>
      <c r="B1230" s="2"/>
      <c r="C1230" s="2"/>
      <c r="D1230" s="93" t="s">
        <v>1672</v>
      </c>
      <c r="E1230" s="65"/>
      <c r="F1230" s="65"/>
      <c r="G1230" s="94">
        <f>IF($A1230=0,"",VLOOKUP($A1230,'BASE MATERIAL'!$M:$P,4))</f>
        <v>0</v>
      </c>
      <c r="H1230" s="95">
        <f>IF($A1230=0,"",ROUND(G1230*H1229,2))</f>
        <v>0</v>
      </c>
      <c r="I1230" s="2"/>
    </row>
    <row r="1231" spans="1:9" s="1" customFormat="1" ht="15.75" x14ac:dyDescent="0.25">
      <c r="A1231" s="103">
        <v>40003</v>
      </c>
      <c r="B1231" s="2"/>
      <c r="C1231" s="2"/>
      <c r="D1231" s="93" t="s">
        <v>1671</v>
      </c>
      <c r="E1231" s="65"/>
      <c r="F1231" s="65"/>
      <c r="G1231" s="94">
        <f>IF($A1231=0,"",VLOOKUP($A1231,'BASE MATERIAL'!$M:$P,4))</f>
        <v>0</v>
      </c>
      <c r="H1231" s="95">
        <f>IF($A1231=0,"",ROUND(G1231*H1229,2))</f>
        <v>0</v>
      </c>
      <c r="I1231" s="2"/>
    </row>
    <row r="1232" spans="1:9" s="1" customFormat="1" ht="15.75" x14ac:dyDescent="0.25">
      <c r="A1232" s="103"/>
      <c r="B1232" s="2"/>
      <c r="C1232" s="2"/>
      <c r="D1232" s="93" t="s">
        <v>1670</v>
      </c>
      <c r="E1232" s="65"/>
      <c r="F1232" s="65"/>
      <c r="G1232" s="65"/>
      <c r="H1232" s="96">
        <f>ROUND(SUM(H1229:H1231),2)</f>
        <v>65.28</v>
      </c>
      <c r="I1232" s="2"/>
    </row>
    <row r="1233" spans="1:9" s="1" customFormat="1" ht="16.5" thickBot="1" x14ac:dyDescent="0.3">
      <c r="A1233" s="103"/>
      <c r="B1233" s="25"/>
      <c r="C1233" s="2"/>
      <c r="D1233" s="97" t="s">
        <v>1650</v>
      </c>
      <c r="E1233" s="88"/>
      <c r="F1233" s="88"/>
      <c r="G1233" s="88"/>
      <c r="H1233" s="98">
        <f>ROUND(H1232,2)</f>
        <v>65.28</v>
      </c>
      <c r="I1233" s="2"/>
    </row>
    <row r="1234" spans="1:9" x14ac:dyDescent="0.2">
      <c r="B1234" s="294"/>
      <c r="C1234" s="294"/>
      <c r="D1234" s="294"/>
      <c r="E1234" s="294"/>
      <c r="F1234" s="294"/>
      <c r="G1234" s="294"/>
      <c r="H1234" s="294"/>
    </row>
    <row r="1235" spans="1:9" x14ac:dyDescent="0.2">
      <c r="B1235" s="294"/>
      <c r="C1235" s="294"/>
      <c r="D1235" s="294"/>
      <c r="E1235" s="294"/>
      <c r="F1235" s="294"/>
      <c r="G1235" s="294"/>
      <c r="H1235" s="294"/>
    </row>
    <row r="1236" spans="1:9" x14ac:dyDescent="0.2">
      <c r="B1236" s="292" t="s">
        <v>1889</v>
      </c>
      <c r="C1236" s="292" t="s">
        <v>1890</v>
      </c>
      <c r="D1236" s="292"/>
      <c r="E1236" s="292"/>
      <c r="F1236" s="292"/>
      <c r="G1236" s="292"/>
      <c r="H1236" s="292" t="s">
        <v>1891</v>
      </c>
    </row>
    <row r="1237" spans="1:9" x14ac:dyDescent="0.2">
      <c r="B1237" s="292" t="s">
        <v>1700</v>
      </c>
      <c r="C1237" s="292" t="s">
        <v>1892</v>
      </c>
      <c r="D1237" s="292"/>
      <c r="E1237" s="292"/>
      <c r="F1237" s="292"/>
      <c r="G1237" s="382"/>
      <c r="H1237" s="315"/>
    </row>
    <row r="1238" spans="1:9" x14ac:dyDescent="0.2">
      <c r="B1238" s="292"/>
      <c r="C1238" s="292"/>
      <c r="D1238" s="292"/>
      <c r="E1238" s="292"/>
      <c r="F1238" s="292"/>
      <c r="G1238" s="292"/>
      <c r="H1238" s="292"/>
    </row>
    <row r="1239" spans="1:9" x14ac:dyDescent="0.2">
      <c r="B1239" s="738" t="s">
        <v>1697</v>
      </c>
      <c r="C1239" s="739"/>
      <c r="D1239" s="739"/>
      <c r="E1239" s="739"/>
      <c r="F1239" s="739"/>
      <c r="G1239" s="739"/>
      <c r="H1239" s="739"/>
    </row>
    <row r="1240" spans="1:9" x14ac:dyDescent="0.2">
      <c r="B1240" s="292" t="s">
        <v>1586</v>
      </c>
      <c r="C1240">
        <v>3.0939999999999999</v>
      </c>
      <c r="D1240" s="292"/>
      <c r="E1240" s="292"/>
      <c r="F1240" s="292"/>
      <c r="G1240" s="292" t="s">
        <v>1696</v>
      </c>
      <c r="H1240" s="315" t="s">
        <v>744</v>
      </c>
    </row>
    <row r="1241" spans="1:9" x14ac:dyDescent="0.2">
      <c r="B1241" s="292" t="s">
        <v>1585</v>
      </c>
      <c r="C1241" s="294" t="s">
        <v>1952</v>
      </c>
      <c r="D1241" s="292"/>
      <c r="E1241" s="292"/>
      <c r="F1241" s="292"/>
      <c r="G1241" s="292"/>
      <c r="H1241" s="292"/>
    </row>
    <row r="1242" spans="1:9" ht="13.5" thickBot="1" x14ac:dyDescent="0.25">
      <c r="B1242" s="292"/>
      <c r="C1242" s="292"/>
      <c r="D1242" s="292"/>
      <c r="E1242" s="292"/>
      <c r="F1242" s="292"/>
      <c r="G1242" s="292"/>
      <c r="H1242" s="292"/>
    </row>
    <row r="1243" spans="1:9" ht="13.5" thickBot="1" x14ac:dyDescent="0.25">
      <c r="B1243" s="295" t="s">
        <v>1695</v>
      </c>
      <c r="C1243" s="296"/>
      <c r="D1243" s="296"/>
      <c r="E1243" s="296"/>
      <c r="F1243" s="296"/>
      <c r="G1243" s="296"/>
      <c r="H1243" s="384"/>
    </row>
    <row r="1244" spans="1:9" ht="25.5" x14ac:dyDescent="0.2">
      <c r="B1244" s="740" t="s">
        <v>1409</v>
      </c>
      <c r="C1244" s="741"/>
      <c r="D1244" s="297" t="s">
        <v>1690</v>
      </c>
      <c r="E1244" s="297" t="s">
        <v>1694</v>
      </c>
      <c r="F1244" s="297" t="s">
        <v>1693</v>
      </c>
      <c r="G1244" s="49" t="s">
        <v>1687</v>
      </c>
      <c r="H1244" s="385" t="s">
        <v>1686</v>
      </c>
    </row>
    <row r="1245" spans="1:9" x14ac:dyDescent="0.2">
      <c r="B1245" s="298" t="s">
        <v>1468</v>
      </c>
      <c r="C1245" s="299"/>
      <c r="D1245" s="300">
        <v>1</v>
      </c>
      <c r="E1245" s="300">
        <v>0.79166666666666663</v>
      </c>
      <c r="F1245" s="300">
        <v>0.79166666666666663</v>
      </c>
      <c r="G1245" s="301">
        <v>0.12631578947368421</v>
      </c>
      <c r="H1245" s="301">
        <v>9.9999999999999992E-2</v>
      </c>
    </row>
    <row r="1246" spans="1:9" x14ac:dyDescent="0.2">
      <c r="B1246" s="302"/>
      <c r="C1246" s="292"/>
      <c r="D1246" s="303"/>
      <c r="E1246" s="303"/>
      <c r="F1246" s="303"/>
      <c r="G1246" s="304"/>
      <c r="H1246" s="386"/>
    </row>
    <row r="1247" spans="1:9" x14ac:dyDescent="0.2">
      <c r="B1247" s="302"/>
      <c r="C1247" s="292"/>
      <c r="D1247" s="303"/>
      <c r="E1247" s="303"/>
      <c r="F1247" s="303"/>
      <c r="G1247" s="304"/>
      <c r="H1247" s="386"/>
    </row>
    <row r="1248" spans="1:9" x14ac:dyDescent="0.2">
      <c r="B1248" s="302"/>
      <c r="C1248" s="292"/>
      <c r="D1248" s="303"/>
      <c r="E1248" s="303"/>
      <c r="F1248" s="303"/>
      <c r="G1248" s="304"/>
      <c r="H1248" s="386"/>
    </row>
    <row r="1249" spans="2:8" x14ac:dyDescent="0.2">
      <c r="B1249" s="302"/>
      <c r="C1249" s="292"/>
      <c r="D1249" s="303"/>
      <c r="E1249" s="303"/>
      <c r="F1249" s="303"/>
      <c r="G1249" s="304"/>
      <c r="H1249" s="386"/>
    </row>
    <row r="1250" spans="2:8" x14ac:dyDescent="0.2">
      <c r="B1250" s="305"/>
      <c r="C1250" s="306"/>
      <c r="D1250" s="307"/>
      <c r="E1250" s="307"/>
      <c r="F1250" s="307"/>
      <c r="G1250" s="308"/>
      <c r="H1250" s="387"/>
    </row>
    <row r="1251" spans="2:8" ht="13.5" thickBot="1" x14ac:dyDescent="0.25">
      <c r="B1251" s="742" t="s">
        <v>1692</v>
      </c>
      <c r="C1251" s="743"/>
      <c r="D1251" s="743"/>
      <c r="E1251" s="743"/>
      <c r="F1251" s="743"/>
      <c r="G1251" s="744"/>
      <c r="H1251" s="387">
        <v>9.9999999999999992E-2</v>
      </c>
    </row>
    <row r="1252" spans="2:8" ht="13.5" thickBot="1" x14ac:dyDescent="0.25">
      <c r="B1252" s="295" t="s">
        <v>1503</v>
      </c>
      <c r="C1252" s="296"/>
      <c r="D1252" s="296"/>
      <c r="E1252" s="296"/>
      <c r="F1252" s="296"/>
      <c r="G1252" s="296"/>
      <c r="H1252" s="384"/>
    </row>
    <row r="1253" spans="2:8" ht="25.5" x14ac:dyDescent="0.2">
      <c r="B1253" s="740" t="s">
        <v>1409</v>
      </c>
      <c r="C1253" s="741"/>
      <c r="D1253" s="309" t="s">
        <v>1690</v>
      </c>
      <c r="E1253" s="309" t="s">
        <v>1689</v>
      </c>
      <c r="F1253" s="309" t="s">
        <v>1688</v>
      </c>
      <c r="G1253" s="67" t="s">
        <v>1687</v>
      </c>
      <c r="H1253" s="388" t="s">
        <v>1686</v>
      </c>
    </row>
    <row r="1254" spans="2:8" x14ac:dyDescent="0.2">
      <c r="B1254" s="310" t="s">
        <v>243</v>
      </c>
      <c r="C1254" s="292"/>
      <c r="D1254" s="311">
        <v>1</v>
      </c>
      <c r="E1254" s="312">
        <v>3.0187499999999998</v>
      </c>
      <c r="F1254" s="300">
        <v>3.0187499999999998</v>
      </c>
      <c r="G1254" s="300">
        <v>2.30980222318464</v>
      </c>
      <c r="H1254" s="301">
        <v>6.9727154612386313</v>
      </c>
    </row>
    <row r="1255" spans="2:8" x14ac:dyDescent="0.2">
      <c r="B1255" s="310" t="s">
        <v>1488</v>
      </c>
      <c r="C1255" s="292"/>
      <c r="D1255" s="311">
        <v>1</v>
      </c>
      <c r="E1255" s="312">
        <v>2.82</v>
      </c>
      <c r="F1255" s="303">
        <v>2.82</v>
      </c>
      <c r="G1255" s="303">
        <v>2.30980222318464</v>
      </c>
      <c r="H1255" s="386">
        <v>6.5136422693806848</v>
      </c>
    </row>
    <row r="1256" spans="2:8" x14ac:dyDescent="0.2">
      <c r="B1256" s="310" t="s">
        <v>1787</v>
      </c>
      <c r="C1256" s="292"/>
      <c r="D1256" s="311">
        <v>1</v>
      </c>
      <c r="E1256" s="312">
        <v>2.82</v>
      </c>
      <c r="F1256" s="303">
        <v>2.82</v>
      </c>
      <c r="G1256" s="303">
        <v>2.30980222318464</v>
      </c>
      <c r="H1256" s="386">
        <v>6.5136422693806848</v>
      </c>
    </row>
    <row r="1257" spans="2:8" x14ac:dyDescent="0.2">
      <c r="B1257" s="313"/>
      <c r="C1257" s="292"/>
      <c r="D1257" s="311"/>
      <c r="E1257" s="312"/>
      <c r="F1257" s="303"/>
      <c r="G1257" s="304"/>
      <c r="H1257" s="386"/>
    </row>
    <row r="1258" spans="2:8" x14ac:dyDescent="0.2">
      <c r="B1258" s="314"/>
      <c r="C1258" s="292"/>
      <c r="D1258" s="311"/>
      <c r="E1258" s="312"/>
      <c r="F1258" s="303"/>
      <c r="G1258" s="304"/>
      <c r="H1258" s="386"/>
    </row>
    <row r="1259" spans="2:8" x14ac:dyDescent="0.2">
      <c r="B1259" s="302"/>
      <c r="C1259" s="292"/>
      <c r="D1259" s="303"/>
      <c r="E1259" s="303"/>
      <c r="F1259" s="303"/>
      <c r="G1259" s="304"/>
      <c r="H1259" s="386"/>
    </row>
    <row r="1260" spans="2:8" x14ac:dyDescent="0.2">
      <c r="B1260" s="305"/>
      <c r="C1260" s="306"/>
      <c r="D1260" s="307"/>
      <c r="E1260" s="307"/>
      <c r="F1260" s="307"/>
      <c r="G1260" s="308"/>
      <c r="H1260" s="387"/>
    </row>
    <row r="1261" spans="2:8" ht="13.5" thickBot="1" x14ac:dyDescent="0.25">
      <c r="B1261" s="742" t="s">
        <v>1685</v>
      </c>
      <c r="C1261" s="743"/>
      <c r="D1261" s="743"/>
      <c r="E1261" s="743"/>
      <c r="F1261" s="743"/>
      <c r="G1261" s="744"/>
      <c r="H1261" s="389">
        <v>20</v>
      </c>
    </row>
    <row r="1262" spans="2:8" ht="13.5" thickBot="1" x14ac:dyDescent="0.25">
      <c r="B1262" s="295" t="s">
        <v>1684</v>
      </c>
      <c r="C1262" s="296"/>
      <c r="D1262" s="296"/>
      <c r="E1262" s="296"/>
      <c r="F1262" s="296"/>
      <c r="G1262" s="296"/>
      <c r="H1262" s="384"/>
    </row>
    <row r="1263" spans="2:8" ht="25.5" x14ac:dyDescent="0.2">
      <c r="B1263" s="748" t="s">
        <v>1409</v>
      </c>
      <c r="C1263" s="749"/>
      <c r="D1263" s="750"/>
      <c r="E1263" s="393" t="s">
        <v>1408</v>
      </c>
      <c r="F1263" s="394" t="s">
        <v>1679</v>
      </c>
      <c r="G1263" s="394" t="s">
        <v>1683</v>
      </c>
      <c r="H1263" s="395" t="s">
        <v>1675</v>
      </c>
    </row>
    <row r="1264" spans="2:8" x14ac:dyDescent="0.2">
      <c r="B1264" s="294" t="s">
        <v>1895</v>
      </c>
      <c r="C1264" s="292"/>
      <c r="D1264" s="315"/>
      <c r="E1264" s="316" t="s">
        <v>744</v>
      </c>
      <c r="F1264" s="303">
        <v>3</v>
      </c>
      <c r="G1264" s="303">
        <v>2.8440000000000003</v>
      </c>
      <c r="H1264" s="386">
        <v>8.532</v>
      </c>
    </row>
    <row r="1265" spans="2:8" x14ac:dyDescent="0.2">
      <c r="B1265" s="294" t="s">
        <v>1938</v>
      </c>
      <c r="C1265" s="292"/>
      <c r="D1265" s="315"/>
      <c r="E1265" s="316" t="s">
        <v>1788</v>
      </c>
      <c r="F1265" s="303">
        <v>27</v>
      </c>
      <c r="G1265" s="303">
        <v>0.39276</v>
      </c>
      <c r="H1265" s="386">
        <v>10.604520000000001</v>
      </c>
    </row>
    <row r="1266" spans="2:8" x14ac:dyDescent="0.2">
      <c r="B1266" s="294" t="s">
        <v>1897</v>
      </c>
      <c r="C1266" s="292"/>
      <c r="D1266" s="315"/>
      <c r="E1266" s="316" t="s">
        <v>744</v>
      </c>
      <c r="F1266" s="303">
        <v>1</v>
      </c>
      <c r="G1266" s="303">
        <v>0.68400000000000005</v>
      </c>
      <c r="H1266" s="386">
        <v>0.68400000000000005</v>
      </c>
    </row>
    <row r="1267" spans="2:8" x14ac:dyDescent="0.2">
      <c r="B1267" s="294" t="s">
        <v>1945</v>
      </c>
      <c r="C1267" s="292"/>
      <c r="D1267" s="315"/>
      <c r="E1267" s="316" t="s">
        <v>1788</v>
      </c>
      <c r="F1267" s="303">
        <v>1.5</v>
      </c>
      <c r="G1267" s="303">
        <v>1.647</v>
      </c>
      <c r="H1267" s="386">
        <v>2.4704999999999999</v>
      </c>
    </row>
    <row r="1268" spans="2:8" x14ac:dyDescent="0.2">
      <c r="B1268" s="294" t="s">
        <v>1931</v>
      </c>
      <c r="C1268" s="292"/>
      <c r="D1268" s="315"/>
      <c r="E1268" s="316" t="s">
        <v>744</v>
      </c>
      <c r="F1268" s="303">
        <v>4.4000000000000004</v>
      </c>
      <c r="G1268" s="303">
        <v>0.216</v>
      </c>
      <c r="H1268" s="386">
        <v>0.95040000000000002</v>
      </c>
    </row>
    <row r="1269" spans="2:8" x14ac:dyDescent="0.2">
      <c r="B1269" s="294" t="s">
        <v>1932</v>
      </c>
      <c r="C1269" s="292"/>
      <c r="D1269" s="315"/>
      <c r="E1269" s="316" t="s">
        <v>744</v>
      </c>
      <c r="F1269" s="303">
        <v>2</v>
      </c>
      <c r="G1269" s="303">
        <v>0.18000000000000002</v>
      </c>
      <c r="H1269" s="386">
        <v>0.36000000000000004</v>
      </c>
    </row>
    <row r="1270" spans="2:8" x14ac:dyDescent="0.2">
      <c r="B1270" s="294" t="s">
        <v>1266</v>
      </c>
      <c r="C1270" s="292"/>
      <c r="D1270" s="315"/>
      <c r="E1270" s="316" t="s">
        <v>1196</v>
      </c>
      <c r="F1270" s="303">
        <v>0.3</v>
      </c>
      <c r="G1270" s="303">
        <v>1.35</v>
      </c>
      <c r="H1270" s="386">
        <v>0.40500000000000003</v>
      </c>
    </row>
    <row r="1271" spans="2:8" x14ac:dyDescent="0.2">
      <c r="B1271" s="294" t="s">
        <v>1905</v>
      </c>
      <c r="C1271" s="292"/>
      <c r="D1271" s="315"/>
      <c r="E1271" s="316" t="s">
        <v>744</v>
      </c>
      <c r="F1271" s="303">
        <v>0.09</v>
      </c>
      <c r="G1271" s="303">
        <v>0.63900000000000001</v>
      </c>
      <c r="H1271" s="386">
        <v>5.7509999999999999E-2</v>
      </c>
    </row>
    <row r="1272" spans="2:8" x14ac:dyDescent="0.2">
      <c r="B1272" s="294" t="s">
        <v>1898</v>
      </c>
      <c r="C1272" s="292"/>
      <c r="D1272" s="315"/>
      <c r="E1272" s="316" t="s">
        <v>744</v>
      </c>
      <c r="F1272" s="303">
        <v>1</v>
      </c>
      <c r="G1272" s="303">
        <v>0.36000000000000004</v>
      </c>
      <c r="H1272" s="386">
        <v>0.36000000000000004</v>
      </c>
    </row>
    <row r="1273" spans="2:8" x14ac:dyDescent="0.2">
      <c r="B1273" s="294" t="s">
        <v>1934</v>
      </c>
      <c r="C1273" s="292"/>
      <c r="D1273" s="315"/>
      <c r="E1273" s="316" t="s">
        <v>744</v>
      </c>
      <c r="F1273" s="303">
        <v>4.5</v>
      </c>
      <c r="G1273" s="303">
        <v>4.5000000000000005E-2</v>
      </c>
      <c r="H1273" s="386">
        <v>0.20250000000000001</v>
      </c>
    </row>
    <row r="1274" spans="2:8" x14ac:dyDescent="0.2">
      <c r="B1274" s="294" t="s">
        <v>1903</v>
      </c>
      <c r="C1274" s="292"/>
      <c r="D1274" s="315"/>
      <c r="E1274" s="316" t="s">
        <v>744</v>
      </c>
      <c r="F1274" s="303">
        <v>6.5</v>
      </c>
      <c r="G1274" s="303">
        <v>6.3E-3</v>
      </c>
      <c r="H1274" s="386">
        <v>4.095E-2</v>
      </c>
    </row>
    <row r="1275" spans="2:8" x14ac:dyDescent="0.2">
      <c r="B1275" s="294"/>
      <c r="C1275" s="292"/>
      <c r="D1275" s="315"/>
      <c r="E1275" s="316"/>
      <c r="F1275" s="303"/>
      <c r="G1275" s="303"/>
      <c r="H1275" s="386"/>
    </row>
    <row r="1276" spans="2:8" x14ac:dyDescent="0.2">
      <c r="B1276" s="294"/>
      <c r="C1276" s="292"/>
      <c r="D1276" s="315"/>
      <c r="E1276" s="316"/>
      <c r="F1276" s="303"/>
      <c r="G1276" s="303"/>
      <c r="H1276" s="386"/>
    </row>
    <row r="1277" spans="2:8" x14ac:dyDescent="0.2">
      <c r="B1277" s="294"/>
      <c r="C1277" s="292"/>
      <c r="D1277" s="315"/>
      <c r="E1277" s="316"/>
      <c r="F1277" s="303"/>
      <c r="G1277" s="303"/>
      <c r="H1277" s="386"/>
    </row>
    <row r="1278" spans="2:8" x14ac:dyDescent="0.2">
      <c r="B1278" s="294"/>
      <c r="C1278" s="292"/>
      <c r="D1278" s="315"/>
      <c r="E1278" s="316"/>
      <c r="F1278" s="303"/>
      <c r="G1278" s="303"/>
      <c r="H1278" s="386"/>
    </row>
    <row r="1279" spans="2:8" x14ac:dyDescent="0.2">
      <c r="B1279" s="294"/>
      <c r="C1279" s="292"/>
      <c r="D1279" s="315"/>
      <c r="E1279" s="316"/>
      <c r="F1279" s="303"/>
      <c r="G1279" s="303"/>
      <c r="H1279" s="386"/>
    </row>
    <row r="1280" spans="2:8" x14ac:dyDescent="0.2">
      <c r="B1280" s="294"/>
      <c r="C1280" s="292"/>
      <c r="D1280" s="315"/>
      <c r="E1280" s="316"/>
      <c r="F1280" s="303"/>
      <c r="G1280" s="303"/>
      <c r="H1280" s="386"/>
    </row>
    <row r="1281" spans="1:9" x14ac:dyDescent="0.2">
      <c r="B1281" s="294"/>
      <c r="C1281" s="292"/>
      <c r="D1281" s="315"/>
      <c r="E1281" s="316"/>
      <c r="F1281" s="303"/>
      <c r="G1281" s="303"/>
      <c r="H1281" s="386"/>
    </row>
    <row r="1282" spans="1:9" x14ac:dyDescent="0.2">
      <c r="B1282" s="294"/>
      <c r="C1282" s="292"/>
      <c r="D1282" s="315"/>
      <c r="E1282" s="316"/>
      <c r="F1282" s="303"/>
      <c r="G1282" s="303"/>
      <c r="H1282" s="386"/>
    </row>
    <row r="1283" spans="1:9" x14ac:dyDescent="0.2">
      <c r="B1283" s="294"/>
      <c r="C1283" s="292"/>
      <c r="D1283" s="315"/>
      <c r="E1283" s="303"/>
      <c r="F1283" s="303"/>
      <c r="G1283" s="303"/>
      <c r="H1283" s="386"/>
    </row>
    <row r="1284" spans="1:9" x14ac:dyDescent="0.2">
      <c r="B1284" s="294"/>
      <c r="C1284" s="292"/>
      <c r="D1284" s="315"/>
      <c r="E1284" s="303"/>
      <c r="F1284" s="303"/>
      <c r="G1284" s="303"/>
      <c r="H1284" s="386"/>
    </row>
    <row r="1285" spans="1:9" ht="13.5" thickBot="1" x14ac:dyDescent="0.25">
      <c r="B1285" s="742" t="s">
        <v>1681</v>
      </c>
      <c r="C1285" s="743"/>
      <c r="D1285" s="743"/>
      <c r="E1285" s="743"/>
      <c r="F1285" s="743"/>
      <c r="G1285" s="744"/>
      <c r="H1285" s="389">
        <v>24.667380000000001</v>
      </c>
    </row>
    <row r="1286" spans="1:9" ht="13.5" thickBot="1" x14ac:dyDescent="0.25">
      <c r="B1286" s="295" t="s">
        <v>1680</v>
      </c>
      <c r="C1286" s="296"/>
      <c r="D1286" s="296"/>
      <c r="E1286" s="296"/>
      <c r="F1286" s="296"/>
      <c r="G1286" s="296"/>
      <c r="H1286" s="384"/>
    </row>
    <row r="1287" spans="1:9" ht="25.5" x14ac:dyDescent="0.2">
      <c r="B1287" s="390" t="s">
        <v>1409</v>
      </c>
      <c r="C1287" s="391"/>
      <c r="D1287" s="392"/>
      <c r="E1287" s="309" t="s">
        <v>1408</v>
      </c>
      <c r="F1287" s="309" t="s">
        <v>1679</v>
      </c>
      <c r="G1287" s="309" t="s">
        <v>1676</v>
      </c>
      <c r="H1287" s="388" t="s">
        <v>1675</v>
      </c>
    </row>
    <row r="1288" spans="1:9" x14ac:dyDescent="0.2">
      <c r="B1288" s="298" t="s">
        <v>975</v>
      </c>
      <c r="C1288" s="299"/>
      <c r="D1288" s="396"/>
      <c r="E1288" s="316" t="s">
        <v>744</v>
      </c>
      <c r="F1288" s="303">
        <v>5.8731857142857148E-2</v>
      </c>
      <c r="G1288" s="382">
        <v>12.6</v>
      </c>
      <c r="H1288" s="386">
        <v>0.74002140000000005</v>
      </c>
    </row>
    <row r="1289" spans="1:9" x14ac:dyDescent="0.2">
      <c r="B1289" s="302"/>
      <c r="C1289" s="292"/>
      <c r="D1289" s="317"/>
      <c r="E1289" s="316"/>
      <c r="F1289" s="303"/>
      <c r="G1289" s="303"/>
      <c r="H1289" s="386"/>
    </row>
    <row r="1290" spans="1:9" x14ac:dyDescent="0.2">
      <c r="B1290" s="305"/>
      <c r="C1290" s="306"/>
      <c r="D1290" s="318"/>
      <c r="E1290" s="319"/>
      <c r="F1290" s="307"/>
      <c r="G1290" s="307"/>
      <c r="H1290" s="387"/>
    </row>
    <row r="1291" spans="1:9" ht="13.5" thickBot="1" x14ac:dyDescent="0.25">
      <c r="B1291" s="742" t="s">
        <v>1674</v>
      </c>
      <c r="C1291" s="743"/>
      <c r="D1291" s="743"/>
      <c r="E1291" s="743"/>
      <c r="F1291" s="743"/>
      <c r="G1291" s="744"/>
      <c r="H1291" s="397">
        <v>0.74002140000000005</v>
      </c>
    </row>
    <row r="1292" spans="1:9" x14ac:dyDescent="0.2">
      <c r="B1292" s="292"/>
      <c r="C1292" s="292"/>
      <c r="D1292" s="320" t="s">
        <v>1673</v>
      </c>
      <c r="E1292" s="321"/>
      <c r="F1292" s="321"/>
      <c r="G1292" s="321"/>
      <c r="H1292" s="331">
        <f>H1251+H1261+H1285+H1291</f>
        <v>45.507401400000006</v>
      </c>
    </row>
    <row r="1293" spans="1:9" s="1" customFormat="1" ht="15.75" x14ac:dyDescent="0.25">
      <c r="A1293" s="103">
        <v>40002</v>
      </c>
      <c r="B1293" s="2"/>
      <c r="C1293" s="2"/>
      <c r="D1293" s="93" t="s">
        <v>1672</v>
      </c>
      <c r="E1293" s="65"/>
      <c r="F1293" s="65"/>
      <c r="G1293" s="94">
        <f>IF($A1293=0,"",VLOOKUP($A1293,'BASE MATERIAL'!$M:$P,4))</f>
        <v>0</v>
      </c>
      <c r="H1293" s="95">
        <f>IF($A1293=0,"",ROUND(G1293*H1292,2))</f>
        <v>0</v>
      </c>
      <c r="I1293" s="2"/>
    </row>
    <row r="1294" spans="1:9" s="1" customFormat="1" ht="15.75" x14ac:dyDescent="0.25">
      <c r="A1294" s="103">
        <v>40003</v>
      </c>
      <c r="B1294" s="2"/>
      <c r="C1294" s="2"/>
      <c r="D1294" s="93" t="s">
        <v>1671</v>
      </c>
      <c r="E1294" s="65"/>
      <c r="F1294" s="65"/>
      <c r="G1294" s="94">
        <f>IF($A1294=0,"",VLOOKUP($A1294,'BASE MATERIAL'!$M:$P,4))</f>
        <v>0</v>
      </c>
      <c r="H1294" s="95">
        <f>IF($A1294=0,"",ROUND(G1294*H1292,2))</f>
        <v>0</v>
      </c>
      <c r="I1294" s="2"/>
    </row>
    <row r="1295" spans="1:9" s="1" customFormat="1" ht="15.75" x14ac:dyDescent="0.25">
      <c r="A1295" s="103"/>
      <c r="B1295" s="2"/>
      <c r="C1295" s="2"/>
      <c r="D1295" s="93" t="s">
        <v>1670</v>
      </c>
      <c r="E1295" s="65"/>
      <c r="F1295" s="65"/>
      <c r="G1295" s="65"/>
      <c r="H1295" s="96">
        <f>ROUND(SUM(H1292:H1294),2)</f>
        <v>45.51</v>
      </c>
      <c r="I1295" s="2"/>
    </row>
    <row r="1296" spans="1:9" s="1" customFormat="1" ht="16.5" thickBot="1" x14ac:dyDescent="0.3">
      <c r="A1296" s="103"/>
      <c r="B1296" s="25"/>
      <c r="C1296" s="2"/>
      <c r="D1296" s="97" t="s">
        <v>1650</v>
      </c>
      <c r="E1296" s="88"/>
      <c r="F1296" s="88"/>
      <c r="G1296" s="88"/>
      <c r="H1296" s="98">
        <f>ROUND(H1295,2)</f>
        <v>45.51</v>
      </c>
      <c r="I1296" s="2"/>
    </row>
  </sheetData>
  <mergeCells count="152">
    <mergeCell ref="B258:D258"/>
    <mergeCell ref="B592:G592"/>
    <mergeCell ref="B598:G598"/>
    <mergeCell ref="B546:H546"/>
    <mergeCell ref="B551:C551"/>
    <mergeCell ref="B372:G372"/>
    <mergeCell ref="B374:C374"/>
    <mergeCell ref="B382:G382"/>
    <mergeCell ref="B384:D384"/>
    <mergeCell ref="B444:G444"/>
    <mergeCell ref="B446:D446"/>
    <mergeCell ref="B468:G468"/>
    <mergeCell ref="B474:G474"/>
    <mergeCell ref="B529:G529"/>
    <mergeCell ref="B535:G535"/>
    <mergeCell ref="B505:G505"/>
    <mergeCell ref="B507:D507"/>
    <mergeCell ref="B558:G558"/>
    <mergeCell ref="B560:C560"/>
    <mergeCell ref="B568:G568"/>
    <mergeCell ref="B570:D570"/>
    <mergeCell ref="B483:H483"/>
    <mergeCell ref="B488:C488"/>
    <mergeCell ref="B495:G495"/>
    <mergeCell ref="B497:C497"/>
    <mergeCell ref="B798:H798"/>
    <mergeCell ref="B803:C803"/>
    <mergeCell ref="B810:G810"/>
    <mergeCell ref="B812:C812"/>
    <mergeCell ref="B781:G781"/>
    <mergeCell ref="B787:G787"/>
    <mergeCell ref="B718:G718"/>
    <mergeCell ref="B724:G724"/>
    <mergeCell ref="B735:H735"/>
    <mergeCell ref="B740:C740"/>
    <mergeCell ref="B747:G747"/>
    <mergeCell ref="B749:C749"/>
    <mergeCell ref="B757:G757"/>
    <mergeCell ref="B759:D759"/>
    <mergeCell ref="B672:H672"/>
    <mergeCell ref="B677:C677"/>
    <mergeCell ref="B694:G694"/>
    <mergeCell ref="B696:D696"/>
    <mergeCell ref="B684:G684"/>
    <mergeCell ref="B686:C686"/>
    <mergeCell ref="B609:H609"/>
    <mergeCell ref="B614:C614"/>
    <mergeCell ref="B621:G621"/>
    <mergeCell ref="B623:C623"/>
    <mergeCell ref="B631:G631"/>
    <mergeCell ref="B633:D633"/>
    <mergeCell ref="B655:G655"/>
    <mergeCell ref="B661:G661"/>
    <mergeCell ref="B873:G873"/>
    <mergeCell ref="B875:C875"/>
    <mergeCell ref="B883:G883"/>
    <mergeCell ref="B885:D885"/>
    <mergeCell ref="B907:G907"/>
    <mergeCell ref="B913:G913"/>
    <mergeCell ref="B820:G820"/>
    <mergeCell ref="B822:D822"/>
    <mergeCell ref="B844:G844"/>
    <mergeCell ref="B850:G850"/>
    <mergeCell ref="B861:H861"/>
    <mergeCell ref="B866:C866"/>
    <mergeCell ref="B970:G970"/>
    <mergeCell ref="B976:G976"/>
    <mergeCell ref="B987:H987"/>
    <mergeCell ref="B992:C992"/>
    <mergeCell ref="B999:G999"/>
    <mergeCell ref="B1001:C1001"/>
    <mergeCell ref="B924:H924"/>
    <mergeCell ref="B929:C929"/>
    <mergeCell ref="B936:G936"/>
    <mergeCell ref="B938:C938"/>
    <mergeCell ref="B946:G946"/>
    <mergeCell ref="B948:D948"/>
    <mergeCell ref="B1062:G1062"/>
    <mergeCell ref="B1064:C1064"/>
    <mergeCell ref="B1072:G1072"/>
    <mergeCell ref="B1074:D1074"/>
    <mergeCell ref="B1096:G1096"/>
    <mergeCell ref="B1102:G1102"/>
    <mergeCell ref="B1009:G1009"/>
    <mergeCell ref="B1011:D1011"/>
    <mergeCell ref="B1033:G1033"/>
    <mergeCell ref="B1039:G1039"/>
    <mergeCell ref="B1050:H1050"/>
    <mergeCell ref="B1055:C1055"/>
    <mergeCell ref="B1159:G1159"/>
    <mergeCell ref="B1165:G1165"/>
    <mergeCell ref="B1176:H1176"/>
    <mergeCell ref="B1181:C1181"/>
    <mergeCell ref="B1188:G1188"/>
    <mergeCell ref="B1190:C1190"/>
    <mergeCell ref="B1113:H1113"/>
    <mergeCell ref="B1118:C1118"/>
    <mergeCell ref="B1125:G1125"/>
    <mergeCell ref="B1127:C1127"/>
    <mergeCell ref="B1135:G1135"/>
    <mergeCell ref="B1137:D1137"/>
    <mergeCell ref="B1251:G1251"/>
    <mergeCell ref="B1253:C1253"/>
    <mergeCell ref="B1261:G1261"/>
    <mergeCell ref="B1263:D1263"/>
    <mergeCell ref="B1285:G1285"/>
    <mergeCell ref="B1291:G1291"/>
    <mergeCell ref="B1198:G1198"/>
    <mergeCell ref="B1200:D1200"/>
    <mergeCell ref="B1222:G1222"/>
    <mergeCell ref="B1228:G1228"/>
    <mergeCell ref="B1239:H1239"/>
    <mergeCell ref="B1244:C1244"/>
    <mergeCell ref="B40:H40"/>
    <mergeCell ref="B45:C45"/>
    <mergeCell ref="B52:G52"/>
    <mergeCell ref="B54:C54"/>
    <mergeCell ref="B62:G62"/>
    <mergeCell ref="B64:D64"/>
    <mergeCell ref="B116:G116"/>
    <mergeCell ref="B118:D118"/>
    <mergeCell ref="B136:G136"/>
    <mergeCell ref="B82:G82"/>
    <mergeCell ref="B88:G88"/>
    <mergeCell ref="B94:H94"/>
    <mergeCell ref="B99:C99"/>
    <mergeCell ref="B106:G106"/>
    <mergeCell ref="B108:C108"/>
    <mergeCell ref="B142:G142"/>
    <mergeCell ref="B422:H422"/>
    <mergeCell ref="B427:C427"/>
    <mergeCell ref="B320:G320"/>
    <mergeCell ref="B322:D322"/>
    <mergeCell ref="B344:G344"/>
    <mergeCell ref="B350:G350"/>
    <mergeCell ref="B434:G434"/>
    <mergeCell ref="B436:C436"/>
    <mergeCell ref="B406:G406"/>
    <mergeCell ref="B412:G412"/>
    <mergeCell ref="B360:H360"/>
    <mergeCell ref="B365:C365"/>
    <mergeCell ref="B280:G280"/>
    <mergeCell ref="B286:G286"/>
    <mergeCell ref="B298:H298"/>
    <mergeCell ref="B303:C303"/>
    <mergeCell ref="B310:G310"/>
    <mergeCell ref="B312:C312"/>
    <mergeCell ref="B234:H234"/>
    <mergeCell ref="B239:C239"/>
    <mergeCell ref="B246:G246"/>
    <mergeCell ref="B248:C248"/>
    <mergeCell ref="B256:G25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38</vt:i4>
      </vt:variant>
      <vt:variant>
        <vt:lpstr>Rangos con nombre</vt:lpstr>
      </vt:variant>
      <vt:variant>
        <vt:i4>29</vt:i4>
      </vt:variant>
    </vt:vector>
  </HeadingPairs>
  <TitlesOfParts>
    <vt:vector size="67" baseType="lpstr">
      <vt:lpstr>PRESUPUESTO</vt:lpstr>
      <vt:lpstr>CRONOGRAMA</vt:lpstr>
      <vt:lpstr>CALCULO </vt:lpstr>
      <vt:lpstr>1.1</vt:lpstr>
      <vt:lpstr>1.2</vt:lpstr>
      <vt:lpstr>1.3</vt:lpstr>
      <vt:lpstr>1.4</vt:lpstr>
      <vt:lpstr>1.5</vt:lpstr>
      <vt:lpstr>1.6b</vt:lpstr>
      <vt:lpstr>1.6</vt:lpstr>
      <vt:lpstr>1.7</vt:lpstr>
      <vt:lpstr>1.8</vt:lpstr>
      <vt:lpstr>1.9</vt:lpstr>
      <vt:lpstr>2.1</vt:lpstr>
      <vt:lpstr>2.2</vt:lpstr>
      <vt:lpstr>2.3</vt:lpstr>
      <vt:lpstr>2.4</vt:lpstr>
      <vt:lpstr>2.5</vt:lpstr>
      <vt:lpstr>2.6</vt:lpstr>
      <vt:lpstr>3.1</vt:lpstr>
      <vt:lpstr>3.2</vt:lpstr>
      <vt:lpstr>3.3</vt:lpstr>
      <vt:lpstr>3.4</vt:lpstr>
      <vt:lpstr>4.1.1</vt:lpstr>
      <vt:lpstr>4.1.2</vt:lpstr>
      <vt:lpstr>4.1.3</vt:lpstr>
      <vt:lpstr>4.2</vt:lpstr>
      <vt:lpstr>4.3</vt:lpstr>
      <vt:lpstr>4.4.1</vt:lpstr>
      <vt:lpstr>4.4.2</vt:lpstr>
      <vt:lpstr>4.4.3</vt:lpstr>
      <vt:lpstr>4.4.4</vt:lpstr>
      <vt:lpstr>4.5.1</vt:lpstr>
      <vt:lpstr>BASE EQUIPO</vt:lpstr>
      <vt:lpstr>BASE M-OBRA</vt:lpstr>
      <vt:lpstr>BASE MATERIAL</vt:lpstr>
      <vt:lpstr>Hoja1</vt:lpstr>
      <vt:lpstr>ELECT</vt:lpstr>
      <vt:lpstr>'1.1'!Área_de_impresión</vt:lpstr>
      <vt:lpstr>'1.2'!Área_de_impresión</vt:lpstr>
      <vt:lpstr>'1.3'!Área_de_impresión</vt:lpstr>
      <vt:lpstr>'1.4'!Área_de_impresión</vt:lpstr>
      <vt:lpstr>'1.6'!Área_de_impresión</vt:lpstr>
      <vt:lpstr>'1.7'!Área_de_impresión</vt:lpstr>
      <vt:lpstr>'1.8'!Área_de_impresión</vt:lpstr>
      <vt:lpstr>'1.9'!Área_de_impresión</vt:lpstr>
      <vt:lpstr>'2.1'!Área_de_impresión</vt:lpstr>
      <vt:lpstr>'2.2'!Área_de_impresión</vt:lpstr>
      <vt:lpstr>'2.3'!Área_de_impresión</vt:lpstr>
      <vt:lpstr>'2.4'!Área_de_impresión</vt:lpstr>
      <vt:lpstr>'2.6'!Área_de_impresión</vt:lpstr>
      <vt:lpstr>'3.1'!Área_de_impresión</vt:lpstr>
      <vt:lpstr>'3.2'!Área_de_impresión</vt:lpstr>
      <vt:lpstr>'3.3'!Área_de_impresión</vt:lpstr>
      <vt:lpstr>'3.4'!Área_de_impresión</vt:lpstr>
      <vt:lpstr>'4.1.1'!Área_de_impresión</vt:lpstr>
      <vt:lpstr>'4.1.2'!Área_de_impresión</vt:lpstr>
      <vt:lpstr>'4.1.3'!Área_de_impresión</vt:lpstr>
      <vt:lpstr>'4.2'!Área_de_impresión</vt:lpstr>
      <vt:lpstr>'4.3'!Área_de_impresión</vt:lpstr>
      <vt:lpstr>'4.4.1'!Área_de_impresión</vt:lpstr>
      <vt:lpstr>'4.4.2'!Área_de_impresión</vt:lpstr>
      <vt:lpstr>'4.4.3'!Área_de_impresión</vt:lpstr>
      <vt:lpstr>'4.4.4'!Área_de_impresión</vt:lpstr>
      <vt:lpstr>CRONOGRAMA!Área_de_impresión</vt:lpstr>
      <vt:lpstr>PRESUPUESTO!Área_de_impresión</vt:lpstr>
      <vt:lpstr>PRESUPUESTO!Títulos_a_imprimir</vt:lpstr>
    </vt:vector>
  </TitlesOfParts>
  <Company>..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..</dc:creator>
  <cp:lastModifiedBy>Maria Tenesaca</cp:lastModifiedBy>
  <cp:lastPrinted>2016-01-07T02:18:28Z</cp:lastPrinted>
  <dcterms:created xsi:type="dcterms:W3CDTF">2008-12-01T03:27:16Z</dcterms:created>
  <dcterms:modified xsi:type="dcterms:W3CDTF">2025-12-10T03:10:46Z</dcterms:modified>
</cp:coreProperties>
</file>